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HKRSKPO002\home$\PELLISAA\System\Desktop\mallit\"/>
    </mc:Choice>
  </mc:AlternateContent>
  <workbookProtection workbookAlgorithmName="SHA-512" workbookHashValue="raHEDFDoYCyCYUtnJ19VXQZB6V4ACj29kxSQpTRsxisIwSa9IIr5cGq364IQSqFCvAgeQsaSbVE1ySYDhJDTnw==" workbookSaltValue="hPbQZq93u5DE3NKYoCBRjg==" workbookSpinCount="100000" lockStructure="1"/>
  <bookViews>
    <workbookView xWindow="-120" yWindow="-120" windowWidth="29040" windowHeight="15840"/>
  </bookViews>
  <sheets>
    <sheet name="Info" sheetId="24" r:id="rId1"/>
    <sheet name="Lyhyt yhteenveto" sheetId="13" r:id="rId2"/>
    <sheet name="Muuttujat" sheetId="4" r:id="rId3"/>
    <sheet name="Työkonekanta" sheetId="10" r:id="rId4"/>
    <sheet name="S3 Tiekartta" sheetId="25" r:id="rId5"/>
    <sheet name="S0a Baseline" sheetId="9" r:id="rId6"/>
    <sheet name="S0b Baseline kasvu" sheetId="16" r:id="rId7"/>
    <sheet name="S1 Sähkö" sheetId="17" r:id="rId8"/>
    <sheet name="S2 Bio" sheetId="19" r:id="rId9"/>
    <sheet name="Laaja yhteenveto" sheetId="11" r:id="rId10"/>
    <sheet name="Työkonevertailu € CO2" sheetId="23" r:id="rId11"/>
    <sheet name="Hintatiedot" sheetId="20" r:id="rId12"/>
  </sheets>
  <definedNames>
    <definedName name="_xlnm._FilterDatabase" localSheetId="2" hidden="1">Muuttujat!$A$2:$F$2</definedName>
    <definedName name="_xlnm._FilterDatabase" localSheetId="5" hidden="1">'S0a Baseline'!$A$2:$AD$685</definedName>
    <definedName name="_xlnm._FilterDatabase" localSheetId="6" hidden="1">'S0b Baseline kasvu'!$A$2:$AD$693</definedName>
    <definedName name="_xlnm._FilterDatabase" localSheetId="7" hidden="1">'S1 Sähkö'!$A$2:$AD$693</definedName>
    <definedName name="_xlnm._FilterDatabase" localSheetId="8" hidden="1">'S2 Bio'!$A$2:$AD$693</definedName>
    <definedName name="_xlnm._FilterDatabase" localSheetId="4" hidden="1">'S3 Tiekartta'!$A$2:$AD$693</definedName>
    <definedName name="_xlnm._FilterDatabase" localSheetId="3" hidden="1">Työkonekanta!$A$2:$W$32</definedName>
    <definedName name="_xlnm._FilterDatabase" localSheetId="10" hidden="1">'Työkonevertailu € CO2'!$A$2:$AD$2</definedName>
    <definedName name="bio_osuus">'Työkonevertailu € CO2'!$D$30</definedName>
    <definedName name="biosiirtymä_luonne">'Lyhyt yhteenveto'!$K$5</definedName>
    <definedName name="biosiirtymä_vuosi">'Lyhyt yhteenveto'!$K$4</definedName>
    <definedName name="conv_kwh_mj">Muuttujat!$D$36</definedName>
    <definedName name="ef_e_co2_el_fimix">Muuttujat!$D$39</definedName>
    <definedName name="ef_li_ion_akku">Muuttujat!$D$55</definedName>
    <definedName name="ef_m_ch4_lpg">Muuttujat!$D$18</definedName>
    <definedName name="ef_m_ch4_pom">Muuttujat!$D$4</definedName>
    <definedName name="ef_m_co2_adblue">Muuttujat!$D$17</definedName>
    <definedName name="ef_m_co2_dies">Muuttujat!$D$11</definedName>
    <definedName name="ef_m_co2_lng">Muuttujat!$D$33</definedName>
    <definedName name="ef_m_co2_lpg">Muuttujat!$D$19</definedName>
    <definedName name="ef_m_n2o_lpg">Muuttujat!$D$20</definedName>
    <definedName name="ef_m_n2o_pom">Muuttujat!$D$5</definedName>
    <definedName name="ef_v_ch4_pom">Muuttujat!$D$6</definedName>
    <definedName name="ef_v_co2_adblue">Muuttujat!$D$16</definedName>
    <definedName name="ef_v_co2_dies">Muuttujat!$D$8</definedName>
    <definedName name="ef_v_co2_pom">Muuttujat!$D$3</definedName>
    <definedName name="ef_v_n2o_pom">Muuttujat!$D$7</definedName>
    <definedName name="f_adblue">Muuttujat!$D$40</definedName>
    <definedName name="gwp100_ch4">Muuttujat!$D$37</definedName>
    <definedName name="gwp100_n2o">Muuttujat!$D$38</definedName>
    <definedName name="hinta_adblue" localSheetId="10">'Työkonevertailu € CO2'!$D$28</definedName>
    <definedName name="hinta_adblue">Muuttujat!$D$54</definedName>
    <definedName name="hinta_biodiesel">Muuttujat!$D$51</definedName>
    <definedName name="hinta_biodiesel2">Muuttujat!#REF!</definedName>
    <definedName name="hinta_biodiesel3">Muuttujat!$D$52</definedName>
    <definedName name="hinta_biodiesel4">Muuttujat!$D$53</definedName>
    <definedName name="hinta_bioöljy">'Työkonevertailu € CO2'!$D$27</definedName>
    <definedName name="hinta_dies">Muuttujat!$D$41</definedName>
    <definedName name="hinta_diesel">'Työkonevertailu € CO2'!$D$26</definedName>
    <definedName name="hinta_polttoöljy">'Työkonevertailu € CO2'!$D$25</definedName>
    <definedName name="hinta_pom_pok">Muuttujat!$D$43</definedName>
    <definedName name="hinta_pom_pok2">Muuttujat!$D$44</definedName>
    <definedName name="hinta_sähkö">'Työkonevertailu € CO2'!$D$24</definedName>
    <definedName name="hinta_sähkö1">Muuttujat!$D$45</definedName>
    <definedName name="hinta_sähkö2">Muuttujat!$D$46</definedName>
    <definedName name="hinta_sähkö3">Muuttujat!$D$47</definedName>
    <definedName name="hinta_sähkö4">Muuttujat!$D$48</definedName>
    <definedName name="hinta_sähkö5">Muuttujat!$D$49</definedName>
    <definedName name="hinta_sähkö6">Muuttujat!$D$50</definedName>
    <definedName name="hv_biodies">Muuttujat!$D$14</definedName>
    <definedName name="hv_biodies2">Muuttujat!#REF!</definedName>
    <definedName name="hv_dies">Muuttujat!$D$13</definedName>
    <definedName name="hv_pom">Muuttujat!$D$34</definedName>
    <definedName name="hv_pom2">Muuttujat!$D$35</definedName>
    <definedName name="mm">Muuttujat!$D$4</definedName>
    <definedName name="mmm">Muuttujat!$D$5</definedName>
    <definedName name="ostosähkö">'Työkonevertailu € CO2'!$D$29</definedName>
    <definedName name="ostosähkö_nyt">'Lyhyt yhteenveto'!$E$3</definedName>
    <definedName name="pros_tavoite">'Lyhyt yhteenveto'!$E$6</definedName>
    <definedName name="roo_adblue">Muuttujat!$D$15</definedName>
    <definedName name="roo_biodies">Muuttujat!$D$12</definedName>
    <definedName name="roo_dies">Muuttujat!$D$9</definedName>
    <definedName name="roo_dies2">Muuttujat!$D$10</definedName>
    <definedName name="s0b_kasvu">'Lyhyt yhteenveto'!$G$3</definedName>
    <definedName name="solver_adj" localSheetId="2" hidden="1">Muuttujat!$P$14</definedName>
    <definedName name="solver_cvg" localSheetId="2" hidden="1">"""""""""""""""""""""""""""""""""""""""""""""""""""""""""""""""""""""""""""""""""""""""""""""""""""""""""""""""""""""""""""""""0,0001"""""""""""""""""""""""""""""""""""""""""""""""""""""""""""""""""""""""""""""""""""""""""""""""""""""""""""""""""""""""""""""""</definedName>
    <definedName name="solver_drv" localSheetId="2" hidden="1">2</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nwt" localSheetId="2" hidden="1">1</definedName>
    <definedName name="solver_opt" localSheetId="2" hidden="1">Muuttujat!$S$14</definedName>
    <definedName name="solver_pre" localSheetId="2" hidden="1">"""""""""""""""""""""""""""""""""""""""""""""""""""""""""""""""""""""""""""""""""""""""""""""""""""""""""""""""""""""""""""""""0,000001"""""""""""""""""""""""""""""""""""""""""""""""""""""""""""""""""""""""""""""""""""""""""""""""""""""""""""""""""""""""""""""""</definedName>
    <definedName name="solver_rbv" localSheetId="2" hidden="1">2</definedName>
    <definedName name="solver_rlx" localSheetId="2" hidden="1">2</definedName>
    <definedName name="solver_rsd" localSheetId="2" hidden="1">0</definedName>
    <definedName name="solver_scl" localSheetId="2" hidden="1">2</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0.1</definedName>
    <definedName name="solver_ver" localSheetId="2" hidden="1">3</definedName>
    <definedName name="t2022_hybridilukki">'Lyhyt yhteenveto'!$L$5</definedName>
    <definedName name="t2022_kurottaja">'Lyhyt yhteenveto'!$L$7</definedName>
    <definedName name="t2022_sähkölukki">'Lyhyt yhteenveto'!$L$4</definedName>
    <definedName name="t2022_sähkött">'Lyhyt yhteenveto'!$L$6</definedName>
    <definedName name="t2027_lukit">'Lyhyt yhteenveto'!$L$9</definedName>
    <definedName name="tavoite_helsa_ttw">'Lyhyt yhteenveto'!$B$6</definedName>
    <definedName name="tavoite_ttw">'Lyhyt yhteenveto'!$O$19</definedName>
    <definedName name="tuulisähkö_vuosi">'Lyhyt yhteenveto'!$E$4</definedName>
    <definedName name="wtt_ef_e_co2_biodies">Muuttujat!$D$28</definedName>
    <definedName name="wtt_ef_e_co2_biolng">Muuttujat!$D$26</definedName>
    <definedName name="wtt_ef_e_co2_cbg">Muuttujat!$D$24</definedName>
    <definedName name="wtt_ef_e_co2_cng">Muuttujat!$D$23</definedName>
    <definedName name="wtt_ef_e_co2_dies">Muuttujat!$D$21</definedName>
    <definedName name="wtt_ef_e_co2_el_eumix2020">Muuttujat!$D$30</definedName>
    <definedName name="wtt_ef_e_co2_el_eumix2030">Muuttujat!$D$31</definedName>
    <definedName name="wtt_ef_e_co2_el_wind">Muuttujat!$D$32</definedName>
    <definedName name="wtt_ef_e_co2_lng">Muuttujat!$D$22</definedName>
    <definedName name="wtt_ef_e_co2_lpg">Muuttujat!$D$27</definedName>
    <definedName name="wtt_ef_e_co2_syndies">Muuttujat!$D$29</definedName>
    <definedName name="wtt_ef_e_co2_synlng">Muuttujat!$D$25</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5" i="4" l="1"/>
  <c r="B4" i="25" l="1"/>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29" i="25"/>
  <c r="B130" i="25"/>
  <c r="B131" i="25"/>
  <c r="B132" i="25"/>
  <c r="B133" i="25"/>
  <c r="B134" i="25"/>
  <c r="B135" i="25"/>
  <c r="B136" i="25"/>
  <c r="B137" i="25"/>
  <c r="B138" i="25"/>
  <c r="B139" i="25"/>
  <c r="B140" i="25"/>
  <c r="B141" i="25"/>
  <c r="B142" i="25"/>
  <c r="B143" i="25"/>
  <c r="B144" i="25"/>
  <c r="B145" i="25"/>
  <c r="B146" i="25"/>
  <c r="B147" i="25"/>
  <c r="B148" i="25"/>
  <c r="B149" i="25"/>
  <c r="B150" i="25"/>
  <c r="B151" i="25"/>
  <c r="B152" i="25"/>
  <c r="B153" i="25"/>
  <c r="B154" i="25"/>
  <c r="B155" i="25"/>
  <c r="B156" i="25"/>
  <c r="B157" i="25"/>
  <c r="B158" i="25"/>
  <c r="B159" i="25"/>
  <c r="B160" i="25"/>
  <c r="B161" i="25"/>
  <c r="B162" i="25"/>
  <c r="B163" i="25"/>
  <c r="B164" i="25"/>
  <c r="B165" i="25"/>
  <c r="B166" i="25"/>
  <c r="B167" i="25"/>
  <c r="B168"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452"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80"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507" i="25"/>
  <c r="B508" i="25"/>
  <c r="B509" i="25"/>
  <c r="B510" i="25"/>
  <c r="B511" i="25"/>
  <c r="B512" i="25"/>
  <c r="B3" i="25"/>
  <c r="B4" i="17" a="1"/>
  <c r="B4" i="17"/>
  <c r="B5" i="17" a="1"/>
  <c r="B5" i="17" s="1"/>
  <c r="B6" i="17" a="1"/>
  <c r="B6" i="17"/>
  <c r="B7" i="17" a="1"/>
  <c r="B7" i="17" s="1"/>
  <c r="B8" i="17" a="1"/>
  <c r="B8" i="17" s="1"/>
  <c r="B9" i="17" a="1"/>
  <c r="B9" i="17" s="1"/>
  <c r="B10" i="17" a="1"/>
  <c r="B10" i="17" s="1"/>
  <c r="B11" i="17" a="1"/>
  <c r="B11" i="17" s="1"/>
  <c r="B12" i="17" a="1"/>
  <c r="B12" i="17"/>
  <c r="B13" i="17" a="1"/>
  <c r="B13" i="17" s="1"/>
  <c r="B14" i="17" a="1"/>
  <c r="B14" i="17"/>
  <c r="B15" i="17" a="1"/>
  <c r="B15" i="17" s="1"/>
  <c r="B16" i="17" a="1"/>
  <c r="B16" i="17" s="1"/>
  <c r="B17" i="17" a="1"/>
  <c r="B17" i="17" s="1"/>
  <c r="B18" i="17" a="1"/>
  <c r="B18" i="17"/>
  <c r="B19" i="17" a="1"/>
  <c r="B19" i="17" s="1"/>
  <c r="B20" i="17" a="1"/>
  <c r="B20" i="17"/>
  <c r="B21" i="17" a="1"/>
  <c r="B21" i="17" s="1"/>
  <c r="B22" i="17" a="1"/>
  <c r="B22" i="17"/>
  <c r="B23" i="17" a="1"/>
  <c r="B23" i="17" s="1"/>
  <c r="B24" i="17" a="1"/>
  <c r="B24" i="17" s="1"/>
  <c r="B25" i="17" a="1"/>
  <c r="B25" i="17" s="1"/>
  <c r="B26" i="17" a="1"/>
  <c r="B26" i="17" s="1"/>
  <c r="B27" i="17" a="1"/>
  <c r="B27" i="17" s="1"/>
  <c r="B28" i="17" a="1"/>
  <c r="B28" i="17"/>
  <c r="B29" i="17" a="1"/>
  <c r="B29" i="17" s="1"/>
  <c r="B30" i="17" a="1"/>
  <c r="B30" i="17"/>
  <c r="B31" i="17" a="1"/>
  <c r="B31" i="17" s="1"/>
  <c r="B32" i="17" a="1"/>
  <c r="B32" i="17" s="1"/>
  <c r="B33" i="17" a="1"/>
  <c r="B33" i="17" s="1"/>
  <c r="B34" i="17" a="1"/>
  <c r="B34" i="17"/>
  <c r="B35" i="17" a="1"/>
  <c r="B35" i="17" s="1"/>
  <c r="B36" i="17" a="1"/>
  <c r="B36" i="17"/>
  <c r="B37" i="17" a="1"/>
  <c r="B37" i="17" s="1"/>
  <c r="B38" i="17" a="1"/>
  <c r="B38" i="17" s="1"/>
  <c r="B39" i="17" a="1"/>
  <c r="B39" i="17" s="1"/>
  <c r="B40" i="17" a="1"/>
  <c r="B40" i="17" s="1"/>
  <c r="B41" i="17" a="1"/>
  <c r="B41" i="17" s="1"/>
  <c r="B42" i="17" a="1"/>
  <c r="B42" i="17" s="1"/>
  <c r="B43" i="17" a="1"/>
  <c r="B43" i="17" s="1"/>
  <c r="B44" i="17" a="1"/>
  <c r="B44" i="17"/>
  <c r="B45" i="17" a="1"/>
  <c r="B45" i="17" s="1"/>
  <c r="B46" i="17" a="1"/>
  <c r="B46" i="17"/>
  <c r="B47" i="17" a="1"/>
  <c r="B47" i="17" s="1"/>
  <c r="B48" i="17" a="1"/>
  <c r="B48" i="17" s="1"/>
  <c r="B49" i="17" a="1"/>
  <c r="B49" i="17" s="1"/>
  <c r="B50" i="17" a="1"/>
  <c r="B50" i="17"/>
  <c r="B51" i="17" a="1"/>
  <c r="B51" i="17" s="1"/>
  <c r="B52" i="17" a="1"/>
  <c r="B52" i="17" s="1"/>
  <c r="B53" i="17" a="1"/>
  <c r="B53" i="17" s="1"/>
  <c r="B54" i="17" a="1"/>
  <c r="B54" i="17" s="1"/>
  <c r="B55" i="17" a="1"/>
  <c r="B55" i="17" s="1"/>
  <c r="B56" i="17" a="1"/>
  <c r="B56" i="17" s="1"/>
  <c r="B57" i="17" a="1"/>
  <c r="B57" i="17" s="1"/>
  <c r="B58" i="17" a="1"/>
  <c r="B58" i="17" s="1"/>
  <c r="B59" i="17" a="1"/>
  <c r="B59" i="17" s="1"/>
  <c r="B60" i="17" a="1"/>
  <c r="B60" i="17"/>
  <c r="B61" i="17" a="1"/>
  <c r="B61" i="17" s="1"/>
  <c r="B62" i="17" a="1"/>
  <c r="B62" i="17"/>
  <c r="B63" i="17" a="1"/>
  <c r="B63" i="17" s="1"/>
  <c r="B64" i="17" a="1"/>
  <c r="B64" i="17" s="1"/>
  <c r="B65" i="17" a="1"/>
  <c r="B65" i="17" s="1"/>
  <c r="B66" i="17" a="1"/>
  <c r="B66" i="17"/>
  <c r="B67" i="17" a="1"/>
  <c r="B67" i="17" s="1"/>
  <c r="B68" i="17" a="1"/>
  <c r="B68" i="17" s="1"/>
  <c r="B69" i="17" a="1"/>
  <c r="B69" i="17" s="1"/>
  <c r="B70" i="17" a="1"/>
  <c r="B70" i="17" s="1"/>
  <c r="B71" i="17" a="1"/>
  <c r="B71" i="17" s="1"/>
  <c r="B72" i="17" a="1"/>
  <c r="B72" i="17" s="1"/>
  <c r="B73" i="17" a="1"/>
  <c r="B73" i="17" s="1"/>
  <c r="B74" i="17" a="1"/>
  <c r="B74" i="17" s="1"/>
  <c r="B75" i="17" a="1"/>
  <c r="B75" i="17" s="1"/>
  <c r="B76" i="17" a="1"/>
  <c r="B76" i="17"/>
  <c r="B77" i="17" a="1"/>
  <c r="B77" i="17" s="1"/>
  <c r="B78" i="17" a="1"/>
  <c r="B78" i="17"/>
  <c r="B79" i="17" a="1"/>
  <c r="B79" i="17" s="1"/>
  <c r="B80" i="17" a="1"/>
  <c r="B80" i="17" s="1"/>
  <c r="B81" i="17" a="1"/>
  <c r="B81" i="17" s="1"/>
  <c r="B82" i="17" a="1"/>
  <c r="B82" i="17"/>
  <c r="B83" i="17" a="1"/>
  <c r="B83" i="17" s="1"/>
  <c r="B84" i="17" a="1"/>
  <c r="B84" i="17" s="1"/>
  <c r="B85" i="17" a="1"/>
  <c r="B85" i="17" s="1"/>
  <c r="B86" i="17" a="1"/>
  <c r="B86" i="17" s="1"/>
  <c r="B87" i="17" a="1"/>
  <c r="B87" i="17" s="1"/>
  <c r="B88" i="17" a="1"/>
  <c r="B88" i="17" s="1"/>
  <c r="B89" i="17" a="1"/>
  <c r="B89" i="17" s="1"/>
  <c r="B90" i="17" a="1"/>
  <c r="B90" i="17" s="1"/>
  <c r="B91" i="17" a="1"/>
  <c r="B91" i="17" s="1"/>
  <c r="B92" i="17" a="1"/>
  <c r="B92" i="17"/>
  <c r="B93" i="17" a="1"/>
  <c r="B93" i="17" s="1"/>
  <c r="B94" i="17" a="1"/>
  <c r="B94" i="17"/>
  <c r="B95" i="17" a="1"/>
  <c r="B95" i="17" s="1"/>
  <c r="B96" i="17" a="1"/>
  <c r="B96" i="17" s="1"/>
  <c r="B97" i="17" a="1"/>
  <c r="B97" i="17" s="1"/>
  <c r="B98" i="17" a="1"/>
  <c r="B98" i="17"/>
  <c r="B99" i="17" a="1"/>
  <c r="B99" i="17" s="1"/>
  <c r="B100" i="17" a="1"/>
  <c r="B100" i="17" s="1"/>
  <c r="B101" i="17" a="1"/>
  <c r="B101" i="17" s="1"/>
  <c r="B102" i="17" a="1"/>
  <c r="B102" i="17" s="1"/>
  <c r="B103" i="17" a="1"/>
  <c r="B103" i="17" s="1"/>
  <c r="B104" i="17" a="1"/>
  <c r="B104" i="17" s="1"/>
  <c r="B105" i="17" a="1"/>
  <c r="B105" i="17" s="1"/>
  <c r="B106" i="17" a="1"/>
  <c r="B106" i="17" s="1"/>
  <c r="B107" i="17" a="1"/>
  <c r="B107" i="17" s="1"/>
  <c r="B108" i="17" a="1"/>
  <c r="B108" i="17"/>
  <c r="B109" i="17" a="1"/>
  <c r="B109" i="17" s="1"/>
  <c r="B110" i="17" a="1"/>
  <c r="B110" i="17"/>
  <c r="B111" i="17" a="1"/>
  <c r="B111" i="17" s="1"/>
  <c r="B112" i="17" a="1"/>
  <c r="B112" i="17" s="1"/>
  <c r="B113" i="17" a="1"/>
  <c r="B113" i="17" s="1"/>
  <c r="B114" i="17" a="1"/>
  <c r="B114" i="17"/>
  <c r="B115" i="17" a="1"/>
  <c r="B115" i="17" s="1"/>
  <c r="B116" i="17" a="1"/>
  <c r="B116" i="17" s="1"/>
  <c r="B117" i="17" a="1"/>
  <c r="B117" i="17" s="1"/>
  <c r="B118" i="17" a="1"/>
  <c r="B118" i="17" s="1"/>
  <c r="B119" i="17" a="1"/>
  <c r="B119" i="17" s="1"/>
  <c r="B120" i="17" a="1"/>
  <c r="B120" i="17" s="1"/>
  <c r="B121" i="17" a="1"/>
  <c r="B121" i="17" s="1"/>
  <c r="B122" i="17" a="1"/>
  <c r="B122" i="17" s="1"/>
  <c r="B123" i="17" a="1"/>
  <c r="B123" i="17" s="1"/>
  <c r="B124" i="17" a="1"/>
  <c r="B124" i="17"/>
  <c r="B125" i="17" a="1"/>
  <c r="B125" i="17" s="1"/>
  <c r="B126" i="17" a="1"/>
  <c r="B126" i="17"/>
  <c r="B127" i="17" a="1"/>
  <c r="B127" i="17" s="1"/>
  <c r="B128" i="17" a="1"/>
  <c r="B128" i="17" s="1"/>
  <c r="B129" i="17" a="1"/>
  <c r="B129" i="17" s="1"/>
  <c r="B130" i="17" a="1"/>
  <c r="B130" i="17"/>
  <c r="B131" i="17" a="1"/>
  <c r="B131" i="17" s="1"/>
  <c r="B132" i="17" a="1"/>
  <c r="B132" i="17" s="1"/>
  <c r="B133" i="17" a="1"/>
  <c r="B133" i="17" s="1"/>
  <c r="B134" i="17" a="1"/>
  <c r="B134" i="17" s="1"/>
  <c r="B135" i="17" a="1"/>
  <c r="B135" i="17" s="1"/>
  <c r="B136" i="17" a="1"/>
  <c r="B136" i="17" s="1"/>
  <c r="B137" i="17" a="1"/>
  <c r="B137" i="17" s="1"/>
  <c r="B138" i="17" a="1"/>
  <c r="B138" i="17" s="1"/>
  <c r="B139" i="17" a="1"/>
  <c r="B139" i="17" s="1"/>
  <c r="B140" i="17" a="1"/>
  <c r="B140" i="17"/>
  <c r="B141" i="17" a="1"/>
  <c r="B141" i="17" s="1"/>
  <c r="B142" i="17" a="1"/>
  <c r="B142" i="17"/>
  <c r="B143" i="17" a="1"/>
  <c r="B143" i="17" s="1"/>
  <c r="B144" i="17" a="1"/>
  <c r="B144" i="17" s="1"/>
  <c r="B145" i="17" a="1"/>
  <c r="B145" i="17" s="1"/>
  <c r="B146" i="17" a="1"/>
  <c r="B146" i="17"/>
  <c r="B147" i="17" a="1"/>
  <c r="B147" i="17" s="1"/>
  <c r="B148" i="17" a="1"/>
  <c r="B148" i="17" s="1"/>
  <c r="B149" i="17" a="1"/>
  <c r="B149" i="17" s="1"/>
  <c r="B150" i="17" a="1"/>
  <c r="B150" i="17" s="1"/>
  <c r="B151" i="17" a="1"/>
  <c r="B151" i="17" s="1"/>
  <c r="B152" i="17" a="1"/>
  <c r="B152" i="17" s="1"/>
  <c r="B153" i="17" a="1"/>
  <c r="B153" i="17" s="1"/>
  <c r="B154" i="17" a="1"/>
  <c r="B154" i="17" s="1"/>
  <c r="B155" i="17" a="1"/>
  <c r="B155" i="17" s="1"/>
  <c r="B156" i="17" a="1"/>
  <c r="B156" i="17"/>
  <c r="B157" i="17" a="1"/>
  <c r="B157" i="17" s="1"/>
  <c r="B158" i="17" a="1"/>
  <c r="B158" i="17"/>
  <c r="B159" i="17" a="1"/>
  <c r="B159" i="17" s="1"/>
  <c r="B160" i="17" a="1"/>
  <c r="B160" i="17" s="1"/>
  <c r="B161" i="17" a="1"/>
  <c r="B161" i="17" s="1"/>
  <c r="B162" i="17" a="1"/>
  <c r="B162" i="17"/>
  <c r="B163" i="17" a="1"/>
  <c r="B163" i="17" s="1"/>
  <c r="B164" i="17" a="1"/>
  <c r="B164" i="17" s="1"/>
  <c r="B165" i="17" a="1"/>
  <c r="B165" i="17" s="1"/>
  <c r="B166" i="17" a="1"/>
  <c r="B166" i="17" s="1"/>
  <c r="B167" i="17" a="1"/>
  <c r="B167" i="17" s="1"/>
  <c r="B168" i="17" a="1"/>
  <c r="B168" i="17" s="1"/>
  <c r="B169" i="17" a="1"/>
  <c r="B169" i="17" s="1"/>
  <c r="B170" i="17" a="1"/>
  <c r="B170" i="17" s="1"/>
  <c r="B171" i="17" a="1"/>
  <c r="B171" i="17" s="1"/>
  <c r="B172" i="17" a="1"/>
  <c r="B172" i="17"/>
  <c r="B173" i="17" a="1"/>
  <c r="B173" i="17" s="1"/>
  <c r="B174" i="17" a="1"/>
  <c r="B174" i="17"/>
  <c r="B175" i="17" a="1"/>
  <c r="B175" i="17" s="1"/>
  <c r="B176" i="17" a="1"/>
  <c r="B176" i="17" s="1"/>
  <c r="B177" i="17" a="1"/>
  <c r="B177" i="17" s="1"/>
  <c r="B178" i="17" a="1"/>
  <c r="B178" i="17"/>
  <c r="B179" i="17" a="1"/>
  <c r="B179" i="17" s="1"/>
  <c r="B180" i="17" a="1"/>
  <c r="B180" i="17" s="1"/>
  <c r="B181" i="17" a="1"/>
  <c r="B181" i="17" s="1"/>
  <c r="B182" i="17" a="1"/>
  <c r="B182" i="17" s="1"/>
  <c r="B183" i="17" a="1"/>
  <c r="B183" i="17" s="1"/>
  <c r="B184" i="17" a="1"/>
  <c r="B184" i="17" s="1"/>
  <c r="B185" i="17" a="1"/>
  <c r="B185" i="17" s="1"/>
  <c r="B186" i="17" a="1"/>
  <c r="B186" i="17" s="1"/>
  <c r="B187" i="17" a="1"/>
  <c r="B187" i="17" s="1"/>
  <c r="B188" i="17" a="1"/>
  <c r="B188" i="17"/>
  <c r="B189" i="17" a="1"/>
  <c r="B189" i="17" s="1"/>
  <c r="B190" i="17" a="1"/>
  <c r="B190" i="17"/>
  <c r="B191" i="17" a="1"/>
  <c r="B191" i="17" s="1"/>
  <c r="B192" i="17" a="1"/>
  <c r="B192" i="17" s="1"/>
  <c r="B193" i="17" a="1"/>
  <c r="B193" i="17" s="1"/>
  <c r="B194" i="17" a="1"/>
  <c r="B194" i="17"/>
  <c r="B195" i="17" a="1"/>
  <c r="B195" i="17" s="1"/>
  <c r="B196" i="17" a="1"/>
  <c r="B196" i="17" s="1"/>
  <c r="B197" i="17" a="1"/>
  <c r="B197" i="17" s="1"/>
  <c r="B198" i="17" a="1"/>
  <c r="B198" i="17" s="1"/>
  <c r="B199" i="17" a="1"/>
  <c r="B199" i="17" s="1"/>
  <c r="B200" i="17" a="1"/>
  <c r="B200" i="17" s="1"/>
  <c r="B201" i="17" a="1"/>
  <c r="B201" i="17" s="1"/>
  <c r="B202" i="17" a="1"/>
  <c r="B202" i="17" s="1"/>
  <c r="B203" i="17" a="1"/>
  <c r="B203" i="17" s="1"/>
  <c r="B204" i="17" a="1"/>
  <c r="B204" i="17"/>
  <c r="B205" i="17" a="1"/>
  <c r="B205" i="17" s="1"/>
  <c r="B206" i="17" a="1"/>
  <c r="B206" i="17"/>
  <c r="B207" i="17" a="1"/>
  <c r="B207" i="17" s="1"/>
  <c r="B208" i="17" a="1"/>
  <c r="B208" i="17" s="1"/>
  <c r="B209" i="17" a="1"/>
  <c r="B209" i="17" s="1"/>
  <c r="B210" i="17" a="1"/>
  <c r="B210" i="17"/>
  <c r="B211" i="17" a="1"/>
  <c r="B211" i="17" s="1"/>
  <c r="B212" i="17" a="1"/>
  <c r="B212" i="17" s="1"/>
  <c r="B213" i="17" a="1"/>
  <c r="B213" i="17" s="1"/>
  <c r="B214" i="17" a="1"/>
  <c r="B214" i="17" s="1"/>
  <c r="B215" i="17" a="1"/>
  <c r="B215" i="17" s="1"/>
  <c r="B216" i="17" a="1"/>
  <c r="B216" i="17" s="1"/>
  <c r="B217" i="17" a="1"/>
  <c r="B217" i="17" s="1"/>
  <c r="B218" i="17" a="1"/>
  <c r="B218" i="17" s="1"/>
  <c r="B219" i="17" a="1"/>
  <c r="B219" i="17" s="1"/>
  <c r="B220" i="17" a="1"/>
  <c r="B220" i="17"/>
  <c r="B221" i="17" a="1"/>
  <c r="B221" i="17" s="1"/>
  <c r="B222" i="17" a="1"/>
  <c r="B222" i="17"/>
  <c r="B223" i="17" a="1"/>
  <c r="B223" i="17" s="1"/>
  <c r="B224" i="17" a="1"/>
  <c r="B224" i="17" s="1"/>
  <c r="B225" i="17" a="1"/>
  <c r="B225" i="17" s="1"/>
  <c r="B226" i="17" a="1"/>
  <c r="B226" i="17"/>
  <c r="B227" i="17" a="1"/>
  <c r="B227" i="17" s="1"/>
  <c r="B228" i="17" a="1"/>
  <c r="B228" i="17" s="1"/>
  <c r="B229" i="17" a="1"/>
  <c r="B229" i="17" s="1"/>
  <c r="B230" i="17" a="1"/>
  <c r="B230" i="17" s="1"/>
  <c r="B231" i="17" a="1"/>
  <c r="B231" i="17" s="1"/>
  <c r="B232" i="17" a="1"/>
  <c r="B232" i="17" s="1"/>
  <c r="B233" i="17" a="1"/>
  <c r="B233" i="17" s="1"/>
  <c r="B234" i="17" a="1"/>
  <c r="B234" i="17" s="1"/>
  <c r="B235" i="17" a="1"/>
  <c r="B235" i="17" s="1"/>
  <c r="B236" i="17" a="1"/>
  <c r="B236" i="17"/>
  <c r="B237" i="17" a="1"/>
  <c r="B237" i="17" s="1"/>
  <c r="B238" i="17" a="1"/>
  <c r="B238" i="17"/>
  <c r="B239" i="17" a="1"/>
  <c r="B239" i="17" s="1"/>
  <c r="B240" i="17" a="1"/>
  <c r="B240" i="17" s="1"/>
  <c r="B241" i="17" a="1"/>
  <c r="B241" i="17" s="1"/>
  <c r="B242" i="17" a="1"/>
  <c r="B242" i="17"/>
  <c r="B243" i="17" a="1"/>
  <c r="B243" i="17" s="1"/>
  <c r="B244" i="17" a="1"/>
  <c r="B244" i="17"/>
  <c r="B245" i="17" a="1"/>
  <c r="B245" i="17" s="1"/>
  <c r="B246" i="17" a="1"/>
  <c r="B246" i="17" s="1"/>
  <c r="B247" i="17" a="1"/>
  <c r="B247" i="17" s="1"/>
  <c r="B248" i="17" a="1"/>
  <c r="B248" i="17" s="1"/>
  <c r="B249" i="17" a="1"/>
  <c r="B249" i="17" s="1"/>
  <c r="B250" i="17" a="1"/>
  <c r="B250" i="17" s="1"/>
  <c r="B251" i="17" a="1"/>
  <c r="B251" i="17" s="1"/>
  <c r="B252" i="17" a="1"/>
  <c r="B252" i="17"/>
  <c r="B253" i="17" a="1"/>
  <c r="B253" i="17" s="1"/>
  <c r="B254" i="17" a="1"/>
  <c r="B254" i="17"/>
  <c r="B255" i="17" a="1"/>
  <c r="B255" i="17" s="1"/>
  <c r="B256" i="17" a="1"/>
  <c r="B256" i="17" s="1"/>
  <c r="B257" i="17" a="1"/>
  <c r="B257" i="17" s="1"/>
  <c r="B258" i="17" a="1"/>
  <c r="B258" i="17"/>
  <c r="B259" i="17" a="1"/>
  <c r="B259" i="17" s="1"/>
  <c r="B260" i="17" a="1"/>
  <c r="B260" i="17"/>
  <c r="B261" i="17" a="1"/>
  <c r="B261" i="17" s="1"/>
  <c r="B262" i="17" a="1"/>
  <c r="B262" i="17" s="1"/>
  <c r="B263" i="17" a="1"/>
  <c r="B263" i="17" s="1"/>
  <c r="B264" i="17" a="1"/>
  <c r="B264" i="17" s="1"/>
  <c r="B265" i="17" a="1"/>
  <c r="B265" i="17" s="1"/>
  <c r="B266" i="17" a="1"/>
  <c r="B266" i="17" s="1"/>
  <c r="B267" i="17" a="1"/>
  <c r="B267" i="17" s="1"/>
  <c r="B268" i="17" a="1"/>
  <c r="B268" i="17"/>
  <c r="B269" i="17" a="1"/>
  <c r="B269" i="17" s="1"/>
  <c r="B270" i="17" a="1"/>
  <c r="B270" i="17"/>
  <c r="B271" i="17" a="1"/>
  <c r="B271" i="17" s="1"/>
  <c r="B272" i="17" a="1"/>
  <c r="B272" i="17" s="1"/>
  <c r="B273" i="17" a="1"/>
  <c r="B273" i="17" s="1"/>
  <c r="B274" i="17" a="1"/>
  <c r="B274" i="17"/>
  <c r="B275" i="17" a="1"/>
  <c r="B275" i="17" s="1"/>
  <c r="B276" i="17" a="1"/>
  <c r="B276" i="17"/>
  <c r="B277" i="17" a="1"/>
  <c r="B277" i="17" s="1"/>
  <c r="B278" i="17" a="1"/>
  <c r="B278" i="17" s="1"/>
  <c r="B279" i="17" a="1"/>
  <c r="B279" i="17" s="1"/>
  <c r="B280" i="17" a="1"/>
  <c r="B280" i="17" s="1"/>
  <c r="B281" i="17" a="1"/>
  <c r="B281" i="17" s="1"/>
  <c r="B282" i="17" a="1"/>
  <c r="B282" i="17" s="1"/>
  <c r="B283" i="17" a="1"/>
  <c r="B283" i="17" s="1"/>
  <c r="B284" i="17" a="1"/>
  <c r="B284" i="17"/>
  <c r="B285" i="17" a="1"/>
  <c r="B285" i="17" s="1"/>
  <c r="B286" i="17" a="1"/>
  <c r="B286" i="17"/>
  <c r="B287" i="17" a="1"/>
  <c r="B287" i="17" s="1"/>
  <c r="B288" i="17" a="1"/>
  <c r="B288" i="17" s="1"/>
  <c r="B289" i="17" a="1"/>
  <c r="B289" i="17" s="1"/>
  <c r="B290" i="17" a="1"/>
  <c r="B290" i="17"/>
  <c r="B291" i="17" a="1"/>
  <c r="B291" i="17" s="1"/>
  <c r="B292" i="17" a="1"/>
  <c r="B292" i="17" s="1"/>
  <c r="B293" i="17" a="1"/>
  <c r="B293" i="17" s="1"/>
  <c r="B294" i="17" a="1"/>
  <c r="B294" i="17" s="1"/>
  <c r="B295" i="17" a="1"/>
  <c r="B295" i="17" s="1"/>
  <c r="B296" i="17" a="1"/>
  <c r="B296" i="17"/>
  <c r="B297" i="17" a="1"/>
  <c r="B297" i="17" s="1"/>
  <c r="B298" i="17" a="1"/>
  <c r="B298" i="17" s="1"/>
  <c r="B299" i="17" a="1"/>
  <c r="B299" i="17" s="1"/>
  <c r="B300" i="17" a="1"/>
  <c r="B300" i="17"/>
  <c r="B301" i="17" a="1"/>
  <c r="B301" i="17" s="1"/>
  <c r="B302" i="17" a="1"/>
  <c r="B302" i="17" s="1"/>
  <c r="B303" i="17" a="1"/>
  <c r="B303" i="17" s="1"/>
  <c r="B304" i="17" a="1"/>
  <c r="B304" i="17" s="1"/>
  <c r="B305" i="17" a="1"/>
  <c r="B305" i="17" s="1"/>
  <c r="B306" i="17" a="1"/>
  <c r="B306" i="17"/>
  <c r="B307" i="17" a="1"/>
  <c r="B307" i="17" s="1"/>
  <c r="B308" i="17" a="1"/>
  <c r="B308" i="17" s="1"/>
  <c r="B309" i="17" a="1"/>
  <c r="B309" i="17" s="1"/>
  <c r="B310" i="17" a="1"/>
  <c r="B310" i="17" s="1"/>
  <c r="B311" i="17" a="1"/>
  <c r="B311" i="17" s="1"/>
  <c r="B312" i="17" a="1"/>
  <c r="B312" i="17"/>
  <c r="B313" i="17" a="1"/>
  <c r="B313" i="17" s="1"/>
  <c r="B314" i="17" a="1"/>
  <c r="B314" i="17" s="1"/>
  <c r="B315" i="17" a="1"/>
  <c r="B315" i="17" s="1"/>
  <c r="B316" i="17" a="1"/>
  <c r="B316" i="17"/>
  <c r="B317" i="17" a="1"/>
  <c r="B317" i="17" s="1"/>
  <c r="B318" i="17" a="1"/>
  <c r="B318" i="17" s="1"/>
  <c r="B319" i="17" a="1"/>
  <c r="B319" i="17" s="1"/>
  <c r="B320" i="17" a="1"/>
  <c r="B320" i="17" s="1"/>
  <c r="B321" i="17" a="1"/>
  <c r="B321" i="17" s="1"/>
  <c r="B322" i="17" a="1"/>
  <c r="B322" i="17"/>
  <c r="B323" i="17" a="1"/>
  <c r="B323" i="17" s="1"/>
  <c r="B324" i="17" a="1"/>
  <c r="B324" i="17" s="1"/>
  <c r="B325" i="17" a="1"/>
  <c r="B325" i="17" s="1"/>
  <c r="B326" i="17" a="1"/>
  <c r="B326" i="17" s="1"/>
  <c r="B327" i="17" a="1"/>
  <c r="B327" i="17" s="1"/>
  <c r="B328" i="17" a="1"/>
  <c r="B328" i="17"/>
  <c r="B329" i="17" a="1"/>
  <c r="B329" i="17" s="1"/>
  <c r="B330" i="17" a="1"/>
  <c r="B330" i="17" s="1"/>
  <c r="B331" i="17" a="1"/>
  <c r="B331" i="17" s="1"/>
  <c r="B332" i="17" a="1"/>
  <c r="B332" i="17"/>
  <c r="B333" i="17" a="1"/>
  <c r="B333" i="17" s="1"/>
  <c r="B334" i="17" a="1"/>
  <c r="B334" i="17" s="1"/>
  <c r="B335" i="17" a="1"/>
  <c r="B335" i="17" s="1"/>
  <c r="B336" i="17" a="1"/>
  <c r="B336" i="17" s="1"/>
  <c r="B337" i="17" a="1"/>
  <c r="B337" i="17" s="1"/>
  <c r="B338" i="17" a="1"/>
  <c r="B338" i="17"/>
  <c r="B339" i="17" a="1"/>
  <c r="B339" i="17" s="1"/>
  <c r="B340" i="17" a="1"/>
  <c r="B340" i="17" s="1"/>
  <c r="B341" i="17" a="1"/>
  <c r="B341" i="17" s="1"/>
  <c r="B342" i="17" a="1"/>
  <c r="B342" i="17"/>
  <c r="B343" i="17" a="1"/>
  <c r="B343" i="17"/>
  <c r="B344" i="17" a="1"/>
  <c r="B344" i="17"/>
  <c r="B345" i="17" a="1"/>
  <c r="B345" i="17" s="1"/>
  <c r="B346" i="17" a="1"/>
  <c r="B346" i="17"/>
  <c r="B347" i="17" a="1"/>
  <c r="B347" i="17"/>
  <c r="B348" i="17" a="1"/>
  <c r="B348" i="17" s="1"/>
  <c r="B349" i="17" a="1"/>
  <c r="B349" i="17" s="1"/>
  <c r="B350" i="17" a="1"/>
  <c r="B350" i="17"/>
  <c r="B351" i="17" a="1"/>
  <c r="B351" i="17"/>
  <c r="B352" i="17" a="1"/>
  <c r="B352" i="17" s="1"/>
  <c r="B353" i="17" a="1"/>
  <c r="B353" i="17" s="1"/>
  <c r="B354" i="17" a="1"/>
  <c r="B354" i="17"/>
  <c r="B355" i="17" a="1"/>
  <c r="B355" i="17"/>
  <c r="B356" i="17" a="1"/>
  <c r="B356" i="17" s="1"/>
  <c r="B357" i="17" a="1"/>
  <c r="B357" i="17" s="1"/>
  <c r="B358" i="17" a="1"/>
  <c r="B358" i="17"/>
  <c r="B359" i="17" a="1"/>
  <c r="B359" i="17"/>
  <c r="B360" i="17" a="1"/>
  <c r="B360" i="17" s="1"/>
  <c r="B361" i="17" a="1"/>
  <c r="B361" i="17" s="1"/>
  <c r="B362" i="17" a="1"/>
  <c r="B362" i="17"/>
  <c r="B363" i="17" a="1"/>
  <c r="B363" i="17"/>
  <c r="B364" i="17" a="1"/>
  <c r="B364" i="17" s="1"/>
  <c r="B365" i="17" a="1"/>
  <c r="B365" i="17" s="1"/>
  <c r="B366" i="17" a="1"/>
  <c r="B366" i="17"/>
  <c r="B367" i="17" a="1"/>
  <c r="B367" i="17"/>
  <c r="B368" i="17" a="1"/>
  <c r="B368" i="17" s="1"/>
  <c r="B369" i="17" a="1"/>
  <c r="B369" i="17" s="1"/>
  <c r="B370" i="17" a="1"/>
  <c r="B370" i="17"/>
  <c r="B371" i="17" a="1"/>
  <c r="B371" i="17"/>
  <c r="B372" i="17" a="1"/>
  <c r="B372" i="17" s="1"/>
  <c r="B373" i="17" a="1"/>
  <c r="B373" i="17" s="1"/>
  <c r="B374" i="17" a="1"/>
  <c r="B374" i="17"/>
  <c r="B375" i="17" a="1"/>
  <c r="B375" i="17"/>
  <c r="B376" i="17" a="1"/>
  <c r="B376" i="17" s="1"/>
  <c r="B377" i="17" a="1"/>
  <c r="B377" i="17" s="1"/>
  <c r="B378" i="17" a="1"/>
  <c r="B378" i="17"/>
  <c r="B379" i="17" a="1"/>
  <c r="B379" i="17"/>
  <c r="B380" i="17" a="1"/>
  <c r="B380" i="17" s="1"/>
  <c r="B381" i="17" a="1"/>
  <c r="B381" i="17" s="1"/>
  <c r="B382" i="17" a="1"/>
  <c r="B382" i="17"/>
  <c r="B383" i="17" a="1"/>
  <c r="B383" i="17"/>
  <c r="B384" i="17" a="1"/>
  <c r="B384" i="17" s="1"/>
  <c r="B385" i="17" a="1"/>
  <c r="B385" i="17" s="1"/>
  <c r="B386" i="17" a="1"/>
  <c r="B386" i="17"/>
  <c r="B387" i="17" a="1"/>
  <c r="B387" i="17"/>
  <c r="B388" i="17" a="1"/>
  <c r="B388" i="17" s="1"/>
  <c r="B389" i="17" a="1"/>
  <c r="B389" i="17" s="1"/>
  <c r="B390" i="17" a="1"/>
  <c r="B390" i="17"/>
  <c r="B391" i="17" a="1"/>
  <c r="B391" i="17"/>
  <c r="B392" i="17" a="1"/>
  <c r="B392" i="17" s="1"/>
  <c r="B393" i="17" a="1"/>
  <c r="B393" i="17" s="1"/>
  <c r="B394" i="17" a="1"/>
  <c r="B394" i="17"/>
  <c r="B395" i="17" a="1"/>
  <c r="B395" i="17"/>
  <c r="B396" i="17" a="1"/>
  <c r="B396" i="17" s="1"/>
  <c r="B397" i="17" a="1"/>
  <c r="B397" i="17" s="1"/>
  <c r="B398" i="17" a="1"/>
  <c r="B398" i="17"/>
  <c r="B399" i="17" a="1"/>
  <c r="B399" i="17"/>
  <c r="B400" i="17" a="1"/>
  <c r="B400" i="17" s="1"/>
  <c r="B401" i="17" a="1"/>
  <c r="B401" i="17" s="1"/>
  <c r="B402" i="17" a="1"/>
  <c r="B402" i="17"/>
  <c r="B403" i="17" a="1"/>
  <c r="B403" i="17"/>
  <c r="B404" i="17" a="1"/>
  <c r="B404" i="17" s="1"/>
  <c r="B405" i="17" a="1"/>
  <c r="B405" i="17" s="1"/>
  <c r="B406" i="17" a="1"/>
  <c r="B406" i="17"/>
  <c r="B407" i="17" a="1"/>
  <c r="B407" i="17"/>
  <c r="B408" i="17" a="1"/>
  <c r="B408" i="17" s="1"/>
  <c r="B409" i="17" a="1"/>
  <c r="B409" i="17" s="1"/>
  <c r="B410" i="17" a="1"/>
  <c r="B410" i="17"/>
  <c r="B411" i="17" a="1"/>
  <c r="B411" i="17"/>
  <c r="B412" i="17" a="1"/>
  <c r="B412" i="17" s="1"/>
  <c r="B413" i="17" a="1"/>
  <c r="B413" i="17" s="1"/>
  <c r="B414" i="17" a="1"/>
  <c r="B414" i="17"/>
  <c r="B415" i="17" a="1"/>
  <c r="B415" i="17"/>
  <c r="B416" i="17" a="1"/>
  <c r="B416" i="17" s="1"/>
  <c r="B417" i="17" a="1"/>
  <c r="B417" i="17" s="1"/>
  <c r="B418" i="17" a="1"/>
  <c r="B418" i="17"/>
  <c r="B419" i="17" a="1"/>
  <c r="B419" i="17"/>
  <c r="B420" i="17" a="1"/>
  <c r="B420" i="17" s="1"/>
  <c r="B421" i="17" a="1"/>
  <c r="B421" i="17" s="1"/>
  <c r="B422" i="17" a="1"/>
  <c r="B422" i="17"/>
  <c r="B423" i="17" a="1"/>
  <c r="B423" i="17"/>
  <c r="B424" i="17" a="1"/>
  <c r="B424" i="17" s="1"/>
  <c r="B425" i="17" a="1"/>
  <c r="B425" i="17" s="1"/>
  <c r="B426" i="17" a="1"/>
  <c r="B426" i="17"/>
  <c r="B427" i="17" a="1"/>
  <c r="B427" i="17"/>
  <c r="B428" i="17" a="1"/>
  <c r="B428" i="17" s="1"/>
  <c r="B429" i="17" a="1"/>
  <c r="B429" i="17" s="1"/>
  <c r="B430" i="17" a="1"/>
  <c r="B430" i="17"/>
  <c r="B431" i="17" a="1"/>
  <c r="B431" i="17"/>
  <c r="B432" i="17" a="1"/>
  <c r="B432" i="17" s="1"/>
  <c r="B433" i="17" a="1"/>
  <c r="B433" i="17" s="1"/>
  <c r="B434" i="17" a="1"/>
  <c r="B434" i="17"/>
  <c r="B435" i="17" a="1"/>
  <c r="B435" i="17"/>
  <c r="B436" i="17" a="1"/>
  <c r="B436" i="17" s="1"/>
  <c r="B437" i="17" a="1"/>
  <c r="B437" i="17" s="1"/>
  <c r="B438" i="17" a="1"/>
  <c r="B438" i="17"/>
  <c r="B439" i="17" a="1"/>
  <c r="B439" i="17"/>
  <c r="B440" i="17" a="1"/>
  <c r="B440" i="17" s="1"/>
  <c r="B441" i="17" a="1"/>
  <c r="B441" i="17" s="1"/>
  <c r="B442" i="17" a="1"/>
  <c r="B442" i="17"/>
  <c r="B443" i="17" a="1"/>
  <c r="B443" i="17"/>
  <c r="B444" i="17" a="1"/>
  <c r="B444" i="17" s="1"/>
  <c r="B445" i="17" a="1"/>
  <c r="B445" i="17" s="1"/>
  <c r="B446" i="17" a="1"/>
  <c r="B446" i="17"/>
  <c r="B447" i="17" a="1"/>
  <c r="B447" i="17"/>
  <c r="B448" i="17" a="1"/>
  <c r="B448" i="17" s="1"/>
  <c r="B449" i="17" a="1"/>
  <c r="B449" i="17" s="1"/>
  <c r="B450" i="17" a="1"/>
  <c r="B450" i="17"/>
  <c r="B451" i="17" a="1"/>
  <c r="B451" i="17"/>
  <c r="B452" i="17" a="1"/>
  <c r="B452" i="17" s="1"/>
  <c r="B453" i="17" a="1"/>
  <c r="B453" i="17" s="1"/>
  <c r="B454" i="17" a="1"/>
  <c r="B454" i="17"/>
  <c r="B455" i="17" a="1"/>
  <c r="B455" i="17"/>
  <c r="B456" i="17" a="1"/>
  <c r="B456" i="17" s="1"/>
  <c r="B457" i="17" a="1"/>
  <c r="B457" i="17" s="1"/>
  <c r="B458" i="17" a="1"/>
  <c r="B458" i="17"/>
  <c r="B459" i="17" a="1"/>
  <c r="B459" i="17"/>
  <c r="B460" i="17" a="1"/>
  <c r="B460" i="17" s="1"/>
  <c r="B461" i="17" a="1"/>
  <c r="B461" i="17" s="1"/>
  <c r="B462" i="17" a="1"/>
  <c r="B462" i="17"/>
  <c r="B463" i="17" a="1"/>
  <c r="B463" i="17"/>
  <c r="B464" i="17" a="1"/>
  <c r="B464" i="17" s="1"/>
  <c r="B465" i="17" a="1"/>
  <c r="B465" i="17" s="1"/>
  <c r="B466" i="17" a="1"/>
  <c r="B466" i="17"/>
  <c r="B467" i="17" a="1"/>
  <c r="B467" i="17"/>
  <c r="B468" i="17" a="1"/>
  <c r="B468" i="17" s="1"/>
  <c r="B469" i="17" a="1"/>
  <c r="B469" i="17" s="1"/>
  <c r="B470" i="17" a="1"/>
  <c r="B470" i="17"/>
  <c r="B471" i="17" a="1"/>
  <c r="B471" i="17"/>
  <c r="B472" i="17" a="1"/>
  <c r="B472" i="17" s="1"/>
  <c r="B473" i="17" a="1"/>
  <c r="B473" i="17" s="1"/>
  <c r="B474" i="17" a="1"/>
  <c r="B474" i="17"/>
  <c r="B475" i="17" a="1"/>
  <c r="B475" i="17"/>
  <c r="B476" i="17" a="1"/>
  <c r="B476" i="17" s="1"/>
  <c r="B477" i="17" a="1"/>
  <c r="B477" i="17" s="1"/>
  <c r="B478" i="17" a="1"/>
  <c r="B478" i="17"/>
  <c r="B479" i="17" a="1"/>
  <c r="B479" i="17"/>
  <c r="B480" i="17" a="1"/>
  <c r="B480" i="17" s="1"/>
  <c r="B481" i="17" a="1"/>
  <c r="B481" i="17" s="1"/>
  <c r="B482" i="17" a="1"/>
  <c r="B482" i="17"/>
  <c r="B483" i="17" a="1"/>
  <c r="B483" i="17"/>
  <c r="B484" i="17" a="1"/>
  <c r="B484" i="17" s="1"/>
  <c r="B485" i="17" a="1"/>
  <c r="B485" i="17" s="1"/>
  <c r="B486" i="17" a="1"/>
  <c r="B486" i="17"/>
  <c r="B487" i="17" a="1"/>
  <c r="B487" i="17"/>
  <c r="B488" i="17" a="1"/>
  <c r="B488" i="17" s="1"/>
  <c r="B489" i="17" a="1"/>
  <c r="B489" i="17" s="1"/>
  <c r="B490" i="17" a="1"/>
  <c r="B490" i="17"/>
  <c r="B491" i="17" a="1"/>
  <c r="B491" i="17"/>
  <c r="B492" i="17" a="1"/>
  <c r="B492" i="17" s="1"/>
  <c r="B493" i="17" a="1"/>
  <c r="B493" i="17" s="1"/>
  <c r="B494" i="17" a="1"/>
  <c r="B494" i="17"/>
  <c r="B495" i="17" a="1"/>
  <c r="B495" i="17"/>
  <c r="B496" i="17" a="1"/>
  <c r="B496" i="17" s="1"/>
  <c r="B497" i="17" a="1"/>
  <c r="B497" i="17" s="1"/>
  <c r="B498" i="17" a="1"/>
  <c r="B498" i="17"/>
  <c r="B499" i="17" a="1"/>
  <c r="B499" i="17"/>
  <c r="B500" i="17" a="1"/>
  <c r="B500" i="17" s="1"/>
  <c r="B501" i="17" a="1"/>
  <c r="B501" i="17" s="1"/>
  <c r="B502" i="17" a="1"/>
  <c r="B502" i="17"/>
  <c r="B503" i="17" a="1"/>
  <c r="B503" i="17"/>
  <c r="B504" i="17" a="1"/>
  <c r="B504" i="17" s="1"/>
  <c r="B505" i="17" a="1"/>
  <c r="B505" i="17" s="1"/>
  <c r="B506" i="17" a="1"/>
  <c r="B506" i="17"/>
  <c r="B507" i="17" a="1"/>
  <c r="B507" i="17"/>
  <c r="B508" i="17" a="1"/>
  <c r="B508" i="17" s="1"/>
  <c r="B509" i="17" a="1"/>
  <c r="B509" i="17" s="1"/>
  <c r="B510" i="17" a="1"/>
  <c r="B510" i="17"/>
  <c r="B511" i="17" a="1"/>
  <c r="B511" i="17"/>
  <c r="B512" i="17" a="1"/>
  <c r="B512" i="17" s="1"/>
  <c r="B3" i="17" l="1" a="1"/>
  <c r="B3" i="17" s="1"/>
  <c r="AL3" i="17" a="1"/>
  <c r="AL3" i="17" s="1"/>
  <c r="AF22" i="17" a="1"/>
  <c r="AF22" i="17" s="1"/>
  <c r="E3" i="17" l="1"/>
  <c r="G10" i="23"/>
  <c r="G14" i="23"/>
  <c r="D85" i="9" l="1"/>
  <c r="R5" i="23" l="1"/>
  <c r="S5" i="23" s="1"/>
  <c r="U5" i="23" s="1"/>
  <c r="R8" i="23"/>
  <c r="S8" i="23" s="1"/>
  <c r="R10" i="23"/>
  <c r="S10" i="23" s="1"/>
  <c r="R12" i="23"/>
  <c r="S12" i="23" s="1"/>
  <c r="R15" i="23"/>
  <c r="T15" i="23" s="1"/>
  <c r="R17" i="23"/>
  <c r="S17" i="23" s="1"/>
  <c r="R20" i="23"/>
  <c r="S20" i="23" s="1"/>
  <c r="T7" i="4"/>
  <c r="T8" i="4"/>
  <c r="T9" i="4"/>
  <c r="T10" i="4"/>
  <c r="T11" i="4"/>
  <c r="T12" i="4"/>
  <c r="T13" i="4"/>
  <c r="T14" i="4"/>
  <c r="T15" i="4"/>
  <c r="T16" i="4"/>
  <c r="T17" i="4"/>
  <c r="T18" i="4"/>
  <c r="T19" i="4"/>
  <c r="T20" i="4"/>
  <c r="T21" i="4"/>
  <c r="T6" i="4"/>
  <c r="T5" i="4"/>
  <c r="T20" i="23" l="1"/>
  <c r="V20" i="23" s="1"/>
  <c r="T12" i="23"/>
  <c r="V12" i="23" s="1"/>
  <c r="T5" i="23"/>
  <c r="V5" i="23" s="1"/>
  <c r="S15" i="23"/>
  <c r="U15" i="23" s="1"/>
  <c r="U20" i="23"/>
  <c r="Z20" i="23"/>
  <c r="U10" i="23"/>
  <c r="Z10" i="23"/>
  <c r="U17" i="23"/>
  <c r="Z17" i="23"/>
  <c r="V15" i="23"/>
  <c r="AA15" i="23"/>
  <c r="U8" i="23"/>
  <c r="Z8" i="23"/>
  <c r="U12" i="23"/>
  <c r="Z12" i="23"/>
  <c r="T10" i="23"/>
  <c r="T17" i="23"/>
  <c r="Z5" i="23"/>
  <c r="T8" i="23"/>
  <c r="Q4" i="25"/>
  <c r="P4" i="25" s="1"/>
  <c r="Q5" i="25"/>
  <c r="P5" i="25" s="1"/>
  <c r="Q6" i="25"/>
  <c r="P6" i="25" s="1"/>
  <c r="Q7" i="25"/>
  <c r="P7" i="25" s="1"/>
  <c r="Q8" i="25"/>
  <c r="P8" i="25" s="1"/>
  <c r="Q9" i="25"/>
  <c r="P9" i="25" s="1"/>
  <c r="Q10" i="25"/>
  <c r="Q11" i="25"/>
  <c r="Q12" i="25"/>
  <c r="P12" i="25" s="1"/>
  <c r="Q13" i="25"/>
  <c r="P13" i="25" s="1"/>
  <c r="Q14" i="25"/>
  <c r="P14" i="25" s="1"/>
  <c r="Q15" i="25"/>
  <c r="P15" i="25" s="1"/>
  <c r="Q16" i="25"/>
  <c r="P16" i="25" s="1"/>
  <c r="Q17" i="25"/>
  <c r="P17" i="25" s="1"/>
  <c r="Q18" i="25"/>
  <c r="Q19" i="25"/>
  <c r="Q20" i="25"/>
  <c r="P20" i="25" s="1"/>
  <c r="Q21" i="25"/>
  <c r="P21" i="25" s="1"/>
  <c r="Q22" i="25"/>
  <c r="P22" i="25" s="1"/>
  <c r="Q23" i="25"/>
  <c r="P23" i="25" s="1"/>
  <c r="Q24" i="25"/>
  <c r="P24" i="25" s="1"/>
  <c r="Q25" i="25"/>
  <c r="P25" i="25" s="1"/>
  <c r="Q26" i="25"/>
  <c r="Q27" i="25"/>
  <c r="Q28" i="25"/>
  <c r="P28" i="25" s="1"/>
  <c r="Q29" i="25"/>
  <c r="P29" i="25" s="1"/>
  <c r="Q30" i="25"/>
  <c r="P30" i="25" s="1"/>
  <c r="Q31" i="25"/>
  <c r="P31" i="25" s="1"/>
  <c r="Q32" i="25"/>
  <c r="P32" i="25" s="1"/>
  <c r="Q33" i="25"/>
  <c r="P33" i="25" s="1"/>
  <c r="Q34" i="25"/>
  <c r="Q35" i="25"/>
  <c r="Q36" i="25"/>
  <c r="P36" i="25" s="1"/>
  <c r="Q37" i="25"/>
  <c r="P37" i="25" s="1"/>
  <c r="Q38" i="25"/>
  <c r="P38" i="25" s="1"/>
  <c r="Q39" i="25"/>
  <c r="P39" i="25" s="1"/>
  <c r="Q40" i="25"/>
  <c r="P40" i="25" s="1"/>
  <c r="Q41" i="25"/>
  <c r="P41" i="25" s="1"/>
  <c r="Q42" i="25"/>
  <c r="Q43" i="25"/>
  <c r="Q44" i="25"/>
  <c r="P44" i="25" s="1"/>
  <c r="Q45" i="25"/>
  <c r="P45" i="25" s="1"/>
  <c r="Q46" i="25"/>
  <c r="Q47" i="25"/>
  <c r="P47" i="25" s="1"/>
  <c r="Q48" i="25"/>
  <c r="P48" i="25" s="1"/>
  <c r="Q49" i="25"/>
  <c r="P49" i="25" s="1"/>
  <c r="Q50" i="25"/>
  <c r="Q51" i="25"/>
  <c r="Q52" i="25"/>
  <c r="P52" i="25" s="1"/>
  <c r="Q53" i="25"/>
  <c r="P53" i="25" s="1"/>
  <c r="Q54" i="25"/>
  <c r="P54" i="25" s="1"/>
  <c r="Q55" i="25"/>
  <c r="P55" i="25" s="1"/>
  <c r="Q56" i="25"/>
  <c r="P56" i="25" s="1"/>
  <c r="Q57" i="25"/>
  <c r="P57" i="25" s="1"/>
  <c r="Q58" i="25"/>
  <c r="Q59" i="25"/>
  <c r="Q60" i="25"/>
  <c r="P60" i="25" s="1"/>
  <c r="Q61" i="25"/>
  <c r="P61" i="25" s="1"/>
  <c r="Q62" i="25"/>
  <c r="Q63" i="25"/>
  <c r="P63" i="25" s="1"/>
  <c r="Q64" i="25"/>
  <c r="P64" i="25" s="1"/>
  <c r="Q65" i="25"/>
  <c r="P65" i="25" s="1"/>
  <c r="Q66" i="25"/>
  <c r="Q67" i="25"/>
  <c r="Q68" i="25"/>
  <c r="P68" i="25" s="1"/>
  <c r="Q69" i="25"/>
  <c r="P69" i="25" s="1"/>
  <c r="Q70" i="25"/>
  <c r="P70" i="25" s="1"/>
  <c r="Q71" i="25"/>
  <c r="P71" i="25" s="1"/>
  <c r="Q72" i="25"/>
  <c r="P72" i="25" s="1"/>
  <c r="Q73" i="25"/>
  <c r="P73" i="25" s="1"/>
  <c r="Q74" i="25"/>
  <c r="Q75" i="25"/>
  <c r="Q76" i="25"/>
  <c r="P76" i="25" s="1"/>
  <c r="Q77" i="25"/>
  <c r="P77" i="25" s="1"/>
  <c r="Q78" i="25"/>
  <c r="Q79" i="25"/>
  <c r="P79" i="25" s="1"/>
  <c r="Q80" i="25"/>
  <c r="P80" i="25" s="1"/>
  <c r="Q81" i="25"/>
  <c r="P81" i="25" s="1"/>
  <c r="Q82" i="25"/>
  <c r="Q83" i="25"/>
  <c r="Q84" i="25"/>
  <c r="P84" i="25" s="1"/>
  <c r="Q85" i="25"/>
  <c r="P85" i="25" s="1"/>
  <c r="Q86" i="25"/>
  <c r="P86" i="25" s="1"/>
  <c r="Q87" i="25"/>
  <c r="P87" i="25" s="1"/>
  <c r="Q88" i="25"/>
  <c r="P88" i="25" s="1"/>
  <c r="Q89" i="25"/>
  <c r="P89" i="25" s="1"/>
  <c r="Q90" i="25"/>
  <c r="Q91" i="25"/>
  <c r="Q92" i="25"/>
  <c r="P92" i="25" s="1"/>
  <c r="Q93" i="25"/>
  <c r="P93" i="25" s="1"/>
  <c r="Q94" i="25"/>
  <c r="Q95" i="25"/>
  <c r="P95" i="25" s="1"/>
  <c r="Q96" i="25"/>
  <c r="P96" i="25" s="1"/>
  <c r="Q97" i="25"/>
  <c r="P97" i="25" s="1"/>
  <c r="Q98" i="25"/>
  <c r="Q99" i="25"/>
  <c r="P99" i="25" s="1"/>
  <c r="Q100" i="25"/>
  <c r="P100" i="25" s="1"/>
  <c r="Q101" i="25"/>
  <c r="P101" i="25" s="1"/>
  <c r="Q102" i="25"/>
  <c r="Q103" i="25"/>
  <c r="P103" i="25" s="1"/>
  <c r="Q104" i="25"/>
  <c r="P104" i="25" s="1"/>
  <c r="Q105" i="25"/>
  <c r="P105" i="25" s="1"/>
  <c r="Q106" i="25"/>
  <c r="Q107" i="25"/>
  <c r="P107" i="25" s="1"/>
  <c r="Q108" i="25"/>
  <c r="P108" i="25" s="1"/>
  <c r="Q109" i="25"/>
  <c r="P109" i="25" s="1"/>
  <c r="Q110" i="25"/>
  <c r="P110" i="25" s="1"/>
  <c r="Q111" i="25"/>
  <c r="P111" i="25" s="1"/>
  <c r="Q112" i="25"/>
  <c r="P112" i="25" s="1"/>
  <c r="Q113" i="25"/>
  <c r="P113" i="25" s="1"/>
  <c r="Q114" i="25"/>
  <c r="Q115" i="25"/>
  <c r="Q116" i="25"/>
  <c r="P116" i="25" s="1"/>
  <c r="Q117" i="25"/>
  <c r="P117" i="25" s="1"/>
  <c r="Q118" i="25"/>
  <c r="Q119" i="25"/>
  <c r="P119" i="25" s="1"/>
  <c r="Q120" i="25"/>
  <c r="P120" i="25" s="1"/>
  <c r="Q121" i="25"/>
  <c r="P121" i="25" s="1"/>
  <c r="Q122" i="25"/>
  <c r="Q123" i="25"/>
  <c r="P123" i="25" s="1"/>
  <c r="Q124" i="25"/>
  <c r="P124" i="25" s="1"/>
  <c r="Q125" i="25"/>
  <c r="P125" i="25" s="1"/>
  <c r="Q126" i="25"/>
  <c r="Q127" i="25"/>
  <c r="P127" i="25" s="1"/>
  <c r="Q128" i="25"/>
  <c r="P128" i="25" s="1"/>
  <c r="Q129" i="25"/>
  <c r="P129" i="25" s="1"/>
  <c r="Q130" i="25"/>
  <c r="Q131" i="25"/>
  <c r="P131" i="25" s="1"/>
  <c r="Q132" i="25"/>
  <c r="P132" i="25" s="1"/>
  <c r="Q133" i="25"/>
  <c r="P133" i="25" s="1"/>
  <c r="Q134" i="25"/>
  <c r="Q135" i="25"/>
  <c r="P135" i="25" s="1"/>
  <c r="Q136" i="25"/>
  <c r="P136" i="25" s="1"/>
  <c r="Q137" i="25"/>
  <c r="P137" i="25" s="1"/>
  <c r="Q138" i="25"/>
  <c r="Q139" i="25"/>
  <c r="Q140" i="25"/>
  <c r="P140" i="25" s="1"/>
  <c r="Q141" i="25"/>
  <c r="P141" i="25" s="1"/>
  <c r="Q142" i="25"/>
  <c r="Q143" i="25"/>
  <c r="P143" i="25" s="1"/>
  <c r="Q144" i="25"/>
  <c r="P144" i="25" s="1"/>
  <c r="Q145" i="25"/>
  <c r="P145" i="25" s="1"/>
  <c r="Q146" i="25"/>
  <c r="Q147" i="25"/>
  <c r="Q148" i="25"/>
  <c r="P148" i="25" s="1"/>
  <c r="Q149" i="25"/>
  <c r="P149" i="25" s="1"/>
  <c r="Q150" i="25"/>
  <c r="P150" i="25" s="1"/>
  <c r="Q151" i="25"/>
  <c r="P151" i="25" s="1"/>
  <c r="Q152" i="25"/>
  <c r="P152" i="25" s="1"/>
  <c r="Q153" i="25"/>
  <c r="P153" i="25" s="1"/>
  <c r="Q154" i="25"/>
  <c r="Q155" i="25"/>
  <c r="P155" i="25" s="1"/>
  <c r="Q156" i="25"/>
  <c r="P156" i="25" s="1"/>
  <c r="Q157" i="25"/>
  <c r="P157" i="25" s="1"/>
  <c r="Q158" i="25"/>
  <c r="P158" i="25" s="1"/>
  <c r="Q159" i="25"/>
  <c r="P159" i="25" s="1"/>
  <c r="Q160" i="25"/>
  <c r="P160" i="25" s="1"/>
  <c r="Q161" i="25"/>
  <c r="P161" i="25" s="1"/>
  <c r="Q162" i="25"/>
  <c r="Q163" i="25"/>
  <c r="P163" i="25" s="1"/>
  <c r="Q164" i="25"/>
  <c r="P164" i="25" s="1"/>
  <c r="Q165" i="25"/>
  <c r="P165" i="25" s="1"/>
  <c r="Q166" i="25"/>
  <c r="Q167" i="25"/>
  <c r="P167" i="25" s="1"/>
  <c r="Q168" i="25"/>
  <c r="P168" i="25" s="1"/>
  <c r="Q169" i="25"/>
  <c r="P169" i="25" s="1"/>
  <c r="Q170" i="25"/>
  <c r="Q171" i="25"/>
  <c r="Q172" i="25"/>
  <c r="P172" i="25" s="1"/>
  <c r="Q173" i="25"/>
  <c r="P173" i="25" s="1"/>
  <c r="Q174" i="25"/>
  <c r="P174" i="25" s="1"/>
  <c r="Q175" i="25"/>
  <c r="P175" i="25" s="1"/>
  <c r="Q176" i="25"/>
  <c r="P176" i="25" s="1"/>
  <c r="Q177" i="25"/>
  <c r="P177" i="25" s="1"/>
  <c r="Q178" i="25"/>
  <c r="Q179" i="25"/>
  <c r="Q180" i="25"/>
  <c r="P180" i="25" s="1"/>
  <c r="Q181" i="25"/>
  <c r="P181" i="25" s="1"/>
  <c r="Q182" i="25"/>
  <c r="Q183" i="25"/>
  <c r="P183" i="25" s="1"/>
  <c r="Q184" i="25"/>
  <c r="P184" i="25" s="1"/>
  <c r="Q185" i="25"/>
  <c r="P185" i="25" s="1"/>
  <c r="Q186" i="25"/>
  <c r="Q187" i="25"/>
  <c r="P187" i="25" s="1"/>
  <c r="Q188" i="25"/>
  <c r="P188" i="25" s="1"/>
  <c r="Q189" i="25"/>
  <c r="P189" i="25" s="1"/>
  <c r="Q190" i="25"/>
  <c r="P190" i="25" s="1"/>
  <c r="Q191" i="25"/>
  <c r="P191" i="25" s="1"/>
  <c r="Q192" i="25"/>
  <c r="P192" i="25" s="1"/>
  <c r="Q193" i="25"/>
  <c r="P193" i="25" s="1"/>
  <c r="Q194" i="25"/>
  <c r="Q195" i="25"/>
  <c r="P195" i="25" s="1"/>
  <c r="Q196" i="25"/>
  <c r="P196" i="25" s="1"/>
  <c r="Q197" i="25"/>
  <c r="P197" i="25" s="1"/>
  <c r="Q198" i="25"/>
  <c r="P198" i="25" s="1"/>
  <c r="Q199" i="25"/>
  <c r="P199" i="25" s="1"/>
  <c r="Q200" i="25"/>
  <c r="P200" i="25" s="1"/>
  <c r="Q201" i="25"/>
  <c r="P201" i="25" s="1"/>
  <c r="Q202" i="25"/>
  <c r="Q203" i="25"/>
  <c r="Q204" i="25"/>
  <c r="P204" i="25" s="1"/>
  <c r="Q205" i="25"/>
  <c r="P205" i="25" s="1"/>
  <c r="Q206" i="25"/>
  <c r="Q207" i="25"/>
  <c r="P207" i="25" s="1"/>
  <c r="Q208" i="25"/>
  <c r="P208" i="25" s="1"/>
  <c r="Q209" i="25"/>
  <c r="P209" i="25" s="1"/>
  <c r="Q210" i="25"/>
  <c r="Q211" i="25"/>
  <c r="Q212" i="25"/>
  <c r="P212" i="25" s="1"/>
  <c r="Q213" i="25"/>
  <c r="P213" i="25" s="1"/>
  <c r="Q214" i="25"/>
  <c r="P214" i="25" s="1"/>
  <c r="Q215" i="25"/>
  <c r="P215" i="25" s="1"/>
  <c r="Q216" i="25"/>
  <c r="P216" i="25" s="1"/>
  <c r="Q217" i="25"/>
  <c r="P217" i="25" s="1"/>
  <c r="Q218" i="25"/>
  <c r="Q219" i="25"/>
  <c r="P219" i="25" s="1"/>
  <c r="Q220" i="25"/>
  <c r="P220" i="25" s="1"/>
  <c r="Q221" i="25"/>
  <c r="P221" i="25" s="1"/>
  <c r="Q222" i="25"/>
  <c r="P222" i="25" s="1"/>
  <c r="Q223" i="25"/>
  <c r="P223" i="25" s="1"/>
  <c r="Q224" i="25"/>
  <c r="P224" i="25" s="1"/>
  <c r="Q225" i="25"/>
  <c r="P225" i="25" s="1"/>
  <c r="Q226" i="25"/>
  <c r="Q227" i="25"/>
  <c r="Q228" i="25"/>
  <c r="P228" i="25" s="1"/>
  <c r="Q229" i="25"/>
  <c r="P229" i="25" s="1"/>
  <c r="Q230" i="25"/>
  <c r="Q231" i="25"/>
  <c r="P231" i="25" s="1"/>
  <c r="Q232" i="25"/>
  <c r="P232" i="25" s="1"/>
  <c r="Q233" i="25"/>
  <c r="P233" i="25" s="1"/>
  <c r="Q234" i="25"/>
  <c r="Q235" i="25"/>
  <c r="Q236" i="25"/>
  <c r="P236" i="25" s="1"/>
  <c r="Q237" i="25"/>
  <c r="P237" i="25" s="1"/>
  <c r="Q238" i="25"/>
  <c r="Q239" i="25"/>
  <c r="P239" i="25" s="1"/>
  <c r="Q240" i="25"/>
  <c r="P240" i="25" s="1"/>
  <c r="Q241" i="25"/>
  <c r="P241" i="25" s="1"/>
  <c r="Q242" i="25"/>
  <c r="Q3" i="25"/>
  <c r="F85"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Q4" i="19"/>
  <c r="P4" i="19" s="1"/>
  <c r="Q5" i="19"/>
  <c r="P5" i="19" s="1"/>
  <c r="Q6" i="19"/>
  <c r="Q7" i="19"/>
  <c r="P7" i="19" s="1"/>
  <c r="Q8" i="19"/>
  <c r="P8" i="19" s="1"/>
  <c r="Q9" i="19"/>
  <c r="P9" i="19" s="1"/>
  <c r="Q10" i="19"/>
  <c r="Q11" i="19"/>
  <c r="Q12" i="19"/>
  <c r="P12" i="19" s="1"/>
  <c r="Q13" i="19"/>
  <c r="P13" i="19" s="1"/>
  <c r="Q14" i="19"/>
  <c r="Q15" i="19"/>
  <c r="P15" i="19" s="1"/>
  <c r="Q16" i="19"/>
  <c r="P16" i="19" s="1"/>
  <c r="Q17" i="19"/>
  <c r="P17" i="19" s="1"/>
  <c r="Q18" i="19"/>
  <c r="Q19" i="19"/>
  <c r="Q20" i="19"/>
  <c r="P20" i="19" s="1"/>
  <c r="Q21" i="19"/>
  <c r="P21" i="19" s="1"/>
  <c r="Q22" i="19"/>
  <c r="P22" i="19" s="1"/>
  <c r="Q23" i="19"/>
  <c r="P23" i="19" s="1"/>
  <c r="Q24" i="19"/>
  <c r="P24" i="19" s="1"/>
  <c r="Q25" i="19"/>
  <c r="P25" i="19" s="1"/>
  <c r="Q26" i="19"/>
  <c r="Q27" i="19"/>
  <c r="Q28" i="19"/>
  <c r="P28" i="19" s="1"/>
  <c r="Q29" i="19"/>
  <c r="P29" i="19" s="1"/>
  <c r="Q30" i="19"/>
  <c r="Q31" i="19"/>
  <c r="P31" i="19" s="1"/>
  <c r="Q32" i="19"/>
  <c r="P32" i="19" s="1"/>
  <c r="Q33" i="19"/>
  <c r="P33" i="19" s="1"/>
  <c r="Q34" i="19"/>
  <c r="Q35" i="19"/>
  <c r="Q36" i="19"/>
  <c r="P36" i="19" s="1"/>
  <c r="Q37" i="19"/>
  <c r="P37" i="19" s="1"/>
  <c r="Q38" i="19"/>
  <c r="Q39" i="19"/>
  <c r="P39" i="19" s="1"/>
  <c r="Q40" i="19"/>
  <c r="P40" i="19" s="1"/>
  <c r="Q41" i="19"/>
  <c r="P41" i="19" s="1"/>
  <c r="Q42" i="19"/>
  <c r="Q43" i="19"/>
  <c r="Q44" i="19"/>
  <c r="P44" i="19" s="1"/>
  <c r="Q45" i="19"/>
  <c r="P45" i="19" s="1"/>
  <c r="Q46" i="19"/>
  <c r="Q47" i="19"/>
  <c r="P47" i="19" s="1"/>
  <c r="Q48" i="19"/>
  <c r="P48" i="19" s="1"/>
  <c r="Q49" i="19"/>
  <c r="P49" i="19" s="1"/>
  <c r="Q50" i="19"/>
  <c r="Q51" i="19"/>
  <c r="Q52" i="19"/>
  <c r="P52" i="19" s="1"/>
  <c r="Q53" i="19"/>
  <c r="P53" i="19" s="1"/>
  <c r="Q54" i="19"/>
  <c r="Q55" i="19"/>
  <c r="P55" i="19" s="1"/>
  <c r="Q56" i="19"/>
  <c r="P56" i="19" s="1"/>
  <c r="Q57" i="19"/>
  <c r="P57" i="19" s="1"/>
  <c r="Q58" i="19"/>
  <c r="Q59" i="19"/>
  <c r="Q60" i="19"/>
  <c r="P60" i="19" s="1"/>
  <c r="Q61" i="19"/>
  <c r="P61" i="19" s="1"/>
  <c r="Q62" i="19"/>
  <c r="Q513" i="19"/>
  <c r="Q514" i="19"/>
  <c r="P514" i="19" s="1"/>
  <c r="Q515" i="19"/>
  <c r="P515" i="19" s="1"/>
  <c r="G515" i="19" s="1"/>
  <c r="Q516" i="19"/>
  <c r="Q517" i="19"/>
  <c r="P517" i="19" s="1"/>
  <c r="Q518" i="19"/>
  <c r="P518" i="19" s="1"/>
  <c r="Q519" i="19"/>
  <c r="Q520" i="19"/>
  <c r="Q521" i="19"/>
  <c r="Q522" i="19"/>
  <c r="P522" i="19" s="1"/>
  <c r="G522" i="19" s="1"/>
  <c r="Q523" i="19"/>
  <c r="P523" i="19" s="1"/>
  <c r="G523" i="19" s="1"/>
  <c r="Q524" i="19"/>
  <c r="Q525" i="19"/>
  <c r="Q526" i="19"/>
  <c r="P526" i="19" s="1"/>
  <c r="Q527" i="19"/>
  <c r="Q528" i="19"/>
  <c r="Q529" i="19"/>
  <c r="P529" i="19" s="1"/>
  <c r="Q530" i="19"/>
  <c r="P530" i="19" s="1"/>
  <c r="G530" i="19" s="1"/>
  <c r="Q531" i="19"/>
  <c r="P531" i="19" s="1"/>
  <c r="G531" i="19" s="1"/>
  <c r="Q532" i="19"/>
  <c r="Q533" i="19"/>
  <c r="P533" i="19" s="1"/>
  <c r="Q534" i="19"/>
  <c r="P534" i="19" s="1"/>
  <c r="Q535" i="19"/>
  <c r="P535" i="19" s="1"/>
  <c r="G535" i="19" s="1"/>
  <c r="Q536" i="19"/>
  <c r="Q537" i="19"/>
  <c r="H537" i="19" s="1"/>
  <c r="Q538" i="19"/>
  <c r="P538" i="19" s="1"/>
  <c r="G538" i="19" s="1"/>
  <c r="Q539" i="19"/>
  <c r="P539" i="19" s="1"/>
  <c r="Q540" i="19"/>
  <c r="Q541" i="19"/>
  <c r="Q542" i="19"/>
  <c r="P542" i="19" s="1"/>
  <c r="Q543" i="19"/>
  <c r="P543" i="19" s="1"/>
  <c r="Q544" i="19"/>
  <c r="Q545" i="19"/>
  <c r="Q546" i="19"/>
  <c r="P546" i="19" s="1"/>
  <c r="Q547" i="19"/>
  <c r="P547" i="19" s="1"/>
  <c r="G547" i="19" s="1"/>
  <c r="Q548" i="19"/>
  <c r="Q549" i="19"/>
  <c r="P549" i="19" s="1"/>
  <c r="Q550" i="19"/>
  <c r="P550" i="19" s="1"/>
  <c r="Q551" i="19"/>
  <c r="Q552" i="19"/>
  <c r="Q553" i="19"/>
  <c r="Q554" i="19"/>
  <c r="P554" i="19" s="1"/>
  <c r="G554" i="19" s="1"/>
  <c r="Q555" i="19"/>
  <c r="P555" i="19" s="1"/>
  <c r="G555" i="19" s="1"/>
  <c r="Q556" i="19"/>
  <c r="Q557" i="19"/>
  <c r="Q558" i="19"/>
  <c r="P558" i="19" s="1"/>
  <c r="Q559" i="19"/>
  <c r="Q560" i="19"/>
  <c r="P560" i="19" s="1"/>
  <c r="G560" i="19" s="1"/>
  <c r="Q561" i="19"/>
  <c r="Q562" i="19"/>
  <c r="P562" i="19" s="1"/>
  <c r="G562" i="19" s="1"/>
  <c r="Q563" i="19"/>
  <c r="P563" i="19" s="1"/>
  <c r="G563" i="19" s="1"/>
  <c r="Q564" i="19"/>
  <c r="Q565" i="19"/>
  <c r="P565" i="19" s="1"/>
  <c r="Q566" i="19"/>
  <c r="P566" i="19" s="1"/>
  <c r="Q567" i="19"/>
  <c r="P567" i="19" s="1"/>
  <c r="G567" i="19" s="1"/>
  <c r="Q568" i="19"/>
  <c r="Q569" i="19"/>
  <c r="Q570" i="19"/>
  <c r="P570" i="19" s="1"/>
  <c r="G570" i="19" s="1"/>
  <c r="Q571" i="19"/>
  <c r="P571" i="19" s="1"/>
  <c r="Q572" i="19"/>
  <c r="Q573" i="19"/>
  <c r="Q574" i="19"/>
  <c r="P574" i="19" s="1"/>
  <c r="Q575" i="19"/>
  <c r="Q576" i="19"/>
  <c r="Q577" i="19"/>
  <c r="P577" i="19" s="1"/>
  <c r="Q578" i="19"/>
  <c r="P578" i="19" s="1"/>
  <c r="G578" i="19" s="1"/>
  <c r="Q579" i="19"/>
  <c r="Q580" i="19"/>
  <c r="P580" i="19" s="1"/>
  <c r="Q581" i="19"/>
  <c r="Q582" i="19"/>
  <c r="Q583" i="19"/>
  <c r="P583" i="19" s="1"/>
  <c r="Q584" i="19"/>
  <c r="Q585" i="19"/>
  <c r="Q586" i="19"/>
  <c r="P586" i="19" s="1"/>
  <c r="Q587" i="19"/>
  <c r="P587" i="19" s="1"/>
  <c r="G587" i="19" s="1"/>
  <c r="Q588" i="19"/>
  <c r="Q589" i="19"/>
  <c r="P589" i="19" s="1"/>
  <c r="Q590" i="19"/>
  <c r="P590" i="19" s="1"/>
  <c r="G590" i="19" s="1"/>
  <c r="Q591" i="19"/>
  <c r="Q592" i="19"/>
  <c r="Q593" i="19"/>
  <c r="Q594" i="19"/>
  <c r="P594" i="19" s="1"/>
  <c r="G594" i="19" s="1"/>
  <c r="Q595" i="19"/>
  <c r="H595" i="19" s="1"/>
  <c r="Q596" i="19"/>
  <c r="Q597" i="19"/>
  <c r="Q598" i="19"/>
  <c r="Q599" i="19"/>
  <c r="Q600" i="19"/>
  <c r="Q601" i="19"/>
  <c r="H601" i="19" s="1"/>
  <c r="Q602" i="19"/>
  <c r="P602" i="19" s="1"/>
  <c r="G602" i="19" s="1"/>
  <c r="Q603" i="19"/>
  <c r="P603" i="19" s="1"/>
  <c r="G603" i="19" s="1"/>
  <c r="Q604" i="19"/>
  <c r="Q605" i="19"/>
  <c r="Q606" i="19"/>
  <c r="P606" i="19" s="1"/>
  <c r="G606" i="19" s="1"/>
  <c r="Q607" i="19"/>
  <c r="Q608" i="19"/>
  <c r="Q609" i="19"/>
  <c r="P609" i="19" s="1"/>
  <c r="Q610" i="19"/>
  <c r="P610" i="19" s="1"/>
  <c r="G610" i="19" s="1"/>
  <c r="Q611" i="19"/>
  <c r="Q612" i="19"/>
  <c r="P612" i="19" s="1"/>
  <c r="Q613" i="19"/>
  <c r="Q614" i="19"/>
  <c r="Q615" i="19"/>
  <c r="P615" i="19" s="1"/>
  <c r="Q616" i="19"/>
  <c r="P616" i="19" s="1"/>
  <c r="G616" i="19" s="1"/>
  <c r="Q617" i="19"/>
  <c r="Q618" i="19"/>
  <c r="P618" i="19" s="1"/>
  <c r="Q619" i="19"/>
  <c r="P619" i="19" s="1"/>
  <c r="G619" i="19" s="1"/>
  <c r="Q620" i="19"/>
  <c r="Q621" i="19"/>
  <c r="P621" i="19" s="1"/>
  <c r="Q622" i="19"/>
  <c r="P622" i="19" s="1"/>
  <c r="G622" i="19" s="1"/>
  <c r="Q623" i="19"/>
  <c r="Q624" i="19"/>
  <c r="P624" i="19" s="1"/>
  <c r="G624" i="19" s="1"/>
  <c r="Q625" i="19"/>
  <c r="Q626" i="19"/>
  <c r="P626" i="19" s="1"/>
  <c r="G626" i="19" s="1"/>
  <c r="Q627" i="19"/>
  <c r="H627" i="19" s="1"/>
  <c r="Q628" i="19"/>
  <c r="Q629" i="19"/>
  <c r="Q630" i="19"/>
  <c r="Q631" i="19"/>
  <c r="Q632" i="19"/>
  <c r="Q633" i="19"/>
  <c r="Q634" i="19"/>
  <c r="P634" i="19" s="1"/>
  <c r="G634" i="19" s="1"/>
  <c r="Q635" i="19"/>
  <c r="P635" i="19" s="1"/>
  <c r="G635" i="19" s="1"/>
  <c r="Q636" i="19"/>
  <c r="Q637" i="19"/>
  <c r="Q638" i="19"/>
  <c r="P638" i="19" s="1"/>
  <c r="G638" i="19" s="1"/>
  <c r="Q639" i="19"/>
  <c r="H639" i="19" s="1"/>
  <c r="Q640" i="19"/>
  <c r="Q641" i="19"/>
  <c r="P641" i="19" s="1"/>
  <c r="Q642" i="19"/>
  <c r="P642" i="19" s="1"/>
  <c r="G642" i="19" s="1"/>
  <c r="Q643" i="19"/>
  <c r="Q644" i="19"/>
  <c r="P644" i="19" s="1"/>
  <c r="Q645" i="19"/>
  <c r="Q646" i="19"/>
  <c r="Q647" i="19"/>
  <c r="P647" i="19" s="1"/>
  <c r="Q648" i="19"/>
  <c r="Q649" i="19"/>
  <c r="Q650" i="19"/>
  <c r="P650" i="19" s="1"/>
  <c r="Q651" i="19"/>
  <c r="P651" i="19" s="1"/>
  <c r="G651" i="19" s="1"/>
  <c r="Q652" i="19"/>
  <c r="Q653" i="19"/>
  <c r="P653" i="19" s="1"/>
  <c r="Q654" i="19"/>
  <c r="Q655" i="19"/>
  <c r="P655" i="19" s="1"/>
  <c r="G655" i="19" s="1"/>
  <c r="Q656" i="19"/>
  <c r="P656" i="19" s="1"/>
  <c r="G656" i="19" s="1"/>
  <c r="Q657" i="19"/>
  <c r="Q658" i="19"/>
  <c r="P658" i="19" s="1"/>
  <c r="Q659" i="19"/>
  <c r="P659" i="19" s="1"/>
  <c r="G659" i="19" s="1"/>
  <c r="Q660" i="19"/>
  <c r="Q661" i="19"/>
  <c r="Q662" i="19"/>
  <c r="Q663" i="19"/>
  <c r="P663" i="19" s="1"/>
  <c r="G663" i="19" s="1"/>
  <c r="Q664" i="19"/>
  <c r="Q665" i="19"/>
  <c r="Q666" i="19"/>
  <c r="P666" i="19" s="1"/>
  <c r="Q667" i="19"/>
  <c r="P667" i="19" s="1"/>
  <c r="G667" i="19" s="1"/>
  <c r="Q668" i="19"/>
  <c r="Q669" i="19"/>
  <c r="Q670" i="19"/>
  <c r="Q671" i="19"/>
  <c r="P671" i="19" s="1"/>
  <c r="G671" i="19" s="1"/>
  <c r="Q672" i="19"/>
  <c r="Q673" i="19"/>
  <c r="Q674" i="19"/>
  <c r="P674" i="19" s="1"/>
  <c r="Q675" i="19"/>
  <c r="P675" i="19" s="1"/>
  <c r="G675" i="19" s="1"/>
  <c r="Q676" i="19"/>
  <c r="Q677" i="19"/>
  <c r="Q678" i="19"/>
  <c r="P678" i="19" s="1"/>
  <c r="Q679" i="19"/>
  <c r="P679" i="19" s="1"/>
  <c r="G679" i="19" s="1"/>
  <c r="Q680" i="19"/>
  <c r="Q681" i="19"/>
  <c r="Q682" i="19"/>
  <c r="P682" i="19" s="1"/>
  <c r="Q683" i="19"/>
  <c r="P683" i="19" s="1"/>
  <c r="G683" i="19" s="1"/>
  <c r="Q684" i="19"/>
  <c r="Q685" i="19"/>
  <c r="P685" i="19" s="1"/>
  <c r="Q686" i="19"/>
  <c r="Q687" i="19"/>
  <c r="P687" i="19" s="1"/>
  <c r="G687" i="19" s="1"/>
  <c r="Q688" i="19"/>
  <c r="P688" i="19" s="1"/>
  <c r="G688" i="19" s="1"/>
  <c r="Q689" i="19"/>
  <c r="Q690" i="19"/>
  <c r="P690" i="19" s="1"/>
  <c r="Q691" i="19"/>
  <c r="P691" i="19" s="1"/>
  <c r="G691" i="19" s="1"/>
  <c r="Q692" i="19"/>
  <c r="Q693" i="19"/>
  <c r="Q3" i="19"/>
  <c r="P3" i="19" s="1"/>
  <c r="AH25" i="19"/>
  <c r="AH7" i="19" s="1"/>
  <c r="Q105" i="19" s="1"/>
  <c r="P105" i="19" s="1"/>
  <c r="AH20" i="19"/>
  <c r="Q484" i="19" s="1"/>
  <c r="AG20" i="19"/>
  <c r="AG7" i="19"/>
  <c r="AG8" i="19"/>
  <c r="AG9" i="19"/>
  <c r="AG10" i="19"/>
  <c r="AG11" i="19"/>
  <c r="AG12" i="19"/>
  <c r="AG13" i="19"/>
  <c r="AG14" i="19"/>
  <c r="AG15" i="19"/>
  <c r="AG16" i="19"/>
  <c r="AG17" i="19"/>
  <c r="AG18" i="19"/>
  <c r="AG19" i="19"/>
  <c r="AG6" i="19"/>
  <c r="F513" i="17"/>
  <c r="F514" i="17"/>
  <c r="F515" i="17"/>
  <c r="F516" i="17"/>
  <c r="F517" i="17"/>
  <c r="F518" i="17"/>
  <c r="F519" i="17"/>
  <c r="F520" i="17"/>
  <c r="F521" i="17"/>
  <c r="F522" i="17"/>
  <c r="F523" i="17"/>
  <c r="F524" i="17"/>
  <c r="F525" i="17"/>
  <c r="F526" i="17"/>
  <c r="F527" i="17"/>
  <c r="F528" i="17"/>
  <c r="F529" i="17"/>
  <c r="F530" i="17"/>
  <c r="F531" i="17"/>
  <c r="F532" i="17"/>
  <c r="F533" i="17"/>
  <c r="F534" i="17"/>
  <c r="F535" i="17"/>
  <c r="F536" i="17"/>
  <c r="F537" i="17"/>
  <c r="F538" i="17"/>
  <c r="F539" i="17"/>
  <c r="F540" i="17"/>
  <c r="F541" i="17"/>
  <c r="F542" i="17"/>
  <c r="F543" i="17"/>
  <c r="F544" i="17"/>
  <c r="F545" i="17"/>
  <c r="F546" i="17"/>
  <c r="F547" i="17"/>
  <c r="F548" i="17"/>
  <c r="F549" i="17"/>
  <c r="F550" i="17"/>
  <c r="F551" i="17"/>
  <c r="F552" i="17"/>
  <c r="F553" i="17"/>
  <c r="F554" i="17"/>
  <c r="F555" i="17"/>
  <c r="F556" i="17"/>
  <c r="F557" i="17"/>
  <c r="F558" i="17"/>
  <c r="F559" i="17"/>
  <c r="F560" i="17"/>
  <c r="F561" i="17"/>
  <c r="F562" i="17"/>
  <c r="F563" i="17"/>
  <c r="F564" i="17"/>
  <c r="F565" i="17"/>
  <c r="F566" i="17"/>
  <c r="F567" i="17"/>
  <c r="F568" i="17"/>
  <c r="F569" i="17"/>
  <c r="F570" i="17"/>
  <c r="F571" i="17"/>
  <c r="F572" i="17"/>
  <c r="F573" i="17"/>
  <c r="F574" i="17"/>
  <c r="F575" i="17"/>
  <c r="F576" i="17"/>
  <c r="F577" i="17"/>
  <c r="F578" i="17"/>
  <c r="F579" i="17"/>
  <c r="F580" i="17"/>
  <c r="F581" i="17"/>
  <c r="F582" i="17"/>
  <c r="F583" i="17"/>
  <c r="F584" i="17"/>
  <c r="F585" i="17"/>
  <c r="F586" i="17"/>
  <c r="F587" i="17"/>
  <c r="F588" i="17"/>
  <c r="F589" i="17"/>
  <c r="F590" i="17"/>
  <c r="F591" i="17"/>
  <c r="F592" i="17"/>
  <c r="F593" i="17"/>
  <c r="F594" i="17"/>
  <c r="F595" i="17"/>
  <c r="F596" i="17"/>
  <c r="F597" i="17"/>
  <c r="F598" i="17"/>
  <c r="F599" i="17"/>
  <c r="F600" i="17"/>
  <c r="F601" i="17"/>
  <c r="F602" i="17"/>
  <c r="F603" i="17"/>
  <c r="F604" i="17"/>
  <c r="F605" i="17"/>
  <c r="F606" i="17"/>
  <c r="F607" i="17"/>
  <c r="F608" i="17"/>
  <c r="F609" i="17"/>
  <c r="F610" i="17"/>
  <c r="F611" i="17"/>
  <c r="F612" i="17"/>
  <c r="F613" i="17"/>
  <c r="F614" i="17"/>
  <c r="F615" i="17"/>
  <c r="F616" i="17"/>
  <c r="F617" i="17"/>
  <c r="F618" i="17"/>
  <c r="F619" i="17"/>
  <c r="F620" i="17"/>
  <c r="F621" i="17"/>
  <c r="F622" i="17"/>
  <c r="F623" i="17"/>
  <c r="F624" i="17"/>
  <c r="F625" i="17"/>
  <c r="F626" i="17"/>
  <c r="F627" i="17"/>
  <c r="F628" i="17"/>
  <c r="F629" i="17"/>
  <c r="F630" i="17"/>
  <c r="F631" i="17"/>
  <c r="F632" i="17"/>
  <c r="F633" i="17"/>
  <c r="F634" i="17"/>
  <c r="F635" i="17"/>
  <c r="F636" i="17"/>
  <c r="F637" i="17"/>
  <c r="F638" i="17"/>
  <c r="F639" i="17"/>
  <c r="F640" i="17"/>
  <c r="F641" i="17"/>
  <c r="F642" i="17"/>
  <c r="F643" i="17"/>
  <c r="F644" i="17"/>
  <c r="F645" i="17"/>
  <c r="F646" i="17"/>
  <c r="F647" i="17"/>
  <c r="F648" i="17"/>
  <c r="F649" i="17"/>
  <c r="F650" i="17"/>
  <c r="F651" i="17"/>
  <c r="F652" i="17"/>
  <c r="F653" i="17"/>
  <c r="F654" i="17"/>
  <c r="F655" i="17"/>
  <c r="F656" i="17"/>
  <c r="F657" i="17"/>
  <c r="F658" i="17"/>
  <c r="F659" i="17"/>
  <c r="F660" i="17"/>
  <c r="F661" i="17"/>
  <c r="F662" i="17"/>
  <c r="F663" i="17"/>
  <c r="F664" i="17"/>
  <c r="F665" i="17"/>
  <c r="F666" i="17"/>
  <c r="F667" i="17"/>
  <c r="F668" i="17"/>
  <c r="F669" i="17"/>
  <c r="F670" i="17"/>
  <c r="F671" i="17"/>
  <c r="F672" i="17"/>
  <c r="F673" i="17"/>
  <c r="F674" i="17"/>
  <c r="F675" i="17"/>
  <c r="F676" i="17"/>
  <c r="F677" i="17"/>
  <c r="F678" i="17"/>
  <c r="F679" i="17"/>
  <c r="F680" i="17"/>
  <c r="F681" i="17"/>
  <c r="F682" i="17"/>
  <c r="F683" i="17"/>
  <c r="F684" i="17"/>
  <c r="F685" i="17"/>
  <c r="F686" i="17"/>
  <c r="F687" i="17"/>
  <c r="F688" i="17"/>
  <c r="F689" i="17"/>
  <c r="F690" i="17"/>
  <c r="F691" i="17"/>
  <c r="F692" i="17"/>
  <c r="F693" i="17"/>
  <c r="P4" i="17"/>
  <c r="Q4" i="17"/>
  <c r="P5" i="17"/>
  <c r="Q5" i="17"/>
  <c r="P6" i="17"/>
  <c r="Q6" i="17"/>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P251" i="17"/>
  <c r="Q251" i="17"/>
  <c r="P252" i="17"/>
  <c r="Q252" i="17"/>
  <c r="P253" i="17"/>
  <c r="Q253" i="17"/>
  <c r="P254" i="17"/>
  <c r="Q254" i="17"/>
  <c r="P255" i="17"/>
  <c r="Q255" i="17"/>
  <c r="P256" i="17"/>
  <c r="Q256" i="17"/>
  <c r="P257" i="17"/>
  <c r="Q257" i="17"/>
  <c r="P258" i="17"/>
  <c r="Q258" i="17"/>
  <c r="P259" i="17"/>
  <c r="Q259" i="17"/>
  <c r="P260" i="17"/>
  <c r="Q260" i="17"/>
  <c r="P261" i="17"/>
  <c r="Q261" i="17"/>
  <c r="P262" i="17"/>
  <c r="Q262" i="17"/>
  <c r="P263" i="17"/>
  <c r="Q263" i="17"/>
  <c r="P264" i="17"/>
  <c r="Q264" i="17"/>
  <c r="P265" i="17"/>
  <c r="Q265" i="17"/>
  <c r="P266" i="17"/>
  <c r="Q266" i="17"/>
  <c r="P267" i="17"/>
  <c r="Q267" i="17"/>
  <c r="P268" i="17"/>
  <c r="Q268" i="17"/>
  <c r="P269" i="17"/>
  <c r="Q269" i="17"/>
  <c r="P270" i="17"/>
  <c r="Q270" i="17"/>
  <c r="P271" i="17"/>
  <c r="Q271" i="17"/>
  <c r="P272" i="17"/>
  <c r="Q272" i="17"/>
  <c r="P273" i="17"/>
  <c r="Q273" i="17"/>
  <c r="P274" i="17"/>
  <c r="Q274" i="17"/>
  <c r="P275" i="17"/>
  <c r="Q275" i="17"/>
  <c r="P276" i="17"/>
  <c r="Q276" i="17"/>
  <c r="P277" i="17"/>
  <c r="Q277" i="17"/>
  <c r="P278" i="17"/>
  <c r="Q278" i="17"/>
  <c r="P279" i="17"/>
  <c r="Q279" i="17"/>
  <c r="P280" i="17"/>
  <c r="Q280" i="17"/>
  <c r="P281" i="17"/>
  <c r="Q281" i="17"/>
  <c r="P282" i="17"/>
  <c r="Q282" i="17"/>
  <c r="P283" i="17"/>
  <c r="Q283" i="17"/>
  <c r="P284" i="17"/>
  <c r="Q284" i="17"/>
  <c r="P285" i="17"/>
  <c r="Q285" i="17"/>
  <c r="P286" i="17"/>
  <c r="Q286" i="17"/>
  <c r="P287" i="17"/>
  <c r="Q287" i="17"/>
  <c r="P288" i="17"/>
  <c r="Q288" i="17"/>
  <c r="P289" i="17"/>
  <c r="Q289" i="17"/>
  <c r="P290" i="17"/>
  <c r="Q290" i="17"/>
  <c r="P291" i="17"/>
  <c r="Q291" i="17"/>
  <c r="P292" i="17"/>
  <c r="Q292" i="17"/>
  <c r="P293" i="17"/>
  <c r="Q293" i="17"/>
  <c r="P294" i="17"/>
  <c r="Q294" i="17"/>
  <c r="P295" i="17"/>
  <c r="Q295" i="17"/>
  <c r="P296" i="17"/>
  <c r="Q296" i="17"/>
  <c r="P297" i="17"/>
  <c r="Q297" i="17"/>
  <c r="P298" i="17"/>
  <c r="Q298" i="17"/>
  <c r="P299" i="17"/>
  <c r="Q299" i="17"/>
  <c r="P300" i="17"/>
  <c r="Q300" i="17"/>
  <c r="P301" i="17"/>
  <c r="Q301" i="17"/>
  <c r="P302" i="17"/>
  <c r="Q302" i="17"/>
  <c r="P303" i="17"/>
  <c r="Q303" i="17"/>
  <c r="P304" i="17"/>
  <c r="Q304" i="17"/>
  <c r="P305" i="17"/>
  <c r="Q305" i="17"/>
  <c r="P306" i="17"/>
  <c r="Q306" i="17"/>
  <c r="P307" i="17"/>
  <c r="Q307" i="17"/>
  <c r="P308" i="17"/>
  <c r="Q308" i="17"/>
  <c r="P309" i="17"/>
  <c r="Q309" i="17"/>
  <c r="P310" i="17"/>
  <c r="Q310" i="17"/>
  <c r="P311" i="17"/>
  <c r="Q311" i="17"/>
  <c r="P312" i="17"/>
  <c r="Q312" i="17"/>
  <c r="P313" i="17"/>
  <c r="Q313" i="17"/>
  <c r="P314" i="17"/>
  <c r="Q314" i="17"/>
  <c r="P315" i="17"/>
  <c r="Q315" i="17"/>
  <c r="P316" i="17"/>
  <c r="Q316" i="17"/>
  <c r="P317" i="17"/>
  <c r="Q317" i="17"/>
  <c r="P318" i="17"/>
  <c r="Q318" i="17"/>
  <c r="P319" i="17"/>
  <c r="Q319" i="17"/>
  <c r="P320" i="17"/>
  <c r="Q320" i="17"/>
  <c r="P321" i="17"/>
  <c r="Q321" i="17"/>
  <c r="P322" i="17"/>
  <c r="Q322" i="17"/>
  <c r="P323" i="17"/>
  <c r="Q323" i="17"/>
  <c r="P324" i="17"/>
  <c r="Q324" i="17"/>
  <c r="P325" i="17"/>
  <c r="Q325" i="17"/>
  <c r="P326" i="17"/>
  <c r="Q326" i="17"/>
  <c r="P327" i="17"/>
  <c r="Q327" i="17"/>
  <c r="P328" i="17"/>
  <c r="Q328" i="17"/>
  <c r="P329" i="17"/>
  <c r="Q329" i="17"/>
  <c r="P330" i="17"/>
  <c r="Q330" i="17"/>
  <c r="P331" i="17"/>
  <c r="Q331" i="17"/>
  <c r="P332" i="17"/>
  <c r="Q332" i="17"/>
  <c r="P333" i="17"/>
  <c r="Q333" i="17"/>
  <c r="P334" i="17"/>
  <c r="Q334" i="17"/>
  <c r="P335" i="17"/>
  <c r="Q335" i="17"/>
  <c r="P336" i="17"/>
  <c r="Q336" i="17"/>
  <c r="P337" i="17"/>
  <c r="Q337" i="17"/>
  <c r="P338" i="17"/>
  <c r="Q338" i="17"/>
  <c r="P339" i="17"/>
  <c r="Q339" i="17"/>
  <c r="P340" i="17"/>
  <c r="Q340" i="17"/>
  <c r="P341" i="17"/>
  <c r="Q341" i="17"/>
  <c r="P342" i="17"/>
  <c r="Q342" i="17"/>
  <c r="P343" i="17"/>
  <c r="Q343" i="17"/>
  <c r="P344" i="17"/>
  <c r="Q344" i="17"/>
  <c r="P345" i="17"/>
  <c r="Q345" i="17"/>
  <c r="P346" i="17"/>
  <c r="Q346" i="17"/>
  <c r="P347" i="17"/>
  <c r="Q347" i="17"/>
  <c r="P348" i="17"/>
  <c r="Q348" i="17"/>
  <c r="P349" i="17"/>
  <c r="Q349" i="17"/>
  <c r="P350" i="17"/>
  <c r="Q350" i="17"/>
  <c r="P351" i="17"/>
  <c r="Q351" i="17"/>
  <c r="P352" i="17"/>
  <c r="Q352" i="17"/>
  <c r="P353" i="17"/>
  <c r="Q353" i="17"/>
  <c r="P354" i="17"/>
  <c r="Q354" i="17"/>
  <c r="P355" i="17"/>
  <c r="Q355" i="17"/>
  <c r="P356" i="17"/>
  <c r="Q356" i="17"/>
  <c r="P357" i="17"/>
  <c r="Q357" i="17"/>
  <c r="P358" i="17"/>
  <c r="Q358" i="17"/>
  <c r="P359" i="17"/>
  <c r="Q359" i="17"/>
  <c r="P360" i="17"/>
  <c r="Q360" i="17"/>
  <c r="P361" i="17"/>
  <c r="Q361" i="17"/>
  <c r="P362" i="17"/>
  <c r="Q362" i="17"/>
  <c r="P363" i="17"/>
  <c r="Q363" i="17"/>
  <c r="P364" i="17"/>
  <c r="Q364" i="17"/>
  <c r="P365" i="17"/>
  <c r="Q365" i="17"/>
  <c r="P366" i="17"/>
  <c r="Q366" i="17"/>
  <c r="P367" i="17"/>
  <c r="Q367" i="17"/>
  <c r="P368" i="17"/>
  <c r="Q368" i="17"/>
  <c r="P369" i="17"/>
  <c r="Q369" i="17"/>
  <c r="P370" i="17"/>
  <c r="Q370" i="17"/>
  <c r="P371" i="17"/>
  <c r="Q371" i="17"/>
  <c r="P372" i="17"/>
  <c r="Q372" i="17"/>
  <c r="P373" i="17"/>
  <c r="Q373" i="17"/>
  <c r="P374" i="17"/>
  <c r="Q374" i="17"/>
  <c r="P375" i="17"/>
  <c r="Q375" i="17"/>
  <c r="P376" i="17"/>
  <c r="Q376" i="17"/>
  <c r="P377" i="17"/>
  <c r="Q377" i="17"/>
  <c r="P378" i="17"/>
  <c r="Q378" i="17"/>
  <c r="P379" i="17"/>
  <c r="Q379" i="17"/>
  <c r="P380" i="17"/>
  <c r="Q380" i="17"/>
  <c r="P381" i="17"/>
  <c r="Q381" i="17"/>
  <c r="P382" i="17"/>
  <c r="Q382" i="17"/>
  <c r="P383" i="17"/>
  <c r="Q383" i="17"/>
  <c r="P384" i="17"/>
  <c r="Q384" i="17"/>
  <c r="P385" i="17"/>
  <c r="Q385" i="17"/>
  <c r="P386" i="17"/>
  <c r="Q386" i="17"/>
  <c r="P387" i="17"/>
  <c r="Q387" i="17"/>
  <c r="P388" i="17"/>
  <c r="Q388" i="17"/>
  <c r="P389" i="17"/>
  <c r="Q389" i="17"/>
  <c r="P390" i="17"/>
  <c r="Q390" i="17"/>
  <c r="P391" i="17"/>
  <c r="Q391" i="17"/>
  <c r="P392" i="17"/>
  <c r="Q392" i="17"/>
  <c r="P393" i="17"/>
  <c r="Q393" i="17"/>
  <c r="P394" i="17"/>
  <c r="Q394" i="17"/>
  <c r="P395" i="17"/>
  <c r="Q395" i="17"/>
  <c r="P396" i="17"/>
  <c r="Q396" i="17"/>
  <c r="P397" i="17"/>
  <c r="Q397" i="17"/>
  <c r="P398" i="17"/>
  <c r="Q398" i="17"/>
  <c r="P399" i="17"/>
  <c r="Q399" i="17"/>
  <c r="P400" i="17"/>
  <c r="Q400" i="17"/>
  <c r="P401" i="17"/>
  <c r="Q401" i="17"/>
  <c r="P402" i="17"/>
  <c r="Q402" i="17"/>
  <c r="P403" i="17"/>
  <c r="Q403" i="17"/>
  <c r="P404" i="17"/>
  <c r="Q404" i="17"/>
  <c r="P405" i="17"/>
  <c r="Q405" i="17"/>
  <c r="P406" i="17"/>
  <c r="Q406" i="17"/>
  <c r="P407" i="17"/>
  <c r="Q407" i="17"/>
  <c r="P408" i="17"/>
  <c r="Q408" i="17"/>
  <c r="P409" i="17"/>
  <c r="Q409" i="17"/>
  <c r="P410" i="17"/>
  <c r="Q410" i="17"/>
  <c r="P411" i="17"/>
  <c r="Q411" i="17"/>
  <c r="P412" i="17"/>
  <c r="Q412" i="17"/>
  <c r="P413" i="17"/>
  <c r="Q413" i="17"/>
  <c r="P414" i="17"/>
  <c r="Q414" i="17"/>
  <c r="P415" i="17"/>
  <c r="Q415" i="17"/>
  <c r="P416" i="17"/>
  <c r="Q416" i="17"/>
  <c r="P417" i="17"/>
  <c r="Q417" i="17"/>
  <c r="P418" i="17"/>
  <c r="Q418" i="17"/>
  <c r="P419" i="17"/>
  <c r="Q419" i="17"/>
  <c r="P420" i="17"/>
  <c r="Q420" i="17"/>
  <c r="P421" i="17"/>
  <c r="Q421" i="17"/>
  <c r="P422" i="17"/>
  <c r="Q422" i="17"/>
  <c r="P423" i="17"/>
  <c r="Q423" i="17"/>
  <c r="P424" i="17"/>
  <c r="Q424" i="17"/>
  <c r="P425" i="17"/>
  <c r="Q425" i="17"/>
  <c r="P426" i="17"/>
  <c r="Q426" i="17"/>
  <c r="P427" i="17"/>
  <c r="Q427" i="17"/>
  <c r="P428" i="17"/>
  <c r="Q428" i="17"/>
  <c r="P429" i="17"/>
  <c r="Q429" i="17"/>
  <c r="P430" i="17"/>
  <c r="Q430" i="17"/>
  <c r="P431" i="17"/>
  <c r="Q431" i="17"/>
  <c r="P432" i="17"/>
  <c r="Q432" i="17"/>
  <c r="P433" i="17"/>
  <c r="Q433" i="17"/>
  <c r="P434" i="17"/>
  <c r="Q434" i="17"/>
  <c r="P435" i="17"/>
  <c r="Q435" i="17"/>
  <c r="P436" i="17"/>
  <c r="Q436" i="17"/>
  <c r="P437" i="17"/>
  <c r="Q437" i="17"/>
  <c r="P438" i="17"/>
  <c r="Q438" i="17"/>
  <c r="P439" i="17"/>
  <c r="Q439" i="17"/>
  <c r="P440" i="17"/>
  <c r="Q440" i="17"/>
  <c r="P441" i="17"/>
  <c r="Q441" i="17"/>
  <c r="P442" i="17"/>
  <c r="Q442" i="17"/>
  <c r="P443" i="17"/>
  <c r="Q443" i="17"/>
  <c r="P444" i="17"/>
  <c r="Q444" i="17"/>
  <c r="P445" i="17"/>
  <c r="Q445" i="17"/>
  <c r="P446" i="17"/>
  <c r="Q446" i="17"/>
  <c r="P447" i="17"/>
  <c r="Q447" i="17"/>
  <c r="P448" i="17"/>
  <c r="Q448" i="17"/>
  <c r="P449" i="17"/>
  <c r="Q449" i="17"/>
  <c r="P450" i="17"/>
  <c r="Q450" i="17"/>
  <c r="P451" i="17"/>
  <c r="Q451" i="17"/>
  <c r="P452" i="17"/>
  <c r="Q452" i="17"/>
  <c r="P453" i="17"/>
  <c r="Q453" i="17"/>
  <c r="P454" i="17"/>
  <c r="Q454" i="17"/>
  <c r="P455" i="17"/>
  <c r="Q455" i="17"/>
  <c r="P456" i="17"/>
  <c r="Q456" i="17"/>
  <c r="P457" i="17"/>
  <c r="Q457" i="17"/>
  <c r="P458" i="17"/>
  <c r="Q458" i="17"/>
  <c r="P459" i="17"/>
  <c r="Q459" i="17"/>
  <c r="P460" i="17"/>
  <c r="Q460" i="17"/>
  <c r="P461" i="17"/>
  <c r="Q461" i="17"/>
  <c r="P462" i="17"/>
  <c r="Q462" i="17"/>
  <c r="P463" i="17"/>
  <c r="Q463" i="17"/>
  <c r="P464" i="17"/>
  <c r="Q464" i="17"/>
  <c r="P465" i="17"/>
  <c r="Q465" i="17"/>
  <c r="P466" i="17"/>
  <c r="Q466" i="17"/>
  <c r="P467" i="17"/>
  <c r="Q467" i="17"/>
  <c r="P468" i="17"/>
  <c r="Q468" i="17"/>
  <c r="P469" i="17"/>
  <c r="Q469" i="17"/>
  <c r="P470" i="17"/>
  <c r="Q470" i="17"/>
  <c r="P471" i="17"/>
  <c r="Q471" i="17"/>
  <c r="P472" i="17"/>
  <c r="Q472" i="17"/>
  <c r="P473" i="17"/>
  <c r="Q473" i="17"/>
  <c r="P474" i="17"/>
  <c r="Q474" i="17"/>
  <c r="P475" i="17"/>
  <c r="Q475" i="17"/>
  <c r="P476" i="17"/>
  <c r="Q476" i="17"/>
  <c r="P477" i="17"/>
  <c r="Q477" i="17"/>
  <c r="P478" i="17"/>
  <c r="Q478" i="17"/>
  <c r="P479" i="17"/>
  <c r="Q479" i="17"/>
  <c r="P480" i="17"/>
  <c r="Q480" i="17"/>
  <c r="P481" i="17"/>
  <c r="Q481" i="17"/>
  <c r="P482" i="17"/>
  <c r="Q482" i="17"/>
  <c r="P483" i="17"/>
  <c r="Q483" i="17"/>
  <c r="P484" i="17"/>
  <c r="Q484" i="17"/>
  <c r="P485" i="17"/>
  <c r="Q485" i="17"/>
  <c r="P486" i="17"/>
  <c r="Q486" i="17"/>
  <c r="P487" i="17"/>
  <c r="Q487" i="17"/>
  <c r="P488" i="17"/>
  <c r="Q488" i="17"/>
  <c r="P489" i="17"/>
  <c r="Q489" i="17"/>
  <c r="P490" i="17"/>
  <c r="Q490" i="17"/>
  <c r="P491" i="17"/>
  <c r="Q491" i="17"/>
  <c r="P492" i="17"/>
  <c r="Q492" i="17"/>
  <c r="P493" i="17"/>
  <c r="Q493" i="17"/>
  <c r="P494" i="17"/>
  <c r="Q494" i="17"/>
  <c r="P495" i="17"/>
  <c r="Q495" i="17"/>
  <c r="P496" i="17"/>
  <c r="Q496" i="17"/>
  <c r="P497" i="17"/>
  <c r="Q497" i="17"/>
  <c r="P498" i="17"/>
  <c r="Q498" i="17"/>
  <c r="P499" i="17"/>
  <c r="Q499" i="17"/>
  <c r="P500" i="17"/>
  <c r="Q500" i="17"/>
  <c r="P501" i="17"/>
  <c r="Q501" i="17"/>
  <c r="P502" i="17"/>
  <c r="Q502" i="17"/>
  <c r="P503" i="17"/>
  <c r="Q503" i="17"/>
  <c r="P504" i="17"/>
  <c r="Q504" i="17"/>
  <c r="P505" i="17"/>
  <c r="Q505" i="17"/>
  <c r="P506" i="17"/>
  <c r="Q506" i="17"/>
  <c r="P507" i="17"/>
  <c r="Q507" i="17"/>
  <c r="P508" i="17"/>
  <c r="Q508" i="17"/>
  <c r="P509" i="17"/>
  <c r="Q509" i="17"/>
  <c r="P510" i="17"/>
  <c r="Q510" i="17"/>
  <c r="P511" i="17"/>
  <c r="Q511" i="17"/>
  <c r="P512" i="17"/>
  <c r="Q512" i="17"/>
  <c r="P513" i="17"/>
  <c r="G513" i="17" s="1"/>
  <c r="Q513" i="17"/>
  <c r="P514" i="17"/>
  <c r="Q514" i="17"/>
  <c r="H514" i="17" s="1"/>
  <c r="P515" i="17"/>
  <c r="Q515" i="17"/>
  <c r="P516" i="17"/>
  <c r="Q516" i="17"/>
  <c r="P517" i="17"/>
  <c r="G517" i="17" s="1"/>
  <c r="Q517" i="17"/>
  <c r="H517" i="17" s="1"/>
  <c r="P518" i="17"/>
  <c r="G518" i="17" s="1"/>
  <c r="Q518" i="17"/>
  <c r="H518" i="17" s="1"/>
  <c r="P519" i="17"/>
  <c r="Q519" i="17"/>
  <c r="P520" i="17"/>
  <c r="Q520" i="17"/>
  <c r="P521" i="17"/>
  <c r="G521" i="17" s="1"/>
  <c r="Q521" i="17"/>
  <c r="H521" i="17" s="1"/>
  <c r="P522" i="17"/>
  <c r="Q522" i="17"/>
  <c r="H522" i="17" s="1"/>
  <c r="P523" i="17"/>
  <c r="Q523" i="17"/>
  <c r="P524" i="17"/>
  <c r="G524" i="17" s="1"/>
  <c r="Q524" i="17"/>
  <c r="P525" i="17"/>
  <c r="G525" i="17" s="1"/>
  <c r="Q525" i="17"/>
  <c r="H525" i="17" s="1"/>
  <c r="P526" i="17"/>
  <c r="G526" i="17" s="1"/>
  <c r="Q526" i="17"/>
  <c r="H526" i="17" s="1"/>
  <c r="P527" i="17"/>
  <c r="Q527" i="17"/>
  <c r="P528" i="17"/>
  <c r="G528" i="17" s="1"/>
  <c r="Q528" i="17"/>
  <c r="P529" i="17"/>
  <c r="Q529" i="17"/>
  <c r="P530" i="17"/>
  <c r="Q530" i="17"/>
  <c r="H530" i="17" s="1"/>
  <c r="P531" i="17"/>
  <c r="Q531" i="17"/>
  <c r="P532" i="17"/>
  <c r="G532" i="17" s="1"/>
  <c r="Q532" i="17"/>
  <c r="P533" i="17"/>
  <c r="G533" i="17" s="1"/>
  <c r="Q533" i="17"/>
  <c r="H533" i="17" s="1"/>
  <c r="P534" i="17"/>
  <c r="G534" i="17" s="1"/>
  <c r="Q534" i="17"/>
  <c r="H534" i="17" s="1"/>
  <c r="P535" i="17"/>
  <c r="Q535" i="17"/>
  <c r="P536" i="17"/>
  <c r="Q536" i="17"/>
  <c r="P537" i="17"/>
  <c r="G537" i="17" s="1"/>
  <c r="Q537" i="17"/>
  <c r="P538" i="17"/>
  <c r="Q538" i="17"/>
  <c r="H538" i="17" s="1"/>
  <c r="P539" i="17"/>
  <c r="Q539" i="17"/>
  <c r="P540" i="17"/>
  <c r="Q540" i="17"/>
  <c r="P541" i="17"/>
  <c r="G541" i="17" s="1"/>
  <c r="Q541" i="17"/>
  <c r="H541" i="17" s="1"/>
  <c r="P542" i="17"/>
  <c r="G542" i="17" s="1"/>
  <c r="Q542" i="17"/>
  <c r="H542" i="17" s="1"/>
  <c r="P543" i="17"/>
  <c r="Q543" i="17"/>
  <c r="P544" i="17"/>
  <c r="G544" i="17" s="1"/>
  <c r="Q544" i="17"/>
  <c r="P545" i="17"/>
  <c r="G545" i="17" s="1"/>
  <c r="Q545" i="17"/>
  <c r="H545" i="17" s="1"/>
  <c r="P546" i="17"/>
  <c r="Q546" i="17"/>
  <c r="H546" i="17" s="1"/>
  <c r="P547" i="17"/>
  <c r="Q547" i="17"/>
  <c r="P548" i="17"/>
  <c r="Q548" i="17"/>
  <c r="P549" i="17"/>
  <c r="G549" i="17" s="1"/>
  <c r="Q549" i="17"/>
  <c r="H549" i="17" s="1"/>
  <c r="P550" i="17"/>
  <c r="G550" i="17" s="1"/>
  <c r="Q550" i="17"/>
  <c r="H550" i="17" s="1"/>
  <c r="P551" i="17"/>
  <c r="Q551" i="17"/>
  <c r="P552" i="17"/>
  <c r="G552" i="17" s="1"/>
  <c r="Q552" i="17"/>
  <c r="P553" i="17"/>
  <c r="G553" i="17" s="1"/>
  <c r="Q553" i="17"/>
  <c r="H553" i="17" s="1"/>
  <c r="P554" i="17"/>
  <c r="Q554" i="17"/>
  <c r="H554" i="17" s="1"/>
  <c r="P555" i="17"/>
  <c r="Q555" i="17"/>
  <c r="P556" i="17"/>
  <c r="G556" i="17" s="1"/>
  <c r="Q556" i="17"/>
  <c r="H556" i="17" s="1"/>
  <c r="P557" i="17"/>
  <c r="Q557" i="17"/>
  <c r="H557" i="17" s="1"/>
  <c r="P558" i="17"/>
  <c r="G558" i="17" s="1"/>
  <c r="Q558" i="17"/>
  <c r="H558" i="17" s="1"/>
  <c r="P559" i="17"/>
  <c r="G559" i="17" s="1"/>
  <c r="Q559" i="17"/>
  <c r="P560" i="17"/>
  <c r="G560" i="17" s="1"/>
  <c r="Q560" i="17"/>
  <c r="P561" i="17"/>
  <c r="G561" i="17" s="1"/>
  <c r="Q561" i="17"/>
  <c r="H561" i="17" s="1"/>
  <c r="P562" i="17"/>
  <c r="G562" i="17" s="1"/>
  <c r="Q562" i="17"/>
  <c r="P563" i="17"/>
  <c r="Q563" i="17"/>
  <c r="P564" i="17"/>
  <c r="G564" i="17" s="1"/>
  <c r="Q564" i="17"/>
  <c r="H564" i="17" s="1"/>
  <c r="P565" i="17"/>
  <c r="G565" i="17" s="1"/>
  <c r="Q565" i="17"/>
  <c r="P566" i="17"/>
  <c r="G566" i="17" s="1"/>
  <c r="Q566" i="17"/>
  <c r="H566" i="17" s="1"/>
  <c r="P567" i="17"/>
  <c r="G567" i="17" s="1"/>
  <c r="Q567" i="17"/>
  <c r="H567" i="17" s="1"/>
  <c r="P568" i="17"/>
  <c r="Q568" i="17"/>
  <c r="P569" i="17"/>
  <c r="G569" i="17" s="1"/>
  <c r="Q569" i="17"/>
  <c r="P570" i="17"/>
  <c r="G570" i="17" s="1"/>
  <c r="Q570" i="17"/>
  <c r="H570" i="17" s="1"/>
  <c r="P571" i="17"/>
  <c r="Q571" i="17"/>
  <c r="P572" i="17"/>
  <c r="G572" i="17" s="1"/>
  <c r="Q572" i="17"/>
  <c r="P573" i="17"/>
  <c r="G573" i="17" s="1"/>
  <c r="Q573" i="17"/>
  <c r="H573" i="17" s="1"/>
  <c r="P574" i="17"/>
  <c r="G574" i="17" s="1"/>
  <c r="Q574" i="17"/>
  <c r="H574" i="17" s="1"/>
  <c r="P575" i="17"/>
  <c r="Q575" i="17"/>
  <c r="P576" i="17"/>
  <c r="G576" i="17" s="1"/>
  <c r="Q576" i="17"/>
  <c r="P577" i="17"/>
  <c r="Q577" i="17"/>
  <c r="P578" i="17"/>
  <c r="Q578" i="17"/>
  <c r="P579" i="17"/>
  <c r="Q579" i="17"/>
  <c r="P580" i="17"/>
  <c r="Q580" i="17"/>
  <c r="P581" i="17"/>
  <c r="Q581" i="17"/>
  <c r="P582" i="17"/>
  <c r="G582" i="17" s="1"/>
  <c r="Q582" i="17"/>
  <c r="H582" i="17" s="1"/>
  <c r="P583" i="17"/>
  <c r="G583" i="17" s="1"/>
  <c r="Q583" i="17"/>
  <c r="H583" i="17" s="1"/>
  <c r="P584" i="17"/>
  <c r="G584" i="17" s="1"/>
  <c r="Q584" i="17"/>
  <c r="P585" i="17"/>
  <c r="G585" i="17" s="1"/>
  <c r="Q585" i="17"/>
  <c r="H585" i="17" s="1"/>
  <c r="P586" i="17"/>
  <c r="G586" i="17" s="1"/>
  <c r="Q586" i="17"/>
  <c r="H586" i="17" s="1"/>
  <c r="P587" i="17"/>
  <c r="Q587" i="17"/>
  <c r="P588" i="17"/>
  <c r="G588" i="17" s="1"/>
  <c r="Q588" i="17"/>
  <c r="H588" i="17" s="1"/>
  <c r="P589" i="17"/>
  <c r="G589" i="17" s="1"/>
  <c r="Q589" i="17"/>
  <c r="H589" i="17" s="1"/>
  <c r="P590" i="17"/>
  <c r="G590" i="17" s="1"/>
  <c r="Q590" i="17"/>
  <c r="H590" i="17" s="1"/>
  <c r="P591" i="17"/>
  <c r="G591" i="17" s="1"/>
  <c r="Q591" i="17"/>
  <c r="P592" i="17"/>
  <c r="G592" i="17" s="1"/>
  <c r="Q592" i="17"/>
  <c r="P593" i="17"/>
  <c r="G593" i="17" s="1"/>
  <c r="Q593" i="17"/>
  <c r="H593" i="17" s="1"/>
  <c r="P594" i="17"/>
  <c r="G594" i="17" s="1"/>
  <c r="Q594" i="17"/>
  <c r="P595" i="17"/>
  <c r="Q595" i="17"/>
  <c r="P596" i="17"/>
  <c r="G596" i="17" s="1"/>
  <c r="Q596" i="17"/>
  <c r="H596" i="17" s="1"/>
  <c r="P597" i="17"/>
  <c r="G597" i="17" s="1"/>
  <c r="Q597" i="17"/>
  <c r="P598" i="17"/>
  <c r="G598" i="17" s="1"/>
  <c r="Q598" i="17"/>
  <c r="H598" i="17" s="1"/>
  <c r="P599" i="17"/>
  <c r="G599" i="17" s="1"/>
  <c r="Q599" i="17"/>
  <c r="H599" i="17" s="1"/>
  <c r="P600" i="17"/>
  <c r="Q600" i="17"/>
  <c r="P601" i="17"/>
  <c r="G601" i="17" s="1"/>
  <c r="Q601" i="17"/>
  <c r="P602" i="17"/>
  <c r="G602" i="17" s="1"/>
  <c r="Q602" i="17"/>
  <c r="H602" i="17" s="1"/>
  <c r="P603" i="17"/>
  <c r="Q603" i="17"/>
  <c r="P604" i="17"/>
  <c r="Q604" i="17"/>
  <c r="P605" i="17"/>
  <c r="G605" i="17" s="1"/>
  <c r="Q605" i="17"/>
  <c r="H605" i="17" s="1"/>
  <c r="P606" i="17"/>
  <c r="G606" i="17" s="1"/>
  <c r="Q606" i="17"/>
  <c r="H606" i="17" s="1"/>
  <c r="P607" i="17"/>
  <c r="G607" i="17" s="1"/>
  <c r="Q607" i="17"/>
  <c r="H607" i="17" s="1"/>
  <c r="P608" i="17"/>
  <c r="G608" i="17" s="1"/>
  <c r="Q608" i="17"/>
  <c r="P609" i="17"/>
  <c r="G609" i="17" s="1"/>
  <c r="Q609" i="17"/>
  <c r="P610" i="17"/>
  <c r="G610" i="17" s="1"/>
  <c r="Q610" i="17"/>
  <c r="H610" i="17" s="1"/>
  <c r="P611" i="17"/>
  <c r="Q611" i="17"/>
  <c r="P612" i="17"/>
  <c r="Q612" i="17"/>
  <c r="P613" i="17"/>
  <c r="G613" i="17" s="1"/>
  <c r="Q613" i="17"/>
  <c r="H613" i="17" s="1"/>
  <c r="P614" i="17"/>
  <c r="G614" i="17" s="1"/>
  <c r="Q614" i="17"/>
  <c r="H614" i="17" s="1"/>
  <c r="P615" i="17"/>
  <c r="G615" i="17" s="1"/>
  <c r="Q615" i="17"/>
  <c r="H615" i="17" s="1"/>
  <c r="P616" i="17"/>
  <c r="G616" i="17" s="1"/>
  <c r="Q616" i="17"/>
  <c r="P617" i="17"/>
  <c r="G617" i="17" s="1"/>
  <c r="Q617" i="17"/>
  <c r="P618" i="17"/>
  <c r="G618" i="17" s="1"/>
  <c r="Q618" i="17"/>
  <c r="H618" i="17" s="1"/>
  <c r="P619" i="17"/>
  <c r="Q619" i="17"/>
  <c r="P620" i="17"/>
  <c r="Q620" i="17"/>
  <c r="P621" i="17"/>
  <c r="G621" i="17" s="1"/>
  <c r="Q621" i="17"/>
  <c r="H621" i="17" s="1"/>
  <c r="P622" i="17"/>
  <c r="G622" i="17" s="1"/>
  <c r="Q622" i="17"/>
  <c r="H622" i="17" s="1"/>
  <c r="P623" i="17"/>
  <c r="G623" i="17" s="1"/>
  <c r="Q623" i="17"/>
  <c r="H623" i="17" s="1"/>
  <c r="P624" i="17"/>
  <c r="G624" i="17" s="1"/>
  <c r="Q624" i="17"/>
  <c r="P625" i="17"/>
  <c r="G625" i="17" s="1"/>
  <c r="Q625" i="17"/>
  <c r="P626" i="17"/>
  <c r="G626" i="17" s="1"/>
  <c r="Q626" i="17"/>
  <c r="H626" i="17" s="1"/>
  <c r="P627" i="17"/>
  <c r="Q627" i="17"/>
  <c r="P628" i="17"/>
  <c r="Q628" i="17"/>
  <c r="P629" i="17"/>
  <c r="G629" i="17" s="1"/>
  <c r="Q629" i="17"/>
  <c r="H629" i="17" s="1"/>
  <c r="P630" i="17"/>
  <c r="G630" i="17" s="1"/>
  <c r="Q630" i="17"/>
  <c r="H630" i="17" s="1"/>
  <c r="P631" i="17"/>
  <c r="G631" i="17" s="1"/>
  <c r="Q631" i="17"/>
  <c r="H631" i="17" s="1"/>
  <c r="P632" i="17"/>
  <c r="G632" i="17" s="1"/>
  <c r="Q632" i="17"/>
  <c r="P633" i="17"/>
  <c r="G633" i="17" s="1"/>
  <c r="Q633" i="17"/>
  <c r="P634" i="17"/>
  <c r="G634" i="17" s="1"/>
  <c r="Q634" i="17"/>
  <c r="H634" i="17" s="1"/>
  <c r="P635" i="17"/>
  <c r="Q635" i="17"/>
  <c r="P636" i="17"/>
  <c r="Q636" i="17"/>
  <c r="P637" i="17"/>
  <c r="G637" i="17" s="1"/>
  <c r="Q637" i="17"/>
  <c r="H637" i="17" s="1"/>
  <c r="P638" i="17"/>
  <c r="G638" i="17" s="1"/>
  <c r="Q638" i="17"/>
  <c r="H638" i="17" s="1"/>
  <c r="P639" i="17"/>
  <c r="G639" i="17" s="1"/>
  <c r="Q639" i="17"/>
  <c r="H639" i="17" s="1"/>
  <c r="P640" i="17"/>
  <c r="G640" i="17" s="1"/>
  <c r="Q640" i="17"/>
  <c r="P641" i="17"/>
  <c r="G641" i="17" s="1"/>
  <c r="Q641" i="17"/>
  <c r="P642" i="17"/>
  <c r="G642" i="17" s="1"/>
  <c r="Q642" i="17"/>
  <c r="H642" i="17" s="1"/>
  <c r="P643" i="17"/>
  <c r="Q643" i="17"/>
  <c r="P644" i="17"/>
  <c r="Q644" i="17"/>
  <c r="P645" i="17"/>
  <c r="G645" i="17" s="1"/>
  <c r="Q645" i="17"/>
  <c r="H645" i="17" s="1"/>
  <c r="P646" i="17"/>
  <c r="G646" i="17" s="1"/>
  <c r="Q646" i="17"/>
  <c r="H646" i="17" s="1"/>
  <c r="P647" i="17"/>
  <c r="G647" i="17" s="1"/>
  <c r="Q647" i="17"/>
  <c r="H647" i="17" s="1"/>
  <c r="P648" i="17"/>
  <c r="G648" i="17" s="1"/>
  <c r="Q648" i="17"/>
  <c r="P649" i="17"/>
  <c r="G649" i="17" s="1"/>
  <c r="Q649" i="17"/>
  <c r="P650" i="17"/>
  <c r="G650" i="17" s="1"/>
  <c r="Q650" i="17"/>
  <c r="H650" i="17" s="1"/>
  <c r="P651" i="17"/>
  <c r="Q651" i="17"/>
  <c r="P652" i="17"/>
  <c r="Q652" i="17"/>
  <c r="P653" i="17"/>
  <c r="G653" i="17" s="1"/>
  <c r="Q653" i="17"/>
  <c r="H653" i="17" s="1"/>
  <c r="P654" i="17"/>
  <c r="G654" i="17" s="1"/>
  <c r="Q654" i="17"/>
  <c r="H654" i="17" s="1"/>
  <c r="P655" i="17"/>
  <c r="G655" i="17" s="1"/>
  <c r="Q655" i="17"/>
  <c r="H655" i="17" s="1"/>
  <c r="P656" i="17"/>
  <c r="G656" i="17" s="1"/>
  <c r="Q656" i="17"/>
  <c r="P657" i="17"/>
  <c r="G657" i="17" s="1"/>
  <c r="Q657" i="17"/>
  <c r="P658" i="17"/>
  <c r="G658" i="17" s="1"/>
  <c r="Q658" i="17"/>
  <c r="H658" i="17" s="1"/>
  <c r="P659" i="17"/>
  <c r="Q659" i="17"/>
  <c r="P660" i="17"/>
  <c r="Q660" i="17"/>
  <c r="P661" i="17"/>
  <c r="G661" i="17" s="1"/>
  <c r="Q661" i="17"/>
  <c r="H661" i="17" s="1"/>
  <c r="P662" i="17"/>
  <c r="G662" i="17" s="1"/>
  <c r="Q662" i="17"/>
  <c r="H662" i="17" s="1"/>
  <c r="P663" i="17"/>
  <c r="G663" i="17" s="1"/>
  <c r="Q663" i="17"/>
  <c r="H663" i="17" s="1"/>
  <c r="P664" i="17"/>
  <c r="G664" i="17" s="1"/>
  <c r="Q664" i="17"/>
  <c r="P665" i="17"/>
  <c r="G665" i="17" s="1"/>
  <c r="Q665" i="17"/>
  <c r="P666" i="17"/>
  <c r="G666" i="17" s="1"/>
  <c r="Q666" i="17"/>
  <c r="H666" i="17" s="1"/>
  <c r="P667" i="17"/>
  <c r="Q667" i="17"/>
  <c r="P668" i="17"/>
  <c r="Q668" i="17"/>
  <c r="P669" i="17"/>
  <c r="G669" i="17" s="1"/>
  <c r="Q669" i="17"/>
  <c r="H669" i="17" s="1"/>
  <c r="P670" i="17"/>
  <c r="G670" i="17" s="1"/>
  <c r="Q670" i="17"/>
  <c r="H670" i="17" s="1"/>
  <c r="P671" i="17"/>
  <c r="G671" i="17" s="1"/>
  <c r="Q671" i="17"/>
  <c r="H671" i="17" s="1"/>
  <c r="P672" i="17"/>
  <c r="G672" i="17" s="1"/>
  <c r="Q672" i="17"/>
  <c r="P673" i="17"/>
  <c r="G673" i="17" s="1"/>
  <c r="Q673" i="17"/>
  <c r="P674" i="17"/>
  <c r="G674" i="17" s="1"/>
  <c r="Q674" i="17"/>
  <c r="H674" i="17" s="1"/>
  <c r="P675" i="17"/>
  <c r="Q675" i="17"/>
  <c r="P676" i="17"/>
  <c r="Q676" i="17"/>
  <c r="P677" i="17"/>
  <c r="G677" i="17" s="1"/>
  <c r="Q677" i="17"/>
  <c r="H677" i="17" s="1"/>
  <c r="P678" i="17"/>
  <c r="G678" i="17" s="1"/>
  <c r="Q678" i="17"/>
  <c r="H678" i="17" s="1"/>
  <c r="P679" i="17"/>
  <c r="G679" i="17" s="1"/>
  <c r="Q679" i="17"/>
  <c r="H679" i="17" s="1"/>
  <c r="P680" i="17"/>
  <c r="G680" i="17" s="1"/>
  <c r="Q680" i="17"/>
  <c r="P681" i="17"/>
  <c r="G681" i="17" s="1"/>
  <c r="Q681" i="17"/>
  <c r="P682" i="17"/>
  <c r="G682" i="17" s="1"/>
  <c r="Q682" i="17"/>
  <c r="H682" i="17" s="1"/>
  <c r="P683" i="17"/>
  <c r="Q683" i="17"/>
  <c r="P684" i="17"/>
  <c r="Q684" i="17"/>
  <c r="P685" i="17"/>
  <c r="G685" i="17" s="1"/>
  <c r="Q685" i="17"/>
  <c r="H685" i="17" s="1"/>
  <c r="P686" i="17"/>
  <c r="G686" i="17" s="1"/>
  <c r="Q686" i="17"/>
  <c r="H686" i="17" s="1"/>
  <c r="P687" i="17"/>
  <c r="G687" i="17" s="1"/>
  <c r="Q687" i="17"/>
  <c r="H687" i="17" s="1"/>
  <c r="P688" i="17"/>
  <c r="G688" i="17" s="1"/>
  <c r="Q688" i="17"/>
  <c r="P689" i="17"/>
  <c r="G689" i="17" s="1"/>
  <c r="Q689" i="17"/>
  <c r="P690" i="17"/>
  <c r="G690" i="17" s="1"/>
  <c r="Q690" i="17"/>
  <c r="H690" i="17" s="1"/>
  <c r="P691" i="17"/>
  <c r="Q691" i="17"/>
  <c r="P692" i="17"/>
  <c r="Q692" i="17"/>
  <c r="P693" i="17"/>
  <c r="G693" i="17" s="1"/>
  <c r="Q693" i="17"/>
  <c r="H693" i="17" s="1"/>
  <c r="Q3" i="17"/>
  <c r="P3" i="17"/>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P4" i="16"/>
  <c r="Q4" i="16"/>
  <c r="P5" i="16"/>
  <c r="Q5" i="16"/>
  <c r="P6" i="16"/>
  <c r="Q6" i="16"/>
  <c r="P7" i="16"/>
  <c r="Q7" i="16"/>
  <c r="P8" i="16"/>
  <c r="Q8" i="16"/>
  <c r="P9" i="16"/>
  <c r="Q9" i="16"/>
  <c r="P10" i="16"/>
  <c r="Q10" i="16"/>
  <c r="P11" i="16"/>
  <c r="Q11" i="16"/>
  <c r="P12" i="16"/>
  <c r="Q12" i="16"/>
  <c r="P13" i="16"/>
  <c r="Q13" i="16"/>
  <c r="P14" i="16"/>
  <c r="Q14" i="16"/>
  <c r="P15" i="16"/>
  <c r="Q15" i="16"/>
  <c r="P16" i="16"/>
  <c r="Q16" i="16"/>
  <c r="P17" i="16"/>
  <c r="Q17" i="16"/>
  <c r="P18" i="16"/>
  <c r="Q18" i="16"/>
  <c r="P19" i="16"/>
  <c r="Q19" i="16"/>
  <c r="P20" i="16"/>
  <c r="Q20" i="16"/>
  <c r="P21" i="16"/>
  <c r="Q21" i="16"/>
  <c r="P22" i="16"/>
  <c r="Q22" i="16"/>
  <c r="P23" i="16"/>
  <c r="Q23" i="16"/>
  <c r="P24" i="16"/>
  <c r="Q24" i="16"/>
  <c r="P25" i="16"/>
  <c r="Q25" i="16"/>
  <c r="P26" i="16"/>
  <c r="Q26" i="16"/>
  <c r="P27" i="16"/>
  <c r="Q27" i="16"/>
  <c r="P28" i="16"/>
  <c r="Q28" i="16"/>
  <c r="P29" i="16"/>
  <c r="Q29" i="16"/>
  <c r="P30" i="16"/>
  <c r="Q30" i="16"/>
  <c r="P31" i="16"/>
  <c r="Q31" i="16"/>
  <c r="P32" i="16"/>
  <c r="Q32" i="16"/>
  <c r="P33" i="16"/>
  <c r="Q33" i="16"/>
  <c r="P34" i="16"/>
  <c r="Q34" i="16"/>
  <c r="P35" i="16"/>
  <c r="Q35" i="16"/>
  <c r="P36" i="16"/>
  <c r="Q36" i="16"/>
  <c r="P37" i="16"/>
  <c r="Q37" i="16"/>
  <c r="P38" i="16"/>
  <c r="Q38" i="16"/>
  <c r="P39" i="16"/>
  <c r="Q39" i="16"/>
  <c r="P40" i="16"/>
  <c r="Q40" i="16"/>
  <c r="P41" i="16"/>
  <c r="Q41" i="16"/>
  <c r="P42" i="16"/>
  <c r="Q42" i="16"/>
  <c r="P43" i="16"/>
  <c r="Q43" i="16"/>
  <c r="P44" i="16"/>
  <c r="Q44" i="16"/>
  <c r="P45" i="16"/>
  <c r="Q45" i="16"/>
  <c r="P46" i="16"/>
  <c r="Q46" i="16"/>
  <c r="P47" i="16"/>
  <c r="Q47" i="16"/>
  <c r="P48" i="16"/>
  <c r="Q48" i="16"/>
  <c r="P49" i="16"/>
  <c r="Q49" i="16"/>
  <c r="P50" i="16"/>
  <c r="Q50" i="16"/>
  <c r="P51" i="16"/>
  <c r="Q51" i="16"/>
  <c r="P52" i="16"/>
  <c r="Q52" i="16"/>
  <c r="P53" i="16"/>
  <c r="Q53" i="16"/>
  <c r="P54" i="16"/>
  <c r="Q54" i="16"/>
  <c r="P55" i="16"/>
  <c r="Q55" i="16"/>
  <c r="P56" i="16"/>
  <c r="Q56" i="16"/>
  <c r="P57" i="16"/>
  <c r="Q57" i="16"/>
  <c r="P58" i="16"/>
  <c r="Q58" i="16"/>
  <c r="P59" i="16"/>
  <c r="Q59" i="16"/>
  <c r="P60" i="16"/>
  <c r="Q60" i="16"/>
  <c r="P61" i="16"/>
  <c r="Q61" i="16"/>
  <c r="P62" i="16"/>
  <c r="Q62" i="16"/>
  <c r="P63" i="16"/>
  <c r="Q63" i="16"/>
  <c r="P64" i="16"/>
  <c r="Q64" i="16"/>
  <c r="P65" i="16"/>
  <c r="Q65" i="16"/>
  <c r="P66" i="16"/>
  <c r="Q66" i="16"/>
  <c r="P67" i="16"/>
  <c r="Q67" i="16"/>
  <c r="P68" i="16"/>
  <c r="Q68" i="16"/>
  <c r="P69" i="16"/>
  <c r="Q69" i="16"/>
  <c r="P70" i="16"/>
  <c r="Q70" i="16"/>
  <c r="P71" i="16"/>
  <c r="Q71" i="16"/>
  <c r="P72" i="16"/>
  <c r="Q72" i="16"/>
  <c r="P73" i="16"/>
  <c r="Q73" i="16"/>
  <c r="P74" i="16"/>
  <c r="Q74" i="16"/>
  <c r="P75" i="16"/>
  <c r="Q75" i="16"/>
  <c r="P76" i="16"/>
  <c r="Q76" i="16"/>
  <c r="P77" i="16"/>
  <c r="Q77" i="16"/>
  <c r="P78" i="16"/>
  <c r="Q78" i="16"/>
  <c r="P79" i="16"/>
  <c r="Q79" i="16"/>
  <c r="P80" i="16"/>
  <c r="Q80" i="16"/>
  <c r="P81" i="16"/>
  <c r="Q81" i="16"/>
  <c r="P82" i="16"/>
  <c r="Q82" i="16"/>
  <c r="P83" i="16"/>
  <c r="Q83" i="16"/>
  <c r="P84" i="16"/>
  <c r="Q84" i="16"/>
  <c r="P85" i="16"/>
  <c r="Q85" i="16"/>
  <c r="P86" i="16"/>
  <c r="Q86" i="16"/>
  <c r="P87" i="16"/>
  <c r="Q87" i="16"/>
  <c r="P88" i="16"/>
  <c r="Q88" i="16"/>
  <c r="P89" i="16"/>
  <c r="Q89" i="16"/>
  <c r="P90" i="16"/>
  <c r="Q90" i="16"/>
  <c r="P91" i="16"/>
  <c r="Q91" i="16"/>
  <c r="P92" i="16"/>
  <c r="Q92" i="16"/>
  <c r="P93" i="16"/>
  <c r="Q93" i="16"/>
  <c r="P94" i="16"/>
  <c r="Q94" i="16"/>
  <c r="P95" i="16"/>
  <c r="Q95" i="16"/>
  <c r="P96" i="16"/>
  <c r="Q96" i="16"/>
  <c r="P97" i="16"/>
  <c r="Q97" i="16"/>
  <c r="P98" i="16"/>
  <c r="Q98" i="16"/>
  <c r="P99" i="16"/>
  <c r="Q99" i="16"/>
  <c r="P100" i="16"/>
  <c r="Q100" i="16"/>
  <c r="P101" i="16"/>
  <c r="Q101" i="16"/>
  <c r="P102" i="16"/>
  <c r="Q102" i="16"/>
  <c r="P103" i="16"/>
  <c r="Q103" i="16"/>
  <c r="P104" i="16"/>
  <c r="Q104" i="16"/>
  <c r="P105" i="16"/>
  <c r="Q105" i="16"/>
  <c r="P106" i="16"/>
  <c r="Q106" i="16"/>
  <c r="P107" i="16"/>
  <c r="Q107" i="16"/>
  <c r="P108" i="16"/>
  <c r="Q108" i="16"/>
  <c r="P109" i="16"/>
  <c r="Q109" i="16"/>
  <c r="P110" i="16"/>
  <c r="Q110" i="16"/>
  <c r="P111" i="16"/>
  <c r="Q111" i="16"/>
  <c r="P112" i="16"/>
  <c r="Q112" i="16"/>
  <c r="P113" i="16"/>
  <c r="Q113" i="16"/>
  <c r="P114" i="16"/>
  <c r="Q114" i="16"/>
  <c r="P115" i="16"/>
  <c r="Q115" i="16"/>
  <c r="P116" i="16"/>
  <c r="Q116" i="16"/>
  <c r="P117" i="16"/>
  <c r="Q117" i="16"/>
  <c r="P118" i="16"/>
  <c r="Q118" i="16"/>
  <c r="P119" i="16"/>
  <c r="Q119" i="16"/>
  <c r="P120" i="16"/>
  <c r="Q120" i="16"/>
  <c r="P121" i="16"/>
  <c r="Q121" i="16"/>
  <c r="P122" i="16"/>
  <c r="Q122" i="16"/>
  <c r="P123" i="16"/>
  <c r="Q123" i="16"/>
  <c r="P124" i="16"/>
  <c r="Q124" i="16"/>
  <c r="P125" i="16"/>
  <c r="Q125" i="16"/>
  <c r="P126" i="16"/>
  <c r="Q126" i="16"/>
  <c r="P127" i="16"/>
  <c r="Q127" i="16"/>
  <c r="P128" i="16"/>
  <c r="Q128" i="16"/>
  <c r="P129" i="16"/>
  <c r="Q129" i="16"/>
  <c r="P130" i="16"/>
  <c r="Q130" i="16"/>
  <c r="P131" i="16"/>
  <c r="Q131" i="16"/>
  <c r="P132" i="16"/>
  <c r="Q132" i="16"/>
  <c r="P133" i="16"/>
  <c r="Q133" i="16"/>
  <c r="P134" i="16"/>
  <c r="Q134" i="16"/>
  <c r="P135" i="16"/>
  <c r="Q135" i="16"/>
  <c r="P136" i="16"/>
  <c r="Q136" i="16"/>
  <c r="P137" i="16"/>
  <c r="Q137" i="16"/>
  <c r="P138" i="16"/>
  <c r="Q138" i="16"/>
  <c r="P139" i="16"/>
  <c r="Q139" i="16"/>
  <c r="P140" i="16"/>
  <c r="Q140" i="16"/>
  <c r="P141" i="16"/>
  <c r="Q141" i="16"/>
  <c r="P142" i="16"/>
  <c r="Q142" i="16"/>
  <c r="P143" i="16"/>
  <c r="Q143" i="16"/>
  <c r="P144" i="16"/>
  <c r="Q144" i="16"/>
  <c r="P145" i="16"/>
  <c r="Q145" i="16"/>
  <c r="P146" i="16"/>
  <c r="Q146" i="16"/>
  <c r="P147" i="16"/>
  <c r="Q147" i="16"/>
  <c r="P148" i="16"/>
  <c r="Q148" i="16"/>
  <c r="P149" i="16"/>
  <c r="Q149" i="16"/>
  <c r="P150" i="16"/>
  <c r="Q150" i="16"/>
  <c r="P151" i="16"/>
  <c r="Q151" i="16"/>
  <c r="P152" i="16"/>
  <c r="Q152" i="16"/>
  <c r="P153" i="16"/>
  <c r="Q153" i="16"/>
  <c r="P154" i="16"/>
  <c r="Q154" i="16"/>
  <c r="P155" i="16"/>
  <c r="Q155" i="16"/>
  <c r="P156" i="16"/>
  <c r="Q156" i="16"/>
  <c r="P157" i="16"/>
  <c r="Q157" i="16"/>
  <c r="P158" i="16"/>
  <c r="Q158" i="16"/>
  <c r="P159" i="16"/>
  <c r="Q159" i="16"/>
  <c r="P160" i="16"/>
  <c r="Q160" i="16"/>
  <c r="P161" i="16"/>
  <c r="Q161" i="16"/>
  <c r="P162" i="16"/>
  <c r="Q162" i="16"/>
  <c r="P163" i="16"/>
  <c r="Q163" i="16"/>
  <c r="P164" i="16"/>
  <c r="Q164" i="16"/>
  <c r="P165" i="16"/>
  <c r="Q165" i="16"/>
  <c r="P166" i="16"/>
  <c r="Q166" i="16"/>
  <c r="P167" i="16"/>
  <c r="Q167" i="16"/>
  <c r="P168" i="16"/>
  <c r="Q168" i="16"/>
  <c r="P169" i="16"/>
  <c r="Q169" i="16"/>
  <c r="P170" i="16"/>
  <c r="Q170" i="16"/>
  <c r="P171" i="16"/>
  <c r="Q171" i="16"/>
  <c r="P172" i="16"/>
  <c r="Q172" i="16"/>
  <c r="P173" i="16"/>
  <c r="Q173" i="16"/>
  <c r="P174" i="16"/>
  <c r="Q174" i="16"/>
  <c r="P175" i="16"/>
  <c r="Q175" i="16"/>
  <c r="P176" i="16"/>
  <c r="Q176" i="16"/>
  <c r="P177" i="16"/>
  <c r="Q177" i="16"/>
  <c r="P178" i="16"/>
  <c r="Q178" i="16"/>
  <c r="P179" i="16"/>
  <c r="Q179" i="16"/>
  <c r="P180" i="16"/>
  <c r="Q180" i="16"/>
  <c r="P181" i="16"/>
  <c r="Q181" i="16"/>
  <c r="P182" i="16"/>
  <c r="Q182" i="16"/>
  <c r="P183" i="16"/>
  <c r="Q183" i="16"/>
  <c r="P184" i="16"/>
  <c r="Q184" i="16"/>
  <c r="P185" i="16"/>
  <c r="Q185" i="16"/>
  <c r="P186" i="16"/>
  <c r="Q186" i="16"/>
  <c r="P187" i="16"/>
  <c r="Q187" i="16"/>
  <c r="P188" i="16"/>
  <c r="Q188" i="16"/>
  <c r="P189" i="16"/>
  <c r="Q189" i="16"/>
  <c r="P190" i="16"/>
  <c r="Q190" i="16"/>
  <c r="P191" i="16"/>
  <c r="Q191" i="16"/>
  <c r="P192" i="16"/>
  <c r="Q192" i="16"/>
  <c r="P193" i="16"/>
  <c r="Q193" i="16"/>
  <c r="P194" i="16"/>
  <c r="Q194" i="16"/>
  <c r="P195" i="16"/>
  <c r="Q195" i="16"/>
  <c r="P196" i="16"/>
  <c r="Q196" i="16"/>
  <c r="P197" i="16"/>
  <c r="Q197" i="16"/>
  <c r="P198" i="16"/>
  <c r="Q198" i="16"/>
  <c r="P199" i="16"/>
  <c r="Q199" i="16"/>
  <c r="P200" i="16"/>
  <c r="Q200" i="16"/>
  <c r="P201" i="16"/>
  <c r="Q201" i="16"/>
  <c r="P202" i="16"/>
  <c r="Q202" i="16"/>
  <c r="P203" i="16"/>
  <c r="Q203" i="16"/>
  <c r="P204" i="16"/>
  <c r="Q204" i="16"/>
  <c r="P205" i="16"/>
  <c r="Q205" i="16"/>
  <c r="P206" i="16"/>
  <c r="Q206" i="16"/>
  <c r="P207" i="16"/>
  <c r="Q207" i="16"/>
  <c r="P208" i="16"/>
  <c r="Q208" i="16"/>
  <c r="P209" i="16"/>
  <c r="Q209" i="16"/>
  <c r="P210" i="16"/>
  <c r="Q210" i="16"/>
  <c r="P211" i="16"/>
  <c r="Q211" i="16"/>
  <c r="P212" i="16"/>
  <c r="Q212" i="16"/>
  <c r="P213" i="16"/>
  <c r="Q213" i="16"/>
  <c r="P214" i="16"/>
  <c r="Q214" i="16"/>
  <c r="P215" i="16"/>
  <c r="Q215" i="16"/>
  <c r="P216" i="16"/>
  <c r="Q216" i="16"/>
  <c r="P217" i="16"/>
  <c r="Q217" i="16"/>
  <c r="P218" i="16"/>
  <c r="Q218" i="16"/>
  <c r="P219" i="16"/>
  <c r="Q219" i="16"/>
  <c r="P220" i="16"/>
  <c r="Q220" i="16"/>
  <c r="P221" i="16"/>
  <c r="Q221" i="16"/>
  <c r="P222" i="16"/>
  <c r="Q222" i="16"/>
  <c r="P223" i="16"/>
  <c r="Q223" i="16"/>
  <c r="P224" i="16"/>
  <c r="Q224" i="16"/>
  <c r="P225" i="16"/>
  <c r="Q225" i="16"/>
  <c r="P226" i="16"/>
  <c r="Q226" i="16"/>
  <c r="P227" i="16"/>
  <c r="Q227" i="16"/>
  <c r="P228" i="16"/>
  <c r="Q228" i="16"/>
  <c r="P229" i="16"/>
  <c r="Q229" i="16"/>
  <c r="P230" i="16"/>
  <c r="Q230" i="16"/>
  <c r="P231" i="16"/>
  <c r="Q231" i="16"/>
  <c r="P232" i="16"/>
  <c r="Q232" i="16"/>
  <c r="P233" i="16"/>
  <c r="Q233" i="16"/>
  <c r="P234" i="16"/>
  <c r="Q234" i="16"/>
  <c r="P235" i="16"/>
  <c r="Q235" i="16"/>
  <c r="P236" i="16"/>
  <c r="Q236" i="16"/>
  <c r="P237" i="16"/>
  <c r="Q237" i="16"/>
  <c r="P238" i="16"/>
  <c r="Q238" i="16"/>
  <c r="P239" i="16"/>
  <c r="Q239" i="16"/>
  <c r="P240" i="16"/>
  <c r="Q240" i="16"/>
  <c r="P241" i="16"/>
  <c r="Q241" i="16"/>
  <c r="P242" i="16"/>
  <c r="Q242" i="16"/>
  <c r="P243" i="16"/>
  <c r="Q243" i="16"/>
  <c r="P244" i="16"/>
  <c r="Q244" i="16"/>
  <c r="P245" i="16"/>
  <c r="Q245" i="16"/>
  <c r="P246" i="16"/>
  <c r="Q246" i="16"/>
  <c r="P247" i="16"/>
  <c r="Q247" i="16"/>
  <c r="P248" i="16"/>
  <c r="Q248" i="16"/>
  <c r="P249" i="16"/>
  <c r="Q249" i="16"/>
  <c r="P250" i="16"/>
  <c r="Q250" i="16"/>
  <c r="P251" i="16"/>
  <c r="Q251" i="16"/>
  <c r="P252" i="16"/>
  <c r="Q252" i="16"/>
  <c r="P253" i="16"/>
  <c r="Q253" i="16"/>
  <c r="P254" i="16"/>
  <c r="Q254" i="16"/>
  <c r="P255" i="16"/>
  <c r="Q255" i="16"/>
  <c r="P256" i="16"/>
  <c r="Q256" i="16"/>
  <c r="P257" i="16"/>
  <c r="Q257" i="16"/>
  <c r="P258" i="16"/>
  <c r="Q258" i="16"/>
  <c r="P259" i="16"/>
  <c r="Q259" i="16"/>
  <c r="P260" i="16"/>
  <c r="Q260" i="16"/>
  <c r="P261" i="16"/>
  <c r="Q261" i="16"/>
  <c r="P262" i="16"/>
  <c r="Q262" i="16"/>
  <c r="P263" i="16"/>
  <c r="Q263" i="16"/>
  <c r="P264" i="16"/>
  <c r="Q264" i="16"/>
  <c r="P265" i="16"/>
  <c r="Q265" i="16"/>
  <c r="P266" i="16"/>
  <c r="Q266" i="16"/>
  <c r="P267" i="16"/>
  <c r="Q267" i="16"/>
  <c r="P268" i="16"/>
  <c r="Q268" i="16"/>
  <c r="P269" i="16"/>
  <c r="Q269" i="16"/>
  <c r="P270" i="16"/>
  <c r="Q270" i="16"/>
  <c r="P271" i="16"/>
  <c r="Q271" i="16"/>
  <c r="P272" i="16"/>
  <c r="Q272" i="16"/>
  <c r="P273" i="16"/>
  <c r="Q273" i="16"/>
  <c r="P274" i="16"/>
  <c r="Q274" i="16"/>
  <c r="P275" i="16"/>
  <c r="Q275" i="16"/>
  <c r="P276" i="16"/>
  <c r="Q276" i="16"/>
  <c r="P277" i="16"/>
  <c r="Q277" i="16"/>
  <c r="P278" i="16"/>
  <c r="Q278" i="16"/>
  <c r="P279" i="16"/>
  <c r="Q279" i="16"/>
  <c r="P280" i="16"/>
  <c r="Q280" i="16"/>
  <c r="P281" i="16"/>
  <c r="Q281" i="16"/>
  <c r="P282" i="16"/>
  <c r="Q282" i="16"/>
  <c r="P283" i="16"/>
  <c r="Q283" i="16"/>
  <c r="P284" i="16"/>
  <c r="Q284" i="16"/>
  <c r="P285" i="16"/>
  <c r="Q285" i="16"/>
  <c r="P286" i="16"/>
  <c r="Q286" i="16"/>
  <c r="P287" i="16"/>
  <c r="Q287" i="16"/>
  <c r="P288" i="16"/>
  <c r="Q288" i="16"/>
  <c r="P289" i="16"/>
  <c r="Q289" i="16"/>
  <c r="P290" i="16"/>
  <c r="Q290" i="16"/>
  <c r="P291" i="16"/>
  <c r="Q291" i="16"/>
  <c r="P292" i="16"/>
  <c r="Q292" i="16"/>
  <c r="P293" i="16"/>
  <c r="Q293" i="16"/>
  <c r="P294" i="16"/>
  <c r="Q294" i="16"/>
  <c r="P295" i="16"/>
  <c r="Q295" i="16"/>
  <c r="P296" i="16"/>
  <c r="Q296" i="16"/>
  <c r="P297" i="16"/>
  <c r="Q297" i="16"/>
  <c r="P298" i="16"/>
  <c r="Q298" i="16"/>
  <c r="P299" i="16"/>
  <c r="Q299" i="16"/>
  <c r="P300" i="16"/>
  <c r="Q300" i="16"/>
  <c r="P301" i="16"/>
  <c r="Q301" i="16"/>
  <c r="P302" i="16"/>
  <c r="Q302" i="16"/>
  <c r="P303" i="16"/>
  <c r="Q303" i="16"/>
  <c r="P304" i="16"/>
  <c r="Q304" i="16"/>
  <c r="P305" i="16"/>
  <c r="Q305" i="16"/>
  <c r="P306" i="16"/>
  <c r="Q306" i="16"/>
  <c r="P307" i="16"/>
  <c r="Q307" i="16"/>
  <c r="P308" i="16"/>
  <c r="Q308" i="16"/>
  <c r="P309" i="16"/>
  <c r="Q309" i="16"/>
  <c r="P310" i="16"/>
  <c r="Q310" i="16"/>
  <c r="P311" i="16"/>
  <c r="Q311" i="16"/>
  <c r="P312" i="16"/>
  <c r="Q312" i="16"/>
  <c r="P313" i="16"/>
  <c r="Q313" i="16"/>
  <c r="P314" i="16"/>
  <c r="Q314" i="16"/>
  <c r="P315" i="16"/>
  <c r="Q315" i="16"/>
  <c r="P316" i="16"/>
  <c r="Q316" i="16"/>
  <c r="P317" i="16"/>
  <c r="Q317" i="16"/>
  <c r="P318" i="16"/>
  <c r="Q318" i="16"/>
  <c r="P319" i="16"/>
  <c r="Q319" i="16"/>
  <c r="P320" i="16"/>
  <c r="Q320" i="16"/>
  <c r="P321" i="16"/>
  <c r="Q321" i="16"/>
  <c r="P322" i="16"/>
  <c r="Q322" i="16"/>
  <c r="P323" i="16"/>
  <c r="Q323" i="16"/>
  <c r="P324" i="16"/>
  <c r="Q324" i="16"/>
  <c r="P325" i="16"/>
  <c r="Q325" i="16"/>
  <c r="P326" i="16"/>
  <c r="Q326" i="16"/>
  <c r="P327" i="16"/>
  <c r="Q327" i="16"/>
  <c r="P328" i="16"/>
  <c r="Q328" i="16"/>
  <c r="P329" i="16"/>
  <c r="Q329" i="16"/>
  <c r="P330" i="16"/>
  <c r="Q330" i="16"/>
  <c r="P331" i="16"/>
  <c r="Q331" i="16"/>
  <c r="P332" i="16"/>
  <c r="Q332" i="16"/>
  <c r="P333" i="16"/>
  <c r="Q333" i="16"/>
  <c r="P334" i="16"/>
  <c r="Q334" i="16"/>
  <c r="P335" i="16"/>
  <c r="Q335" i="16"/>
  <c r="P336" i="16"/>
  <c r="Q336" i="16"/>
  <c r="P337" i="16"/>
  <c r="Q337" i="16"/>
  <c r="P338" i="16"/>
  <c r="Q338" i="16"/>
  <c r="P339" i="16"/>
  <c r="Q339" i="16"/>
  <c r="P340" i="16"/>
  <c r="Q340" i="16"/>
  <c r="P341" i="16"/>
  <c r="Q341" i="16"/>
  <c r="P342" i="16"/>
  <c r="Q342" i="16"/>
  <c r="P343" i="16"/>
  <c r="Q343" i="16"/>
  <c r="P344" i="16"/>
  <c r="Q344" i="16"/>
  <c r="P345" i="16"/>
  <c r="Q345" i="16"/>
  <c r="P346" i="16"/>
  <c r="Q346" i="16"/>
  <c r="P347" i="16"/>
  <c r="Q347" i="16"/>
  <c r="P348" i="16"/>
  <c r="Q348" i="16"/>
  <c r="P349" i="16"/>
  <c r="Q349" i="16"/>
  <c r="P350" i="16"/>
  <c r="Q350" i="16"/>
  <c r="P351" i="16"/>
  <c r="Q351" i="16"/>
  <c r="P352" i="16"/>
  <c r="Q352" i="16"/>
  <c r="P353" i="16"/>
  <c r="Q353" i="16"/>
  <c r="P354" i="16"/>
  <c r="Q354" i="16"/>
  <c r="P355" i="16"/>
  <c r="Q355" i="16"/>
  <c r="P356" i="16"/>
  <c r="Q356" i="16"/>
  <c r="P357" i="16"/>
  <c r="Q357" i="16"/>
  <c r="P358" i="16"/>
  <c r="Q358" i="16"/>
  <c r="P359" i="16"/>
  <c r="Q359" i="16"/>
  <c r="P360" i="16"/>
  <c r="Q360" i="16"/>
  <c r="P361" i="16"/>
  <c r="Q361" i="16"/>
  <c r="P362" i="16"/>
  <c r="Q362" i="16"/>
  <c r="P363" i="16"/>
  <c r="Q363" i="16"/>
  <c r="P364" i="16"/>
  <c r="Q364" i="16"/>
  <c r="P365" i="16"/>
  <c r="Q365" i="16"/>
  <c r="P366" i="16"/>
  <c r="Q366" i="16"/>
  <c r="P367" i="16"/>
  <c r="Q367" i="16"/>
  <c r="P368" i="16"/>
  <c r="Q368" i="16"/>
  <c r="P369" i="16"/>
  <c r="Q369" i="16"/>
  <c r="P370" i="16"/>
  <c r="Q370" i="16"/>
  <c r="P371" i="16"/>
  <c r="Q371" i="16"/>
  <c r="P372" i="16"/>
  <c r="Q372" i="16"/>
  <c r="P373" i="16"/>
  <c r="Q373" i="16"/>
  <c r="P374" i="16"/>
  <c r="Q374" i="16"/>
  <c r="P375" i="16"/>
  <c r="Q375" i="16"/>
  <c r="P376" i="16"/>
  <c r="Q376" i="16"/>
  <c r="P377" i="16"/>
  <c r="Q377" i="16"/>
  <c r="P378" i="16"/>
  <c r="Q378" i="16"/>
  <c r="P379" i="16"/>
  <c r="Q379" i="16"/>
  <c r="P380" i="16"/>
  <c r="Q380" i="16"/>
  <c r="P381" i="16"/>
  <c r="Q381" i="16"/>
  <c r="P382" i="16"/>
  <c r="Q382" i="16"/>
  <c r="P383" i="16"/>
  <c r="Q383" i="16"/>
  <c r="P384" i="16"/>
  <c r="Q384" i="16"/>
  <c r="P385" i="16"/>
  <c r="Q385" i="16"/>
  <c r="P386" i="16"/>
  <c r="Q386" i="16"/>
  <c r="P387" i="16"/>
  <c r="Q387" i="16"/>
  <c r="P388" i="16"/>
  <c r="Q388" i="16"/>
  <c r="P389" i="16"/>
  <c r="Q389" i="16"/>
  <c r="P390" i="16"/>
  <c r="Q390" i="16"/>
  <c r="P391" i="16"/>
  <c r="Q391" i="16"/>
  <c r="P392" i="16"/>
  <c r="Q392" i="16"/>
  <c r="P393" i="16"/>
  <c r="Q393" i="16"/>
  <c r="P394" i="16"/>
  <c r="Q394" i="16"/>
  <c r="P395" i="16"/>
  <c r="Q395" i="16"/>
  <c r="P396" i="16"/>
  <c r="Q396" i="16"/>
  <c r="P397" i="16"/>
  <c r="Q397" i="16"/>
  <c r="P398" i="16"/>
  <c r="Q398" i="16"/>
  <c r="P399" i="16"/>
  <c r="Q399" i="16"/>
  <c r="P400" i="16"/>
  <c r="Q400" i="16"/>
  <c r="P401" i="16"/>
  <c r="Q401" i="16"/>
  <c r="P402" i="16"/>
  <c r="Q402" i="16"/>
  <c r="P403" i="16"/>
  <c r="Q403" i="16"/>
  <c r="P404" i="16"/>
  <c r="Q404" i="16"/>
  <c r="P405" i="16"/>
  <c r="Q405" i="16"/>
  <c r="P406" i="16"/>
  <c r="Q406" i="16"/>
  <c r="P407" i="16"/>
  <c r="Q407" i="16"/>
  <c r="P408" i="16"/>
  <c r="Q408" i="16"/>
  <c r="P409" i="16"/>
  <c r="Q409" i="16"/>
  <c r="P410" i="16"/>
  <c r="Q410" i="16"/>
  <c r="P411" i="16"/>
  <c r="Q411" i="16"/>
  <c r="P412" i="16"/>
  <c r="Q412" i="16"/>
  <c r="P413" i="16"/>
  <c r="Q413" i="16"/>
  <c r="P414" i="16"/>
  <c r="Q414" i="16"/>
  <c r="P415" i="16"/>
  <c r="Q415" i="16"/>
  <c r="P416" i="16"/>
  <c r="Q416" i="16"/>
  <c r="P417" i="16"/>
  <c r="Q417" i="16"/>
  <c r="P418" i="16"/>
  <c r="Q418" i="16"/>
  <c r="P419" i="16"/>
  <c r="Q419" i="16"/>
  <c r="P420" i="16"/>
  <c r="Q420" i="16"/>
  <c r="P421" i="16"/>
  <c r="Q421" i="16"/>
  <c r="P422" i="16"/>
  <c r="Q422" i="16"/>
  <c r="P423" i="16"/>
  <c r="Q423" i="16"/>
  <c r="P424" i="16"/>
  <c r="Q424" i="16"/>
  <c r="P425" i="16"/>
  <c r="Q425" i="16"/>
  <c r="P426" i="16"/>
  <c r="Q426" i="16"/>
  <c r="P427" i="16"/>
  <c r="Q427" i="16"/>
  <c r="P428" i="16"/>
  <c r="Q428" i="16"/>
  <c r="P429" i="16"/>
  <c r="Q429" i="16"/>
  <c r="P430" i="16"/>
  <c r="Q430" i="16"/>
  <c r="P431" i="16"/>
  <c r="Q431" i="16"/>
  <c r="P432" i="16"/>
  <c r="Q432" i="16"/>
  <c r="P433" i="16"/>
  <c r="Q433" i="16"/>
  <c r="P434" i="16"/>
  <c r="Q434" i="16"/>
  <c r="P435" i="16"/>
  <c r="Q435" i="16"/>
  <c r="P436" i="16"/>
  <c r="Q436" i="16"/>
  <c r="P437" i="16"/>
  <c r="Q437" i="16"/>
  <c r="P438" i="16"/>
  <c r="Q438" i="16"/>
  <c r="P439" i="16"/>
  <c r="Q439" i="16"/>
  <c r="P440" i="16"/>
  <c r="Q440" i="16"/>
  <c r="P441" i="16"/>
  <c r="Q441" i="16"/>
  <c r="P442" i="16"/>
  <c r="Q442" i="16"/>
  <c r="P443" i="16"/>
  <c r="Q443" i="16"/>
  <c r="P444" i="16"/>
  <c r="Q444" i="16"/>
  <c r="P445" i="16"/>
  <c r="Q445" i="16"/>
  <c r="P446" i="16"/>
  <c r="Q446" i="16"/>
  <c r="P447" i="16"/>
  <c r="Q447" i="16"/>
  <c r="P448" i="16"/>
  <c r="Q448" i="16"/>
  <c r="P449" i="16"/>
  <c r="Q449" i="16"/>
  <c r="P450" i="16"/>
  <c r="Q450" i="16"/>
  <c r="P451" i="16"/>
  <c r="Q451" i="16"/>
  <c r="P452" i="16"/>
  <c r="Q452" i="16"/>
  <c r="P453" i="16"/>
  <c r="Q453" i="16"/>
  <c r="P454" i="16"/>
  <c r="Q454" i="16"/>
  <c r="P455" i="16"/>
  <c r="Q455" i="16"/>
  <c r="P456" i="16"/>
  <c r="Q456" i="16"/>
  <c r="P457" i="16"/>
  <c r="Q457" i="16"/>
  <c r="P458" i="16"/>
  <c r="Q458" i="16"/>
  <c r="P459" i="16"/>
  <c r="Q459" i="16"/>
  <c r="P460" i="16"/>
  <c r="Q460" i="16"/>
  <c r="P461" i="16"/>
  <c r="Q461" i="16"/>
  <c r="P462" i="16"/>
  <c r="Q462" i="16"/>
  <c r="P463" i="16"/>
  <c r="Q463" i="16"/>
  <c r="P464" i="16"/>
  <c r="Q464" i="16"/>
  <c r="P465" i="16"/>
  <c r="Q465" i="16"/>
  <c r="P466" i="16"/>
  <c r="Q466" i="16"/>
  <c r="P467" i="16"/>
  <c r="Q467" i="16"/>
  <c r="P468" i="16"/>
  <c r="Q468" i="16"/>
  <c r="P469" i="16"/>
  <c r="Q469" i="16"/>
  <c r="P470" i="16"/>
  <c r="Q470" i="16"/>
  <c r="P471" i="16"/>
  <c r="Q471" i="16"/>
  <c r="P472" i="16"/>
  <c r="Q472" i="16"/>
  <c r="P473" i="16"/>
  <c r="Q473" i="16"/>
  <c r="P474" i="16"/>
  <c r="Q474" i="16"/>
  <c r="P475" i="16"/>
  <c r="Q475" i="16"/>
  <c r="P476" i="16"/>
  <c r="Q476" i="16"/>
  <c r="P477" i="16"/>
  <c r="Q477" i="16"/>
  <c r="P478" i="16"/>
  <c r="Q478" i="16"/>
  <c r="P479" i="16"/>
  <c r="Q479" i="16"/>
  <c r="P480" i="16"/>
  <c r="Q480" i="16"/>
  <c r="P481" i="16"/>
  <c r="Q481" i="16"/>
  <c r="P482" i="16"/>
  <c r="Q482" i="16"/>
  <c r="P483" i="16"/>
  <c r="Q483" i="16"/>
  <c r="P484" i="16"/>
  <c r="Q484" i="16"/>
  <c r="P485" i="16"/>
  <c r="Q485" i="16"/>
  <c r="P486" i="16"/>
  <c r="Q486" i="16"/>
  <c r="P487" i="16"/>
  <c r="Q487" i="16"/>
  <c r="P488" i="16"/>
  <c r="Q488" i="16"/>
  <c r="P489" i="16"/>
  <c r="Q489" i="16"/>
  <c r="P490" i="16"/>
  <c r="Q490" i="16"/>
  <c r="P491" i="16"/>
  <c r="Q491" i="16"/>
  <c r="P492" i="16"/>
  <c r="Q492" i="16"/>
  <c r="P493" i="16"/>
  <c r="Q493" i="16"/>
  <c r="P494" i="16"/>
  <c r="Q494" i="16"/>
  <c r="P495" i="16"/>
  <c r="Q495" i="16"/>
  <c r="P496" i="16"/>
  <c r="Q496" i="16"/>
  <c r="P497" i="16"/>
  <c r="Q497" i="16"/>
  <c r="P498" i="16"/>
  <c r="Q498" i="16"/>
  <c r="P499" i="16"/>
  <c r="Q499" i="16"/>
  <c r="P500" i="16"/>
  <c r="Q500" i="16"/>
  <c r="P501" i="16"/>
  <c r="Q501" i="16"/>
  <c r="P502" i="16"/>
  <c r="Q502" i="16"/>
  <c r="P503" i="16"/>
  <c r="Q503" i="16"/>
  <c r="P504" i="16"/>
  <c r="Q504" i="16"/>
  <c r="P505" i="16"/>
  <c r="Q505" i="16"/>
  <c r="P506" i="16"/>
  <c r="Q506" i="16"/>
  <c r="P507" i="16"/>
  <c r="Q507" i="16"/>
  <c r="P508" i="16"/>
  <c r="Q508" i="16"/>
  <c r="P509" i="16"/>
  <c r="Q509" i="16"/>
  <c r="P510" i="16"/>
  <c r="Q510" i="16"/>
  <c r="P511" i="16"/>
  <c r="Q511" i="16"/>
  <c r="P512" i="16"/>
  <c r="Q512" i="16"/>
  <c r="P513" i="16"/>
  <c r="Q513" i="16"/>
  <c r="H513" i="16" s="1"/>
  <c r="P514" i="16"/>
  <c r="G514" i="16" s="1"/>
  <c r="Q514" i="16"/>
  <c r="H514" i="16" s="1"/>
  <c r="P515" i="16"/>
  <c r="Q515" i="16"/>
  <c r="H515" i="16" s="1"/>
  <c r="P516" i="16"/>
  <c r="Q516" i="16"/>
  <c r="P517" i="16"/>
  <c r="G517" i="16" s="1"/>
  <c r="Q517" i="16"/>
  <c r="P518" i="16"/>
  <c r="G518" i="16" s="1"/>
  <c r="Q518" i="16"/>
  <c r="H518" i="16" s="1"/>
  <c r="P519" i="16"/>
  <c r="Q519" i="16"/>
  <c r="H519" i="16" s="1"/>
  <c r="P520" i="16"/>
  <c r="Q520" i="16"/>
  <c r="P521" i="16"/>
  <c r="G521" i="16" s="1"/>
  <c r="Q521" i="16"/>
  <c r="P522" i="16"/>
  <c r="G522" i="16" s="1"/>
  <c r="Q522" i="16"/>
  <c r="H522" i="16" s="1"/>
  <c r="P523" i="16"/>
  <c r="Q523" i="16"/>
  <c r="H523" i="16" s="1"/>
  <c r="P524" i="16"/>
  <c r="G524" i="16" s="1"/>
  <c r="Q524" i="16"/>
  <c r="P525" i="16"/>
  <c r="Q525" i="16"/>
  <c r="P526" i="16"/>
  <c r="G526" i="16" s="1"/>
  <c r="Q526" i="16"/>
  <c r="H526" i="16" s="1"/>
  <c r="P527" i="16"/>
  <c r="Q527" i="16"/>
  <c r="H527" i="16" s="1"/>
  <c r="P528" i="16"/>
  <c r="Q528" i="16"/>
  <c r="P529" i="16"/>
  <c r="Q529" i="16"/>
  <c r="P530" i="16"/>
  <c r="G530" i="16" s="1"/>
  <c r="Q530" i="16"/>
  <c r="H530" i="16" s="1"/>
  <c r="P531" i="16"/>
  <c r="Q531" i="16"/>
  <c r="H531" i="16" s="1"/>
  <c r="P532" i="16"/>
  <c r="Q532" i="16"/>
  <c r="P533" i="16"/>
  <c r="Q533" i="16"/>
  <c r="P534" i="16"/>
  <c r="G534" i="16" s="1"/>
  <c r="Q534" i="16"/>
  <c r="H534" i="16" s="1"/>
  <c r="P535" i="16"/>
  <c r="Q535" i="16"/>
  <c r="H535" i="16" s="1"/>
  <c r="P536" i="16"/>
  <c r="Q536" i="16"/>
  <c r="P537" i="16"/>
  <c r="Q537" i="16"/>
  <c r="H537" i="16" s="1"/>
  <c r="P538" i="16"/>
  <c r="G538" i="16" s="1"/>
  <c r="Q538" i="16"/>
  <c r="H538" i="16" s="1"/>
  <c r="P539" i="16"/>
  <c r="Q539" i="16"/>
  <c r="H539" i="16" s="1"/>
  <c r="P540" i="16"/>
  <c r="Q540" i="16"/>
  <c r="P541" i="16"/>
  <c r="Q541" i="16"/>
  <c r="P542" i="16"/>
  <c r="G542" i="16" s="1"/>
  <c r="Q542" i="16"/>
  <c r="H542" i="16" s="1"/>
  <c r="P543" i="16"/>
  <c r="Q543" i="16"/>
  <c r="P544" i="16"/>
  <c r="Q544" i="16"/>
  <c r="P545" i="16"/>
  <c r="Q545" i="16"/>
  <c r="P546" i="16"/>
  <c r="G546" i="16" s="1"/>
  <c r="Q546" i="16"/>
  <c r="H546" i="16" s="1"/>
  <c r="P547" i="16"/>
  <c r="Q547" i="16"/>
  <c r="H547" i="16" s="1"/>
  <c r="P548" i="16"/>
  <c r="Q548" i="16"/>
  <c r="P549" i="16"/>
  <c r="Q549" i="16"/>
  <c r="P550" i="16"/>
  <c r="G550" i="16" s="1"/>
  <c r="Q550" i="16"/>
  <c r="H550" i="16" s="1"/>
  <c r="P551" i="16"/>
  <c r="Q551" i="16"/>
  <c r="H551" i="16" s="1"/>
  <c r="P552" i="16"/>
  <c r="Q552" i="16"/>
  <c r="P553" i="16"/>
  <c r="Q553" i="16"/>
  <c r="P554" i="16"/>
  <c r="G554" i="16" s="1"/>
  <c r="Q554" i="16"/>
  <c r="H554" i="16" s="1"/>
  <c r="P555" i="16"/>
  <c r="Q555" i="16"/>
  <c r="H555" i="16" s="1"/>
  <c r="P556" i="16"/>
  <c r="Q556" i="16"/>
  <c r="P557" i="16"/>
  <c r="Q557" i="16"/>
  <c r="P558" i="16"/>
  <c r="G558" i="16" s="1"/>
  <c r="Q558" i="16"/>
  <c r="H558" i="16" s="1"/>
  <c r="P559" i="16"/>
  <c r="Q559" i="16"/>
  <c r="H559" i="16" s="1"/>
  <c r="P560" i="16"/>
  <c r="Q560" i="16"/>
  <c r="P561" i="16"/>
  <c r="Q561" i="16"/>
  <c r="P562" i="16"/>
  <c r="G562" i="16" s="1"/>
  <c r="Q562" i="16"/>
  <c r="H562" i="16" s="1"/>
  <c r="P563" i="16"/>
  <c r="Q563" i="16"/>
  <c r="H563" i="16" s="1"/>
  <c r="P564" i="16"/>
  <c r="Q564" i="16"/>
  <c r="P565" i="16"/>
  <c r="Q565" i="16"/>
  <c r="P566" i="16"/>
  <c r="G566" i="16" s="1"/>
  <c r="Q566" i="16"/>
  <c r="H566" i="16" s="1"/>
  <c r="P567" i="16"/>
  <c r="Q567" i="16"/>
  <c r="P568" i="16"/>
  <c r="Q568" i="16"/>
  <c r="P569" i="16"/>
  <c r="Q569" i="16"/>
  <c r="H569" i="16" s="1"/>
  <c r="P570" i="16"/>
  <c r="G570" i="16" s="1"/>
  <c r="Q570" i="16"/>
  <c r="H570" i="16" s="1"/>
  <c r="P571" i="16"/>
  <c r="Q571" i="16"/>
  <c r="H571" i="16" s="1"/>
  <c r="P572" i="16"/>
  <c r="Q572" i="16"/>
  <c r="P573" i="16"/>
  <c r="Q573" i="16"/>
  <c r="P574" i="16"/>
  <c r="G574" i="16" s="1"/>
  <c r="Q574" i="16"/>
  <c r="H574" i="16" s="1"/>
  <c r="P575" i="16"/>
  <c r="Q575" i="16"/>
  <c r="P576" i="16"/>
  <c r="Q576" i="16"/>
  <c r="P577" i="16"/>
  <c r="G577" i="16" s="1"/>
  <c r="Q577" i="16"/>
  <c r="H577" i="16" s="1"/>
  <c r="P578" i="16"/>
  <c r="G578" i="16" s="1"/>
  <c r="Q578" i="16"/>
  <c r="H578" i="16" s="1"/>
  <c r="P579" i="16"/>
  <c r="Q579" i="16"/>
  <c r="P580" i="16"/>
  <c r="G580" i="16" s="1"/>
  <c r="Q580" i="16"/>
  <c r="P581" i="16"/>
  <c r="Q581" i="16"/>
  <c r="P582" i="16"/>
  <c r="G582" i="16" s="1"/>
  <c r="Q582" i="16"/>
  <c r="H582" i="16" s="1"/>
  <c r="P583" i="16"/>
  <c r="Q583" i="16"/>
  <c r="H583" i="16" s="1"/>
  <c r="P584" i="16"/>
  <c r="Q584" i="16"/>
  <c r="P585" i="16"/>
  <c r="Q585" i="16"/>
  <c r="H585" i="16" s="1"/>
  <c r="P586" i="16"/>
  <c r="G586" i="16" s="1"/>
  <c r="Q586" i="16"/>
  <c r="H586" i="16" s="1"/>
  <c r="P587" i="16"/>
  <c r="Q587" i="16"/>
  <c r="P588" i="16"/>
  <c r="Q588" i="16"/>
  <c r="P589" i="16"/>
  <c r="Q589" i="16"/>
  <c r="P590" i="16"/>
  <c r="G590" i="16" s="1"/>
  <c r="Q590" i="16"/>
  <c r="H590" i="16" s="1"/>
  <c r="P591" i="16"/>
  <c r="Q591" i="16"/>
  <c r="P592" i="16"/>
  <c r="Q592" i="16"/>
  <c r="P593" i="16"/>
  <c r="Q593" i="16"/>
  <c r="H593" i="16" s="1"/>
  <c r="P594" i="16"/>
  <c r="G594" i="16" s="1"/>
  <c r="Q594" i="16"/>
  <c r="H594" i="16" s="1"/>
  <c r="P595" i="16"/>
  <c r="Q595" i="16"/>
  <c r="P596" i="16"/>
  <c r="G596" i="16" s="1"/>
  <c r="Q596" i="16"/>
  <c r="P597" i="16"/>
  <c r="Q597" i="16"/>
  <c r="P598" i="16"/>
  <c r="G598" i="16" s="1"/>
  <c r="Q598" i="16"/>
  <c r="H598" i="16" s="1"/>
  <c r="P599" i="16"/>
  <c r="Q599" i="16"/>
  <c r="H599" i="16" s="1"/>
  <c r="P600" i="16"/>
  <c r="Q600" i="16"/>
  <c r="P601" i="16"/>
  <c r="Q601" i="16"/>
  <c r="H601" i="16" s="1"/>
  <c r="P602" i="16"/>
  <c r="G602" i="16" s="1"/>
  <c r="Q602" i="16"/>
  <c r="H602" i="16" s="1"/>
  <c r="P603" i="16"/>
  <c r="Q603" i="16"/>
  <c r="P604" i="16"/>
  <c r="Q604" i="16"/>
  <c r="P605" i="16"/>
  <c r="Q605" i="16"/>
  <c r="P606" i="16"/>
  <c r="G606" i="16" s="1"/>
  <c r="Q606" i="16"/>
  <c r="H606" i="16" s="1"/>
  <c r="P607" i="16"/>
  <c r="Q607" i="16"/>
  <c r="P608" i="16"/>
  <c r="Q608" i="16"/>
  <c r="P609" i="16"/>
  <c r="Q609" i="16"/>
  <c r="P610" i="16"/>
  <c r="G610" i="16" s="1"/>
  <c r="Q610" i="16"/>
  <c r="H610" i="16" s="1"/>
  <c r="P611" i="16"/>
  <c r="Q611" i="16"/>
  <c r="P612" i="16"/>
  <c r="G612" i="16" s="1"/>
  <c r="Q612" i="16"/>
  <c r="P613" i="16"/>
  <c r="Q613" i="16"/>
  <c r="P614" i="16"/>
  <c r="G614" i="16" s="1"/>
  <c r="Q614" i="16"/>
  <c r="H614" i="16" s="1"/>
  <c r="P615" i="16"/>
  <c r="Q615" i="16"/>
  <c r="H615" i="16" s="1"/>
  <c r="P616" i="16"/>
  <c r="Q616" i="16"/>
  <c r="P617" i="16"/>
  <c r="Q617" i="16"/>
  <c r="H617" i="16" s="1"/>
  <c r="P618" i="16"/>
  <c r="G618" i="16" s="1"/>
  <c r="Q618" i="16"/>
  <c r="H618" i="16" s="1"/>
  <c r="P619" i="16"/>
  <c r="Q619" i="16"/>
  <c r="P620" i="16"/>
  <c r="Q620" i="16"/>
  <c r="P621" i="16"/>
  <c r="Q621" i="16"/>
  <c r="P622" i="16"/>
  <c r="G622" i="16" s="1"/>
  <c r="Q622" i="16"/>
  <c r="H622" i="16" s="1"/>
  <c r="P623" i="16"/>
  <c r="Q623" i="16"/>
  <c r="P624" i="16"/>
  <c r="Q624" i="16"/>
  <c r="P625" i="16"/>
  <c r="Q625" i="16"/>
  <c r="P626" i="16"/>
  <c r="G626" i="16" s="1"/>
  <c r="Q626" i="16"/>
  <c r="H626" i="16" s="1"/>
  <c r="P627" i="16"/>
  <c r="Q627" i="16"/>
  <c r="P628" i="16"/>
  <c r="G628" i="16" s="1"/>
  <c r="Q628" i="16"/>
  <c r="P629" i="16"/>
  <c r="Q629" i="16"/>
  <c r="P630" i="16"/>
  <c r="G630" i="16" s="1"/>
  <c r="Q630" i="16"/>
  <c r="H630" i="16" s="1"/>
  <c r="P631" i="16"/>
  <c r="Q631" i="16"/>
  <c r="H631" i="16" s="1"/>
  <c r="P632" i="16"/>
  <c r="Q632" i="16"/>
  <c r="P633" i="16"/>
  <c r="Q633" i="16"/>
  <c r="H633" i="16" s="1"/>
  <c r="P634" i="16"/>
  <c r="G634" i="16" s="1"/>
  <c r="Q634" i="16"/>
  <c r="H634" i="16" s="1"/>
  <c r="P635" i="16"/>
  <c r="Q635" i="16"/>
  <c r="P636" i="16"/>
  <c r="Q636" i="16"/>
  <c r="P637" i="16"/>
  <c r="Q637" i="16"/>
  <c r="P638" i="16"/>
  <c r="G638" i="16" s="1"/>
  <c r="Q638" i="16"/>
  <c r="H638" i="16" s="1"/>
  <c r="P639" i="16"/>
  <c r="Q639" i="16"/>
  <c r="P640" i="16"/>
  <c r="Q640" i="16"/>
  <c r="P641" i="16"/>
  <c r="G641" i="16" s="1"/>
  <c r="Q641" i="16"/>
  <c r="H641" i="16" s="1"/>
  <c r="P642" i="16"/>
  <c r="G642" i="16" s="1"/>
  <c r="Q642" i="16"/>
  <c r="H642" i="16" s="1"/>
  <c r="P643" i="16"/>
  <c r="Q643" i="16"/>
  <c r="P644" i="16"/>
  <c r="G644" i="16" s="1"/>
  <c r="Q644" i="16"/>
  <c r="P645" i="16"/>
  <c r="Q645" i="16"/>
  <c r="P646" i="16"/>
  <c r="G646" i="16" s="1"/>
  <c r="Q646" i="16"/>
  <c r="H646" i="16" s="1"/>
  <c r="P647" i="16"/>
  <c r="Q647" i="16"/>
  <c r="H647" i="16" s="1"/>
  <c r="P648" i="16"/>
  <c r="Q648" i="16"/>
  <c r="P649" i="16"/>
  <c r="Q649" i="16"/>
  <c r="H649" i="16" s="1"/>
  <c r="P650" i="16"/>
  <c r="G650" i="16" s="1"/>
  <c r="Q650" i="16"/>
  <c r="H650" i="16" s="1"/>
  <c r="P651" i="16"/>
  <c r="Q651" i="16"/>
  <c r="P652" i="16"/>
  <c r="Q652" i="16"/>
  <c r="P653" i="16"/>
  <c r="Q653" i="16"/>
  <c r="P654" i="16"/>
  <c r="G654" i="16" s="1"/>
  <c r="Q654" i="16"/>
  <c r="H654" i="16" s="1"/>
  <c r="P655" i="16"/>
  <c r="Q655" i="16"/>
  <c r="P656" i="16"/>
  <c r="Q656" i="16"/>
  <c r="P657" i="16"/>
  <c r="G657" i="16" s="1"/>
  <c r="Q657" i="16"/>
  <c r="H657" i="16" s="1"/>
  <c r="P658" i="16"/>
  <c r="G658" i="16" s="1"/>
  <c r="Q658" i="16"/>
  <c r="H658" i="16" s="1"/>
  <c r="P659" i="16"/>
  <c r="Q659" i="16"/>
  <c r="P660" i="16"/>
  <c r="G660" i="16" s="1"/>
  <c r="Q660" i="16"/>
  <c r="P661" i="16"/>
  <c r="Q661" i="16"/>
  <c r="P662" i="16"/>
  <c r="G662" i="16" s="1"/>
  <c r="Q662" i="16"/>
  <c r="H662" i="16" s="1"/>
  <c r="P663" i="16"/>
  <c r="Q663" i="16"/>
  <c r="P664" i="16"/>
  <c r="Q664" i="16"/>
  <c r="P665" i="16"/>
  <c r="Q665" i="16"/>
  <c r="H665" i="16" s="1"/>
  <c r="P666" i="16"/>
  <c r="G666" i="16" s="1"/>
  <c r="Q666" i="16"/>
  <c r="H666" i="16" s="1"/>
  <c r="P667" i="16"/>
  <c r="Q667" i="16"/>
  <c r="P668" i="16"/>
  <c r="Q668" i="16"/>
  <c r="P669" i="16"/>
  <c r="Q669" i="16"/>
  <c r="P670" i="16"/>
  <c r="G670" i="16" s="1"/>
  <c r="Q670" i="16"/>
  <c r="H670" i="16" s="1"/>
  <c r="P671" i="16"/>
  <c r="Q671" i="16"/>
  <c r="P672" i="16"/>
  <c r="Q672" i="16"/>
  <c r="P673" i="16"/>
  <c r="Q673" i="16"/>
  <c r="P674" i="16"/>
  <c r="G674" i="16" s="1"/>
  <c r="Q674" i="16"/>
  <c r="H674" i="16" s="1"/>
  <c r="P675" i="16"/>
  <c r="Q675" i="16"/>
  <c r="P676" i="16"/>
  <c r="Q676" i="16"/>
  <c r="P677" i="16"/>
  <c r="Q677" i="16"/>
  <c r="P678" i="16"/>
  <c r="G678" i="16" s="1"/>
  <c r="Q678" i="16"/>
  <c r="H678" i="16" s="1"/>
  <c r="P679" i="16"/>
  <c r="Q679" i="16"/>
  <c r="H679" i="16" s="1"/>
  <c r="P680" i="16"/>
  <c r="Q680" i="16"/>
  <c r="P681" i="16"/>
  <c r="Q681" i="16"/>
  <c r="H681" i="16" s="1"/>
  <c r="P682" i="16"/>
  <c r="G682" i="16" s="1"/>
  <c r="Q682" i="16"/>
  <c r="H682" i="16" s="1"/>
  <c r="P683" i="16"/>
  <c r="Q683" i="16"/>
  <c r="P684" i="16"/>
  <c r="G684" i="16" s="1"/>
  <c r="Q684" i="16"/>
  <c r="H684" i="16" s="1"/>
  <c r="P685" i="16"/>
  <c r="G685" i="16" s="1"/>
  <c r="Q685" i="16"/>
  <c r="P686" i="16"/>
  <c r="Q686" i="16"/>
  <c r="P687" i="16"/>
  <c r="Q687" i="16"/>
  <c r="H687" i="16" s="1"/>
  <c r="P688" i="16"/>
  <c r="Q688" i="16"/>
  <c r="P689" i="16"/>
  <c r="Q689" i="16"/>
  <c r="H689" i="16" s="1"/>
  <c r="P690" i="16"/>
  <c r="G690" i="16" s="1"/>
  <c r="Q690" i="16"/>
  <c r="H690" i="16" s="1"/>
  <c r="P691" i="16"/>
  <c r="Q691" i="16"/>
  <c r="P692" i="16"/>
  <c r="G692" i="16" s="1"/>
  <c r="Q692" i="16"/>
  <c r="H692" i="16" s="1"/>
  <c r="P693" i="16"/>
  <c r="G693" i="16" s="1"/>
  <c r="Q693" i="16"/>
  <c r="Q3" i="16"/>
  <c r="P3" i="16"/>
  <c r="P4" i="9"/>
  <c r="Q4" i="9"/>
  <c r="P5" i="9"/>
  <c r="Q5" i="9"/>
  <c r="P6" i="9"/>
  <c r="Q6" i="9"/>
  <c r="P7" i="9"/>
  <c r="Q7" i="9"/>
  <c r="P8" i="9"/>
  <c r="Q8" i="9"/>
  <c r="P9" i="9"/>
  <c r="Q9" i="9"/>
  <c r="P10" i="9"/>
  <c r="Q10" i="9"/>
  <c r="P11" i="9"/>
  <c r="Q11" i="9"/>
  <c r="P12" i="9"/>
  <c r="Q12" i="9"/>
  <c r="P13" i="9"/>
  <c r="Q13" i="9"/>
  <c r="P14" i="9"/>
  <c r="Q14" i="9"/>
  <c r="P15" i="9"/>
  <c r="Q15" i="9"/>
  <c r="P16" i="9"/>
  <c r="Q16" i="9"/>
  <c r="P17" i="9"/>
  <c r="Q17" i="9"/>
  <c r="P18" i="9"/>
  <c r="Q18" i="9"/>
  <c r="P19" i="9"/>
  <c r="Q19" i="9"/>
  <c r="P20" i="9"/>
  <c r="Q20" i="9"/>
  <c r="P21" i="9"/>
  <c r="Q21" i="9"/>
  <c r="P22" i="9"/>
  <c r="Q22" i="9"/>
  <c r="P23" i="9"/>
  <c r="Q23" i="9"/>
  <c r="P24" i="9"/>
  <c r="Q24" i="9"/>
  <c r="P25" i="9"/>
  <c r="Q25" i="9"/>
  <c r="P26" i="9"/>
  <c r="Q26" i="9"/>
  <c r="P27" i="9"/>
  <c r="Q27" i="9"/>
  <c r="P28" i="9"/>
  <c r="Q28" i="9"/>
  <c r="P29" i="9"/>
  <c r="Q29" i="9"/>
  <c r="P30" i="9"/>
  <c r="Q30" i="9"/>
  <c r="P31" i="9"/>
  <c r="Q31" i="9"/>
  <c r="P32" i="9"/>
  <c r="Q32" i="9"/>
  <c r="P33" i="9"/>
  <c r="Q33" i="9"/>
  <c r="P34" i="9"/>
  <c r="Q34" i="9"/>
  <c r="P35" i="9"/>
  <c r="Q35" i="9"/>
  <c r="P36" i="9"/>
  <c r="Q36" i="9"/>
  <c r="P37" i="9"/>
  <c r="Q37" i="9"/>
  <c r="P38" i="9"/>
  <c r="Q38" i="9"/>
  <c r="P39" i="9"/>
  <c r="Q39" i="9"/>
  <c r="P40" i="9"/>
  <c r="Q40" i="9"/>
  <c r="P41" i="9"/>
  <c r="Q41" i="9"/>
  <c r="P42" i="9"/>
  <c r="Q42" i="9"/>
  <c r="P43" i="9"/>
  <c r="Q43" i="9"/>
  <c r="P44" i="9"/>
  <c r="Q44" i="9"/>
  <c r="P45" i="9"/>
  <c r="Q45" i="9"/>
  <c r="P46" i="9"/>
  <c r="Q46" i="9"/>
  <c r="P47" i="9"/>
  <c r="Q47" i="9"/>
  <c r="P48" i="9"/>
  <c r="Q48" i="9"/>
  <c r="P49" i="9"/>
  <c r="Q49" i="9"/>
  <c r="P50" i="9"/>
  <c r="Q50" i="9"/>
  <c r="P51" i="9"/>
  <c r="Q51" i="9"/>
  <c r="P52" i="9"/>
  <c r="Q52" i="9"/>
  <c r="P53" i="9"/>
  <c r="Q53" i="9"/>
  <c r="P54" i="9"/>
  <c r="Q54" i="9"/>
  <c r="P55" i="9"/>
  <c r="Q55" i="9"/>
  <c r="P56" i="9"/>
  <c r="Q56" i="9"/>
  <c r="P57" i="9"/>
  <c r="Q57" i="9"/>
  <c r="P58" i="9"/>
  <c r="Q58" i="9"/>
  <c r="P59" i="9"/>
  <c r="Q59" i="9"/>
  <c r="P60" i="9"/>
  <c r="Q60" i="9"/>
  <c r="P61" i="9"/>
  <c r="Q61" i="9"/>
  <c r="P62" i="9"/>
  <c r="Q62" i="9"/>
  <c r="P63" i="9"/>
  <c r="Q63" i="9"/>
  <c r="P64" i="9"/>
  <c r="Q64" i="9"/>
  <c r="P65" i="9"/>
  <c r="Q65" i="9"/>
  <c r="P66" i="9"/>
  <c r="Q66" i="9"/>
  <c r="P67" i="9"/>
  <c r="Q67" i="9"/>
  <c r="P68" i="9"/>
  <c r="Q68" i="9"/>
  <c r="P69" i="9"/>
  <c r="Q69" i="9"/>
  <c r="P70" i="9"/>
  <c r="Q70" i="9"/>
  <c r="P71" i="9"/>
  <c r="Q71" i="9"/>
  <c r="P72" i="9"/>
  <c r="Q72" i="9"/>
  <c r="P73" i="9"/>
  <c r="Q73" i="9"/>
  <c r="P74" i="9"/>
  <c r="Q74" i="9"/>
  <c r="P75" i="9"/>
  <c r="Q75" i="9"/>
  <c r="P76" i="9"/>
  <c r="Q76" i="9"/>
  <c r="P77" i="9"/>
  <c r="Q77" i="9"/>
  <c r="P78" i="9"/>
  <c r="Q78" i="9"/>
  <c r="P79" i="9"/>
  <c r="Q79" i="9"/>
  <c r="P80" i="9"/>
  <c r="Q80" i="9"/>
  <c r="P81" i="9"/>
  <c r="Q81" i="9"/>
  <c r="P82" i="9"/>
  <c r="Q82" i="9"/>
  <c r="P83" i="9"/>
  <c r="Q83" i="9"/>
  <c r="P84" i="9"/>
  <c r="Q84" i="9"/>
  <c r="P85" i="9"/>
  <c r="Q85" i="9"/>
  <c r="P86" i="9"/>
  <c r="Q86" i="9"/>
  <c r="P87" i="9"/>
  <c r="Q87" i="9"/>
  <c r="P88" i="9"/>
  <c r="Q88" i="9"/>
  <c r="P89" i="9"/>
  <c r="Q89" i="9"/>
  <c r="P90" i="9"/>
  <c r="Q90" i="9"/>
  <c r="P91" i="9"/>
  <c r="Q91" i="9"/>
  <c r="P92" i="9"/>
  <c r="Q92" i="9"/>
  <c r="P93" i="9"/>
  <c r="Q93" i="9"/>
  <c r="P94" i="9"/>
  <c r="Q94" i="9"/>
  <c r="P95" i="9"/>
  <c r="Q95" i="9"/>
  <c r="P96" i="9"/>
  <c r="Q96" i="9"/>
  <c r="P97" i="9"/>
  <c r="Q97" i="9"/>
  <c r="P98" i="9"/>
  <c r="Q98" i="9"/>
  <c r="P99" i="9"/>
  <c r="Q99" i="9"/>
  <c r="P100" i="9"/>
  <c r="Q100" i="9"/>
  <c r="P101" i="9"/>
  <c r="Q101" i="9"/>
  <c r="P102" i="9"/>
  <c r="Q102" i="9"/>
  <c r="P103" i="9"/>
  <c r="Q103" i="9"/>
  <c r="P104" i="9"/>
  <c r="Q104" i="9"/>
  <c r="P105" i="9"/>
  <c r="Q105" i="9"/>
  <c r="P106" i="9"/>
  <c r="Q106" i="9"/>
  <c r="P107" i="9"/>
  <c r="Q107" i="9"/>
  <c r="P108" i="9"/>
  <c r="Q108" i="9"/>
  <c r="P109" i="9"/>
  <c r="Q109" i="9"/>
  <c r="P110" i="9"/>
  <c r="Q110" i="9"/>
  <c r="P111" i="9"/>
  <c r="Q111" i="9"/>
  <c r="P112" i="9"/>
  <c r="Q112" i="9"/>
  <c r="P113" i="9"/>
  <c r="Q113" i="9"/>
  <c r="P114" i="9"/>
  <c r="Q114" i="9"/>
  <c r="P115" i="9"/>
  <c r="Q115" i="9"/>
  <c r="P116" i="9"/>
  <c r="Q116" i="9"/>
  <c r="P117" i="9"/>
  <c r="Q117" i="9"/>
  <c r="P118" i="9"/>
  <c r="Q118" i="9"/>
  <c r="P119" i="9"/>
  <c r="Q119" i="9"/>
  <c r="P120" i="9"/>
  <c r="Q120" i="9"/>
  <c r="P121" i="9"/>
  <c r="Q121" i="9"/>
  <c r="P122" i="9"/>
  <c r="Q122" i="9"/>
  <c r="P123" i="9"/>
  <c r="Q123" i="9"/>
  <c r="P124" i="9"/>
  <c r="Q124" i="9"/>
  <c r="P125" i="9"/>
  <c r="Q125" i="9"/>
  <c r="P126" i="9"/>
  <c r="Q126" i="9"/>
  <c r="P127" i="9"/>
  <c r="Q127" i="9"/>
  <c r="P128" i="9"/>
  <c r="Q128" i="9"/>
  <c r="P129" i="9"/>
  <c r="Q129" i="9"/>
  <c r="P130" i="9"/>
  <c r="Q130" i="9"/>
  <c r="P131" i="9"/>
  <c r="Q131" i="9"/>
  <c r="P132" i="9"/>
  <c r="Q132" i="9"/>
  <c r="P133" i="9"/>
  <c r="Q133" i="9"/>
  <c r="P134" i="9"/>
  <c r="Q134" i="9"/>
  <c r="P135" i="9"/>
  <c r="Q135" i="9"/>
  <c r="P136" i="9"/>
  <c r="Q136" i="9"/>
  <c r="P137" i="9"/>
  <c r="Q137" i="9"/>
  <c r="P138" i="9"/>
  <c r="Q138" i="9"/>
  <c r="P139" i="9"/>
  <c r="Q139" i="9"/>
  <c r="P140" i="9"/>
  <c r="Q140" i="9"/>
  <c r="P141" i="9"/>
  <c r="Q141" i="9"/>
  <c r="P142" i="9"/>
  <c r="Q142" i="9"/>
  <c r="P143" i="9"/>
  <c r="Q143" i="9"/>
  <c r="P144" i="9"/>
  <c r="Q144" i="9"/>
  <c r="P145" i="9"/>
  <c r="Q145" i="9"/>
  <c r="P146" i="9"/>
  <c r="Q146" i="9"/>
  <c r="P147" i="9"/>
  <c r="Q147" i="9"/>
  <c r="P148" i="9"/>
  <c r="Q148" i="9"/>
  <c r="P149" i="9"/>
  <c r="Q149" i="9"/>
  <c r="P150" i="9"/>
  <c r="Q150" i="9"/>
  <c r="P151" i="9"/>
  <c r="Q151" i="9"/>
  <c r="P152" i="9"/>
  <c r="Q152" i="9"/>
  <c r="P153" i="9"/>
  <c r="Q153" i="9"/>
  <c r="P154" i="9"/>
  <c r="Q154" i="9"/>
  <c r="P155" i="9"/>
  <c r="Q155" i="9"/>
  <c r="P156" i="9"/>
  <c r="Q156" i="9"/>
  <c r="P157" i="9"/>
  <c r="Q157" i="9"/>
  <c r="P158" i="9"/>
  <c r="Q158" i="9"/>
  <c r="P159" i="9"/>
  <c r="Q159" i="9"/>
  <c r="P160" i="9"/>
  <c r="Q160" i="9"/>
  <c r="P161" i="9"/>
  <c r="Q161" i="9"/>
  <c r="P162" i="9"/>
  <c r="Q162" i="9"/>
  <c r="P163" i="9"/>
  <c r="Q163" i="9"/>
  <c r="P164" i="9"/>
  <c r="Q164" i="9"/>
  <c r="P165" i="9"/>
  <c r="Q165" i="9"/>
  <c r="P166" i="9"/>
  <c r="Q166" i="9"/>
  <c r="P167" i="9"/>
  <c r="Q167" i="9"/>
  <c r="P168" i="9"/>
  <c r="Q168" i="9"/>
  <c r="P169" i="9"/>
  <c r="Q169" i="9"/>
  <c r="P170" i="9"/>
  <c r="Q170" i="9"/>
  <c r="P171" i="9"/>
  <c r="Q171" i="9"/>
  <c r="P172" i="9"/>
  <c r="Q172" i="9"/>
  <c r="P173" i="9"/>
  <c r="Q173" i="9"/>
  <c r="P174" i="9"/>
  <c r="Q174" i="9"/>
  <c r="P175" i="9"/>
  <c r="Q175" i="9"/>
  <c r="P176" i="9"/>
  <c r="Q176" i="9"/>
  <c r="P177" i="9"/>
  <c r="Q177" i="9"/>
  <c r="P178" i="9"/>
  <c r="Q178" i="9"/>
  <c r="P179" i="9"/>
  <c r="Q179" i="9"/>
  <c r="P180" i="9"/>
  <c r="Q180" i="9"/>
  <c r="P181" i="9"/>
  <c r="Q181" i="9"/>
  <c r="P182" i="9"/>
  <c r="Q182" i="9"/>
  <c r="P183" i="9"/>
  <c r="Q183" i="9"/>
  <c r="P184" i="9"/>
  <c r="Q184" i="9"/>
  <c r="P185" i="9"/>
  <c r="Q185" i="9"/>
  <c r="P186" i="9"/>
  <c r="Q186" i="9"/>
  <c r="P187" i="9"/>
  <c r="Q187" i="9"/>
  <c r="P188" i="9"/>
  <c r="Q188" i="9"/>
  <c r="P189" i="9"/>
  <c r="Q189" i="9"/>
  <c r="P190" i="9"/>
  <c r="Q190" i="9"/>
  <c r="P191" i="9"/>
  <c r="Q191" i="9"/>
  <c r="P192" i="9"/>
  <c r="Q192" i="9"/>
  <c r="P193" i="9"/>
  <c r="Q193" i="9"/>
  <c r="P194" i="9"/>
  <c r="Q194" i="9"/>
  <c r="P195" i="9"/>
  <c r="Q195" i="9"/>
  <c r="P196" i="9"/>
  <c r="Q196" i="9"/>
  <c r="P197" i="9"/>
  <c r="Q197" i="9"/>
  <c r="P198" i="9"/>
  <c r="Q198" i="9"/>
  <c r="P199" i="9"/>
  <c r="Q199" i="9"/>
  <c r="P200" i="9"/>
  <c r="Q200" i="9"/>
  <c r="P201" i="9"/>
  <c r="Q201" i="9"/>
  <c r="P202" i="9"/>
  <c r="Q202" i="9"/>
  <c r="P203" i="9"/>
  <c r="Q203" i="9"/>
  <c r="P204" i="9"/>
  <c r="Q204" i="9"/>
  <c r="P205" i="9"/>
  <c r="Q205" i="9"/>
  <c r="P206" i="9"/>
  <c r="Q206" i="9"/>
  <c r="P207" i="9"/>
  <c r="Q207" i="9"/>
  <c r="P208" i="9"/>
  <c r="Q208" i="9"/>
  <c r="P209" i="9"/>
  <c r="Q209" i="9"/>
  <c r="P210" i="9"/>
  <c r="Q210" i="9"/>
  <c r="P211" i="9"/>
  <c r="Q211" i="9"/>
  <c r="P212" i="9"/>
  <c r="Q212" i="9"/>
  <c r="P213" i="9"/>
  <c r="Q213" i="9"/>
  <c r="P214" i="9"/>
  <c r="Q214" i="9"/>
  <c r="P215" i="9"/>
  <c r="Q215" i="9"/>
  <c r="P216" i="9"/>
  <c r="Q216" i="9"/>
  <c r="P217" i="9"/>
  <c r="Q217" i="9"/>
  <c r="P218" i="9"/>
  <c r="Q218" i="9"/>
  <c r="P219" i="9"/>
  <c r="Q219" i="9"/>
  <c r="P220" i="9"/>
  <c r="Q220" i="9"/>
  <c r="P221" i="9"/>
  <c r="Q221" i="9"/>
  <c r="P222" i="9"/>
  <c r="Q222" i="9"/>
  <c r="P223" i="9"/>
  <c r="Q223" i="9"/>
  <c r="P224" i="9"/>
  <c r="Q224" i="9"/>
  <c r="P225" i="9"/>
  <c r="Q225" i="9"/>
  <c r="P226" i="9"/>
  <c r="Q226" i="9"/>
  <c r="P227" i="9"/>
  <c r="Q227" i="9"/>
  <c r="P228" i="9"/>
  <c r="Q228" i="9"/>
  <c r="P229" i="9"/>
  <c r="Q229" i="9"/>
  <c r="P230" i="9"/>
  <c r="Q230" i="9"/>
  <c r="P231" i="9"/>
  <c r="Q231" i="9"/>
  <c r="P232" i="9"/>
  <c r="Q232" i="9"/>
  <c r="P233" i="9"/>
  <c r="Q233" i="9"/>
  <c r="P234" i="9"/>
  <c r="Q234" i="9"/>
  <c r="P235" i="9"/>
  <c r="Q235" i="9"/>
  <c r="P236" i="9"/>
  <c r="Q236" i="9"/>
  <c r="P237" i="9"/>
  <c r="Q237" i="9"/>
  <c r="P238" i="9"/>
  <c r="Q238" i="9"/>
  <c r="P239" i="9"/>
  <c r="Q239" i="9"/>
  <c r="P240" i="9"/>
  <c r="Q240" i="9"/>
  <c r="P241" i="9"/>
  <c r="Q241" i="9"/>
  <c r="P242" i="9"/>
  <c r="Q242" i="9"/>
  <c r="P243" i="9"/>
  <c r="Q243" i="9"/>
  <c r="P244" i="9"/>
  <c r="Q244" i="9"/>
  <c r="P245" i="9"/>
  <c r="Q245" i="9"/>
  <c r="P246" i="9"/>
  <c r="Q246" i="9"/>
  <c r="P247" i="9"/>
  <c r="Q247" i="9"/>
  <c r="P248" i="9"/>
  <c r="Q248" i="9"/>
  <c r="P249" i="9"/>
  <c r="Q249" i="9"/>
  <c r="P250" i="9"/>
  <c r="Q250" i="9"/>
  <c r="P251" i="9"/>
  <c r="Q251" i="9"/>
  <c r="P252" i="9"/>
  <c r="Q252" i="9"/>
  <c r="P253" i="9"/>
  <c r="Q253" i="9"/>
  <c r="P254" i="9"/>
  <c r="Q254" i="9"/>
  <c r="P255" i="9"/>
  <c r="Q255" i="9"/>
  <c r="P256" i="9"/>
  <c r="Q256" i="9"/>
  <c r="P257" i="9"/>
  <c r="Q257" i="9"/>
  <c r="P258" i="9"/>
  <c r="Q258" i="9"/>
  <c r="P259" i="9"/>
  <c r="Q259" i="9"/>
  <c r="P260" i="9"/>
  <c r="Q260" i="9"/>
  <c r="P261" i="9"/>
  <c r="Q261" i="9"/>
  <c r="P262" i="9"/>
  <c r="Q262" i="9"/>
  <c r="P263" i="9"/>
  <c r="Q263" i="9"/>
  <c r="P264" i="9"/>
  <c r="Q264" i="9"/>
  <c r="P265" i="9"/>
  <c r="Q265" i="9"/>
  <c r="P266" i="9"/>
  <c r="Q266" i="9"/>
  <c r="P267" i="9"/>
  <c r="Q267" i="9"/>
  <c r="P268" i="9"/>
  <c r="Q268" i="9"/>
  <c r="P269" i="9"/>
  <c r="Q269" i="9"/>
  <c r="P270" i="9"/>
  <c r="Q270" i="9"/>
  <c r="P271" i="9"/>
  <c r="Q271" i="9"/>
  <c r="P272" i="9"/>
  <c r="Q272" i="9"/>
  <c r="P273" i="9"/>
  <c r="Q273" i="9"/>
  <c r="P274" i="9"/>
  <c r="Q274" i="9"/>
  <c r="P275" i="9"/>
  <c r="Q275" i="9"/>
  <c r="P276" i="9"/>
  <c r="Q276" i="9"/>
  <c r="P277" i="9"/>
  <c r="Q277" i="9"/>
  <c r="P278" i="9"/>
  <c r="Q278" i="9"/>
  <c r="P279" i="9"/>
  <c r="Q279" i="9"/>
  <c r="P280" i="9"/>
  <c r="Q280" i="9"/>
  <c r="P281" i="9"/>
  <c r="Q281" i="9"/>
  <c r="P282" i="9"/>
  <c r="Q282" i="9"/>
  <c r="P283" i="9"/>
  <c r="Q283" i="9"/>
  <c r="P284" i="9"/>
  <c r="Q284" i="9"/>
  <c r="P285" i="9"/>
  <c r="Q285" i="9"/>
  <c r="P286" i="9"/>
  <c r="Q286" i="9"/>
  <c r="P287" i="9"/>
  <c r="Q287" i="9"/>
  <c r="P288" i="9"/>
  <c r="Q288" i="9"/>
  <c r="P289" i="9"/>
  <c r="Q289" i="9"/>
  <c r="P290" i="9"/>
  <c r="Q290" i="9"/>
  <c r="P291" i="9"/>
  <c r="Q291" i="9"/>
  <c r="P292" i="9"/>
  <c r="Q292" i="9"/>
  <c r="P293" i="9"/>
  <c r="Q293" i="9"/>
  <c r="P294" i="9"/>
  <c r="Q294" i="9"/>
  <c r="P295" i="9"/>
  <c r="Q295" i="9"/>
  <c r="P296" i="9"/>
  <c r="Q296" i="9"/>
  <c r="P297" i="9"/>
  <c r="Q297" i="9"/>
  <c r="P298" i="9"/>
  <c r="Q298" i="9"/>
  <c r="P299" i="9"/>
  <c r="Q299" i="9"/>
  <c r="P300" i="9"/>
  <c r="Q300" i="9"/>
  <c r="P301" i="9"/>
  <c r="Q301" i="9"/>
  <c r="P302" i="9"/>
  <c r="Q302" i="9"/>
  <c r="P303" i="9"/>
  <c r="Q303" i="9"/>
  <c r="P304" i="9"/>
  <c r="Q304" i="9"/>
  <c r="P305" i="9"/>
  <c r="Q305" i="9"/>
  <c r="P306" i="9"/>
  <c r="Q306" i="9"/>
  <c r="P307" i="9"/>
  <c r="Q307" i="9"/>
  <c r="P308" i="9"/>
  <c r="Q308" i="9"/>
  <c r="P309" i="9"/>
  <c r="Q309" i="9"/>
  <c r="P310" i="9"/>
  <c r="Q310" i="9"/>
  <c r="P311" i="9"/>
  <c r="Q311" i="9"/>
  <c r="P312" i="9"/>
  <c r="Q312" i="9"/>
  <c r="P313" i="9"/>
  <c r="Q313" i="9"/>
  <c r="P314" i="9"/>
  <c r="Q314" i="9"/>
  <c r="P315" i="9"/>
  <c r="Q315" i="9"/>
  <c r="P316" i="9"/>
  <c r="Q316" i="9"/>
  <c r="P317" i="9"/>
  <c r="Q317" i="9"/>
  <c r="P318" i="9"/>
  <c r="Q318" i="9"/>
  <c r="P319" i="9"/>
  <c r="Q319" i="9"/>
  <c r="P320" i="9"/>
  <c r="Q320" i="9"/>
  <c r="P321" i="9"/>
  <c r="Q321" i="9"/>
  <c r="P322" i="9"/>
  <c r="Q322" i="9"/>
  <c r="P323" i="9"/>
  <c r="Q323" i="9"/>
  <c r="P324" i="9"/>
  <c r="Q324" i="9"/>
  <c r="P325" i="9"/>
  <c r="Q325" i="9"/>
  <c r="P326" i="9"/>
  <c r="Q326" i="9"/>
  <c r="P327" i="9"/>
  <c r="Q327" i="9"/>
  <c r="P328" i="9"/>
  <c r="Q328" i="9"/>
  <c r="P329" i="9"/>
  <c r="Q329" i="9"/>
  <c r="P330" i="9"/>
  <c r="Q330" i="9"/>
  <c r="P331" i="9"/>
  <c r="Q331" i="9"/>
  <c r="P332" i="9"/>
  <c r="Q332" i="9"/>
  <c r="P333" i="9"/>
  <c r="Q333" i="9"/>
  <c r="P334" i="9"/>
  <c r="Q334" i="9"/>
  <c r="P335" i="9"/>
  <c r="Q335" i="9"/>
  <c r="P336" i="9"/>
  <c r="Q336" i="9"/>
  <c r="P337" i="9"/>
  <c r="Q337" i="9"/>
  <c r="P338" i="9"/>
  <c r="Q338" i="9"/>
  <c r="P339" i="9"/>
  <c r="Q339" i="9"/>
  <c r="P340" i="9"/>
  <c r="Q340" i="9"/>
  <c r="P341" i="9"/>
  <c r="Q341" i="9"/>
  <c r="P342" i="9"/>
  <c r="Q342" i="9"/>
  <c r="P343" i="9"/>
  <c r="Q343" i="9"/>
  <c r="P344" i="9"/>
  <c r="Q344" i="9"/>
  <c r="P345" i="9"/>
  <c r="Q345" i="9"/>
  <c r="P346" i="9"/>
  <c r="Q346" i="9"/>
  <c r="P347" i="9"/>
  <c r="Q347" i="9"/>
  <c r="P348" i="9"/>
  <c r="Q348" i="9"/>
  <c r="P349" i="9"/>
  <c r="Q349" i="9"/>
  <c r="P350" i="9"/>
  <c r="Q350" i="9"/>
  <c r="P351" i="9"/>
  <c r="Q351" i="9"/>
  <c r="P352" i="9"/>
  <c r="Q352" i="9"/>
  <c r="P353" i="9"/>
  <c r="Q353" i="9"/>
  <c r="P354" i="9"/>
  <c r="Q354" i="9"/>
  <c r="P355" i="9"/>
  <c r="Q355" i="9"/>
  <c r="P356" i="9"/>
  <c r="Q356" i="9"/>
  <c r="P357" i="9"/>
  <c r="Q357" i="9"/>
  <c r="P358" i="9"/>
  <c r="Q358" i="9"/>
  <c r="P359" i="9"/>
  <c r="Q359" i="9"/>
  <c r="P360" i="9"/>
  <c r="Q360" i="9"/>
  <c r="P361" i="9"/>
  <c r="Q361" i="9"/>
  <c r="P362" i="9"/>
  <c r="Q362" i="9"/>
  <c r="P363" i="9"/>
  <c r="Q363" i="9"/>
  <c r="P364" i="9"/>
  <c r="Q364" i="9"/>
  <c r="P365" i="9"/>
  <c r="Q365" i="9"/>
  <c r="P366" i="9"/>
  <c r="Q366" i="9"/>
  <c r="P367" i="9"/>
  <c r="Q367" i="9"/>
  <c r="P368" i="9"/>
  <c r="Q368" i="9"/>
  <c r="P369" i="9"/>
  <c r="Q369" i="9"/>
  <c r="P370" i="9"/>
  <c r="Q370" i="9"/>
  <c r="P371" i="9"/>
  <c r="Q371" i="9"/>
  <c r="P372" i="9"/>
  <c r="Q372" i="9"/>
  <c r="P373" i="9"/>
  <c r="Q373" i="9"/>
  <c r="P374" i="9"/>
  <c r="Q374" i="9"/>
  <c r="P375" i="9"/>
  <c r="Q375" i="9"/>
  <c r="P376" i="9"/>
  <c r="Q376" i="9"/>
  <c r="P377" i="9"/>
  <c r="Q377" i="9"/>
  <c r="P378" i="9"/>
  <c r="Q378" i="9"/>
  <c r="P379" i="9"/>
  <c r="Q379" i="9"/>
  <c r="P380" i="9"/>
  <c r="Q380" i="9"/>
  <c r="P381" i="9"/>
  <c r="Q381" i="9"/>
  <c r="P382" i="9"/>
  <c r="Q382" i="9"/>
  <c r="P383" i="9"/>
  <c r="Q383" i="9"/>
  <c r="P384" i="9"/>
  <c r="Q384" i="9"/>
  <c r="P385" i="9"/>
  <c r="Q385" i="9"/>
  <c r="P386" i="9"/>
  <c r="Q386" i="9"/>
  <c r="P387" i="9"/>
  <c r="Q387" i="9"/>
  <c r="P388" i="9"/>
  <c r="Q388" i="9"/>
  <c r="P389" i="9"/>
  <c r="Q389" i="9"/>
  <c r="P390" i="9"/>
  <c r="Q390" i="9"/>
  <c r="P391" i="9"/>
  <c r="Q391" i="9"/>
  <c r="P392" i="9"/>
  <c r="Q392" i="9"/>
  <c r="P393" i="9"/>
  <c r="Q393" i="9"/>
  <c r="P394" i="9"/>
  <c r="Q394" i="9"/>
  <c r="P395" i="9"/>
  <c r="Q395" i="9"/>
  <c r="P396" i="9"/>
  <c r="Q396" i="9"/>
  <c r="P397" i="9"/>
  <c r="Q397" i="9"/>
  <c r="P398" i="9"/>
  <c r="Q398" i="9"/>
  <c r="P399" i="9"/>
  <c r="Q399" i="9"/>
  <c r="P400" i="9"/>
  <c r="Q400" i="9"/>
  <c r="P401" i="9"/>
  <c r="Q401" i="9"/>
  <c r="P402" i="9"/>
  <c r="Q402" i="9"/>
  <c r="P403" i="9"/>
  <c r="Q403" i="9"/>
  <c r="P404" i="9"/>
  <c r="Q404" i="9"/>
  <c r="P405" i="9"/>
  <c r="Q405" i="9"/>
  <c r="P406" i="9"/>
  <c r="Q406" i="9"/>
  <c r="P407" i="9"/>
  <c r="Q407" i="9"/>
  <c r="P408" i="9"/>
  <c r="Q408" i="9"/>
  <c r="P409" i="9"/>
  <c r="Q409" i="9"/>
  <c r="P410" i="9"/>
  <c r="Q410" i="9"/>
  <c r="P411" i="9"/>
  <c r="Q411" i="9"/>
  <c r="P412" i="9"/>
  <c r="Q412" i="9"/>
  <c r="P413" i="9"/>
  <c r="Q413" i="9"/>
  <c r="P414" i="9"/>
  <c r="Q414" i="9"/>
  <c r="P415" i="9"/>
  <c r="Q415" i="9"/>
  <c r="P416" i="9"/>
  <c r="Q416" i="9"/>
  <c r="P417" i="9"/>
  <c r="Q417" i="9"/>
  <c r="P418" i="9"/>
  <c r="Q418" i="9"/>
  <c r="P419" i="9"/>
  <c r="Q419" i="9"/>
  <c r="P420" i="9"/>
  <c r="Q420" i="9"/>
  <c r="P421" i="9"/>
  <c r="Q421" i="9"/>
  <c r="P422" i="9"/>
  <c r="Q422" i="9"/>
  <c r="P423" i="9"/>
  <c r="Q423" i="9"/>
  <c r="P424" i="9"/>
  <c r="Q424" i="9"/>
  <c r="P425" i="9"/>
  <c r="Q425" i="9"/>
  <c r="P426" i="9"/>
  <c r="Q426" i="9"/>
  <c r="P427" i="9"/>
  <c r="Q427" i="9"/>
  <c r="P428" i="9"/>
  <c r="Q428" i="9"/>
  <c r="P429" i="9"/>
  <c r="Q429" i="9"/>
  <c r="P430" i="9"/>
  <c r="Q430" i="9"/>
  <c r="P431" i="9"/>
  <c r="Q431" i="9"/>
  <c r="P432" i="9"/>
  <c r="Q432" i="9"/>
  <c r="P433" i="9"/>
  <c r="Q433" i="9"/>
  <c r="P434" i="9"/>
  <c r="Q434" i="9"/>
  <c r="P435" i="9"/>
  <c r="Q435" i="9"/>
  <c r="P436" i="9"/>
  <c r="Q436" i="9"/>
  <c r="P437" i="9"/>
  <c r="Q437" i="9"/>
  <c r="P438" i="9"/>
  <c r="Q438" i="9"/>
  <c r="P439" i="9"/>
  <c r="Q439" i="9"/>
  <c r="P440" i="9"/>
  <c r="Q440" i="9"/>
  <c r="P441" i="9"/>
  <c r="Q441" i="9"/>
  <c r="P442" i="9"/>
  <c r="Q442" i="9"/>
  <c r="P443" i="9"/>
  <c r="Q443" i="9"/>
  <c r="P444" i="9"/>
  <c r="Q444" i="9"/>
  <c r="P445" i="9"/>
  <c r="Q445" i="9"/>
  <c r="P446" i="9"/>
  <c r="Q446" i="9"/>
  <c r="P447" i="9"/>
  <c r="Q447" i="9"/>
  <c r="P448" i="9"/>
  <c r="Q448" i="9"/>
  <c r="P449" i="9"/>
  <c r="Q449" i="9"/>
  <c r="P450" i="9"/>
  <c r="Q450" i="9"/>
  <c r="P451" i="9"/>
  <c r="Q451" i="9"/>
  <c r="P452" i="9"/>
  <c r="Q452" i="9"/>
  <c r="P453" i="9"/>
  <c r="Q453" i="9"/>
  <c r="P454" i="9"/>
  <c r="Q454" i="9"/>
  <c r="P455" i="9"/>
  <c r="Q455" i="9"/>
  <c r="P456" i="9"/>
  <c r="Q456" i="9"/>
  <c r="P457" i="9"/>
  <c r="Q457" i="9"/>
  <c r="P458" i="9"/>
  <c r="Q458" i="9"/>
  <c r="P459" i="9"/>
  <c r="Q459" i="9"/>
  <c r="P460" i="9"/>
  <c r="Q460" i="9"/>
  <c r="P461" i="9"/>
  <c r="Q461" i="9"/>
  <c r="P462" i="9"/>
  <c r="Q462" i="9"/>
  <c r="P463" i="9"/>
  <c r="Q463" i="9"/>
  <c r="P464" i="9"/>
  <c r="Q464" i="9"/>
  <c r="P465" i="9"/>
  <c r="Q465" i="9"/>
  <c r="P466" i="9"/>
  <c r="Q466" i="9"/>
  <c r="P467" i="9"/>
  <c r="Q467" i="9"/>
  <c r="P468" i="9"/>
  <c r="Q468" i="9"/>
  <c r="P469" i="9"/>
  <c r="Q469" i="9"/>
  <c r="P470" i="9"/>
  <c r="Q470" i="9"/>
  <c r="P471" i="9"/>
  <c r="Q471" i="9"/>
  <c r="P472" i="9"/>
  <c r="Q472" i="9"/>
  <c r="P473" i="9"/>
  <c r="Q473" i="9"/>
  <c r="P474" i="9"/>
  <c r="Q474" i="9"/>
  <c r="P475" i="9"/>
  <c r="Q475" i="9"/>
  <c r="P476" i="9"/>
  <c r="Q476" i="9"/>
  <c r="P477" i="9"/>
  <c r="Q477" i="9"/>
  <c r="P478" i="9"/>
  <c r="Q478" i="9"/>
  <c r="P479" i="9"/>
  <c r="Q479" i="9"/>
  <c r="P480" i="9"/>
  <c r="Q480" i="9"/>
  <c r="P481" i="9"/>
  <c r="Q481" i="9"/>
  <c r="P482" i="9"/>
  <c r="Q482" i="9"/>
  <c r="P483" i="9"/>
  <c r="Q483" i="9"/>
  <c r="P484" i="9"/>
  <c r="Q484" i="9"/>
  <c r="P485" i="9"/>
  <c r="Q485" i="9"/>
  <c r="P486" i="9"/>
  <c r="Q486" i="9"/>
  <c r="P487" i="9"/>
  <c r="Q487" i="9"/>
  <c r="P488" i="9"/>
  <c r="Q488" i="9"/>
  <c r="P489" i="9"/>
  <c r="Q489" i="9"/>
  <c r="P490" i="9"/>
  <c r="Q490" i="9"/>
  <c r="P491" i="9"/>
  <c r="Q491" i="9"/>
  <c r="P492" i="9"/>
  <c r="Q492" i="9"/>
  <c r="P493" i="9"/>
  <c r="Q493" i="9"/>
  <c r="P494" i="9"/>
  <c r="Q494" i="9"/>
  <c r="P495" i="9"/>
  <c r="Q495" i="9"/>
  <c r="P496" i="9"/>
  <c r="Q496" i="9"/>
  <c r="P497" i="9"/>
  <c r="Q497" i="9"/>
  <c r="P498" i="9"/>
  <c r="Q498" i="9"/>
  <c r="P499" i="9"/>
  <c r="Q499" i="9"/>
  <c r="P500" i="9"/>
  <c r="Q500" i="9"/>
  <c r="P501" i="9"/>
  <c r="Q501" i="9"/>
  <c r="P502" i="9"/>
  <c r="Q502" i="9"/>
  <c r="P503" i="9"/>
  <c r="Q503" i="9"/>
  <c r="P504" i="9"/>
  <c r="Q504" i="9"/>
  <c r="P505" i="9"/>
  <c r="Q505" i="9"/>
  <c r="P506" i="9"/>
  <c r="Q506" i="9"/>
  <c r="P507" i="9"/>
  <c r="Q507" i="9"/>
  <c r="P508" i="9"/>
  <c r="Q508" i="9"/>
  <c r="P509" i="9"/>
  <c r="Q509" i="9"/>
  <c r="P510" i="9"/>
  <c r="Q510" i="9"/>
  <c r="P511" i="9"/>
  <c r="Q511" i="9"/>
  <c r="P512" i="9"/>
  <c r="Q512" i="9"/>
  <c r="P513" i="9"/>
  <c r="G513" i="9" s="1"/>
  <c r="Q513" i="9"/>
  <c r="P514" i="9"/>
  <c r="G514" i="9" s="1"/>
  <c r="Q514" i="9"/>
  <c r="H514" i="9" s="1"/>
  <c r="P515" i="9"/>
  <c r="Q515" i="9"/>
  <c r="P516" i="9"/>
  <c r="Q516" i="9"/>
  <c r="P517" i="9"/>
  <c r="Q517" i="9"/>
  <c r="P518" i="9"/>
  <c r="G518" i="9" s="1"/>
  <c r="Q518" i="9"/>
  <c r="H518" i="9" s="1"/>
  <c r="P519" i="9"/>
  <c r="Q519" i="9"/>
  <c r="P520" i="9"/>
  <c r="Q520" i="9"/>
  <c r="P521" i="9"/>
  <c r="G521" i="9" s="1"/>
  <c r="Q521" i="9"/>
  <c r="P522" i="9"/>
  <c r="G522" i="9" s="1"/>
  <c r="Q522" i="9"/>
  <c r="H522" i="9" s="1"/>
  <c r="P523" i="9"/>
  <c r="Q523" i="9"/>
  <c r="H523" i="9" s="1"/>
  <c r="P524" i="9"/>
  <c r="Q524" i="9"/>
  <c r="P525" i="9"/>
  <c r="Q525" i="9"/>
  <c r="P526" i="9"/>
  <c r="G526" i="9" s="1"/>
  <c r="Q526" i="9"/>
  <c r="H526" i="9" s="1"/>
  <c r="P527" i="9"/>
  <c r="Q527" i="9"/>
  <c r="P528" i="9"/>
  <c r="Q528" i="9"/>
  <c r="P529" i="9"/>
  <c r="G529" i="9" s="1"/>
  <c r="Q529" i="9"/>
  <c r="P530" i="9"/>
  <c r="G530" i="9" s="1"/>
  <c r="Q530" i="9"/>
  <c r="H530" i="9" s="1"/>
  <c r="P531" i="9"/>
  <c r="Q531" i="9"/>
  <c r="H531" i="9" s="1"/>
  <c r="P532" i="9"/>
  <c r="Q532" i="9"/>
  <c r="P533" i="9"/>
  <c r="Q533" i="9"/>
  <c r="P534" i="9"/>
  <c r="G534" i="9" s="1"/>
  <c r="Q534" i="9"/>
  <c r="H534" i="9" s="1"/>
  <c r="P535" i="9"/>
  <c r="Q535" i="9"/>
  <c r="P536" i="9"/>
  <c r="Q536" i="9"/>
  <c r="P537" i="9"/>
  <c r="G537" i="9" s="1"/>
  <c r="Q537" i="9"/>
  <c r="P538" i="9"/>
  <c r="G538" i="9" s="1"/>
  <c r="Q538" i="9"/>
  <c r="H538" i="9" s="1"/>
  <c r="P539" i="9"/>
  <c r="Q539" i="9"/>
  <c r="H539" i="9" s="1"/>
  <c r="P540" i="9"/>
  <c r="Q540" i="9"/>
  <c r="P541" i="9"/>
  <c r="G541" i="9" s="1"/>
  <c r="Q541" i="9"/>
  <c r="P542" i="9"/>
  <c r="G542" i="9" s="1"/>
  <c r="Q542" i="9"/>
  <c r="H542" i="9" s="1"/>
  <c r="P543" i="9"/>
  <c r="Q543" i="9"/>
  <c r="P544" i="9"/>
  <c r="Q544" i="9"/>
  <c r="P545" i="9"/>
  <c r="G545" i="9" s="1"/>
  <c r="Q545" i="9"/>
  <c r="P546" i="9"/>
  <c r="G546" i="9" s="1"/>
  <c r="Q546" i="9"/>
  <c r="H546" i="9" s="1"/>
  <c r="P547" i="9"/>
  <c r="Q547" i="9"/>
  <c r="H547" i="9" s="1"/>
  <c r="P548" i="9"/>
  <c r="Q548" i="9"/>
  <c r="P549" i="9"/>
  <c r="Q549" i="9"/>
  <c r="P550" i="9"/>
  <c r="G550" i="9" s="1"/>
  <c r="Q550" i="9"/>
  <c r="H550" i="9" s="1"/>
  <c r="P551" i="9"/>
  <c r="Q551" i="9"/>
  <c r="P552" i="9"/>
  <c r="Q552" i="9"/>
  <c r="P553" i="9"/>
  <c r="G553" i="9" s="1"/>
  <c r="Q553" i="9"/>
  <c r="P554" i="9"/>
  <c r="G554" i="9" s="1"/>
  <c r="Q554" i="9"/>
  <c r="H554" i="9" s="1"/>
  <c r="P555" i="9"/>
  <c r="Q555" i="9"/>
  <c r="H555" i="9" s="1"/>
  <c r="P556" i="9"/>
  <c r="Q556" i="9"/>
  <c r="P557" i="9"/>
  <c r="G557" i="9" s="1"/>
  <c r="Q557" i="9"/>
  <c r="P558" i="9"/>
  <c r="G558" i="9" s="1"/>
  <c r="Q558" i="9"/>
  <c r="H558" i="9" s="1"/>
  <c r="P559" i="9"/>
  <c r="Q559" i="9"/>
  <c r="P560" i="9"/>
  <c r="Q560" i="9"/>
  <c r="P561" i="9"/>
  <c r="G561" i="9" s="1"/>
  <c r="Q561" i="9"/>
  <c r="P562" i="9"/>
  <c r="G562" i="9" s="1"/>
  <c r="Q562" i="9"/>
  <c r="H562" i="9" s="1"/>
  <c r="P563" i="9"/>
  <c r="Q563" i="9"/>
  <c r="H563" i="9" s="1"/>
  <c r="P564" i="9"/>
  <c r="Q564" i="9"/>
  <c r="P565" i="9"/>
  <c r="G565" i="9" s="1"/>
  <c r="Q565" i="9"/>
  <c r="P566" i="9"/>
  <c r="G566" i="9" s="1"/>
  <c r="Q566" i="9"/>
  <c r="H566" i="9" s="1"/>
  <c r="P567" i="9"/>
  <c r="Q567" i="9"/>
  <c r="P568" i="9"/>
  <c r="Q568" i="9"/>
  <c r="P569" i="9"/>
  <c r="G569" i="9" s="1"/>
  <c r="Q569" i="9"/>
  <c r="P570" i="9"/>
  <c r="G570" i="9" s="1"/>
  <c r="Q570" i="9"/>
  <c r="H570" i="9" s="1"/>
  <c r="P571" i="9"/>
  <c r="Q571" i="9"/>
  <c r="H571" i="9" s="1"/>
  <c r="P572" i="9"/>
  <c r="Q572" i="9"/>
  <c r="P573" i="9"/>
  <c r="Q573" i="9"/>
  <c r="P574" i="9"/>
  <c r="G574" i="9" s="1"/>
  <c r="Q574" i="9"/>
  <c r="H574" i="9" s="1"/>
  <c r="P575" i="9"/>
  <c r="Q575" i="9"/>
  <c r="P576" i="9"/>
  <c r="Q576" i="9"/>
  <c r="P577" i="9"/>
  <c r="G577" i="9" s="1"/>
  <c r="Q577" i="9"/>
  <c r="P578" i="9"/>
  <c r="G578" i="9" s="1"/>
  <c r="Q578" i="9"/>
  <c r="H578" i="9" s="1"/>
  <c r="P579" i="9"/>
  <c r="Q579" i="9"/>
  <c r="H579" i="9" s="1"/>
  <c r="P580" i="9"/>
  <c r="Q580" i="9"/>
  <c r="P581" i="9"/>
  <c r="Q581" i="9"/>
  <c r="P582" i="9"/>
  <c r="G582" i="9" s="1"/>
  <c r="Q582" i="9"/>
  <c r="H582" i="9" s="1"/>
  <c r="P583" i="9"/>
  <c r="Q583" i="9"/>
  <c r="P584" i="9"/>
  <c r="Q584" i="9"/>
  <c r="P585" i="9"/>
  <c r="G585" i="9" s="1"/>
  <c r="Q585" i="9"/>
  <c r="P586" i="9"/>
  <c r="G586" i="9" s="1"/>
  <c r="Q586" i="9"/>
  <c r="H586" i="9" s="1"/>
  <c r="P587" i="9"/>
  <c r="Q587" i="9"/>
  <c r="H587" i="9" s="1"/>
  <c r="P588" i="9"/>
  <c r="Q588" i="9"/>
  <c r="P589" i="9"/>
  <c r="Q589" i="9"/>
  <c r="P590" i="9"/>
  <c r="G590" i="9" s="1"/>
  <c r="Q590" i="9"/>
  <c r="H590" i="9" s="1"/>
  <c r="P591" i="9"/>
  <c r="Q591" i="9"/>
  <c r="P592" i="9"/>
  <c r="Q592" i="9"/>
  <c r="P593" i="9"/>
  <c r="G593" i="9" s="1"/>
  <c r="Q593" i="9"/>
  <c r="P594" i="9"/>
  <c r="G594" i="9" s="1"/>
  <c r="Q594" i="9"/>
  <c r="H594" i="9" s="1"/>
  <c r="P595" i="9"/>
  <c r="Q595" i="9"/>
  <c r="H595" i="9" s="1"/>
  <c r="P596" i="9"/>
  <c r="Q596" i="9"/>
  <c r="P597" i="9"/>
  <c r="Q597" i="9"/>
  <c r="P598" i="9"/>
  <c r="G598" i="9" s="1"/>
  <c r="Q598" i="9"/>
  <c r="H598" i="9" s="1"/>
  <c r="P599" i="9"/>
  <c r="Q599" i="9"/>
  <c r="P600" i="9"/>
  <c r="Q600" i="9"/>
  <c r="P601" i="9"/>
  <c r="G601" i="9" s="1"/>
  <c r="Q601" i="9"/>
  <c r="P602" i="9"/>
  <c r="G602" i="9" s="1"/>
  <c r="Q602" i="9"/>
  <c r="H602" i="9" s="1"/>
  <c r="P603" i="9"/>
  <c r="Q603" i="9"/>
  <c r="H603" i="9" s="1"/>
  <c r="P604" i="9"/>
  <c r="Q604" i="9"/>
  <c r="P605" i="9"/>
  <c r="Q605" i="9"/>
  <c r="P606" i="9"/>
  <c r="G606" i="9" s="1"/>
  <c r="Q606" i="9"/>
  <c r="H606" i="9" s="1"/>
  <c r="P607" i="9"/>
  <c r="Q607" i="9"/>
  <c r="P608" i="9"/>
  <c r="Q608" i="9"/>
  <c r="P609" i="9"/>
  <c r="G609" i="9" s="1"/>
  <c r="Q609" i="9"/>
  <c r="P610" i="9"/>
  <c r="Q610" i="9"/>
  <c r="P611" i="9"/>
  <c r="Q611" i="9"/>
  <c r="P612" i="9"/>
  <c r="Q612" i="9"/>
  <c r="P613" i="9"/>
  <c r="G613" i="9" s="1"/>
  <c r="Q613" i="9"/>
  <c r="P614" i="9"/>
  <c r="G614" i="9" s="1"/>
  <c r="Q614" i="9"/>
  <c r="H614" i="9" s="1"/>
  <c r="P615" i="9"/>
  <c r="Q615" i="9"/>
  <c r="P616" i="9"/>
  <c r="Q616" i="9"/>
  <c r="P617" i="9"/>
  <c r="Q617" i="9"/>
  <c r="P618" i="9"/>
  <c r="G618" i="9" s="1"/>
  <c r="Q618" i="9"/>
  <c r="H618" i="9" s="1"/>
  <c r="P619" i="9"/>
  <c r="Q619" i="9"/>
  <c r="H619" i="9" s="1"/>
  <c r="P620" i="9"/>
  <c r="Q620" i="9"/>
  <c r="P621" i="9"/>
  <c r="Q621" i="9"/>
  <c r="H621" i="9" s="1"/>
  <c r="P622" i="9"/>
  <c r="G622" i="9" s="1"/>
  <c r="Q622" i="9"/>
  <c r="H622" i="9" s="1"/>
  <c r="P623" i="9"/>
  <c r="Q623" i="9"/>
  <c r="P624" i="9"/>
  <c r="G624" i="9" s="1"/>
  <c r="Q624" i="9"/>
  <c r="P625" i="9"/>
  <c r="G625" i="9" s="1"/>
  <c r="Q625" i="9"/>
  <c r="P626" i="9"/>
  <c r="Q626" i="9"/>
  <c r="P627" i="9"/>
  <c r="Q627" i="9"/>
  <c r="P628" i="9"/>
  <c r="Q628" i="9"/>
  <c r="P629" i="9"/>
  <c r="G629" i="9" s="1"/>
  <c r="Q629" i="9"/>
  <c r="P630" i="9"/>
  <c r="G630" i="9" s="1"/>
  <c r="Q630" i="9"/>
  <c r="H630" i="9" s="1"/>
  <c r="P631" i="9"/>
  <c r="Q631" i="9"/>
  <c r="P632" i="9"/>
  <c r="Q632" i="9"/>
  <c r="P633" i="9"/>
  <c r="Q633" i="9"/>
  <c r="P634" i="9"/>
  <c r="G634" i="9" s="1"/>
  <c r="Q634" i="9"/>
  <c r="H634" i="9" s="1"/>
  <c r="P635" i="9"/>
  <c r="Q635" i="9"/>
  <c r="H635" i="9" s="1"/>
  <c r="P636" i="9"/>
  <c r="Q636" i="9"/>
  <c r="P637" i="9"/>
  <c r="Q637" i="9"/>
  <c r="H637" i="9" s="1"/>
  <c r="P638" i="9"/>
  <c r="G638" i="9" s="1"/>
  <c r="Q638" i="9"/>
  <c r="H638" i="9" s="1"/>
  <c r="P639" i="9"/>
  <c r="Q639" i="9"/>
  <c r="P640" i="9"/>
  <c r="G640" i="9" s="1"/>
  <c r="Q640" i="9"/>
  <c r="P641" i="9"/>
  <c r="G641" i="9" s="1"/>
  <c r="Q641" i="9"/>
  <c r="P642" i="9"/>
  <c r="Q642" i="9"/>
  <c r="P643" i="9"/>
  <c r="Q643" i="9"/>
  <c r="P644" i="9"/>
  <c r="Q644" i="9"/>
  <c r="P645" i="9"/>
  <c r="G645" i="9" s="1"/>
  <c r="Q645" i="9"/>
  <c r="P646" i="9"/>
  <c r="G646" i="9" s="1"/>
  <c r="Q646" i="9"/>
  <c r="H646" i="9" s="1"/>
  <c r="P647" i="9"/>
  <c r="Q647" i="9"/>
  <c r="P648" i="9"/>
  <c r="Q648" i="9"/>
  <c r="P649" i="9"/>
  <c r="Q649" i="9"/>
  <c r="P650" i="9"/>
  <c r="G650" i="9" s="1"/>
  <c r="Q650" i="9"/>
  <c r="H650" i="9" s="1"/>
  <c r="P651" i="9"/>
  <c r="Q651" i="9"/>
  <c r="H651" i="9" s="1"/>
  <c r="P652" i="9"/>
  <c r="Q652" i="9"/>
  <c r="P653" i="9"/>
  <c r="Q653" i="9"/>
  <c r="H653" i="9" s="1"/>
  <c r="P654" i="9"/>
  <c r="G654" i="9" s="1"/>
  <c r="Q654" i="9"/>
  <c r="H654" i="9" s="1"/>
  <c r="P655" i="9"/>
  <c r="Q655" i="9"/>
  <c r="P656" i="9"/>
  <c r="G656" i="9" s="1"/>
  <c r="Q656" i="9"/>
  <c r="H656" i="9" s="1"/>
  <c r="P657" i="9"/>
  <c r="G657" i="9" s="1"/>
  <c r="Q657" i="9"/>
  <c r="P658" i="9"/>
  <c r="Q658" i="9"/>
  <c r="P659" i="9"/>
  <c r="Q659" i="9"/>
  <c r="H659" i="9" s="1"/>
  <c r="P660" i="9"/>
  <c r="Q660" i="9"/>
  <c r="P661" i="9"/>
  <c r="Q661" i="9"/>
  <c r="H661" i="9" s="1"/>
  <c r="P662" i="9"/>
  <c r="G662" i="9" s="1"/>
  <c r="Q662" i="9"/>
  <c r="H662" i="9" s="1"/>
  <c r="P663" i="9"/>
  <c r="Q663" i="9"/>
  <c r="P664" i="9"/>
  <c r="G664" i="9" s="1"/>
  <c r="Q664" i="9"/>
  <c r="H664" i="9" s="1"/>
  <c r="P665" i="9"/>
  <c r="G665" i="9" s="1"/>
  <c r="Q665" i="9"/>
  <c r="P666" i="9"/>
  <c r="Q666" i="9"/>
  <c r="P667" i="9"/>
  <c r="Q667" i="9"/>
  <c r="H667" i="9" s="1"/>
  <c r="P668" i="9"/>
  <c r="Q668" i="9"/>
  <c r="P669" i="9"/>
  <c r="Q669" i="9"/>
  <c r="H669" i="9" s="1"/>
  <c r="P670" i="9"/>
  <c r="G670" i="9" s="1"/>
  <c r="Q670" i="9"/>
  <c r="H670" i="9" s="1"/>
  <c r="P671" i="9"/>
  <c r="Q671" i="9"/>
  <c r="P672" i="9"/>
  <c r="G672" i="9" s="1"/>
  <c r="Q672" i="9"/>
  <c r="H672" i="9" s="1"/>
  <c r="P673" i="9"/>
  <c r="G673" i="9" s="1"/>
  <c r="Q673" i="9"/>
  <c r="P674" i="9"/>
  <c r="Q674" i="9"/>
  <c r="P675" i="9"/>
  <c r="Q675" i="9"/>
  <c r="H675" i="9" s="1"/>
  <c r="P676" i="9"/>
  <c r="Q676" i="9"/>
  <c r="P677" i="9"/>
  <c r="Q677" i="9"/>
  <c r="H677" i="9" s="1"/>
  <c r="P678" i="9"/>
  <c r="G678" i="9" s="1"/>
  <c r="Q678" i="9"/>
  <c r="H678" i="9" s="1"/>
  <c r="P679" i="9"/>
  <c r="Q679" i="9"/>
  <c r="P680" i="9"/>
  <c r="G680" i="9" s="1"/>
  <c r="Q680" i="9"/>
  <c r="H680" i="9" s="1"/>
  <c r="P681" i="9"/>
  <c r="G681" i="9" s="1"/>
  <c r="Q681" i="9"/>
  <c r="P682" i="9"/>
  <c r="Q682" i="9"/>
  <c r="P683" i="9"/>
  <c r="Q683" i="9"/>
  <c r="H683" i="9" s="1"/>
  <c r="P684" i="9"/>
  <c r="Q684" i="9"/>
  <c r="P685" i="9"/>
  <c r="Q685" i="9"/>
  <c r="H685" i="9" s="1"/>
  <c r="P3" i="9"/>
  <c r="Q3" i="9"/>
  <c r="H647" i="9" l="1"/>
  <c r="H639" i="9"/>
  <c r="H631" i="9"/>
  <c r="H623" i="9"/>
  <c r="H615" i="9"/>
  <c r="H599" i="9"/>
  <c r="H591" i="9"/>
  <c r="H583" i="9"/>
  <c r="H575" i="9"/>
  <c r="H567" i="9"/>
  <c r="H559" i="9"/>
  <c r="H551" i="9"/>
  <c r="H543" i="9"/>
  <c r="H535" i="9"/>
  <c r="H527" i="9"/>
  <c r="H519" i="9"/>
  <c r="H607" i="9"/>
  <c r="G647" i="9"/>
  <c r="G639" i="9"/>
  <c r="G631" i="9"/>
  <c r="G623" i="9"/>
  <c r="G615" i="9"/>
  <c r="G607" i="9"/>
  <c r="G599" i="9"/>
  <c r="G591" i="9"/>
  <c r="G583" i="9"/>
  <c r="G575" i="9"/>
  <c r="G567" i="9"/>
  <c r="G559" i="9"/>
  <c r="G551" i="9"/>
  <c r="G543" i="9"/>
  <c r="G535" i="9"/>
  <c r="G527" i="9"/>
  <c r="G519" i="9"/>
  <c r="H595" i="17"/>
  <c r="H587" i="17"/>
  <c r="H579" i="17"/>
  <c r="H563" i="17"/>
  <c r="H555" i="17"/>
  <c r="H539" i="17"/>
  <c r="H531" i="17"/>
  <c r="H515" i="17"/>
  <c r="H693" i="16"/>
  <c r="H685" i="16"/>
  <c r="H669" i="16"/>
  <c r="H653" i="16"/>
  <c r="H637" i="16"/>
  <c r="H605" i="16"/>
  <c r="H589" i="16"/>
  <c r="H573" i="16"/>
  <c r="G689" i="16"/>
  <c r="H688" i="16"/>
  <c r="G687" i="16"/>
  <c r="G686" i="16"/>
  <c r="G681" i="16"/>
  <c r="G679" i="16"/>
  <c r="H676" i="16"/>
  <c r="G673" i="16"/>
  <c r="G671" i="16"/>
  <c r="G669" i="16"/>
  <c r="H668" i="16"/>
  <c r="G665" i="16"/>
  <c r="G663" i="16"/>
  <c r="H660" i="16"/>
  <c r="G655" i="16"/>
  <c r="G653" i="16"/>
  <c r="H652" i="16"/>
  <c r="G649" i="16"/>
  <c r="G647" i="16"/>
  <c r="H644" i="16"/>
  <c r="G639" i="16"/>
  <c r="G637" i="16"/>
  <c r="H636" i="16"/>
  <c r="G633" i="16"/>
  <c r="G631" i="16"/>
  <c r="H628" i="16"/>
  <c r="G625" i="16"/>
  <c r="G623" i="16"/>
  <c r="G621" i="16"/>
  <c r="H620" i="16"/>
  <c r="G617" i="16"/>
  <c r="G615" i="16"/>
  <c r="H612" i="16"/>
  <c r="G609" i="16"/>
  <c r="G607" i="16"/>
  <c r="G605" i="16"/>
  <c r="H604" i="16"/>
  <c r="G601" i="16"/>
  <c r="G599" i="16"/>
  <c r="H596" i="16"/>
  <c r="G593" i="16"/>
  <c r="G591" i="16"/>
  <c r="G589" i="16"/>
  <c r="H588" i="16"/>
  <c r="G585" i="16"/>
  <c r="G583" i="16"/>
  <c r="H580" i="16"/>
  <c r="G575" i="16"/>
  <c r="G573" i="16"/>
  <c r="H572" i="16"/>
  <c r="G571" i="16"/>
  <c r="G569" i="16"/>
  <c r="G567" i="16"/>
  <c r="H565" i="16"/>
  <c r="G563" i="16"/>
  <c r="G559" i="16"/>
  <c r="H556" i="16"/>
  <c r="G555" i="16"/>
  <c r="G553" i="16"/>
  <c r="G551" i="16"/>
  <c r="H549" i="16"/>
  <c r="G547" i="16"/>
  <c r="G545" i="16"/>
  <c r="G543" i="16"/>
  <c r="H540" i="16"/>
  <c r="G539" i="16"/>
  <c r="G537" i="16"/>
  <c r="G535" i="16"/>
  <c r="H533" i="16"/>
  <c r="G531" i="16"/>
  <c r="G527" i="16"/>
  <c r="H524" i="16"/>
  <c r="G523" i="16"/>
  <c r="H521" i="16"/>
  <c r="G519" i="16"/>
  <c r="H517" i="16"/>
  <c r="G515" i="16"/>
  <c r="G513" i="16"/>
  <c r="G692" i="17"/>
  <c r="H689" i="17"/>
  <c r="H688" i="17"/>
  <c r="G684" i="17"/>
  <c r="H681" i="17"/>
  <c r="H680" i="17"/>
  <c r="G676" i="17"/>
  <c r="H673" i="17"/>
  <c r="H672" i="17"/>
  <c r="G668" i="17"/>
  <c r="H665" i="17"/>
  <c r="H664" i="17"/>
  <c r="G660" i="17"/>
  <c r="H657" i="17"/>
  <c r="H656" i="17"/>
  <c r="G652" i="17"/>
  <c r="H649" i="17"/>
  <c r="H648" i="17"/>
  <c r="G644" i="17"/>
  <c r="H641" i="17"/>
  <c r="H640" i="17"/>
  <c r="G636" i="17"/>
  <c r="H633" i="17"/>
  <c r="H632" i="17"/>
  <c r="G628" i="17"/>
  <c r="H625" i="17"/>
  <c r="H624" i="17"/>
  <c r="G620" i="17"/>
  <c r="H617" i="17"/>
  <c r="H616" i="17"/>
  <c r="G612" i="17"/>
  <c r="H609" i="17"/>
  <c r="H608" i="17"/>
  <c r="G604" i="17"/>
  <c r="H601" i="17"/>
  <c r="H597" i="17"/>
  <c r="G595" i="17"/>
  <c r="H594" i="17"/>
  <c r="H592" i="17"/>
  <c r="H591" i="17"/>
  <c r="G587" i="17"/>
  <c r="H584" i="17"/>
  <c r="G581" i="17"/>
  <c r="G579" i="17"/>
  <c r="G578" i="17"/>
  <c r="H576" i="17"/>
  <c r="G575" i="17"/>
  <c r="H572" i="17"/>
  <c r="H569" i="17"/>
  <c r="H565" i="17"/>
  <c r="G563" i="17"/>
  <c r="H562" i="17"/>
  <c r="H560" i="17"/>
  <c r="H559" i="17"/>
  <c r="G557" i="17"/>
  <c r="G555" i="17"/>
  <c r="G554" i="17"/>
  <c r="H552" i="17"/>
  <c r="H548" i="17"/>
  <c r="G547" i="17"/>
  <c r="G546" i="17"/>
  <c r="H544" i="17"/>
  <c r="H540" i="17"/>
  <c r="G539" i="17"/>
  <c r="G538" i="17"/>
  <c r="H537" i="17"/>
  <c r="H532" i="17"/>
  <c r="G531" i="17"/>
  <c r="G530" i="17"/>
  <c r="H528" i="17"/>
  <c r="H524" i="17"/>
  <c r="G523" i="17"/>
  <c r="G522" i="17"/>
  <c r="H520" i="17"/>
  <c r="G515" i="17"/>
  <c r="G514" i="17"/>
  <c r="H513" i="17"/>
  <c r="G685" i="9"/>
  <c r="H684" i="9"/>
  <c r="G683" i="9"/>
  <c r="G682" i="9"/>
  <c r="H681" i="9"/>
  <c r="G679" i="9"/>
  <c r="G677" i="9"/>
  <c r="H676" i="9"/>
  <c r="G675" i="9"/>
  <c r="G674" i="9"/>
  <c r="H673" i="9"/>
  <c r="G671" i="9"/>
  <c r="G669" i="9"/>
  <c r="H668" i="9"/>
  <c r="G667" i="9"/>
  <c r="G666" i="9"/>
  <c r="H665" i="9"/>
  <c r="G663" i="9"/>
  <c r="G661" i="9"/>
  <c r="H660" i="9"/>
  <c r="G659" i="9"/>
  <c r="G658" i="9"/>
  <c r="H657" i="9"/>
  <c r="G655" i="9"/>
  <c r="G653" i="9"/>
  <c r="G652" i="9"/>
  <c r="G651" i="9"/>
  <c r="H649" i="9"/>
  <c r="H648" i="9"/>
  <c r="H645" i="9"/>
  <c r="G644" i="9"/>
  <c r="G643" i="9"/>
  <c r="H642" i="9"/>
  <c r="H641" i="9"/>
  <c r="H640" i="9"/>
  <c r="G637" i="9"/>
  <c r="G636" i="9"/>
  <c r="G635" i="9"/>
  <c r="H633" i="9"/>
  <c r="H632" i="9"/>
  <c r="H629" i="9"/>
  <c r="G628" i="9"/>
  <c r="G627" i="9"/>
  <c r="H626" i="9"/>
  <c r="H625" i="9"/>
  <c r="H624" i="9"/>
  <c r="G621" i="9"/>
  <c r="G620" i="9"/>
  <c r="G619" i="9"/>
  <c r="H617" i="9"/>
  <c r="H616" i="9"/>
  <c r="H613" i="9"/>
  <c r="G612" i="9"/>
  <c r="G611" i="9"/>
  <c r="H610" i="9"/>
  <c r="H609" i="9"/>
  <c r="H605" i="9"/>
  <c r="G604" i="9"/>
  <c r="G603" i="9"/>
  <c r="H601" i="9"/>
  <c r="H597" i="9"/>
  <c r="G595" i="9"/>
  <c r="H593" i="9"/>
  <c r="H589" i="9"/>
  <c r="G587" i="9"/>
  <c r="H585" i="9"/>
  <c r="H581" i="9"/>
  <c r="G579" i="9"/>
  <c r="H577" i="9"/>
  <c r="H573" i="9"/>
  <c r="G572" i="9"/>
  <c r="G571" i="9"/>
  <c r="H569" i="9"/>
  <c r="H565" i="9"/>
  <c r="G564" i="9"/>
  <c r="G563" i="9"/>
  <c r="H561" i="9"/>
  <c r="H557" i="9"/>
  <c r="G556" i="9"/>
  <c r="G555" i="9"/>
  <c r="H553" i="9"/>
  <c r="H549" i="9"/>
  <c r="G548" i="9"/>
  <c r="G547" i="9"/>
  <c r="H545" i="9"/>
  <c r="H541" i="9"/>
  <c r="G540" i="9"/>
  <c r="G539" i="9"/>
  <c r="H537" i="9"/>
  <c r="H533" i="9"/>
  <c r="G532" i="9"/>
  <c r="G531" i="9"/>
  <c r="H529" i="9"/>
  <c r="H525" i="9"/>
  <c r="G524" i="9"/>
  <c r="G523" i="9"/>
  <c r="H521" i="9"/>
  <c r="H517" i="9"/>
  <c r="G516" i="9"/>
  <c r="G515" i="9"/>
  <c r="H513" i="9"/>
  <c r="G85" i="9"/>
  <c r="AA12" i="23"/>
  <c r="AA20" i="23"/>
  <c r="AA5" i="23"/>
  <c r="Z15" i="23"/>
  <c r="V8" i="23"/>
  <c r="AA8" i="23"/>
  <c r="V17" i="23"/>
  <c r="AA17" i="23"/>
  <c r="V10" i="23"/>
  <c r="AA10" i="23"/>
  <c r="G580" i="19"/>
  <c r="AH14" i="19"/>
  <c r="Q312" i="19" s="1"/>
  <c r="P312" i="19" s="1"/>
  <c r="P238" i="25"/>
  <c r="P230" i="25"/>
  <c r="P206" i="25"/>
  <c r="P182" i="25"/>
  <c r="P166" i="25"/>
  <c r="P142" i="25"/>
  <c r="P134" i="25"/>
  <c r="P126" i="25"/>
  <c r="P118" i="25"/>
  <c r="P102" i="25"/>
  <c r="P94" i="25"/>
  <c r="P78" i="25"/>
  <c r="P62" i="25"/>
  <c r="P46" i="25"/>
  <c r="P3" i="25"/>
  <c r="P235" i="25"/>
  <c r="P227" i="25"/>
  <c r="P211" i="25"/>
  <c r="P203" i="25"/>
  <c r="P179" i="25"/>
  <c r="P171" i="25"/>
  <c r="P147" i="25"/>
  <c r="P139" i="25"/>
  <c r="P115" i="25"/>
  <c r="P91" i="25"/>
  <c r="P83" i="25"/>
  <c r="P75" i="25"/>
  <c r="P67" i="25"/>
  <c r="P59" i="25"/>
  <c r="P51" i="25"/>
  <c r="P43" i="25"/>
  <c r="P35" i="25"/>
  <c r="P27" i="25"/>
  <c r="P19" i="25"/>
  <c r="P11" i="25"/>
  <c r="P242" i="25"/>
  <c r="P234" i="25"/>
  <c r="P226" i="25"/>
  <c r="P218" i="25"/>
  <c r="P210" i="25"/>
  <c r="P202" i="25"/>
  <c r="P194" i="25"/>
  <c r="P186" i="25"/>
  <c r="P178" i="25"/>
  <c r="P170" i="25"/>
  <c r="P162" i="25"/>
  <c r="P154" i="25"/>
  <c r="P146" i="25"/>
  <c r="P138" i="25"/>
  <c r="P130" i="25"/>
  <c r="P122" i="25"/>
  <c r="P114" i="25"/>
  <c r="P106" i="25"/>
  <c r="P98" i="25"/>
  <c r="P90" i="25"/>
  <c r="P82" i="25"/>
  <c r="P74" i="25"/>
  <c r="P66" i="25"/>
  <c r="P58" i="25"/>
  <c r="P50" i="25"/>
  <c r="P42" i="25"/>
  <c r="P34" i="25"/>
  <c r="P26" i="25"/>
  <c r="P18" i="25"/>
  <c r="P10" i="25"/>
  <c r="P601" i="19"/>
  <c r="G601" i="19" s="1"/>
  <c r="P639" i="19"/>
  <c r="G639" i="19" s="1"/>
  <c r="AH19" i="19"/>
  <c r="Q457" i="19" s="1"/>
  <c r="AH15" i="19"/>
  <c r="Q341" i="19" s="1"/>
  <c r="P341" i="19" s="1"/>
  <c r="H610" i="19"/>
  <c r="P595" i="19"/>
  <c r="G595" i="19" s="1"/>
  <c r="G565" i="19"/>
  <c r="P605" i="19"/>
  <c r="G605" i="19" s="1"/>
  <c r="H605" i="19"/>
  <c r="P684" i="19"/>
  <c r="G684" i="19" s="1"/>
  <c r="H684" i="19"/>
  <c r="P676" i="19"/>
  <c r="G676" i="19" s="1"/>
  <c r="H676" i="19"/>
  <c r="P668" i="19"/>
  <c r="G668" i="19" s="1"/>
  <c r="H668" i="19"/>
  <c r="P660" i="19"/>
  <c r="G660" i="19" s="1"/>
  <c r="H660" i="19"/>
  <c r="P645" i="19"/>
  <c r="G645" i="19" s="1"/>
  <c r="H645" i="19"/>
  <c r="P630" i="19"/>
  <c r="G630" i="19" s="1"/>
  <c r="H630" i="19"/>
  <c r="P623" i="19"/>
  <c r="G623" i="19" s="1"/>
  <c r="H623" i="19"/>
  <c r="P608" i="19"/>
  <c r="G608" i="19" s="1"/>
  <c r="H608" i="19"/>
  <c r="P540" i="19"/>
  <c r="G540" i="19" s="1"/>
  <c r="H540" i="19"/>
  <c r="H624" i="19"/>
  <c r="P652" i="19"/>
  <c r="G652" i="19" s="1"/>
  <c r="H652" i="19"/>
  <c r="P637" i="19"/>
  <c r="G637" i="19" s="1"/>
  <c r="H637" i="19"/>
  <c r="P629" i="19"/>
  <c r="G629" i="19" s="1"/>
  <c r="H629" i="19"/>
  <c r="P614" i="19"/>
  <c r="G614" i="19" s="1"/>
  <c r="H614" i="19"/>
  <c r="P607" i="19"/>
  <c r="G607" i="19" s="1"/>
  <c r="H607" i="19"/>
  <c r="P600" i="19"/>
  <c r="G600" i="19" s="1"/>
  <c r="H600" i="19"/>
  <c r="P593" i="19"/>
  <c r="G593" i="19" s="1"/>
  <c r="H593" i="19"/>
  <c r="P585" i="19"/>
  <c r="G585" i="19" s="1"/>
  <c r="H585" i="19"/>
  <c r="P569" i="19"/>
  <c r="G569" i="19" s="1"/>
  <c r="H569" i="19"/>
  <c r="P532" i="19"/>
  <c r="G532" i="19" s="1"/>
  <c r="H532" i="19"/>
  <c r="P525" i="19"/>
  <c r="G525" i="19" s="1"/>
  <c r="H525" i="19"/>
  <c r="P59" i="19"/>
  <c r="P51" i="19"/>
  <c r="P43" i="19"/>
  <c r="P35" i="19"/>
  <c r="P27" i="19"/>
  <c r="P19" i="19"/>
  <c r="P11" i="19"/>
  <c r="H688" i="19"/>
  <c r="H675" i="19"/>
  <c r="H653" i="19"/>
  <c r="H616" i="19"/>
  <c r="P689" i="19"/>
  <c r="G689" i="19" s="1"/>
  <c r="H689" i="19"/>
  <c r="P643" i="19"/>
  <c r="G643" i="19" s="1"/>
  <c r="H643" i="19"/>
  <c r="P636" i="19"/>
  <c r="G636" i="19" s="1"/>
  <c r="H636" i="19"/>
  <c r="P628" i="19"/>
  <c r="G628" i="19" s="1"/>
  <c r="H628" i="19"/>
  <c r="P613" i="19"/>
  <c r="G613" i="19" s="1"/>
  <c r="H613" i="19"/>
  <c r="P599" i="19"/>
  <c r="G599" i="19" s="1"/>
  <c r="H599" i="19"/>
  <c r="P592" i="19"/>
  <c r="G592" i="19" s="1"/>
  <c r="H592" i="19"/>
  <c r="P584" i="19"/>
  <c r="G584" i="19" s="1"/>
  <c r="H584" i="19"/>
  <c r="P576" i="19"/>
  <c r="G576" i="19" s="1"/>
  <c r="H576" i="19"/>
  <c r="P568" i="19"/>
  <c r="G568" i="19" s="1"/>
  <c r="H568" i="19"/>
  <c r="P561" i="19"/>
  <c r="G561" i="19" s="1"/>
  <c r="H561" i="19"/>
  <c r="P553" i="19"/>
  <c r="G553" i="19" s="1"/>
  <c r="H553" i="19"/>
  <c r="P524" i="19"/>
  <c r="G524" i="19" s="1"/>
  <c r="H524" i="19"/>
  <c r="P516" i="19"/>
  <c r="G516" i="19" s="1"/>
  <c r="H516" i="19"/>
  <c r="P58" i="19"/>
  <c r="P50" i="19"/>
  <c r="P42" i="19"/>
  <c r="P34" i="19"/>
  <c r="P26" i="19"/>
  <c r="P18" i="19"/>
  <c r="P10" i="19"/>
  <c r="G533" i="19"/>
  <c r="P598" i="19"/>
  <c r="G598" i="19" s="1"/>
  <c r="H598" i="19"/>
  <c r="P552" i="19"/>
  <c r="G552" i="19" s="1"/>
  <c r="H552" i="19"/>
  <c r="P545" i="19"/>
  <c r="G545" i="19" s="1"/>
  <c r="H545" i="19"/>
  <c r="P665" i="19"/>
  <c r="G665" i="19" s="1"/>
  <c r="H665" i="19"/>
  <c r="P575" i="19"/>
  <c r="G575" i="19" s="1"/>
  <c r="H575" i="19"/>
  <c r="P680" i="19"/>
  <c r="G680" i="19" s="1"/>
  <c r="H680" i="19"/>
  <c r="P672" i="19"/>
  <c r="G672" i="19" s="1"/>
  <c r="H672" i="19"/>
  <c r="P664" i="19"/>
  <c r="G664" i="19" s="1"/>
  <c r="H664" i="19"/>
  <c r="P657" i="19"/>
  <c r="G657" i="19" s="1"/>
  <c r="H657" i="19"/>
  <c r="P649" i="19"/>
  <c r="G649" i="19" s="1"/>
  <c r="H649" i="19"/>
  <c r="P627" i="19"/>
  <c r="G627" i="19" s="1"/>
  <c r="P611" i="19"/>
  <c r="G611" i="19" s="1"/>
  <c r="H611" i="19"/>
  <c r="P604" i="19"/>
  <c r="G604" i="19" s="1"/>
  <c r="H604" i="19"/>
  <c r="P597" i="19"/>
  <c r="G597" i="19" s="1"/>
  <c r="H597" i="19"/>
  <c r="P582" i="19"/>
  <c r="G582" i="19" s="1"/>
  <c r="H582" i="19"/>
  <c r="P559" i="19"/>
  <c r="G559" i="19" s="1"/>
  <c r="H559" i="19"/>
  <c r="P551" i="19"/>
  <c r="G551" i="19" s="1"/>
  <c r="H551" i="19"/>
  <c r="P544" i="19"/>
  <c r="G544" i="19" s="1"/>
  <c r="H544" i="19"/>
  <c r="P537" i="19"/>
  <c r="G537" i="19" s="1"/>
  <c r="G621" i="19"/>
  <c r="P681" i="19"/>
  <c r="G681" i="19" s="1"/>
  <c r="H681" i="19"/>
  <c r="P693" i="19"/>
  <c r="G693" i="19" s="1"/>
  <c r="H693" i="19"/>
  <c r="P648" i="19"/>
  <c r="G648" i="19" s="1"/>
  <c r="H648" i="19"/>
  <c r="P640" i="19"/>
  <c r="G640" i="19" s="1"/>
  <c r="H640" i="19"/>
  <c r="P633" i="19"/>
  <c r="G633" i="19" s="1"/>
  <c r="H633" i="19"/>
  <c r="P596" i="19"/>
  <c r="G596" i="19" s="1"/>
  <c r="H596" i="19"/>
  <c r="P581" i="19"/>
  <c r="G581" i="19" s="1"/>
  <c r="H581" i="19"/>
  <c r="P573" i="19"/>
  <c r="G573" i="19" s="1"/>
  <c r="H573" i="19"/>
  <c r="P536" i="19"/>
  <c r="G536" i="19" s="1"/>
  <c r="H536" i="19"/>
  <c r="P521" i="19"/>
  <c r="G521" i="19" s="1"/>
  <c r="H521" i="19"/>
  <c r="P513" i="19"/>
  <c r="G513" i="19" s="1"/>
  <c r="H513" i="19"/>
  <c r="H685" i="19"/>
  <c r="H678" i="19"/>
  <c r="H656" i="19"/>
  <c r="H635" i="19"/>
  <c r="H560" i="19"/>
  <c r="H546" i="19"/>
  <c r="H523" i="19"/>
  <c r="P673" i="19"/>
  <c r="G673" i="19" s="1"/>
  <c r="H673" i="19"/>
  <c r="P620" i="19"/>
  <c r="G620" i="19" s="1"/>
  <c r="H620" i="19"/>
  <c r="P484" i="19"/>
  <c r="P692" i="19"/>
  <c r="G692" i="19" s="1"/>
  <c r="H692" i="19"/>
  <c r="P686" i="19"/>
  <c r="H686" i="19"/>
  <c r="P670" i="19"/>
  <c r="G670" i="19" s="1"/>
  <c r="H670" i="19"/>
  <c r="P662" i="19"/>
  <c r="G662" i="19" s="1"/>
  <c r="H662" i="19"/>
  <c r="P632" i="19"/>
  <c r="G632" i="19" s="1"/>
  <c r="H632" i="19"/>
  <c r="P625" i="19"/>
  <c r="G625" i="19" s="1"/>
  <c r="H625" i="19"/>
  <c r="P617" i="19"/>
  <c r="G617" i="19" s="1"/>
  <c r="H617" i="19"/>
  <c r="P588" i="19"/>
  <c r="G588" i="19" s="1"/>
  <c r="H588" i="19"/>
  <c r="P572" i="19"/>
  <c r="G572" i="19" s="1"/>
  <c r="H572" i="19"/>
  <c r="P564" i="19"/>
  <c r="G564" i="19" s="1"/>
  <c r="H564" i="19"/>
  <c r="P557" i="19"/>
  <c r="G557" i="19" s="1"/>
  <c r="H557" i="19"/>
  <c r="P528" i="19"/>
  <c r="G528" i="19" s="1"/>
  <c r="H528" i="19"/>
  <c r="P520" i="19"/>
  <c r="G520" i="19" s="1"/>
  <c r="H520" i="19"/>
  <c r="P62" i="19"/>
  <c r="P54" i="19"/>
  <c r="P46" i="19"/>
  <c r="P38" i="19"/>
  <c r="P30" i="19"/>
  <c r="P14" i="19"/>
  <c r="P6" i="19"/>
  <c r="H529" i="19"/>
  <c r="P591" i="19"/>
  <c r="G591" i="19" s="1"/>
  <c r="H591" i="19"/>
  <c r="P677" i="19"/>
  <c r="G677" i="19" s="1"/>
  <c r="H677" i="19"/>
  <c r="P669" i="19"/>
  <c r="G669" i="19" s="1"/>
  <c r="H669" i="19"/>
  <c r="P661" i="19"/>
  <c r="G661" i="19" s="1"/>
  <c r="H661" i="19"/>
  <c r="P654" i="19"/>
  <c r="G654" i="19" s="1"/>
  <c r="H654" i="19"/>
  <c r="P646" i="19"/>
  <c r="G646" i="19" s="1"/>
  <c r="H646" i="19"/>
  <c r="P631" i="19"/>
  <c r="G631" i="19" s="1"/>
  <c r="H631" i="19"/>
  <c r="P579" i="19"/>
  <c r="G579" i="19" s="1"/>
  <c r="H579" i="19"/>
  <c r="P556" i="19"/>
  <c r="G556" i="19" s="1"/>
  <c r="H556" i="19"/>
  <c r="P548" i="19"/>
  <c r="G548" i="19" s="1"/>
  <c r="H548" i="19"/>
  <c r="P541" i="19"/>
  <c r="G541" i="19" s="1"/>
  <c r="H541" i="19"/>
  <c r="P527" i="19"/>
  <c r="G527" i="19" s="1"/>
  <c r="H527" i="19"/>
  <c r="P519" i="19"/>
  <c r="G519" i="19" s="1"/>
  <c r="H519" i="19"/>
  <c r="G641" i="19"/>
  <c r="G685" i="19"/>
  <c r="G674" i="19"/>
  <c r="G653" i="19"/>
  <c r="G609" i="19"/>
  <c r="H554" i="19"/>
  <c r="G529" i="19"/>
  <c r="H642" i="19"/>
  <c r="H603" i="19"/>
  <c r="H547" i="19"/>
  <c r="H522" i="19"/>
  <c r="G678" i="19"/>
  <c r="H667" i="19"/>
  <c r="H602" i="19"/>
  <c r="H515" i="19"/>
  <c r="H538" i="19"/>
  <c r="H514" i="19"/>
  <c r="H671" i="19"/>
  <c r="H606" i="19"/>
  <c r="G577" i="19"/>
  <c r="H638" i="19"/>
  <c r="H530" i="19"/>
  <c r="G666" i="19"/>
  <c r="H663" i="19"/>
  <c r="H634" i="19"/>
  <c r="G612" i="19"/>
  <c r="G549" i="19"/>
  <c r="H691" i="19"/>
  <c r="H659" i="19"/>
  <c r="G644" i="19"/>
  <c r="H594" i="19"/>
  <c r="H587" i="19"/>
  <c r="G583" i="19"/>
  <c r="G517" i="19"/>
  <c r="G690" i="19"/>
  <c r="H687" i="19"/>
  <c r="G658" i="19"/>
  <c r="H655" i="19"/>
  <c r="H626" i="19"/>
  <c r="H619" i="19"/>
  <c r="G615" i="19"/>
  <c r="H586" i="19"/>
  <c r="H571" i="19"/>
  <c r="H563" i="19"/>
  <c r="H683" i="19"/>
  <c r="H651" i="19"/>
  <c r="G647" i="19"/>
  <c r="H618" i="19"/>
  <c r="H590" i="19"/>
  <c r="H567" i="19"/>
  <c r="H539" i="19"/>
  <c r="H531" i="19"/>
  <c r="G686" i="19"/>
  <c r="G682" i="19"/>
  <c r="H679" i="19"/>
  <c r="H650" i="19"/>
  <c r="H622" i="19"/>
  <c r="G589" i="19"/>
  <c r="H578" i="19"/>
  <c r="G574" i="19"/>
  <c r="H570" i="19"/>
  <c r="H562" i="19"/>
  <c r="H555" i="19"/>
  <c r="G543" i="19"/>
  <c r="H535" i="19"/>
  <c r="G684" i="9"/>
  <c r="G676" i="9"/>
  <c r="G668" i="9"/>
  <c r="G660" i="9"/>
  <c r="G648" i="9"/>
  <c r="G642" i="9"/>
  <c r="G632" i="9"/>
  <c r="G626" i="9"/>
  <c r="G616" i="9"/>
  <c r="G610" i="9"/>
  <c r="G588" i="9"/>
  <c r="H588" i="9"/>
  <c r="H584" i="9"/>
  <c r="G584" i="9"/>
  <c r="G573" i="9"/>
  <c r="H520" i="9"/>
  <c r="G520" i="9"/>
  <c r="H568" i="9"/>
  <c r="G568" i="9"/>
  <c r="G580" i="9"/>
  <c r="H580" i="9"/>
  <c r="H644" i="9"/>
  <c r="H628" i="9"/>
  <c r="H612" i="9"/>
  <c r="G605" i="9"/>
  <c r="H560" i="9"/>
  <c r="G560" i="9"/>
  <c r="G549" i="9"/>
  <c r="H576" i="9"/>
  <c r="G576" i="9"/>
  <c r="H608" i="9"/>
  <c r="G608" i="9"/>
  <c r="H552" i="9"/>
  <c r="G552" i="9"/>
  <c r="H682" i="9"/>
  <c r="H674" i="9"/>
  <c r="H666" i="9"/>
  <c r="H658" i="9"/>
  <c r="H643" i="9"/>
  <c r="H627" i="9"/>
  <c r="H611" i="9"/>
  <c r="H604" i="9"/>
  <c r="G597" i="9"/>
  <c r="H544" i="9"/>
  <c r="G544" i="9"/>
  <c r="G533" i="9"/>
  <c r="H679" i="9"/>
  <c r="H671" i="9"/>
  <c r="H663" i="9"/>
  <c r="H655" i="9"/>
  <c r="G649" i="9"/>
  <c r="G633" i="9"/>
  <c r="G617" i="9"/>
  <c r="H600" i="9"/>
  <c r="G600" i="9"/>
  <c r="G589" i="9"/>
  <c r="H536" i="9"/>
  <c r="G536" i="9"/>
  <c r="G525" i="9"/>
  <c r="H652" i="9"/>
  <c r="H636" i="9"/>
  <c r="H620" i="9"/>
  <c r="G596" i="9"/>
  <c r="H596" i="9"/>
  <c r="H592" i="9"/>
  <c r="G592" i="9"/>
  <c r="G581" i="9"/>
  <c r="H528" i="9"/>
  <c r="G528" i="9"/>
  <c r="G517" i="9"/>
  <c r="H572" i="9"/>
  <c r="H564" i="9"/>
  <c r="H556" i="9"/>
  <c r="H548" i="9"/>
  <c r="H540" i="9"/>
  <c r="H532" i="9"/>
  <c r="H524" i="9"/>
  <c r="H516" i="9"/>
  <c r="H515" i="9"/>
  <c r="H85" i="9"/>
  <c r="G542" i="19"/>
  <c r="H542" i="19"/>
  <c r="G566" i="19"/>
  <c r="H566" i="19"/>
  <c r="G534" i="19"/>
  <c r="H534" i="19"/>
  <c r="H565" i="19"/>
  <c r="H533" i="19"/>
  <c r="G558" i="19"/>
  <c r="H558" i="19"/>
  <c r="G526" i="19"/>
  <c r="H526" i="19"/>
  <c r="H543" i="19"/>
  <c r="H690" i="19"/>
  <c r="H682" i="19"/>
  <c r="H674" i="19"/>
  <c r="H666" i="19"/>
  <c r="H658" i="19"/>
  <c r="G650" i="19"/>
  <c r="H647" i="19"/>
  <c r="H644" i="19"/>
  <c r="H641" i="19"/>
  <c r="H621" i="19"/>
  <c r="G618" i="19"/>
  <c r="H615" i="19"/>
  <c r="H612" i="19"/>
  <c r="H609" i="19"/>
  <c r="H589" i="19"/>
  <c r="G586" i="19"/>
  <c r="H583" i="19"/>
  <c r="H580" i="19"/>
  <c r="H577" i="19"/>
  <c r="G571" i="19"/>
  <c r="G550" i="19"/>
  <c r="H550" i="19"/>
  <c r="G546" i="19"/>
  <c r="G539" i="19"/>
  <c r="G518" i="19"/>
  <c r="H518" i="19"/>
  <c r="G514" i="19"/>
  <c r="H574" i="19"/>
  <c r="H549" i="19"/>
  <c r="H517" i="19"/>
  <c r="Q510" i="19"/>
  <c r="P510" i="19" s="1"/>
  <c r="Q504" i="19"/>
  <c r="Q491" i="19"/>
  <c r="P491" i="19" s="1"/>
  <c r="Q483" i="19"/>
  <c r="P483" i="19" s="1"/>
  <c r="Q119" i="19"/>
  <c r="P119" i="19" s="1"/>
  <c r="Q111" i="19"/>
  <c r="P111" i="19" s="1"/>
  <c r="Q104" i="19"/>
  <c r="P104" i="19" s="1"/>
  <c r="Q98" i="19"/>
  <c r="Q306" i="19"/>
  <c r="Q318" i="19"/>
  <c r="Q319" i="19"/>
  <c r="P319" i="19" s="1"/>
  <c r="Q325" i="19"/>
  <c r="P325" i="19" s="1"/>
  <c r="Q320" i="19"/>
  <c r="P320" i="19" s="1"/>
  <c r="Q332" i="19"/>
  <c r="P332" i="19" s="1"/>
  <c r="Q322" i="19"/>
  <c r="Q305" i="19"/>
  <c r="P305" i="19" s="1"/>
  <c r="Q509" i="19"/>
  <c r="Q503" i="19"/>
  <c r="P503" i="19" s="1"/>
  <c r="Q497" i="19"/>
  <c r="Q490" i="19"/>
  <c r="P490" i="19" s="1"/>
  <c r="Q118" i="19"/>
  <c r="Q110" i="19"/>
  <c r="Q103" i="19"/>
  <c r="P103" i="19" s="1"/>
  <c r="Q97" i="19"/>
  <c r="P97" i="19" s="1"/>
  <c r="Q508" i="19"/>
  <c r="Q496" i="19"/>
  <c r="Q489" i="19"/>
  <c r="Q117" i="19"/>
  <c r="P117" i="19" s="1"/>
  <c r="Q109" i="19"/>
  <c r="P109" i="19" s="1"/>
  <c r="Q96" i="19"/>
  <c r="P96" i="19" s="1"/>
  <c r="Q507" i="19"/>
  <c r="P507" i="19" s="1"/>
  <c r="Q502" i="19"/>
  <c r="P502" i="19" s="1"/>
  <c r="Q495" i="19"/>
  <c r="Q488" i="19"/>
  <c r="Q116" i="19"/>
  <c r="P116" i="19" s="1"/>
  <c r="Q108" i="19"/>
  <c r="P108" i="19" s="1"/>
  <c r="Q102" i="19"/>
  <c r="Q95" i="19"/>
  <c r="P95" i="19" s="1"/>
  <c r="Q506" i="19"/>
  <c r="P506" i="19" s="1"/>
  <c r="Q501" i="19"/>
  <c r="P501" i="19" s="1"/>
  <c r="Q494" i="19"/>
  <c r="P494" i="19" s="1"/>
  <c r="Q487" i="19"/>
  <c r="Q480" i="19"/>
  <c r="Q460" i="19"/>
  <c r="Q115" i="19"/>
  <c r="Q107" i="19"/>
  <c r="Q101" i="19"/>
  <c r="P101" i="19" s="1"/>
  <c r="AH18" i="19"/>
  <c r="Q500" i="19"/>
  <c r="Q493" i="19"/>
  <c r="P493" i="19" s="1"/>
  <c r="Q486" i="19"/>
  <c r="P486" i="19" s="1"/>
  <c r="Q122" i="19"/>
  <c r="Q114" i="19"/>
  <c r="Q100" i="19"/>
  <c r="P100" i="19" s="1"/>
  <c r="Q94" i="19"/>
  <c r="AH16" i="19"/>
  <c r="Q512" i="19"/>
  <c r="Q505" i="19"/>
  <c r="Q499" i="19"/>
  <c r="P499" i="19" s="1"/>
  <c r="Q485" i="19"/>
  <c r="P485" i="19" s="1"/>
  <c r="Q121" i="19"/>
  <c r="P121" i="19" s="1"/>
  <c r="Q113" i="19"/>
  <c r="P113" i="19" s="1"/>
  <c r="Q106" i="19"/>
  <c r="Q99" i="19"/>
  <c r="Q93" i="19"/>
  <c r="P93" i="19" s="1"/>
  <c r="Q511" i="19"/>
  <c r="P511" i="19" s="1"/>
  <c r="Q498" i="19"/>
  <c r="P498" i="19" s="1"/>
  <c r="Q492" i="19"/>
  <c r="Q120" i="19"/>
  <c r="P120" i="19" s="1"/>
  <c r="Q112" i="19"/>
  <c r="P112" i="19" s="1"/>
  <c r="AH6" i="19"/>
  <c r="AH13" i="19"/>
  <c r="AH12" i="19"/>
  <c r="AH11" i="19"/>
  <c r="AH10" i="19"/>
  <c r="AH17" i="19"/>
  <c r="AH9" i="19"/>
  <c r="AH8" i="19"/>
  <c r="H577" i="17"/>
  <c r="G577" i="17"/>
  <c r="H691" i="17"/>
  <c r="G691" i="17"/>
  <c r="H659" i="17"/>
  <c r="G659" i="17"/>
  <c r="H627" i="17"/>
  <c r="G627" i="17"/>
  <c r="H568" i="17"/>
  <c r="G568" i="17"/>
  <c r="H651" i="17"/>
  <c r="G651" i="17"/>
  <c r="H675" i="17"/>
  <c r="G675" i="17"/>
  <c r="H643" i="17"/>
  <c r="G643" i="17"/>
  <c r="H611" i="17"/>
  <c r="G611" i="17"/>
  <c r="H600" i="17"/>
  <c r="G600" i="17"/>
  <c r="H536" i="17"/>
  <c r="G536" i="17"/>
  <c r="H580" i="17"/>
  <c r="G580" i="17"/>
  <c r="G571" i="17"/>
  <c r="H571" i="17"/>
  <c r="H683" i="17"/>
  <c r="G683" i="17"/>
  <c r="H619" i="17"/>
  <c r="G619" i="17"/>
  <c r="H667" i="17"/>
  <c r="G667" i="17"/>
  <c r="H635" i="17"/>
  <c r="G635" i="17"/>
  <c r="H603" i="17"/>
  <c r="G603" i="17"/>
  <c r="H529" i="17"/>
  <c r="G529" i="17"/>
  <c r="G543" i="17"/>
  <c r="H543" i="17"/>
  <c r="G535" i="17"/>
  <c r="H535" i="17"/>
  <c r="H692" i="17"/>
  <c r="H684" i="17"/>
  <c r="H676" i="17"/>
  <c r="H668" i="17"/>
  <c r="H660" i="17"/>
  <c r="H652" i="17"/>
  <c r="H644" i="17"/>
  <c r="H636" i="17"/>
  <c r="H628" i="17"/>
  <c r="H620" i="17"/>
  <c r="H612" i="17"/>
  <c r="H604" i="17"/>
  <c r="H581" i="17"/>
  <c r="H578" i="17"/>
  <c r="H575" i="17"/>
  <c r="G527" i="17"/>
  <c r="H527" i="17"/>
  <c r="G520" i="17"/>
  <c r="G548" i="17"/>
  <c r="H523" i="17"/>
  <c r="G516" i="17"/>
  <c r="H516" i="17"/>
  <c r="G551" i="17"/>
  <c r="H551" i="17"/>
  <c r="G519" i="17"/>
  <c r="H519" i="17"/>
  <c r="H547" i="17"/>
  <c r="G540" i="17"/>
  <c r="G691" i="16"/>
  <c r="H691" i="16"/>
  <c r="G675" i="16"/>
  <c r="H675" i="16"/>
  <c r="H548" i="16"/>
  <c r="G548" i="16"/>
  <c r="G627" i="16"/>
  <c r="H627" i="16"/>
  <c r="G661" i="16"/>
  <c r="H661" i="16"/>
  <c r="H648" i="16"/>
  <c r="G648" i="16"/>
  <c r="H640" i="16"/>
  <c r="G640" i="16"/>
  <c r="G635" i="16"/>
  <c r="H635" i="16"/>
  <c r="G597" i="16"/>
  <c r="H597" i="16"/>
  <c r="H584" i="16"/>
  <c r="G584" i="16"/>
  <c r="H576" i="16"/>
  <c r="G576" i="16"/>
  <c r="H567" i="16"/>
  <c r="H525" i="16"/>
  <c r="G525" i="16"/>
  <c r="G645" i="16"/>
  <c r="H645" i="16"/>
  <c r="H624" i="16"/>
  <c r="G624" i="16"/>
  <c r="G581" i="16"/>
  <c r="H581" i="16"/>
  <c r="H673" i="16"/>
  <c r="G643" i="16"/>
  <c r="H643" i="16"/>
  <c r="H609" i="16"/>
  <c r="G579" i="16"/>
  <c r="H579" i="16"/>
  <c r="G529" i="16"/>
  <c r="H529" i="16"/>
  <c r="G560" i="16"/>
  <c r="H560" i="16"/>
  <c r="G619" i="16"/>
  <c r="H619" i="16"/>
  <c r="H564" i="16"/>
  <c r="G564" i="16"/>
  <c r="G677" i="16"/>
  <c r="H677" i="16"/>
  <c r="H664" i="16"/>
  <c r="G664" i="16"/>
  <c r="H656" i="16"/>
  <c r="G656" i="16"/>
  <c r="G651" i="16"/>
  <c r="H651" i="16"/>
  <c r="G613" i="16"/>
  <c r="H613" i="16"/>
  <c r="H600" i="16"/>
  <c r="G600" i="16"/>
  <c r="H592" i="16"/>
  <c r="G592" i="16"/>
  <c r="G587" i="16"/>
  <c r="H587" i="16"/>
  <c r="G528" i="16"/>
  <c r="H528" i="16"/>
  <c r="G611" i="16"/>
  <c r="H611" i="16"/>
  <c r="H632" i="16"/>
  <c r="G632" i="16"/>
  <c r="G688" i="16"/>
  <c r="G676" i="16"/>
  <c r="H663" i="16"/>
  <c r="G659" i="16"/>
  <c r="H659" i="16"/>
  <c r="H625" i="16"/>
  <c r="H621" i="16"/>
  <c r="G595" i="16"/>
  <c r="H595" i="16"/>
  <c r="H557" i="16"/>
  <c r="G557" i="16"/>
  <c r="H553" i="16"/>
  <c r="H541" i="16"/>
  <c r="G541" i="16"/>
  <c r="H532" i="16"/>
  <c r="G532" i="16"/>
  <c r="H516" i="16"/>
  <c r="G516" i="16"/>
  <c r="G683" i="16"/>
  <c r="H683" i="16"/>
  <c r="H680" i="16"/>
  <c r="G680" i="16"/>
  <c r="H672" i="16"/>
  <c r="G672" i="16"/>
  <c r="G667" i="16"/>
  <c r="H667" i="16"/>
  <c r="G629" i="16"/>
  <c r="H629" i="16"/>
  <c r="H616" i="16"/>
  <c r="G616" i="16"/>
  <c r="H608" i="16"/>
  <c r="G608" i="16"/>
  <c r="G603" i="16"/>
  <c r="H603" i="16"/>
  <c r="G561" i="16"/>
  <c r="H561" i="16"/>
  <c r="G556" i="16"/>
  <c r="G549" i="16"/>
  <c r="H545" i="16"/>
  <c r="G552" i="16"/>
  <c r="H552" i="16"/>
  <c r="G520" i="16"/>
  <c r="H520" i="16"/>
  <c r="H686" i="16"/>
  <c r="H671" i="16"/>
  <c r="G668" i="16"/>
  <c r="H655" i="16"/>
  <c r="G652" i="16"/>
  <c r="H639" i="16"/>
  <c r="G636" i="16"/>
  <c r="H623" i="16"/>
  <c r="G620" i="16"/>
  <c r="H607" i="16"/>
  <c r="G604" i="16"/>
  <c r="H591" i="16"/>
  <c r="G588" i="16"/>
  <c r="H575" i="16"/>
  <c r="G572" i="16"/>
  <c r="G565" i="16"/>
  <c r="G544" i="16"/>
  <c r="H544" i="16"/>
  <c r="G540" i="16"/>
  <c r="G533" i="16"/>
  <c r="H543" i="16"/>
  <c r="G568" i="16"/>
  <c r="H568" i="16"/>
  <c r="G536" i="16"/>
  <c r="H536" i="16"/>
  <c r="Q311" i="19" l="1"/>
  <c r="Q310" i="19"/>
  <c r="Q314" i="19"/>
  <c r="Q304" i="19"/>
  <c r="P304" i="19" s="1"/>
  <c r="Q331" i="19"/>
  <c r="P331" i="19" s="1"/>
  <c r="Q308" i="19"/>
  <c r="P308" i="19" s="1"/>
  <c r="Q326" i="19"/>
  <c r="Q329" i="19"/>
  <c r="P329" i="19" s="1"/>
  <c r="Q327" i="19"/>
  <c r="P327" i="19" s="1"/>
  <c r="Q317" i="19"/>
  <c r="P317" i="19" s="1"/>
  <c r="Q321" i="19"/>
  <c r="P321" i="19" s="1"/>
  <c r="Q315" i="19"/>
  <c r="Q313" i="19"/>
  <c r="P313" i="19" s="1"/>
  <c r="Q323" i="19"/>
  <c r="Q316" i="19"/>
  <c r="P316" i="19" s="1"/>
  <c r="Q309" i="19"/>
  <c r="P309" i="19" s="1"/>
  <c r="Q307" i="19"/>
  <c r="Q328" i="19"/>
  <c r="P328" i="19" s="1"/>
  <c r="Q303" i="19"/>
  <c r="P303" i="19" s="1"/>
  <c r="Q330" i="19"/>
  <c r="Q324" i="19"/>
  <c r="P324" i="19" s="1"/>
  <c r="Q477" i="19"/>
  <c r="P477" i="19" s="1"/>
  <c r="Q470" i="19"/>
  <c r="P470" i="19" s="1"/>
  <c r="Q464" i="19"/>
  <c r="P464" i="19" s="1"/>
  <c r="Q479" i="19"/>
  <c r="Q453" i="19"/>
  <c r="P453" i="19" s="1"/>
  <c r="Q458" i="19"/>
  <c r="P458" i="19" s="1"/>
  <c r="Q481" i="19"/>
  <c r="Q454" i="19"/>
  <c r="P454" i="19" s="1"/>
  <c r="Q463" i="19"/>
  <c r="P463" i="19" s="1"/>
  <c r="Q478" i="19"/>
  <c r="P478" i="19" s="1"/>
  <c r="Q461" i="19"/>
  <c r="P461" i="19" s="1"/>
  <c r="Q467" i="19"/>
  <c r="P467" i="19" s="1"/>
  <c r="Q465" i="19"/>
  <c r="Q475" i="19"/>
  <c r="P475" i="19" s="1"/>
  <c r="Q455" i="19"/>
  <c r="P455" i="19" s="1"/>
  <c r="Q472" i="19"/>
  <c r="P472" i="19" s="1"/>
  <c r="Q468" i="19"/>
  <c r="P468" i="19" s="1"/>
  <c r="Q471" i="19"/>
  <c r="P471" i="19" s="1"/>
  <c r="Q473" i="19"/>
  <c r="P473" i="19" s="1"/>
  <c r="Q462" i="19"/>
  <c r="P462" i="19" s="1"/>
  <c r="Q466" i="19"/>
  <c r="P466" i="19" s="1"/>
  <c r="Q476" i="19"/>
  <c r="P476" i="19" s="1"/>
  <c r="Q459" i="19"/>
  <c r="P459" i="19" s="1"/>
  <c r="Q474" i="19"/>
  <c r="P474" i="19" s="1"/>
  <c r="Q482" i="19"/>
  <c r="P482" i="19" s="1"/>
  <c r="P457" i="19"/>
  <c r="Q456" i="19"/>
  <c r="P456" i="19" s="1"/>
  <c r="Q469" i="19"/>
  <c r="P469" i="19" s="1"/>
  <c r="Q350" i="19"/>
  <c r="P350" i="19" s="1"/>
  <c r="Q357" i="19"/>
  <c r="P357" i="19" s="1"/>
  <c r="Q333" i="19"/>
  <c r="P333" i="19" s="1"/>
  <c r="Q352" i="19"/>
  <c r="P352" i="19" s="1"/>
  <c r="Q347" i="19"/>
  <c r="P347" i="19" s="1"/>
  <c r="Q345" i="19"/>
  <c r="P345" i="19" s="1"/>
  <c r="Q362" i="19"/>
  <c r="P362" i="19" s="1"/>
  <c r="Q338" i="19"/>
  <c r="P338" i="19" s="1"/>
  <c r="Q355" i="19"/>
  <c r="P355" i="19" s="1"/>
  <c r="Q356" i="19"/>
  <c r="P356" i="19" s="1"/>
  <c r="Q337" i="19"/>
  <c r="P337" i="19" s="1"/>
  <c r="Q344" i="19"/>
  <c r="P344" i="19" s="1"/>
  <c r="Q361" i="19"/>
  <c r="Q335" i="19"/>
  <c r="Q343" i="19"/>
  <c r="P343" i="19" s="1"/>
  <c r="Q349" i="19"/>
  <c r="P349" i="19" s="1"/>
  <c r="Q348" i="19"/>
  <c r="P348" i="19" s="1"/>
  <c r="Q359" i="19"/>
  <c r="P359" i="19" s="1"/>
  <c r="Q354" i="19"/>
  <c r="P354" i="19" s="1"/>
  <c r="Q340" i="19"/>
  <c r="P340" i="19" s="1"/>
  <c r="Q336" i="19"/>
  <c r="P336" i="19" s="1"/>
  <c r="Q353" i="19"/>
  <c r="Q360" i="19"/>
  <c r="P360" i="19" s="1"/>
  <c r="Q334" i="19"/>
  <c r="P334" i="19" s="1"/>
  <c r="Q346" i="19"/>
  <c r="P346" i="19" s="1"/>
  <c r="Q342" i="19"/>
  <c r="P342" i="19" s="1"/>
  <c r="Q358" i="19"/>
  <c r="P358" i="19" s="1"/>
  <c r="Q339" i="19"/>
  <c r="P339" i="19" s="1"/>
  <c r="Q351" i="19"/>
  <c r="P351" i="19" s="1"/>
  <c r="P122" i="19"/>
  <c r="P110" i="19"/>
  <c r="P509" i="19"/>
  <c r="P326" i="19"/>
  <c r="P504" i="19"/>
  <c r="P118" i="19"/>
  <c r="P315" i="19"/>
  <c r="P492" i="19"/>
  <c r="P500" i="19"/>
  <c r="P323" i="19"/>
  <c r="P307" i="19"/>
  <c r="P512" i="19"/>
  <c r="P460" i="19"/>
  <c r="P102" i="19"/>
  <c r="P489" i="19"/>
  <c r="P330" i="19"/>
  <c r="P505" i="19"/>
  <c r="P496" i="19"/>
  <c r="P318" i="19"/>
  <c r="P94" i="19"/>
  <c r="P465" i="19"/>
  <c r="P107" i="19"/>
  <c r="P480" i="19"/>
  <c r="P508" i="19"/>
  <c r="P322" i="19"/>
  <c r="P306" i="19"/>
  <c r="P99" i="19"/>
  <c r="P115" i="19"/>
  <c r="P487" i="19"/>
  <c r="P488" i="19"/>
  <c r="P497" i="19"/>
  <c r="P311" i="19"/>
  <c r="P310" i="19"/>
  <c r="P314" i="19"/>
  <c r="P98" i="19"/>
  <c r="P106" i="19"/>
  <c r="P114" i="19"/>
  <c r="P479" i="19"/>
  <c r="P495" i="19"/>
  <c r="P335" i="19"/>
  <c r="Q244" i="19"/>
  <c r="Q251" i="19"/>
  <c r="Q258" i="19"/>
  <c r="Q264" i="19"/>
  <c r="Q271" i="19"/>
  <c r="Q245" i="19"/>
  <c r="Q252" i="19"/>
  <c r="Q265" i="19"/>
  <c r="Q272" i="19"/>
  <c r="Q246" i="19"/>
  <c r="Q253" i="19"/>
  <c r="Q259" i="19"/>
  <c r="Q266" i="19"/>
  <c r="Q247" i="19"/>
  <c r="Q254" i="19"/>
  <c r="Q260" i="19"/>
  <c r="Q248" i="19"/>
  <c r="Q261" i="19"/>
  <c r="Q267" i="19"/>
  <c r="Q249" i="19"/>
  <c r="Q255" i="19"/>
  <c r="Q262" i="19"/>
  <c r="Q268" i="19"/>
  <c r="Q250" i="19"/>
  <c r="Q256" i="19"/>
  <c r="Q269" i="19"/>
  <c r="Q263" i="19"/>
  <c r="Q270" i="19"/>
  <c r="Q257" i="19"/>
  <c r="Q243" i="19"/>
  <c r="Q64" i="19"/>
  <c r="Q77" i="19"/>
  <c r="Q85" i="19"/>
  <c r="Q92" i="19"/>
  <c r="Q63" i="19"/>
  <c r="Q65" i="19"/>
  <c r="Q71" i="19"/>
  <c r="Q78" i="19"/>
  <c r="Q86" i="19"/>
  <c r="Q70" i="19"/>
  <c r="Q66" i="19"/>
  <c r="Q72" i="19"/>
  <c r="Q79" i="19"/>
  <c r="Q87" i="19"/>
  <c r="Q84" i="19"/>
  <c r="Q73" i="19"/>
  <c r="Q80" i="19"/>
  <c r="Q88" i="19"/>
  <c r="Q91" i="19"/>
  <c r="Q67" i="19"/>
  <c r="Q74" i="19"/>
  <c r="Q81" i="19"/>
  <c r="Q89" i="19"/>
  <c r="Q76" i="19"/>
  <c r="Q68" i="19"/>
  <c r="Q82" i="19"/>
  <c r="Q90" i="19"/>
  <c r="Q69" i="19"/>
  <c r="Q75" i="19"/>
  <c r="Q83" i="19"/>
  <c r="Q133" i="19"/>
  <c r="Q139" i="19"/>
  <c r="Q147" i="19"/>
  <c r="Q127" i="19"/>
  <c r="Q134" i="19"/>
  <c r="Q140" i="19"/>
  <c r="Q148" i="19"/>
  <c r="Q128" i="19"/>
  <c r="Q141" i="19"/>
  <c r="Q149" i="19"/>
  <c r="Q132" i="19"/>
  <c r="Q129" i="19"/>
  <c r="Q135" i="19"/>
  <c r="Q142" i="19"/>
  <c r="Q150" i="19"/>
  <c r="Q146" i="19"/>
  <c r="Q123" i="19"/>
  <c r="Q130" i="19"/>
  <c r="Q136" i="19"/>
  <c r="Q143" i="19"/>
  <c r="Q151" i="19"/>
  <c r="Q126" i="19"/>
  <c r="Q124" i="19"/>
  <c r="Q137" i="19"/>
  <c r="Q144" i="19"/>
  <c r="Q152" i="19"/>
  <c r="Q125" i="19"/>
  <c r="Q131" i="19"/>
  <c r="Q138" i="19"/>
  <c r="Q145" i="19"/>
  <c r="Q217" i="19"/>
  <c r="Q223" i="19"/>
  <c r="Q230" i="19"/>
  <c r="Q236" i="19"/>
  <c r="Q216" i="19"/>
  <c r="Q218" i="19"/>
  <c r="Q224" i="19"/>
  <c r="Q237" i="19"/>
  <c r="Q225" i="19"/>
  <c r="Q231" i="19"/>
  <c r="Q238" i="19"/>
  <c r="Q219" i="19"/>
  <c r="Q226" i="19"/>
  <c r="Q232" i="19"/>
  <c r="Q239" i="19"/>
  <c r="Q213" i="19"/>
  <c r="Q220" i="19"/>
  <c r="Q233" i="19"/>
  <c r="Q240" i="19"/>
  <c r="Q229" i="19"/>
  <c r="Q214" i="19"/>
  <c r="Q221" i="19"/>
  <c r="Q227" i="19"/>
  <c r="Q234" i="19"/>
  <c r="Q241" i="19"/>
  <c r="Q215" i="19"/>
  <c r="Q222" i="19"/>
  <c r="Q228" i="19"/>
  <c r="Q242" i="19"/>
  <c r="Q235" i="19"/>
  <c r="Q161" i="19"/>
  <c r="Q167" i="19"/>
  <c r="Q174" i="19"/>
  <c r="Q182" i="19"/>
  <c r="Q155" i="19"/>
  <c r="Q162" i="19"/>
  <c r="Q168" i="19"/>
  <c r="Q175" i="19"/>
  <c r="Q181" i="19"/>
  <c r="Q156" i="19"/>
  <c r="Q169" i="19"/>
  <c r="Q176" i="19"/>
  <c r="Q157" i="19"/>
  <c r="Q163" i="19"/>
  <c r="Q170" i="19"/>
  <c r="Q177" i="19"/>
  <c r="Q158" i="19"/>
  <c r="Q164" i="19"/>
  <c r="Q178" i="19"/>
  <c r="Q173" i="19"/>
  <c r="Q165" i="19"/>
  <c r="Q171" i="19"/>
  <c r="Q179" i="19"/>
  <c r="Q160" i="19"/>
  <c r="Q153" i="19"/>
  <c r="Q159" i="19"/>
  <c r="Q166" i="19"/>
  <c r="Q172" i="19"/>
  <c r="Q180" i="19"/>
  <c r="Q154" i="19"/>
  <c r="Q279" i="19"/>
  <c r="Q286" i="19"/>
  <c r="Q292" i="19"/>
  <c r="Q280" i="19"/>
  <c r="Q293" i="19"/>
  <c r="Q299" i="19"/>
  <c r="Q273" i="19"/>
  <c r="Q281" i="19"/>
  <c r="Q287" i="19"/>
  <c r="Q294" i="19"/>
  <c r="Q300" i="19"/>
  <c r="Q274" i="19"/>
  <c r="Q282" i="19"/>
  <c r="Q288" i="19"/>
  <c r="Q301" i="19"/>
  <c r="Q275" i="19"/>
  <c r="Q289" i="19"/>
  <c r="Q295" i="19"/>
  <c r="Q302" i="19"/>
  <c r="Q276" i="19"/>
  <c r="Q283" i="19"/>
  <c r="Q290" i="19"/>
  <c r="Q296" i="19"/>
  <c r="Q277" i="19"/>
  <c r="Q284" i="19"/>
  <c r="Q297" i="19"/>
  <c r="Q278" i="19"/>
  <c r="Q285" i="19"/>
  <c r="Q291" i="19"/>
  <c r="Q298" i="19"/>
  <c r="Q395" i="19"/>
  <c r="Q402" i="19"/>
  <c r="Q410" i="19"/>
  <c r="Q417" i="19"/>
  <c r="Q396" i="19"/>
  <c r="Q403" i="19"/>
  <c r="Q411" i="19"/>
  <c r="Q418" i="19"/>
  <c r="Q397" i="19"/>
  <c r="Q404" i="19"/>
  <c r="Q412" i="19"/>
  <c r="Q419" i="19"/>
  <c r="Q398" i="19"/>
  <c r="Q405" i="19"/>
  <c r="Q413" i="19"/>
  <c r="Q420" i="19"/>
  <c r="Q399" i="19"/>
  <c r="Q406" i="19"/>
  <c r="Q421" i="19"/>
  <c r="Q393" i="19"/>
  <c r="Q400" i="19"/>
  <c r="Q407" i="19"/>
  <c r="Q414" i="19"/>
  <c r="Q401" i="19"/>
  <c r="Q408" i="19"/>
  <c r="Q415" i="19"/>
  <c r="Q422" i="19"/>
  <c r="Q416" i="19"/>
  <c r="Q409" i="19"/>
  <c r="Q394" i="19"/>
  <c r="Q424" i="19"/>
  <c r="Q431" i="19"/>
  <c r="Q438" i="19"/>
  <c r="Q445" i="19"/>
  <c r="Q450" i="19"/>
  <c r="Q425" i="19"/>
  <c r="Q432" i="19"/>
  <c r="Q439" i="19"/>
  <c r="Q451" i="19"/>
  <c r="Q433" i="19"/>
  <c r="Q440" i="19"/>
  <c r="Q446" i="19"/>
  <c r="Q452" i="19"/>
  <c r="Q426" i="19"/>
  <c r="Q441" i="19"/>
  <c r="Q447" i="19"/>
  <c r="Q427" i="19"/>
  <c r="Q434" i="19"/>
  <c r="Q442" i="19"/>
  <c r="Q448" i="19"/>
  <c r="Q428" i="19"/>
  <c r="Q435" i="19"/>
  <c r="Q443" i="19"/>
  <c r="Q429" i="19"/>
  <c r="Q436" i="19"/>
  <c r="Q444" i="19"/>
  <c r="Q449" i="19"/>
  <c r="Q423" i="19"/>
  <c r="Q430" i="19"/>
  <c r="Q437" i="19"/>
  <c r="Q189" i="19"/>
  <c r="Q195" i="19"/>
  <c r="Q202" i="19"/>
  <c r="Q209" i="19"/>
  <c r="Q183" i="19"/>
  <c r="Q190" i="19"/>
  <c r="Q196" i="19"/>
  <c r="Q210" i="19"/>
  <c r="Q184" i="19"/>
  <c r="Q197" i="19"/>
  <c r="Q203" i="19"/>
  <c r="Q211" i="19"/>
  <c r="Q188" i="19"/>
  <c r="Q185" i="19"/>
  <c r="Q191" i="19"/>
  <c r="Q198" i="19"/>
  <c r="Q204" i="19"/>
  <c r="Q212" i="19"/>
  <c r="Q208" i="19"/>
  <c r="Q186" i="19"/>
  <c r="Q192" i="19"/>
  <c r="Q205" i="19"/>
  <c r="Q193" i="19"/>
  <c r="Q199" i="19"/>
  <c r="Q206" i="19"/>
  <c r="Q187" i="19"/>
  <c r="Q194" i="19"/>
  <c r="Q200" i="19"/>
  <c r="Q207" i="19"/>
  <c r="Q201" i="19"/>
  <c r="Q368" i="19"/>
  <c r="Q373" i="19"/>
  <c r="Q380" i="19"/>
  <c r="Q388" i="19"/>
  <c r="Q363" i="19"/>
  <c r="Q374" i="19"/>
  <c r="Q381" i="19"/>
  <c r="Q389" i="19"/>
  <c r="Q364" i="19"/>
  <c r="Q369" i="19"/>
  <c r="Q375" i="19"/>
  <c r="Q382" i="19"/>
  <c r="Q390" i="19"/>
  <c r="Q376" i="19"/>
  <c r="Q383" i="19"/>
  <c r="Q391" i="19"/>
  <c r="Q365" i="19"/>
  <c r="Q370" i="19"/>
  <c r="Q384" i="19"/>
  <c r="Q392" i="19"/>
  <c r="Q371" i="19"/>
  <c r="Q377" i="19"/>
  <c r="Q385" i="19"/>
  <c r="Q366" i="19"/>
  <c r="Q372" i="19"/>
  <c r="Q378" i="19"/>
  <c r="Q386" i="19"/>
  <c r="Q367" i="19"/>
  <c r="Q379" i="19"/>
  <c r="Q387" i="19"/>
  <c r="P353" i="19" l="1"/>
  <c r="P481" i="19"/>
  <c r="P361" i="19"/>
  <c r="P196" i="19"/>
  <c r="P284" i="19"/>
  <c r="P378" i="19"/>
  <c r="P370" i="19"/>
  <c r="P369" i="19"/>
  <c r="P373" i="19"/>
  <c r="P199" i="19"/>
  <c r="P198" i="19"/>
  <c r="P210" i="19"/>
  <c r="P437" i="19"/>
  <c r="P435" i="19"/>
  <c r="P426" i="19"/>
  <c r="P425" i="19"/>
  <c r="P416" i="19"/>
  <c r="P393" i="19"/>
  <c r="P419" i="19"/>
  <c r="P417" i="19"/>
  <c r="P297" i="19"/>
  <c r="P295" i="19"/>
  <c r="P294" i="19"/>
  <c r="P286" i="19"/>
  <c r="P160" i="19"/>
  <c r="P177" i="19"/>
  <c r="P175" i="19"/>
  <c r="P235" i="19"/>
  <c r="P221" i="19"/>
  <c r="P232" i="19"/>
  <c r="P218" i="19"/>
  <c r="P131" i="19"/>
  <c r="P143" i="19"/>
  <c r="P129" i="19"/>
  <c r="P127" i="19"/>
  <c r="P82" i="19"/>
  <c r="P88" i="19"/>
  <c r="P70" i="19"/>
  <c r="P77" i="19"/>
  <c r="P250" i="19"/>
  <c r="P260" i="19"/>
  <c r="P265" i="19"/>
  <c r="P428" i="19"/>
  <c r="P289" i="19"/>
  <c r="P226" i="19"/>
  <c r="P64" i="19"/>
  <c r="P365" i="19"/>
  <c r="P450" i="19"/>
  <c r="P279" i="19"/>
  <c r="P214" i="19"/>
  <c r="P68" i="19"/>
  <c r="P252" i="19"/>
  <c r="P366" i="19"/>
  <c r="P391" i="19"/>
  <c r="P389" i="19"/>
  <c r="P201" i="19"/>
  <c r="P205" i="19"/>
  <c r="P185" i="19"/>
  <c r="P190" i="19"/>
  <c r="P423" i="19"/>
  <c r="P448" i="19"/>
  <c r="P446" i="19"/>
  <c r="P445" i="19"/>
  <c r="P415" i="19"/>
  <c r="P406" i="19"/>
  <c r="P404" i="19"/>
  <c r="P402" i="19"/>
  <c r="P277" i="19"/>
  <c r="P275" i="19"/>
  <c r="P281" i="19"/>
  <c r="P154" i="19"/>
  <c r="P171" i="19"/>
  <c r="P163" i="19"/>
  <c r="P162" i="19"/>
  <c r="P228" i="19"/>
  <c r="P229" i="19"/>
  <c r="P219" i="19"/>
  <c r="P236" i="19"/>
  <c r="P152" i="19"/>
  <c r="P130" i="19"/>
  <c r="P149" i="19"/>
  <c r="P139" i="19"/>
  <c r="P76" i="19"/>
  <c r="P73" i="19"/>
  <c r="P78" i="19"/>
  <c r="P243" i="19"/>
  <c r="P262" i="19"/>
  <c r="P247" i="19"/>
  <c r="P245" i="19"/>
  <c r="P372" i="19"/>
  <c r="P430" i="19"/>
  <c r="P410" i="19"/>
  <c r="P168" i="19"/>
  <c r="P147" i="19"/>
  <c r="P254" i="19"/>
  <c r="P381" i="19"/>
  <c r="P188" i="19"/>
  <c r="P449" i="19"/>
  <c r="P440" i="19"/>
  <c r="P408" i="19"/>
  <c r="P399" i="19"/>
  <c r="P397" i="19"/>
  <c r="P395" i="19"/>
  <c r="P296" i="19"/>
  <c r="P301" i="19"/>
  <c r="P273" i="19"/>
  <c r="P180" i="19"/>
  <c r="P165" i="19"/>
  <c r="P157" i="19"/>
  <c r="P155" i="19"/>
  <c r="P222" i="19"/>
  <c r="P240" i="19"/>
  <c r="P238" i="19"/>
  <c r="P230" i="19"/>
  <c r="P144" i="19"/>
  <c r="P123" i="19"/>
  <c r="P141" i="19"/>
  <c r="P133" i="19"/>
  <c r="P89" i="19"/>
  <c r="P84" i="19"/>
  <c r="P71" i="19"/>
  <c r="P257" i="19"/>
  <c r="P255" i="19"/>
  <c r="P266" i="19"/>
  <c r="P271" i="19"/>
  <c r="P191" i="19"/>
  <c r="P412" i="19"/>
  <c r="P170" i="19"/>
  <c r="P136" i="19"/>
  <c r="P268" i="19"/>
  <c r="P383" i="19"/>
  <c r="P207" i="19"/>
  <c r="P183" i="19"/>
  <c r="P442" i="19"/>
  <c r="P438" i="19"/>
  <c r="P387" i="19"/>
  <c r="P377" i="19"/>
  <c r="P376" i="19"/>
  <c r="P374" i="19"/>
  <c r="P200" i="19"/>
  <c r="P186" i="19"/>
  <c r="P211" i="19"/>
  <c r="P209" i="19"/>
  <c r="P444" i="19"/>
  <c r="P434" i="19"/>
  <c r="P433" i="19"/>
  <c r="P431" i="19"/>
  <c r="P401" i="19"/>
  <c r="P420" i="19"/>
  <c r="P418" i="19"/>
  <c r="P298" i="19"/>
  <c r="P290" i="19"/>
  <c r="P288" i="19"/>
  <c r="P299" i="19"/>
  <c r="P172" i="19"/>
  <c r="P173" i="19"/>
  <c r="P176" i="19"/>
  <c r="P182" i="19"/>
  <c r="P215" i="19"/>
  <c r="P233" i="19"/>
  <c r="P231" i="19"/>
  <c r="P223" i="19"/>
  <c r="P137" i="19"/>
  <c r="P146" i="19"/>
  <c r="P128" i="19"/>
  <c r="P83" i="19"/>
  <c r="P81" i="19"/>
  <c r="P87" i="19"/>
  <c r="P65" i="19"/>
  <c r="P270" i="19"/>
  <c r="P249" i="19"/>
  <c r="P259" i="19"/>
  <c r="P264" i="19"/>
  <c r="P364" i="19"/>
  <c r="P452" i="19"/>
  <c r="P287" i="19"/>
  <c r="P242" i="19"/>
  <c r="P132" i="19"/>
  <c r="P80" i="19"/>
  <c r="P385" i="19"/>
  <c r="P192" i="19"/>
  <c r="P379" i="19"/>
  <c r="P371" i="19"/>
  <c r="P390" i="19"/>
  <c r="P363" i="19"/>
  <c r="P194" i="19"/>
  <c r="P208" i="19"/>
  <c r="P203" i="19"/>
  <c r="P202" i="19"/>
  <c r="P436" i="19"/>
  <c r="P427" i="19"/>
  <c r="P451" i="19"/>
  <c r="P424" i="19"/>
  <c r="P414" i="19"/>
  <c r="P413" i="19"/>
  <c r="P411" i="19"/>
  <c r="P291" i="19"/>
  <c r="P283" i="19"/>
  <c r="P282" i="19"/>
  <c r="P293" i="19"/>
  <c r="P166" i="19"/>
  <c r="P178" i="19"/>
  <c r="P169" i="19"/>
  <c r="P174" i="19"/>
  <c r="P241" i="19"/>
  <c r="P220" i="19"/>
  <c r="P225" i="19"/>
  <c r="P217" i="19"/>
  <c r="P124" i="19"/>
  <c r="P150" i="19"/>
  <c r="P148" i="19"/>
  <c r="P75" i="19"/>
  <c r="P74" i="19"/>
  <c r="P79" i="19"/>
  <c r="P63" i="19"/>
  <c r="P263" i="19"/>
  <c r="P267" i="19"/>
  <c r="P253" i="19"/>
  <c r="P258" i="19"/>
  <c r="P368" i="19"/>
  <c r="P422" i="19"/>
  <c r="P125" i="19"/>
  <c r="P392" i="19"/>
  <c r="P388" i="19"/>
  <c r="P212" i="19"/>
  <c r="P195" i="19"/>
  <c r="P447" i="19"/>
  <c r="P394" i="19"/>
  <c r="P405" i="19"/>
  <c r="P285" i="19"/>
  <c r="P274" i="19"/>
  <c r="P280" i="19"/>
  <c r="P159" i="19"/>
  <c r="P156" i="19"/>
  <c r="P167" i="19"/>
  <c r="P234" i="19"/>
  <c r="P213" i="19"/>
  <c r="P237" i="19"/>
  <c r="P145" i="19"/>
  <c r="P126" i="19"/>
  <c r="P142" i="19"/>
  <c r="P140" i="19"/>
  <c r="P69" i="19"/>
  <c r="P67" i="19"/>
  <c r="P72" i="19"/>
  <c r="P92" i="19"/>
  <c r="P269" i="19"/>
  <c r="P261" i="19"/>
  <c r="P246" i="19"/>
  <c r="P251" i="19"/>
  <c r="P193" i="19"/>
  <c r="P421" i="19"/>
  <c r="P179" i="19"/>
  <c r="P216" i="19"/>
  <c r="P86" i="19"/>
  <c r="P367" i="19"/>
  <c r="P382" i="19"/>
  <c r="P187" i="19"/>
  <c r="P197" i="19"/>
  <c r="P429" i="19"/>
  <c r="P439" i="19"/>
  <c r="P407" i="19"/>
  <c r="P403" i="19"/>
  <c r="P276" i="19"/>
  <c r="P164" i="19"/>
  <c r="P386" i="19"/>
  <c r="P384" i="19"/>
  <c r="P375" i="19"/>
  <c r="P380" i="19"/>
  <c r="P206" i="19"/>
  <c r="P204" i="19"/>
  <c r="P184" i="19"/>
  <c r="P189" i="19"/>
  <c r="P443" i="19"/>
  <c r="P441" i="19"/>
  <c r="P432" i="19"/>
  <c r="P409" i="19"/>
  <c r="P400" i="19"/>
  <c r="P398" i="19"/>
  <c r="P396" i="19"/>
  <c r="P278" i="19"/>
  <c r="P302" i="19"/>
  <c r="P300" i="19"/>
  <c r="P292" i="19"/>
  <c r="P153" i="19"/>
  <c r="P158" i="19"/>
  <c r="P181" i="19"/>
  <c r="P161" i="19"/>
  <c r="P227" i="19"/>
  <c r="P239" i="19"/>
  <c r="P224" i="19"/>
  <c r="P138" i="19"/>
  <c r="P151" i="19"/>
  <c r="P135" i="19"/>
  <c r="P134" i="19"/>
  <c r="P90" i="19"/>
  <c r="P91" i="19"/>
  <c r="P66" i="19"/>
  <c r="P85" i="19"/>
  <c r="P256" i="19"/>
  <c r="P248" i="19"/>
  <c r="P272" i="19"/>
  <c r="P244" i="19"/>
  <c r="AF5" i="16" l="1"/>
  <c r="AE5" i="16" s="1"/>
  <c r="AF6" i="16"/>
  <c r="AE6" i="16" s="1"/>
  <c r="AF27" i="16"/>
  <c r="AE27" i="16" s="1"/>
  <c r="AF28" i="16"/>
  <c r="AE28" i="16" s="1"/>
  <c r="AF29" i="16"/>
  <c r="AE29" i="16" s="1"/>
  <c r="AF30" i="16"/>
  <c r="AE30" i="16" s="1"/>
  <c r="AF31" i="16"/>
  <c r="AE31" i="16" s="1"/>
  <c r="AF32" i="16"/>
  <c r="AE32" i="16" s="1"/>
  <c r="AF35" i="16"/>
  <c r="AE35" i="16" s="1"/>
  <c r="AF36" i="16"/>
  <c r="AE36" i="16" s="1"/>
  <c r="AF57" i="16"/>
  <c r="AE57" i="16" s="1"/>
  <c r="AF58" i="16"/>
  <c r="AE58" i="16" s="1"/>
  <c r="AF59" i="16"/>
  <c r="AE59" i="16" s="1"/>
  <c r="AF60" i="16"/>
  <c r="AE60" i="16" s="1"/>
  <c r="AF61" i="16"/>
  <c r="AE61" i="16" s="1"/>
  <c r="AF62" i="16"/>
  <c r="AE62" i="16" s="1"/>
  <c r="AF65" i="16"/>
  <c r="AE65" i="16" s="1"/>
  <c r="AF66" i="16"/>
  <c r="AE66" i="16" s="1"/>
  <c r="AF87" i="16"/>
  <c r="AE87" i="16" s="1"/>
  <c r="AF88" i="16"/>
  <c r="AE88" i="16" s="1"/>
  <c r="AF89" i="16"/>
  <c r="AE89" i="16" s="1"/>
  <c r="AF90" i="16"/>
  <c r="AE90" i="16" s="1"/>
  <c r="AF91" i="16"/>
  <c r="AE91" i="16" s="1"/>
  <c r="AF92" i="16"/>
  <c r="AE92" i="16" s="1"/>
  <c r="AF95" i="16"/>
  <c r="AE95" i="16" s="1"/>
  <c r="AF96" i="16"/>
  <c r="AE96" i="16" s="1"/>
  <c r="AF117" i="16"/>
  <c r="AE117" i="16" s="1"/>
  <c r="AF118" i="16"/>
  <c r="AE118" i="16" s="1"/>
  <c r="AF119" i="16"/>
  <c r="AE119" i="16" s="1"/>
  <c r="AF120" i="16"/>
  <c r="AE120" i="16" s="1"/>
  <c r="AF121" i="16"/>
  <c r="AE121" i="16" s="1"/>
  <c r="AF122" i="16"/>
  <c r="AE122" i="16" s="1"/>
  <c r="AF125" i="16"/>
  <c r="AE125" i="16" s="1"/>
  <c r="AF126" i="16"/>
  <c r="AE126" i="16" s="1"/>
  <c r="AF147" i="16"/>
  <c r="AE147" i="16" s="1"/>
  <c r="AF148" i="16"/>
  <c r="AE148" i="16" s="1"/>
  <c r="AF149" i="16"/>
  <c r="AE149" i="16" s="1"/>
  <c r="AF150" i="16"/>
  <c r="AE150" i="16" s="1"/>
  <c r="AF151" i="16"/>
  <c r="AE151" i="16" s="1"/>
  <c r="AF152" i="16"/>
  <c r="AE152" i="16" s="1"/>
  <c r="AF155" i="16"/>
  <c r="AE155" i="16" s="1"/>
  <c r="AF156" i="16"/>
  <c r="AE156" i="16" s="1"/>
  <c r="AF177" i="16"/>
  <c r="AE177" i="16" s="1"/>
  <c r="AF178" i="16"/>
  <c r="AE178" i="16" s="1"/>
  <c r="AF179" i="16"/>
  <c r="AE179" i="16" s="1"/>
  <c r="AF180" i="16"/>
  <c r="AE180" i="16" s="1"/>
  <c r="AF181" i="16"/>
  <c r="AE181" i="16" s="1"/>
  <c r="AF182" i="16"/>
  <c r="AE182" i="16" s="1"/>
  <c r="AF185" i="16"/>
  <c r="AE185" i="16" s="1"/>
  <c r="AF186" i="16"/>
  <c r="AE186" i="16" s="1"/>
  <c r="AF207" i="16"/>
  <c r="AE207" i="16" s="1"/>
  <c r="AF208" i="16"/>
  <c r="AE208" i="16" s="1"/>
  <c r="AF209" i="16"/>
  <c r="AE209" i="16" s="1"/>
  <c r="AF210" i="16"/>
  <c r="AE210" i="16" s="1"/>
  <c r="AF211" i="16"/>
  <c r="AE211" i="16" s="1"/>
  <c r="AF212" i="16"/>
  <c r="AE212" i="16" s="1"/>
  <c r="AF215" i="16"/>
  <c r="AE215" i="16" s="1"/>
  <c r="AF216" i="16"/>
  <c r="AE216" i="16" s="1"/>
  <c r="AF237" i="16"/>
  <c r="AE237" i="16" s="1"/>
  <c r="AF238" i="16"/>
  <c r="AE238" i="16" s="1"/>
  <c r="AF239" i="16"/>
  <c r="AE239" i="16" s="1"/>
  <c r="AF240" i="16"/>
  <c r="AE240" i="16" s="1"/>
  <c r="AF241" i="16"/>
  <c r="AE241" i="16" s="1"/>
  <c r="AF242" i="16"/>
  <c r="AE242" i="16" s="1"/>
  <c r="AF245" i="16"/>
  <c r="AE245" i="16" s="1"/>
  <c r="AF246" i="16"/>
  <c r="AE246" i="16" s="1"/>
  <c r="AF267" i="16"/>
  <c r="AE267" i="16" s="1"/>
  <c r="AF268" i="16"/>
  <c r="AE268" i="16" s="1"/>
  <c r="AF269" i="16"/>
  <c r="AE269" i="16" s="1"/>
  <c r="AF270" i="16"/>
  <c r="AE270" i="16" s="1"/>
  <c r="AF271" i="16"/>
  <c r="AE271" i="16" s="1"/>
  <c r="AF272" i="16"/>
  <c r="AE272" i="16" s="1"/>
  <c r="AF275" i="16"/>
  <c r="AE275" i="16" s="1"/>
  <c r="AF276" i="16"/>
  <c r="AE276" i="16" s="1"/>
  <c r="AF297" i="16"/>
  <c r="AE297" i="16" s="1"/>
  <c r="AF298" i="16"/>
  <c r="AE298" i="16" s="1"/>
  <c r="AF299" i="16"/>
  <c r="AE299" i="16" s="1"/>
  <c r="AF300" i="16"/>
  <c r="AE300" i="16" s="1"/>
  <c r="AF301" i="16"/>
  <c r="AE301" i="16" s="1"/>
  <c r="AF302" i="16"/>
  <c r="AE302" i="16" s="1"/>
  <c r="AF305" i="16"/>
  <c r="AE305" i="16" s="1"/>
  <c r="AF306" i="16"/>
  <c r="AE306" i="16" s="1"/>
  <c r="AF327" i="16"/>
  <c r="AE327" i="16" s="1"/>
  <c r="AF328" i="16"/>
  <c r="AE328" i="16" s="1"/>
  <c r="AF329" i="16"/>
  <c r="AE329" i="16" s="1"/>
  <c r="AF330" i="16"/>
  <c r="AE330" i="16" s="1"/>
  <c r="AF331" i="16"/>
  <c r="AE331" i="16" s="1"/>
  <c r="AF332" i="16"/>
  <c r="AE332" i="16" s="1"/>
  <c r="AF335" i="16"/>
  <c r="AE335" i="16" s="1"/>
  <c r="AF336" i="16"/>
  <c r="AE336" i="16" s="1"/>
  <c r="AF357" i="16"/>
  <c r="AE357" i="16" s="1"/>
  <c r="AF358" i="16"/>
  <c r="AE358" i="16" s="1"/>
  <c r="AF359" i="16"/>
  <c r="AE359" i="16" s="1"/>
  <c r="AF360" i="16"/>
  <c r="AE360" i="16" s="1"/>
  <c r="AF361" i="16"/>
  <c r="AE361" i="16" s="1"/>
  <c r="AF362" i="16"/>
  <c r="AE362" i="16" s="1"/>
  <c r="AF365" i="16"/>
  <c r="AE365" i="16" s="1"/>
  <c r="AF366" i="16"/>
  <c r="AE366" i="16" s="1"/>
  <c r="AF387" i="16"/>
  <c r="AE387" i="16" s="1"/>
  <c r="AF388" i="16"/>
  <c r="AE388" i="16" s="1"/>
  <c r="AF389" i="16"/>
  <c r="AE389" i="16" s="1"/>
  <c r="AF390" i="16"/>
  <c r="AE390" i="16" s="1"/>
  <c r="AF391" i="16"/>
  <c r="AE391" i="16" s="1"/>
  <c r="AF392" i="16"/>
  <c r="AE392" i="16" s="1"/>
  <c r="AF395" i="16"/>
  <c r="AE395" i="16" s="1"/>
  <c r="AF396" i="16"/>
  <c r="AE396" i="16" s="1"/>
  <c r="AF417" i="16"/>
  <c r="AE417" i="16" s="1"/>
  <c r="AF418" i="16"/>
  <c r="AE418" i="16" s="1"/>
  <c r="AF419" i="16"/>
  <c r="AE419" i="16" s="1"/>
  <c r="AF420" i="16"/>
  <c r="AE420" i="16" s="1"/>
  <c r="AF421" i="16"/>
  <c r="AE421" i="16" s="1"/>
  <c r="AF422" i="16"/>
  <c r="AE422" i="16" s="1"/>
  <c r="AF425" i="16"/>
  <c r="AE425" i="16" s="1"/>
  <c r="AF426" i="16"/>
  <c r="AE426" i="16" s="1"/>
  <c r="AF447" i="16"/>
  <c r="AE447" i="16" s="1"/>
  <c r="AF448" i="16"/>
  <c r="AE448" i="16" s="1"/>
  <c r="AF449" i="16"/>
  <c r="AE449" i="16" s="1"/>
  <c r="AF450" i="16"/>
  <c r="AE450" i="16" s="1"/>
  <c r="AF451" i="16"/>
  <c r="AE451" i="16" s="1"/>
  <c r="AF452" i="16"/>
  <c r="AE452" i="16" s="1"/>
  <c r="AF455" i="16"/>
  <c r="AE455" i="16" s="1"/>
  <c r="AF456" i="16"/>
  <c r="AE456" i="16" s="1"/>
  <c r="AF477" i="16"/>
  <c r="AE477" i="16" s="1"/>
  <c r="AF478" i="16"/>
  <c r="AE478" i="16" s="1"/>
  <c r="AF479" i="16"/>
  <c r="AE479" i="16" s="1"/>
  <c r="AF480" i="16"/>
  <c r="AE480" i="16" s="1"/>
  <c r="AF481" i="16"/>
  <c r="AE481" i="16" s="1"/>
  <c r="AF482" i="16"/>
  <c r="AE482" i="16" s="1"/>
  <c r="AF485" i="16"/>
  <c r="AE485" i="16" s="1"/>
  <c r="AF486" i="16"/>
  <c r="AE486" i="16" s="1"/>
  <c r="AF507" i="16"/>
  <c r="AE507" i="16" s="1"/>
  <c r="AF508" i="16"/>
  <c r="AE508" i="16" s="1"/>
  <c r="AF509" i="16"/>
  <c r="AE509" i="16" s="1"/>
  <c r="AF510" i="16"/>
  <c r="AE510" i="16" s="1"/>
  <c r="AF511" i="16"/>
  <c r="AE511" i="16" s="1"/>
  <c r="AF512" i="16"/>
  <c r="AE512" i="16" s="1"/>
  <c r="AF5" i="25"/>
  <c r="AE5" i="25" s="1"/>
  <c r="AF6" i="25"/>
  <c r="AE6" i="25" s="1"/>
  <c r="AF27" i="25"/>
  <c r="AE27" i="25" s="1"/>
  <c r="AF28" i="25"/>
  <c r="AE28" i="25" s="1"/>
  <c r="AF29" i="25"/>
  <c r="AE29" i="25" s="1"/>
  <c r="AF30" i="25"/>
  <c r="AE30" i="25" s="1"/>
  <c r="AF31" i="25"/>
  <c r="AE31" i="25" s="1"/>
  <c r="AF32" i="25"/>
  <c r="AE32" i="25" s="1"/>
  <c r="AF35" i="25"/>
  <c r="AE35" i="25" s="1"/>
  <c r="AF36" i="25"/>
  <c r="AE36" i="25" s="1"/>
  <c r="AF57" i="25"/>
  <c r="AE57" i="25" s="1"/>
  <c r="AF58" i="25"/>
  <c r="AE58" i="25" s="1"/>
  <c r="AF59" i="25"/>
  <c r="AE59" i="25" s="1"/>
  <c r="AF60" i="25"/>
  <c r="AE60" i="25" s="1"/>
  <c r="AF61" i="25"/>
  <c r="AE61" i="25" s="1"/>
  <c r="AF62" i="25"/>
  <c r="AE62" i="25" s="1"/>
  <c r="AF65" i="25"/>
  <c r="AE65" i="25" s="1"/>
  <c r="AF66" i="25"/>
  <c r="AE66" i="25" s="1"/>
  <c r="AF87" i="25"/>
  <c r="AE87" i="25" s="1"/>
  <c r="AF88" i="25"/>
  <c r="AE88" i="25" s="1"/>
  <c r="AF89" i="25"/>
  <c r="AE89" i="25" s="1"/>
  <c r="AF90" i="25"/>
  <c r="AE90" i="25" s="1"/>
  <c r="AF91" i="25"/>
  <c r="AE91" i="25" s="1"/>
  <c r="AF92" i="25"/>
  <c r="AE92" i="25" s="1"/>
  <c r="AF95" i="25"/>
  <c r="AE95" i="25" s="1"/>
  <c r="AF96" i="25"/>
  <c r="AE96" i="25" s="1"/>
  <c r="AF117" i="25"/>
  <c r="AE117" i="25" s="1"/>
  <c r="AF118" i="25"/>
  <c r="AE118" i="25" s="1"/>
  <c r="AF119" i="25"/>
  <c r="AE119" i="25" s="1"/>
  <c r="AF120" i="25"/>
  <c r="AE120" i="25" s="1"/>
  <c r="AF121" i="25"/>
  <c r="AE121" i="25" s="1"/>
  <c r="AF122" i="25"/>
  <c r="AE122" i="25" s="1"/>
  <c r="AF125" i="25"/>
  <c r="AE125" i="25" s="1"/>
  <c r="AF126" i="25"/>
  <c r="AE126" i="25" s="1"/>
  <c r="AF147" i="25"/>
  <c r="AE147" i="25" s="1"/>
  <c r="AF148" i="25"/>
  <c r="AE148" i="25" s="1"/>
  <c r="AF149" i="25"/>
  <c r="AE149" i="25" s="1"/>
  <c r="AF150" i="25"/>
  <c r="AE150" i="25" s="1"/>
  <c r="AF151" i="25"/>
  <c r="AE151" i="25" s="1"/>
  <c r="AF152" i="25"/>
  <c r="AE152" i="25" s="1"/>
  <c r="AF155" i="25"/>
  <c r="AE155" i="25" s="1"/>
  <c r="AF156" i="25"/>
  <c r="AE156" i="25" s="1"/>
  <c r="AF177" i="25"/>
  <c r="AE177" i="25" s="1"/>
  <c r="AF178" i="25"/>
  <c r="AE178" i="25" s="1"/>
  <c r="AF179" i="25"/>
  <c r="AE179" i="25" s="1"/>
  <c r="AF180" i="25"/>
  <c r="AE180" i="25" s="1"/>
  <c r="AF181" i="25"/>
  <c r="AE181" i="25" s="1"/>
  <c r="AF182" i="25"/>
  <c r="AE182" i="25" s="1"/>
  <c r="AF185" i="25"/>
  <c r="AE185" i="25" s="1"/>
  <c r="AF186" i="25"/>
  <c r="AE186" i="25" s="1"/>
  <c r="AF207" i="25"/>
  <c r="AE207" i="25" s="1"/>
  <c r="AF208" i="25"/>
  <c r="AE208" i="25" s="1"/>
  <c r="AF209" i="25"/>
  <c r="AE209" i="25" s="1"/>
  <c r="AF210" i="25"/>
  <c r="AE210" i="25" s="1"/>
  <c r="AF211" i="25"/>
  <c r="AE211" i="25" s="1"/>
  <c r="AF212" i="25"/>
  <c r="AE212" i="25" s="1"/>
  <c r="AF215" i="25"/>
  <c r="AE215" i="25" s="1"/>
  <c r="AF216" i="25"/>
  <c r="AE216" i="25" s="1"/>
  <c r="AF237" i="25"/>
  <c r="AE237" i="25" s="1"/>
  <c r="AF238" i="25"/>
  <c r="AE238" i="25" s="1"/>
  <c r="AF239" i="25"/>
  <c r="AE239" i="25" s="1"/>
  <c r="AF240" i="25"/>
  <c r="AE240" i="25" s="1"/>
  <c r="AF241" i="25"/>
  <c r="AE241" i="25" s="1"/>
  <c r="AF242" i="25"/>
  <c r="AE242" i="25" s="1"/>
  <c r="AF245" i="25"/>
  <c r="AE245" i="25" s="1"/>
  <c r="AF246" i="25"/>
  <c r="AE246" i="25" s="1"/>
  <c r="AF267" i="25"/>
  <c r="AE267" i="25" s="1"/>
  <c r="AF268" i="25"/>
  <c r="AE268" i="25" s="1"/>
  <c r="AF269" i="25"/>
  <c r="AE269" i="25" s="1"/>
  <c r="AF270" i="25"/>
  <c r="AE270" i="25" s="1"/>
  <c r="AF271" i="25"/>
  <c r="AE271" i="25" s="1"/>
  <c r="AF272" i="25"/>
  <c r="AE272" i="25" s="1"/>
  <c r="AF275" i="25"/>
  <c r="AE275" i="25" s="1"/>
  <c r="AF276" i="25"/>
  <c r="AE276" i="25" s="1"/>
  <c r="AF297" i="25"/>
  <c r="AE297" i="25" s="1"/>
  <c r="AF298" i="25"/>
  <c r="AE298" i="25" s="1"/>
  <c r="AF299" i="25"/>
  <c r="AE299" i="25" s="1"/>
  <c r="AF300" i="25"/>
  <c r="AE300" i="25" s="1"/>
  <c r="AF301" i="25"/>
  <c r="AE301" i="25" s="1"/>
  <c r="AF302" i="25"/>
  <c r="AE302" i="25" s="1"/>
  <c r="AF305" i="25"/>
  <c r="AE305" i="25" s="1"/>
  <c r="AF306" i="25"/>
  <c r="AE306" i="25" s="1"/>
  <c r="AF327" i="25"/>
  <c r="AE327" i="25" s="1"/>
  <c r="AF328" i="25"/>
  <c r="AE328" i="25" s="1"/>
  <c r="AF329" i="25"/>
  <c r="AE329" i="25" s="1"/>
  <c r="AF330" i="25"/>
  <c r="AE330" i="25" s="1"/>
  <c r="AF331" i="25"/>
  <c r="AE331" i="25" s="1"/>
  <c r="AF332" i="25"/>
  <c r="AE332" i="25" s="1"/>
  <c r="AF335" i="25"/>
  <c r="AE335" i="25" s="1"/>
  <c r="AF336" i="25"/>
  <c r="AE336" i="25" s="1"/>
  <c r="AF357" i="25"/>
  <c r="AE357" i="25" s="1"/>
  <c r="AF358" i="25"/>
  <c r="AE358" i="25" s="1"/>
  <c r="AF359" i="25"/>
  <c r="AE359" i="25" s="1"/>
  <c r="AF360" i="25"/>
  <c r="AE360" i="25" s="1"/>
  <c r="AF361" i="25"/>
  <c r="AE361" i="25" s="1"/>
  <c r="AF362" i="25"/>
  <c r="AE362" i="25" s="1"/>
  <c r="AF365" i="25"/>
  <c r="AE365" i="25" s="1"/>
  <c r="AF366" i="25"/>
  <c r="AE366" i="25" s="1"/>
  <c r="AF387" i="25"/>
  <c r="AE387" i="25" s="1"/>
  <c r="AF388" i="25"/>
  <c r="AE388" i="25" s="1"/>
  <c r="AF389" i="25"/>
  <c r="AE389" i="25" s="1"/>
  <c r="AF390" i="25"/>
  <c r="AE390" i="25" s="1"/>
  <c r="AF391" i="25"/>
  <c r="AE391" i="25" s="1"/>
  <c r="AF392" i="25"/>
  <c r="AE392" i="25" s="1"/>
  <c r="AF395" i="25"/>
  <c r="AE395" i="25" s="1"/>
  <c r="AF396" i="25"/>
  <c r="AE396" i="25" s="1"/>
  <c r="AF417" i="25"/>
  <c r="AE417" i="25" s="1"/>
  <c r="AF418" i="25"/>
  <c r="AE418" i="25" s="1"/>
  <c r="AF419" i="25"/>
  <c r="AE419" i="25" s="1"/>
  <c r="AF420" i="25"/>
  <c r="AE420" i="25" s="1"/>
  <c r="AF421" i="25"/>
  <c r="AE421" i="25" s="1"/>
  <c r="AF422" i="25"/>
  <c r="AE422" i="25" s="1"/>
  <c r="AF425" i="25"/>
  <c r="AE425" i="25" s="1"/>
  <c r="AF426" i="25"/>
  <c r="AE426" i="25" s="1"/>
  <c r="AF447" i="25"/>
  <c r="AE447" i="25" s="1"/>
  <c r="AF448" i="25"/>
  <c r="AE448" i="25" s="1"/>
  <c r="AF449" i="25"/>
  <c r="AE449" i="25" s="1"/>
  <c r="AF450" i="25"/>
  <c r="AE450" i="25" s="1"/>
  <c r="AF451" i="25"/>
  <c r="AE451" i="25" s="1"/>
  <c r="AF452" i="25"/>
  <c r="AE452" i="25" s="1"/>
  <c r="AF455" i="25"/>
  <c r="AE455" i="25" s="1"/>
  <c r="AF456" i="25"/>
  <c r="AE456" i="25" s="1"/>
  <c r="AF477" i="25"/>
  <c r="AE477" i="25" s="1"/>
  <c r="AF478" i="25"/>
  <c r="AE478" i="25" s="1"/>
  <c r="AF479" i="25"/>
  <c r="AE479" i="25" s="1"/>
  <c r="AF480" i="25"/>
  <c r="AE480" i="25" s="1"/>
  <c r="AF481" i="25"/>
  <c r="AE481" i="25" s="1"/>
  <c r="AF482" i="25"/>
  <c r="AE482" i="25" s="1"/>
  <c r="AF485" i="25"/>
  <c r="AE485" i="25" s="1"/>
  <c r="AF486" i="25"/>
  <c r="AE486" i="25" s="1"/>
  <c r="AF507" i="25"/>
  <c r="AE507" i="25" s="1"/>
  <c r="AF508" i="25"/>
  <c r="AE508" i="25" s="1"/>
  <c r="AF509" i="25"/>
  <c r="AE509" i="25" s="1"/>
  <c r="AF510" i="25"/>
  <c r="AE510" i="25" s="1"/>
  <c r="AF511" i="25"/>
  <c r="AE511" i="25" s="1"/>
  <c r="AF512" i="25"/>
  <c r="AE512" i="25" s="1"/>
  <c r="D25" i="23"/>
  <c r="D26" i="23"/>
  <c r="D53" i="4"/>
  <c r="D27" i="23" s="1"/>
  <c r="D52" i="4"/>
  <c r="F13" i="4"/>
  <c r="D13" i="4"/>
  <c r="N24" i="10" l="1"/>
  <c r="N23" i="10"/>
  <c r="N22" i="10"/>
  <c r="N21" i="10"/>
  <c r="N20" i="10"/>
  <c r="N19" i="10"/>
  <c r="N18" i="10"/>
  <c r="N17" i="10"/>
  <c r="N16" i="10"/>
  <c r="N15" i="10"/>
  <c r="N14" i="10"/>
  <c r="N13" i="10"/>
  <c r="N12" i="10"/>
  <c r="N11" i="10"/>
  <c r="N10" i="10"/>
  <c r="N9" i="10"/>
  <c r="N8" i="10"/>
  <c r="N7" i="10"/>
  <c r="N4" i="10"/>
  <c r="N3" i="10"/>
  <c r="AF393" i="16" l="1"/>
  <c r="AE393" i="16" s="1"/>
  <c r="AF483" i="16"/>
  <c r="AE483" i="16" s="1"/>
  <c r="AF33" i="25"/>
  <c r="AE33" i="25" s="1"/>
  <c r="AF93" i="25"/>
  <c r="AE93" i="25" s="1"/>
  <c r="AF153" i="25"/>
  <c r="AE153" i="25" s="1"/>
  <c r="AF213" i="25"/>
  <c r="AE213" i="25" s="1"/>
  <c r="AF273" i="25"/>
  <c r="AE273" i="25" s="1"/>
  <c r="AF333" i="25"/>
  <c r="AE333" i="25" s="1"/>
  <c r="AF243" i="16"/>
  <c r="AE243" i="16" s="1"/>
  <c r="AF303" i="16"/>
  <c r="AE303" i="16" s="1"/>
  <c r="AF453" i="16"/>
  <c r="AE453" i="16" s="1"/>
  <c r="AF33" i="16"/>
  <c r="AE33" i="16" s="1"/>
  <c r="AF93" i="16"/>
  <c r="AE93" i="16" s="1"/>
  <c r="AF153" i="16"/>
  <c r="AE153" i="16" s="1"/>
  <c r="AF213" i="16"/>
  <c r="AE213" i="16" s="1"/>
  <c r="AF363" i="16"/>
  <c r="AE363" i="16" s="1"/>
  <c r="AF63" i="25"/>
  <c r="AE63" i="25" s="1"/>
  <c r="AF123" i="25"/>
  <c r="AE123" i="25" s="1"/>
  <c r="AF183" i="25"/>
  <c r="AE183" i="25" s="1"/>
  <c r="AF243" i="25"/>
  <c r="AE243" i="25" s="1"/>
  <c r="AF303" i="25"/>
  <c r="AE303" i="25" s="1"/>
  <c r="AF63" i="16"/>
  <c r="AE63" i="16" s="1"/>
  <c r="AF123" i="16"/>
  <c r="AE123" i="16" s="1"/>
  <c r="AF183" i="16"/>
  <c r="AE183" i="16" s="1"/>
  <c r="AF333" i="16"/>
  <c r="AE333" i="16" s="1"/>
  <c r="AF423" i="25"/>
  <c r="AE423" i="25" s="1"/>
  <c r="AF483" i="25"/>
  <c r="AE483" i="25" s="1"/>
  <c r="AF423" i="16"/>
  <c r="AE423" i="16" s="1"/>
  <c r="AF363" i="25"/>
  <c r="AE363" i="25" s="1"/>
  <c r="AF393" i="25"/>
  <c r="AE393" i="25" s="1"/>
  <c r="AF453" i="25"/>
  <c r="AE453" i="25" s="1"/>
  <c r="AF273" i="16"/>
  <c r="AE273" i="16" s="1"/>
  <c r="AF291" i="16"/>
  <c r="AE291" i="16" s="1"/>
  <c r="AF441" i="16"/>
  <c r="AE441" i="16" s="1"/>
  <c r="AF21" i="16"/>
  <c r="AE21" i="16" s="1"/>
  <c r="AF81" i="16"/>
  <c r="AE81" i="16" s="1"/>
  <c r="AF141" i="16"/>
  <c r="AE141" i="16" s="1"/>
  <c r="AF201" i="16"/>
  <c r="AE201" i="16" s="1"/>
  <c r="AF351" i="16"/>
  <c r="AE351" i="16" s="1"/>
  <c r="AF51" i="25"/>
  <c r="AE51" i="25" s="1"/>
  <c r="AF261" i="16"/>
  <c r="AE261" i="16" s="1"/>
  <c r="AF411" i="16"/>
  <c r="AE411" i="16" s="1"/>
  <c r="AF501" i="16"/>
  <c r="AE501" i="16" s="1"/>
  <c r="AF231" i="16"/>
  <c r="AE231" i="16" s="1"/>
  <c r="AF51" i="16"/>
  <c r="AE51" i="16" s="1"/>
  <c r="AF111" i="16"/>
  <c r="AE111" i="16" s="1"/>
  <c r="AF171" i="16"/>
  <c r="AE171" i="16" s="1"/>
  <c r="AF21" i="25"/>
  <c r="AE21" i="25" s="1"/>
  <c r="AF261" i="25"/>
  <c r="AE261" i="25" s="1"/>
  <c r="AF411" i="25"/>
  <c r="AE411" i="25" s="1"/>
  <c r="AF471" i="25"/>
  <c r="AE471" i="25" s="1"/>
  <c r="AF171" i="25"/>
  <c r="AE171" i="25" s="1"/>
  <c r="AF321" i="16"/>
  <c r="AE321" i="16" s="1"/>
  <c r="AF231" i="25"/>
  <c r="AE231" i="25" s="1"/>
  <c r="AF351" i="25"/>
  <c r="AE351" i="25" s="1"/>
  <c r="AF81" i="25"/>
  <c r="AE81" i="25" s="1"/>
  <c r="AF141" i="25"/>
  <c r="AE141" i="25" s="1"/>
  <c r="AF381" i="25"/>
  <c r="AE381" i="25" s="1"/>
  <c r="AF111" i="25"/>
  <c r="AE111" i="25" s="1"/>
  <c r="AF381" i="16"/>
  <c r="AE381" i="16" s="1"/>
  <c r="AF201" i="25"/>
  <c r="AE201" i="25" s="1"/>
  <c r="AF321" i="25"/>
  <c r="AE321" i="25" s="1"/>
  <c r="AF441" i="25"/>
  <c r="AE441" i="25" s="1"/>
  <c r="AF501" i="25"/>
  <c r="AE501" i="25" s="1"/>
  <c r="AF471" i="16"/>
  <c r="AE471" i="16" s="1"/>
  <c r="AF291" i="25"/>
  <c r="AE291" i="25" s="1"/>
  <c r="AF20" i="16"/>
  <c r="AE20" i="16" s="1"/>
  <c r="AF80" i="16"/>
  <c r="AE80" i="16" s="1"/>
  <c r="AF140" i="16"/>
  <c r="AE140" i="16" s="1"/>
  <c r="AF200" i="16"/>
  <c r="AE200" i="16" s="1"/>
  <c r="AF350" i="16"/>
  <c r="AE350" i="16" s="1"/>
  <c r="AF260" i="16"/>
  <c r="AE260" i="16" s="1"/>
  <c r="AF410" i="16"/>
  <c r="AE410" i="16" s="1"/>
  <c r="AF500" i="16"/>
  <c r="AE500" i="16" s="1"/>
  <c r="AF320" i="16"/>
  <c r="AE320" i="16" s="1"/>
  <c r="AF50" i="16"/>
  <c r="AE50" i="16" s="1"/>
  <c r="AF110" i="16"/>
  <c r="AE110" i="16" s="1"/>
  <c r="AF170" i="16"/>
  <c r="AE170" i="16" s="1"/>
  <c r="AF290" i="16"/>
  <c r="AE290" i="16" s="1"/>
  <c r="AF440" i="16"/>
  <c r="AE440" i="16" s="1"/>
  <c r="AF50" i="25"/>
  <c r="AE50" i="25" s="1"/>
  <c r="AF230" i="25"/>
  <c r="AE230" i="25" s="1"/>
  <c r="AF350" i="25"/>
  <c r="AE350" i="25" s="1"/>
  <c r="AF230" i="16"/>
  <c r="AE230" i="16" s="1"/>
  <c r="AF80" i="25"/>
  <c r="AE80" i="25" s="1"/>
  <c r="AF140" i="25"/>
  <c r="AE140" i="25" s="1"/>
  <c r="AF380" i="16"/>
  <c r="AE380" i="16" s="1"/>
  <c r="AF200" i="25"/>
  <c r="AE200" i="25" s="1"/>
  <c r="AF320" i="25"/>
  <c r="AE320" i="25" s="1"/>
  <c r="AF380" i="25"/>
  <c r="AE380" i="25" s="1"/>
  <c r="AF440" i="25"/>
  <c r="AE440" i="25" s="1"/>
  <c r="AF500" i="25"/>
  <c r="AE500" i="25" s="1"/>
  <c r="AF470" i="16"/>
  <c r="AE470" i="16" s="1"/>
  <c r="AF110" i="25"/>
  <c r="AE110" i="25" s="1"/>
  <c r="AF170" i="25"/>
  <c r="AE170" i="25" s="1"/>
  <c r="AF290" i="25"/>
  <c r="AE290" i="25" s="1"/>
  <c r="AF20" i="25"/>
  <c r="AE20" i="25" s="1"/>
  <c r="AF260" i="25"/>
  <c r="AE260" i="25" s="1"/>
  <c r="AF410" i="25"/>
  <c r="AE410" i="25" s="1"/>
  <c r="AF470" i="25"/>
  <c r="AE470" i="25" s="1"/>
  <c r="AF434" i="16"/>
  <c r="AE434" i="16" s="1"/>
  <c r="AF284" i="16"/>
  <c r="AE284" i="16" s="1"/>
  <c r="AF14" i="16"/>
  <c r="AE14" i="16" s="1"/>
  <c r="AF74" i="16"/>
  <c r="AE74" i="16" s="1"/>
  <c r="AF134" i="16"/>
  <c r="AE134" i="16" s="1"/>
  <c r="AF194" i="16"/>
  <c r="AE194" i="16" s="1"/>
  <c r="AF344" i="16"/>
  <c r="AE344" i="16" s="1"/>
  <c r="AF44" i="25"/>
  <c r="AE44" i="25" s="1"/>
  <c r="AF254" i="16"/>
  <c r="AE254" i="16" s="1"/>
  <c r="AF404" i="16"/>
  <c r="AE404" i="16" s="1"/>
  <c r="AF494" i="16"/>
  <c r="AE494" i="16" s="1"/>
  <c r="AF224" i="16"/>
  <c r="AE224" i="16" s="1"/>
  <c r="AF374" i="16"/>
  <c r="AE374" i="16" s="1"/>
  <c r="AF14" i="25"/>
  <c r="AE14" i="25" s="1"/>
  <c r="AF74" i="25"/>
  <c r="AE74" i="25" s="1"/>
  <c r="AF134" i="25"/>
  <c r="AE134" i="25" s="1"/>
  <c r="AF314" i="16"/>
  <c r="AE314" i="16" s="1"/>
  <c r="AF284" i="25"/>
  <c r="AE284" i="25" s="1"/>
  <c r="AF404" i="25"/>
  <c r="AE404" i="25" s="1"/>
  <c r="AF464" i="25"/>
  <c r="AE464" i="25" s="1"/>
  <c r="AF104" i="25"/>
  <c r="AE104" i="25" s="1"/>
  <c r="AF164" i="25"/>
  <c r="AE164" i="25" s="1"/>
  <c r="AF464" i="16"/>
  <c r="AE464" i="16" s="1"/>
  <c r="AF254" i="25"/>
  <c r="AE254" i="25" s="1"/>
  <c r="AF494" i="25"/>
  <c r="AE494" i="25" s="1"/>
  <c r="AF224" i="25"/>
  <c r="AE224" i="25" s="1"/>
  <c r="AF344" i="25"/>
  <c r="AE344" i="25" s="1"/>
  <c r="AF374" i="25"/>
  <c r="AE374" i="25" s="1"/>
  <c r="AF434" i="25"/>
  <c r="AE434" i="25" s="1"/>
  <c r="AF44" i="16"/>
  <c r="AE44" i="16" s="1"/>
  <c r="AF104" i="16"/>
  <c r="AE104" i="16" s="1"/>
  <c r="AF164" i="16"/>
  <c r="AE164" i="16" s="1"/>
  <c r="AF194" i="25"/>
  <c r="AE194" i="25" s="1"/>
  <c r="AF314" i="25"/>
  <c r="AE314" i="25" s="1"/>
  <c r="AF232" i="16"/>
  <c r="AE232" i="16" s="1"/>
  <c r="AF292" i="16"/>
  <c r="AE292" i="16" s="1"/>
  <c r="AF442" i="16"/>
  <c r="AE442" i="16" s="1"/>
  <c r="AF22" i="16"/>
  <c r="AE22" i="16" s="1"/>
  <c r="AF82" i="16"/>
  <c r="AE82" i="16" s="1"/>
  <c r="AF142" i="16"/>
  <c r="AE142" i="16" s="1"/>
  <c r="AF202" i="16"/>
  <c r="AE202" i="16" s="1"/>
  <c r="AF352" i="16"/>
  <c r="AE352" i="16" s="1"/>
  <c r="AF262" i="16"/>
  <c r="AE262" i="16" s="1"/>
  <c r="AF412" i="16"/>
  <c r="AE412" i="16" s="1"/>
  <c r="AF502" i="16"/>
  <c r="AE502" i="16" s="1"/>
  <c r="AF382" i="16"/>
  <c r="AE382" i="16" s="1"/>
  <c r="AF472" i="16"/>
  <c r="AE472" i="16" s="1"/>
  <c r="AF22" i="25"/>
  <c r="AE22" i="25" s="1"/>
  <c r="AF82" i="25"/>
  <c r="AE82" i="25" s="1"/>
  <c r="AF142" i="25"/>
  <c r="AE142" i="25" s="1"/>
  <c r="AF52" i="16"/>
  <c r="AE52" i="16" s="1"/>
  <c r="AF112" i="16"/>
  <c r="AE112" i="16" s="1"/>
  <c r="AF172" i="16"/>
  <c r="AE172" i="16" s="1"/>
  <c r="AF52" i="25"/>
  <c r="AE52" i="25" s="1"/>
  <c r="AF262" i="25"/>
  <c r="AE262" i="25" s="1"/>
  <c r="AF412" i="25"/>
  <c r="AE412" i="25" s="1"/>
  <c r="AF472" i="25"/>
  <c r="AE472" i="25" s="1"/>
  <c r="AF322" i="16"/>
  <c r="AE322" i="16" s="1"/>
  <c r="AF232" i="25"/>
  <c r="AE232" i="25" s="1"/>
  <c r="AF352" i="25"/>
  <c r="AE352" i="25" s="1"/>
  <c r="AF442" i="25"/>
  <c r="AE442" i="25" s="1"/>
  <c r="AF502" i="25"/>
  <c r="AE502" i="25" s="1"/>
  <c r="AF202" i="25"/>
  <c r="AE202" i="25" s="1"/>
  <c r="AF322" i="25"/>
  <c r="AE322" i="25" s="1"/>
  <c r="AF382" i="25"/>
  <c r="AE382" i="25" s="1"/>
  <c r="AF112" i="25"/>
  <c r="AE112" i="25" s="1"/>
  <c r="AF172" i="25"/>
  <c r="AE172" i="25" s="1"/>
  <c r="AF292" i="25"/>
  <c r="AE292" i="25" s="1"/>
  <c r="AF12" i="16"/>
  <c r="AE12" i="16" s="1"/>
  <c r="AF72" i="16"/>
  <c r="AE72" i="16" s="1"/>
  <c r="AF132" i="16"/>
  <c r="AE132" i="16" s="1"/>
  <c r="AF192" i="16"/>
  <c r="AE192" i="16" s="1"/>
  <c r="AF342" i="16"/>
  <c r="AE342" i="16" s="1"/>
  <c r="AF402" i="16"/>
  <c r="AE402" i="16" s="1"/>
  <c r="AF252" i="16"/>
  <c r="AE252" i="16" s="1"/>
  <c r="AF492" i="16"/>
  <c r="AE492" i="16" s="1"/>
  <c r="AF312" i="16"/>
  <c r="AE312" i="16" s="1"/>
  <c r="AF462" i="16"/>
  <c r="AE462" i="16" s="1"/>
  <c r="AF42" i="16"/>
  <c r="AE42" i="16" s="1"/>
  <c r="AF102" i="16"/>
  <c r="AE102" i="16" s="1"/>
  <c r="AF162" i="16"/>
  <c r="AE162" i="16" s="1"/>
  <c r="AF282" i="16"/>
  <c r="AE282" i="16" s="1"/>
  <c r="AF102" i="25"/>
  <c r="AE102" i="25" s="1"/>
  <c r="AF162" i="25"/>
  <c r="AE162" i="25" s="1"/>
  <c r="AF372" i="16"/>
  <c r="AE372" i="16" s="1"/>
  <c r="AF252" i="25"/>
  <c r="AE252" i="25" s="1"/>
  <c r="AF222" i="25"/>
  <c r="AE222" i="25" s="1"/>
  <c r="AF342" i="25"/>
  <c r="AE342" i="25" s="1"/>
  <c r="AF372" i="25"/>
  <c r="AE372" i="25" s="1"/>
  <c r="AF432" i="25"/>
  <c r="AE432" i="25" s="1"/>
  <c r="AF492" i="25"/>
  <c r="AE492" i="25" s="1"/>
  <c r="AF12" i="25"/>
  <c r="AE12" i="25" s="1"/>
  <c r="AF42" i="25"/>
  <c r="AE42" i="25" s="1"/>
  <c r="AF132" i="25"/>
  <c r="AE132" i="25" s="1"/>
  <c r="AF192" i="25"/>
  <c r="AE192" i="25" s="1"/>
  <c r="AF312" i="25"/>
  <c r="AE312" i="25" s="1"/>
  <c r="AF432" i="16"/>
  <c r="AE432" i="16" s="1"/>
  <c r="AF72" i="25"/>
  <c r="AE72" i="25" s="1"/>
  <c r="AF222" i="16"/>
  <c r="AE222" i="16" s="1"/>
  <c r="AF282" i="25"/>
  <c r="AE282" i="25" s="1"/>
  <c r="AF402" i="25"/>
  <c r="AE402" i="25" s="1"/>
  <c r="AF462" i="25"/>
  <c r="AE462" i="25" s="1"/>
  <c r="AF383" i="16"/>
  <c r="AE383" i="16" s="1"/>
  <c r="AF473" i="16"/>
  <c r="AE473" i="16" s="1"/>
  <c r="AF23" i="25"/>
  <c r="AE23" i="25" s="1"/>
  <c r="AF83" i="25"/>
  <c r="AE83" i="25" s="1"/>
  <c r="AF143" i="25"/>
  <c r="AE143" i="25" s="1"/>
  <c r="AF203" i="25"/>
  <c r="AE203" i="25" s="1"/>
  <c r="AF263" i="25"/>
  <c r="AE263" i="25" s="1"/>
  <c r="AF323" i="25"/>
  <c r="AE323" i="25" s="1"/>
  <c r="AF233" i="16"/>
  <c r="AE233" i="16" s="1"/>
  <c r="AF293" i="16"/>
  <c r="AE293" i="16" s="1"/>
  <c r="AF443" i="16"/>
  <c r="AE443" i="16" s="1"/>
  <c r="AF23" i="16"/>
  <c r="AE23" i="16" s="1"/>
  <c r="AF83" i="16"/>
  <c r="AE83" i="16" s="1"/>
  <c r="AF143" i="16"/>
  <c r="AE143" i="16" s="1"/>
  <c r="AF203" i="16"/>
  <c r="AE203" i="16" s="1"/>
  <c r="AF353" i="16"/>
  <c r="AE353" i="16" s="1"/>
  <c r="AF53" i="25"/>
  <c r="AE53" i="25" s="1"/>
  <c r="AF113" i="25"/>
  <c r="AE113" i="25" s="1"/>
  <c r="AF173" i="25"/>
  <c r="AE173" i="25" s="1"/>
  <c r="AF233" i="25"/>
  <c r="AE233" i="25" s="1"/>
  <c r="AF293" i="25"/>
  <c r="AE293" i="25" s="1"/>
  <c r="AF353" i="25"/>
  <c r="AE353" i="25" s="1"/>
  <c r="AF53" i="16"/>
  <c r="AE53" i="16" s="1"/>
  <c r="AF113" i="16"/>
  <c r="AE113" i="16" s="1"/>
  <c r="AF173" i="16"/>
  <c r="AE173" i="16" s="1"/>
  <c r="AF323" i="16"/>
  <c r="AE323" i="16" s="1"/>
  <c r="AF413" i="25"/>
  <c r="AE413" i="25" s="1"/>
  <c r="AF443" i="25"/>
  <c r="AE443" i="25" s="1"/>
  <c r="AF413" i="16"/>
  <c r="AE413" i="16" s="1"/>
  <c r="AF503" i="16"/>
  <c r="AE503" i="16" s="1"/>
  <c r="AF473" i="25"/>
  <c r="AE473" i="25" s="1"/>
  <c r="AF383" i="25"/>
  <c r="AE383" i="25" s="1"/>
  <c r="AF503" i="25"/>
  <c r="AE503" i="25" s="1"/>
  <c r="AF263" i="16"/>
  <c r="AE263" i="16" s="1"/>
  <c r="AF283" i="16"/>
  <c r="AE283" i="16" s="1"/>
  <c r="AF13" i="16"/>
  <c r="AE13" i="16" s="1"/>
  <c r="AF73" i="16"/>
  <c r="AE73" i="16" s="1"/>
  <c r="AF133" i="16"/>
  <c r="AE133" i="16" s="1"/>
  <c r="AF193" i="16"/>
  <c r="AE193" i="16" s="1"/>
  <c r="AF343" i="16"/>
  <c r="AE343" i="16" s="1"/>
  <c r="AF403" i="16"/>
  <c r="AE403" i="16" s="1"/>
  <c r="AF43" i="25"/>
  <c r="AE43" i="25" s="1"/>
  <c r="AF253" i="16"/>
  <c r="AE253" i="16" s="1"/>
  <c r="AF493" i="16"/>
  <c r="AE493" i="16" s="1"/>
  <c r="AF313" i="16"/>
  <c r="AE313" i="16" s="1"/>
  <c r="AF463" i="16"/>
  <c r="AE463" i="16" s="1"/>
  <c r="AF433" i="16"/>
  <c r="AE433" i="16" s="1"/>
  <c r="AF223" i="16"/>
  <c r="AE223" i="16" s="1"/>
  <c r="AF283" i="25"/>
  <c r="AE283" i="25" s="1"/>
  <c r="AF403" i="25"/>
  <c r="AE403" i="25" s="1"/>
  <c r="AF463" i="25"/>
  <c r="AE463" i="25" s="1"/>
  <c r="AF103" i="16"/>
  <c r="AE103" i="16" s="1"/>
  <c r="AF163" i="16"/>
  <c r="AE163" i="16" s="1"/>
  <c r="AF103" i="25"/>
  <c r="AE103" i="25" s="1"/>
  <c r="AF163" i="25"/>
  <c r="AE163" i="25" s="1"/>
  <c r="AF313" i="25"/>
  <c r="AE313" i="25" s="1"/>
  <c r="AF373" i="16"/>
  <c r="AE373" i="16" s="1"/>
  <c r="AF253" i="25"/>
  <c r="AE253" i="25" s="1"/>
  <c r="AF433" i="25"/>
  <c r="AE433" i="25" s="1"/>
  <c r="AF493" i="25"/>
  <c r="AE493" i="25" s="1"/>
  <c r="AF43" i="16"/>
  <c r="AE43" i="16" s="1"/>
  <c r="AF13" i="25"/>
  <c r="AE13" i="25" s="1"/>
  <c r="AF223" i="25"/>
  <c r="AE223" i="25" s="1"/>
  <c r="AF343" i="25"/>
  <c r="AE343" i="25" s="1"/>
  <c r="AF373" i="25"/>
  <c r="AE373" i="25" s="1"/>
  <c r="AF133" i="25"/>
  <c r="AE133" i="25" s="1"/>
  <c r="AF193" i="25"/>
  <c r="AE193" i="25" s="1"/>
  <c r="AF73" i="25"/>
  <c r="AE73" i="25" s="1"/>
  <c r="AF217" i="16"/>
  <c r="AE217" i="16" s="1"/>
  <c r="AF367" i="16"/>
  <c r="AE367" i="16" s="1"/>
  <c r="AF7" i="25"/>
  <c r="AE7" i="25" s="1"/>
  <c r="AF67" i="25"/>
  <c r="AE67" i="25" s="1"/>
  <c r="AF127" i="25"/>
  <c r="AE127" i="25" s="1"/>
  <c r="AF187" i="25"/>
  <c r="AE187" i="25" s="1"/>
  <c r="AF247" i="25"/>
  <c r="AE247" i="25" s="1"/>
  <c r="AF307" i="25"/>
  <c r="AE307" i="25" s="1"/>
  <c r="AF367" i="25"/>
  <c r="AE367" i="25" s="1"/>
  <c r="AF427" i="16"/>
  <c r="AE427" i="16" s="1"/>
  <c r="AF277" i="16"/>
  <c r="AE277" i="16" s="1"/>
  <c r="AF7" i="16"/>
  <c r="AE7" i="16" s="1"/>
  <c r="AF67" i="16"/>
  <c r="AE67" i="16" s="1"/>
  <c r="AF127" i="16"/>
  <c r="AE127" i="16" s="1"/>
  <c r="AF187" i="16"/>
  <c r="AE187" i="16" s="1"/>
  <c r="AF337" i="16"/>
  <c r="AE337" i="16" s="1"/>
  <c r="AF397" i="16"/>
  <c r="AE397" i="16" s="1"/>
  <c r="AF487" i="16"/>
  <c r="AE487" i="16" s="1"/>
  <c r="AF37" i="25"/>
  <c r="AE37" i="25" s="1"/>
  <c r="AF97" i="25"/>
  <c r="AE97" i="25" s="1"/>
  <c r="AF157" i="25"/>
  <c r="AE157" i="25" s="1"/>
  <c r="AF217" i="25"/>
  <c r="AE217" i="25" s="1"/>
  <c r="AF277" i="25"/>
  <c r="AE277" i="25" s="1"/>
  <c r="AF337" i="25"/>
  <c r="AE337" i="25" s="1"/>
  <c r="AF37" i="16"/>
  <c r="AE37" i="16" s="1"/>
  <c r="AF97" i="16"/>
  <c r="AE97" i="16" s="1"/>
  <c r="AF157" i="16"/>
  <c r="AE157" i="16" s="1"/>
  <c r="AF397" i="25"/>
  <c r="AE397" i="25" s="1"/>
  <c r="AF457" i="16"/>
  <c r="AE457" i="16" s="1"/>
  <c r="AF457" i="25"/>
  <c r="AE457" i="25" s="1"/>
  <c r="AF487" i="25"/>
  <c r="AE487" i="25" s="1"/>
  <c r="AF247" i="16"/>
  <c r="AE247" i="16" s="1"/>
  <c r="AF427" i="25"/>
  <c r="AE427" i="25" s="1"/>
  <c r="AF307" i="16"/>
  <c r="AE307" i="16" s="1"/>
  <c r="AF225" i="16"/>
  <c r="AE225" i="16" s="1"/>
  <c r="AF375" i="16"/>
  <c r="AE375" i="16" s="1"/>
  <c r="AF15" i="25"/>
  <c r="AE15" i="25" s="1"/>
  <c r="AF75" i="25"/>
  <c r="AE75" i="25" s="1"/>
  <c r="AF135" i="25"/>
  <c r="AE135" i="25" s="1"/>
  <c r="AF195" i="25"/>
  <c r="AE195" i="25" s="1"/>
  <c r="AF255" i="25"/>
  <c r="AE255" i="25" s="1"/>
  <c r="AF315" i="25"/>
  <c r="AE315" i="25" s="1"/>
  <c r="AF435" i="16"/>
  <c r="AE435" i="16" s="1"/>
  <c r="AF285" i="16"/>
  <c r="AE285" i="16" s="1"/>
  <c r="AF15" i="16"/>
  <c r="AE15" i="16" s="1"/>
  <c r="AF75" i="16"/>
  <c r="AE75" i="16" s="1"/>
  <c r="AF135" i="16"/>
  <c r="AE135" i="16" s="1"/>
  <c r="AF195" i="16"/>
  <c r="AE195" i="16" s="1"/>
  <c r="AF345" i="16"/>
  <c r="AE345" i="16" s="1"/>
  <c r="AF45" i="25"/>
  <c r="AE45" i="25" s="1"/>
  <c r="AF105" i="25"/>
  <c r="AE105" i="25" s="1"/>
  <c r="AF165" i="25"/>
  <c r="AE165" i="25" s="1"/>
  <c r="AF225" i="25"/>
  <c r="AE225" i="25" s="1"/>
  <c r="AF285" i="25"/>
  <c r="AE285" i="25" s="1"/>
  <c r="AF345" i="25"/>
  <c r="AE345" i="25" s="1"/>
  <c r="AF45" i="16"/>
  <c r="AE45" i="16" s="1"/>
  <c r="AF105" i="16"/>
  <c r="AE105" i="16" s="1"/>
  <c r="AF165" i="16"/>
  <c r="AE165" i="16" s="1"/>
  <c r="AF465" i="16"/>
  <c r="AE465" i="16" s="1"/>
  <c r="AF495" i="16"/>
  <c r="AE495" i="16" s="1"/>
  <c r="AF495" i="25"/>
  <c r="AE495" i="25" s="1"/>
  <c r="AF315" i="16"/>
  <c r="AE315" i="16" s="1"/>
  <c r="AF465" i="25"/>
  <c r="AE465" i="25" s="1"/>
  <c r="AF375" i="25"/>
  <c r="AE375" i="25" s="1"/>
  <c r="AF405" i="25"/>
  <c r="AE405" i="25" s="1"/>
  <c r="AF435" i="25"/>
  <c r="AE435" i="25" s="1"/>
  <c r="AF255" i="16"/>
  <c r="AE255" i="16" s="1"/>
  <c r="AF405" i="16"/>
  <c r="AE405" i="16" s="1"/>
  <c r="AF38" i="16"/>
  <c r="AE38" i="16" s="1"/>
  <c r="AF98" i="16"/>
  <c r="AE98" i="16" s="1"/>
  <c r="AF158" i="16"/>
  <c r="AE158" i="16" s="1"/>
  <c r="AF218" i="16"/>
  <c r="AE218" i="16" s="1"/>
  <c r="AF368" i="16"/>
  <c r="AE368" i="16" s="1"/>
  <c r="AF8" i="25"/>
  <c r="AE8" i="25" s="1"/>
  <c r="AF428" i="16"/>
  <c r="AE428" i="16" s="1"/>
  <c r="AF278" i="16"/>
  <c r="AE278" i="16" s="1"/>
  <c r="AF8" i="16"/>
  <c r="AE8" i="16" s="1"/>
  <c r="AF68" i="16"/>
  <c r="AE68" i="16" s="1"/>
  <c r="AF128" i="16"/>
  <c r="AE128" i="16" s="1"/>
  <c r="AF188" i="16"/>
  <c r="AE188" i="16" s="1"/>
  <c r="AF338" i="16"/>
  <c r="AE338" i="16" s="1"/>
  <c r="AF308" i="16"/>
  <c r="AE308" i="16" s="1"/>
  <c r="AF458" i="16"/>
  <c r="AE458" i="16" s="1"/>
  <c r="AF218" i="25"/>
  <c r="AE218" i="25" s="1"/>
  <c r="AF338" i="25"/>
  <c r="AE338" i="25" s="1"/>
  <c r="AF128" i="25"/>
  <c r="AE128" i="25" s="1"/>
  <c r="AF188" i="25"/>
  <c r="AE188" i="25" s="1"/>
  <c r="AF308" i="25"/>
  <c r="AE308" i="25" s="1"/>
  <c r="AF158" i="25"/>
  <c r="AE158" i="25" s="1"/>
  <c r="AF38" i="25"/>
  <c r="AE38" i="25" s="1"/>
  <c r="AF398" i="25"/>
  <c r="AE398" i="25" s="1"/>
  <c r="AF458" i="25"/>
  <c r="AE458" i="25" s="1"/>
  <c r="AF248" i="16"/>
  <c r="AE248" i="16" s="1"/>
  <c r="AF68" i="25"/>
  <c r="AE68" i="25" s="1"/>
  <c r="AF278" i="25"/>
  <c r="AE278" i="25" s="1"/>
  <c r="AF98" i="25"/>
  <c r="AE98" i="25" s="1"/>
  <c r="AF398" i="16"/>
  <c r="AE398" i="16" s="1"/>
  <c r="AF368" i="25"/>
  <c r="AE368" i="25" s="1"/>
  <c r="AF428" i="25"/>
  <c r="AE428" i="25" s="1"/>
  <c r="AF488" i="25"/>
  <c r="AE488" i="25" s="1"/>
  <c r="AF488" i="16"/>
  <c r="AE488" i="16" s="1"/>
  <c r="AF248" i="25"/>
  <c r="AE248" i="25" s="1"/>
  <c r="AF46" i="16"/>
  <c r="AE46" i="16" s="1"/>
  <c r="AF106" i="16"/>
  <c r="AE106" i="16" s="1"/>
  <c r="AF166" i="16"/>
  <c r="AE166" i="16" s="1"/>
  <c r="AF466" i="16"/>
  <c r="AE466" i="16" s="1"/>
  <c r="AF226" i="16"/>
  <c r="AE226" i="16" s="1"/>
  <c r="AF376" i="16"/>
  <c r="AE376" i="16" s="1"/>
  <c r="AF16" i="25"/>
  <c r="AE16" i="25" s="1"/>
  <c r="AF436" i="16"/>
  <c r="AE436" i="16" s="1"/>
  <c r="AF286" i="16"/>
  <c r="AE286" i="16" s="1"/>
  <c r="AF16" i="16"/>
  <c r="AE16" i="16" s="1"/>
  <c r="AF76" i="16"/>
  <c r="AE76" i="16" s="1"/>
  <c r="AF136" i="16"/>
  <c r="AE136" i="16" s="1"/>
  <c r="AF196" i="16"/>
  <c r="AE196" i="16" s="1"/>
  <c r="AF346" i="16"/>
  <c r="AE346" i="16" s="1"/>
  <c r="AF316" i="16"/>
  <c r="AE316" i="16" s="1"/>
  <c r="AF406" i="16"/>
  <c r="AE406" i="16" s="1"/>
  <c r="AF76" i="25"/>
  <c r="AE76" i="25" s="1"/>
  <c r="AF196" i="25"/>
  <c r="AE196" i="25" s="1"/>
  <c r="AF316" i="25"/>
  <c r="AE316" i="25" s="1"/>
  <c r="AF256" i="16"/>
  <c r="AE256" i="16" s="1"/>
  <c r="AF496" i="16"/>
  <c r="AE496" i="16" s="1"/>
  <c r="AF226" i="25"/>
  <c r="AE226" i="25" s="1"/>
  <c r="AF286" i="25"/>
  <c r="AE286" i="25" s="1"/>
  <c r="AF106" i="25"/>
  <c r="AE106" i="25" s="1"/>
  <c r="AF166" i="25"/>
  <c r="AE166" i="25" s="1"/>
  <c r="AF406" i="25"/>
  <c r="AE406" i="25" s="1"/>
  <c r="AF466" i="25"/>
  <c r="AE466" i="25" s="1"/>
  <c r="AF346" i="25"/>
  <c r="AE346" i="25" s="1"/>
  <c r="AF256" i="25"/>
  <c r="AE256" i="25" s="1"/>
  <c r="AF46" i="25"/>
  <c r="AE46" i="25" s="1"/>
  <c r="AF136" i="25"/>
  <c r="AE136" i="25" s="1"/>
  <c r="AF376" i="25"/>
  <c r="AE376" i="25" s="1"/>
  <c r="AF436" i="25"/>
  <c r="AE436" i="25" s="1"/>
  <c r="AF496" i="25"/>
  <c r="AE496" i="25" s="1"/>
  <c r="AF54" i="16"/>
  <c r="AE54" i="16" s="1"/>
  <c r="AF114" i="16"/>
  <c r="AE114" i="16" s="1"/>
  <c r="AF174" i="16"/>
  <c r="AE174" i="16" s="1"/>
  <c r="AF324" i="16"/>
  <c r="AE324" i="16" s="1"/>
  <c r="AF384" i="16"/>
  <c r="AE384" i="16" s="1"/>
  <c r="AF474" i="16"/>
  <c r="AE474" i="16" s="1"/>
  <c r="AF234" i="16"/>
  <c r="AE234" i="16" s="1"/>
  <c r="AF294" i="16"/>
  <c r="AE294" i="16" s="1"/>
  <c r="AF444" i="16"/>
  <c r="AE444" i="16" s="1"/>
  <c r="AF24" i="16"/>
  <c r="AE24" i="16" s="1"/>
  <c r="AF84" i="16"/>
  <c r="AE84" i="16" s="1"/>
  <c r="AF144" i="16"/>
  <c r="AE144" i="16" s="1"/>
  <c r="AF204" i="16"/>
  <c r="AE204" i="16" s="1"/>
  <c r="AF354" i="16"/>
  <c r="AE354" i="16" s="1"/>
  <c r="AF264" i="16"/>
  <c r="AE264" i="16" s="1"/>
  <c r="AF114" i="25"/>
  <c r="AE114" i="25" s="1"/>
  <c r="AF174" i="25"/>
  <c r="AE174" i="25" s="1"/>
  <c r="AF294" i="25"/>
  <c r="AE294" i="25" s="1"/>
  <c r="AF24" i="25"/>
  <c r="AE24" i="25" s="1"/>
  <c r="AF414" i="16"/>
  <c r="AE414" i="16" s="1"/>
  <c r="AF54" i="25"/>
  <c r="AE54" i="25" s="1"/>
  <c r="AF264" i="25"/>
  <c r="AE264" i="25" s="1"/>
  <c r="AF504" i="16"/>
  <c r="AE504" i="16" s="1"/>
  <c r="AF414" i="25"/>
  <c r="AE414" i="25" s="1"/>
  <c r="AF474" i="25"/>
  <c r="AE474" i="25" s="1"/>
  <c r="AF354" i="25"/>
  <c r="AE354" i="25" s="1"/>
  <c r="AF84" i="25"/>
  <c r="AE84" i="25" s="1"/>
  <c r="AF144" i="25"/>
  <c r="AE144" i="25" s="1"/>
  <c r="AF234" i="25"/>
  <c r="AE234" i="25" s="1"/>
  <c r="AF324" i="25"/>
  <c r="AE324" i="25" s="1"/>
  <c r="AF384" i="25"/>
  <c r="AE384" i="25" s="1"/>
  <c r="AF444" i="25"/>
  <c r="AE444" i="25" s="1"/>
  <c r="AF504" i="25"/>
  <c r="AE504" i="25" s="1"/>
  <c r="AF204" i="25"/>
  <c r="AE204" i="25" s="1"/>
  <c r="AF401" i="16"/>
  <c r="AE401" i="16" s="1"/>
  <c r="AF41" i="25"/>
  <c r="AE41" i="25" s="1"/>
  <c r="AF101" i="25"/>
  <c r="AE101" i="25" s="1"/>
  <c r="AF161" i="25"/>
  <c r="AE161" i="25" s="1"/>
  <c r="AF221" i="25"/>
  <c r="AE221" i="25" s="1"/>
  <c r="AF281" i="25"/>
  <c r="AE281" i="25" s="1"/>
  <c r="AF341" i="25"/>
  <c r="AE341" i="25" s="1"/>
  <c r="AF251" i="16"/>
  <c r="AE251" i="16" s="1"/>
  <c r="AF491" i="16"/>
  <c r="AE491" i="16" s="1"/>
  <c r="AF311" i="16"/>
  <c r="AE311" i="16" s="1"/>
  <c r="AF461" i="16"/>
  <c r="AE461" i="16" s="1"/>
  <c r="AF41" i="16"/>
  <c r="AE41" i="16" s="1"/>
  <c r="AF101" i="16"/>
  <c r="AE101" i="16" s="1"/>
  <c r="AF161" i="16"/>
  <c r="AE161" i="16" s="1"/>
  <c r="AF221" i="16"/>
  <c r="AE221" i="16" s="1"/>
  <c r="AF371" i="16"/>
  <c r="AE371" i="16" s="1"/>
  <c r="AF11" i="25"/>
  <c r="AE11" i="25" s="1"/>
  <c r="AF71" i="25"/>
  <c r="AE71" i="25" s="1"/>
  <c r="AF131" i="25"/>
  <c r="AE131" i="25" s="1"/>
  <c r="AF191" i="25"/>
  <c r="AE191" i="25" s="1"/>
  <c r="AF251" i="25"/>
  <c r="AE251" i="25" s="1"/>
  <c r="AF311" i="25"/>
  <c r="AE311" i="25" s="1"/>
  <c r="AF11" i="16"/>
  <c r="AE11" i="16" s="1"/>
  <c r="AF71" i="16"/>
  <c r="AE71" i="16" s="1"/>
  <c r="AF131" i="16"/>
  <c r="AE131" i="16" s="1"/>
  <c r="AF191" i="16"/>
  <c r="AE191" i="16" s="1"/>
  <c r="AF341" i="16"/>
  <c r="AE341" i="16" s="1"/>
  <c r="AF431" i="25"/>
  <c r="AE431" i="25" s="1"/>
  <c r="AF491" i="25"/>
  <c r="AE491" i="25" s="1"/>
  <c r="AF461" i="25"/>
  <c r="AE461" i="25" s="1"/>
  <c r="AF371" i="25"/>
  <c r="AE371" i="25" s="1"/>
  <c r="AF281" i="16"/>
  <c r="AE281" i="16" s="1"/>
  <c r="AF431" i="16"/>
  <c r="AE431" i="16" s="1"/>
  <c r="AF401" i="25"/>
  <c r="AE401" i="25" s="1"/>
  <c r="AF317" i="16"/>
  <c r="AE317" i="16" s="1"/>
  <c r="AF47" i="16"/>
  <c r="AE47" i="16" s="1"/>
  <c r="AF107" i="16"/>
  <c r="AE107" i="16" s="1"/>
  <c r="AF167" i="16"/>
  <c r="AE167" i="16" s="1"/>
  <c r="AF227" i="16"/>
  <c r="AE227" i="16" s="1"/>
  <c r="AF377" i="16"/>
  <c r="AE377" i="16" s="1"/>
  <c r="AF467" i="16"/>
  <c r="AE467" i="16" s="1"/>
  <c r="AF17" i="25"/>
  <c r="AE17" i="25" s="1"/>
  <c r="AF77" i="25"/>
  <c r="AE77" i="25" s="1"/>
  <c r="AF437" i="16"/>
  <c r="AE437" i="16" s="1"/>
  <c r="AF287" i="16"/>
  <c r="AE287" i="16" s="1"/>
  <c r="AF257" i="16"/>
  <c r="AE257" i="16" s="1"/>
  <c r="AF407" i="16"/>
  <c r="AE407" i="16" s="1"/>
  <c r="AF497" i="16"/>
  <c r="AE497" i="16" s="1"/>
  <c r="AF137" i="25"/>
  <c r="AE137" i="25" s="1"/>
  <c r="AF377" i="25"/>
  <c r="AE377" i="25" s="1"/>
  <c r="AF437" i="25"/>
  <c r="AE437" i="25" s="1"/>
  <c r="AF497" i="25"/>
  <c r="AE497" i="25" s="1"/>
  <c r="AF197" i="25"/>
  <c r="AE197" i="25" s="1"/>
  <c r="AF317" i="25"/>
  <c r="AE317" i="25" s="1"/>
  <c r="AF287" i="25"/>
  <c r="AE287" i="25" s="1"/>
  <c r="AF407" i="25"/>
  <c r="AE407" i="25" s="1"/>
  <c r="AF347" i="16"/>
  <c r="AE347" i="16" s="1"/>
  <c r="AF17" i="16"/>
  <c r="AE17" i="16" s="1"/>
  <c r="AF77" i="16"/>
  <c r="AE77" i="16" s="1"/>
  <c r="AF137" i="16"/>
  <c r="AE137" i="16" s="1"/>
  <c r="AF197" i="16"/>
  <c r="AE197" i="16" s="1"/>
  <c r="AF107" i="25"/>
  <c r="AE107" i="25" s="1"/>
  <c r="AF167" i="25"/>
  <c r="AE167" i="25" s="1"/>
  <c r="AF467" i="25"/>
  <c r="AE467" i="25" s="1"/>
  <c r="AF257" i="25"/>
  <c r="AE257" i="25" s="1"/>
  <c r="AF47" i="25"/>
  <c r="AE47" i="25" s="1"/>
  <c r="AF227" i="25"/>
  <c r="AE227" i="25" s="1"/>
  <c r="AF347" i="25"/>
  <c r="AE347" i="25" s="1"/>
  <c r="AF3" i="25"/>
  <c r="AF49" i="25"/>
  <c r="AE49" i="25" s="1"/>
  <c r="AF109" i="25"/>
  <c r="AE109" i="25" s="1"/>
  <c r="AF169" i="25"/>
  <c r="AE169" i="25" s="1"/>
  <c r="AF229" i="25"/>
  <c r="AE229" i="25" s="1"/>
  <c r="AF289" i="25"/>
  <c r="AE289" i="25" s="1"/>
  <c r="AF349" i="25"/>
  <c r="AE349" i="25" s="1"/>
  <c r="AF259" i="16"/>
  <c r="AE259" i="16" s="1"/>
  <c r="AF409" i="16"/>
  <c r="AE409" i="16" s="1"/>
  <c r="AF499" i="16"/>
  <c r="AE499" i="16" s="1"/>
  <c r="AF319" i="16"/>
  <c r="AE319" i="16" s="1"/>
  <c r="AF49" i="16"/>
  <c r="AE49" i="16" s="1"/>
  <c r="AF109" i="16"/>
  <c r="AE109" i="16" s="1"/>
  <c r="AF169" i="16"/>
  <c r="AE169" i="16" s="1"/>
  <c r="AF379" i="16"/>
  <c r="AE379" i="16" s="1"/>
  <c r="AF469" i="16"/>
  <c r="AE469" i="16" s="1"/>
  <c r="AF19" i="25"/>
  <c r="AE19" i="25" s="1"/>
  <c r="AF79" i="25"/>
  <c r="AE79" i="25" s="1"/>
  <c r="AF139" i="25"/>
  <c r="AE139" i="25" s="1"/>
  <c r="AF199" i="25"/>
  <c r="AE199" i="25" s="1"/>
  <c r="AF259" i="25"/>
  <c r="AE259" i="25" s="1"/>
  <c r="AF319" i="25"/>
  <c r="AE319" i="25" s="1"/>
  <c r="AF19" i="16"/>
  <c r="AE19" i="16" s="1"/>
  <c r="AF79" i="16"/>
  <c r="AE79" i="16" s="1"/>
  <c r="AF139" i="16"/>
  <c r="AE139" i="16" s="1"/>
  <c r="AF199" i="16"/>
  <c r="AE199" i="16" s="1"/>
  <c r="AF349" i="16"/>
  <c r="AE349" i="16" s="1"/>
  <c r="AF499" i="25"/>
  <c r="AE499" i="25" s="1"/>
  <c r="AF229" i="16"/>
  <c r="AE229" i="16" s="1"/>
  <c r="AF409" i="25"/>
  <c r="AE409" i="25" s="1"/>
  <c r="AF379" i="25"/>
  <c r="AE379" i="25" s="1"/>
  <c r="AF439" i="25"/>
  <c r="AE439" i="25" s="1"/>
  <c r="AF469" i="25"/>
  <c r="AE469" i="25" s="1"/>
  <c r="AF439" i="16"/>
  <c r="AE439" i="16" s="1"/>
  <c r="AF289" i="16"/>
  <c r="AE289" i="16" s="1"/>
  <c r="AF4" i="16"/>
  <c r="AE4" i="16" s="1"/>
  <c r="AF64" i="16"/>
  <c r="AE64" i="16" s="1"/>
  <c r="AF124" i="16"/>
  <c r="AE124" i="16" s="1"/>
  <c r="AF184" i="16"/>
  <c r="AE184" i="16" s="1"/>
  <c r="AF334" i="16"/>
  <c r="AE334" i="16" s="1"/>
  <c r="AF394" i="16"/>
  <c r="AE394" i="16" s="1"/>
  <c r="AF484" i="16"/>
  <c r="AE484" i="16" s="1"/>
  <c r="AF244" i="16"/>
  <c r="AE244" i="16" s="1"/>
  <c r="AF304" i="16"/>
  <c r="AE304" i="16" s="1"/>
  <c r="AF454" i="16"/>
  <c r="AE454" i="16" s="1"/>
  <c r="AF34" i="16"/>
  <c r="AE34" i="16" s="1"/>
  <c r="AF94" i="16"/>
  <c r="AE94" i="16" s="1"/>
  <c r="AF154" i="16"/>
  <c r="AE154" i="16" s="1"/>
  <c r="AF214" i="16"/>
  <c r="AE214" i="16" s="1"/>
  <c r="AF364" i="16"/>
  <c r="AE364" i="16" s="1"/>
  <c r="AF274" i="16"/>
  <c r="AE274" i="16" s="1"/>
  <c r="AF34" i="25"/>
  <c r="AE34" i="25" s="1"/>
  <c r="AF64" i="25"/>
  <c r="AE64" i="25" s="1"/>
  <c r="AF274" i="25"/>
  <c r="AE274" i="25" s="1"/>
  <c r="AF424" i="16"/>
  <c r="AE424" i="16" s="1"/>
  <c r="AF4" i="25"/>
  <c r="AE4" i="25" s="1"/>
  <c r="AF94" i="25"/>
  <c r="AE94" i="25" s="1"/>
  <c r="AF154" i="25"/>
  <c r="AE154" i="25" s="1"/>
  <c r="AF244" i="25"/>
  <c r="AE244" i="25" s="1"/>
  <c r="AF424" i="25"/>
  <c r="AE424" i="25" s="1"/>
  <c r="AF484" i="25"/>
  <c r="AE484" i="25" s="1"/>
  <c r="AF364" i="25"/>
  <c r="AE364" i="25" s="1"/>
  <c r="AF214" i="25"/>
  <c r="AE214" i="25" s="1"/>
  <c r="AF334" i="25"/>
  <c r="AE334" i="25" s="1"/>
  <c r="AF124" i="25"/>
  <c r="AE124" i="25" s="1"/>
  <c r="AF184" i="25"/>
  <c r="AE184" i="25" s="1"/>
  <c r="AF304" i="25"/>
  <c r="AE304" i="25" s="1"/>
  <c r="AF394" i="25"/>
  <c r="AE394" i="25" s="1"/>
  <c r="AF454" i="25"/>
  <c r="AE454" i="25" s="1"/>
  <c r="AF309" i="16"/>
  <c r="AE309" i="16" s="1"/>
  <c r="AF459" i="16"/>
  <c r="AE459" i="16" s="1"/>
  <c r="AF39" i="16"/>
  <c r="AE39" i="16" s="1"/>
  <c r="AF99" i="16"/>
  <c r="AE99" i="16" s="1"/>
  <c r="AF159" i="16"/>
  <c r="AE159" i="16" s="1"/>
  <c r="AF219" i="16"/>
  <c r="AE219" i="16" s="1"/>
  <c r="AF369" i="16"/>
  <c r="AE369" i="16" s="1"/>
  <c r="AF9" i="25"/>
  <c r="AE9" i="25" s="1"/>
  <c r="AF69" i="25"/>
  <c r="AE69" i="25" s="1"/>
  <c r="AF429" i="16"/>
  <c r="AE429" i="16" s="1"/>
  <c r="AF279" i="16"/>
  <c r="AE279" i="16" s="1"/>
  <c r="AF249" i="16"/>
  <c r="AE249" i="16" s="1"/>
  <c r="AF369" i="25"/>
  <c r="AE369" i="25" s="1"/>
  <c r="AF429" i="25"/>
  <c r="AE429" i="25" s="1"/>
  <c r="AF489" i="25"/>
  <c r="AE489" i="25" s="1"/>
  <c r="AF219" i="25"/>
  <c r="AE219" i="25" s="1"/>
  <c r="AF339" i="25"/>
  <c r="AE339" i="25" s="1"/>
  <c r="AF399" i="16"/>
  <c r="AE399" i="16" s="1"/>
  <c r="AF9" i="16"/>
  <c r="AE9" i="16" s="1"/>
  <c r="AF69" i="16"/>
  <c r="AE69" i="16" s="1"/>
  <c r="AF129" i="16"/>
  <c r="AE129" i="16" s="1"/>
  <c r="AF189" i="16"/>
  <c r="AE189" i="16" s="1"/>
  <c r="AF129" i="25"/>
  <c r="AE129" i="25" s="1"/>
  <c r="AF189" i="25"/>
  <c r="AE189" i="25" s="1"/>
  <c r="AF309" i="25"/>
  <c r="AE309" i="25" s="1"/>
  <c r="AF399" i="25"/>
  <c r="AE399" i="25" s="1"/>
  <c r="AF339" i="16"/>
  <c r="AE339" i="16" s="1"/>
  <c r="AF39" i="25"/>
  <c r="AE39" i="25" s="1"/>
  <c r="AF459" i="25"/>
  <c r="AE459" i="25" s="1"/>
  <c r="AF279" i="25"/>
  <c r="AE279" i="25" s="1"/>
  <c r="AF489" i="16"/>
  <c r="AE489" i="16" s="1"/>
  <c r="AF99" i="25"/>
  <c r="AE99" i="25" s="1"/>
  <c r="AF159" i="25"/>
  <c r="AE159" i="25" s="1"/>
  <c r="AF249" i="25"/>
  <c r="AE249" i="25" s="1"/>
  <c r="AF250" i="16"/>
  <c r="AE250" i="16" s="1"/>
  <c r="AF310" i="16"/>
  <c r="AE310" i="16" s="1"/>
  <c r="AF460" i="16"/>
  <c r="AE460" i="16" s="1"/>
  <c r="AF40" i="16"/>
  <c r="AE40" i="16" s="1"/>
  <c r="AF100" i="16"/>
  <c r="AE100" i="16" s="1"/>
  <c r="AF160" i="16"/>
  <c r="AE160" i="16" s="1"/>
  <c r="AF220" i="16"/>
  <c r="AE220" i="16" s="1"/>
  <c r="AF370" i="16"/>
  <c r="AE370" i="16" s="1"/>
  <c r="AF10" i="25"/>
  <c r="AE10" i="25" s="1"/>
  <c r="AF430" i="16"/>
  <c r="AE430" i="16" s="1"/>
  <c r="AF400" i="16"/>
  <c r="AE400" i="16" s="1"/>
  <c r="AF490" i="16"/>
  <c r="AE490" i="16" s="1"/>
  <c r="AF40" i="25"/>
  <c r="AE40" i="25" s="1"/>
  <c r="AF100" i="25"/>
  <c r="AE100" i="25" s="1"/>
  <c r="AF160" i="25"/>
  <c r="AE160" i="25" s="1"/>
  <c r="AF250" i="25"/>
  <c r="AE250" i="25" s="1"/>
  <c r="AF490" i="25"/>
  <c r="AE490" i="25" s="1"/>
  <c r="AF370" i="25"/>
  <c r="AE370" i="25" s="1"/>
  <c r="AF430" i="25"/>
  <c r="AE430" i="25" s="1"/>
  <c r="AF220" i="25"/>
  <c r="AE220" i="25" s="1"/>
  <c r="AF340" i="25"/>
  <c r="AE340" i="25" s="1"/>
  <c r="AF10" i="16"/>
  <c r="AE10" i="16" s="1"/>
  <c r="AF70" i="16"/>
  <c r="AE70" i="16" s="1"/>
  <c r="AF130" i="16"/>
  <c r="AE130" i="16" s="1"/>
  <c r="AF190" i="16"/>
  <c r="AE190" i="16" s="1"/>
  <c r="AF280" i="16"/>
  <c r="AE280" i="16" s="1"/>
  <c r="AF280" i="25"/>
  <c r="AE280" i="25" s="1"/>
  <c r="AF130" i="25"/>
  <c r="AE130" i="25" s="1"/>
  <c r="AF190" i="25"/>
  <c r="AE190" i="25" s="1"/>
  <c r="AF310" i="25"/>
  <c r="AE310" i="25" s="1"/>
  <c r="AF340" i="16"/>
  <c r="AE340" i="16" s="1"/>
  <c r="AF70" i="25"/>
  <c r="AE70" i="25" s="1"/>
  <c r="AF400" i="25"/>
  <c r="AE400" i="25" s="1"/>
  <c r="AF460" i="25"/>
  <c r="AE460" i="25" s="1"/>
  <c r="AF258" i="16"/>
  <c r="AE258" i="16" s="1"/>
  <c r="AF408" i="16"/>
  <c r="AE408" i="16" s="1"/>
  <c r="AF498" i="16"/>
  <c r="AE498" i="16" s="1"/>
  <c r="AF318" i="16"/>
  <c r="AE318" i="16" s="1"/>
  <c r="AF48" i="16"/>
  <c r="AE48" i="16" s="1"/>
  <c r="AF108" i="16"/>
  <c r="AE108" i="16" s="1"/>
  <c r="AF168" i="16"/>
  <c r="AE168" i="16" s="1"/>
  <c r="AF228" i="16"/>
  <c r="AE228" i="16" s="1"/>
  <c r="AF378" i="16"/>
  <c r="AE378" i="16" s="1"/>
  <c r="AF468" i="16"/>
  <c r="AE468" i="16" s="1"/>
  <c r="AF18" i="25"/>
  <c r="AE18" i="25" s="1"/>
  <c r="AF438" i="16"/>
  <c r="AE438" i="16" s="1"/>
  <c r="AF48" i="25"/>
  <c r="AE48" i="25" s="1"/>
  <c r="AF108" i="25"/>
  <c r="AE108" i="25" s="1"/>
  <c r="AF168" i="25"/>
  <c r="AE168" i="25" s="1"/>
  <c r="AF228" i="25"/>
  <c r="AE228" i="25" s="1"/>
  <c r="AF348" i="25"/>
  <c r="AE348" i="25" s="1"/>
  <c r="AF498" i="25"/>
  <c r="AE498" i="25" s="1"/>
  <c r="AF78" i="25"/>
  <c r="AE78" i="25" s="1"/>
  <c r="AF138" i="25"/>
  <c r="AE138" i="25" s="1"/>
  <c r="AF378" i="25"/>
  <c r="AE378" i="25" s="1"/>
  <c r="AF438" i="25"/>
  <c r="AE438" i="25" s="1"/>
  <c r="AF258" i="25"/>
  <c r="AE258" i="25" s="1"/>
  <c r="AF198" i="25"/>
  <c r="AE198" i="25" s="1"/>
  <c r="AF318" i="25"/>
  <c r="AE318" i="25" s="1"/>
  <c r="AF468" i="25"/>
  <c r="AE468" i="25" s="1"/>
  <c r="AF288" i="25"/>
  <c r="AE288" i="25" s="1"/>
  <c r="AF18" i="16"/>
  <c r="AE18" i="16" s="1"/>
  <c r="AF78" i="16"/>
  <c r="AE78" i="16" s="1"/>
  <c r="AF138" i="16"/>
  <c r="AE138" i="16" s="1"/>
  <c r="AF198" i="16"/>
  <c r="AE198" i="16" s="1"/>
  <c r="AF288" i="16"/>
  <c r="AE288" i="16" s="1"/>
  <c r="AF408" i="25"/>
  <c r="AE408" i="25" s="1"/>
  <c r="AF348" i="16"/>
  <c r="AE348" i="16" s="1"/>
  <c r="AF3" i="16"/>
  <c r="AE3" i="16" s="1"/>
  <c r="AF145" i="16"/>
  <c r="AE145" i="16" s="1"/>
  <c r="AF505" i="16"/>
  <c r="AE505" i="16" s="1"/>
  <c r="AF115" i="25"/>
  <c r="AE115" i="25" s="1"/>
  <c r="AF235" i="25"/>
  <c r="AE235" i="25" s="1"/>
  <c r="AF355" i="25"/>
  <c r="AE355" i="25" s="1"/>
  <c r="AF475" i="25"/>
  <c r="AE475" i="25" s="1"/>
  <c r="AF85" i="16"/>
  <c r="AE85" i="16" s="1"/>
  <c r="AF115" i="16"/>
  <c r="AE115" i="16" s="1"/>
  <c r="AF85" i="25"/>
  <c r="AE85" i="25" s="1"/>
  <c r="AF55" i="25"/>
  <c r="AE55" i="25" s="1"/>
  <c r="AF175" i="25"/>
  <c r="AE175" i="25" s="1"/>
  <c r="AF205" i="25"/>
  <c r="AE205" i="25" s="1"/>
  <c r="AF325" i="25"/>
  <c r="AE325" i="25" s="1"/>
  <c r="AF445" i="25"/>
  <c r="AE445" i="25" s="1"/>
  <c r="AF55" i="16"/>
  <c r="AE55" i="16" s="1"/>
  <c r="AF385" i="25"/>
  <c r="AE385" i="25" s="1"/>
  <c r="AF505" i="25"/>
  <c r="AE505" i="25" s="1"/>
  <c r="AF265" i="16"/>
  <c r="AE265" i="16" s="1"/>
  <c r="AF295" i="16"/>
  <c r="AE295" i="16" s="1"/>
  <c r="AF355" i="16"/>
  <c r="AE355" i="16" s="1"/>
  <c r="AF445" i="16"/>
  <c r="AE445" i="16" s="1"/>
  <c r="AF295" i="25"/>
  <c r="AE295" i="25" s="1"/>
  <c r="AF415" i="25"/>
  <c r="AE415" i="25" s="1"/>
  <c r="AF265" i="25"/>
  <c r="AE265" i="25" s="1"/>
  <c r="AF25" i="16"/>
  <c r="AE25" i="16" s="1"/>
  <c r="AF175" i="16"/>
  <c r="AE175" i="16" s="1"/>
  <c r="AF205" i="16"/>
  <c r="AE205" i="16" s="1"/>
  <c r="AF325" i="16"/>
  <c r="AE325" i="16" s="1"/>
  <c r="AF385" i="16"/>
  <c r="AE385" i="16" s="1"/>
  <c r="AF415" i="16"/>
  <c r="AE415" i="16" s="1"/>
  <c r="AF475" i="16"/>
  <c r="AE475" i="16" s="1"/>
  <c r="AF25" i="25"/>
  <c r="AE25" i="25" s="1"/>
  <c r="AF145" i="25"/>
  <c r="AE145" i="25" s="1"/>
  <c r="AF235" i="16"/>
  <c r="AE235" i="16" s="1"/>
  <c r="AF236" i="16"/>
  <c r="AE236" i="16" s="1"/>
  <c r="AF266" i="25"/>
  <c r="AE266" i="25" s="1"/>
  <c r="AF386" i="25"/>
  <c r="AE386" i="25" s="1"/>
  <c r="AF506" i="25"/>
  <c r="AE506" i="25" s="1"/>
  <c r="AF386" i="16"/>
  <c r="AE386" i="16" s="1"/>
  <c r="AF416" i="16"/>
  <c r="AE416" i="16" s="1"/>
  <c r="AF146" i="16"/>
  <c r="AE146" i="16" s="1"/>
  <c r="AF506" i="16"/>
  <c r="AE506" i="16" s="1"/>
  <c r="AF116" i="25"/>
  <c r="AE116" i="25" s="1"/>
  <c r="AF326" i="25"/>
  <c r="AE326" i="25" s="1"/>
  <c r="AF236" i="25"/>
  <c r="AE236" i="25" s="1"/>
  <c r="AF356" i="25"/>
  <c r="AE356" i="25" s="1"/>
  <c r="AF476" i="25"/>
  <c r="AE476" i="25" s="1"/>
  <c r="AF446" i="25"/>
  <c r="AE446" i="25" s="1"/>
  <c r="AF146" i="25"/>
  <c r="AE146" i="25" s="1"/>
  <c r="AF86" i="16"/>
  <c r="AE86" i="16" s="1"/>
  <c r="AF116" i="16"/>
  <c r="AE116" i="16" s="1"/>
  <c r="AF86" i="25"/>
  <c r="AE86" i="25" s="1"/>
  <c r="AF206" i="25"/>
  <c r="AE206" i="25" s="1"/>
  <c r="AF476" i="16"/>
  <c r="AE476" i="16" s="1"/>
  <c r="AF56" i="16"/>
  <c r="AE56" i="16" s="1"/>
  <c r="AF56" i="25"/>
  <c r="AE56" i="25" s="1"/>
  <c r="AF176" i="25"/>
  <c r="AE176" i="25" s="1"/>
  <c r="AF326" i="16"/>
  <c r="AE326" i="16" s="1"/>
  <c r="AF266" i="16"/>
  <c r="AE266" i="16" s="1"/>
  <c r="AF296" i="16"/>
  <c r="AE296" i="16" s="1"/>
  <c r="AF356" i="16"/>
  <c r="AE356" i="16" s="1"/>
  <c r="AF446" i="16"/>
  <c r="AE446" i="16" s="1"/>
  <c r="AF296" i="25"/>
  <c r="AE296" i="25" s="1"/>
  <c r="AF416" i="25"/>
  <c r="AE416" i="25" s="1"/>
  <c r="AF26" i="16"/>
  <c r="AE26" i="16" s="1"/>
  <c r="AF176" i="16"/>
  <c r="AE176" i="16" s="1"/>
  <c r="AF206" i="16"/>
  <c r="AE206" i="16" s="1"/>
  <c r="AF26" i="25"/>
  <c r="AE26" i="25" s="1"/>
  <c r="AE3" i="25"/>
  <c r="AQ2" i="25"/>
  <c r="AP12" i="25" s="1"/>
  <c r="AP13" i="25" s="1"/>
  <c r="AP14" i="25" s="1"/>
  <c r="AP15" i="25" s="1"/>
  <c r="AP16" i="25" s="1"/>
  <c r="AP17" i="25" s="1"/>
  <c r="AP18" i="25" s="1"/>
  <c r="AP19" i="25" s="1"/>
  <c r="AP20" i="25" s="1"/>
  <c r="Q244" i="25" l="1"/>
  <c r="P244" i="25" s="1"/>
  <c r="Q252" i="25"/>
  <c r="Q260" i="25"/>
  <c r="Q268" i="25"/>
  <c r="Q245" i="25"/>
  <c r="P245" i="25" s="1"/>
  <c r="Q253" i="25"/>
  <c r="P253" i="25" s="1"/>
  <c r="Q261" i="25"/>
  <c r="Q269" i="25"/>
  <c r="Q246" i="25"/>
  <c r="P246" i="25" s="1"/>
  <c r="Q254" i="25"/>
  <c r="Q262" i="25"/>
  <c r="Q270" i="25"/>
  <c r="Q247" i="25"/>
  <c r="Q255" i="25"/>
  <c r="P255" i="25" s="1"/>
  <c r="Q263" i="25"/>
  <c r="Q271" i="25"/>
  <c r="Q248" i="25"/>
  <c r="Q256" i="25"/>
  <c r="Q264" i="25"/>
  <c r="Q272" i="25"/>
  <c r="Q243" i="25"/>
  <c r="P243" i="25" s="1"/>
  <c r="Q251" i="25"/>
  <c r="Q259" i="25"/>
  <c r="Q267" i="25"/>
  <c r="Q250" i="25"/>
  <c r="Q257" i="25"/>
  <c r="Q258" i="25"/>
  <c r="Q265" i="25"/>
  <c r="Q266" i="25"/>
  <c r="Q249" i="25"/>
  <c r="P249" i="25" s="1"/>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 i="25"/>
  <c r="P267" i="25" l="1"/>
  <c r="P271" i="25"/>
  <c r="P269" i="25"/>
  <c r="P259" i="25"/>
  <c r="P263" i="25"/>
  <c r="P261" i="25"/>
  <c r="P251" i="25"/>
  <c r="P266" i="25"/>
  <c r="P247" i="25"/>
  <c r="P265" i="25"/>
  <c r="P272" i="25"/>
  <c r="P270" i="25"/>
  <c r="P268" i="25"/>
  <c r="P258" i="25"/>
  <c r="P264" i="25"/>
  <c r="P262" i="25"/>
  <c r="P260" i="25"/>
  <c r="P257" i="25"/>
  <c r="P256" i="25"/>
  <c r="P254" i="25"/>
  <c r="P252" i="25"/>
  <c r="P250" i="25"/>
  <c r="P248" i="25"/>
  <c r="Q276" i="25"/>
  <c r="P276" i="25" s="1"/>
  <c r="Q284" i="25"/>
  <c r="Q292" i="25"/>
  <c r="Q300" i="25"/>
  <c r="Q277" i="25"/>
  <c r="Q285" i="25"/>
  <c r="P285" i="25" s="1"/>
  <c r="Q293" i="25"/>
  <c r="Q301" i="25"/>
  <c r="Q278" i="25"/>
  <c r="Q286" i="25"/>
  <c r="Q294" i="25"/>
  <c r="Q302" i="25"/>
  <c r="Q279" i="25"/>
  <c r="P279" i="25" s="1"/>
  <c r="Q287" i="25"/>
  <c r="Q295" i="25"/>
  <c r="Q280" i="25"/>
  <c r="Q288" i="25"/>
  <c r="Q296" i="25"/>
  <c r="Q275" i="25"/>
  <c r="P275" i="25" s="1"/>
  <c r="Q283" i="25"/>
  <c r="P283" i="25" s="1"/>
  <c r="Q291" i="25"/>
  <c r="Q299" i="25"/>
  <c r="Q282" i="25"/>
  <c r="Q289" i="25"/>
  <c r="Q290" i="25"/>
  <c r="Q297" i="25"/>
  <c r="Q298" i="25"/>
  <c r="Q273" i="25"/>
  <c r="P273" i="25" s="1"/>
  <c r="Q274" i="25"/>
  <c r="P274" i="25" s="1"/>
  <c r="Q281" i="25"/>
  <c r="N512" i="25"/>
  <c r="D512" i="25"/>
  <c r="F512" i="25" s="1"/>
  <c r="E512" i="25"/>
  <c r="N511" i="25"/>
  <c r="D511" i="25"/>
  <c r="F511" i="25" s="1"/>
  <c r="E511" i="25"/>
  <c r="N510" i="25"/>
  <c r="D510" i="25"/>
  <c r="F510" i="25" s="1"/>
  <c r="E510" i="25"/>
  <c r="N509" i="25"/>
  <c r="D509" i="25"/>
  <c r="F509" i="25" s="1"/>
  <c r="E509" i="25"/>
  <c r="N508" i="25"/>
  <c r="D508" i="25"/>
  <c r="F508" i="25" s="1"/>
  <c r="E508" i="25"/>
  <c r="N507" i="25"/>
  <c r="D507" i="25"/>
  <c r="F507" i="25" s="1"/>
  <c r="E507" i="25"/>
  <c r="N506" i="25"/>
  <c r="D506" i="25"/>
  <c r="F506" i="25" s="1"/>
  <c r="E506" i="25"/>
  <c r="N505" i="25"/>
  <c r="D505" i="25"/>
  <c r="F505" i="25" s="1"/>
  <c r="N504" i="25"/>
  <c r="D504" i="25"/>
  <c r="F504" i="25" s="1"/>
  <c r="N503" i="25"/>
  <c r="D503" i="25"/>
  <c r="F503" i="25" s="1"/>
  <c r="N502" i="25"/>
  <c r="D502" i="25"/>
  <c r="E502" i="25"/>
  <c r="N501" i="25"/>
  <c r="D501" i="25"/>
  <c r="E501" i="25"/>
  <c r="N500" i="25"/>
  <c r="D500" i="25"/>
  <c r="E500" i="25"/>
  <c r="N499" i="25"/>
  <c r="D499" i="25"/>
  <c r="E499" i="25"/>
  <c r="N498" i="25"/>
  <c r="D498" i="25"/>
  <c r="F498" i="25" s="1"/>
  <c r="N497" i="25"/>
  <c r="D497" i="25"/>
  <c r="F497" i="25" s="1"/>
  <c r="N496" i="25"/>
  <c r="D496" i="25"/>
  <c r="N495" i="25"/>
  <c r="D495" i="25"/>
  <c r="N494" i="25"/>
  <c r="D494" i="25"/>
  <c r="E494" i="25"/>
  <c r="N493" i="25"/>
  <c r="D493" i="25"/>
  <c r="N492" i="25"/>
  <c r="D492" i="25"/>
  <c r="F492" i="25" s="1"/>
  <c r="N491" i="25"/>
  <c r="D491" i="25"/>
  <c r="F491" i="25" s="1"/>
  <c r="N490" i="25"/>
  <c r="D490" i="25"/>
  <c r="E490" i="25"/>
  <c r="N489" i="25"/>
  <c r="D489" i="25"/>
  <c r="E489" i="25"/>
  <c r="N488" i="25"/>
  <c r="D488" i="25"/>
  <c r="F488" i="25" s="1"/>
  <c r="N487" i="25"/>
  <c r="D487" i="25"/>
  <c r="F487" i="25" s="1"/>
  <c r="N486" i="25"/>
  <c r="D486" i="25"/>
  <c r="K486" i="25" s="1"/>
  <c r="E486" i="25"/>
  <c r="N485" i="25"/>
  <c r="D485" i="25"/>
  <c r="E485" i="25"/>
  <c r="N484" i="25"/>
  <c r="D484" i="25"/>
  <c r="K484" i="25" s="1"/>
  <c r="E484" i="25"/>
  <c r="N483" i="25"/>
  <c r="D483" i="25"/>
  <c r="E483" i="25"/>
  <c r="N482" i="25"/>
  <c r="D482" i="25"/>
  <c r="F482" i="25" s="1"/>
  <c r="E482" i="25"/>
  <c r="N481" i="25"/>
  <c r="D481" i="25"/>
  <c r="N480" i="25"/>
  <c r="D480" i="25"/>
  <c r="F480" i="25" s="1"/>
  <c r="E480" i="25"/>
  <c r="N479" i="25"/>
  <c r="D479" i="25"/>
  <c r="F479" i="25" s="1"/>
  <c r="E479" i="25"/>
  <c r="N478" i="25"/>
  <c r="D478" i="25"/>
  <c r="F478" i="25" s="1"/>
  <c r="E478" i="25"/>
  <c r="N477" i="25"/>
  <c r="D477" i="25"/>
  <c r="F477" i="25" s="1"/>
  <c r="E477" i="25"/>
  <c r="N476" i="25"/>
  <c r="D476" i="25"/>
  <c r="F476" i="25" s="1"/>
  <c r="E476" i="25"/>
  <c r="N475" i="25"/>
  <c r="D475" i="25"/>
  <c r="F475" i="25" s="1"/>
  <c r="E475" i="25"/>
  <c r="N474" i="25"/>
  <c r="D474" i="25"/>
  <c r="F474" i="25" s="1"/>
  <c r="N473" i="25"/>
  <c r="D473" i="25"/>
  <c r="F473" i="25" s="1"/>
  <c r="N472" i="25"/>
  <c r="D472" i="25"/>
  <c r="E472" i="25"/>
  <c r="N471" i="25"/>
  <c r="D471" i="25"/>
  <c r="E471" i="25"/>
  <c r="N470" i="25"/>
  <c r="D470" i="25"/>
  <c r="E470" i="25"/>
  <c r="N469" i="25"/>
  <c r="D469" i="25"/>
  <c r="E469" i="25"/>
  <c r="N468" i="25"/>
  <c r="D468" i="25"/>
  <c r="F468" i="25" s="1"/>
  <c r="N467" i="25"/>
  <c r="D467" i="25"/>
  <c r="F467" i="25" s="1"/>
  <c r="N466" i="25"/>
  <c r="D466" i="25"/>
  <c r="N465" i="25"/>
  <c r="D465" i="25"/>
  <c r="K465" i="25" s="1"/>
  <c r="N464" i="25"/>
  <c r="D464" i="25"/>
  <c r="E464" i="25"/>
  <c r="N463" i="25"/>
  <c r="D463" i="25"/>
  <c r="K463" i="25" s="1"/>
  <c r="N462" i="25"/>
  <c r="D462" i="25"/>
  <c r="F462" i="25" s="1"/>
  <c r="N461" i="25"/>
  <c r="D461" i="25"/>
  <c r="F461" i="25" s="1"/>
  <c r="N460" i="25"/>
  <c r="D460" i="25"/>
  <c r="E460" i="25"/>
  <c r="N459" i="25"/>
  <c r="D459" i="25"/>
  <c r="K459" i="25" s="1"/>
  <c r="E459" i="25"/>
  <c r="N458" i="25"/>
  <c r="D458" i="25"/>
  <c r="F458" i="25" s="1"/>
  <c r="N457" i="25"/>
  <c r="D457" i="25"/>
  <c r="F457" i="25" s="1"/>
  <c r="N456" i="25"/>
  <c r="D456" i="25"/>
  <c r="K456" i="25" s="1"/>
  <c r="E456" i="25"/>
  <c r="N455" i="25"/>
  <c r="E455" i="25"/>
  <c r="D455" i="25"/>
  <c r="N454" i="25"/>
  <c r="D454" i="25"/>
  <c r="K454" i="25" s="1"/>
  <c r="E454" i="25"/>
  <c r="N453" i="25"/>
  <c r="D453" i="25"/>
  <c r="E453" i="25"/>
  <c r="N452" i="25"/>
  <c r="D452" i="25"/>
  <c r="F452" i="25" s="1"/>
  <c r="E452" i="25"/>
  <c r="N451" i="25"/>
  <c r="D451" i="25"/>
  <c r="F451" i="25" s="1"/>
  <c r="N450" i="25"/>
  <c r="D450" i="25"/>
  <c r="E450" i="25"/>
  <c r="N449" i="25"/>
  <c r="D449" i="25"/>
  <c r="F449" i="25" s="1"/>
  <c r="N448" i="25"/>
  <c r="D448" i="25"/>
  <c r="F448" i="25" s="1"/>
  <c r="E448" i="25"/>
  <c r="N447" i="25"/>
  <c r="D447" i="25"/>
  <c r="F447" i="25" s="1"/>
  <c r="E447" i="25"/>
  <c r="N446" i="25"/>
  <c r="D446" i="25"/>
  <c r="F446" i="25" s="1"/>
  <c r="E446" i="25"/>
  <c r="N445" i="25"/>
  <c r="D445" i="25"/>
  <c r="F445" i="25" s="1"/>
  <c r="E445" i="25"/>
  <c r="N444" i="25"/>
  <c r="D444" i="25"/>
  <c r="N443" i="25"/>
  <c r="D443" i="25"/>
  <c r="F443" i="25" s="1"/>
  <c r="N442" i="25"/>
  <c r="D442" i="25"/>
  <c r="E442" i="25"/>
  <c r="N441" i="25"/>
  <c r="D441" i="25"/>
  <c r="E441" i="25"/>
  <c r="N440" i="25"/>
  <c r="D440" i="25"/>
  <c r="N439" i="25"/>
  <c r="D439" i="25"/>
  <c r="E439" i="25"/>
  <c r="N438" i="25"/>
  <c r="D438" i="25"/>
  <c r="F438" i="25" s="1"/>
  <c r="N437" i="25"/>
  <c r="D437" i="25"/>
  <c r="F437" i="25" s="1"/>
  <c r="N436" i="25"/>
  <c r="D436" i="25"/>
  <c r="N435" i="25"/>
  <c r="D435" i="25"/>
  <c r="M435" i="25" s="1"/>
  <c r="N434" i="25"/>
  <c r="D434" i="25"/>
  <c r="E434" i="25"/>
  <c r="N433" i="25"/>
  <c r="D433" i="25"/>
  <c r="M433" i="25" s="1"/>
  <c r="N432" i="25"/>
  <c r="D432" i="25"/>
  <c r="F432" i="25" s="1"/>
  <c r="N431" i="25"/>
  <c r="D431" i="25"/>
  <c r="F431" i="25" s="1"/>
  <c r="N430" i="25"/>
  <c r="D430" i="25"/>
  <c r="E430" i="25"/>
  <c r="N429" i="25"/>
  <c r="D429" i="25"/>
  <c r="E429" i="25"/>
  <c r="N428" i="25"/>
  <c r="D428" i="25"/>
  <c r="F428" i="25" s="1"/>
  <c r="N427" i="25"/>
  <c r="D427" i="25"/>
  <c r="F427" i="25" s="1"/>
  <c r="N426" i="25"/>
  <c r="D426" i="25"/>
  <c r="E426" i="25"/>
  <c r="N425" i="25"/>
  <c r="D425" i="25"/>
  <c r="E425" i="25"/>
  <c r="N424" i="25"/>
  <c r="D424" i="25"/>
  <c r="E424" i="25"/>
  <c r="N423" i="25"/>
  <c r="D423" i="25"/>
  <c r="E423" i="25"/>
  <c r="N422" i="25"/>
  <c r="D422" i="25"/>
  <c r="F422" i="25" s="1"/>
  <c r="E422" i="25"/>
  <c r="N421" i="25"/>
  <c r="D421" i="25"/>
  <c r="F421" i="25" s="1"/>
  <c r="N420" i="25"/>
  <c r="D420" i="25"/>
  <c r="F420" i="25" s="1"/>
  <c r="E420" i="25"/>
  <c r="N419" i="25"/>
  <c r="D419" i="25"/>
  <c r="F419" i="25" s="1"/>
  <c r="E419" i="25"/>
  <c r="N418" i="25"/>
  <c r="D418" i="25"/>
  <c r="E418" i="25"/>
  <c r="N417" i="25"/>
  <c r="D417" i="25"/>
  <c r="F417" i="25" s="1"/>
  <c r="E417" i="25"/>
  <c r="N416" i="25"/>
  <c r="D416" i="25"/>
  <c r="F416" i="25" s="1"/>
  <c r="E416" i="25"/>
  <c r="N415" i="25"/>
  <c r="D415" i="25"/>
  <c r="F415" i="25" s="1"/>
  <c r="E415" i="25"/>
  <c r="N414" i="25"/>
  <c r="D414" i="25"/>
  <c r="F414" i="25" s="1"/>
  <c r="N413" i="25"/>
  <c r="D413" i="25"/>
  <c r="F413" i="25" s="1"/>
  <c r="N412" i="25"/>
  <c r="D412" i="25"/>
  <c r="E412" i="25"/>
  <c r="N411" i="25"/>
  <c r="D411" i="25"/>
  <c r="E411" i="25"/>
  <c r="N410" i="25"/>
  <c r="D410" i="25"/>
  <c r="E410" i="25"/>
  <c r="N409" i="25"/>
  <c r="D409" i="25"/>
  <c r="E409" i="25"/>
  <c r="N408" i="25"/>
  <c r="D408" i="25"/>
  <c r="F408" i="25" s="1"/>
  <c r="N407" i="25"/>
  <c r="D407" i="25"/>
  <c r="F407" i="25" s="1"/>
  <c r="N406" i="25"/>
  <c r="D406" i="25"/>
  <c r="N405" i="25"/>
  <c r="D405" i="25"/>
  <c r="N404" i="25"/>
  <c r="D404" i="25"/>
  <c r="E404" i="25"/>
  <c r="N403" i="25"/>
  <c r="D403" i="25"/>
  <c r="K403" i="25" s="1"/>
  <c r="N402" i="25"/>
  <c r="D402" i="25"/>
  <c r="F402" i="25" s="1"/>
  <c r="N401" i="25"/>
  <c r="D401" i="25"/>
  <c r="F401" i="25" s="1"/>
  <c r="N400" i="25"/>
  <c r="D400" i="25"/>
  <c r="E400" i="25"/>
  <c r="N399" i="25"/>
  <c r="D399" i="25"/>
  <c r="E399" i="25"/>
  <c r="N398" i="25"/>
  <c r="D398" i="25"/>
  <c r="F398" i="25" s="1"/>
  <c r="N397" i="25"/>
  <c r="D397" i="25"/>
  <c r="F397" i="25" s="1"/>
  <c r="N396" i="25"/>
  <c r="D396" i="25"/>
  <c r="M396" i="25" s="1"/>
  <c r="E396" i="25"/>
  <c r="N395" i="25"/>
  <c r="D395" i="25"/>
  <c r="E395" i="25"/>
  <c r="N394" i="25"/>
  <c r="D394" i="25"/>
  <c r="E394" i="25"/>
  <c r="N393" i="25"/>
  <c r="D393" i="25"/>
  <c r="E393" i="25"/>
  <c r="N392" i="25"/>
  <c r="D392" i="25"/>
  <c r="F392" i="25" s="1"/>
  <c r="E392" i="25"/>
  <c r="N391" i="25"/>
  <c r="D391" i="25"/>
  <c r="F391" i="25" s="1"/>
  <c r="E391" i="25"/>
  <c r="N390" i="25"/>
  <c r="D390" i="25"/>
  <c r="F390" i="25" s="1"/>
  <c r="E390" i="25"/>
  <c r="N389" i="25"/>
  <c r="D389" i="25"/>
  <c r="F389" i="25" s="1"/>
  <c r="E389" i="25"/>
  <c r="N388" i="25"/>
  <c r="D388" i="25"/>
  <c r="F388" i="25" s="1"/>
  <c r="E388" i="25"/>
  <c r="N387" i="25"/>
  <c r="D387" i="25"/>
  <c r="F387" i="25" s="1"/>
  <c r="N386" i="25"/>
  <c r="D386" i="25"/>
  <c r="F386" i="25" s="1"/>
  <c r="E386" i="25"/>
  <c r="N385" i="25"/>
  <c r="D385" i="25"/>
  <c r="F385" i="25" s="1"/>
  <c r="E385" i="25"/>
  <c r="N384" i="25"/>
  <c r="D384" i="25"/>
  <c r="F384" i="25" s="1"/>
  <c r="N383" i="25"/>
  <c r="D383" i="25"/>
  <c r="F383" i="25" s="1"/>
  <c r="N382" i="25"/>
  <c r="D382" i="25"/>
  <c r="E382" i="25"/>
  <c r="N381" i="25"/>
  <c r="D381" i="25"/>
  <c r="E381" i="25"/>
  <c r="N380" i="25"/>
  <c r="D380" i="25"/>
  <c r="E380" i="25"/>
  <c r="N379" i="25"/>
  <c r="D379" i="25"/>
  <c r="E379" i="25"/>
  <c r="N378" i="25"/>
  <c r="D378" i="25"/>
  <c r="F378" i="25" s="1"/>
  <c r="N377" i="25"/>
  <c r="D377" i="25"/>
  <c r="N376" i="25"/>
  <c r="D376" i="25"/>
  <c r="N375" i="25"/>
  <c r="D375" i="25"/>
  <c r="N374" i="25"/>
  <c r="D374" i="25"/>
  <c r="E374" i="25"/>
  <c r="N373" i="25"/>
  <c r="D373" i="25"/>
  <c r="K373" i="25" s="1"/>
  <c r="N372" i="25"/>
  <c r="D372" i="25"/>
  <c r="N371" i="25"/>
  <c r="D371" i="25"/>
  <c r="F371" i="25" s="1"/>
  <c r="N370" i="25"/>
  <c r="D370" i="25"/>
  <c r="E370" i="25"/>
  <c r="N369" i="25"/>
  <c r="D369" i="25"/>
  <c r="M369" i="25" s="1"/>
  <c r="E369" i="25"/>
  <c r="N368" i="25"/>
  <c r="D368" i="25"/>
  <c r="F368" i="25" s="1"/>
  <c r="N367" i="25"/>
  <c r="D367" i="25"/>
  <c r="F367" i="25" s="1"/>
  <c r="N366" i="25"/>
  <c r="D366" i="25"/>
  <c r="E366" i="25"/>
  <c r="N365" i="25"/>
  <c r="D365" i="25"/>
  <c r="K365" i="25" s="1"/>
  <c r="E365" i="25"/>
  <c r="N364" i="25"/>
  <c r="D364" i="25"/>
  <c r="E364" i="25"/>
  <c r="N363" i="25"/>
  <c r="E363" i="25"/>
  <c r="D363" i="25"/>
  <c r="N362" i="25"/>
  <c r="D362" i="25"/>
  <c r="F362" i="25" s="1"/>
  <c r="E362" i="25"/>
  <c r="N361" i="25"/>
  <c r="D361" i="25"/>
  <c r="F361" i="25" s="1"/>
  <c r="E361" i="25"/>
  <c r="N360" i="25"/>
  <c r="D360" i="25"/>
  <c r="F360" i="25" s="1"/>
  <c r="N359" i="25"/>
  <c r="D359" i="25"/>
  <c r="F359" i="25" s="1"/>
  <c r="E359" i="25"/>
  <c r="N358" i="25"/>
  <c r="D358" i="25"/>
  <c r="F358" i="25" s="1"/>
  <c r="E358" i="25"/>
  <c r="N357" i="25"/>
  <c r="D357" i="25"/>
  <c r="F357" i="25" s="1"/>
  <c r="E357" i="25"/>
  <c r="N356" i="25"/>
  <c r="D356" i="25"/>
  <c r="F356" i="25" s="1"/>
  <c r="N355" i="25"/>
  <c r="D355" i="25"/>
  <c r="E355" i="25"/>
  <c r="N354" i="25"/>
  <c r="D354" i="25"/>
  <c r="F354" i="25" s="1"/>
  <c r="N353" i="25"/>
  <c r="D353" i="25"/>
  <c r="N352" i="25"/>
  <c r="D352" i="25"/>
  <c r="E352" i="25"/>
  <c r="N351" i="25"/>
  <c r="D351" i="25"/>
  <c r="E351" i="25"/>
  <c r="N350" i="25"/>
  <c r="D350" i="25"/>
  <c r="E350" i="25"/>
  <c r="N349" i="25"/>
  <c r="D349" i="25"/>
  <c r="E349" i="25"/>
  <c r="N348" i="25"/>
  <c r="D348" i="25"/>
  <c r="F348" i="25" s="1"/>
  <c r="N347" i="25"/>
  <c r="D347" i="25"/>
  <c r="F347" i="25" s="1"/>
  <c r="N346" i="25"/>
  <c r="D346" i="25"/>
  <c r="N345" i="25"/>
  <c r="D345" i="25"/>
  <c r="K345" i="25" s="1"/>
  <c r="N344" i="25"/>
  <c r="D344" i="25"/>
  <c r="E344" i="25"/>
  <c r="N343" i="25"/>
  <c r="D343" i="25"/>
  <c r="K343" i="25" s="1"/>
  <c r="N342" i="25"/>
  <c r="D342" i="25"/>
  <c r="F342" i="25" s="1"/>
  <c r="N341" i="25"/>
  <c r="D341" i="25"/>
  <c r="F341" i="25" s="1"/>
  <c r="N340" i="25"/>
  <c r="D340" i="25"/>
  <c r="E340" i="25"/>
  <c r="N339" i="25"/>
  <c r="E339" i="25"/>
  <c r="D339" i="25"/>
  <c r="N338" i="25"/>
  <c r="D338" i="25"/>
  <c r="F338" i="25" s="1"/>
  <c r="N337" i="25"/>
  <c r="D337" i="25"/>
  <c r="F337" i="25" s="1"/>
  <c r="N336" i="25"/>
  <c r="D336" i="25"/>
  <c r="K336" i="25" s="1"/>
  <c r="E336" i="25"/>
  <c r="N335" i="25"/>
  <c r="D335" i="25"/>
  <c r="E335" i="25"/>
  <c r="N334" i="25"/>
  <c r="D334" i="25"/>
  <c r="E334" i="25"/>
  <c r="N333" i="25"/>
  <c r="D333" i="25"/>
  <c r="N332" i="25"/>
  <c r="D332" i="25"/>
  <c r="E332" i="25"/>
  <c r="N331" i="25"/>
  <c r="D331" i="25"/>
  <c r="F331" i="25" s="1"/>
  <c r="E331" i="25"/>
  <c r="N330" i="25"/>
  <c r="D330" i="25"/>
  <c r="F330" i="25" s="1"/>
  <c r="N329" i="25"/>
  <c r="D329" i="25"/>
  <c r="F329" i="25" s="1"/>
  <c r="E329" i="25"/>
  <c r="N328" i="25"/>
  <c r="D328" i="25"/>
  <c r="E328" i="25"/>
  <c r="N327" i="25"/>
  <c r="D327" i="25"/>
  <c r="E327" i="25"/>
  <c r="N326" i="25"/>
  <c r="D326" i="25"/>
  <c r="F326" i="25" s="1"/>
  <c r="E326" i="25"/>
  <c r="N325" i="25"/>
  <c r="D325" i="25"/>
  <c r="E325" i="25"/>
  <c r="N324" i="25"/>
  <c r="D324" i="25"/>
  <c r="F324" i="25" s="1"/>
  <c r="N323" i="25"/>
  <c r="D323" i="25"/>
  <c r="F323" i="25" s="1"/>
  <c r="N322" i="25"/>
  <c r="D322" i="25"/>
  <c r="E322" i="25"/>
  <c r="N321" i="25"/>
  <c r="D321" i="25"/>
  <c r="E321" i="25"/>
  <c r="N320" i="25"/>
  <c r="D320" i="25"/>
  <c r="E320" i="25"/>
  <c r="N319" i="25"/>
  <c r="D319" i="25"/>
  <c r="N318" i="25"/>
  <c r="D318" i="25"/>
  <c r="F318" i="25" s="1"/>
  <c r="N317" i="25"/>
  <c r="D317" i="25"/>
  <c r="F317" i="25" s="1"/>
  <c r="N316" i="25"/>
  <c r="D316" i="25"/>
  <c r="N315" i="25"/>
  <c r="D315" i="25"/>
  <c r="K315" i="25" s="1"/>
  <c r="N314" i="25"/>
  <c r="D314" i="25"/>
  <c r="E314" i="25"/>
  <c r="N313" i="25"/>
  <c r="D313" i="25"/>
  <c r="N312" i="25"/>
  <c r="D312" i="25"/>
  <c r="F312" i="25" s="1"/>
  <c r="N311" i="25"/>
  <c r="D311" i="25"/>
  <c r="F311" i="25" s="1"/>
  <c r="N310" i="25"/>
  <c r="D310" i="25"/>
  <c r="E310" i="25"/>
  <c r="N309" i="25"/>
  <c r="D309" i="25"/>
  <c r="E309" i="25"/>
  <c r="N308" i="25"/>
  <c r="D308" i="25"/>
  <c r="F308" i="25" s="1"/>
  <c r="N307" i="25"/>
  <c r="D307" i="25"/>
  <c r="F307" i="25" s="1"/>
  <c r="N306" i="25"/>
  <c r="D306" i="25"/>
  <c r="M306" i="25" s="1"/>
  <c r="E306" i="25"/>
  <c r="N305" i="25"/>
  <c r="D305" i="25"/>
  <c r="E305" i="25"/>
  <c r="N304" i="25"/>
  <c r="D304" i="25"/>
  <c r="E304" i="25"/>
  <c r="N303" i="25"/>
  <c r="D303" i="25"/>
  <c r="N302" i="25"/>
  <c r="D302" i="25"/>
  <c r="E302" i="25"/>
  <c r="N301" i="25"/>
  <c r="D301" i="25"/>
  <c r="F301" i="25" s="1"/>
  <c r="E301" i="25"/>
  <c r="N300" i="25"/>
  <c r="D300" i="25"/>
  <c r="F300" i="25" s="1"/>
  <c r="E300" i="25"/>
  <c r="N299" i="25"/>
  <c r="D299" i="25"/>
  <c r="F299" i="25" s="1"/>
  <c r="E299" i="25"/>
  <c r="N298" i="25"/>
  <c r="D298" i="25"/>
  <c r="E298" i="25"/>
  <c r="N297" i="25"/>
  <c r="D297" i="25"/>
  <c r="F297" i="25" s="1"/>
  <c r="E297" i="25"/>
  <c r="N296" i="25"/>
  <c r="D296" i="25"/>
  <c r="F296" i="25" s="1"/>
  <c r="E296" i="25"/>
  <c r="N295" i="25"/>
  <c r="D295" i="25"/>
  <c r="F295" i="25" s="1"/>
  <c r="N294" i="25"/>
  <c r="D294" i="25"/>
  <c r="F294" i="25" s="1"/>
  <c r="N293" i="25"/>
  <c r="D293" i="25"/>
  <c r="F293" i="25" s="1"/>
  <c r="N292" i="25"/>
  <c r="D292" i="25"/>
  <c r="E292" i="25"/>
  <c r="N291" i="25"/>
  <c r="D291" i="25"/>
  <c r="E291" i="25"/>
  <c r="N290" i="25"/>
  <c r="D290" i="25"/>
  <c r="E290" i="25"/>
  <c r="N289" i="25"/>
  <c r="D289" i="25"/>
  <c r="E289" i="25"/>
  <c r="N288" i="25"/>
  <c r="D288" i="25"/>
  <c r="F288" i="25" s="1"/>
  <c r="N287" i="25"/>
  <c r="D287" i="25"/>
  <c r="F287" i="25" s="1"/>
  <c r="N286" i="25"/>
  <c r="D286" i="25"/>
  <c r="N285" i="25"/>
  <c r="D285" i="25"/>
  <c r="N284" i="25"/>
  <c r="D284" i="25"/>
  <c r="E284" i="25"/>
  <c r="N283" i="25"/>
  <c r="D283" i="25"/>
  <c r="M283" i="25" s="1"/>
  <c r="N282" i="25"/>
  <c r="D282" i="25"/>
  <c r="N281" i="25"/>
  <c r="D281" i="25"/>
  <c r="F281" i="25" s="1"/>
  <c r="N280" i="25"/>
  <c r="D280" i="25"/>
  <c r="E280" i="25"/>
  <c r="N279" i="25"/>
  <c r="D279" i="25"/>
  <c r="E279" i="25"/>
  <c r="N278" i="25"/>
  <c r="D278" i="25"/>
  <c r="F278" i="25" s="1"/>
  <c r="N277" i="25"/>
  <c r="D277" i="25"/>
  <c r="F277" i="25" s="1"/>
  <c r="N276" i="25"/>
  <c r="D276" i="25"/>
  <c r="K276" i="25" s="1"/>
  <c r="E276" i="25"/>
  <c r="N275" i="25"/>
  <c r="D275" i="25"/>
  <c r="E275" i="25"/>
  <c r="N274" i="25"/>
  <c r="D274" i="25"/>
  <c r="E274" i="25"/>
  <c r="N273" i="25"/>
  <c r="D273" i="25"/>
  <c r="E273" i="25"/>
  <c r="N272" i="25"/>
  <c r="D272" i="25"/>
  <c r="F272" i="25" s="1"/>
  <c r="H272" i="25" s="1"/>
  <c r="E272" i="25"/>
  <c r="N271" i="25"/>
  <c r="D271" i="25"/>
  <c r="F271" i="25" s="1"/>
  <c r="H271" i="25" s="1"/>
  <c r="E271" i="25"/>
  <c r="N270" i="25"/>
  <c r="D270" i="25"/>
  <c r="F270" i="25" s="1"/>
  <c r="H270" i="25" s="1"/>
  <c r="T270" i="25" s="1"/>
  <c r="E270" i="25"/>
  <c r="N269" i="25"/>
  <c r="D269" i="25"/>
  <c r="E269" i="25"/>
  <c r="N268" i="25"/>
  <c r="D268" i="25"/>
  <c r="F268" i="25" s="1"/>
  <c r="H268" i="25" s="1"/>
  <c r="E268" i="25"/>
  <c r="N267" i="25"/>
  <c r="D267" i="25"/>
  <c r="F267" i="25" s="1"/>
  <c r="H267" i="25" s="1"/>
  <c r="E267" i="25"/>
  <c r="N266" i="25"/>
  <c r="D266" i="25"/>
  <c r="F266" i="25" s="1"/>
  <c r="H266" i="25" s="1"/>
  <c r="T266" i="25" s="1"/>
  <c r="E266" i="25"/>
  <c r="N265" i="25"/>
  <c r="D265" i="25"/>
  <c r="F265" i="25" s="1"/>
  <c r="H265" i="25" s="1"/>
  <c r="N264" i="25"/>
  <c r="D264" i="25"/>
  <c r="F264" i="25" s="1"/>
  <c r="H264" i="25" s="1"/>
  <c r="N263" i="25"/>
  <c r="D263" i="25"/>
  <c r="F263" i="25" s="1"/>
  <c r="H263" i="25" s="1"/>
  <c r="N262" i="25"/>
  <c r="D262" i="25"/>
  <c r="E262" i="25"/>
  <c r="N261" i="25"/>
  <c r="D261" i="25"/>
  <c r="E261" i="25"/>
  <c r="N260" i="25"/>
  <c r="D260" i="25"/>
  <c r="E260" i="25"/>
  <c r="N259" i="25"/>
  <c r="D259" i="25"/>
  <c r="N258" i="25"/>
  <c r="D258" i="25"/>
  <c r="F258" i="25" s="1"/>
  <c r="H258" i="25" s="1"/>
  <c r="N257" i="25"/>
  <c r="D257" i="25"/>
  <c r="F257" i="25" s="1"/>
  <c r="H257" i="25" s="1"/>
  <c r="T257" i="25" s="1"/>
  <c r="N256" i="25"/>
  <c r="D256" i="25"/>
  <c r="N255" i="25"/>
  <c r="D255" i="25"/>
  <c r="N254" i="25"/>
  <c r="D254" i="25"/>
  <c r="E254" i="25"/>
  <c r="N253" i="25"/>
  <c r="D253" i="25"/>
  <c r="K253" i="25" s="1"/>
  <c r="N252" i="25"/>
  <c r="D252" i="25"/>
  <c r="F252" i="25" s="1"/>
  <c r="H252" i="25" s="1"/>
  <c r="N251" i="25"/>
  <c r="D251" i="25"/>
  <c r="F251" i="25" s="1"/>
  <c r="H251" i="25" s="1"/>
  <c r="T251" i="25" s="1"/>
  <c r="N250" i="25"/>
  <c r="D250" i="25"/>
  <c r="E250" i="25"/>
  <c r="N249" i="25"/>
  <c r="D249" i="25"/>
  <c r="K249" i="25" s="1"/>
  <c r="E249" i="25"/>
  <c r="N248" i="25"/>
  <c r="D248" i="25"/>
  <c r="F248" i="25" s="1"/>
  <c r="H248" i="25" s="1"/>
  <c r="J248" i="25" s="1"/>
  <c r="AH248" i="25" s="1"/>
  <c r="N247" i="25"/>
  <c r="D247" i="25"/>
  <c r="N246" i="25"/>
  <c r="D246" i="25"/>
  <c r="K246" i="25" s="1"/>
  <c r="E246" i="25"/>
  <c r="N245" i="25"/>
  <c r="D245" i="25"/>
  <c r="E245" i="25"/>
  <c r="N244" i="25"/>
  <c r="D244" i="25"/>
  <c r="M244" i="25" s="1"/>
  <c r="N243" i="25"/>
  <c r="D243" i="25"/>
  <c r="E243" i="25"/>
  <c r="N242" i="25"/>
  <c r="D242" i="25"/>
  <c r="F242" i="25" s="1"/>
  <c r="E242" i="25"/>
  <c r="N241" i="25"/>
  <c r="D241" i="25"/>
  <c r="F241" i="25" s="1"/>
  <c r="E241" i="25"/>
  <c r="N240" i="25"/>
  <c r="D240" i="25"/>
  <c r="F240" i="25" s="1"/>
  <c r="E240" i="25"/>
  <c r="N239" i="25"/>
  <c r="D239" i="25"/>
  <c r="F239" i="25" s="1"/>
  <c r="E239" i="25"/>
  <c r="N238" i="25"/>
  <c r="D238" i="25"/>
  <c r="F238" i="25" s="1"/>
  <c r="E238" i="25"/>
  <c r="N237" i="25"/>
  <c r="D237" i="25"/>
  <c r="E237" i="25"/>
  <c r="N236" i="25"/>
  <c r="D236" i="25"/>
  <c r="E236" i="25"/>
  <c r="N235" i="25"/>
  <c r="D235" i="25"/>
  <c r="E235" i="25"/>
  <c r="N234" i="25"/>
  <c r="D234" i="25"/>
  <c r="F234" i="25" s="1"/>
  <c r="N233" i="25"/>
  <c r="D233" i="25"/>
  <c r="F233" i="25" s="1"/>
  <c r="N232" i="25"/>
  <c r="D232" i="25"/>
  <c r="E232" i="25"/>
  <c r="N231" i="25"/>
  <c r="D231" i="25"/>
  <c r="E231" i="25"/>
  <c r="N230" i="25"/>
  <c r="D230" i="25"/>
  <c r="E230" i="25"/>
  <c r="N229" i="25"/>
  <c r="D229" i="25"/>
  <c r="E229" i="25"/>
  <c r="N228" i="25"/>
  <c r="D228" i="25"/>
  <c r="F228" i="25" s="1"/>
  <c r="N227" i="25"/>
  <c r="D227" i="25"/>
  <c r="N226" i="25"/>
  <c r="D226" i="25"/>
  <c r="N225" i="25"/>
  <c r="D225" i="25"/>
  <c r="K225" i="25" s="1"/>
  <c r="N224" i="25"/>
  <c r="D224" i="25"/>
  <c r="E224" i="25"/>
  <c r="N223" i="25"/>
  <c r="D223" i="25"/>
  <c r="N222" i="25"/>
  <c r="D222" i="25"/>
  <c r="F222" i="25" s="1"/>
  <c r="N221" i="25"/>
  <c r="D221" i="25"/>
  <c r="F221" i="25" s="1"/>
  <c r="N220" i="25"/>
  <c r="D220" i="25"/>
  <c r="E220" i="25"/>
  <c r="N219" i="25"/>
  <c r="D219" i="25"/>
  <c r="N218" i="25"/>
  <c r="D218" i="25"/>
  <c r="F218" i="25" s="1"/>
  <c r="N217" i="25"/>
  <c r="D217" i="25"/>
  <c r="F217" i="25" s="1"/>
  <c r="N216" i="25"/>
  <c r="D216" i="25"/>
  <c r="E216" i="25"/>
  <c r="N215" i="25"/>
  <c r="E215" i="25"/>
  <c r="D215" i="25"/>
  <c r="M215" i="25" s="1"/>
  <c r="N214" i="25"/>
  <c r="D214" i="25"/>
  <c r="N213" i="25"/>
  <c r="D213" i="25"/>
  <c r="E213" i="25"/>
  <c r="N212" i="25"/>
  <c r="D212" i="25"/>
  <c r="F212" i="25" s="1"/>
  <c r="E212" i="25"/>
  <c r="N211" i="25"/>
  <c r="D211" i="25"/>
  <c r="F211" i="25" s="1"/>
  <c r="E211" i="25"/>
  <c r="N210" i="25"/>
  <c r="D210" i="25"/>
  <c r="F210" i="25" s="1"/>
  <c r="N209" i="25"/>
  <c r="D209" i="25"/>
  <c r="F209" i="25" s="1"/>
  <c r="E209" i="25"/>
  <c r="N208" i="25"/>
  <c r="D208" i="25"/>
  <c r="E208" i="25"/>
  <c r="N207" i="25"/>
  <c r="D207" i="25"/>
  <c r="F207" i="25" s="1"/>
  <c r="E207" i="25"/>
  <c r="N206" i="25"/>
  <c r="D206" i="25"/>
  <c r="F206" i="25" s="1"/>
  <c r="E206" i="25"/>
  <c r="N205" i="25"/>
  <c r="D205" i="25"/>
  <c r="F205" i="25" s="1"/>
  <c r="N204" i="25"/>
  <c r="D204" i="25"/>
  <c r="F204" i="25" s="1"/>
  <c r="N203" i="25"/>
  <c r="D203" i="25"/>
  <c r="F203" i="25" s="1"/>
  <c r="N202" i="25"/>
  <c r="D202" i="25"/>
  <c r="E202" i="25"/>
  <c r="N201" i="25"/>
  <c r="D201" i="25"/>
  <c r="E201" i="25"/>
  <c r="N200" i="25"/>
  <c r="D200" i="25"/>
  <c r="E200" i="25"/>
  <c r="N199" i="25"/>
  <c r="D199" i="25"/>
  <c r="E199" i="25"/>
  <c r="N198" i="25"/>
  <c r="D198" i="25"/>
  <c r="N197" i="25"/>
  <c r="D197" i="25"/>
  <c r="F197" i="25" s="1"/>
  <c r="N196" i="25"/>
  <c r="D196" i="25"/>
  <c r="N195" i="25"/>
  <c r="D195" i="25"/>
  <c r="N194" i="25"/>
  <c r="D194" i="25"/>
  <c r="E194" i="25"/>
  <c r="N193" i="25"/>
  <c r="D193" i="25"/>
  <c r="N192" i="25"/>
  <c r="D192" i="25"/>
  <c r="F192" i="25" s="1"/>
  <c r="N191" i="25"/>
  <c r="D191" i="25"/>
  <c r="F191" i="25" s="1"/>
  <c r="N190" i="25"/>
  <c r="D190" i="25"/>
  <c r="E190" i="25"/>
  <c r="N189" i="25"/>
  <c r="D189" i="25"/>
  <c r="K189" i="25" s="1"/>
  <c r="E189" i="25"/>
  <c r="N188" i="25"/>
  <c r="D188" i="25"/>
  <c r="F188" i="25" s="1"/>
  <c r="N187" i="25"/>
  <c r="D187" i="25"/>
  <c r="N186" i="25"/>
  <c r="D186" i="25"/>
  <c r="E186" i="25"/>
  <c r="N185" i="25"/>
  <c r="D185" i="25"/>
  <c r="K185" i="25" s="1"/>
  <c r="E185" i="25"/>
  <c r="N184" i="25"/>
  <c r="D184" i="25"/>
  <c r="E184" i="25"/>
  <c r="N183" i="25"/>
  <c r="D183" i="25"/>
  <c r="E183" i="25"/>
  <c r="N182" i="25"/>
  <c r="D182" i="25"/>
  <c r="F182" i="25" s="1"/>
  <c r="E182" i="25"/>
  <c r="N181" i="25"/>
  <c r="D181" i="25"/>
  <c r="F181" i="25" s="1"/>
  <c r="E181" i="25"/>
  <c r="N180" i="25"/>
  <c r="D180" i="25"/>
  <c r="E180" i="25"/>
  <c r="N179" i="25"/>
  <c r="D179" i="25"/>
  <c r="E179" i="25"/>
  <c r="N178" i="25"/>
  <c r="D178" i="25"/>
  <c r="F178" i="25" s="1"/>
  <c r="E178" i="25"/>
  <c r="N177" i="25"/>
  <c r="D177" i="25"/>
  <c r="F177" i="25" s="1"/>
  <c r="E177" i="25"/>
  <c r="N176" i="25"/>
  <c r="D176" i="25"/>
  <c r="N175" i="25"/>
  <c r="D175" i="25"/>
  <c r="E175" i="25"/>
  <c r="N174" i="25"/>
  <c r="D174" i="25"/>
  <c r="F174" i="25" s="1"/>
  <c r="N173" i="25"/>
  <c r="D173" i="25"/>
  <c r="F173" i="25" s="1"/>
  <c r="N172" i="25"/>
  <c r="D172" i="25"/>
  <c r="E172" i="25"/>
  <c r="N171" i="25"/>
  <c r="D171" i="25"/>
  <c r="E171" i="25"/>
  <c r="N170" i="25"/>
  <c r="D170" i="25"/>
  <c r="N169" i="25"/>
  <c r="D169" i="25"/>
  <c r="N168" i="25"/>
  <c r="D168" i="25"/>
  <c r="F168" i="25" s="1"/>
  <c r="N167" i="25"/>
  <c r="D167" i="25"/>
  <c r="F167" i="25" s="1"/>
  <c r="N166" i="25"/>
  <c r="D166" i="25"/>
  <c r="N165" i="25"/>
  <c r="D165" i="25"/>
  <c r="K165" i="25" s="1"/>
  <c r="N164" i="25"/>
  <c r="D164" i="25"/>
  <c r="E164" i="25"/>
  <c r="N163" i="25"/>
  <c r="D163" i="25"/>
  <c r="N162" i="25"/>
  <c r="D162" i="25"/>
  <c r="N161" i="25"/>
  <c r="D161" i="25"/>
  <c r="F161" i="25" s="1"/>
  <c r="N160" i="25"/>
  <c r="D160" i="25"/>
  <c r="E160" i="25"/>
  <c r="N159" i="25"/>
  <c r="D159" i="25"/>
  <c r="K159" i="25" s="1"/>
  <c r="E159" i="25"/>
  <c r="N158" i="25"/>
  <c r="D158" i="25"/>
  <c r="F158" i="25" s="1"/>
  <c r="N157" i="25"/>
  <c r="D157" i="25"/>
  <c r="F157" i="25" s="1"/>
  <c r="N156" i="25"/>
  <c r="D156" i="25"/>
  <c r="E156" i="25"/>
  <c r="N155" i="25"/>
  <c r="D155" i="25"/>
  <c r="E155" i="25"/>
  <c r="N154" i="25"/>
  <c r="D154" i="25"/>
  <c r="N153" i="25"/>
  <c r="D153" i="25"/>
  <c r="E153" i="25"/>
  <c r="N152" i="25"/>
  <c r="D152" i="25"/>
  <c r="F152" i="25" s="1"/>
  <c r="E152" i="25"/>
  <c r="N151" i="25"/>
  <c r="D151" i="25"/>
  <c r="F151" i="25" s="1"/>
  <c r="E151" i="25"/>
  <c r="N150" i="25"/>
  <c r="D150" i="25"/>
  <c r="F150" i="25" s="1"/>
  <c r="E150" i="25"/>
  <c r="N149" i="25"/>
  <c r="D149" i="25"/>
  <c r="F149" i="25" s="1"/>
  <c r="E149" i="25"/>
  <c r="N148" i="25"/>
  <c r="D148" i="25"/>
  <c r="F148" i="25" s="1"/>
  <c r="E148" i="25"/>
  <c r="N147" i="25"/>
  <c r="D147" i="25"/>
  <c r="F147" i="25" s="1"/>
  <c r="E147" i="25"/>
  <c r="N146" i="25"/>
  <c r="D146" i="25"/>
  <c r="F146" i="25" s="1"/>
  <c r="N145" i="25"/>
  <c r="D145" i="25"/>
  <c r="F145" i="25" s="1"/>
  <c r="E145" i="25"/>
  <c r="N144" i="25"/>
  <c r="D144" i="25"/>
  <c r="F144" i="25" s="1"/>
  <c r="N143" i="25"/>
  <c r="D143" i="25"/>
  <c r="N142" i="25"/>
  <c r="D142" i="25"/>
  <c r="N141" i="25"/>
  <c r="D141" i="25"/>
  <c r="E141" i="25"/>
  <c r="N140" i="25"/>
  <c r="D140" i="25"/>
  <c r="N139" i="25"/>
  <c r="D139" i="25"/>
  <c r="E139" i="25"/>
  <c r="N138" i="25"/>
  <c r="D138" i="25"/>
  <c r="N137" i="25"/>
  <c r="D137" i="25"/>
  <c r="F137" i="25" s="1"/>
  <c r="N136" i="25"/>
  <c r="D136" i="25"/>
  <c r="N135" i="25"/>
  <c r="D135" i="25"/>
  <c r="M135" i="25" s="1"/>
  <c r="N134" i="25"/>
  <c r="D134" i="25"/>
  <c r="E134" i="25"/>
  <c r="N133" i="25"/>
  <c r="D133" i="25"/>
  <c r="N132" i="25"/>
  <c r="D132" i="25"/>
  <c r="F132" i="25" s="1"/>
  <c r="N131" i="25"/>
  <c r="D131" i="25"/>
  <c r="F131" i="25" s="1"/>
  <c r="N130" i="25"/>
  <c r="D130" i="25"/>
  <c r="E130" i="25"/>
  <c r="N129" i="25"/>
  <c r="D129" i="25"/>
  <c r="E129" i="25"/>
  <c r="N128" i="25"/>
  <c r="D128" i="25"/>
  <c r="F128" i="25" s="1"/>
  <c r="N127" i="25"/>
  <c r="D127" i="25"/>
  <c r="F127" i="25" s="1"/>
  <c r="N126" i="25"/>
  <c r="D126" i="25"/>
  <c r="E126" i="25"/>
  <c r="N125" i="25"/>
  <c r="D125" i="25"/>
  <c r="E125" i="25"/>
  <c r="N124" i="25"/>
  <c r="D124" i="25"/>
  <c r="N123" i="25"/>
  <c r="D123" i="25"/>
  <c r="E123" i="25"/>
  <c r="N122" i="25"/>
  <c r="D122" i="25"/>
  <c r="E122" i="25"/>
  <c r="N121" i="25"/>
  <c r="D121" i="25"/>
  <c r="F121" i="25" s="1"/>
  <c r="E121" i="25"/>
  <c r="N120" i="25"/>
  <c r="D120" i="25"/>
  <c r="F120" i="25" s="1"/>
  <c r="E120" i="25"/>
  <c r="N119" i="25"/>
  <c r="D119" i="25"/>
  <c r="F119" i="25" s="1"/>
  <c r="E119" i="25"/>
  <c r="N118" i="25"/>
  <c r="D118" i="25"/>
  <c r="F118" i="25" s="1"/>
  <c r="E118" i="25"/>
  <c r="N117" i="25"/>
  <c r="D117" i="25"/>
  <c r="F117" i="25" s="1"/>
  <c r="E117" i="25"/>
  <c r="N116" i="25"/>
  <c r="D116" i="25"/>
  <c r="F116" i="25" s="1"/>
  <c r="E116" i="25"/>
  <c r="N115" i="25"/>
  <c r="D115" i="25"/>
  <c r="F115" i="25" s="1"/>
  <c r="E115" i="25"/>
  <c r="N114" i="25"/>
  <c r="D114" i="25"/>
  <c r="N113" i="25"/>
  <c r="D113" i="25"/>
  <c r="N112" i="25"/>
  <c r="D112" i="25"/>
  <c r="E112" i="25"/>
  <c r="N111" i="25"/>
  <c r="D111" i="25"/>
  <c r="E111" i="25"/>
  <c r="N110" i="25"/>
  <c r="D110" i="25"/>
  <c r="E110" i="25"/>
  <c r="N109" i="25"/>
  <c r="D109" i="25"/>
  <c r="E109" i="25"/>
  <c r="N108" i="25"/>
  <c r="D108" i="25"/>
  <c r="F108" i="25" s="1"/>
  <c r="N107" i="25"/>
  <c r="D107" i="25"/>
  <c r="F107" i="25" s="1"/>
  <c r="N106" i="25"/>
  <c r="D106" i="25"/>
  <c r="N105" i="25"/>
  <c r="D105" i="25"/>
  <c r="N104" i="25"/>
  <c r="D104" i="25"/>
  <c r="E104" i="25"/>
  <c r="N103" i="25"/>
  <c r="D103" i="25"/>
  <c r="N102" i="25"/>
  <c r="D102" i="25"/>
  <c r="F102" i="25" s="1"/>
  <c r="N101" i="25"/>
  <c r="D101" i="25"/>
  <c r="F101" i="25" s="1"/>
  <c r="N100" i="25"/>
  <c r="D100" i="25"/>
  <c r="E100" i="25"/>
  <c r="N99" i="25"/>
  <c r="D99" i="25"/>
  <c r="E99" i="25"/>
  <c r="N98" i="25"/>
  <c r="D98" i="25"/>
  <c r="N97" i="25"/>
  <c r="D97" i="25"/>
  <c r="N96" i="25"/>
  <c r="D96" i="25"/>
  <c r="N95" i="25"/>
  <c r="D95" i="25"/>
  <c r="K95" i="25" s="1"/>
  <c r="E95" i="25"/>
  <c r="N94" i="25"/>
  <c r="D94" i="25"/>
  <c r="E94" i="25"/>
  <c r="N93" i="25"/>
  <c r="D93" i="25"/>
  <c r="E93" i="25"/>
  <c r="N92" i="25"/>
  <c r="D92" i="25"/>
  <c r="E92" i="25"/>
  <c r="N91" i="25"/>
  <c r="D91" i="25"/>
  <c r="F91" i="25" s="1"/>
  <c r="E91" i="25"/>
  <c r="N90" i="25"/>
  <c r="D90" i="25"/>
  <c r="F90" i="25" s="1"/>
  <c r="E90" i="25"/>
  <c r="N89" i="25"/>
  <c r="D89" i="25"/>
  <c r="F89" i="25" s="1"/>
  <c r="E89" i="25"/>
  <c r="N88" i="25"/>
  <c r="D88" i="25"/>
  <c r="F88" i="25" s="1"/>
  <c r="N87" i="25"/>
  <c r="D87" i="25"/>
  <c r="F87" i="25" s="1"/>
  <c r="E87" i="25"/>
  <c r="N86" i="25"/>
  <c r="D86" i="25"/>
  <c r="E86" i="25"/>
  <c r="N85" i="25"/>
  <c r="D85" i="25"/>
  <c r="F85" i="25" s="1"/>
  <c r="E85" i="25"/>
  <c r="N84" i="25"/>
  <c r="D84" i="25"/>
  <c r="N83" i="25"/>
  <c r="D83" i="25"/>
  <c r="N82" i="25"/>
  <c r="D82" i="25"/>
  <c r="E82" i="25"/>
  <c r="N81" i="25"/>
  <c r="D81" i="25"/>
  <c r="E81" i="25"/>
  <c r="N80" i="25"/>
  <c r="D80" i="25"/>
  <c r="N79" i="25"/>
  <c r="D79" i="25"/>
  <c r="E79" i="25"/>
  <c r="N78" i="25"/>
  <c r="D78" i="25"/>
  <c r="F78" i="25" s="1"/>
  <c r="N77" i="25"/>
  <c r="D77" i="25"/>
  <c r="F77" i="25" s="1"/>
  <c r="N76" i="25"/>
  <c r="D76" i="25"/>
  <c r="N75" i="25"/>
  <c r="D75" i="25"/>
  <c r="N74" i="25"/>
  <c r="D74" i="25"/>
  <c r="E74" i="25"/>
  <c r="N73" i="25"/>
  <c r="D73" i="25"/>
  <c r="N72" i="25"/>
  <c r="D72" i="25"/>
  <c r="F72" i="25" s="1"/>
  <c r="N71" i="25"/>
  <c r="D71" i="25"/>
  <c r="F71" i="25" s="1"/>
  <c r="N70" i="25"/>
  <c r="D70" i="25"/>
  <c r="E70" i="25"/>
  <c r="N69" i="25"/>
  <c r="D69" i="25"/>
  <c r="E69" i="25"/>
  <c r="N68" i="25"/>
  <c r="D68" i="25"/>
  <c r="N67" i="25"/>
  <c r="D67" i="25"/>
  <c r="F67" i="25" s="1"/>
  <c r="N66" i="25"/>
  <c r="D66" i="25"/>
  <c r="E66" i="25"/>
  <c r="N65" i="25"/>
  <c r="D65" i="25"/>
  <c r="N64" i="25"/>
  <c r="D64" i="25"/>
  <c r="E64" i="25"/>
  <c r="N63" i="25"/>
  <c r="D63" i="25"/>
  <c r="E63" i="25"/>
  <c r="N62" i="25"/>
  <c r="D62" i="25"/>
  <c r="F62" i="25" s="1"/>
  <c r="N61" i="25"/>
  <c r="D61" i="25"/>
  <c r="F61" i="25" s="1"/>
  <c r="E61" i="25"/>
  <c r="N60" i="25"/>
  <c r="D60" i="25"/>
  <c r="E60" i="25"/>
  <c r="N59" i="25"/>
  <c r="D59" i="25"/>
  <c r="E59" i="25"/>
  <c r="N58" i="25"/>
  <c r="D58" i="25"/>
  <c r="E58" i="25"/>
  <c r="N57" i="25"/>
  <c r="D57" i="25"/>
  <c r="F57" i="25" s="1"/>
  <c r="N56" i="25"/>
  <c r="D56" i="25"/>
  <c r="E56" i="25"/>
  <c r="N55" i="25"/>
  <c r="D55" i="25"/>
  <c r="F55" i="25" s="1"/>
  <c r="N54" i="25"/>
  <c r="D54" i="25"/>
  <c r="F54" i="25" s="1"/>
  <c r="N53" i="25"/>
  <c r="D53" i="25"/>
  <c r="F53" i="25" s="1"/>
  <c r="N52" i="25"/>
  <c r="D52" i="25"/>
  <c r="E52" i="25"/>
  <c r="N51" i="25"/>
  <c r="D51" i="25"/>
  <c r="E51" i="25"/>
  <c r="N50" i="25"/>
  <c r="D50" i="25"/>
  <c r="E50" i="25"/>
  <c r="N49" i="25"/>
  <c r="D49" i="25"/>
  <c r="E49" i="25"/>
  <c r="N48" i="25"/>
  <c r="D48" i="25"/>
  <c r="N47" i="25"/>
  <c r="D47" i="25"/>
  <c r="F47" i="25" s="1"/>
  <c r="N46" i="25"/>
  <c r="D46" i="25"/>
  <c r="N45" i="25"/>
  <c r="D45" i="25"/>
  <c r="N44" i="25"/>
  <c r="D44" i="25"/>
  <c r="E44" i="25"/>
  <c r="N43" i="25"/>
  <c r="D43" i="25"/>
  <c r="N42" i="25"/>
  <c r="D42" i="25"/>
  <c r="N41" i="25"/>
  <c r="D41" i="25"/>
  <c r="F41" i="25" s="1"/>
  <c r="N40" i="25"/>
  <c r="D40" i="25"/>
  <c r="N39" i="25"/>
  <c r="D39" i="25"/>
  <c r="E39" i="25"/>
  <c r="N38" i="25"/>
  <c r="D38" i="25"/>
  <c r="F38" i="25" s="1"/>
  <c r="N37" i="25"/>
  <c r="D37" i="25"/>
  <c r="F37" i="25" s="1"/>
  <c r="N36" i="25"/>
  <c r="D36" i="25"/>
  <c r="E36" i="25"/>
  <c r="N35" i="25"/>
  <c r="D35" i="25"/>
  <c r="E35" i="25"/>
  <c r="N34" i="25"/>
  <c r="D34" i="25"/>
  <c r="E34" i="25"/>
  <c r="N33" i="25"/>
  <c r="D33" i="25"/>
  <c r="E33" i="25"/>
  <c r="N32" i="25"/>
  <c r="D32" i="25"/>
  <c r="E32" i="25"/>
  <c r="N31" i="25"/>
  <c r="D31" i="25"/>
  <c r="E31" i="25"/>
  <c r="N30" i="25"/>
  <c r="D30" i="25"/>
  <c r="F30" i="25" s="1"/>
  <c r="N29" i="25"/>
  <c r="D29" i="25"/>
  <c r="F29" i="25" s="1"/>
  <c r="E29" i="25"/>
  <c r="N28" i="25"/>
  <c r="D28" i="25"/>
  <c r="F28" i="25" s="1"/>
  <c r="E28" i="25"/>
  <c r="N27" i="25"/>
  <c r="D27" i="25"/>
  <c r="F27" i="25" s="1"/>
  <c r="E27" i="25"/>
  <c r="N26" i="25"/>
  <c r="D26" i="25"/>
  <c r="N25" i="25"/>
  <c r="D25" i="25"/>
  <c r="F25" i="25" s="1"/>
  <c r="E25" i="25"/>
  <c r="N24" i="25"/>
  <c r="D24" i="25"/>
  <c r="N23" i="25"/>
  <c r="D23" i="25"/>
  <c r="N22" i="25"/>
  <c r="D22" i="25"/>
  <c r="E22" i="25"/>
  <c r="N21" i="25"/>
  <c r="D21" i="25"/>
  <c r="E21" i="25"/>
  <c r="N20" i="25"/>
  <c r="D20" i="25"/>
  <c r="E20" i="25"/>
  <c r="N19" i="25"/>
  <c r="D19" i="25"/>
  <c r="E19" i="25"/>
  <c r="N18" i="25"/>
  <c r="D18" i="25"/>
  <c r="N17" i="25"/>
  <c r="D17" i="25"/>
  <c r="F17" i="25" s="1"/>
  <c r="N16" i="25"/>
  <c r="D16" i="25"/>
  <c r="N15" i="25"/>
  <c r="D15" i="25"/>
  <c r="N14" i="25"/>
  <c r="D14" i="25"/>
  <c r="N13" i="25"/>
  <c r="D13" i="25"/>
  <c r="N12" i="25"/>
  <c r="D12" i="25"/>
  <c r="F12" i="25" s="1"/>
  <c r="N11" i="25"/>
  <c r="D11" i="25"/>
  <c r="F11" i="25" s="1"/>
  <c r="N10" i="25"/>
  <c r="D10" i="25"/>
  <c r="E10" i="25"/>
  <c r="N9" i="25"/>
  <c r="D9" i="25"/>
  <c r="E9" i="25"/>
  <c r="N8" i="25"/>
  <c r="D8" i="25"/>
  <c r="F8" i="25" s="1"/>
  <c r="N7" i="25"/>
  <c r="D7" i="25"/>
  <c r="N6" i="25"/>
  <c r="D6" i="25"/>
  <c r="E6" i="25"/>
  <c r="N5" i="25"/>
  <c r="D5" i="25"/>
  <c r="E5" i="25"/>
  <c r="N4" i="25"/>
  <c r="D4" i="25"/>
  <c r="N3" i="25"/>
  <c r="D3" i="25"/>
  <c r="E3" i="25"/>
  <c r="F321" i="25" l="1"/>
  <c r="F423" i="25"/>
  <c r="F429" i="25"/>
  <c r="F485" i="25"/>
  <c r="F123" i="25"/>
  <c r="G123" i="25" s="1"/>
  <c r="F159" i="25"/>
  <c r="G159" i="25" s="1"/>
  <c r="F245" i="25"/>
  <c r="G245" i="25" s="1"/>
  <c r="F276" i="25"/>
  <c r="H276" i="25" s="1"/>
  <c r="F366" i="25"/>
  <c r="F425" i="25"/>
  <c r="F184" i="25"/>
  <c r="G184" i="25" s="1"/>
  <c r="F201" i="25"/>
  <c r="H201" i="25" s="1"/>
  <c r="F229" i="25"/>
  <c r="G229" i="25" s="1"/>
  <c r="F339" i="25"/>
  <c r="F155" i="25"/>
  <c r="G155" i="25" s="1"/>
  <c r="F213" i="25"/>
  <c r="H213" i="25" s="1"/>
  <c r="F275" i="25"/>
  <c r="H275" i="25" s="1"/>
  <c r="F306" i="25"/>
  <c r="F365" i="25"/>
  <c r="F396" i="25"/>
  <c r="F424" i="25"/>
  <c r="F202" i="25"/>
  <c r="G202" i="25" s="1"/>
  <c r="F200" i="25"/>
  <c r="G200" i="25" s="1"/>
  <c r="F243" i="25"/>
  <c r="G243" i="25" s="1"/>
  <c r="F246" i="25"/>
  <c r="F494" i="25"/>
  <c r="F439" i="25"/>
  <c r="F455" i="25"/>
  <c r="F6" i="25"/>
  <c r="G6" i="25" s="1"/>
  <c r="F111" i="25"/>
  <c r="H111" i="25" s="1"/>
  <c r="F95" i="25"/>
  <c r="H95" i="25" s="1"/>
  <c r="F153" i="25"/>
  <c r="H153" i="25" s="1"/>
  <c r="F189" i="25"/>
  <c r="F273" i="25"/>
  <c r="H273" i="25" s="1"/>
  <c r="F279" i="25"/>
  <c r="F304" i="25"/>
  <c r="F335" i="25"/>
  <c r="F369" i="25"/>
  <c r="F394" i="25"/>
  <c r="F93" i="25"/>
  <c r="H93" i="25" s="1"/>
  <c r="X482" i="25"/>
  <c r="F190" i="25"/>
  <c r="G190" i="25" s="1"/>
  <c r="F280" i="25"/>
  <c r="H280" i="25" s="1"/>
  <c r="J280" i="25" s="1"/>
  <c r="AH280" i="25" s="1"/>
  <c r="F314" i="25"/>
  <c r="F404" i="25"/>
  <c r="F126" i="25"/>
  <c r="G126" i="25" s="1"/>
  <c r="F460" i="25"/>
  <c r="T265" i="25"/>
  <c r="J265" i="25"/>
  <c r="AH265" i="25" s="1"/>
  <c r="J268" i="25"/>
  <c r="AH268" i="25" s="1"/>
  <c r="T268" i="25"/>
  <c r="T263" i="25"/>
  <c r="J263" i="25"/>
  <c r="AH263" i="25" s="1"/>
  <c r="J271" i="25"/>
  <c r="AH271" i="25" s="1"/>
  <c r="T271" i="25"/>
  <c r="T252" i="25"/>
  <c r="J252" i="25"/>
  <c r="AH252" i="25" s="1"/>
  <c r="J258" i="25"/>
  <c r="AH258" i="25" s="1"/>
  <c r="T258" i="25"/>
  <c r="T264" i="25"/>
  <c r="J264" i="25"/>
  <c r="AH264" i="25" s="1"/>
  <c r="J272" i="25"/>
  <c r="AH272" i="25" s="1"/>
  <c r="T272" i="25"/>
  <c r="T267" i="25"/>
  <c r="J267" i="25"/>
  <c r="AH267" i="25" s="1"/>
  <c r="H28" i="25"/>
  <c r="G28" i="25"/>
  <c r="M14" i="25"/>
  <c r="M46" i="25"/>
  <c r="G54" i="25"/>
  <c r="H54" i="25"/>
  <c r="H62" i="25"/>
  <c r="G62" i="25"/>
  <c r="K70" i="25"/>
  <c r="F70" i="25"/>
  <c r="F9" i="25"/>
  <c r="G17" i="25"/>
  <c r="H17" i="25"/>
  <c r="G25" i="25"/>
  <c r="H25" i="25"/>
  <c r="K33" i="25"/>
  <c r="F33" i="25"/>
  <c r="G41" i="25"/>
  <c r="H41" i="25"/>
  <c r="F49" i="25"/>
  <c r="G57" i="25"/>
  <c r="H57" i="25"/>
  <c r="K65" i="25"/>
  <c r="K81" i="25"/>
  <c r="F81" i="25"/>
  <c r="G89" i="25"/>
  <c r="H89" i="25"/>
  <c r="K100" i="25"/>
  <c r="F100" i="25"/>
  <c r="K114" i="25"/>
  <c r="F114" i="25"/>
  <c r="K122" i="25"/>
  <c r="F122" i="25"/>
  <c r="F125" i="25"/>
  <c r="G125" i="25" s="1"/>
  <c r="F139" i="25"/>
  <c r="H147" i="25"/>
  <c r="G147" i="25"/>
  <c r="G158" i="25"/>
  <c r="H158" i="25"/>
  <c r="G161" i="25"/>
  <c r="H161" i="25"/>
  <c r="K172" i="25"/>
  <c r="F172" i="25"/>
  <c r="K180" i="25"/>
  <c r="F180" i="25"/>
  <c r="F183" i="25"/>
  <c r="H183" i="25" s="1"/>
  <c r="F194" i="25"/>
  <c r="H197" i="25"/>
  <c r="G197" i="25"/>
  <c r="H205" i="25"/>
  <c r="G205" i="25"/>
  <c r="M213" i="25"/>
  <c r="H222" i="25"/>
  <c r="G222" i="25"/>
  <c r="G233" i="25"/>
  <c r="H233" i="25"/>
  <c r="G241" i="25"/>
  <c r="H241" i="25"/>
  <c r="K247" i="25"/>
  <c r="F247" i="25"/>
  <c r="H247" i="25" s="1"/>
  <c r="F250" i="25"/>
  <c r="H250" i="25" s="1"/>
  <c r="M284" i="25"/>
  <c r="F284" i="25"/>
  <c r="H284" i="25" s="1"/>
  <c r="K349" i="25"/>
  <c r="F349" i="25"/>
  <c r="K380" i="25"/>
  <c r="F380" i="25"/>
  <c r="K430" i="25"/>
  <c r="F430" i="25"/>
  <c r="F442" i="25"/>
  <c r="K450" i="25"/>
  <c r="F450" i="25"/>
  <c r="F453" i="25"/>
  <c r="F459" i="25"/>
  <c r="F470" i="25"/>
  <c r="G270" i="25"/>
  <c r="G266" i="25"/>
  <c r="I266" i="25" s="1"/>
  <c r="AG266" i="25" s="1"/>
  <c r="K4" i="25"/>
  <c r="K20" i="25"/>
  <c r="F20" i="25"/>
  <c r="M44" i="25"/>
  <c r="F44" i="25"/>
  <c r="M109" i="25"/>
  <c r="F109" i="25"/>
  <c r="H128" i="25"/>
  <c r="G128" i="25"/>
  <c r="H150" i="25"/>
  <c r="G150" i="25"/>
  <c r="K164" i="25"/>
  <c r="F164" i="25"/>
  <c r="G167" i="25"/>
  <c r="H167" i="25"/>
  <c r="K175" i="25"/>
  <c r="F175" i="25"/>
  <c r="M208" i="25"/>
  <c r="F208" i="25"/>
  <c r="K216" i="25"/>
  <c r="F216" i="25"/>
  <c r="G228" i="25"/>
  <c r="H228" i="25"/>
  <c r="K236" i="25"/>
  <c r="F236" i="25"/>
  <c r="K262" i="25"/>
  <c r="F262" i="25"/>
  <c r="K290" i="25"/>
  <c r="F290" i="25"/>
  <c r="H290" i="25" s="1"/>
  <c r="T290" i="25" s="1"/>
  <c r="M298" i="25"/>
  <c r="F298" i="25"/>
  <c r="H298" i="25" s="1"/>
  <c r="J298" i="25" s="1"/>
  <c r="AH298" i="25" s="1"/>
  <c r="M352" i="25"/>
  <c r="F352" i="25"/>
  <c r="K411" i="25"/>
  <c r="F411" i="25"/>
  <c r="F456" i="25"/>
  <c r="M481" i="25"/>
  <c r="F481" i="25"/>
  <c r="F484" i="25"/>
  <c r="K501" i="25"/>
  <c r="F501" i="25"/>
  <c r="K60" i="25"/>
  <c r="F60" i="25"/>
  <c r="F84" i="25"/>
  <c r="G131" i="25"/>
  <c r="H131" i="25"/>
  <c r="F7" i="25"/>
  <c r="M15" i="25"/>
  <c r="K23" i="25"/>
  <c r="F23" i="25"/>
  <c r="K31" i="25"/>
  <c r="F31" i="25"/>
  <c r="K39" i="25"/>
  <c r="F39" i="25"/>
  <c r="G47" i="25"/>
  <c r="H47" i="25"/>
  <c r="G71" i="25"/>
  <c r="H71" i="25"/>
  <c r="K79" i="25"/>
  <c r="F79" i="25"/>
  <c r="G87" i="25"/>
  <c r="H87" i="25"/>
  <c r="F98" i="25"/>
  <c r="H101" i="25"/>
  <c r="G101" i="25"/>
  <c r="M112" i="25"/>
  <c r="F112" i="25"/>
  <c r="G120" i="25"/>
  <c r="H120" i="25"/>
  <c r="M134" i="25"/>
  <c r="F134" i="25"/>
  <c r="G137" i="25"/>
  <c r="H137" i="25"/>
  <c r="G145" i="25"/>
  <c r="H145" i="25"/>
  <c r="M170" i="25"/>
  <c r="H178" i="25"/>
  <c r="G178" i="25"/>
  <c r="M186" i="25"/>
  <c r="F186" i="25"/>
  <c r="H192" i="25"/>
  <c r="G192" i="25"/>
  <c r="H203" i="25"/>
  <c r="G203" i="25"/>
  <c r="H211" i="25"/>
  <c r="G211" i="25"/>
  <c r="K231" i="25"/>
  <c r="F231" i="25"/>
  <c r="G239" i="25"/>
  <c r="H239" i="25"/>
  <c r="F254" i="25"/>
  <c r="H254" i="25" s="1"/>
  <c r="J254" i="25" s="1"/>
  <c r="AH254" i="25" s="1"/>
  <c r="M273" i="25"/>
  <c r="K282" i="25"/>
  <c r="F282" i="25"/>
  <c r="H282" i="25" s="1"/>
  <c r="M310" i="25"/>
  <c r="F310" i="25"/>
  <c r="M332" i="25"/>
  <c r="F332" i="25"/>
  <c r="F344" i="25"/>
  <c r="M355" i="25"/>
  <c r="F355" i="25"/>
  <c r="F363" i="25"/>
  <c r="K372" i="25"/>
  <c r="F372" i="25"/>
  <c r="F400" i="25"/>
  <c r="F434" i="25"/>
  <c r="M490" i="25"/>
  <c r="F490" i="25"/>
  <c r="G248" i="25"/>
  <c r="I248" i="25" s="1"/>
  <c r="AG248" i="25" s="1"/>
  <c r="G264" i="25"/>
  <c r="G272" i="25"/>
  <c r="I272" i="25" s="1"/>
  <c r="AG272" i="25" s="1"/>
  <c r="G251" i="25"/>
  <c r="I251" i="25" s="1"/>
  <c r="AG251" i="25" s="1"/>
  <c r="M10" i="25"/>
  <c r="F10" i="25"/>
  <c r="K18" i="25"/>
  <c r="F18" i="25"/>
  <c r="M26" i="25"/>
  <c r="F26" i="25"/>
  <c r="F34" i="25"/>
  <c r="F42" i="25"/>
  <c r="F50" i="25"/>
  <c r="F58" i="25"/>
  <c r="F66" i="25"/>
  <c r="F74" i="25"/>
  <c r="F82" i="25"/>
  <c r="H90" i="25"/>
  <c r="G90" i="25"/>
  <c r="K104" i="25"/>
  <c r="F104" i="25"/>
  <c r="G107" i="25"/>
  <c r="H107" i="25"/>
  <c r="H115" i="25"/>
  <c r="G115" i="25"/>
  <c r="F129" i="25"/>
  <c r="G129" i="25" s="1"/>
  <c r="K140" i="25"/>
  <c r="G148" i="25"/>
  <c r="H148" i="25"/>
  <c r="M156" i="25"/>
  <c r="F156" i="25"/>
  <c r="F162" i="25"/>
  <c r="H173" i="25"/>
  <c r="G173" i="25"/>
  <c r="H181" i="25"/>
  <c r="G181" i="25"/>
  <c r="F198" i="25"/>
  <c r="H206" i="25"/>
  <c r="G206" i="25"/>
  <c r="K214" i="25"/>
  <c r="G217" i="25"/>
  <c r="H217" i="25"/>
  <c r="K220" i="25"/>
  <c r="F220" i="25"/>
  <c r="H234" i="25"/>
  <c r="G234" i="25"/>
  <c r="H242" i="25"/>
  <c r="G242" i="25"/>
  <c r="F260" i="25"/>
  <c r="M327" i="25"/>
  <c r="F327" i="25"/>
  <c r="F350" i="25"/>
  <c r="K381" i="25"/>
  <c r="F381" i="25"/>
  <c r="K409" i="25"/>
  <c r="F409" i="25"/>
  <c r="F454" i="25"/>
  <c r="F471" i="25"/>
  <c r="F499" i="25"/>
  <c r="G55" i="25"/>
  <c r="H55" i="25"/>
  <c r="F63" i="25"/>
  <c r="M5" i="25"/>
  <c r="F5" i="25"/>
  <c r="M13" i="25"/>
  <c r="F21" i="25"/>
  <c r="H29" i="25"/>
  <c r="G29" i="25"/>
  <c r="H37" i="25"/>
  <c r="G37" i="25"/>
  <c r="K45" i="25"/>
  <c r="H53" i="25"/>
  <c r="G53" i="25"/>
  <c r="H61" i="25"/>
  <c r="G61" i="25"/>
  <c r="K69" i="25"/>
  <c r="F69" i="25"/>
  <c r="H77" i="25"/>
  <c r="G77" i="25"/>
  <c r="H85" i="25"/>
  <c r="G85" i="25"/>
  <c r="F99" i="25"/>
  <c r="G99" i="25" s="1"/>
  <c r="F110" i="25"/>
  <c r="H118" i="25"/>
  <c r="G118" i="25"/>
  <c r="G132" i="25"/>
  <c r="H132" i="25"/>
  <c r="F143" i="25"/>
  <c r="G151" i="25"/>
  <c r="H151" i="25"/>
  <c r="G168" i="25"/>
  <c r="H168" i="25"/>
  <c r="M176" i="25"/>
  <c r="F176" i="25"/>
  <c r="F187" i="25"/>
  <c r="G209" i="25"/>
  <c r="H209" i="25"/>
  <c r="F237" i="25"/>
  <c r="F249" i="25"/>
  <c r="G249" i="25" s="1"/>
  <c r="F274" i="25"/>
  <c r="K291" i="25"/>
  <c r="F291" i="25"/>
  <c r="H291" i="25" s="1"/>
  <c r="F305" i="25"/>
  <c r="M322" i="25"/>
  <c r="F322" i="25"/>
  <c r="K333" i="25"/>
  <c r="F336" i="25"/>
  <c r="K353" i="25"/>
  <c r="F353" i="25"/>
  <c r="F364" i="25"/>
  <c r="F395" i="25"/>
  <c r="M412" i="25"/>
  <c r="F412" i="25"/>
  <c r="F502" i="25"/>
  <c r="G257" i="25"/>
  <c r="I257" i="25" s="1"/>
  <c r="AG257" i="25" s="1"/>
  <c r="G258" i="25"/>
  <c r="S258" i="25" s="1"/>
  <c r="G265" i="25"/>
  <c r="S265" i="25" s="1"/>
  <c r="G271" i="25"/>
  <c r="I271" i="25" s="1"/>
  <c r="AG271" i="25" s="1"/>
  <c r="G12" i="25"/>
  <c r="H12" i="25"/>
  <c r="F68" i="25"/>
  <c r="H117" i="25"/>
  <c r="G117" i="25"/>
  <c r="K16" i="25"/>
  <c r="K32" i="25"/>
  <c r="F32" i="25"/>
  <c r="K40" i="25"/>
  <c r="K48" i="25"/>
  <c r="F48" i="25"/>
  <c r="K56" i="25"/>
  <c r="F56" i="25"/>
  <c r="M64" i="25"/>
  <c r="F64" i="25"/>
  <c r="H72" i="25"/>
  <c r="G72" i="25"/>
  <c r="M80" i="25"/>
  <c r="G88" i="25"/>
  <c r="H88" i="25"/>
  <c r="M96" i="25"/>
  <c r="H102" i="25"/>
  <c r="G102" i="25"/>
  <c r="F113" i="25"/>
  <c r="G121" i="25"/>
  <c r="H121" i="25"/>
  <c r="F138" i="25"/>
  <c r="H146" i="25"/>
  <c r="G146" i="25"/>
  <c r="H157" i="25"/>
  <c r="G157" i="25"/>
  <c r="K171" i="25"/>
  <c r="F171" i="25"/>
  <c r="K179" i="25"/>
  <c r="F179" i="25"/>
  <c r="G204" i="25"/>
  <c r="H204" i="25"/>
  <c r="G212" i="25"/>
  <c r="H212" i="25"/>
  <c r="G221" i="25"/>
  <c r="H221" i="25"/>
  <c r="K232" i="25"/>
  <c r="F232" i="25"/>
  <c r="G240" i="25"/>
  <c r="H240" i="25"/>
  <c r="M302" i="25"/>
  <c r="F302" i="25"/>
  <c r="H302" i="25" s="1"/>
  <c r="M325" i="25"/>
  <c r="F325" i="25"/>
  <c r="K370" i="25"/>
  <c r="F370" i="25"/>
  <c r="M379" i="25"/>
  <c r="F379" i="25"/>
  <c r="F426" i="25"/>
  <c r="M441" i="25"/>
  <c r="F441" i="25"/>
  <c r="F469" i="25"/>
  <c r="M52" i="25"/>
  <c r="F52" i="25"/>
  <c r="K76" i="25"/>
  <c r="F92" i="25"/>
  <c r="G8" i="25"/>
  <c r="H8" i="25"/>
  <c r="K24" i="25"/>
  <c r="F24" i="25"/>
  <c r="M3" i="25"/>
  <c r="F3" i="25"/>
  <c r="H11" i="25"/>
  <c r="G11" i="25"/>
  <c r="M19" i="25"/>
  <c r="F19" i="25"/>
  <c r="H27" i="25"/>
  <c r="G27" i="25"/>
  <c r="M35" i="25"/>
  <c r="F35" i="25"/>
  <c r="M43" i="25"/>
  <c r="F51" i="25"/>
  <c r="M59" i="25"/>
  <c r="F59" i="25"/>
  <c r="H67" i="25"/>
  <c r="G67" i="25"/>
  <c r="K75" i="25"/>
  <c r="K83" i="25"/>
  <c r="F83" i="25"/>
  <c r="H91" i="25"/>
  <c r="G91" i="25"/>
  <c r="G108" i="25"/>
  <c r="H108" i="25"/>
  <c r="G116" i="25"/>
  <c r="H116" i="25"/>
  <c r="M124" i="25"/>
  <c r="G127" i="25"/>
  <c r="H127" i="25"/>
  <c r="K141" i="25"/>
  <c r="F141" i="25"/>
  <c r="H149" i="25"/>
  <c r="G149" i="25"/>
  <c r="F160" i="25"/>
  <c r="H174" i="25"/>
  <c r="G174" i="25"/>
  <c r="H182" i="25"/>
  <c r="G182" i="25"/>
  <c r="F185" i="25"/>
  <c r="G185" i="25" s="1"/>
  <c r="M196" i="25"/>
  <c r="M199" i="25"/>
  <c r="F199" i="25"/>
  <c r="G207" i="25"/>
  <c r="H207" i="25"/>
  <c r="F215" i="25"/>
  <c r="H215" i="25" s="1"/>
  <c r="H218" i="25"/>
  <c r="G218" i="25"/>
  <c r="K224" i="25"/>
  <c r="F224" i="25"/>
  <c r="K227" i="25"/>
  <c r="F227" i="25"/>
  <c r="K235" i="25"/>
  <c r="F235" i="25"/>
  <c r="F261" i="25"/>
  <c r="H261" i="25" s="1"/>
  <c r="K269" i="25"/>
  <c r="F269" i="25"/>
  <c r="H269" i="25" s="1"/>
  <c r="M289" i="25"/>
  <c r="F289" i="25"/>
  <c r="H289" i="25" s="1"/>
  <c r="T289" i="25" s="1"/>
  <c r="F309" i="25"/>
  <c r="F320" i="25"/>
  <c r="K328" i="25"/>
  <c r="F328" i="25"/>
  <c r="F334" i="25"/>
  <c r="K351" i="25"/>
  <c r="F351" i="25"/>
  <c r="F382" i="25"/>
  <c r="F393" i="25"/>
  <c r="F399" i="25"/>
  <c r="K410" i="25"/>
  <c r="F410" i="25"/>
  <c r="K418" i="25"/>
  <c r="F418" i="25"/>
  <c r="K444" i="25"/>
  <c r="F444" i="25"/>
  <c r="M472" i="25"/>
  <c r="F472" i="25"/>
  <c r="F483" i="25"/>
  <c r="F489" i="25"/>
  <c r="F500" i="25"/>
  <c r="G252" i="25"/>
  <c r="G268" i="25"/>
  <c r="I268" i="25" s="1"/>
  <c r="AG268" i="25" s="1"/>
  <c r="G263" i="25"/>
  <c r="I263" i="25" s="1"/>
  <c r="G267" i="25"/>
  <c r="I267" i="25" s="1"/>
  <c r="AG267" i="25" s="1"/>
  <c r="M36" i="25"/>
  <c r="F36" i="25"/>
  <c r="K22" i="25"/>
  <c r="F22" i="25"/>
  <c r="G30" i="25"/>
  <c r="H30" i="25"/>
  <c r="G38" i="25"/>
  <c r="H38" i="25"/>
  <c r="H78" i="25"/>
  <c r="G78" i="25"/>
  <c r="K86" i="25"/>
  <c r="F86" i="25"/>
  <c r="M94" i="25"/>
  <c r="F94" i="25"/>
  <c r="F97" i="25"/>
  <c r="G119" i="25"/>
  <c r="H119" i="25"/>
  <c r="M130" i="25"/>
  <c r="F130" i="25"/>
  <c r="H144" i="25"/>
  <c r="G144" i="25"/>
  <c r="G152" i="25"/>
  <c r="H152" i="25"/>
  <c r="G177" i="25"/>
  <c r="H177" i="25"/>
  <c r="H188" i="25"/>
  <c r="G188" i="25"/>
  <c r="G191" i="25"/>
  <c r="H191" i="25"/>
  <c r="H210" i="25"/>
  <c r="G210" i="25"/>
  <c r="K230" i="25"/>
  <c r="F230" i="25"/>
  <c r="H238" i="25"/>
  <c r="G238" i="25"/>
  <c r="M292" i="25"/>
  <c r="F292" i="25"/>
  <c r="H292" i="25" s="1"/>
  <c r="M340" i="25"/>
  <c r="F340" i="25"/>
  <c r="K374" i="25"/>
  <c r="F374" i="25"/>
  <c r="K377" i="25"/>
  <c r="F377" i="25"/>
  <c r="M393" i="25"/>
  <c r="K436" i="25"/>
  <c r="K464" i="25"/>
  <c r="F464" i="25"/>
  <c r="K483" i="25"/>
  <c r="F486" i="25"/>
  <c r="J257" i="25"/>
  <c r="AH257" i="25" s="1"/>
  <c r="T248" i="25"/>
  <c r="J270" i="25"/>
  <c r="AH270" i="25" s="1"/>
  <c r="J251" i="25"/>
  <c r="AH251" i="25" s="1"/>
  <c r="P302" i="25"/>
  <c r="H300" i="25"/>
  <c r="T300" i="25" s="1"/>
  <c r="P300" i="25"/>
  <c r="G300" i="25" s="1"/>
  <c r="S270" i="25"/>
  <c r="I270" i="25"/>
  <c r="AG270" i="25" s="1"/>
  <c r="P298" i="25"/>
  <c r="H294" i="25"/>
  <c r="T294" i="25" s="1"/>
  <c r="P294" i="25"/>
  <c r="G294" i="25" s="1"/>
  <c r="P292" i="25"/>
  <c r="H297" i="25"/>
  <c r="T297" i="25" s="1"/>
  <c r="P297" i="25"/>
  <c r="G297" i="25" s="1"/>
  <c r="H296" i="25"/>
  <c r="J296" i="25" s="1"/>
  <c r="AH296" i="25" s="1"/>
  <c r="P296" i="25"/>
  <c r="G296" i="25" s="1"/>
  <c r="P286" i="25"/>
  <c r="P284" i="25"/>
  <c r="J266" i="25"/>
  <c r="AH266" i="25" s="1"/>
  <c r="P290" i="25"/>
  <c r="H288" i="25"/>
  <c r="J288" i="25" s="1"/>
  <c r="AH288" i="25" s="1"/>
  <c r="P288" i="25"/>
  <c r="G288" i="25" s="1"/>
  <c r="H278" i="25"/>
  <c r="T278" i="25" s="1"/>
  <c r="P278" i="25"/>
  <c r="G278" i="25" s="1"/>
  <c r="P289" i="25"/>
  <c r="P280" i="25"/>
  <c r="H301" i="25"/>
  <c r="T301" i="25" s="1"/>
  <c r="P301" i="25"/>
  <c r="G301" i="25" s="1"/>
  <c r="P282" i="25"/>
  <c r="H295" i="25"/>
  <c r="T295" i="25" s="1"/>
  <c r="P295" i="25"/>
  <c r="G295" i="25" s="1"/>
  <c r="H293" i="25"/>
  <c r="J293" i="25" s="1"/>
  <c r="AH293" i="25" s="1"/>
  <c r="P293" i="25"/>
  <c r="G293" i="25" s="1"/>
  <c r="H281" i="25"/>
  <c r="J281" i="25" s="1"/>
  <c r="AH281" i="25" s="1"/>
  <c r="P281" i="25"/>
  <c r="G281" i="25" s="1"/>
  <c r="H299" i="25"/>
  <c r="T299" i="25" s="1"/>
  <c r="P299" i="25"/>
  <c r="G299" i="25" s="1"/>
  <c r="H287" i="25"/>
  <c r="P287" i="25"/>
  <c r="G287" i="25" s="1"/>
  <c r="P291" i="25"/>
  <c r="H277" i="25"/>
  <c r="J277" i="25" s="1"/>
  <c r="AH277" i="25" s="1"/>
  <c r="P277" i="25"/>
  <c r="G277" i="25" s="1"/>
  <c r="Q308" i="25"/>
  <c r="Q316" i="25"/>
  <c r="Q324" i="25"/>
  <c r="Q332" i="25"/>
  <c r="Q309" i="25"/>
  <c r="Q317" i="25"/>
  <c r="Q325" i="25"/>
  <c r="Q310" i="25"/>
  <c r="Q318" i="25"/>
  <c r="Q326" i="25"/>
  <c r="Q303" i="25"/>
  <c r="P303" i="25" s="1"/>
  <c r="Q311" i="25"/>
  <c r="Q319" i="25"/>
  <c r="Q327" i="25"/>
  <c r="Q304" i="25"/>
  <c r="Q312" i="25"/>
  <c r="Q320" i="25"/>
  <c r="Q328" i="25"/>
  <c r="Q307" i="25"/>
  <c r="Q315" i="25"/>
  <c r="Q323" i="25"/>
  <c r="Q331" i="25"/>
  <c r="Q314" i="25"/>
  <c r="Q321" i="25"/>
  <c r="Q306" i="25"/>
  <c r="Q322" i="25"/>
  <c r="Q329" i="25"/>
  <c r="Q330" i="25"/>
  <c r="Q305" i="25"/>
  <c r="Q313" i="25"/>
  <c r="R307" i="25"/>
  <c r="R315" i="25"/>
  <c r="R323" i="25"/>
  <c r="R331" i="25"/>
  <c r="R306" i="25"/>
  <c r="R308" i="25"/>
  <c r="R316" i="25"/>
  <c r="R324" i="25"/>
  <c r="R332" i="25"/>
  <c r="R314" i="25"/>
  <c r="R309" i="25"/>
  <c r="R317" i="25"/>
  <c r="R325" i="25"/>
  <c r="R310" i="25"/>
  <c r="R318" i="25"/>
  <c r="R326" i="25"/>
  <c r="R303" i="25"/>
  <c r="R311" i="25"/>
  <c r="R319" i="25"/>
  <c r="R327" i="25"/>
  <c r="R322" i="25"/>
  <c r="R304" i="25"/>
  <c r="R312" i="25"/>
  <c r="R320" i="25"/>
  <c r="R328" i="25"/>
  <c r="R305" i="25"/>
  <c r="R313" i="25"/>
  <c r="R321" i="25"/>
  <c r="R329" i="25"/>
  <c r="R330" i="25"/>
  <c r="G246" i="25"/>
  <c r="H246" i="25"/>
  <c r="H99" i="25"/>
  <c r="H189" i="25"/>
  <c r="G189" i="25"/>
  <c r="G279" i="25"/>
  <c r="H279" i="25"/>
  <c r="X302" i="25"/>
  <c r="X325" i="25"/>
  <c r="K257" i="25"/>
  <c r="X111" i="25"/>
  <c r="X269" i="25"/>
  <c r="X148" i="25"/>
  <c r="X352" i="25"/>
  <c r="X29" i="25"/>
  <c r="X220" i="25"/>
  <c r="X100" i="25"/>
  <c r="X299" i="25"/>
  <c r="X326" i="25"/>
  <c r="M57" i="25"/>
  <c r="K109" i="25"/>
  <c r="K341" i="25"/>
  <c r="X418" i="25"/>
  <c r="X459" i="25"/>
  <c r="M4" i="25"/>
  <c r="K187" i="25"/>
  <c r="M380" i="25"/>
  <c r="X104" i="25"/>
  <c r="X181" i="25"/>
  <c r="X216" i="25"/>
  <c r="X5" i="25"/>
  <c r="X21" i="25"/>
  <c r="X185" i="25"/>
  <c r="K217" i="25"/>
  <c r="M249" i="25"/>
  <c r="M86" i="25"/>
  <c r="M81" i="25"/>
  <c r="K137" i="25"/>
  <c r="K293" i="25"/>
  <c r="K507" i="25"/>
  <c r="M88" i="25"/>
  <c r="M22" i="25"/>
  <c r="K135" i="25"/>
  <c r="K181" i="25"/>
  <c r="X484" i="25"/>
  <c r="X508" i="25"/>
  <c r="X180" i="25"/>
  <c r="K215" i="25"/>
  <c r="K371" i="25"/>
  <c r="X501" i="25"/>
  <c r="M32" i="25"/>
  <c r="K433" i="25"/>
  <c r="K435" i="25"/>
  <c r="X507" i="25"/>
  <c r="K151" i="25"/>
  <c r="M178" i="25"/>
  <c r="K264" i="25"/>
  <c r="M328" i="25"/>
  <c r="K12" i="25"/>
  <c r="M151" i="25"/>
  <c r="M75" i="25"/>
  <c r="X306" i="25"/>
  <c r="X331" i="25"/>
  <c r="K388" i="25"/>
  <c r="X74" i="25"/>
  <c r="X152" i="25"/>
  <c r="X86" i="25"/>
  <c r="X178" i="25"/>
  <c r="X215" i="25"/>
  <c r="X246" i="25"/>
  <c r="X249" i="25"/>
  <c r="M265" i="25"/>
  <c r="X332" i="25"/>
  <c r="M454" i="25"/>
  <c r="M482" i="25"/>
  <c r="X33" i="25"/>
  <c r="X118" i="25"/>
  <c r="X149" i="25"/>
  <c r="M175" i="25"/>
  <c r="X241" i="25"/>
  <c r="X292" i="25"/>
  <c r="X385" i="25"/>
  <c r="K270" i="25"/>
  <c r="K360" i="25"/>
  <c r="M30" i="25"/>
  <c r="M56" i="25"/>
  <c r="K112" i="25"/>
  <c r="M270" i="25"/>
  <c r="K297" i="25"/>
  <c r="M349" i="25"/>
  <c r="M365" i="25"/>
  <c r="K385" i="25"/>
  <c r="K451" i="25"/>
  <c r="K506" i="25"/>
  <c r="M20" i="25"/>
  <c r="X236" i="25"/>
  <c r="X455" i="25"/>
  <c r="M159" i="25"/>
  <c r="K67" i="25"/>
  <c r="M164" i="25"/>
  <c r="M246" i="25"/>
  <c r="K299" i="25"/>
  <c r="K306" i="25"/>
  <c r="K438" i="25"/>
  <c r="M506" i="25"/>
  <c r="K149" i="25"/>
  <c r="M351" i="25"/>
  <c r="K498" i="25"/>
  <c r="K36" i="25"/>
  <c r="X19" i="25"/>
  <c r="X52" i="25"/>
  <c r="X141" i="25"/>
  <c r="K265" i="25"/>
  <c r="M267" i="25"/>
  <c r="X271" i="25"/>
  <c r="K283" i="25"/>
  <c r="K308" i="25"/>
  <c r="X336" i="25"/>
  <c r="X350" i="25"/>
  <c r="K384" i="25"/>
  <c r="X386" i="25"/>
  <c r="K473" i="25"/>
  <c r="X478" i="25"/>
  <c r="K10" i="25"/>
  <c r="M269" i="25"/>
  <c r="K508" i="25"/>
  <c r="X59" i="25"/>
  <c r="X151" i="25"/>
  <c r="X175" i="25"/>
  <c r="X177" i="25"/>
  <c r="X184" i="25"/>
  <c r="K271" i="25"/>
  <c r="X274" i="25"/>
  <c r="K298" i="25"/>
  <c r="X300" i="25"/>
  <c r="X374" i="25"/>
  <c r="X425" i="25"/>
  <c r="X446" i="25"/>
  <c r="X511" i="25"/>
  <c r="K110" i="25"/>
  <c r="M110" i="25"/>
  <c r="K147" i="25"/>
  <c r="M147" i="25"/>
  <c r="K167" i="25"/>
  <c r="X212" i="25"/>
  <c r="M254" i="25"/>
  <c r="K254" i="25"/>
  <c r="X357" i="25"/>
  <c r="K212" i="25"/>
  <c r="K252" i="25"/>
  <c r="K357" i="25"/>
  <c r="M421" i="25"/>
  <c r="K51" i="25"/>
  <c r="M51" i="25"/>
  <c r="K59" i="25"/>
  <c r="M65" i="25"/>
  <c r="K94" i="25"/>
  <c r="K106" i="25"/>
  <c r="M106" i="25"/>
  <c r="K113" i="25"/>
  <c r="M122" i="25"/>
  <c r="M180" i="25"/>
  <c r="K401" i="25"/>
  <c r="K419" i="25"/>
  <c r="M446" i="25"/>
  <c r="X476" i="25"/>
  <c r="M27" i="25"/>
  <c r="K476" i="25"/>
  <c r="K3" i="25"/>
  <c r="K19" i="25"/>
  <c r="K25" i="25"/>
  <c r="X28" i="25"/>
  <c r="X109" i="25"/>
  <c r="M154" i="25"/>
  <c r="K154" i="25"/>
  <c r="X171" i="25"/>
  <c r="K177" i="25"/>
  <c r="M177" i="25"/>
  <c r="X189" i="25"/>
  <c r="M201" i="25"/>
  <c r="K201" i="25"/>
  <c r="X250" i="25"/>
  <c r="K396" i="25"/>
  <c r="M406" i="25"/>
  <c r="K406" i="25"/>
  <c r="K460" i="25"/>
  <c r="M460" i="25"/>
  <c r="M16" i="25"/>
  <c r="K37" i="25"/>
  <c r="X82" i="25"/>
  <c r="M404" i="25"/>
  <c r="K404" i="25"/>
  <c r="X483" i="25"/>
  <c r="M120" i="25"/>
  <c r="K124" i="25"/>
  <c r="M28" i="25"/>
  <c r="K123" i="25"/>
  <c r="M123" i="25"/>
  <c r="K240" i="25"/>
  <c r="K272" i="25"/>
  <c r="M316" i="25"/>
  <c r="K316" i="25"/>
  <c r="K354" i="25"/>
  <c r="K387" i="25"/>
  <c r="K402" i="25"/>
  <c r="X404" i="25"/>
  <c r="M60" i="25"/>
  <c r="M193" i="25"/>
  <c r="K193" i="25"/>
  <c r="K28" i="25"/>
  <c r="K30" i="25"/>
  <c r="M40" i="25"/>
  <c r="K52" i="25"/>
  <c r="K58" i="25"/>
  <c r="K68" i="25"/>
  <c r="K78" i="25"/>
  <c r="K84" i="25"/>
  <c r="K228" i="25"/>
  <c r="M256" i="25"/>
  <c r="K256" i="25"/>
  <c r="X363" i="25"/>
  <c r="K416" i="25"/>
  <c r="K427" i="25"/>
  <c r="X486" i="25"/>
  <c r="M126" i="25"/>
  <c r="K126" i="25"/>
  <c r="K143" i="25"/>
  <c r="X34" i="25"/>
  <c r="K57" i="25"/>
  <c r="X60" i="25"/>
  <c r="M73" i="25"/>
  <c r="K73" i="25"/>
  <c r="K89" i="25"/>
  <c r="X120" i="25"/>
  <c r="X122" i="25"/>
  <c r="X126" i="25"/>
  <c r="M314" i="25"/>
  <c r="K314" i="25"/>
  <c r="X240" i="25"/>
  <c r="X327" i="25"/>
  <c r="X410" i="25"/>
  <c r="X416" i="25"/>
  <c r="X419" i="25"/>
  <c r="X6" i="25"/>
  <c r="X58" i="25"/>
  <c r="X79" i="25"/>
  <c r="X89" i="25"/>
  <c r="X119" i="25"/>
  <c r="X179" i="25"/>
  <c r="X182" i="25"/>
  <c r="M214" i="25"/>
  <c r="X237" i="25"/>
  <c r="X266" i="25"/>
  <c r="X270" i="25"/>
  <c r="X273" i="25"/>
  <c r="K368" i="25"/>
  <c r="M370" i="25"/>
  <c r="M388" i="25"/>
  <c r="K441" i="25"/>
  <c r="X99" i="25"/>
  <c r="X130" i="25"/>
  <c r="K222" i="25"/>
  <c r="K239" i="25"/>
  <c r="K277" i="25"/>
  <c r="M290" i="25"/>
  <c r="M336" i="25"/>
  <c r="K443" i="25"/>
  <c r="M465" i="25"/>
  <c r="K188" i="25"/>
  <c r="X231" i="25"/>
  <c r="M239" i="25"/>
  <c r="K273" i="25"/>
  <c r="X328" i="25"/>
  <c r="K356" i="25"/>
  <c r="K393" i="25"/>
  <c r="M409" i="25"/>
  <c r="M430" i="25"/>
  <c r="M478" i="25"/>
  <c r="X3" i="25"/>
  <c r="K108" i="25"/>
  <c r="K138" i="25"/>
  <c r="M140" i="25"/>
  <c r="K170" i="25"/>
  <c r="K196" i="25"/>
  <c r="M231" i="25"/>
  <c r="X267" i="25"/>
  <c r="X276" i="25"/>
  <c r="X284" i="25"/>
  <c r="X297" i="25"/>
  <c r="X369" i="25"/>
  <c r="X388" i="25"/>
  <c r="X464" i="25"/>
  <c r="X472" i="25"/>
  <c r="X112" i="25"/>
  <c r="X44" i="25"/>
  <c r="X95" i="25"/>
  <c r="M223" i="25"/>
  <c r="K223" i="25"/>
  <c r="K320" i="25"/>
  <c r="M320" i="25"/>
  <c r="M31" i="25"/>
  <c r="X35" i="25"/>
  <c r="K42" i="25"/>
  <c r="X64" i="25"/>
  <c r="M76" i="25"/>
  <c r="M92" i="25"/>
  <c r="K173" i="25"/>
  <c r="X211" i="25"/>
  <c r="X320" i="25"/>
  <c r="M390" i="25"/>
  <c r="K390" i="25"/>
  <c r="K211" i="25"/>
  <c r="M211" i="25"/>
  <c r="K5" i="25"/>
  <c r="K8" i="25"/>
  <c r="K11" i="25"/>
  <c r="K50" i="25"/>
  <c r="K71" i="25"/>
  <c r="X87" i="25"/>
  <c r="X90" i="25"/>
  <c r="K261" i="25"/>
  <c r="M261" i="25"/>
  <c r="M330" i="25"/>
  <c r="K330" i="25"/>
  <c r="K132" i="25"/>
  <c r="K15" i="25"/>
  <c r="X27" i="25"/>
  <c r="X31" i="25"/>
  <c r="K35" i="25"/>
  <c r="M50" i="25"/>
  <c r="X56" i="25"/>
  <c r="K64" i="25"/>
  <c r="X85" i="25"/>
  <c r="X92" i="25"/>
  <c r="K97" i="25"/>
  <c r="X213" i="25"/>
  <c r="M382" i="25"/>
  <c r="K382" i="25"/>
  <c r="K117" i="25"/>
  <c r="M209" i="25"/>
  <c r="K209" i="25"/>
  <c r="K62" i="25"/>
  <c r="M70" i="25"/>
  <c r="K87" i="25"/>
  <c r="K116" i="25"/>
  <c r="K131" i="25"/>
  <c r="X164" i="25"/>
  <c r="K195" i="25"/>
  <c r="K219" i="25"/>
  <c r="M219" i="25"/>
  <c r="X275" i="25"/>
  <c r="K312" i="25"/>
  <c r="K43" i="25"/>
  <c r="K44" i="25"/>
  <c r="M61" i="25"/>
  <c r="M89" i="25"/>
  <c r="M116" i="25"/>
  <c r="X156" i="25"/>
  <c r="K203" i="25"/>
  <c r="K243" i="25"/>
  <c r="M243" i="25"/>
  <c r="M280" i="25"/>
  <c r="K280" i="25"/>
  <c r="M238" i="25"/>
  <c r="K238" i="25"/>
  <c r="X9" i="25"/>
  <c r="K53" i="25"/>
  <c r="K92" i="25"/>
  <c r="K102" i="25"/>
  <c r="K115" i="25"/>
  <c r="K139" i="25"/>
  <c r="K169" i="25"/>
  <c r="M169" i="25"/>
  <c r="X456" i="25"/>
  <c r="X25" i="25"/>
  <c r="K27" i="25"/>
  <c r="X32" i="25"/>
  <c r="M62" i="25"/>
  <c r="X66" i="25"/>
  <c r="X70" i="25"/>
  <c r="M226" i="25"/>
  <c r="K344" i="25"/>
  <c r="M344" i="25"/>
  <c r="X116" i="25"/>
  <c r="X117" i="25"/>
  <c r="M118" i="25"/>
  <c r="K148" i="25"/>
  <c r="X172" i="25"/>
  <c r="M185" i="25"/>
  <c r="K206" i="25"/>
  <c r="K207" i="25"/>
  <c r="M230" i="25"/>
  <c r="M235" i="25"/>
  <c r="X242" i="25"/>
  <c r="M262" i="25"/>
  <c r="K281" i="25"/>
  <c r="X296" i="25"/>
  <c r="K325" i="25"/>
  <c r="X366" i="25"/>
  <c r="X499" i="25"/>
  <c r="X502" i="25"/>
  <c r="M206" i="25"/>
  <c r="X290" i="25"/>
  <c r="K296" i="25"/>
  <c r="K309" i="25"/>
  <c r="K346" i="25"/>
  <c r="M420" i="25"/>
  <c r="K429" i="25"/>
  <c r="M485" i="25"/>
  <c r="K485" i="25"/>
  <c r="X115" i="25"/>
  <c r="X145" i="25"/>
  <c r="M148" i="25"/>
  <c r="X194" i="25"/>
  <c r="X199" i="25"/>
  <c r="X202" i="25"/>
  <c r="M207" i="25"/>
  <c r="X239" i="25"/>
  <c r="M242" i="25"/>
  <c r="K304" i="25"/>
  <c r="K307" i="25"/>
  <c r="X309" i="25"/>
  <c r="K317" i="25"/>
  <c r="K322" i="25"/>
  <c r="X412" i="25"/>
  <c r="M453" i="25"/>
  <c r="K453" i="25"/>
  <c r="X121" i="25"/>
  <c r="K145" i="25"/>
  <c r="X155" i="25"/>
  <c r="K156" i="25"/>
  <c r="K162" i="25"/>
  <c r="K194" i="25"/>
  <c r="K202" i="25"/>
  <c r="K208" i="25"/>
  <c r="K237" i="25"/>
  <c r="K288" i="25"/>
  <c r="M291" i="25"/>
  <c r="M304" i="25"/>
  <c r="M343" i="25"/>
  <c r="M346" i="25"/>
  <c r="K362" i="25"/>
  <c r="K398" i="25"/>
  <c r="K414" i="25"/>
  <c r="M426" i="25"/>
  <c r="K442" i="25"/>
  <c r="M442" i="25"/>
  <c r="K470" i="25"/>
  <c r="M145" i="25"/>
  <c r="X190" i="25"/>
  <c r="X207" i="25"/>
  <c r="X230" i="25"/>
  <c r="X235" i="25"/>
  <c r="X272" i="25"/>
  <c r="M296" i="25"/>
  <c r="K324" i="25"/>
  <c r="M362" i="25"/>
  <c r="M376" i="25"/>
  <c r="K376" i="25"/>
  <c r="K428" i="25"/>
  <c r="K338" i="25"/>
  <c r="K361" i="25"/>
  <c r="K364" i="25"/>
  <c r="X423" i="25"/>
  <c r="M475" i="25"/>
  <c r="K475" i="25"/>
  <c r="X500" i="25"/>
  <c r="K118" i="25"/>
  <c r="K127" i="25"/>
  <c r="K157" i="25"/>
  <c r="K178" i="25"/>
  <c r="K186" i="25"/>
  <c r="X200" i="25"/>
  <c r="X209" i="25"/>
  <c r="X238" i="25"/>
  <c r="X261" i="25"/>
  <c r="K263" i="25"/>
  <c r="X304" i="25"/>
  <c r="M333" i="25"/>
  <c r="X344" i="25"/>
  <c r="M360" i="25"/>
  <c r="M364" i="25"/>
  <c r="M373" i="25"/>
  <c r="K394" i="25"/>
  <c r="K417" i="25"/>
  <c r="X358" i="25"/>
  <c r="X380" i="25"/>
  <c r="X390" i="25"/>
  <c r="X420" i="25"/>
  <c r="M422" i="25"/>
  <c r="X439" i="25"/>
  <c r="X442" i="25"/>
  <c r="M464" i="25"/>
  <c r="X470" i="25"/>
  <c r="X485" i="25"/>
  <c r="X494" i="25"/>
  <c r="X512" i="25"/>
  <c r="X310" i="25"/>
  <c r="M357" i="25"/>
  <c r="X379" i="25"/>
  <c r="X395" i="25"/>
  <c r="X445" i="25"/>
  <c r="X480" i="25"/>
  <c r="K482" i="25"/>
  <c r="K488" i="25"/>
  <c r="X490" i="25"/>
  <c r="K499" i="25"/>
  <c r="K331" i="25"/>
  <c r="K352" i="25"/>
  <c r="X361" i="25"/>
  <c r="X362" i="25"/>
  <c r="X364" i="25"/>
  <c r="X417" i="25"/>
  <c r="K421" i="25"/>
  <c r="X422" i="25"/>
  <c r="X429" i="25"/>
  <c r="K446" i="25"/>
  <c r="X447" i="25"/>
  <c r="X448" i="25"/>
  <c r="X469" i="25"/>
  <c r="X477" i="25"/>
  <c r="K490" i="25"/>
  <c r="K491" i="25"/>
  <c r="K492" i="25"/>
  <c r="K493" i="25"/>
  <c r="K500" i="25"/>
  <c r="X506" i="25"/>
  <c r="X509" i="25"/>
  <c r="X510" i="25"/>
  <c r="M480" i="25"/>
  <c r="X391" i="25"/>
  <c r="X394" i="25"/>
  <c r="K467" i="25"/>
  <c r="K468" i="25"/>
  <c r="X298" i="25"/>
  <c r="M300" i="25"/>
  <c r="M385" i="25"/>
  <c r="X389" i="25"/>
  <c r="M416" i="25"/>
  <c r="K422" i="25"/>
  <c r="M451" i="25"/>
  <c r="X475" i="25"/>
  <c r="K478" i="25"/>
  <c r="K509" i="25"/>
  <c r="X22" i="25"/>
  <c r="X10" i="25"/>
  <c r="X20" i="25"/>
  <c r="K7" i="25"/>
  <c r="K14" i="25"/>
  <c r="E4" i="25"/>
  <c r="M6" i="25"/>
  <c r="K9" i="25"/>
  <c r="K13" i="25"/>
  <c r="M25" i="25"/>
  <c r="X39" i="25"/>
  <c r="X49" i="25"/>
  <c r="X50" i="25"/>
  <c r="X81" i="25"/>
  <c r="X36" i="25"/>
  <c r="M21" i="25"/>
  <c r="E80" i="25"/>
  <c r="M9" i="25"/>
  <c r="E14" i="25"/>
  <c r="E40" i="25"/>
  <c r="F40" i="25" s="1"/>
  <c r="X51" i="25"/>
  <c r="K47" i="25"/>
  <c r="K17" i="25"/>
  <c r="M29" i="25"/>
  <c r="K34" i="25"/>
  <c r="K38" i="25"/>
  <c r="E57" i="25"/>
  <c r="X57" i="25" s="1"/>
  <c r="M63" i="25"/>
  <c r="X63" i="25"/>
  <c r="K63" i="25"/>
  <c r="M33" i="25"/>
  <c r="K21" i="25"/>
  <c r="K6" i="25"/>
  <c r="E26" i="25"/>
  <c r="X26" i="25" s="1"/>
  <c r="M39" i="25"/>
  <c r="K41" i="25"/>
  <c r="M55" i="25"/>
  <c r="K55" i="25"/>
  <c r="E30" i="25"/>
  <c r="X30" i="25" s="1"/>
  <c r="M34" i="25"/>
  <c r="M129" i="25"/>
  <c r="K129" i="25"/>
  <c r="K26" i="25"/>
  <c r="K29" i="25"/>
  <c r="K49" i="25"/>
  <c r="M49" i="25"/>
  <c r="E62" i="25"/>
  <c r="X62" i="25" s="1"/>
  <c r="E55" i="25"/>
  <c r="X55" i="25" s="1"/>
  <c r="X61" i="25"/>
  <c r="E65" i="25"/>
  <c r="F65" i="25" s="1"/>
  <c r="K74" i="25"/>
  <c r="M74" i="25"/>
  <c r="K80" i="25"/>
  <c r="K101" i="25"/>
  <c r="M150" i="25"/>
  <c r="K150" i="25"/>
  <c r="X93" i="25"/>
  <c r="K46" i="25"/>
  <c r="K54" i="25"/>
  <c r="M69" i="25"/>
  <c r="E124" i="25"/>
  <c r="F124" i="25" s="1"/>
  <c r="K66" i="25"/>
  <c r="M66" i="25"/>
  <c r="M79" i="25"/>
  <c r="X110" i="25"/>
  <c r="E140" i="25"/>
  <c r="F140" i="25" s="1"/>
  <c r="M45" i="25"/>
  <c r="M58" i="25"/>
  <c r="K61" i="25"/>
  <c r="X69" i="25"/>
  <c r="K72" i="25"/>
  <c r="X91" i="25"/>
  <c r="M111" i="25"/>
  <c r="K111" i="25"/>
  <c r="K90" i="25"/>
  <c r="M90" i="25"/>
  <c r="K91" i="25"/>
  <c r="K107" i="25"/>
  <c r="K82" i="25"/>
  <c r="M82" i="25"/>
  <c r="M91" i="25"/>
  <c r="M105" i="25"/>
  <c r="K105" i="25"/>
  <c r="K77" i="25"/>
  <c r="K85" i="25"/>
  <c r="E88" i="25"/>
  <c r="X88" i="25" s="1"/>
  <c r="K93" i="25"/>
  <c r="E96" i="25"/>
  <c r="F96" i="25" s="1"/>
  <c r="M115" i="25"/>
  <c r="K120" i="25"/>
  <c r="E142" i="25"/>
  <c r="X160" i="25"/>
  <c r="M99" i="25"/>
  <c r="M103" i="25"/>
  <c r="X129" i="25"/>
  <c r="M85" i="25"/>
  <c r="K88" i="25"/>
  <c r="M93" i="25"/>
  <c r="K96" i="25"/>
  <c r="M100" i="25"/>
  <c r="M104" i="25"/>
  <c r="K121" i="25"/>
  <c r="M87" i="25"/>
  <c r="M95" i="25"/>
  <c r="K99" i="25"/>
  <c r="K103" i="25"/>
  <c r="M119" i="25"/>
  <c r="K119" i="25"/>
  <c r="M121" i="25"/>
  <c r="K161" i="25"/>
  <c r="X94" i="25"/>
  <c r="K98" i="25"/>
  <c r="M125" i="25"/>
  <c r="X125" i="25"/>
  <c r="K125" i="25"/>
  <c r="E154" i="25"/>
  <c r="M133" i="25"/>
  <c r="K133" i="25"/>
  <c r="M146" i="25"/>
  <c r="K146" i="25"/>
  <c r="M160" i="25"/>
  <c r="K160" i="25"/>
  <c r="X150" i="25"/>
  <c r="M152" i="25"/>
  <c r="K152" i="25"/>
  <c r="E176" i="25"/>
  <c r="X176" i="25" s="1"/>
  <c r="E219" i="25"/>
  <c r="X254" i="25"/>
  <c r="K144" i="25"/>
  <c r="E146" i="25"/>
  <c r="X146" i="25" s="1"/>
  <c r="K153" i="25"/>
  <c r="K234" i="25"/>
  <c r="X123" i="25"/>
  <c r="X134" i="25"/>
  <c r="M139" i="25"/>
  <c r="X147" i="25"/>
  <c r="K155" i="25"/>
  <c r="M155" i="25"/>
  <c r="X159" i="25"/>
  <c r="K184" i="25"/>
  <c r="M184" i="25"/>
  <c r="M136" i="25"/>
  <c r="K136" i="25"/>
  <c r="M153" i="25"/>
  <c r="K163" i="25"/>
  <c r="M163" i="25"/>
  <c r="K168" i="25"/>
  <c r="E170" i="25"/>
  <c r="F170" i="25" s="1"/>
  <c r="M179" i="25"/>
  <c r="M117" i="25"/>
  <c r="K128" i="25"/>
  <c r="X139" i="25"/>
  <c r="K142" i="25"/>
  <c r="X183" i="25"/>
  <c r="M149" i="25"/>
  <c r="K158" i="25"/>
  <c r="E169" i="25"/>
  <c r="K174" i="25"/>
  <c r="M183" i="25"/>
  <c r="K183" i="25"/>
  <c r="K130" i="25"/>
  <c r="K134" i="25"/>
  <c r="M141" i="25"/>
  <c r="M142" i="25"/>
  <c r="X153" i="25"/>
  <c r="M165" i="25"/>
  <c r="M190" i="25"/>
  <c r="K190" i="25"/>
  <c r="K200" i="25"/>
  <c r="X229" i="25"/>
  <c r="E214" i="25"/>
  <c r="F214" i="25" s="1"/>
  <c r="M229" i="25"/>
  <c r="K229" i="25"/>
  <c r="K233" i="25"/>
  <c r="M166" i="25"/>
  <c r="K166" i="25"/>
  <c r="K191" i="25"/>
  <c r="K198" i="25"/>
  <c r="M200" i="25"/>
  <c r="M210" i="25"/>
  <c r="K210" i="25"/>
  <c r="M182" i="25"/>
  <c r="K182" i="25"/>
  <c r="X201" i="25"/>
  <c r="K204" i="25"/>
  <c r="E210" i="25"/>
  <c r="X210" i="25" s="1"/>
  <c r="K176" i="25"/>
  <c r="M205" i="25"/>
  <c r="K205" i="25"/>
  <c r="M171" i="25"/>
  <c r="M172" i="25"/>
  <c r="K192" i="25"/>
  <c r="K199" i="25"/>
  <c r="E205" i="25"/>
  <c r="X205" i="25" s="1"/>
  <c r="M245" i="25"/>
  <c r="K245" i="25"/>
  <c r="M259" i="25"/>
  <c r="K259" i="25"/>
  <c r="M194" i="25"/>
  <c r="K197" i="25"/>
  <c r="M202" i="25"/>
  <c r="M212" i="25"/>
  <c r="M225" i="25"/>
  <c r="M195" i="25"/>
  <c r="X208" i="25"/>
  <c r="K218" i="25"/>
  <c r="X186" i="25"/>
  <c r="K248" i="25"/>
  <c r="M181" i="25"/>
  <c r="M189" i="25"/>
  <c r="X206" i="25"/>
  <c r="K221" i="25"/>
  <c r="K226" i="25"/>
  <c r="X232" i="25"/>
  <c r="M241" i="25"/>
  <c r="K241" i="25"/>
  <c r="K242" i="25"/>
  <c r="X243" i="25"/>
  <c r="M250" i="25"/>
  <c r="K250" i="25"/>
  <c r="K213" i="25"/>
  <c r="X224" i="25"/>
  <c r="E244" i="25"/>
  <c r="F244" i="25" s="1"/>
  <c r="E259" i="25"/>
  <c r="M220" i="25"/>
  <c r="M236" i="25"/>
  <c r="X260" i="25"/>
  <c r="X280" i="25"/>
  <c r="M237" i="25"/>
  <c r="M255" i="25"/>
  <c r="M266" i="25"/>
  <c r="K266" i="25"/>
  <c r="X268" i="25"/>
  <c r="M279" i="25"/>
  <c r="K279" i="25"/>
  <c r="M268" i="25"/>
  <c r="K244" i="25"/>
  <c r="K260" i="25"/>
  <c r="E265" i="25"/>
  <c r="X265" i="25" s="1"/>
  <c r="K268" i="25"/>
  <c r="M274" i="25"/>
  <c r="K274" i="25"/>
  <c r="K278" i="25"/>
  <c r="M216" i="25"/>
  <c r="M224" i="25"/>
  <c r="M232" i="25"/>
  <c r="M240" i="25"/>
  <c r="K251" i="25"/>
  <c r="K255" i="25"/>
  <c r="K258" i="25"/>
  <c r="M335" i="25"/>
  <c r="K335" i="25"/>
  <c r="X245" i="25"/>
  <c r="M253" i="25"/>
  <c r="M260" i="25"/>
  <c r="M275" i="25"/>
  <c r="K275" i="25"/>
  <c r="X279" i="25"/>
  <c r="X289" i="25"/>
  <c r="K329" i="25"/>
  <c r="M329" i="25"/>
  <c r="K313" i="25"/>
  <c r="M313" i="25"/>
  <c r="M334" i="25"/>
  <c r="K334" i="25"/>
  <c r="X334" i="25"/>
  <c r="M286" i="25"/>
  <c r="K287" i="25"/>
  <c r="M271" i="25"/>
  <c r="M276" i="25"/>
  <c r="X305" i="25"/>
  <c r="E330" i="25"/>
  <c r="X330" i="25" s="1"/>
  <c r="X262" i="25"/>
  <c r="K267" i="25"/>
  <c r="M272" i="25"/>
  <c r="K285" i="25"/>
  <c r="K289" i="25"/>
  <c r="M301" i="25"/>
  <c r="M305" i="25"/>
  <c r="X322" i="25"/>
  <c r="E356" i="25"/>
  <c r="X356" i="25" s="1"/>
  <c r="K286" i="25"/>
  <c r="M295" i="25"/>
  <c r="K295" i="25"/>
  <c r="X301" i="25"/>
  <c r="K305" i="25"/>
  <c r="K284" i="25"/>
  <c r="M285" i="25"/>
  <c r="X291" i="25"/>
  <c r="M297" i="25"/>
  <c r="K301" i="25"/>
  <c r="X314" i="25"/>
  <c r="M321" i="25"/>
  <c r="K321" i="25"/>
  <c r="K292" i="25"/>
  <c r="E295" i="25"/>
  <c r="X295" i="25" s="1"/>
  <c r="K300" i="25"/>
  <c r="E303" i="25"/>
  <c r="F303" i="25" s="1"/>
  <c r="E319" i="25"/>
  <c r="F319" i="25" s="1"/>
  <c r="X321" i="25"/>
  <c r="K327" i="25"/>
  <c r="X329" i="25"/>
  <c r="E333" i="25"/>
  <c r="F333" i="25" s="1"/>
  <c r="X335" i="25"/>
  <c r="K342" i="25"/>
  <c r="K294" i="25"/>
  <c r="M299" i="25"/>
  <c r="K302" i="25"/>
  <c r="K310" i="25"/>
  <c r="M315" i="25"/>
  <c r="K318" i="25"/>
  <c r="X349" i="25"/>
  <c r="X351" i="25"/>
  <c r="K366" i="25"/>
  <c r="M366" i="25"/>
  <c r="K303" i="25"/>
  <c r="K311" i="25"/>
  <c r="K319" i="25"/>
  <c r="K323" i="25"/>
  <c r="M339" i="25"/>
  <c r="K339" i="25"/>
  <c r="X365" i="25"/>
  <c r="M309" i="25"/>
  <c r="X339" i="25"/>
  <c r="M350" i="25"/>
  <c r="K350" i="25"/>
  <c r="M359" i="25"/>
  <c r="K359" i="25"/>
  <c r="K400" i="25"/>
  <c r="M400" i="25"/>
  <c r="M303" i="25"/>
  <c r="M319" i="25"/>
  <c r="M326" i="25"/>
  <c r="K326" i="25"/>
  <c r="M331" i="25"/>
  <c r="K332" i="25"/>
  <c r="X340" i="25"/>
  <c r="X359" i="25"/>
  <c r="K337" i="25"/>
  <c r="K367" i="25"/>
  <c r="K347" i="25"/>
  <c r="M363" i="25"/>
  <c r="X370" i="25"/>
  <c r="M375" i="25"/>
  <c r="K375" i="25"/>
  <c r="K378" i="25"/>
  <c r="K379" i="25"/>
  <c r="K392" i="25"/>
  <c r="M392" i="25"/>
  <c r="X396" i="25"/>
  <c r="K340" i="25"/>
  <c r="M345" i="25"/>
  <c r="K348" i="25"/>
  <c r="X355" i="25"/>
  <c r="X382" i="25"/>
  <c r="M361" i="25"/>
  <c r="K363" i="25"/>
  <c r="K369" i="25"/>
  <c r="K358" i="25"/>
  <c r="M358" i="25"/>
  <c r="E360" i="25"/>
  <c r="X360" i="25" s="1"/>
  <c r="K355" i="25"/>
  <c r="M356" i="25"/>
  <c r="K383" i="25"/>
  <c r="E387" i="25"/>
  <c r="X387" i="25" s="1"/>
  <c r="X409" i="25"/>
  <c r="M381" i="25"/>
  <c r="X392" i="25"/>
  <c r="X400" i="25"/>
  <c r="X430" i="25"/>
  <c r="M374" i="25"/>
  <c r="X381" i="25"/>
  <c r="K397" i="25"/>
  <c r="M425" i="25"/>
  <c r="K425" i="25"/>
  <c r="M391" i="25"/>
  <c r="X411" i="25"/>
  <c r="X424" i="25"/>
  <c r="E421" i="25"/>
  <c r="X421" i="25" s="1"/>
  <c r="K391" i="25"/>
  <c r="M395" i="25"/>
  <c r="K407" i="25"/>
  <c r="X393" i="25"/>
  <c r="M399" i="25"/>
  <c r="K399" i="25"/>
  <c r="X399" i="25"/>
  <c r="M415" i="25"/>
  <c r="K415" i="25"/>
  <c r="K386" i="25"/>
  <c r="M386" i="25"/>
  <c r="M387" i="25"/>
  <c r="M389" i="25"/>
  <c r="K389" i="25"/>
  <c r="K395" i="25"/>
  <c r="X415" i="25"/>
  <c r="K431" i="25"/>
  <c r="K412" i="25"/>
  <c r="M417" i="25"/>
  <c r="K420" i="25"/>
  <c r="M423" i="25"/>
  <c r="K423" i="25"/>
  <c r="M424" i="25"/>
  <c r="X426" i="25"/>
  <c r="M394" i="25"/>
  <c r="K405" i="25"/>
  <c r="M410" i="25"/>
  <c r="K413" i="25"/>
  <c r="M418" i="25"/>
  <c r="K426" i="25"/>
  <c r="X434" i="25"/>
  <c r="M403" i="25"/>
  <c r="M411" i="25"/>
  <c r="M419" i="25"/>
  <c r="K434" i="25"/>
  <c r="M434" i="25"/>
  <c r="M405" i="25"/>
  <c r="K408" i="25"/>
  <c r="K432" i="25"/>
  <c r="E440" i="25"/>
  <c r="F440" i="25" s="1"/>
  <c r="X441" i="25"/>
  <c r="K461" i="25"/>
  <c r="K424" i="25"/>
  <c r="M429" i="25"/>
  <c r="M439" i="25"/>
  <c r="K439" i="25"/>
  <c r="X460" i="25"/>
  <c r="X454" i="25"/>
  <c r="K437" i="25"/>
  <c r="M448" i="25"/>
  <c r="X450" i="25"/>
  <c r="K452" i="25"/>
  <c r="M452" i="25"/>
  <c r="M436" i="25"/>
  <c r="E449" i="25"/>
  <c r="X449" i="25" s="1"/>
  <c r="X452" i="25"/>
  <c r="M471" i="25"/>
  <c r="K471" i="25"/>
  <c r="K440" i="25"/>
  <c r="K445" i="25"/>
  <c r="K448" i="25"/>
  <c r="E451" i="25"/>
  <c r="X451" i="25" s="1"/>
  <c r="X471" i="25"/>
  <c r="K449" i="25"/>
  <c r="X453" i="25"/>
  <c r="M440" i="25"/>
  <c r="M445" i="25"/>
  <c r="M449" i="25"/>
  <c r="M450" i="25"/>
  <c r="K447" i="25"/>
  <c r="K455" i="25"/>
  <c r="M466" i="25"/>
  <c r="X479" i="25"/>
  <c r="M489" i="25"/>
  <c r="K489" i="25"/>
  <c r="E505" i="25"/>
  <c r="X505" i="25" s="1"/>
  <c r="K457" i="25"/>
  <c r="K462" i="25"/>
  <c r="M447" i="25"/>
  <c r="M455" i="25"/>
  <c r="K458" i="25"/>
  <c r="M459" i="25"/>
  <c r="K466" i="25"/>
  <c r="K472" i="25"/>
  <c r="K487" i="25"/>
  <c r="M456" i="25"/>
  <c r="M463" i="25"/>
  <c r="K474" i="25"/>
  <c r="M479" i="25"/>
  <c r="K479" i="25"/>
  <c r="E481" i="25"/>
  <c r="X481" i="25" s="1"/>
  <c r="K504" i="25"/>
  <c r="K505" i="25"/>
  <c r="M512" i="25"/>
  <c r="K512" i="25"/>
  <c r="K469" i="25"/>
  <c r="K477" i="25"/>
  <c r="M486" i="25"/>
  <c r="M505" i="25"/>
  <c r="M496" i="25"/>
  <c r="K496" i="25"/>
  <c r="K497" i="25"/>
  <c r="M476" i="25"/>
  <c r="K481" i="25"/>
  <c r="M469" i="25"/>
  <c r="M477" i="25"/>
  <c r="K480" i="25"/>
  <c r="M470" i="25"/>
  <c r="M484" i="25"/>
  <c r="X489" i="25"/>
  <c r="M483" i="25"/>
  <c r="K494" i="25"/>
  <c r="M499" i="25"/>
  <c r="K502" i="25"/>
  <c r="M507" i="25"/>
  <c r="K510" i="25"/>
  <c r="K495" i="25"/>
  <c r="M500" i="25"/>
  <c r="K503" i="25"/>
  <c r="M508" i="25"/>
  <c r="K511" i="25"/>
  <c r="M493" i="25"/>
  <c r="M501" i="25"/>
  <c r="M509" i="25"/>
  <c r="M494" i="25"/>
  <c r="M502" i="25"/>
  <c r="M510" i="25"/>
  <c r="M495" i="25"/>
  <c r="M511" i="25"/>
  <c r="H245" i="25" l="1"/>
  <c r="G215" i="25"/>
  <c r="G111" i="25"/>
  <c r="S111" i="25" s="1"/>
  <c r="H202" i="25"/>
  <c r="T202" i="25" s="1"/>
  <c r="H229" i="25"/>
  <c r="H126" i="25"/>
  <c r="S266" i="25"/>
  <c r="S248" i="25"/>
  <c r="I265" i="25"/>
  <c r="AG265" i="25" s="1"/>
  <c r="G276" i="25"/>
  <c r="I276" i="25" s="1"/>
  <c r="AG276" i="25" s="1"/>
  <c r="G153" i="25"/>
  <c r="S153" i="25" s="1"/>
  <c r="G93" i="25"/>
  <c r="G213" i="25"/>
  <c r="S213" i="25" s="1"/>
  <c r="J294" i="25"/>
  <c r="AH294" i="25" s="1"/>
  <c r="H129" i="25"/>
  <c r="T129" i="25" s="1"/>
  <c r="S257" i="25"/>
  <c r="S263" i="25"/>
  <c r="G275" i="25"/>
  <c r="S275" i="25" s="1"/>
  <c r="T254" i="25"/>
  <c r="G290" i="25"/>
  <c r="H123" i="25"/>
  <c r="T123" i="25" s="1"/>
  <c r="H184" i="25"/>
  <c r="J184" i="25" s="1"/>
  <c r="AH184" i="25" s="1"/>
  <c r="H200" i="25"/>
  <c r="T200" i="25" s="1"/>
  <c r="H159" i="25"/>
  <c r="J159" i="25" s="1"/>
  <c r="AH159" i="25" s="1"/>
  <c r="H190" i="25"/>
  <c r="T190" i="25" s="1"/>
  <c r="S272" i="25"/>
  <c r="G201" i="25"/>
  <c r="S201" i="25" s="1"/>
  <c r="S271" i="25"/>
  <c r="H6" i="25"/>
  <c r="J6" i="25" s="1"/>
  <c r="AH6" i="25" s="1"/>
  <c r="W257" i="25"/>
  <c r="J291" i="25"/>
  <c r="AH291" i="25" s="1"/>
  <c r="T291" i="25"/>
  <c r="J282" i="25"/>
  <c r="AH282" i="25" s="1"/>
  <c r="T282" i="25"/>
  <c r="G183" i="25"/>
  <c r="S183" i="25" s="1"/>
  <c r="G95" i="25"/>
  <c r="S251" i="25"/>
  <c r="H243" i="25"/>
  <c r="T243" i="25" s="1"/>
  <c r="G292" i="25"/>
  <c r="I292" i="25" s="1"/>
  <c r="G250" i="25"/>
  <c r="T281" i="25"/>
  <c r="G247" i="25"/>
  <c r="H185" i="25"/>
  <c r="T185" i="25" s="1"/>
  <c r="T293" i="25"/>
  <c r="G291" i="25"/>
  <c r="S291" i="25" s="1"/>
  <c r="G282" i="25"/>
  <c r="I282" i="25" s="1"/>
  <c r="AG282" i="25" s="1"/>
  <c r="G280" i="25"/>
  <c r="S280" i="25" s="1"/>
  <c r="S267" i="25"/>
  <c r="J284" i="25"/>
  <c r="AH284" i="25" s="1"/>
  <c r="T284" i="25"/>
  <c r="G273" i="25"/>
  <c r="I273" i="25" s="1"/>
  <c r="AG273" i="25" s="1"/>
  <c r="H125" i="25"/>
  <c r="J125" i="25" s="1"/>
  <c r="AH125" i="25" s="1"/>
  <c r="H249" i="25"/>
  <c r="J249" i="25" s="1"/>
  <c r="AH249" i="25" s="1"/>
  <c r="H155" i="25"/>
  <c r="T155" i="25" s="1"/>
  <c r="G284" i="25"/>
  <c r="I284" i="25" s="1"/>
  <c r="AG284" i="25" s="1"/>
  <c r="I258" i="25"/>
  <c r="AG258" i="25" s="1"/>
  <c r="G298" i="25"/>
  <c r="I298" i="25" s="1"/>
  <c r="AG298" i="25" s="1"/>
  <c r="AG263" i="25"/>
  <c r="W263" i="25"/>
  <c r="S268" i="25"/>
  <c r="J292" i="25"/>
  <c r="AH292" i="25" s="1"/>
  <c r="T292" i="25"/>
  <c r="J299" i="25"/>
  <c r="AH299" i="25" s="1"/>
  <c r="T280" i="25"/>
  <c r="J300" i="25"/>
  <c r="AH300" i="25" s="1"/>
  <c r="G140" i="25"/>
  <c r="H140" i="25"/>
  <c r="G65" i="25"/>
  <c r="H65" i="25"/>
  <c r="J107" i="25"/>
  <c r="AH107" i="25" s="1"/>
  <c r="T107" i="25"/>
  <c r="H66" i="25"/>
  <c r="G66" i="25"/>
  <c r="G79" i="25"/>
  <c r="H79" i="25"/>
  <c r="G31" i="25"/>
  <c r="H31" i="25"/>
  <c r="X259" i="25"/>
  <c r="F259" i="25"/>
  <c r="F169" i="25"/>
  <c r="H170" i="25"/>
  <c r="G170" i="25"/>
  <c r="H40" i="25"/>
  <c r="G40" i="25"/>
  <c r="X80" i="25"/>
  <c r="F80" i="25"/>
  <c r="H59" i="25"/>
  <c r="G59" i="25"/>
  <c r="T27" i="25"/>
  <c r="J27" i="25"/>
  <c r="AH27" i="25" s="1"/>
  <c r="H69" i="25"/>
  <c r="G69" i="25"/>
  <c r="S37" i="25"/>
  <c r="I37" i="25"/>
  <c r="AG37" i="25" s="1"/>
  <c r="T145" i="25"/>
  <c r="J145" i="25"/>
  <c r="AH145" i="25" s="1"/>
  <c r="G112" i="25"/>
  <c r="H112" i="25"/>
  <c r="J295" i="25"/>
  <c r="AH295" i="25" s="1"/>
  <c r="I91" i="25"/>
  <c r="AG91" i="25" s="1"/>
  <c r="S91" i="25"/>
  <c r="T118" i="25"/>
  <c r="J118" i="25"/>
  <c r="AH118" i="25" s="1"/>
  <c r="J148" i="25"/>
  <c r="AH148" i="25" s="1"/>
  <c r="T148" i="25"/>
  <c r="G33" i="25"/>
  <c r="H33" i="25"/>
  <c r="H227" i="25"/>
  <c r="G227" i="25"/>
  <c r="I207" i="25"/>
  <c r="AG207" i="25" s="1"/>
  <c r="S207" i="25"/>
  <c r="I174" i="25"/>
  <c r="AG174" i="25" s="1"/>
  <c r="S174" i="25"/>
  <c r="T127" i="25"/>
  <c r="J127" i="25"/>
  <c r="AH127" i="25" s="1"/>
  <c r="G143" i="25"/>
  <c r="H143" i="25"/>
  <c r="J181" i="25"/>
  <c r="AH181" i="25" s="1"/>
  <c r="T181" i="25"/>
  <c r="I239" i="25"/>
  <c r="AG239" i="25" s="1"/>
  <c r="S239" i="25"/>
  <c r="T192" i="25"/>
  <c r="J192" i="25"/>
  <c r="AH192" i="25" s="1"/>
  <c r="I167" i="25"/>
  <c r="AG167" i="25" s="1"/>
  <c r="S167" i="25"/>
  <c r="F4" i="25"/>
  <c r="S252" i="25"/>
  <c r="I252" i="25"/>
  <c r="AG252" i="25" s="1"/>
  <c r="T302" i="25"/>
  <c r="J302" i="25"/>
  <c r="AH302" i="25" s="1"/>
  <c r="J212" i="25"/>
  <c r="AH212" i="25" s="1"/>
  <c r="T212" i="25"/>
  <c r="H171" i="25"/>
  <c r="G171" i="25"/>
  <c r="H262" i="25"/>
  <c r="G262" i="25"/>
  <c r="G208" i="25"/>
  <c r="H208" i="25"/>
  <c r="X142" i="25"/>
  <c r="F142" i="25"/>
  <c r="G96" i="25"/>
  <c r="H96" i="25"/>
  <c r="X14" i="25"/>
  <c r="F14" i="25"/>
  <c r="J287" i="25"/>
  <c r="AH287" i="25" s="1"/>
  <c r="T287" i="25"/>
  <c r="G274" i="25"/>
  <c r="S274" i="25" s="1"/>
  <c r="H274" i="25"/>
  <c r="H260" i="25"/>
  <c r="G260" i="25"/>
  <c r="S217" i="25"/>
  <c r="I217" i="25"/>
  <c r="AG217" i="25" s="1"/>
  <c r="S264" i="25"/>
  <c r="I264" i="25"/>
  <c r="AG264" i="25" s="1"/>
  <c r="T147" i="25"/>
  <c r="J147" i="25"/>
  <c r="AH147" i="25" s="1"/>
  <c r="G100" i="25"/>
  <c r="H100" i="25"/>
  <c r="G214" i="25"/>
  <c r="H214" i="25"/>
  <c r="X154" i="25"/>
  <c r="F154" i="25"/>
  <c r="S119" i="25"/>
  <c r="I119" i="25"/>
  <c r="AG119" i="25" s="1"/>
  <c r="I12" i="25"/>
  <c r="AG12" i="25" s="1"/>
  <c r="S12" i="25"/>
  <c r="T241" i="25"/>
  <c r="J241" i="25"/>
  <c r="AH241" i="25" s="1"/>
  <c r="G124" i="25"/>
  <c r="H124" i="25"/>
  <c r="S238" i="25"/>
  <c r="I238" i="25"/>
  <c r="AG238" i="25" s="1"/>
  <c r="T191" i="25"/>
  <c r="J191" i="25"/>
  <c r="AH191" i="25" s="1"/>
  <c r="W271" i="25"/>
  <c r="J131" i="25"/>
  <c r="AH131" i="25" s="1"/>
  <c r="T131" i="25"/>
  <c r="T119" i="25"/>
  <c r="J119" i="25"/>
  <c r="AH119" i="25" s="1"/>
  <c r="G86" i="25"/>
  <c r="H86" i="25"/>
  <c r="G22" i="25"/>
  <c r="H22" i="25"/>
  <c r="J207" i="25"/>
  <c r="AH207" i="25" s="1"/>
  <c r="T207" i="25"/>
  <c r="T182" i="25"/>
  <c r="J182" i="25"/>
  <c r="AH182" i="25" s="1"/>
  <c r="S108" i="25"/>
  <c r="I108" i="25"/>
  <c r="AG108" i="25" s="1"/>
  <c r="J67" i="25"/>
  <c r="AH67" i="25" s="1"/>
  <c r="T67" i="25"/>
  <c r="I27" i="25"/>
  <c r="AG27" i="25" s="1"/>
  <c r="S27" i="25"/>
  <c r="S221" i="25"/>
  <c r="I221" i="25"/>
  <c r="AG221" i="25" s="1"/>
  <c r="H138" i="25"/>
  <c r="G138" i="25"/>
  <c r="H64" i="25"/>
  <c r="G64" i="25"/>
  <c r="H32" i="25"/>
  <c r="G32" i="25"/>
  <c r="J12" i="25"/>
  <c r="AH12" i="25" s="1"/>
  <c r="T12" i="25"/>
  <c r="I151" i="25"/>
  <c r="AG151" i="25" s="1"/>
  <c r="S151" i="25"/>
  <c r="I118" i="25"/>
  <c r="AG118" i="25" s="1"/>
  <c r="S118" i="25"/>
  <c r="T77" i="25"/>
  <c r="J77" i="25"/>
  <c r="AH77" i="25" s="1"/>
  <c r="H5" i="25"/>
  <c r="G5" i="25"/>
  <c r="T217" i="25"/>
  <c r="J217" i="25"/>
  <c r="AH217" i="25" s="1"/>
  <c r="S181" i="25"/>
  <c r="I181" i="25"/>
  <c r="AG181" i="25" s="1"/>
  <c r="T115" i="25"/>
  <c r="J115" i="25"/>
  <c r="AH115" i="25" s="1"/>
  <c r="H74" i="25"/>
  <c r="G74" i="25"/>
  <c r="H26" i="25"/>
  <c r="G26" i="25"/>
  <c r="T239" i="25"/>
  <c r="J239" i="25"/>
  <c r="AH239" i="25" s="1"/>
  <c r="S192" i="25"/>
  <c r="I192" i="25"/>
  <c r="AG192" i="25" s="1"/>
  <c r="S120" i="25"/>
  <c r="I120" i="25"/>
  <c r="AG120" i="25" s="1"/>
  <c r="I87" i="25"/>
  <c r="AG87" i="25" s="1"/>
  <c r="S87" i="25"/>
  <c r="T167" i="25"/>
  <c r="J167" i="25"/>
  <c r="AH167" i="25" s="1"/>
  <c r="H109" i="25"/>
  <c r="G109" i="25"/>
  <c r="G180" i="25"/>
  <c r="H180" i="25"/>
  <c r="I147" i="25"/>
  <c r="AG147" i="25" s="1"/>
  <c r="S147" i="25"/>
  <c r="G70" i="25"/>
  <c r="H70" i="25"/>
  <c r="T296" i="25"/>
  <c r="T298" i="25"/>
  <c r="T238" i="25"/>
  <c r="J238" i="25"/>
  <c r="AH238" i="25" s="1"/>
  <c r="I191" i="25"/>
  <c r="AG191" i="25" s="1"/>
  <c r="S191" i="25"/>
  <c r="T152" i="25"/>
  <c r="J152" i="25"/>
  <c r="AH152" i="25" s="1"/>
  <c r="T111" i="25"/>
  <c r="J111" i="25"/>
  <c r="AH111" i="25" s="1"/>
  <c r="I78" i="25"/>
  <c r="AG78" i="25" s="1"/>
  <c r="S78" i="25"/>
  <c r="G36" i="25"/>
  <c r="H36" i="25"/>
  <c r="G199" i="25"/>
  <c r="H199" i="25"/>
  <c r="T174" i="25"/>
  <c r="J174" i="25"/>
  <c r="AH174" i="25" s="1"/>
  <c r="I127" i="25"/>
  <c r="AG127" i="25" s="1"/>
  <c r="S127" i="25"/>
  <c r="T91" i="25"/>
  <c r="J91" i="25"/>
  <c r="AH91" i="25" s="1"/>
  <c r="H19" i="25"/>
  <c r="G19" i="25"/>
  <c r="G24" i="25"/>
  <c r="H24" i="25"/>
  <c r="G52" i="25"/>
  <c r="H52" i="25"/>
  <c r="S212" i="25"/>
  <c r="I212" i="25"/>
  <c r="AG212" i="25" s="1"/>
  <c r="T121" i="25"/>
  <c r="J121" i="25"/>
  <c r="AH121" i="25" s="1"/>
  <c r="T88" i="25"/>
  <c r="J88" i="25"/>
  <c r="AH88" i="25" s="1"/>
  <c r="H56" i="25"/>
  <c r="G56" i="25"/>
  <c r="T209" i="25"/>
  <c r="J209" i="25"/>
  <c r="AH209" i="25" s="1"/>
  <c r="S184" i="25"/>
  <c r="I184" i="25"/>
  <c r="AG184" i="25" s="1"/>
  <c r="H110" i="25"/>
  <c r="G110" i="25"/>
  <c r="T37" i="25"/>
  <c r="J37" i="25"/>
  <c r="AH37" i="25" s="1"/>
  <c r="I242" i="25"/>
  <c r="AG242" i="25" s="1"/>
  <c r="S242" i="25"/>
  <c r="I173" i="25"/>
  <c r="AG173" i="25" s="1"/>
  <c r="S173" i="25"/>
  <c r="I148" i="25"/>
  <c r="AG148" i="25" s="1"/>
  <c r="S148" i="25"/>
  <c r="S107" i="25"/>
  <c r="I107" i="25"/>
  <c r="AG107" i="25" s="1"/>
  <c r="H58" i="25"/>
  <c r="G58" i="25"/>
  <c r="H18" i="25"/>
  <c r="G18" i="25"/>
  <c r="G231" i="25"/>
  <c r="H231" i="25"/>
  <c r="H186" i="25"/>
  <c r="G186" i="25"/>
  <c r="S145" i="25"/>
  <c r="I145" i="25"/>
  <c r="AG145" i="25" s="1"/>
  <c r="I131" i="25"/>
  <c r="AG131" i="25" s="1"/>
  <c r="S131" i="25"/>
  <c r="G164" i="25"/>
  <c r="H164" i="25"/>
  <c r="G44" i="25"/>
  <c r="H44" i="25"/>
  <c r="I241" i="25"/>
  <c r="AG241" i="25" s="1"/>
  <c r="S241" i="25"/>
  <c r="I205" i="25"/>
  <c r="AG205" i="25" s="1"/>
  <c r="S205" i="25"/>
  <c r="G172" i="25"/>
  <c r="H172" i="25"/>
  <c r="H139" i="25"/>
  <c r="G139" i="25"/>
  <c r="J57" i="25"/>
  <c r="AH57" i="25" s="1"/>
  <c r="T57" i="25"/>
  <c r="I62" i="25"/>
  <c r="AG62" i="25" s="1"/>
  <c r="S62" i="25"/>
  <c r="G302" i="25"/>
  <c r="S302" i="25" s="1"/>
  <c r="H230" i="25"/>
  <c r="G230" i="25"/>
  <c r="S188" i="25"/>
  <c r="I188" i="25"/>
  <c r="AG188" i="25" s="1"/>
  <c r="I152" i="25"/>
  <c r="AG152" i="25" s="1"/>
  <c r="S152" i="25"/>
  <c r="J78" i="25"/>
  <c r="AH78" i="25" s="1"/>
  <c r="T78" i="25"/>
  <c r="J269" i="25"/>
  <c r="AH269" i="25" s="1"/>
  <c r="T269" i="25"/>
  <c r="G224" i="25"/>
  <c r="H224" i="25"/>
  <c r="H160" i="25"/>
  <c r="G160" i="25"/>
  <c r="H83" i="25"/>
  <c r="G83" i="25"/>
  <c r="H51" i="25"/>
  <c r="G51" i="25"/>
  <c r="T240" i="25"/>
  <c r="J240" i="25"/>
  <c r="AH240" i="25" s="1"/>
  <c r="J204" i="25"/>
  <c r="AH204" i="25" s="1"/>
  <c r="T204" i="25"/>
  <c r="I157" i="25"/>
  <c r="AG157" i="25" s="1"/>
  <c r="S157" i="25"/>
  <c r="I121" i="25"/>
  <c r="AG121" i="25" s="1"/>
  <c r="S121" i="25"/>
  <c r="I88" i="25"/>
  <c r="AG88" i="25" s="1"/>
  <c r="S88" i="25"/>
  <c r="G261" i="25"/>
  <c r="S209" i="25"/>
  <c r="I209" i="25"/>
  <c r="AG209" i="25" s="1"/>
  <c r="G176" i="25"/>
  <c r="H176" i="25"/>
  <c r="S61" i="25"/>
  <c r="I61" i="25"/>
  <c r="AG61" i="25" s="1"/>
  <c r="I29" i="25"/>
  <c r="AG29" i="25" s="1"/>
  <c r="S29" i="25"/>
  <c r="G63" i="25"/>
  <c r="H63" i="25"/>
  <c r="J242" i="25"/>
  <c r="AH242" i="25" s="1"/>
  <c r="T242" i="25"/>
  <c r="T173" i="25"/>
  <c r="J173" i="25"/>
  <c r="AH173" i="25" s="1"/>
  <c r="G104" i="25"/>
  <c r="H104" i="25"/>
  <c r="T137" i="25"/>
  <c r="J137" i="25"/>
  <c r="AH137" i="25" s="1"/>
  <c r="S101" i="25"/>
  <c r="I101" i="25"/>
  <c r="AG101" i="25" s="1"/>
  <c r="T71" i="25"/>
  <c r="J71" i="25"/>
  <c r="AH71" i="25" s="1"/>
  <c r="G23" i="25"/>
  <c r="H23" i="25"/>
  <c r="G84" i="25"/>
  <c r="H84" i="25"/>
  <c r="H236" i="25"/>
  <c r="G236" i="25"/>
  <c r="T233" i="25"/>
  <c r="J233" i="25"/>
  <c r="AH233" i="25" s="1"/>
  <c r="J205" i="25"/>
  <c r="AH205" i="25" s="1"/>
  <c r="T205" i="25"/>
  <c r="T89" i="25"/>
  <c r="J89" i="25"/>
  <c r="AH89" i="25" s="1"/>
  <c r="I57" i="25"/>
  <c r="AG57" i="25" s="1"/>
  <c r="S57" i="25"/>
  <c r="T25" i="25"/>
  <c r="J25" i="25"/>
  <c r="AH25" i="25" s="1"/>
  <c r="J62" i="25"/>
  <c r="AH62" i="25" s="1"/>
  <c r="T62" i="25"/>
  <c r="S6" i="25"/>
  <c r="I6" i="25"/>
  <c r="AG6" i="25" s="1"/>
  <c r="J297" i="25"/>
  <c r="AH297" i="25" s="1"/>
  <c r="G289" i="25"/>
  <c r="S289" i="25" s="1"/>
  <c r="J188" i="25"/>
  <c r="AH188" i="25" s="1"/>
  <c r="T188" i="25"/>
  <c r="I144" i="25"/>
  <c r="AG144" i="25" s="1"/>
  <c r="S144" i="25"/>
  <c r="G97" i="25"/>
  <c r="H97" i="25"/>
  <c r="J38" i="25"/>
  <c r="AH38" i="25" s="1"/>
  <c r="T38" i="25"/>
  <c r="S149" i="25"/>
  <c r="I149" i="25"/>
  <c r="AG149" i="25" s="1"/>
  <c r="S11" i="25"/>
  <c r="I11" i="25"/>
  <c r="AG11" i="25" s="1"/>
  <c r="T8" i="25"/>
  <c r="J8" i="25"/>
  <c r="AH8" i="25" s="1"/>
  <c r="S240" i="25"/>
  <c r="I240" i="25"/>
  <c r="AG240" i="25" s="1"/>
  <c r="S204" i="25"/>
  <c r="I204" i="25"/>
  <c r="AG204" i="25" s="1"/>
  <c r="J157" i="25"/>
  <c r="AH157" i="25" s="1"/>
  <c r="T157" i="25"/>
  <c r="G113" i="25"/>
  <c r="H113" i="25"/>
  <c r="G48" i="25"/>
  <c r="H48" i="25"/>
  <c r="S117" i="25"/>
  <c r="I117" i="25"/>
  <c r="AG117" i="25" s="1"/>
  <c r="G237" i="25"/>
  <c r="H237" i="25"/>
  <c r="T132" i="25"/>
  <c r="J132" i="25"/>
  <c r="AH132" i="25" s="1"/>
  <c r="J61" i="25"/>
  <c r="AH61" i="25" s="1"/>
  <c r="T61" i="25"/>
  <c r="T29" i="25"/>
  <c r="J29" i="25"/>
  <c r="AH29" i="25" s="1"/>
  <c r="S234" i="25"/>
  <c r="I234" i="25"/>
  <c r="AG234" i="25" s="1"/>
  <c r="I206" i="25"/>
  <c r="AG206" i="25" s="1"/>
  <c r="S206" i="25"/>
  <c r="H50" i="25"/>
  <c r="G50" i="25"/>
  <c r="H10" i="25"/>
  <c r="G10" i="25"/>
  <c r="S211" i="25"/>
  <c r="I211" i="25"/>
  <c r="AG211" i="25" s="1"/>
  <c r="I178" i="25"/>
  <c r="AG178" i="25" s="1"/>
  <c r="S178" i="25"/>
  <c r="S137" i="25"/>
  <c r="I137" i="25"/>
  <c r="AG137" i="25" s="1"/>
  <c r="J101" i="25"/>
  <c r="AH101" i="25" s="1"/>
  <c r="T101" i="25"/>
  <c r="I71" i="25"/>
  <c r="AG71" i="25" s="1"/>
  <c r="S71" i="25"/>
  <c r="I200" i="25"/>
  <c r="AG200" i="25" s="1"/>
  <c r="S200" i="25"/>
  <c r="I150" i="25"/>
  <c r="AG150" i="25" s="1"/>
  <c r="S150" i="25"/>
  <c r="G20" i="25"/>
  <c r="H20" i="25"/>
  <c r="G254" i="25"/>
  <c r="S233" i="25"/>
  <c r="I233" i="25"/>
  <c r="AG233" i="25" s="1"/>
  <c r="S197" i="25"/>
  <c r="I197" i="25"/>
  <c r="AG197" i="25" s="1"/>
  <c r="T161" i="25"/>
  <c r="J161" i="25"/>
  <c r="AH161" i="25" s="1"/>
  <c r="I89" i="25"/>
  <c r="AG89" i="25" s="1"/>
  <c r="S89" i="25"/>
  <c r="G49" i="25"/>
  <c r="H49" i="25"/>
  <c r="S25" i="25"/>
  <c r="I25" i="25"/>
  <c r="AG25" i="25" s="1"/>
  <c r="T54" i="25"/>
  <c r="J54" i="25"/>
  <c r="AH54" i="25" s="1"/>
  <c r="I28" i="25"/>
  <c r="AG28" i="25" s="1"/>
  <c r="S28" i="25"/>
  <c r="S210" i="25"/>
  <c r="I210" i="25"/>
  <c r="AG210" i="25" s="1"/>
  <c r="T177" i="25"/>
  <c r="J177" i="25"/>
  <c r="AH177" i="25" s="1"/>
  <c r="T144" i="25"/>
  <c r="J144" i="25"/>
  <c r="AH144" i="25" s="1"/>
  <c r="S38" i="25"/>
  <c r="I38" i="25"/>
  <c r="AG38" i="25" s="1"/>
  <c r="T261" i="25"/>
  <c r="J261" i="25"/>
  <c r="AH261" i="25" s="1"/>
  <c r="I218" i="25"/>
  <c r="AG218" i="25" s="1"/>
  <c r="S218" i="25"/>
  <c r="J149" i="25"/>
  <c r="AH149" i="25" s="1"/>
  <c r="T149" i="25"/>
  <c r="T116" i="25"/>
  <c r="J116" i="25"/>
  <c r="AH116" i="25" s="1"/>
  <c r="J11" i="25"/>
  <c r="AH11" i="25" s="1"/>
  <c r="T11" i="25"/>
  <c r="S8" i="25"/>
  <c r="I8" i="25"/>
  <c r="AG8" i="25" s="1"/>
  <c r="G232" i="25"/>
  <c r="H232" i="25"/>
  <c r="J117" i="25"/>
  <c r="AH117" i="25" s="1"/>
  <c r="T117" i="25"/>
  <c r="J201" i="25"/>
  <c r="AH201" i="25" s="1"/>
  <c r="T201" i="25"/>
  <c r="J168" i="25"/>
  <c r="AH168" i="25" s="1"/>
  <c r="T168" i="25"/>
  <c r="I132" i="25"/>
  <c r="AG132" i="25" s="1"/>
  <c r="S132" i="25"/>
  <c r="S85" i="25"/>
  <c r="I85" i="25"/>
  <c r="AG85" i="25" s="1"/>
  <c r="I53" i="25"/>
  <c r="AG53" i="25" s="1"/>
  <c r="S53" i="25"/>
  <c r="H21" i="25"/>
  <c r="G21" i="25"/>
  <c r="T55" i="25"/>
  <c r="J55" i="25"/>
  <c r="AH55" i="25" s="1"/>
  <c r="J234" i="25"/>
  <c r="AH234" i="25" s="1"/>
  <c r="T234" i="25"/>
  <c r="J206" i="25"/>
  <c r="AH206" i="25" s="1"/>
  <c r="T206" i="25"/>
  <c r="H162" i="25"/>
  <c r="G162" i="25"/>
  <c r="I90" i="25"/>
  <c r="AG90" i="25" s="1"/>
  <c r="S90" i="25"/>
  <c r="H42" i="25"/>
  <c r="G42" i="25"/>
  <c r="T211" i="25"/>
  <c r="J211" i="25"/>
  <c r="AH211" i="25" s="1"/>
  <c r="J178" i="25"/>
  <c r="AH178" i="25" s="1"/>
  <c r="T178" i="25"/>
  <c r="H134" i="25"/>
  <c r="G134" i="25"/>
  <c r="H98" i="25"/>
  <c r="G98" i="25"/>
  <c r="T47" i="25"/>
  <c r="J47" i="25"/>
  <c r="AH47" i="25" s="1"/>
  <c r="G60" i="25"/>
  <c r="H60" i="25"/>
  <c r="J228" i="25"/>
  <c r="AH228" i="25" s="1"/>
  <c r="T228" i="25"/>
  <c r="J150" i="25"/>
  <c r="AH150" i="25" s="1"/>
  <c r="T150" i="25"/>
  <c r="T197" i="25"/>
  <c r="J197" i="25"/>
  <c r="AH197" i="25" s="1"/>
  <c r="I161" i="25"/>
  <c r="AG161" i="25" s="1"/>
  <c r="S161" i="25"/>
  <c r="H122" i="25"/>
  <c r="G122" i="25"/>
  <c r="G81" i="25"/>
  <c r="H81" i="25"/>
  <c r="J41" i="25"/>
  <c r="AH41" i="25" s="1"/>
  <c r="T41" i="25"/>
  <c r="J17" i="25"/>
  <c r="AH17" i="25" s="1"/>
  <c r="T17" i="25"/>
  <c r="I54" i="25"/>
  <c r="AG54" i="25" s="1"/>
  <c r="S54" i="25"/>
  <c r="J28" i="25"/>
  <c r="AH28" i="25" s="1"/>
  <c r="T28" i="25"/>
  <c r="T210" i="25"/>
  <c r="J210" i="25"/>
  <c r="AH210" i="25" s="1"/>
  <c r="I177" i="25"/>
  <c r="AG177" i="25" s="1"/>
  <c r="S177" i="25"/>
  <c r="H130" i="25"/>
  <c r="G130" i="25"/>
  <c r="H94" i="25"/>
  <c r="G94" i="25"/>
  <c r="T30" i="25"/>
  <c r="J30" i="25"/>
  <c r="AH30" i="25" s="1"/>
  <c r="J218" i="25"/>
  <c r="AH218" i="25" s="1"/>
  <c r="T218" i="25"/>
  <c r="H141" i="25"/>
  <c r="G141" i="25"/>
  <c r="I116" i="25"/>
  <c r="AG116" i="25" s="1"/>
  <c r="S116" i="25"/>
  <c r="H35" i="25"/>
  <c r="G35" i="25"/>
  <c r="G92" i="25"/>
  <c r="H92" i="25"/>
  <c r="I190" i="25"/>
  <c r="AG190" i="25" s="1"/>
  <c r="S190" i="25"/>
  <c r="I146" i="25"/>
  <c r="AG146" i="25" s="1"/>
  <c r="S146" i="25"/>
  <c r="I102" i="25"/>
  <c r="AG102" i="25" s="1"/>
  <c r="S102" i="25"/>
  <c r="I72" i="25"/>
  <c r="AG72" i="25" s="1"/>
  <c r="S72" i="25"/>
  <c r="H68" i="25"/>
  <c r="G68" i="25"/>
  <c r="S229" i="25"/>
  <c r="I229" i="25"/>
  <c r="AG229" i="25" s="1"/>
  <c r="S168" i="25"/>
  <c r="I168" i="25"/>
  <c r="AG168" i="25" s="1"/>
  <c r="I126" i="25"/>
  <c r="AG126" i="25" s="1"/>
  <c r="S126" i="25"/>
  <c r="J85" i="25"/>
  <c r="AH85" i="25" s="1"/>
  <c r="T85" i="25"/>
  <c r="J53" i="25"/>
  <c r="AH53" i="25" s="1"/>
  <c r="T53" i="25"/>
  <c r="S55" i="25"/>
  <c r="I55" i="25"/>
  <c r="AG55" i="25" s="1"/>
  <c r="G220" i="25"/>
  <c r="H220" i="25"/>
  <c r="G198" i="25"/>
  <c r="H198" i="25"/>
  <c r="J90" i="25"/>
  <c r="AH90" i="25" s="1"/>
  <c r="T90" i="25"/>
  <c r="G269" i="25"/>
  <c r="I203" i="25"/>
  <c r="AG203" i="25" s="1"/>
  <c r="S203" i="25"/>
  <c r="S47" i="25"/>
  <c r="I47" i="25"/>
  <c r="AG47" i="25" s="1"/>
  <c r="S228" i="25"/>
  <c r="I228" i="25"/>
  <c r="AG228" i="25" s="1"/>
  <c r="G175" i="25"/>
  <c r="H175" i="25"/>
  <c r="S128" i="25"/>
  <c r="I128" i="25"/>
  <c r="AG128" i="25" s="1"/>
  <c r="T250" i="25"/>
  <c r="J250" i="25"/>
  <c r="AH250" i="25" s="1"/>
  <c r="I222" i="25"/>
  <c r="AG222" i="25" s="1"/>
  <c r="S222" i="25"/>
  <c r="H194" i="25"/>
  <c r="G194" i="25"/>
  <c r="J158" i="25"/>
  <c r="AH158" i="25" s="1"/>
  <c r="T158" i="25"/>
  <c r="S41" i="25"/>
  <c r="I41" i="25"/>
  <c r="AG41" i="25" s="1"/>
  <c r="S17" i="25"/>
  <c r="I17" i="25"/>
  <c r="AG17" i="25" s="1"/>
  <c r="I202" i="25"/>
  <c r="AG202" i="25" s="1"/>
  <c r="S202" i="25"/>
  <c r="S30" i="25"/>
  <c r="I30" i="25"/>
  <c r="AG30" i="25" s="1"/>
  <c r="H235" i="25"/>
  <c r="G235" i="25"/>
  <c r="I182" i="25"/>
  <c r="AG182" i="25" s="1"/>
  <c r="S182" i="25"/>
  <c r="T108" i="25"/>
  <c r="J108" i="25"/>
  <c r="AH108" i="25" s="1"/>
  <c r="S67" i="25"/>
  <c r="I67" i="25"/>
  <c r="AG67" i="25" s="1"/>
  <c r="H3" i="25"/>
  <c r="G3" i="25"/>
  <c r="J221" i="25"/>
  <c r="AH221" i="25" s="1"/>
  <c r="T221" i="25"/>
  <c r="H179" i="25"/>
  <c r="G179" i="25"/>
  <c r="J146" i="25"/>
  <c r="AH146" i="25" s="1"/>
  <c r="T146" i="25"/>
  <c r="J102" i="25"/>
  <c r="AH102" i="25" s="1"/>
  <c r="T102" i="25"/>
  <c r="J72" i="25"/>
  <c r="AH72" i="25" s="1"/>
  <c r="T72" i="25"/>
  <c r="J229" i="25"/>
  <c r="AH229" i="25" s="1"/>
  <c r="T229" i="25"/>
  <c r="G187" i="25"/>
  <c r="H187" i="25"/>
  <c r="T151" i="25"/>
  <c r="J151" i="25"/>
  <c r="AH151" i="25" s="1"/>
  <c r="J126" i="25"/>
  <c r="AH126" i="25" s="1"/>
  <c r="T126" i="25"/>
  <c r="I77" i="25"/>
  <c r="AG77" i="25" s="1"/>
  <c r="S77" i="25"/>
  <c r="G156" i="25"/>
  <c r="H156" i="25"/>
  <c r="S115" i="25"/>
  <c r="I115" i="25"/>
  <c r="AG115" i="25" s="1"/>
  <c r="H82" i="25"/>
  <c r="G82" i="25"/>
  <c r="H34" i="25"/>
  <c r="G34" i="25"/>
  <c r="T203" i="25"/>
  <c r="J203" i="25"/>
  <c r="AH203" i="25" s="1"/>
  <c r="T120" i="25"/>
  <c r="J120" i="25"/>
  <c r="AH120" i="25" s="1"/>
  <c r="T87" i="25"/>
  <c r="J87" i="25"/>
  <c r="AH87" i="25" s="1"/>
  <c r="G39" i="25"/>
  <c r="H39" i="25"/>
  <c r="G7" i="25"/>
  <c r="H7" i="25"/>
  <c r="H216" i="25"/>
  <c r="G216" i="25"/>
  <c r="T128" i="25"/>
  <c r="J128" i="25"/>
  <c r="AH128" i="25" s="1"/>
  <c r="J247" i="25"/>
  <c r="AH247" i="25" s="1"/>
  <c r="T247" i="25"/>
  <c r="J222" i="25"/>
  <c r="AH222" i="25" s="1"/>
  <c r="T222" i="25"/>
  <c r="S158" i="25"/>
  <c r="I158" i="25"/>
  <c r="AG158" i="25" s="1"/>
  <c r="H114" i="25"/>
  <c r="G114" i="25"/>
  <c r="G9" i="25"/>
  <c r="H9" i="25"/>
  <c r="T277" i="25"/>
  <c r="J289" i="25"/>
  <c r="AH289" i="25" s="1"/>
  <c r="T288" i="25"/>
  <c r="J290" i="25"/>
  <c r="AH290" i="25" s="1"/>
  <c r="J278" i="25"/>
  <c r="AH278" i="25" s="1"/>
  <c r="J301" i="25"/>
  <c r="AH301" i="25" s="1"/>
  <c r="H314" i="25"/>
  <c r="J314" i="25" s="1"/>
  <c r="AH314" i="25" s="1"/>
  <c r="P314" i="25"/>
  <c r="G314" i="25" s="1"/>
  <c r="H304" i="25"/>
  <c r="J304" i="25" s="1"/>
  <c r="AH304" i="25" s="1"/>
  <c r="P304" i="25"/>
  <c r="G304" i="25" s="1"/>
  <c r="I304" i="25" s="1"/>
  <c r="H325" i="25"/>
  <c r="T325" i="25" s="1"/>
  <c r="P325" i="25"/>
  <c r="G325" i="25" s="1"/>
  <c r="I281" i="25"/>
  <c r="AG281" i="25" s="1"/>
  <c r="S281" i="25"/>
  <c r="S282" i="25"/>
  <c r="I301" i="25"/>
  <c r="AG301" i="25" s="1"/>
  <c r="S301" i="25"/>
  <c r="P313" i="25"/>
  <c r="H331" i="25"/>
  <c r="T331" i="25" s="1"/>
  <c r="P331" i="25"/>
  <c r="G331" i="25" s="1"/>
  <c r="H327" i="25"/>
  <c r="T327" i="25" s="1"/>
  <c r="P327" i="25"/>
  <c r="G327" i="25" s="1"/>
  <c r="H317" i="25"/>
  <c r="J317" i="25" s="1"/>
  <c r="AH317" i="25" s="1"/>
  <c r="P317" i="25"/>
  <c r="G317" i="25" s="1"/>
  <c r="I288" i="25"/>
  <c r="AG288" i="25" s="1"/>
  <c r="S288" i="25"/>
  <c r="I297" i="25"/>
  <c r="AG297" i="25" s="1"/>
  <c r="S297" i="25"/>
  <c r="H305" i="25"/>
  <c r="T305" i="25" s="1"/>
  <c r="P305" i="25"/>
  <c r="G305" i="25" s="1"/>
  <c r="I305" i="25" s="1"/>
  <c r="AG305" i="25" s="1"/>
  <c r="H323" i="25"/>
  <c r="T323" i="25" s="1"/>
  <c r="P323" i="25"/>
  <c r="G323" i="25" s="1"/>
  <c r="H319" i="25"/>
  <c r="T319" i="25" s="1"/>
  <c r="P319" i="25"/>
  <c r="G319" i="25" s="1"/>
  <c r="H309" i="25"/>
  <c r="J309" i="25" s="1"/>
  <c r="AH309" i="25" s="1"/>
  <c r="P309" i="25"/>
  <c r="G309" i="25" s="1"/>
  <c r="I309" i="25" s="1"/>
  <c r="AG309" i="25" s="1"/>
  <c r="H330" i="25"/>
  <c r="T330" i="25" s="1"/>
  <c r="P330" i="25"/>
  <c r="G330" i="25" s="1"/>
  <c r="P315" i="25"/>
  <c r="H311" i="25"/>
  <c r="T311" i="25" s="1"/>
  <c r="P311" i="25"/>
  <c r="G311" i="25" s="1"/>
  <c r="H332" i="25"/>
  <c r="T332" i="25" s="1"/>
  <c r="P332" i="25"/>
  <c r="G332" i="25" s="1"/>
  <c r="I277" i="25"/>
  <c r="AG277" i="25" s="1"/>
  <c r="S277" i="25"/>
  <c r="S290" i="25"/>
  <c r="I290" i="25"/>
  <c r="AG290" i="25" s="1"/>
  <c r="H329" i="25"/>
  <c r="J329" i="25" s="1"/>
  <c r="AH329" i="25" s="1"/>
  <c r="P329" i="25"/>
  <c r="G329" i="25" s="1"/>
  <c r="H307" i="25"/>
  <c r="T307" i="25" s="1"/>
  <c r="P307" i="25"/>
  <c r="G307" i="25" s="1"/>
  <c r="H324" i="25"/>
  <c r="T324" i="25" s="1"/>
  <c r="P324" i="25"/>
  <c r="G324" i="25" s="1"/>
  <c r="S287" i="25"/>
  <c r="I287" i="25"/>
  <c r="AG287" i="25" s="1"/>
  <c r="I293" i="25"/>
  <c r="AG293" i="25" s="1"/>
  <c r="S293" i="25"/>
  <c r="I300" i="25"/>
  <c r="AG300" i="25" s="1"/>
  <c r="S300" i="25"/>
  <c r="H322" i="25"/>
  <c r="T322" i="25" s="1"/>
  <c r="P322" i="25"/>
  <c r="G322" i="25" s="1"/>
  <c r="H328" i="25"/>
  <c r="J328" i="25" s="1"/>
  <c r="AH328" i="25" s="1"/>
  <c r="P328" i="25"/>
  <c r="G328" i="25" s="1"/>
  <c r="H326" i="25"/>
  <c r="T326" i="25" s="1"/>
  <c r="P326" i="25"/>
  <c r="G326" i="25" s="1"/>
  <c r="P316" i="25"/>
  <c r="H306" i="25"/>
  <c r="J306" i="25" s="1"/>
  <c r="AH306" i="25" s="1"/>
  <c r="P306" i="25"/>
  <c r="G306" i="25" s="1"/>
  <c r="I306" i="25" s="1"/>
  <c r="AG306" i="25" s="1"/>
  <c r="H320" i="25"/>
  <c r="J320" i="25" s="1"/>
  <c r="AH320" i="25" s="1"/>
  <c r="P320" i="25"/>
  <c r="G320" i="25" s="1"/>
  <c r="H318" i="25"/>
  <c r="J318" i="25" s="1"/>
  <c r="AH318" i="25" s="1"/>
  <c r="P318" i="25"/>
  <c r="G318" i="25" s="1"/>
  <c r="H308" i="25"/>
  <c r="J308" i="25" s="1"/>
  <c r="AH308" i="25" s="1"/>
  <c r="P308" i="25"/>
  <c r="G308" i="25" s="1"/>
  <c r="I299" i="25"/>
  <c r="AG299" i="25" s="1"/>
  <c r="S299" i="25"/>
  <c r="S295" i="25"/>
  <c r="I295" i="25"/>
  <c r="AG295" i="25" s="1"/>
  <c r="I294" i="25"/>
  <c r="AG294" i="25" s="1"/>
  <c r="S294" i="25"/>
  <c r="H321" i="25"/>
  <c r="J321" i="25" s="1"/>
  <c r="AH321" i="25" s="1"/>
  <c r="P321" i="25"/>
  <c r="G321" i="25" s="1"/>
  <c r="H312" i="25"/>
  <c r="T312" i="25" s="1"/>
  <c r="P312" i="25"/>
  <c r="G312" i="25" s="1"/>
  <c r="H310" i="25"/>
  <c r="J310" i="25" s="1"/>
  <c r="AH310" i="25" s="1"/>
  <c r="P310" i="25"/>
  <c r="G310" i="25" s="1"/>
  <c r="I278" i="25"/>
  <c r="AG278" i="25" s="1"/>
  <c r="S278" i="25"/>
  <c r="I296" i="25"/>
  <c r="AG296" i="25" s="1"/>
  <c r="S296" i="25"/>
  <c r="Q340" i="25"/>
  <c r="Q348" i="25"/>
  <c r="Q356" i="25"/>
  <c r="Q333" i="25"/>
  <c r="Q341" i="25"/>
  <c r="Q349" i="25"/>
  <c r="Q357" i="25"/>
  <c r="Q334" i="25"/>
  <c r="Q342" i="25"/>
  <c r="Q350" i="25"/>
  <c r="Q358" i="25"/>
  <c r="Q335" i="25"/>
  <c r="Q343" i="25"/>
  <c r="Q351" i="25"/>
  <c r="Q359" i="25"/>
  <c r="Q336" i="25"/>
  <c r="Q344" i="25"/>
  <c r="Q352" i="25"/>
  <c r="Q360" i="25"/>
  <c r="Q339" i="25"/>
  <c r="Q347" i="25"/>
  <c r="Q355" i="25"/>
  <c r="Q346" i="25"/>
  <c r="Q338" i="25"/>
  <c r="Q353" i="25"/>
  <c r="Q354" i="25"/>
  <c r="Q361" i="25"/>
  <c r="Q362" i="25"/>
  <c r="Q337" i="25"/>
  <c r="Q345" i="25"/>
  <c r="R339" i="25"/>
  <c r="R347" i="25"/>
  <c r="R355" i="25"/>
  <c r="R362" i="25"/>
  <c r="R340" i="25"/>
  <c r="R348" i="25"/>
  <c r="R356" i="25"/>
  <c r="R333" i="25"/>
  <c r="R341" i="25"/>
  <c r="R349" i="25"/>
  <c r="R357" i="25"/>
  <c r="R338" i="25"/>
  <c r="R334" i="25"/>
  <c r="R342" i="25"/>
  <c r="R350" i="25"/>
  <c r="R358" i="25"/>
  <c r="R354" i="25"/>
  <c r="R335" i="25"/>
  <c r="R343" i="25"/>
  <c r="R351" i="25"/>
  <c r="R359" i="25"/>
  <c r="R336" i="25"/>
  <c r="R344" i="25"/>
  <c r="R352" i="25"/>
  <c r="R360" i="25"/>
  <c r="R346" i="25"/>
  <c r="R337" i="25"/>
  <c r="R345" i="25"/>
  <c r="R353" i="25"/>
  <c r="R361" i="25"/>
  <c r="J326" i="25"/>
  <c r="AH326" i="25" s="1"/>
  <c r="S125" i="25"/>
  <c r="I125" i="25"/>
  <c r="AG125" i="25" s="1"/>
  <c r="T125" i="25"/>
  <c r="S155" i="25"/>
  <c r="I155" i="25"/>
  <c r="AG155" i="25" s="1"/>
  <c r="T215" i="25"/>
  <c r="J215" i="25"/>
  <c r="AH215" i="25" s="1"/>
  <c r="S215" i="25"/>
  <c r="I215" i="25"/>
  <c r="AG215" i="25" s="1"/>
  <c r="J185" i="25"/>
  <c r="AH185" i="25" s="1"/>
  <c r="S185" i="25"/>
  <c r="I185" i="25"/>
  <c r="AG185" i="25" s="1"/>
  <c r="T95" i="25"/>
  <c r="J95" i="25"/>
  <c r="AH95" i="25" s="1"/>
  <c r="T275" i="25"/>
  <c r="J275" i="25"/>
  <c r="AH275" i="25" s="1"/>
  <c r="T245" i="25"/>
  <c r="J245" i="25"/>
  <c r="AH245" i="25" s="1"/>
  <c r="I95" i="25"/>
  <c r="AG95" i="25" s="1"/>
  <c r="S95" i="25"/>
  <c r="S245" i="25"/>
  <c r="I245" i="25"/>
  <c r="AG245" i="25" s="1"/>
  <c r="T273" i="25"/>
  <c r="J273" i="25"/>
  <c r="AH273" i="25" s="1"/>
  <c r="T183" i="25"/>
  <c r="J183" i="25"/>
  <c r="AH183" i="25" s="1"/>
  <c r="J243" i="25"/>
  <c r="AH243" i="25" s="1"/>
  <c r="S243" i="25"/>
  <c r="I243" i="25"/>
  <c r="AG243" i="25" s="1"/>
  <c r="I213" i="25"/>
  <c r="AG213" i="25" s="1"/>
  <c r="T153" i="25"/>
  <c r="J153" i="25"/>
  <c r="AH153" i="25" s="1"/>
  <c r="J213" i="25"/>
  <c r="AH213" i="25" s="1"/>
  <c r="T213" i="25"/>
  <c r="I93" i="25"/>
  <c r="AG93" i="25" s="1"/>
  <c r="S93" i="25"/>
  <c r="S273" i="25"/>
  <c r="J93" i="25"/>
  <c r="AH93" i="25" s="1"/>
  <c r="T93" i="25"/>
  <c r="G303" i="25"/>
  <c r="H303" i="25"/>
  <c r="I123" i="25"/>
  <c r="AG123" i="25" s="1"/>
  <c r="S123" i="25"/>
  <c r="T274" i="25"/>
  <c r="J274" i="25"/>
  <c r="AH274" i="25" s="1"/>
  <c r="J246" i="25"/>
  <c r="AH246" i="25" s="1"/>
  <c r="T246" i="25"/>
  <c r="S246" i="25"/>
  <c r="I246" i="25"/>
  <c r="AG246" i="25" s="1"/>
  <c r="H244" i="25"/>
  <c r="G244" i="25"/>
  <c r="J276" i="25"/>
  <c r="AH276" i="25" s="1"/>
  <c r="T276" i="25"/>
  <c r="T279" i="25"/>
  <c r="J279" i="25"/>
  <c r="AH279" i="25" s="1"/>
  <c r="T249" i="25"/>
  <c r="S279" i="25"/>
  <c r="I279" i="25"/>
  <c r="AG279" i="25" s="1"/>
  <c r="S249" i="25"/>
  <c r="I249" i="25"/>
  <c r="AG249" i="25" s="1"/>
  <c r="S189" i="25"/>
  <c r="I189" i="25"/>
  <c r="AG189" i="25" s="1"/>
  <c r="J99" i="25"/>
  <c r="AH99" i="25" s="1"/>
  <c r="T99" i="25"/>
  <c r="J189" i="25"/>
  <c r="AH189" i="25" s="1"/>
  <c r="T189" i="25"/>
  <c r="S99" i="25"/>
  <c r="I99" i="25"/>
  <c r="AG99" i="25" s="1"/>
  <c r="F219" i="25"/>
  <c r="S129" i="25"/>
  <c r="I129" i="25"/>
  <c r="AG129" i="25" s="1"/>
  <c r="I159" i="25"/>
  <c r="AG159" i="25" s="1"/>
  <c r="S159" i="25"/>
  <c r="L263" i="25"/>
  <c r="AI263" i="25" s="1"/>
  <c r="W78" i="25"/>
  <c r="W119" i="25"/>
  <c r="W270" i="25"/>
  <c r="W88" i="25"/>
  <c r="L257" i="25"/>
  <c r="AI257" i="25" s="1"/>
  <c r="L270" i="25"/>
  <c r="AI270" i="25" s="1"/>
  <c r="W272" i="25"/>
  <c r="W89" i="25"/>
  <c r="L272" i="25"/>
  <c r="AI272" i="25" s="1"/>
  <c r="W238" i="25"/>
  <c r="L271" i="25"/>
  <c r="AI271" i="25" s="1"/>
  <c r="W62" i="25"/>
  <c r="X440" i="25"/>
  <c r="X214" i="25"/>
  <c r="W248" i="25"/>
  <c r="L248" i="25"/>
  <c r="AI248" i="25" s="1"/>
  <c r="X333" i="25"/>
  <c r="X169" i="25"/>
  <c r="W144" i="25"/>
  <c r="W91" i="25"/>
  <c r="W61" i="25"/>
  <c r="X303" i="25"/>
  <c r="W267" i="25"/>
  <c r="L267" i="25"/>
  <c r="AI267" i="25" s="1"/>
  <c r="X244" i="25"/>
  <c r="X140" i="25"/>
  <c r="X124" i="25"/>
  <c r="X65" i="25"/>
  <c r="X4" i="25"/>
  <c r="X96" i="25"/>
  <c r="L266" i="25"/>
  <c r="AI266" i="25" s="1"/>
  <c r="W266" i="25"/>
  <c r="L268" i="25"/>
  <c r="AI268" i="25" s="1"/>
  <c r="W268" i="25"/>
  <c r="W212" i="25"/>
  <c r="X219" i="25"/>
  <c r="X170" i="25"/>
  <c r="X319" i="25"/>
  <c r="L251" i="25"/>
  <c r="AI251" i="25" s="1"/>
  <c r="W251" i="25"/>
  <c r="W191" i="25"/>
  <c r="W147" i="25"/>
  <c r="X40" i="25"/>
  <c r="G19" i="23"/>
  <c r="L145" i="25" l="1"/>
  <c r="AI145" i="25" s="1"/>
  <c r="W145" i="25"/>
  <c r="L217" i="25"/>
  <c r="AI217" i="25" s="1"/>
  <c r="I302" i="25"/>
  <c r="AG302" i="25" s="1"/>
  <c r="W152" i="25"/>
  <c r="L91" i="25"/>
  <c r="AI91" i="25" s="1"/>
  <c r="W117" i="25"/>
  <c r="W204" i="25"/>
  <c r="W115" i="25"/>
  <c r="W107" i="25"/>
  <c r="I153" i="25"/>
  <c r="AG153" i="25" s="1"/>
  <c r="I111" i="25"/>
  <c r="AG111" i="25" s="1"/>
  <c r="W90" i="25"/>
  <c r="I289" i="25"/>
  <c r="AG289" i="25" s="1"/>
  <c r="W158" i="25"/>
  <c r="W132" i="25"/>
  <c r="I183" i="25"/>
  <c r="AG183" i="25" s="1"/>
  <c r="L212" i="25"/>
  <c r="AI212" i="25" s="1"/>
  <c r="S284" i="25"/>
  <c r="W53" i="25"/>
  <c r="J129" i="25"/>
  <c r="AH129" i="25" s="1"/>
  <c r="I280" i="25"/>
  <c r="AG280" i="25" s="1"/>
  <c r="W265" i="25"/>
  <c r="L265" i="25"/>
  <c r="AI265" i="25" s="1"/>
  <c r="W126" i="25"/>
  <c r="L72" i="25"/>
  <c r="AI72" i="25" s="1"/>
  <c r="W161" i="25"/>
  <c r="W72" i="25"/>
  <c r="W295" i="25"/>
  <c r="W30" i="25"/>
  <c r="J202" i="25"/>
  <c r="L152" i="25"/>
  <c r="AI152" i="25" s="1"/>
  <c r="L121" i="25"/>
  <c r="AI121" i="25" s="1"/>
  <c r="W181" i="25"/>
  <c r="J190" i="25"/>
  <c r="AH190" i="25" s="1"/>
  <c r="L204" i="25"/>
  <c r="AI204" i="25" s="1"/>
  <c r="L55" i="25"/>
  <c r="AI55" i="25" s="1"/>
  <c r="W71" i="25"/>
  <c r="W11" i="25"/>
  <c r="W146" i="25"/>
  <c r="L28" i="25"/>
  <c r="AI28" i="25" s="1"/>
  <c r="S298" i="25"/>
  <c r="L252" i="25"/>
  <c r="AI252" i="25" s="1"/>
  <c r="W38" i="25"/>
  <c r="W281" i="25"/>
  <c r="L181" i="25"/>
  <c r="AI181" i="25" s="1"/>
  <c r="W174" i="25"/>
  <c r="L38" i="25"/>
  <c r="AI38" i="25" s="1"/>
  <c r="L281" i="25"/>
  <c r="AI281" i="25" s="1"/>
  <c r="W264" i="25"/>
  <c r="W200" i="25"/>
  <c r="W85" i="25"/>
  <c r="W206" i="25"/>
  <c r="W202" i="25"/>
  <c r="W233" i="25"/>
  <c r="S276" i="25"/>
  <c r="L233" i="25"/>
  <c r="AI233" i="25" s="1"/>
  <c r="W27" i="25"/>
  <c r="W178" i="25"/>
  <c r="W210" i="25"/>
  <c r="L264" i="25"/>
  <c r="AI264" i="25" s="1"/>
  <c r="L148" i="25"/>
  <c r="AI148" i="25" s="1"/>
  <c r="W148" i="25"/>
  <c r="L207" i="25"/>
  <c r="AI207" i="25" s="1"/>
  <c r="L77" i="25"/>
  <c r="AI77" i="25" s="1"/>
  <c r="W6" i="25"/>
  <c r="T6" i="25"/>
  <c r="J123" i="25"/>
  <c r="AH123" i="25" s="1"/>
  <c r="W157" i="25"/>
  <c r="W301" i="25"/>
  <c r="W221" i="25"/>
  <c r="L182" i="25"/>
  <c r="AI182" i="25" s="1"/>
  <c r="L119" i="25"/>
  <c r="AI119" i="25" s="1"/>
  <c r="W120" i="25"/>
  <c r="L191" i="25"/>
  <c r="AI191" i="25" s="1"/>
  <c r="T184" i="25"/>
  <c r="W241" i="25"/>
  <c r="W203" i="25"/>
  <c r="W151" i="25"/>
  <c r="T304" i="25"/>
  <c r="W87" i="25"/>
  <c r="L278" i="25"/>
  <c r="AI278" i="25" s="1"/>
  <c r="W57" i="25"/>
  <c r="W258" i="25"/>
  <c r="W99" i="25"/>
  <c r="W77" i="25"/>
  <c r="L258" i="25"/>
  <c r="AI258" i="25" s="1"/>
  <c r="T159" i="25"/>
  <c r="L147" i="25"/>
  <c r="AI147" i="25" s="1"/>
  <c r="W55" i="25"/>
  <c r="L27" i="25"/>
  <c r="AI27" i="25" s="1"/>
  <c r="W239" i="25"/>
  <c r="W252" i="25"/>
  <c r="L205" i="25"/>
  <c r="AI205" i="25" s="1"/>
  <c r="L239" i="25"/>
  <c r="AI239" i="25" s="1"/>
  <c r="L288" i="25"/>
  <c r="AI288" i="25" s="1"/>
  <c r="W217" i="25"/>
  <c r="L62" i="25"/>
  <c r="AI62" i="25" s="1"/>
  <c r="W173" i="25"/>
  <c r="L6" i="25"/>
  <c r="AI6" i="25" s="1"/>
  <c r="L296" i="25"/>
  <c r="AI296" i="25" s="1"/>
  <c r="W296" i="25"/>
  <c r="L238" i="25"/>
  <c r="AI238" i="25" s="1"/>
  <c r="J324" i="25"/>
  <c r="AH324" i="25" s="1"/>
  <c r="L89" i="25"/>
  <c r="AI89" i="25" s="1"/>
  <c r="T317" i="25"/>
  <c r="L277" i="25"/>
  <c r="AI277" i="25" s="1"/>
  <c r="L131" i="25"/>
  <c r="AI131" i="25" s="1"/>
  <c r="L167" i="25"/>
  <c r="AI167" i="25" s="1"/>
  <c r="J155" i="25"/>
  <c r="AH155" i="25" s="1"/>
  <c r="W131" i="25"/>
  <c r="W127" i="25"/>
  <c r="AG292" i="25"/>
  <c r="W292" i="25"/>
  <c r="L292" i="25"/>
  <c r="AI292" i="25" s="1"/>
  <c r="W102" i="25"/>
  <c r="I274" i="25"/>
  <c r="AG274" i="25" s="1"/>
  <c r="L168" i="25"/>
  <c r="AI168" i="25" s="1"/>
  <c r="L241" i="25"/>
  <c r="AI241" i="25" s="1"/>
  <c r="W149" i="25"/>
  <c r="L158" i="25"/>
  <c r="AI158" i="25" s="1"/>
  <c r="L41" i="25"/>
  <c r="AI41" i="25" s="1"/>
  <c r="L127" i="25"/>
  <c r="AI127" i="25" s="1"/>
  <c r="L57" i="25"/>
  <c r="AI57" i="25" s="1"/>
  <c r="W28" i="25"/>
  <c r="S292" i="25"/>
  <c r="W302" i="25"/>
  <c r="L203" i="25"/>
  <c r="AI203" i="25" s="1"/>
  <c r="W137" i="25"/>
  <c r="S309" i="25"/>
  <c r="W287" i="25"/>
  <c r="I275" i="25"/>
  <c r="AG275" i="25" s="1"/>
  <c r="T320" i="25"/>
  <c r="L90" i="25"/>
  <c r="AI90" i="25" s="1"/>
  <c r="W242" i="25"/>
  <c r="W17" i="25"/>
  <c r="W228" i="25"/>
  <c r="L242" i="25"/>
  <c r="AI242" i="25" s="1"/>
  <c r="L12" i="25"/>
  <c r="AI12" i="25" s="1"/>
  <c r="L178" i="25"/>
  <c r="AI178" i="25" s="1"/>
  <c r="L295" i="25"/>
  <c r="AI295" i="25" s="1"/>
  <c r="L17" i="25"/>
  <c r="AI17" i="25" s="1"/>
  <c r="L240" i="25"/>
  <c r="AI240" i="25" s="1"/>
  <c r="W177" i="25"/>
  <c r="S304" i="25"/>
  <c r="W294" i="25"/>
  <c r="W25" i="25"/>
  <c r="T329" i="25"/>
  <c r="W155" i="25"/>
  <c r="W190" i="25"/>
  <c r="L117" i="25"/>
  <c r="AI117" i="25" s="1"/>
  <c r="W277" i="25"/>
  <c r="I291" i="25"/>
  <c r="W291" i="25" s="1"/>
  <c r="J200" i="25"/>
  <c r="L298" i="25"/>
  <c r="AI298" i="25" s="1"/>
  <c r="W128" i="25"/>
  <c r="W278" i="25"/>
  <c r="W213" i="25"/>
  <c r="J330" i="25"/>
  <c r="AH330" i="25" s="1"/>
  <c r="AG304" i="25"/>
  <c r="W304" i="25"/>
  <c r="L53" i="25"/>
  <c r="AI53" i="25" s="1"/>
  <c r="T318" i="25"/>
  <c r="L120" i="25"/>
  <c r="AI120" i="25" s="1"/>
  <c r="L161" i="25"/>
  <c r="AI161" i="25" s="1"/>
  <c r="L146" i="25"/>
  <c r="AI146" i="25" s="1"/>
  <c r="L116" i="25"/>
  <c r="AI116" i="25" s="1"/>
  <c r="W168" i="25"/>
  <c r="L157" i="25"/>
  <c r="AI157" i="25" s="1"/>
  <c r="L107" i="25"/>
  <c r="AI107" i="25" s="1"/>
  <c r="L149" i="25"/>
  <c r="AI149" i="25" s="1"/>
  <c r="W121" i="25"/>
  <c r="W47" i="25"/>
  <c r="W116" i="25"/>
  <c r="W218" i="25"/>
  <c r="W240" i="25"/>
  <c r="W37" i="25"/>
  <c r="W245" i="25"/>
  <c r="J305" i="25"/>
  <c r="AH305" i="25" s="1"/>
  <c r="L221" i="25"/>
  <c r="AI221" i="25" s="1"/>
  <c r="L301" i="25"/>
  <c r="AI301" i="25" s="1"/>
  <c r="W182" i="25"/>
  <c r="W41" i="25"/>
  <c r="L30" i="25"/>
  <c r="AI30" i="25" s="1"/>
  <c r="L210" i="25"/>
  <c r="AI210" i="25" s="1"/>
  <c r="W205" i="25"/>
  <c r="L293" i="25"/>
  <c r="AI293" i="25" s="1"/>
  <c r="J327" i="25"/>
  <c r="AH327" i="25" s="1"/>
  <c r="W101" i="25"/>
  <c r="L67" i="25"/>
  <c r="AI67" i="25" s="1"/>
  <c r="L144" i="25"/>
  <c r="AI144" i="25" s="1"/>
  <c r="L29" i="25"/>
  <c r="AI29" i="25" s="1"/>
  <c r="L132" i="25"/>
  <c r="AI132" i="25" s="1"/>
  <c r="L37" i="25"/>
  <c r="AI37" i="25" s="1"/>
  <c r="L173" i="25"/>
  <c r="AI173" i="25" s="1"/>
  <c r="L197" i="25"/>
  <c r="AI197" i="25" s="1"/>
  <c r="W167" i="25"/>
  <c r="I201" i="25"/>
  <c r="AG201" i="25" s="1"/>
  <c r="L101" i="25"/>
  <c r="AI101" i="25" s="1"/>
  <c r="W67" i="25"/>
  <c r="W123" i="25"/>
  <c r="W29" i="25"/>
  <c r="L218" i="25"/>
  <c r="AI218" i="25" s="1"/>
  <c r="L126" i="25"/>
  <c r="AI126" i="25" s="1"/>
  <c r="L206" i="25"/>
  <c r="AI206" i="25" s="1"/>
  <c r="W207" i="25"/>
  <c r="L294" i="25"/>
  <c r="AI294" i="25" s="1"/>
  <c r="L287" i="25"/>
  <c r="AI287" i="25" s="1"/>
  <c r="W12" i="25"/>
  <c r="I247" i="25"/>
  <c r="S247" i="25"/>
  <c r="S250" i="25"/>
  <c r="I250" i="25"/>
  <c r="L190" i="25"/>
  <c r="AI190" i="25" s="1"/>
  <c r="L85" i="25"/>
  <c r="AI85" i="25" s="1"/>
  <c r="L228" i="25"/>
  <c r="AI228" i="25" s="1"/>
  <c r="L54" i="25"/>
  <c r="AI54" i="25" s="1"/>
  <c r="W299" i="25"/>
  <c r="L11" i="25"/>
  <c r="AI11" i="25" s="1"/>
  <c r="W54" i="25"/>
  <c r="L289" i="25"/>
  <c r="AI289" i="25" s="1"/>
  <c r="W298" i="25"/>
  <c r="L78" i="25"/>
  <c r="AI78" i="25" s="1"/>
  <c r="L87" i="25"/>
  <c r="AI87" i="25" s="1"/>
  <c r="W234" i="25"/>
  <c r="W289" i="25"/>
  <c r="L137" i="25"/>
  <c r="AI137" i="25" s="1"/>
  <c r="W211" i="25"/>
  <c r="T306" i="25"/>
  <c r="J319" i="25"/>
  <c r="AH319" i="25" s="1"/>
  <c r="L234" i="25"/>
  <c r="AI234" i="25" s="1"/>
  <c r="L128" i="25"/>
  <c r="AI128" i="25" s="1"/>
  <c r="L209" i="25"/>
  <c r="AI209" i="25" s="1"/>
  <c r="L299" i="25"/>
  <c r="AI299" i="25" s="1"/>
  <c r="L188" i="25"/>
  <c r="AI188" i="25" s="1"/>
  <c r="W192" i="25"/>
  <c r="J307" i="25"/>
  <c r="AH307" i="25" s="1"/>
  <c r="L102" i="25"/>
  <c r="AI102" i="25" s="1"/>
  <c r="J325" i="25"/>
  <c r="AH325" i="25" s="1"/>
  <c r="W197" i="25"/>
  <c r="W222" i="25"/>
  <c r="W188" i="25"/>
  <c r="L108" i="25"/>
  <c r="AI108" i="25" s="1"/>
  <c r="T328" i="25"/>
  <c r="J323" i="25"/>
  <c r="AH323" i="25" s="1"/>
  <c r="S305" i="25"/>
  <c r="L192" i="25"/>
  <c r="AI192" i="25" s="1"/>
  <c r="L25" i="25"/>
  <c r="AI25" i="25" s="1"/>
  <c r="W153" i="25"/>
  <c r="W8" i="25"/>
  <c r="L88" i="25"/>
  <c r="AI88" i="25" s="1"/>
  <c r="W125" i="25"/>
  <c r="W229" i="25"/>
  <c r="W300" i="25"/>
  <c r="L8" i="25"/>
  <c r="AI8" i="25" s="1"/>
  <c r="L118" i="25"/>
  <c r="AI118" i="25" s="1"/>
  <c r="W273" i="25"/>
  <c r="L284" i="25"/>
  <c r="AI284" i="25" s="1"/>
  <c r="L229" i="25"/>
  <c r="AI229" i="25" s="1"/>
  <c r="L61" i="25"/>
  <c r="AI61" i="25" s="1"/>
  <c r="L115" i="25"/>
  <c r="AI115" i="25" s="1"/>
  <c r="L222" i="25"/>
  <c r="AI222" i="25" s="1"/>
  <c r="W284" i="25"/>
  <c r="L150" i="25"/>
  <c r="AI150" i="25" s="1"/>
  <c r="L47" i="25"/>
  <c r="AI47" i="25" s="1"/>
  <c r="L211" i="25"/>
  <c r="AI211" i="25" s="1"/>
  <c r="L297" i="25"/>
  <c r="AI297" i="25" s="1"/>
  <c r="W297" i="25"/>
  <c r="W150" i="25"/>
  <c r="W184" i="25"/>
  <c r="W108" i="25"/>
  <c r="W246" i="25"/>
  <c r="L302" i="25"/>
  <c r="AI302" i="25" s="1"/>
  <c r="L174" i="25"/>
  <c r="AI174" i="25" s="1"/>
  <c r="L184" i="25"/>
  <c r="AI184" i="25" s="1"/>
  <c r="L177" i="25"/>
  <c r="AI177" i="25" s="1"/>
  <c r="T321" i="25"/>
  <c r="L151" i="25"/>
  <c r="AI151" i="25" s="1"/>
  <c r="T39" i="25"/>
  <c r="J39" i="25"/>
  <c r="AH39" i="25" s="1"/>
  <c r="S34" i="25"/>
  <c r="I34" i="25"/>
  <c r="AG34" i="25" s="1"/>
  <c r="T187" i="25"/>
  <c r="J187" i="25"/>
  <c r="AH187" i="25" s="1"/>
  <c r="T35" i="25"/>
  <c r="J35" i="25"/>
  <c r="AH35" i="25" s="1"/>
  <c r="J162" i="25"/>
  <c r="AH162" i="25" s="1"/>
  <c r="T162" i="25"/>
  <c r="T21" i="25"/>
  <c r="J21" i="25"/>
  <c r="AH21" i="25" s="1"/>
  <c r="I232" i="25"/>
  <c r="AG232" i="25" s="1"/>
  <c r="S232" i="25"/>
  <c r="J20" i="25"/>
  <c r="AH20" i="25" s="1"/>
  <c r="T20" i="25"/>
  <c r="I10" i="25"/>
  <c r="AG10" i="25" s="1"/>
  <c r="S10" i="25"/>
  <c r="J237" i="25"/>
  <c r="AH237" i="25" s="1"/>
  <c r="T237" i="25"/>
  <c r="I84" i="25"/>
  <c r="AG84" i="25" s="1"/>
  <c r="S84" i="25"/>
  <c r="I63" i="25"/>
  <c r="AG63" i="25" s="1"/>
  <c r="S63" i="25"/>
  <c r="I160" i="25"/>
  <c r="AG160" i="25" s="1"/>
  <c r="S160" i="25"/>
  <c r="T58" i="25"/>
  <c r="J58" i="25"/>
  <c r="AH58" i="25" s="1"/>
  <c r="T19" i="25"/>
  <c r="J19" i="25"/>
  <c r="AH19" i="25" s="1"/>
  <c r="S199" i="25"/>
  <c r="I199" i="25"/>
  <c r="AG199" i="25" s="1"/>
  <c r="T70" i="25"/>
  <c r="J70" i="25"/>
  <c r="AH70" i="25" s="1"/>
  <c r="I124" i="25"/>
  <c r="AG124" i="25" s="1"/>
  <c r="S124" i="25"/>
  <c r="H142" i="25"/>
  <c r="G142" i="25"/>
  <c r="I227" i="25"/>
  <c r="AG227" i="25" s="1"/>
  <c r="S227" i="25"/>
  <c r="H80" i="25"/>
  <c r="G80" i="25"/>
  <c r="J66" i="25"/>
  <c r="AH66" i="25" s="1"/>
  <c r="T66" i="25"/>
  <c r="J331" i="25"/>
  <c r="AH331" i="25" s="1"/>
  <c r="I39" i="25"/>
  <c r="AG39" i="25" s="1"/>
  <c r="S39" i="25"/>
  <c r="J34" i="25"/>
  <c r="AH34" i="25" s="1"/>
  <c r="T34" i="25"/>
  <c r="I187" i="25"/>
  <c r="AG187" i="25" s="1"/>
  <c r="S187" i="25"/>
  <c r="J198" i="25"/>
  <c r="AH198" i="25" s="1"/>
  <c r="T198" i="25"/>
  <c r="S94" i="25"/>
  <c r="I94" i="25"/>
  <c r="AG94" i="25" s="1"/>
  <c r="T81" i="25"/>
  <c r="J81" i="25"/>
  <c r="AH81" i="25" s="1"/>
  <c r="I20" i="25"/>
  <c r="AG20" i="25" s="1"/>
  <c r="S20" i="25"/>
  <c r="J10" i="25"/>
  <c r="AH10" i="25" s="1"/>
  <c r="T10" i="25"/>
  <c r="I237" i="25"/>
  <c r="AG237" i="25" s="1"/>
  <c r="S237" i="25"/>
  <c r="T23" i="25"/>
  <c r="J23" i="25"/>
  <c r="AH23" i="25" s="1"/>
  <c r="T104" i="25"/>
  <c r="J104" i="25"/>
  <c r="AH104" i="25" s="1"/>
  <c r="I261" i="25"/>
  <c r="AG261" i="25" s="1"/>
  <c r="S261" i="25"/>
  <c r="T160" i="25"/>
  <c r="J160" i="25"/>
  <c r="AH160" i="25" s="1"/>
  <c r="I139" i="25"/>
  <c r="AG139" i="25" s="1"/>
  <c r="S139" i="25"/>
  <c r="T44" i="25"/>
  <c r="J44" i="25"/>
  <c r="AH44" i="25" s="1"/>
  <c r="S186" i="25"/>
  <c r="I186" i="25"/>
  <c r="AG186" i="25" s="1"/>
  <c r="J36" i="25"/>
  <c r="AH36" i="25" s="1"/>
  <c r="T36" i="25"/>
  <c r="I70" i="25"/>
  <c r="AG70" i="25" s="1"/>
  <c r="S70" i="25"/>
  <c r="I171" i="25"/>
  <c r="AG171" i="25" s="1"/>
  <c r="S171" i="25"/>
  <c r="J227" i="25"/>
  <c r="AH227" i="25" s="1"/>
  <c r="T227" i="25"/>
  <c r="H259" i="25"/>
  <c r="G259" i="25"/>
  <c r="I114" i="25"/>
  <c r="AG114" i="25" s="1"/>
  <c r="S114" i="25"/>
  <c r="I82" i="25"/>
  <c r="AG82" i="25" s="1"/>
  <c r="S82" i="25"/>
  <c r="I179" i="25"/>
  <c r="AG179" i="25" s="1"/>
  <c r="S179" i="25"/>
  <c r="I198" i="25"/>
  <c r="AG198" i="25" s="1"/>
  <c r="S198" i="25"/>
  <c r="J94" i="25"/>
  <c r="AH94" i="25" s="1"/>
  <c r="T94" i="25"/>
  <c r="S81" i="25"/>
  <c r="I81" i="25"/>
  <c r="AG81" i="25" s="1"/>
  <c r="I50" i="25"/>
  <c r="AG50" i="25" s="1"/>
  <c r="S50" i="25"/>
  <c r="J97" i="25"/>
  <c r="AH97" i="25" s="1"/>
  <c r="T97" i="25"/>
  <c r="I23" i="25"/>
  <c r="AG23" i="25" s="1"/>
  <c r="S23" i="25"/>
  <c r="S104" i="25"/>
  <c r="I104" i="25"/>
  <c r="AG104" i="25" s="1"/>
  <c r="J224" i="25"/>
  <c r="AH224" i="25" s="1"/>
  <c r="T224" i="25"/>
  <c r="T139" i="25"/>
  <c r="J139" i="25"/>
  <c r="AH139" i="25" s="1"/>
  <c r="S44" i="25"/>
  <c r="I44" i="25"/>
  <c r="AG44" i="25" s="1"/>
  <c r="T186" i="25"/>
  <c r="J186" i="25"/>
  <c r="AH186" i="25" s="1"/>
  <c r="I36" i="25"/>
  <c r="AG36" i="25" s="1"/>
  <c r="S36" i="25"/>
  <c r="I26" i="25"/>
  <c r="AG26" i="25" s="1"/>
  <c r="S26" i="25"/>
  <c r="S32" i="25"/>
  <c r="I32" i="25"/>
  <c r="AG32" i="25" s="1"/>
  <c r="J214" i="25"/>
  <c r="AH214" i="25" s="1"/>
  <c r="T214" i="25"/>
  <c r="G14" i="25"/>
  <c r="H14" i="25"/>
  <c r="T171" i="25"/>
  <c r="J171" i="25"/>
  <c r="AH171" i="25" s="1"/>
  <c r="G4" i="25"/>
  <c r="H4" i="25"/>
  <c r="T33" i="25"/>
  <c r="J33" i="25"/>
  <c r="AH33" i="25" s="1"/>
  <c r="I69" i="25"/>
  <c r="AG69" i="25" s="1"/>
  <c r="S69" i="25"/>
  <c r="S40" i="25"/>
  <c r="I40" i="25"/>
  <c r="AG40" i="25" s="1"/>
  <c r="T309" i="25"/>
  <c r="J322" i="25"/>
  <c r="AH322" i="25" s="1"/>
  <c r="J332" i="25"/>
  <c r="AH332" i="25" s="1"/>
  <c r="T310" i="25"/>
  <c r="J114" i="25"/>
  <c r="AH114" i="25" s="1"/>
  <c r="T114" i="25"/>
  <c r="J82" i="25"/>
  <c r="AH82" i="25" s="1"/>
  <c r="T82" i="25"/>
  <c r="T179" i="25"/>
  <c r="J179" i="25"/>
  <c r="AH179" i="25" s="1"/>
  <c r="J220" i="25"/>
  <c r="AH220" i="25" s="1"/>
  <c r="T220" i="25"/>
  <c r="S68" i="25"/>
  <c r="I68" i="25"/>
  <c r="AG68" i="25" s="1"/>
  <c r="S141" i="25"/>
  <c r="I141" i="25"/>
  <c r="AG141" i="25" s="1"/>
  <c r="I130" i="25"/>
  <c r="AG130" i="25" s="1"/>
  <c r="S130" i="25"/>
  <c r="I122" i="25"/>
  <c r="AG122" i="25" s="1"/>
  <c r="S122" i="25"/>
  <c r="I98" i="25"/>
  <c r="AG98" i="25" s="1"/>
  <c r="S98" i="25"/>
  <c r="I42" i="25"/>
  <c r="AG42" i="25" s="1"/>
  <c r="S42" i="25"/>
  <c r="J50" i="25"/>
  <c r="AH50" i="25" s="1"/>
  <c r="T50" i="25"/>
  <c r="S97" i="25"/>
  <c r="I97" i="25"/>
  <c r="AG97" i="25" s="1"/>
  <c r="S224" i="25"/>
  <c r="I224" i="25"/>
  <c r="AG224" i="25" s="1"/>
  <c r="J172" i="25"/>
  <c r="AH172" i="25" s="1"/>
  <c r="T172" i="25"/>
  <c r="J164" i="25"/>
  <c r="AH164" i="25" s="1"/>
  <c r="T164" i="25"/>
  <c r="J231" i="25"/>
  <c r="AH231" i="25" s="1"/>
  <c r="T231" i="25"/>
  <c r="I110" i="25"/>
  <c r="AG110" i="25" s="1"/>
  <c r="S110" i="25"/>
  <c r="S56" i="25"/>
  <c r="I56" i="25"/>
  <c r="AG56" i="25" s="1"/>
  <c r="T52" i="25"/>
  <c r="J52" i="25"/>
  <c r="AH52" i="25" s="1"/>
  <c r="J26" i="25"/>
  <c r="AH26" i="25" s="1"/>
  <c r="T26" i="25"/>
  <c r="W118" i="25"/>
  <c r="T32" i="25"/>
  <c r="J32" i="25"/>
  <c r="AH32" i="25" s="1"/>
  <c r="S214" i="25"/>
  <c r="I214" i="25"/>
  <c r="AG214" i="25" s="1"/>
  <c r="T208" i="25"/>
  <c r="J208" i="25"/>
  <c r="AH208" i="25" s="1"/>
  <c r="S33" i="25"/>
  <c r="I33" i="25"/>
  <c r="AG33" i="25" s="1"/>
  <c r="T69" i="25"/>
  <c r="J69" i="25"/>
  <c r="AH69" i="25" s="1"/>
  <c r="T40" i="25"/>
  <c r="J40" i="25"/>
  <c r="AH40" i="25" s="1"/>
  <c r="J31" i="25"/>
  <c r="AH31" i="25" s="1"/>
  <c r="T31" i="25"/>
  <c r="T65" i="25"/>
  <c r="J65" i="25"/>
  <c r="AH65" i="25" s="1"/>
  <c r="W279" i="25"/>
  <c r="L71" i="25"/>
  <c r="AI71" i="25" s="1"/>
  <c r="L300" i="25"/>
  <c r="AI300" i="25" s="1"/>
  <c r="W209" i="25"/>
  <c r="W282" i="25"/>
  <c r="I216" i="25"/>
  <c r="AG216" i="25" s="1"/>
  <c r="S216" i="25"/>
  <c r="I220" i="25"/>
  <c r="AG220" i="25" s="1"/>
  <c r="S220" i="25"/>
  <c r="J68" i="25"/>
  <c r="AH68" i="25" s="1"/>
  <c r="T68" i="25"/>
  <c r="J141" i="25"/>
  <c r="AH141" i="25" s="1"/>
  <c r="T141" i="25"/>
  <c r="J130" i="25"/>
  <c r="AH130" i="25" s="1"/>
  <c r="T130" i="25"/>
  <c r="J122" i="25"/>
  <c r="AH122" i="25" s="1"/>
  <c r="T122" i="25"/>
  <c r="T98" i="25"/>
  <c r="J98" i="25"/>
  <c r="AH98" i="25" s="1"/>
  <c r="J42" i="25"/>
  <c r="AH42" i="25" s="1"/>
  <c r="T42" i="25"/>
  <c r="T48" i="25"/>
  <c r="J48" i="25"/>
  <c r="AH48" i="25" s="1"/>
  <c r="S51" i="25"/>
  <c r="I51" i="25"/>
  <c r="AG51" i="25" s="1"/>
  <c r="I172" i="25"/>
  <c r="AG172" i="25" s="1"/>
  <c r="S172" i="25"/>
  <c r="I164" i="25"/>
  <c r="AG164" i="25" s="1"/>
  <c r="S164" i="25"/>
  <c r="S231" i="25"/>
  <c r="I231" i="25"/>
  <c r="AG231" i="25" s="1"/>
  <c r="T110" i="25"/>
  <c r="J110" i="25"/>
  <c r="AH110" i="25" s="1"/>
  <c r="T56" i="25"/>
  <c r="J56" i="25"/>
  <c r="AH56" i="25" s="1"/>
  <c r="S52" i="25"/>
  <c r="I52" i="25"/>
  <c r="AG52" i="25" s="1"/>
  <c r="T180" i="25"/>
  <c r="J180" i="25"/>
  <c r="AH180" i="25" s="1"/>
  <c r="S74" i="25"/>
  <c r="I74" i="25"/>
  <c r="AG74" i="25" s="1"/>
  <c r="S64" i="25"/>
  <c r="I64" i="25"/>
  <c r="AG64" i="25" s="1"/>
  <c r="J22" i="25"/>
  <c r="AH22" i="25" s="1"/>
  <c r="T22" i="25"/>
  <c r="H154" i="25"/>
  <c r="G154" i="25"/>
  <c r="J100" i="25"/>
  <c r="AH100" i="25" s="1"/>
  <c r="T100" i="25"/>
  <c r="S260" i="25"/>
  <c r="I260" i="25"/>
  <c r="AG260" i="25" s="1"/>
  <c r="S208" i="25"/>
  <c r="I208" i="25"/>
  <c r="AG208" i="25" s="1"/>
  <c r="T112" i="25"/>
  <c r="J112" i="25"/>
  <c r="AH112" i="25" s="1"/>
  <c r="I31" i="25"/>
  <c r="AG31" i="25" s="1"/>
  <c r="S31" i="25"/>
  <c r="S65" i="25"/>
  <c r="I65" i="25"/>
  <c r="AG65" i="25" s="1"/>
  <c r="Y263" i="25"/>
  <c r="AA263" i="25" s="1"/>
  <c r="L282" i="25"/>
  <c r="AI282" i="25" s="1"/>
  <c r="J311" i="25"/>
  <c r="AH311" i="25" s="1"/>
  <c r="T314" i="25"/>
  <c r="J216" i="25"/>
  <c r="AH216" i="25" s="1"/>
  <c r="T216" i="25"/>
  <c r="T92" i="25"/>
  <c r="J92" i="25"/>
  <c r="AH92" i="25" s="1"/>
  <c r="T60" i="25"/>
  <c r="J60" i="25"/>
  <c r="AH60" i="25" s="1"/>
  <c r="I134" i="25"/>
  <c r="AG134" i="25" s="1"/>
  <c r="S134" i="25"/>
  <c r="T49" i="25"/>
  <c r="J49" i="25"/>
  <c r="AH49" i="25" s="1"/>
  <c r="I48" i="25"/>
  <c r="AG48" i="25" s="1"/>
  <c r="S48" i="25"/>
  <c r="S236" i="25"/>
  <c r="I236" i="25"/>
  <c r="AG236" i="25" s="1"/>
  <c r="J176" i="25"/>
  <c r="AH176" i="25" s="1"/>
  <c r="T176" i="25"/>
  <c r="T51" i="25"/>
  <c r="J51" i="25"/>
  <c r="AH51" i="25" s="1"/>
  <c r="I18" i="25"/>
  <c r="AG18" i="25" s="1"/>
  <c r="S18" i="25"/>
  <c r="T24" i="25"/>
  <c r="J24" i="25"/>
  <c r="AH24" i="25" s="1"/>
  <c r="S180" i="25"/>
  <c r="I180" i="25"/>
  <c r="AG180" i="25" s="1"/>
  <c r="T74" i="25"/>
  <c r="J74" i="25"/>
  <c r="AH74" i="25" s="1"/>
  <c r="J64" i="25"/>
  <c r="AH64" i="25" s="1"/>
  <c r="T64" i="25"/>
  <c r="S22" i="25"/>
  <c r="I22" i="25"/>
  <c r="AG22" i="25" s="1"/>
  <c r="I100" i="25"/>
  <c r="AG100" i="25" s="1"/>
  <c r="S100" i="25"/>
  <c r="J260" i="25"/>
  <c r="AH260" i="25" s="1"/>
  <c r="T260" i="25"/>
  <c r="S262" i="25"/>
  <c r="I262" i="25"/>
  <c r="AG262" i="25" s="1"/>
  <c r="S112" i="25"/>
  <c r="I112" i="25"/>
  <c r="AG112" i="25" s="1"/>
  <c r="I170" i="25"/>
  <c r="AG170" i="25" s="1"/>
  <c r="S170" i="25"/>
  <c r="T79" i="25"/>
  <c r="J79" i="25"/>
  <c r="AH79" i="25" s="1"/>
  <c r="J140" i="25"/>
  <c r="AH140" i="25" s="1"/>
  <c r="T140" i="25"/>
  <c r="T9" i="25"/>
  <c r="J9" i="25"/>
  <c r="AH9" i="25" s="1"/>
  <c r="J7" i="25"/>
  <c r="AH7" i="25" s="1"/>
  <c r="T7" i="25"/>
  <c r="J156" i="25"/>
  <c r="AH156" i="25" s="1"/>
  <c r="T156" i="25"/>
  <c r="S3" i="25"/>
  <c r="I3" i="25"/>
  <c r="AG3" i="25" s="1"/>
  <c r="I235" i="25"/>
  <c r="AG235" i="25" s="1"/>
  <c r="S235" i="25"/>
  <c r="S194" i="25"/>
  <c r="I194" i="25"/>
  <c r="AG194" i="25" s="1"/>
  <c r="T175" i="25"/>
  <c r="J175" i="25"/>
  <c r="AH175" i="25" s="1"/>
  <c r="S269" i="25"/>
  <c r="I269" i="25"/>
  <c r="AG269" i="25" s="1"/>
  <c r="S92" i="25"/>
  <c r="I92" i="25"/>
  <c r="AG92" i="25" s="1"/>
  <c r="I60" i="25"/>
  <c r="AG60" i="25" s="1"/>
  <c r="S60" i="25"/>
  <c r="J134" i="25"/>
  <c r="AH134" i="25" s="1"/>
  <c r="T134" i="25"/>
  <c r="I49" i="25"/>
  <c r="AG49" i="25" s="1"/>
  <c r="S49" i="25"/>
  <c r="T113" i="25"/>
  <c r="J113" i="25"/>
  <c r="AH113" i="25" s="1"/>
  <c r="T236" i="25"/>
  <c r="J236" i="25"/>
  <c r="AH236" i="25" s="1"/>
  <c r="I176" i="25"/>
  <c r="AG176" i="25" s="1"/>
  <c r="S176" i="25"/>
  <c r="S83" i="25"/>
  <c r="I83" i="25"/>
  <c r="AG83" i="25" s="1"/>
  <c r="S230" i="25"/>
  <c r="I230" i="25"/>
  <c r="AG230" i="25" s="1"/>
  <c r="T18" i="25"/>
  <c r="J18" i="25"/>
  <c r="AH18" i="25" s="1"/>
  <c r="I24" i="25"/>
  <c r="AG24" i="25" s="1"/>
  <c r="S24" i="25"/>
  <c r="I109" i="25"/>
  <c r="AG109" i="25" s="1"/>
  <c r="S109" i="25"/>
  <c r="S5" i="25"/>
  <c r="I5" i="25"/>
  <c r="AG5" i="25" s="1"/>
  <c r="I138" i="25"/>
  <c r="AG138" i="25" s="1"/>
  <c r="S138" i="25"/>
  <c r="J86" i="25"/>
  <c r="AH86" i="25" s="1"/>
  <c r="T86" i="25"/>
  <c r="T96" i="25"/>
  <c r="J96" i="25"/>
  <c r="AH96" i="25" s="1"/>
  <c r="J262" i="25"/>
  <c r="AH262" i="25" s="1"/>
  <c r="T262" i="25"/>
  <c r="J143" i="25"/>
  <c r="AH143" i="25" s="1"/>
  <c r="T143" i="25"/>
  <c r="I59" i="25"/>
  <c r="AG59" i="25" s="1"/>
  <c r="S59" i="25"/>
  <c r="J170" i="25"/>
  <c r="AH170" i="25" s="1"/>
  <c r="T170" i="25"/>
  <c r="S79" i="25"/>
  <c r="I79" i="25"/>
  <c r="AG79" i="25" s="1"/>
  <c r="I140" i="25"/>
  <c r="AG140" i="25" s="1"/>
  <c r="S140" i="25"/>
  <c r="S9" i="25"/>
  <c r="I9" i="25"/>
  <c r="AG9" i="25" s="1"/>
  <c r="I7" i="25"/>
  <c r="AG7" i="25" s="1"/>
  <c r="S7" i="25"/>
  <c r="I156" i="25"/>
  <c r="AG156" i="25" s="1"/>
  <c r="S156" i="25"/>
  <c r="J3" i="25"/>
  <c r="AH3" i="25" s="1"/>
  <c r="T3" i="25"/>
  <c r="J235" i="25"/>
  <c r="AH235" i="25" s="1"/>
  <c r="T235" i="25"/>
  <c r="J194" i="25"/>
  <c r="AH194" i="25" s="1"/>
  <c r="T194" i="25"/>
  <c r="I175" i="25"/>
  <c r="AG175" i="25" s="1"/>
  <c r="S175" i="25"/>
  <c r="S35" i="25"/>
  <c r="I35" i="25"/>
  <c r="AG35" i="25" s="1"/>
  <c r="S162" i="25"/>
  <c r="I162" i="25"/>
  <c r="AG162" i="25" s="1"/>
  <c r="S21" i="25"/>
  <c r="I21" i="25"/>
  <c r="AG21" i="25" s="1"/>
  <c r="T232" i="25"/>
  <c r="J232" i="25"/>
  <c r="AH232" i="25" s="1"/>
  <c r="I254" i="25"/>
  <c r="AG254" i="25" s="1"/>
  <c r="S254" i="25"/>
  <c r="S113" i="25"/>
  <c r="I113" i="25"/>
  <c r="AG113" i="25" s="1"/>
  <c r="J84" i="25"/>
  <c r="AH84" i="25" s="1"/>
  <c r="T84" i="25"/>
  <c r="J63" i="25"/>
  <c r="AH63" i="25" s="1"/>
  <c r="T63" i="25"/>
  <c r="T83" i="25"/>
  <c r="J83" i="25"/>
  <c r="AH83" i="25" s="1"/>
  <c r="T230" i="25"/>
  <c r="J230" i="25"/>
  <c r="AH230" i="25" s="1"/>
  <c r="I58" i="25"/>
  <c r="AG58" i="25" s="1"/>
  <c r="S58" i="25"/>
  <c r="S19" i="25"/>
  <c r="I19" i="25"/>
  <c r="AG19" i="25" s="1"/>
  <c r="T199" i="25"/>
  <c r="J199" i="25"/>
  <c r="AH199" i="25" s="1"/>
  <c r="T109" i="25"/>
  <c r="J109" i="25"/>
  <c r="AH109" i="25" s="1"/>
  <c r="T5" i="25"/>
  <c r="J5" i="25"/>
  <c r="AH5" i="25" s="1"/>
  <c r="J138" i="25"/>
  <c r="AH138" i="25" s="1"/>
  <c r="T138" i="25"/>
  <c r="I86" i="25"/>
  <c r="AG86" i="25" s="1"/>
  <c r="S86" i="25"/>
  <c r="T124" i="25"/>
  <c r="J124" i="25"/>
  <c r="AH124" i="25" s="1"/>
  <c r="I96" i="25"/>
  <c r="AG96" i="25" s="1"/>
  <c r="S96" i="25"/>
  <c r="I143" i="25"/>
  <c r="AG143" i="25" s="1"/>
  <c r="S143" i="25"/>
  <c r="T59" i="25"/>
  <c r="J59" i="25"/>
  <c r="AH59" i="25" s="1"/>
  <c r="G169" i="25"/>
  <c r="H169" i="25"/>
  <c r="S66" i="25"/>
  <c r="I66" i="25"/>
  <c r="AG66" i="25" s="1"/>
  <c r="T308" i="25"/>
  <c r="L153" i="25"/>
  <c r="AI153" i="25" s="1"/>
  <c r="J312" i="25"/>
  <c r="AH312" i="25" s="1"/>
  <c r="W306" i="25"/>
  <c r="W129" i="25"/>
  <c r="S306" i="25"/>
  <c r="L290" i="25"/>
  <c r="AI290" i="25" s="1"/>
  <c r="W290" i="25"/>
  <c r="L213" i="25"/>
  <c r="AI213" i="25" s="1"/>
  <c r="H362" i="25"/>
  <c r="T362" i="25" s="1"/>
  <c r="P362" i="25"/>
  <c r="G362" i="25" s="1"/>
  <c r="H339" i="25"/>
  <c r="T339" i="25" s="1"/>
  <c r="P339" i="25"/>
  <c r="G339" i="25" s="1"/>
  <c r="H335" i="25"/>
  <c r="J335" i="25" s="1"/>
  <c r="AH335" i="25" s="1"/>
  <c r="P335" i="25"/>
  <c r="G335" i="25" s="1"/>
  <c r="H333" i="25"/>
  <c r="T333" i="25" s="1"/>
  <c r="P333" i="25"/>
  <c r="G333" i="25" s="1"/>
  <c r="I333" i="25" s="1"/>
  <c r="AG333" i="25" s="1"/>
  <c r="I321" i="25"/>
  <c r="AG321" i="25" s="1"/>
  <c r="S321" i="25"/>
  <c r="I326" i="25"/>
  <c r="AG326" i="25" s="1"/>
  <c r="S326" i="25"/>
  <c r="I324" i="25"/>
  <c r="AG324" i="25" s="1"/>
  <c r="S324" i="25"/>
  <c r="I319" i="25"/>
  <c r="AG319" i="25" s="1"/>
  <c r="S319" i="25"/>
  <c r="H361" i="25"/>
  <c r="T361" i="25" s="1"/>
  <c r="P361" i="25"/>
  <c r="G361" i="25" s="1"/>
  <c r="H360" i="25"/>
  <c r="T360" i="25" s="1"/>
  <c r="P360" i="25"/>
  <c r="G360" i="25" s="1"/>
  <c r="H358" i="25"/>
  <c r="T358" i="25" s="1"/>
  <c r="P358" i="25"/>
  <c r="G358" i="25" s="1"/>
  <c r="H356" i="25"/>
  <c r="J356" i="25" s="1"/>
  <c r="AH356" i="25" s="1"/>
  <c r="P356" i="25"/>
  <c r="G356" i="25" s="1"/>
  <c r="W288" i="25"/>
  <c r="H354" i="25"/>
  <c r="T354" i="25" s="1"/>
  <c r="P354" i="25"/>
  <c r="G354" i="25" s="1"/>
  <c r="H352" i="25"/>
  <c r="T352" i="25" s="1"/>
  <c r="P352" i="25"/>
  <c r="G352" i="25" s="1"/>
  <c r="H350" i="25"/>
  <c r="T350" i="25" s="1"/>
  <c r="P350" i="25"/>
  <c r="G350" i="25" s="1"/>
  <c r="H348" i="25"/>
  <c r="J348" i="25" s="1"/>
  <c r="AH348" i="25" s="1"/>
  <c r="P348" i="25"/>
  <c r="G348" i="25" s="1"/>
  <c r="S308" i="25"/>
  <c r="I308" i="25"/>
  <c r="AG308" i="25" s="1"/>
  <c r="S328" i="25"/>
  <c r="I328" i="25"/>
  <c r="AG328" i="25" s="1"/>
  <c r="I307" i="25"/>
  <c r="AG307" i="25" s="1"/>
  <c r="S307" i="25"/>
  <c r="I330" i="25"/>
  <c r="AG330" i="25" s="1"/>
  <c r="S330" i="25"/>
  <c r="I323" i="25"/>
  <c r="AG323" i="25" s="1"/>
  <c r="S323" i="25"/>
  <c r="S317" i="25"/>
  <c r="I317" i="25"/>
  <c r="AG317" i="25" s="1"/>
  <c r="S325" i="25"/>
  <c r="I325" i="25"/>
  <c r="AG325" i="25" s="1"/>
  <c r="H353" i="25"/>
  <c r="J353" i="25" s="1"/>
  <c r="AH353" i="25" s="1"/>
  <c r="P353" i="25"/>
  <c r="G353" i="25" s="1"/>
  <c r="H344" i="25"/>
  <c r="T344" i="25" s="1"/>
  <c r="P344" i="25"/>
  <c r="G344" i="25" s="1"/>
  <c r="H342" i="25"/>
  <c r="J342" i="25" s="1"/>
  <c r="AH342" i="25" s="1"/>
  <c r="P342" i="25"/>
  <c r="G342" i="25" s="1"/>
  <c r="H340" i="25"/>
  <c r="T340" i="25" s="1"/>
  <c r="P340" i="25"/>
  <c r="G340" i="25" s="1"/>
  <c r="H338" i="25"/>
  <c r="J338" i="25" s="1"/>
  <c r="AH338" i="25" s="1"/>
  <c r="P338" i="25"/>
  <c r="G338" i="25" s="1"/>
  <c r="H336" i="25"/>
  <c r="P336" i="25"/>
  <c r="G336" i="25" s="1"/>
  <c r="H334" i="25"/>
  <c r="P334" i="25"/>
  <c r="G334" i="25" s="1"/>
  <c r="I310" i="25"/>
  <c r="AG310" i="25" s="1"/>
  <c r="S310" i="25"/>
  <c r="I318" i="25"/>
  <c r="AG318" i="25" s="1"/>
  <c r="S318" i="25"/>
  <c r="I322" i="25"/>
  <c r="AG322" i="25" s="1"/>
  <c r="S322" i="25"/>
  <c r="S329" i="25"/>
  <c r="I329" i="25"/>
  <c r="AG329" i="25" s="1"/>
  <c r="I332" i="25"/>
  <c r="AG332" i="25" s="1"/>
  <c r="S332" i="25"/>
  <c r="I327" i="25"/>
  <c r="AG327" i="25" s="1"/>
  <c r="S327" i="25"/>
  <c r="P346" i="25"/>
  <c r="H359" i="25"/>
  <c r="T359" i="25" s="1"/>
  <c r="P359" i="25"/>
  <c r="G359" i="25" s="1"/>
  <c r="H357" i="25"/>
  <c r="T357" i="25" s="1"/>
  <c r="P357" i="25"/>
  <c r="G357" i="25" s="1"/>
  <c r="W293" i="25"/>
  <c r="P345" i="25"/>
  <c r="H355" i="25"/>
  <c r="J355" i="25" s="1"/>
  <c r="AH355" i="25" s="1"/>
  <c r="P355" i="25"/>
  <c r="G355" i="25" s="1"/>
  <c r="H351" i="25"/>
  <c r="J351" i="25" s="1"/>
  <c r="AH351" i="25" s="1"/>
  <c r="P351" i="25"/>
  <c r="G351" i="25" s="1"/>
  <c r="H349" i="25"/>
  <c r="T349" i="25" s="1"/>
  <c r="P349" i="25"/>
  <c r="G349" i="25" s="1"/>
  <c r="I312" i="25"/>
  <c r="AG312" i="25" s="1"/>
  <c r="S312" i="25"/>
  <c r="S320" i="25"/>
  <c r="I320" i="25"/>
  <c r="AG320" i="25" s="1"/>
  <c r="I311" i="25"/>
  <c r="AG311" i="25" s="1"/>
  <c r="S311" i="25"/>
  <c r="I331" i="25"/>
  <c r="AG331" i="25" s="1"/>
  <c r="S331" i="25"/>
  <c r="S314" i="25"/>
  <c r="I314" i="25"/>
  <c r="AG314" i="25" s="1"/>
  <c r="H337" i="25"/>
  <c r="J337" i="25" s="1"/>
  <c r="AH337" i="25" s="1"/>
  <c r="P337" i="25"/>
  <c r="G337" i="25" s="1"/>
  <c r="H347" i="25"/>
  <c r="T347" i="25" s="1"/>
  <c r="P347" i="25"/>
  <c r="G347" i="25" s="1"/>
  <c r="P343" i="25"/>
  <c r="H341" i="25"/>
  <c r="J341" i="25" s="1"/>
  <c r="AH341" i="25" s="1"/>
  <c r="P341" i="25"/>
  <c r="G341" i="25" s="1"/>
  <c r="L273" i="25"/>
  <c r="AI273" i="25" s="1"/>
  <c r="L95" i="25"/>
  <c r="AI95" i="25" s="1"/>
  <c r="W95" i="25"/>
  <c r="L309" i="25"/>
  <c r="AI309" i="25" s="1"/>
  <c r="W189" i="25"/>
  <c r="L279" i="25"/>
  <c r="AI279" i="25" s="1"/>
  <c r="L129" i="25"/>
  <c r="AI129" i="25" s="1"/>
  <c r="L276" i="25"/>
  <c r="AI276" i="25" s="1"/>
  <c r="L189" i="25"/>
  <c r="AI189" i="25" s="1"/>
  <c r="L185" i="25"/>
  <c r="AI185" i="25" s="1"/>
  <c r="L245" i="25"/>
  <c r="AI245" i="25" s="1"/>
  <c r="L215" i="25"/>
  <c r="AI215" i="25" s="1"/>
  <c r="L99" i="25"/>
  <c r="AI99" i="25" s="1"/>
  <c r="Q364" i="25"/>
  <c r="Q372" i="25"/>
  <c r="Q380" i="25"/>
  <c r="Q388" i="25"/>
  <c r="Q365" i="25"/>
  <c r="Q373" i="25"/>
  <c r="Q381" i="25"/>
  <c r="Q389" i="25"/>
  <c r="Q366" i="25"/>
  <c r="Q374" i="25"/>
  <c r="Q382" i="25"/>
  <c r="Q390" i="25"/>
  <c r="Q367" i="25"/>
  <c r="Q375" i="25"/>
  <c r="Q383" i="25"/>
  <c r="Q391" i="25"/>
  <c r="Q368" i="25"/>
  <c r="Q376" i="25"/>
  <c r="Q384" i="25"/>
  <c r="Q392" i="25"/>
  <c r="Q363" i="25"/>
  <c r="Q371" i="25"/>
  <c r="Q379" i="25"/>
  <c r="Q387" i="25"/>
  <c r="Q378" i="25"/>
  <c r="Q385" i="25"/>
  <c r="Q386" i="25"/>
  <c r="Q370" i="25"/>
  <c r="Q369" i="25"/>
  <c r="Q377" i="25"/>
  <c r="R363" i="25"/>
  <c r="R371" i="25"/>
  <c r="R379" i="25"/>
  <c r="R387" i="25"/>
  <c r="R364" i="25"/>
  <c r="R372" i="25"/>
  <c r="R380" i="25"/>
  <c r="R388" i="25"/>
  <c r="R370" i="25"/>
  <c r="R365" i="25"/>
  <c r="R373" i="25"/>
  <c r="R381" i="25"/>
  <c r="R389" i="25"/>
  <c r="R386" i="25"/>
  <c r="R366" i="25"/>
  <c r="R374" i="25"/>
  <c r="R382" i="25"/>
  <c r="R390" i="25"/>
  <c r="R367" i="25"/>
  <c r="R375" i="25"/>
  <c r="R383" i="25"/>
  <c r="R391" i="25"/>
  <c r="R378" i="25"/>
  <c r="R368" i="25"/>
  <c r="R376" i="25"/>
  <c r="R384" i="25"/>
  <c r="R392" i="25"/>
  <c r="R369" i="25"/>
  <c r="R377" i="25"/>
  <c r="R385" i="25"/>
  <c r="L246" i="25"/>
  <c r="AI246" i="25" s="1"/>
  <c r="W159" i="25"/>
  <c r="L249" i="25"/>
  <c r="AI249" i="25" s="1"/>
  <c r="W309" i="25"/>
  <c r="W249" i="25"/>
  <c r="L125" i="25"/>
  <c r="AI125" i="25" s="1"/>
  <c r="W183" i="25"/>
  <c r="W185" i="25"/>
  <c r="W305" i="25"/>
  <c r="W243" i="25"/>
  <c r="L243" i="25"/>
  <c r="Y243" i="25" s="1"/>
  <c r="W215" i="25"/>
  <c r="I303" i="25"/>
  <c r="AG303" i="25" s="1"/>
  <c r="S303" i="25"/>
  <c r="J303" i="25"/>
  <c r="AH303" i="25" s="1"/>
  <c r="T303" i="25"/>
  <c r="L93" i="25"/>
  <c r="Y93" i="25" s="1"/>
  <c r="W93" i="25"/>
  <c r="L306" i="25"/>
  <c r="AI306" i="25" s="1"/>
  <c r="L304" i="25"/>
  <c r="AI304" i="25" s="1"/>
  <c r="S244" i="25"/>
  <c r="I244" i="25"/>
  <c r="AG244" i="25" s="1"/>
  <c r="W276" i="25"/>
  <c r="T244" i="25"/>
  <c r="J244" i="25"/>
  <c r="AH244" i="25" s="1"/>
  <c r="L159" i="25"/>
  <c r="AI159" i="25" s="1"/>
  <c r="G219" i="25"/>
  <c r="H219" i="25"/>
  <c r="Y28" i="25"/>
  <c r="AA28" i="25" s="1"/>
  <c r="Y252" i="25"/>
  <c r="Y77" i="25"/>
  <c r="Y299" i="25"/>
  <c r="AA299" i="25" s="1"/>
  <c r="Y27" i="25"/>
  <c r="AA27" i="25" s="1"/>
  <c r="Y277" i="25"/>
  <c r="Y257" i="25"/>
  <c r="AA257" i="25" s="1"/>
  <c r="Y270" i="25"/>
  <c r="AA270" i="25" s="1"/>
  <c r="Y191" i="25"/>
  <c r="AA191" i="25" s="1"/>
  <c r="Y90" i="25"/>
  <c r="AA90" i="25" s="1"/>
  <c r="Y147" i="25"/>
  <c r="AA147" i="25" s="1"/>
  <c r="Y251" i="25"/>
  <c r="AA251" i="25" s="1"/>
  <c r="Y55" i="25"/>
  <c r="AB55" i="25" s="1"/>
  <c r="Y204" i="25"/>
  <c r="AA204" i="25" s="1"/>
  <c r="Y212" i="25"/>
  <c r="AB212" i="25" s="1"/>
  <c r="Y107" i="25"/>
  <c r="AA107" i="25" s="1"/>
  <c r="Y119" i="25"/>
  <c r="Y268" i="25"/>
  <c r="AA268" i="25" s="1"/>
  <c r="Y41" i="25"/>
  <c r="Y91" i="25"/>
  <c r="AB91" i="25" s="1"/>
  <c r="Y281" i="25"/>
  <c r="AA281" i="25" s="1"/>
  <c r="Y248" i="25"/>
  <c r="AA248" i="25" s="1"/>
  <c r="Y266" i="25"/>
  <c r="AB266" i="25" s="1"/>
  <c r="Y292" i="25"/>
  <c r="Y53" i="25"/>
  <c r="AA53" i="25" s="1"/>
  <c r="Y145" i="25"/>
  <c r="AB145" i="25" s="1"/>
  <c r="Y242" i="25"/>
  <c r="Y295" i="25"/>
  <c r="AA295" i="25" s="1"/>
  <c r="Y121" i="25"/>
  <c r="Y271" i="25"/>
  <c r="Y267" i="25"/>
  <c r="AA267" i="25" s="1"/>
  <c r="Y278" i="25"/>
  <c r="Y205" i="25"/>
  <c r="Y272" i="25"/>
  <c r="Y217" i="25"/>
  <c r="AA217" i="25" s="1"/>
  <c r="Y37" i="25"/>
  <c r="AN4" i="23"/>
  <c r="AN5" i="23"/>
  <c r="AN6" i="23"/>
  <c r="AN7" i="23"/>
  <c r="AN8" i="23"/>
  <c r="AN9" i="23"/>
  <c r="AN10" i="23"/>
  <c r="AN11" i="23"/>
  <c r="AN12" i="23"/>
  <c r="AN13" i="23"/>
  <c r="AN14" i="23"/>
  <c r="AN15" i="23"/>
  <c r="AN16" i="23"/>
  <c r="AN17" i="23"/>
  <c r="AN18" i="23"/>
  <c r="AN19" i="23"/>
  <c r="AN20" i="23"/>
  <c r="AN3" i="23"/>
  <c r="AQ4" i="23"/>
  <c r="AR4" i="23" s="1"/>
  <c r="AQ5" i="23"/>
  <c r="AR5" i="23" s="1"/>
  <c r="AQ6" i="23"/>
  <c r="AR6" i="23" s="1"/>
  <c r="AQ7" i="23"/>
  <c r="AR7" i="23" s="1"/>
  <c r="AQ8" i="23"/>
  <c r="AR8" i="23" s="1"/>
  <c r="AQ9" i="23"/>
  <c r="AR9" i="23" s="1"/>
  <c r="AQ10" i="23"/>
  <c r="AR10" i="23" s="1"/>
  <c r="AQ11" i="23"/>
  <c r="AR11" i="23" s="1"/>
  <c r="AQ12" i="23"/>
  <c r="AR12" i="23" s="1"/>
  <c r="AQ13" i="23"/>
  <c r="AR13" i="23" s="1"/>
  <c r="AQ14" i="23"/>
  <c r="AR14" i="23" s="1"/>
  <c r="AQ15" i="23"/>
  <c r="AR15" i="23" s="1"/>
  <c r="AQ16" i="23"/>
  <c r="AR16" i="23" s="1"/>
  <c r="AQ17" i="23"/>
  <c r="AR17" i="23" s="1"/>
  <c r="AQ18" i="23"/>
  <c r="AR18" i="23" s="1"/>
  <c r="AQ19" i="23"/>
  <c r="AR19" i="23" s="1"/>
  <c r="AQ20" i="23"/>
  <c r="AR20" i="23" s="1"/>
  <c r="AQ3" i="23"/>
  <c r="AR3" i="23" s="1"/>
  <c r="H18" i="10"/>
  <c r="Y238" i="25" l="1"/>
  <c r="L111" i="25"/>
  <c r="L280" i="25"/>
  <c r="AI280" i="25" s="1"/>
  <c r="Y239" i="25"/>
  <c r="Y89" i="25"/>
  <c r="AB89" i="25" s="1"/>
  <c r="Y150" i="25"/>
  <c r="AA150" i="25" s="1"/>
  <c r="Y192" i="25"/>
  <c r="AA192" i="25" s="1"/>
  <c r="Y288" i="25"/>
  <c r="AA288" i="25" s="1"/>
  <c r="AB242" i="25"/>
  <c r="L170" i="25"/>
  <c r="AI170" i="25" s="1"/>
  <c r="Y30" i="25"/>
  <c r="AB30" i="25" s="1"/>
  <c r="Y234" i="25"/>
  <c r="AA234" i="25" s="1"/>
  <c r="Y203" i="25"/>
  <c r="AA203" i="25" s="1"/>
  <c r="AA277" i="25"/>
  <c r="Y184" i="25"/>
  <c r="AB184" i="25" s="1"/>
  <c r="Y229" i="25"/>
  <c r="AB229" i="25" s="1"/>
  <c r="Y301" i="25"/>
  <c r="AB301" i="25" s="1"/>
  <c r="Y265" i="25"/>
  <c r="AA265" i="25" s="1"/>
  <c r="L155" i="25"/>
  <c r="AI155" i="25" s="1"/>
  <c r="Y168" i="25"/>
  <c r="AA168" i="25" s="1"/>
  <c r="Y38" i="25"/>
  <c r="AA38" i="25" s="1"/>
  <c r="Y152" i="25"/>
  <c r="AB152" i="25" s="1"/>
  <c r="W280" i="25"/>
  <c r="W111" i="25"/>
  <c r="AA278" i="25"/>
  <c r="Y161" i="25"/>
  <c r="AA161" i="25" s="1"/>
  <c r="AA77" i="25"/>
  <c r="Y280" i="25"/>
  <c r="L124" i="25"/>
  <c r="AI124" i="25" s="1"/>
  <c r="Y206" i="25"/>
  <c r="AB206" i="25" s="1"/>
  <c r="W170" i="25"/>
  <c r="Y67" i="25"/>
  <c r="AA67" i="25" s="1"/>
  <c r="Y241" i="25"/>
  <c r="AB241" i="25" s="1"/>
  <c r="Y190" i="25"/>
  <c r="AB190" i="25" s="1"/>
  <c r="Y258" i="25"/>
  <c r="AA258" i="25" s="1"/>
  <c r="Y102" i="25"/>
  <c r="AA102" i="25" s="1"/>
  <c r="L183" i="25"/>
  <c r="Y183" i="25" s="1"/>
  <c r="AB183" i="25" s="1"/>
  <c r="Y61" i="25"/>
  <c r="AB61" i="25" s="1"/>
  <c r="Y146" i="25"/>
  <c r="AB146" i="25" s="1"/>
  <c r="Y233" i="25"/>
  <c r="AA233" i="25" s="1"/>
  <c r="Y116" i="25"/>
  <c r="AB116" i="25" s="1"/>
  <c r="Y144" i="25"/>
  <c r="AA144" i="25" s="1"/>
  <c r="Y207" i="25"/>
  <c r="AA207" i="25" s="1"/>
  <c r="Y117" i="25"/>
  <c r="AA117" i="25" s="1"/>
  <c r="Y182" i="25"/>
  <c r="AA182" i="25" s="1"/>
  <c r="Y72" i="25"/>
  <c r="AA72" i="25" s="1"/>
  <c r="Y240" i="25"/>
  <c r="AA240" i="25" s="1"/>
  <c r="AA41" i="25"/>
  <c r="Y181" i="25"/>
  <c r="AA181" i="25" s="1"/>
  <c r="Y47" i="25"/>
  <c r="AA47" i="25" s="1"/>
  <c r="Y173" i="25"/>
  <c r="AA173" i="25" s="1"/>
  <c r="Y264" i="25"/>
  <c r="AA264" i="25" s="1"/>
  <c r="W124" i="25"/>
  <c r="Y218" i="25"/>
  <c r="AA218" i="25" s="1"/>
  <c r="Y131" i="25"/>
  <c r="AA131" i="25" s="1"/>
  <c r="Y149" i="25"/>
  <c r="AA149" i="25" s="1"/>
  <c r="Y188" i="25"/>
  <c r="AA188" i="25" s="1"/>
  <c r="Y127" i="25"/>
  <c r="AA127" i="25" s="1"/>
  <c r="Y293" i="25"/>
  <c r="Y298" i="25"/>
  <c r="AA298" i="25" s="1"/>
  <c r="Y6" i="25"/>
  <c r="AB6" i="25" s="1"/>
  <c r="L305" i="25"/>
  <c r="AI305" i="25" s="1"/>
  <c r="Y137" i="25"/>
  <c r="AA137" i="25" s="1"/>
  <c r="Y302" i="25"/>
  <c r="AB302" i="25" s="1"/>
  <c r="Y11" i="25"/>
  <c r="AA11" i="25" s="1"/>
  <c r="Y12" i="25"/>
  <c r="AA12" i="25" s="1"/>
  <c r="L123" i="25"/>
  <c r="W274" i="25"/>
  <c r="AH202" i="25"/>
  <c r="L202" i="25"/>
  <c r="Y148" i="25"/>
  <c r="AA148" i="25" s="1"/>
  <c r="Y296" i="25"/>
  <c r="AB296" i="25" s="1"/>
  <c r="Y88" i="25"/>
  <c r="AA88" i="25" s="1"/>
  <c r="W275" i="25"/>
  <c r="Y197" i="25"/>
  <c r="AA197" i="25" s="1"/>
  <c r="Y167" i="25"/>
  <c r="AA167" i="25" s="1"/>
  <c r="L274" i="25"/>
  <c r="AI274" i="25" s="1"/>
  <c r="L275" i="25"/>
  <c r="AI275" i="25" s="1"/>
  <c r="Y211" i="25"/>
  <c r="AA211" i="25" s="1"/>
  <c r="AA121" i="25"/>
  <c r="Y57" i="25"/>
  <c r="AA57" i="25" s="1"/>
  <c r="Y178" i="25"/>
  <c r="AB178" i="25" s="1"/>
  <c r="AA252" i="25"/>
  <c r="Y126" i="25"/>
  <c r="AB126" i="25" s="1"/>
  <c r="Y120" i="25"/>
  <c r="AB120" i="25" s="1"/>
  <c r="AB150" i="25"/>
  <c r="Y101" i="25"/>
  <c r="AA101" i="25" s="1"/>
  <c r="Y213" i="25"/>
  <c r="AB213" i="25" s="1"/>
  <c r="W214" i="25"/>
  <c r="Y284" i="25"/>
  <c r="AB284" i="25" s="1"/>
  <c r="Y17" i="25"/>
  <c r="AA17" i="25" s="1"/>
  <c r="Y108" i="25"/>
  <c r="AA108" i="25" s="1"/>
  <c r="J360" i="25"/>
  <c r="AH360" i="25" s="1"/>
  <c r="L327" i="25"/>
  <c r="AI327" i="25" s="1"/>
  <c r="W96" i="25"/>
  <c r="Y54" i="25"/>
  <c r="AA54" i="25" s="1"/>
  <c r="Y157" i="25"/>
  <c r="AA157" i="25" s="1"/>
  <c r="Y118" i="25"/>
  <c r="AB118" i="25" s="1"/>
  <c r="Y209" i="25"/>
  <c r="AA209" i="25" s="1"/>
  <c r="Y25" i="25"/>
  <c r="AB25" i="25" s="1"/>
  <c r="Y282" i="25"/>
  <c r="AA282" i="25" s="1"/>
  <c r="T338" i="25"/>
  <c r="Y287" i="25"/>
  <c r="AA287" i="25" s="1"/>
  <c r="Y62" i="25"/>
  <c r="AB62" i="25" s="1"/>
  <c r="AA37" i="25"/>
  <c r="Y151" i="25"/>
  <c r="AA151" i="25" s="1"/>
  <c r="Y222" i="25"/>
  <c r="AA222" i="25" s="1"/>
  <c r="Y158" i="25"/>
  <c r="AA158" i="25" s="1"/>
  <c r="Y87" i="25"/>
  <c r="AA87" i="25" s="1"/>
  <c r="Y128" i="25"/>
  <c r="AA128" i="25" s="1"/>
  <c r="Y210" i="25"/>
  <c r="AA210" i="25" s="1"/>
  <c r="Y228" i="25"/>
  <c r="AA228" i="25" s="1"/>
  <c r="T348" i="25"/>
  <c r="AA292" i="25"/>
  <c r="Y29" i="25"/>
  <c r="AB29" i="25" s="1"/>
  <c r="T353" i="25"/>
  <c r="L330" i="25"/>
  <c r="AI330" i="25" s="1"/>
  <c r="W40" i="25"/>
  <c r="J349" i="25"/>
  <c r="AH349" i="25" s="1"/>
  <c r="L96" i="25"/>
  <c r="AI96" i="25" s="1"/>
  <c r="Y294" i="25"/>
  <c r="AA294" i="25" s="1"/>
  <c r="W65" i="25"/>
  <c r="Y300" i="25"/>
  <c r="AB300" i="25" s="1"/>
  <c r="L65" i="25"/>
  <c r="AI65" i="25" s="1"/>
  <c r="Y273" i="25"/>
  <c r="AA273" i="25" s="1"/>
  <c r="J333" i="25"/>
  <c r="AH333" i="25" s="1"/>
  <c r="J347" i="25"/>
  <c r="AH347" i="25" s="1"/>
  <c r="E16" i="25"/>
  <c r="E136" i="25"/>
  <c r="E466" i="25"/>
  <c r="E256" i="25"/>
  <c r="E406" i="25"/>
  <c r="E286" i="25"/>
  <c r="E346" i="25"/>
  <c r="E496" i="25"/>
  <c r="E106" i="25"/>
  <c r="E196" i="25"/>
  <c r="E46" i="25"/>
  <c r="E376" i="25"/>
  <c r="E226" i="25"/>
  <c r="E166" i="25"/>
  <c r="E316" i="25"/>
  <c r="E436" i="25"/>
  <c r="E76" i="25"/>
  <c r="T355" i="25"/>
  <c r="L40" i="25"/>
  <c r="AI40" i="25" s="1"/>
  <c r="Y177" i="25"/>
  <c r="AB177" i="25" s="1"/>
  <c r="Y78" i="25"/>
  <c r="AA78" i="25" s="1"/>
  <c r="L214" i="25"/>
  <c r="AI214" i="25" s="1"/>
  <c r="Y309" i="25"/>
  <c r="AB309" i="25" s="1"/>
  <c r="AH200" i="25"/>
  <c r="L200" i="25"/>
  <c r="W201" i="25"/>
  <c r="AG291" i="25"/>
  <c r="L291" i="25"/>
  <c r="Y95" i="25"/>
  <c r="AB95" i="25" s="1"/>
  <c r="L201" i="25"/>
  <c r="L140" i="25"/>
  <c r="AI140" i="25" s="1"/>
  <c r="J344" i="25"/>
  <c r="AH344" i="25" s="1"/>
  <c r="W140" i="25"/>
  <c r="Y290" i="25"/>
  <c r="AA290" i="25" s="1"/>
  <c r="Y221" i="25"/>
  <c r="AA221" i="25" s="1"/>
  <c r="AA205" i="25"/>
  <c r="Y132" i="25"/>
  <c r="AA132" i="25" s="1"/>
  <c r="AG250" i="25"/>
  <c r="L250" i="25"/>
  <c r="W250" i="25"/>
  <c r="Y289" i="25"/>
  <c r="AB289" i="25" s="1"/>
  <c r="Y174" i="25"/>
  <c r="AA174" i="25" s="1"/>
  <c r="Y153" i="25"/>
  <c r="AB153" i="25" s="1"/>
  <c r="Y85" i="25"/>
  <c r="AB85" i="25" s="1"/>
  <c r="J361" i="25"/>
  <c r="AH361" i="25" s="1"/>
  <c r="AG247" i="25"/>
  <c r="L247" i="25"/>
  <c r="W247" i="25"/>
  <c r="J362" i="25"/>
  <c r="AH362" i="25" s="1"/>
  <c r="Y115" i="25"/>
  <c r="AB115" i="25" s="1"/>
  <c r="AA293" i="25"/>
  <c r="L321" i="25"/>
  <c r="AI321" i="25" s="1"/>
  <c r="J354" i="25"/>
  <c r="AH354" i="25" s="1"/>
  <c r="Y297" i="25"/>
  <c r="AA297" i="25" s="1"/>
  <c r="Y8" i="25"/>
  <c r="AA8" i="25" s="1"/>
  <c r="Y71" i="25"/>
  <c r="AA71" i="25" s="1"/>
  <c r="J357" i="25"/>
  <c r="AH357" i="25" s="1"/>
  <c r="T342" i="25"/>
  <c r="T337" i="25"/>
  <c r="L307" i="25"/>
  <c r="AI307" i="25" s="1"/>
  <c r="L331" i="25"/>
  <c r="AI331" i="25" s="1"/>
  <c r="J339" i="25"/>
  <c r="AH339" i="25" s="1"/>
  <c r="T335" i="25"/>
  <c r="L326" i="25"/>
  <c r="AI326" i="25" s="1"/>
  <c r="T169" i="25"/>
  <c r="J169" i="25"/>
  <c r="AH169" i="25" s="1"/>
  <c r="W21" i="25"/>
  <c r="L21" i="25"/>
  <c r="W9" i="25"/>
  <c r="L9" i="25"/>
  <c r="W92" i="25"/>
  <c r="L92" i="25"/>
  <c r="L48" i="25"/>
  <c r="W48" i="25"/>
  <c r="L208" i="25"/>
  <c r="W208" i="25"/>
  <c r="I154" i="25"/>
  <c r="AG154" i="25" s="1"/>
  <c r="S154" i="25"/>
  <c r="L231" i="25"/>
  <c r="W231" i="25"/>
  <c r="W110" i="25"/>
  <c r="L110" i="25"/>
  <c r="W42" i="25"/>
  <c r="L42" i="25"/>
  <c r="L44" i="25"/>
  <c r="W44" i="25"/>
  <c r="L81" i="25"/>
  <c r="W81" i="25"/>
  <c r="W186" i="25"/>
  <c r="L186" i="25"/>
  <c r="J80" i="25"/>
  <c r="AH80" i="25" s="1"/>
  <c r="T80" i="25"/>
  <c r="W160" i="25"/>
  <c r="L160" i="25"/>
  <c r="L10" i="25"/>
  <c r="W10" i="25"/>
  <c r="J352" i="25"/>
  <c r="AH352" i="25" s="1"/>
  <c r="S169" i="25"/>
  <c r="I169" i="25"/>
  <c r="AG169" i="25" s="1"/>
  <c r="L59" i="25"/>
  <c r="W59" i="25"/>
  <c r="W24" i="25"/>
  <c r="L24" i="25"/>
  <c r="W176" i="25"/>
  <c r="L176" i="25"/>
  <c r="L180" i="25"/>
  <c r="W180" i="25"/>
  <c r="T154" i="25"/>
  <c r="J154" i="25"/>
  <c r="AH154" i="25" s="1"/>
  <c r="W216" i="25"/>
  <c r="L216" i="25"/>
  <c r="W97" i="25"/>
  <c r="L97" i="25"/>
  <c r="W68" i="25"/>
  <c r="L68" i="25"/>
  <c r="W26" i="25"/>
  <c r="L26" i="25"/>
  <c r="W23" i="25"/>
  <c r="L23" i="25"/>
  <c r="W82" i="25"/>
  <c r="L82" i="25"/>
  <c r="L171" i="25"/>
  <c r="W171" i="25"/>
  <c r="W261" i="25"/>
  <c r="L261" i="25"/>
  <c r="W39" i="25"/>
  <c r="L39" i="25"/>
  <c r="L199" i="25"/>
  <c r="W199" i="25"/>
  <c r="W113" i="25"/>
  <c r="L113" i="25"/>
  <c r="W162" i="25"/>
  <c r="L162" i="25"/>
  <c r="W269" i="25"/>
  <c r="L269" i="25"/>
  <c r="W100" i="25"/>
  <c r="L100" i="25"/>
  <c r="L52" i="25"/>
  <c r="W52" i="25"/>
  <c r="W98" i="25"/>
  <c r="L98" i="25"/>
  <c r="T14" i="25"/>
  <c r="J14" i="25"/>
  <c r="AH14" i="25" s="1"/>
  <c r="L227" i="25"/>
  <c r="W227" i="25"/>
  <c r="W63" i="25"/>
  <c r="L63" i="25"/>
  <c r="W86" i="25"/>
  <c r="L86" i="25"/>
  <c r="W175" i="25"/>
  <c r="L175" i="25"/>
  <c r="W138" i="25"/>
  <c r="L138" i="25"/>
  <c r="L49" i="25"/>
  <c r="W49" i="25"/>
  <c r="L235" i="25"/>
  <c r="W235" i="25"/>
  <c r="L112" i="25"/>
  <c r="W112" i="25"/>
  <c r="L22" i="25"/>
  <c r="W22" i="25"/>
  <c r="W236" i="25"/>
  <c r="L236" i="25"/>
  <c r="W31" i="25"/>
  <c r="L31" i="25"/>
  <c r="W164" i="25"/>
  <c r="L164" i="25"/>
  <c r="L69" i="25"/>
  <c r="W69" i="25"/>
  <c r="S14" i="25"/>
  <c r="I14" i="25"/>
  <c r="AG14" i="25" s="1"/>
  <c r="L36" i="25"/>
  <c r="W36" i="25"/>
  <c r="W114" i="25"/>
  <c r="L114" i="25"/>
  <c r="W70" i="25"/>
  <c r="L70" i="25"/>
  <c r="L20" i="25"/>
  <c r="W20" i="25"/>
  <c r="W187" i="25"/>
  <c r="L187" i="25"/>
  <c r="I142" i="25"/>
  <c r="AG142" i="25" s="1"/>
  <c r="S142" i="25"/>
  <c r="W34" i="25"/>
  <c r="L34" i="25"/>
  <c r="W19" i="25"/>
  <c r="L19" i="25"/>
  <c r="L79" i="25"/>
  <c r="W79" i="25"/>
  <c r="W5" i="25"/>
  <c r="L5" i="25"/>
  <c r="L230" i="25"/>
  <c r="W230" i="25"/>
  <c r="L3" i="25"/>
  <c r="W3" i="25"/>
  <c r="L134" i="25"/>
  <c r="W134" i="25"/>
  <c r="L260" i="25"/>
  <c r="W260" i="25"/>
  <c r="W64" i="25"/>
  <c r="L64" i="25"/>
  <c r="W122" i="25"/>
  <c r="L122" i="25"/>
  <c r="I259" i="25"/>
  <c r="AG259" i="25" s="1"/>
  <c r="S259" i="25"/>
  <c r="J142" i="25"/>
  <c r="AH142" i="25" s="1"/>
  <c r="T142" i="25"/>
  <c r="W84" i="25"/>
  <c r="L84" i="25"/>
  <c r="L232" i="25"/>
  <c r="W232" i="25"/>
  <c r="L143" i="25"/>
  <c r="W143" i="25"/>
  <c r="W254" i="25"/>
  <c r="L254" i="25"/>
  <c r="L156" i="25"/>
  <c r="W156" i="25"/>
  <c r="W262" i="25"/>
  <c r="L262" i="25"/>
  <c r="W172" i="25"/>
  <c r="L172" i="25"/>
  <c r="W56" i="25"/>
  <c r="L56" i="25"/>
  <c r="W198" i="25"/>
  <c r="L198" i="25"/>
  <c r="J259" i="25"/>
  <c r="AH259" i="25" s="1"/>
  <c r="T259" i="25"/>
  <c r="L139" i="25"/>
  <c r="W139" i="25"/>
  <c r="W66" i="25"/>
  <c r="L66" i="25"/>
  <c r="W35" i="25"/>
  <c r="L35" i="25"/>
  <c r="W83" i="25"/>
  <c r="L83" i="25"/>
  <c r="W194" i="25"/>
  <c r="L194" i="25"/>
  <c r="W18" i="25"/>
  <c r="L18" i="25"/>
  <c r="W74" i="25"/>
  <c r="L74" i="25"/>
  <c r="W51" i="25"/>
  <c r="L51" i="25"/>
  <c r="W130" i="25"/>
  <c r="L130" i="25"/>
  <c r="J4" i="25"/>
  <c r="AH4" i="25" s="1"/>
  <c r="T4" i="25"/>
  <c r="W32" i="25"/>
  <c r="L32" i="25"/>
  <c r="W104" i="25"/>
  <c r="L104" i="25"/>
  <c r="W94" i="25"/>
  <c r="L94" i="25"/>
  <c r="W58" i="25"/>
  <c r="L58" i="25"/>
  <c r="W7" i="25"/>
  <c r="L7" i="25"/>
  <c r="L109" i="25"/>
  <c r="W109" i="25"/>
  <c r="W60" i="25"/>
  <c r="L60" i="25"/>
  <c r="W220" i="25"/>
  <c r="L220" i="25"/>
  <c r="W33" i="25"/>
  <c r="L33" i="25"/>
  <c r="W224" i="25"/>
  <c r="L224" i="25"/>
  <c r="W141" i="25"/>
  <c r="L141" i="25"/>
  <c r="I4" i="25"/>
  <c r="S4" i="25"/>
  <c r="L50" i="25"/>
  <c r="W50" i="25"/>
  <c r="L179" i="25"/>
  <c r="W179" i="25"/>
  <c r="L237" i="25"/>
  <c r="W237" i="25"/>
  <c r="I80" i="25"/>
  <c r="AG80" i="25" s="1"/>
  <c r="S80" i="25"/>
  <c r="S333" i="25"/>
  <c r="T356" i="25"/>
  <c r="J340" i="25"/>
  <c r="AH340" i="25" s="1"/>
  <c r="J350" i="25"/>
  <c r="AH350" i="25" s="1"/>
  <c r="L244" i="25"/>
  <c r="AI244" i="25" s="1"/>
  <c r="T351" i="25"/>
  <c r="W244" i="25"/>
  <c r="J358" i="25"/>
  <c r="AH358" i="25" s="1"/>
  <c r="W319" i="25"/>
  <c r="Y185" i="25"/>
  <c r="AA185" i="25" s="1"/>
  <c r="J359" i="25"/>
  <c r="AH359" i="25" s="1"/>
  <c r="T341" i="25"/>
  <c r="L319" i="25"/>
  <c r="AI319" i="25" s="1"/>
  <c r="H378" i="25"/>
  <c r="T378" i="25" s="1"/>
  <c r="P378" i="25"/>
  <c r="G378" i="25" s="1"/>
  <c r="H368" i="25"/>
  <c r="T368" i="25" s="1"/>
  <c r="P368" i="25"/>
  <c r="G368" i="25" s="1"/>
  <c r="H366" i="25"/>
  <c r="J366" i="25" s="1"/>
  <c r="AH366" i="25" s="1"/>
  <c r="P366" i="25"/>
  <c r="G366" i="25" s="1"/>
  <c r="H364" i="25"/>
  <c r="T364" i="25" s="1"/>
  <c r="P364" i="25"/>
  <c r="G364" i="25" s="1"/>
  <c r="I341" i="25"/>
  <c r="AG341" i="25" s="1"/>
  <c r="S341" i="25"/>
  <c r="L314" i="25"/>
  <c r="W314" i="25"/>
  <c r="W320" i="25"/>
  <c r="L320" i="25"/>
  <c r="S355" i="25"/>
  <c r="I355" i="25"/>
  <c r="AG355" i="25" s="1"/>
  <c r="I359" i="25"/>
  <c r="AG359" i="25" s="1"/>
  <c r="S359" i="25"/>
  <c r="L332" i="25"/>
  <c r="W332" i="25"/>
  <c r="L310" i="25"/>
  <c r="W310" i="25"/>
  <c r="W307" i="25"/>
  <c r="Y215" i="25"/>
  <c r="AA215" i="25" s="1"/>
  <c r="H387" i="25"/>
  <c r="T387" i="25" s="1"/>
  <c r="P387" i="25"/>
  <c r="G387" i="25" s="1"/>
  <c r="H391" i="25"/>
  <c r="T391" i="25" s="1"/>
  <c r="P391" i="25"/>
  <c r="G391" i="25" s="1"/>
  <c r="H389" i="25"/>
  <c r="J389" i="25" s="1"/>
  <c r="AH389" i="25" s="1"/>
  <c r="P389" i="25"/>
  <c r="G389" i="25" s="1"/>
  <c r="W329" i="25"/>
  <c r="L329" i="25"/>
  <c r="S334" i="25"/>
  <c r="I334" i="25"/>
  <c r="AG334" i="25" s="1"/>
  <c r="S342" i="25"/>
  <c r="I342" i="25"/>
  <c r="AG342" i="25" s="1"/>
  <c r="W317" i="25"/>
  <c r="L317" i="25"/>
  <c r="L328" i="25"/>
  <c r="W328" i="25"/>
  <c r="S352" i="25"/>
  <c r="I352" i="25"/>
  <c r="I358" i="25"/>
  <c r="AG358" i="25" s="1"/>
  <c r="S358" i="25"/>
  <c r="H379" i="25"/>
  <c r="J379" i="25" s="1"/>
  <c r="AH379" i="25" s="1"/>
  <c r="P379" i="25"/>
  <c r="G379" i="25" s="1"/>
  <c r="H383" i="25"/>
  <c r="T383" i="25" s="1"/>
  <c r="P383" i="25"/>
  <c r="G383" i="25" s="1"/>
  <c r="H381" i="25"/>
  <c r="T381" i="25" s="1"/>
  <c r="P381" i="25"/>
  <c r="G381" i="25" s="1"/>
  <c r="J334" i="25"/>
  <c r="AH334" i="25" s="1"/>
  <c r="T334" i="25"/>
  <c r="S335" i="25"/>
  <c r="I335" i="25"/>
  <c r="AG335" i="25" s="1"/>
  <c r="H377" i="25"/>
  <c r="T377" i="25" s="1"/>
  <c r="P377" i="25"/>
  <c r="G377" i="25" s="1"/>
  <c r="H371" i="25"/>
  <c r="T371" i="25" s="1"/>
  <c r="P371" i="25"/>
  <c r="G371" i="25" s="1"/>
  <c r="P375" i="25"/>
  <c r="P373" i="25"/>
  <c r="W331" i="25"/>
  <c r="L312" i="25"/>
  <c r="W312" i="25"/>
  <c r="S336" i="25"/>
  <c r="I336" i="25"/>
  <c r="AG336" i="25" s="1"/>
  <c r="I344" i="25"/>
  <c r="AG344" i="25" s="1"/>
  <c r="S344" i="25"/>
  <c r="W308" i="25"/>
  <c r="L308" i="25"/>
  <c r="I354" i="25"/>
  <c r="S354" i="25"/>
  <c r="S360" i="25"/>
  <c r="I360" i="25"/>
  <c r="AG360" i="25" s="1"/>
  <c r="W324" i="25"/>
  <c r="L324" i="25"/>
  <c r="H369" i="25"/>
  <c r="T369" i="25" s="1"/>
  <c r="P369" i="25"/>
  <c r="G369" i="25" s="1"/>
  <c r="H363" i="25"/>
  <c r="T363" i="25" s="1"/>
  <c r="P363" i="25"/>
  <c r="G363" i="25" s="1"/>
  <c r="H367" i="25"/>
  <c r="T367" i="25" s="1"/>
  <c r="P367" i="25"/>
  <c r="G367" i="25" s="1"/>
  <c r="H365" i="25"/>
  <c r="T365" i="25" s="1"/>
  <c r="P365" i="25"/>
  <c r="G365" i="25" s="1"/>
  <c r="S347" i="25"/>
  <c r="I347" i="25"/>
  <c r="AG347" i="25" s="1"/>
  <c r="S349" i="25"/>
  <c r="I349" i="25"/>
  <c r="AG349" i="25" s="1"/>
  <c r="W322" i="25"/>
  <c r="L322" i="25"/>
  <c r="T336" i="25"/>
  <c r="J336" i="25"/>
  <c r="AH336" i="25" s="1"/>
  <c r="W323" i="25"/>
  <c r="L323" i="25"/>
  <c r="I339" i="25"/>
  <c r="AG339" i="25" s="1"/>
  <c r="S339" i="25"/>
  <c r="H370" i="25"/>
  <c r="T370" i="25" s="1"/>
  <c r="P370" i="25"/>
  <c r="G370" i="25" s="1"/>
  <c r="H392" i="25"/>
  <c r="J392" i="25" s="1"/>
  <c r="AH392" i="25" s="1"/>
  <c r="P392" i="25"/>
  <c r="G392" i="25" s="1"/>
  <c r="H390" i="25"/>
  <c r="T390" i="25" s="1"/>
  <c r="P390" i="25"/>
  <c r="G390" i="25" s="1"/>
  <c r="H388" i="25"/>
  <c r="J388" i="25" s="1"/>
  <c r="AH388" i="25" s="1"/>
  <c r="P388" i="25"/>
  <c r="G388" i="25" s="1"/>
  <c r="W311" i="25"/>
  <c r="L311" i="25"/>
  <c r="S338" i="25"/>
  <c r="I338" i="25"/>
  <c r="AG338" i="25" s="1"/>
  <c r="I353" i="25"/>
  <c r="S353" i="25"/>
  <c r="I348" i="25"/>
  <c r="S348" i="25"/>
  <c r="I361" i="25"/>
  <c r="S361" i="25"/>
  <c r="W326" i="25"/>
  <c r="H386" i="25"/>
  <c r="T386" i="25" s="1"/>
  <c r="P386" i="25"/>
  <c r="G386" i="25" s="1"/>
  <c r="H384" i="25"/>
  <c r="J384" i="25" s="1"/>
  <c r="AH384" i="25" s="1"/>
  <c r="P384" i="25"/>
  <c r="G384" i="25" s="1"/>
  <c r="H382" i="25"/>
  <c r="T382" i="25" s="1"/>
  <c r="P382" i="25"/>
  <c r="G382" i="25" s="1"/>
  <c r="H380" i="25"/>
  <c r="T380" i="25" s="1"/>
  <c r="P380" i="25"/>
  <c r="G380" i="25" s="1"/>
  <c r="I337" i="25"/>
  <c r="AG337" i="25" s="1"/>
  <c r="S337" i="25"/>
  <c r="I351" i="25"/>
  <c r="S351" i="25"/>
  <c r="S357" i="25"/>
  <c r="I357" i="25"/>
  <c r="AG357" i="25" s="1"/>
  <c r="W327" i="25"/>
  <c r="W318" i="25"/>
  <c r="L318" i="25"/>
  <c r="W330" i="25"/>
  <c r="I362" i="25"/>
  <c r="AG362" i="25" s="1"/>
  <c r="S362" i="25"/>
  <c r="H385" i="25"/>
  <c r="T385" i="25" s="1"/>
  <c r="P385" i="25"/>
  <c r="G385" i="25" s="1"/>
  <c r="P376" i="25"/>
  <c r="H374" i="25"/>
  <c r="J374" i="25" s="1"/>
  <c r="AH374" i="25" s="1"/>
  <c r="P374" i="25"/>
  <c r="G374" i="25" s="1"/>
  <c r="H372" i="25"/>
  <c r="J372" i="25" s="1"/>
  <c r="AH372" i="25" s="1"/>
  <c r="P372" i="25"/>
  <c r="G372" i="25" s="1"/>
  <c r="S340" i="25"/>
  <c r="I340" i="25"/>
  <c r="L325" i="25"/>
  <c r="W325" i="25"/>
  <c r="S350" i="25"/>
  <c r="I350" i="25"/>
  <c r="AG350" i="25" s="1"/>
  <c r="I356" i="25"/>
  <c r="AG356" i="25" s="1"/>
  <c r="S356" i="25"/>
  <c r="W321" i="25"/>
  <c r="Y129" i="25"/>
  <c r="AA129" i="25" s="1"/>
  <c r="Y279" i="25"/>
  <c r="AB279" i="25" s="1"/>
  <c r="W333" i="25"/>
  <c r="Y276" i="25"/>
  <c r="Y189" i="25"/>
  <c r="AA189" i="25" s="1"/>
  <c r="Y245" i="25"/>
  <c r="AA245" i="25" s="1"/>
  <c r="AI123" i="25"/>
  <c r="AI93" i="25"/>
  <c r="AB28" i="25"/>
  <c r="Y99" i="25"/>
  <c r="AB99" i="25" s="1"/>
  <c r="AI243" i="25"/>
  <c r="Y249" i="25"/>
  <c r="AA249" i="25" s="1"/>
  <c r="Y246" i="25"/>
  <c r="AA246" i="25" s="1"/>
  <c r="Y159" i="25"/>
  <c r="AB159" i="25" s="1"/>
  <c r="Y123" i="25"/>
  <c r="AB123" i="25" s="1"/>
  <c r="Q396" i="25"/>
  <c r="Q404" i="25"/>
  <c r="Q412" i="25"/>
  <c r="Q420" i="25"/>
  <c r="Q397" i="25"/>
  <c r="Q405" i="25"/>
  <c r="Q413" i="25"/>
  <c r="Q421" i="25"/>
  <c r="Q398" i="25"/>
  <c r="Q406" i="25"/>
  <c r="Q414" i="25"/>
  <c r="Q422" i="25"/>
  <c r="Q399" i="25"/>
  <c r="Q407" i="25"/>
  <c r="Q415" i="25"/>
  <c r="Q400" i="25"/>
  <c r="Q408" i="25"/>
  <c r="Q416" i="25"/>
  <c r="Q395" i="25"/>
  <c r="Q403" i="25"/>
  <c r="Q411" i="25"/>
  <c r="Q419" i="25"/>
  <c r="Q410" i="25"/>
  <c r="Q417" i="25"/>
  <c r="Q418" i="25"/>
  <c r="Q402" i="25"/>
  <c r="Q393" i="25"/>
  <c r="Q394" i="25"/>
  <c r="Q401" i="25"/>
  <c r="Q409" i="25"/>
  <c r="R395" i="25"/>
  <c r="R403" i="25"/>
  <c r="R411" i="25"/>
  <c r="R419" i="25"/>
  <c r="R410" i="25"/>
  <c r="R396" i="25"/>
  <c r="R404" i="25"/>
  <c r="R412" i="25"/>
  <c r="R420" i="25"/>
  <c r="R397" i="25"/>
  <c r="R405" i="25"/>
  <c r="R413" i="25"/>
  <c r="R421" i="25"/>
  <c r="R398" i="25"/>
  <c r="R406" i="25"/>
  <c r="R414" i="25"/>
  <c r="R422" i="25"/>
  <c r="R418" i="25"/>
  <c r="R399" i="25"/>
  <c r="R407" i="25"/>
  <c r="R415" i="25"/>
  <c r="R400" i="25"/>
  <c r="R408" i="25"/>
  <c r="R416" i="25"/>
  <c r="R402" i="25"/>
  <c r="R393" i="25"/>
  <c r="R401" i="25"/>
  <c r="R409" i="25"/>
  <c r="R417" i="25"/>
  <c r="R394" i="25"/>
  <c r="Y125" i="25"/>
  <c r="AA125" i="25" s="1"/>
  <c r="Y306" i="25"/>
  <c r="AA306" i="25" s="1"/>
  <c r="Y304" i="25"/>
  <c r="AB304" i="25" s="1"/>
  <c r="L303" i="25"/>
  <c r="AA93" i="25"/>
  <c r="AB243" i="25"/>
  <c r="W303" i="25"/>
  <c r="J219" i="25"/>
  <c r="AH219" i="25" s="1"/>
  <c r="T219" i="25"/>
  <c r="I219" i="25"/>
  <c r="S219" i="25"/>
  <c r="AB27" i="25"/>
  <c r="AA89" i="25"/>
  <c r="AB151" i="25"/>
  <c r="AB299" i="25"/>
  <c r="AB270" i="25"/>
  <c r="AA118" i="25"/>
  <c r="AB265" i="25"/>
  <c r="AB117" i="25"/>
  <c r="AA178" i="25"/>
  <c r="AA145" i="25"/>
  <c r="AB205" i="25"/>
  <c r="AA91" i="25"/>
  <c r="AB90" i="25"/>
  <c r="AA284" i="25"/>
  <c r="AB149" i="25"/>
  <c r="AA266" i="25"/>
  <c r="AB207" i="25"/>
  <c r="AA300" i="25"/>
  <c r="AB147" i="25"/>
  <c r="AA241" i="25"/>
  <c r="AB268" i="25"/>
  <c r="AA242" i="25"/>
  <c r="AA183" i="25"/>
  <c r="AA212" i="25"/>
  <c r="AB292" i="25"/>
  <c r="AA30" i="25"/>
  <c r="AA55" i="25"/>
  <c r="AB267" i="25"/>
  <c r="AA301" i="25"/>
  <c r="AA243" i="25"/>
  <c r="AB93" i="25"/>
  <c r="AB295" i="25"/>
  <c r="AB121" i="25"/>
  <c r="AA229" i="25"/>
  <c r="AA272" i="25"/>
  <c r="AB272" i="25"/>
  <c r="AA271" i="25"/>
  <c r="AB271" i="25"/>
  <c r="AB298" i="25"/>
  <c r="AB239" i="25"/>
  <c r="AA239" i="25"/>
  <c r="AA238" i="25"/>
  <c r="AB238" i="25"/>
  <c r="Y124" i="25"/>
  <c r="Y170" i="25"/>
  <c r="AB119" i="25"/>
  <c r="AA119" i="25"/>
  <c r="I36" i="23"/>
  <c r="I37" i="23"/>
  <c r="I43" i="23"/>
  <c r="I48" i="23"/>
  <c r="I44" i="23"/>
  <c r="I41" i="23"/>
  <c r="I46" i="23"/>
  <c r="I39" i="23"/>
  <c r="I49" i="23"/>
  <c r="I33" i="23"/>
  <c r="I34" i="23"/>
  <c r="AN21" i="23"/>
  <c r="AA146" i="25" l="1"/>
  <c r="AB170" i="25"/>
  <c r="Y326" i="25"/>
  <c r="AA6" i="25"/>
  <c r="Y305" i="25"/>
  <c r="AB305" i="25" s="1"/>
  <c r="AA184" i="25"/>
  <c r="AI183" i="25"/>
  <c r="AA206" i="25"/>
  <c r="AA61" i="25"/>
  <c r="AI111" i="25"/>
  <c r="Y111" i="25"/>
  <c r="AB111" i="25" s="1"/>
  <c r="AA296" i="25"/>
  <c r="AA309" i="25"/>
  <c r="AA213" i="25"/>
  <c r="AB280" i="25"/>
  <c r="AB210" i="25"/>
  <c r="AB148" i="25"/>
  <c r="AA116" i="25"/>
  <c r="AB273" i="25"/>
  <c r="Y327" i="25"/>
  <c r="AB327" i="25" s="1"/>
  <c r="AA190" i="25"/>
  <c r="AB181" i="25"/>
  <c r="Y155" i="25"/>
  <c r="AA152" i="25"/>
  <c r="AA280" i="25"/>
  <c r="AB87" i="25"/>
  <c r="AA302" i="25"/>
  <c r="AB182" i="25"/>
  <c r="AB124" i="25"/>
  <c r="Y275" i="25"/>
  <c r="AB275" i="25" s="1"/>
  <c r="AB211" i="25"/>
  <c r="AA289" i="25"/>
  <c r="Y65" i="25"/>
  <c r="AB65" i="25" s="1"/>
  <c r="AB240" i="25"/>
  <c r="AB88" i="25"/>
  <c r="Y274" i="25"/>
  <c r="AB274" i="25" s="1"/>
  <c r="Y214" i="25"/>
  <c r="AB214" i="25" s="1"/>
  <c r="AA120" i="25"/>
  <c r="J365" i="25"/>
  <c r="AH365" i="25" s="1"/>
  <c r="Y321" i="25"/>
  <c r="AB321" i="25" s="1"/>
  <c r="AA177" i="25"/>
  <c r="AA62" i="25"/>
  <c r="AB57" i="25"/>
  <c r="AI202" i="25"/>
  <c r="Y202" i="25"/>
  <c r="AA126" i="25"/>
  <c r="AA153" i="25"/>
  <c r="L333" i="25"/>
  <c r="Y333" i="25" s="1"/>
  <c r="AA333" i="25" s="1"/>
  <c r="AB209" i="25"/>
  <c r="L355" i="25"/>
  <c r="AI355" i="25" s="1"/>
  <c r="Y331" i="25"/>
  <c r="AB331" i="25" s="1"/>
  <c r="Y40" i="25"/>
  <c r="AA40" i="25" s="1"/>
  <c r="Y140" i="25"/>
  <c r="AA140" i="25" s="1"/>
  <c r="AA85" i="25"/>
  <c r="AA29" i="25"/>
  <c r="J377" i="25"/>
  <c r="AH377" i="25" s="1"/>
  <c r="AB290" i="25"/>
  <c r="AB297" i="25"/>
  <c r="Y96" i="25"/>
  <c r="AA96" i="25" s="1"/>
  <c r="AA25" i="25"/>
  <c r="Y330" i="25"/>
  <c r="AA330" i="25" s="1"/>
  <c r="J364" i="25"/>
  <c r="AH364" i="25" s="1"/>
  <c r="J387" i="25"/>
  <c r="AH387" i="25" s="1"/>
  <c r="AB185" i="25"/>
  <c r="L341" i="25"/>
  <c r="AI341" i="25" s="1"/>
  <c r="Y307" i="25"/>
  <c r="AA307" i="25" s="1"/>
  <c r="F376" i="25"/>
  <c r="H376" i="25" s="1"/>
  <c r="J376" i="25" s="1"/>
  <c r="AH376" i="25" s="1"/>
  <c r="X376" i="25"/>
  <c r="F256" i="25"/>
  <c r="X256" i="25"/>
  <c r="X46" i="25"/>
  <c r="F46" i="25"/>
  <c r="F466" i="25"/>
  <c r="X466" i="25"/>
  <c r="X196" i="25"/>
  <c r="F196" i="25"/>
  <c r="X136" i="25"/>
  <c r="F136" i="25"/>
  <c r="X76" i="25"/>
  <c r="F76" i="25"/>
  <c r="F106" i="25"/>
  <c r="X106" i="25"/>
  <c r="F16" i="25"/>
  <c r="X16" i="25"/>
  <c r="X436" i="25"/>
  <c r="F436" i="25"/>
  <c r="X496" i="25"/>
  <c r="F496" i="25"/>
  <c r="X316" i="25"/>
  <c r="F316" i="25"/>
  <c r="X346" i="25"/>
  <c r="F346" i="25"/>
  <c r="X166" i="25"/>
  <c r="F166" i="25"/>
  <c r="X286" i="25"/>
  <c r="F286" i="25"/>
  <c r="F226" i="25"/>
  <c r="X226" i="25"/>
  <c r="X406" i="25"/>
  <c r="F406" i="25"/>
  <c r="H406" i="25" s="1"/>
  <c r="T406" i="25" s="1"/>
  <c r="J370" i="25"/>
  <c r="AH370" i="25" s="1"/>
  <c r="L360" i="25"/>
  <c r="AI360" i="25" s="1"/>
  <c r="AA99" i="25"/>
  <c r="J385" i="25"/>
  <c r="AH385" i="25" s="1"/>
  <c r="AI291" i="25"/>
  <c r="Y291" i="25"/>
  <c r="AA115" i="25"/>
  <c r="AI200" i="25"/>
  <c r="Y200" i="25"/>
  <c r="AA95" i="25"/>
  <c r="L362" i="25"/>
  <c r="AI362" i="25" s="1"/>
  <c r="J378" i="25"/>
  <c r="AH378" i="25" s="1"/>
  <c r="J381" i="25"/>
  <c r="AH381" i="25" s="1"/>
  <c r="J380" i="25"/>
  <c r="AH380" i="25" s="1"/>
  <c r="T366" i="25"/>
  <c r="L342" i="25"/>
  <c r="Y342" i="25" s="1"/>
  <c r="T372" i="25"/>
  <c r="AI201" i="25"/>
  <c r="Y201" i="25"/>
  <c r="T388" i="25"/>
  <c r="AI247" i="25"/>
  <c r="Y247" i="25"/>
  <c r="AA247" i="25" s="1"/>
  <c r="AI250" i="25"/>
  <c r="Y250" i="25"/>
  <c r="T389" i="25"/>
  <c r="J383" i="25"/>
  <c r="AH383" i="25" s="1"/>
  <c r="T374" i="25"/>
  <c r="Y319" i="25"/>
  <c r="AB319" i="25" s="1"/>
  <c r="J367" i="25"/>
  <c r="AH367" i="25" s="1"/>
  <c r="L337" i="25"/>
  <c r="AI337" i="25" s="1"/>
  <c r="L350" i="25"/>
  <c r="AI350" i="25" s="1"/>
  <c r="AA305" i="25"/>
  <c r="T379" i="25"/>
  <c r="J382" i="25"/>
  <c r="AH382" i="25" s="1"/>
  <c r="J363" i="25"/>
  <c r="AH363" i="25" s="1"/>
  <c r="Y244" i="25"/>
  <c r="AA244" i="25" s="1"/>
  <c r="L338" i="25"/>
  <c r="AI338" i="25" s="1"/>
  <c r="L347" i="25"/>
  <c r="Y347" i="25" s="1"/>
  <c r="J390" i="25"/>
  <c r="AH390" i="25" s="1"/>
  <c r="L344" i="25"/>
  <c r="Y344" i="25" s="1"/>
  <c r="L359" i="25"/>
  <c r="AI359" i="25" s="1"/>
  <c r="L357" i="25"/>
  <c r="Y357" i="25" s="1"/>
  <c r="L358" i="25"/>
  <c r="AI358" i="25" s="1"/>
  <c r="L351" i="25"/>
  <c r="AI351" i="25" s="1"/>
  <c r="AG351" i="25"/>
  <c r="L348" i="25"/>
  <c r="Y348" i="25" s="1"/>
  <c r="AG348" i="25"/>
  <c r="AG219" i="25"/>
  <c r="L354" i="25"/>
  <c r="AI354" i="25" s="1"/>
  <c r="AG354" i="25"/>
  <c r="L353" i="25"/>
  <c r="AI353" i="25" s="1"/>
  <c r="AG353" i="25"/>
  <c r="L352" i="25"/>
  <c r="Y352" i="25" s="1"/>
  <c r="AG352" i="25"/>
  <c r="AG4" i="25"/>
  <c r="AB129" i="25"/>
  <c r="J386" i="25"/>
  <c r="AH386" i="25" s="1"/>
  <c r="L340" i="25"/>
  <c r="AI340" i="25" s="1"/>
  <c r="AG340" i="25"/>
  <c r="AB215" i="25"/>
  <c r="L356" i="25"/>
  <c r="AI356" i="25" s="1"/>
  <c r="J371" i="25"/>
  <c r="AH371" i="25" s="1"/>
  <c r="L349" i="25"/>
  <c r="AI349" i="25" s="1"/>
  <c r="J391" i="25"/>
  <c r="AH391" i="25" s="1"/>
  <c r="AA326" i="25"/>
  <c r="L361" i="25"/>
  <c r="Y361" i="25" s="1"/>
  <c r="AG361" i="25"/>
  <c r="AI141" i="25"/>
  <c r="Y141" i="25"/>
  <c r="AI58" i="25"/>
  <c r="Y58" i="25"/>
  <c r="AI66" i="25"/>
  <c r="Y66" i="25"/>
  <c r="AI198" i="25"/>
  <c r="Y198" i="25"/>
  <c r="AA198" i="25" s="1"/>
  <c r="AI260" i="25"/>
  <c r="Y260" i="25"/>
  <c r="AI79" i="25"/>
  <c r="Y79" i="25"/>
  <c r="AI36" i="25"/>
  <c r="Y36" i="25"/>
  <c r="AI23" i="25"/>
  <c r="Y23" i="25"/>
  <c r="AA23" i="25" s="1"/>
  <c r="W169" i="25"/>
  <c r="L169" i="25"/>
  <c r="AI81" i="25"/>
  <c r="Y81" i="25"/>
  <c r="AI110" i="25"/>
  <c r="Y110" i="25"/>
  <c r="L154" i="25"/>
  <c r="W154" i="25"/>
  <c r="W80" i="25"/>
  <c r="L80" i="25"/>
  <c r="AI179" i="25"/>
  <c r="Y179" i="25"/>
  <c r="AI32" i="25"/>
  <c r="Y32" i="25"/>
  <c r="AI51" i="25"/>
  <c r="Y51" i="25"/>
  <c r="AI254" i="25"/>
  <c r="Y254" i="25"/>
  <c r="AI122" i="25"/>
  <c r="Y122" i="25"/>
  <c r="AI70" i="25"/>
  <c r="Y70" i="25"/>
  <c r="AI235" i="25"/>
  <c r="Y235" i="25"/>
  <c r="AI97" i="25"/>
  <c r="Y97" i="25"/>
  <c r="AA97" i="25" s="1"/>
  <c r="AI220" i="25"/>
  <c r="Y220" i="25"/>
  <c r="AI83" i="25"/>
  <c r="Y83" i="25"/>
  <c r="AA83" i="25" s="1"/>
  <c r="AI262" i="25"/>
  <c r="Y262" i="25"/>
  <c r="AI230" i="25"/>
  <c r="Y230" i="25"/>
  <c r="L142" i="25"/>
  <c r="W142" i="25"/>
  <c r="W14" i="25"/>
  <c r="L14" i="25"/>
  <c r="AI162" i="25"/>
  <c r="Y162" i="25"/>
  <c r="AA162" i="25" s="1"/>
  <c r="AI199" i="25"/>
  <c r="Y199" i="25"/>
  <c r="AI180" i="25"/>
  <c r="Y180" i="25"/>
  <c r="AI208" i="25"/>
  <c r="Y208" i="25"/>
  <c r="AI92" i="25"/>
  <c r="Y92" i="25"/>
  <c r="AI237" i="25"/>
  <c r="Y237" i="25"/>
  <c r="AI224" i="25"/>
  <c r="Y224" i="25"/>
  <c r="AI109" i="25"/>
  <c r="Y109" i="25"/>
  <c r="AI94" i="25"/>
  <c r="Y94" i="25"/>
  <c r="AI232" i="25"/>
  <c r="Y232" i="25"/>
  <c r="L259" i="25"/>
  <c r="W259" i="25"/>
  <c r="AI134" i="25"/>
  <c r="Y134" i="25"/>
  <c r="AI19" i="25"/>
  <c r="Y19" i="25"/>
  <c r="AI187" i="25"/>
  <c r="Y187" i="25"/>
  <c r="AA187" i="25" s="1"/>
  <c r="AI22" i="25"/>
  <c r="Y22" i="25"/>
  <c r="AI175" i="25"/>
  <c r="Y175" i="25"/>
  <c r="AI98" i="25"/>
  <c r="Y98" i="25"/>
  <c r="AA98" i="25" s="1"/>
  <c r="AI100" i="25"/>
  <c r="Y100" i="25"/>
  <c r="AI171" i="25"/>
  <c r="Y171" i="25"/>
  <c r="AI26" i="25"/>
  <c r="Y26" i="25"/>
  <c r="AI59" i="25"/>
  <c r="Y59" i="25"/>
  <c r="AI44" i="25"/>
  <c r="Y44" i="25"/>
  <c r="AI21" i="25"/>
  <c r="Y21" i="25"/>
  <c r="AB189" i="25"/>
  <c r="T392" i="25"/>
  <c r="J368" i="25"/>
  <c r="AH368" i="25" s="1"/>
  <c r="AI50" i="25"/>
  <c r="Y50" i="25"/>
  <c r="AI74" i="25"/>
  <c r="Y74" i="25"/>
  <c r="AI18" i="25"/>
  <c r="Y18" i="25"/>
  <c r="AA18" i="25" s="1"/>
  <c r="AI139" i="25"/>
  <c r="Y139" i="25"/>
  <c r="AI56" i="25"/>
  <c r="Y56" i="25"/>
  <c r="AI64" i="25"/>
  <c r="Y64" i="25"/>
  <c r="AI5" i="25"/>
  <c r="Y5" i="25"/>
  <c r="AI114" i="25"/>
  <c r="Y114" i="25"/>
  <c r="AA114" i="25" s="1"/>
  <c r="AI31" i="25"/>
  <c r="Y31" i="25"/>
  <c r="AI49" i="25"/>
  <c r="Y49" i="25"/>
  <c r="AI227" i="25"/>
  <c r="Y227" i="25"/>
  <c r="AA227" i="25" s="1"/>
  <c r="AI39" i="25"/>
  <c r="Y39" i="25"/>
  <c r="AI216" i="25"/>
  <c r="Y216" i="25"/>
  <c r="AI176" i="25"/>
  <c r="Y176" i="25"/>
  <c r="AI186" i="25"/>
  <c r="Y186" i="25"/>
  <c r="AI7" i="25"/>
  <c r="Y7" i="25"/>
  <c r="AA7" i="25" s="1"/>
  <c r="AI35" i="25"/>
  <c r="Y35" i="25"/>
  <c r="AI84" i="25"/>
  <c r="Y84" i="25"/>
  <c r="AA84" i="25" s="1"/>
  <c r="AI69" i="25"/>
  <c r="Y69" i="25"/>
  <c r="AI113" i="25"/>
  <c r="Y113" i="25"/>
  <c r="AA113" i="25" s="1"/>
  <c r="AI82" i="25"/>
  <c r="Y82" i="25"/>
  <c r="AI10" i="25"/>
  <c r="Y10" i="25"/>
  <c r="AI42" i="25"/>
  <c r="Y42" i="25"/>
  <c r="AA42" i="25" s="1"/>
  <c r="AI231" i="25"/>
  <c r="Y231" i="25"/>
  <c r="AI48" i="25"/>
  <c r="Y48" i="25"/>
  <c r="AA48" i="25" s="1"/>
  <c r="AI9" i="25"/>
  <c r="Y9" i="25"/>
  <c r="Y33" i="25"/>
  <c r="AI33" i="25"/>
  <c r="AI104" i="25"/>
  <c r="Y104" i="25"/>
  <c r="AI130" i="25"/>
  <c r="Y130" i="25"/>
  <c r="AI3" i="25"/>
  <c r="Y3" i="25"/>
  <c r="AI34" i="25"/>
  <c r="Y34" i="25"/>
  <c r="AI112" i="25"/>
  <c r="Y112" i="25"/>
  <c r="AI138" i="25"/>
  <c r="Y138" i="25"/>
  <c r="AA138" i="25" s="1"/>
  <c r="AI86" i="25"/>
  <c r="Y86" i="25"/>
  <c r="AI269" i="25"/>
  <c r="Y269" i="25"/>
  <c r="AI68" i="25"/>
  <c r="Y68" i="25"/>
  <c r="AA68" i="25" s="1"/>
  <c r="L4" i="25"/>
  <c r="W4" i="25"/>
  <c r="AI60" i="25"/>
  <c r="Y60" i="25"/>
  <c r="AI194" i="25"/>
  <c r="Y194" i="25"/>
  <c r="AB194" i="25" s="1"/>
  <c r="AI172" i="25"/>
  <c r="Y172" i="25"/>
  <c r="AI156" i="25"/>
  <c r="Y156" i="25"/>
  <c r="AI143" i="25"/>
  <c r="Y143" i="25"/>
  <c r="AA143" i="25" s="1"/>
  <c r="AI20" i="25"/>
  <c r="Y20" i="25"/>
  <c r="AI164" i="25"/>
  <c r="Y164" i="25"/>
  <c r="AI236" i="25"/>
  <c r="Y236" i="25"/>
  <c r="AI63" i="25"/>
  <c r="Y63" i="25"/>
  <c r="AI52" i="25"/>
  <c r="Y52" i="25"/>
  <c r="AI261" i="25"/>
  <c r="Y261" i="25"/>
  <c r="AI24" i="25"/>
  <c r="Y24" i="25"/>
  <c r="AA24" i="25" s="1"/>
  <c r="AI160" i="25"/>
  <c r="Y160" i="25"/>
  <c r="AB326" i="25"/>
  <c r="J369" i="25"/>
  <c r="AH369" i="25" s="1"/>
  <c r="T384" i="25"/>
  <c r="AB245" i="25"/>
  <c r="AB276" i="25"/>
  <c r="AA276" i="25"/>
  <c r="H422" i="25"/>
  <c r="J422" i="25" s="1"/>
  <c r="AH422" i="25" s="1"/>
  <c r="P422" i="25"/>
  <c r="G422" i="25" s="1"/>
  <c r="H393" i="25"/>
  <c r="J393" i="25" s="1"/>
  <c r="AH393" i="25" s="1"/>
  <c r="P393" i="25"/>
  <c r="G393" i="25" s="1"/>
  <c r="H395" i="25"/>
  <c r="T395" i="25" s="1"/>
  <c r="P395" i="25"/>
  <c r="G395" i="25" s="1"/>
  <c r="H414" i="25"/>
  <c r="J414" i="25" s="1"/>
  <c r="AH414" i="25" s="1"/>
  <c r="P414" i="25"/>
  <c r="G414" i="25" s="1"/>
  <c r="H412" i="25"/>
  <c r="J412" i="25" s="1"/>
  <c r="AH412" i="25" s="1"/>
  <c r="P412" i="25"/>
  <c r="G412" i="25" s="1"/>
  <c r="W350" i="25"/>
  <c r="W362" i="25"/>
  <c r="W357" i="25"/>
  <c r="S380" i="25"/>
  <c r="I380" i="25"/>
  <c r="AG380" i="25" s="1"/>
  <c r="W338" i="25"/>
  <c r="AI323" i="25"/>
  <c r="Y323" i="25"/>
  <c r="AA323" i="25" s="1"/>
  <c r="W349" i="25"/>
  <c r="W360" i="25"/>
  <c r="W344" i="25"/>
  <c r="I371" i="25"/>
  <c r="AG371" i="25" s="1"/>
  <c r="S371" i="25"/>
  <c r="W335" i="25"/>
  <c r="L335" i="25"/>
  <c r="AI329" i="25"/>
  <c r="Y329" i="25"/>
  <c r="AI320" i="25"/>
  <c r="Y320" i="25"/>
  <c r="I364" i="25"/>
  <c r="AG364" i="25" s="1"/>
  <c r="S364" i="25"/>
  <c r="H410" i="25"/>
  <c r="T410" i="25" s="1"/>
  <c r="P410" i="25"/>
  <c r="G410" i="25" s="1"/>
  <c r="H407" i="25"/>
  <c r="J407" i="25" s="1"/>
  <c r="AH407" i="25" s="1"/>
  <c r="P407" i="25"/>
  <c r="G407" i="25" s="1"/>
  <c r="H394" i="25"/>
  <c r="J394" i="25" s="1"/>
  <c r="AH394" i="25" s="1"/>
  <c r="P394" i="25"/>
  <c r="G394" i="25" s="1"/>
  <c r="I374" i="25"/>
  <c r="AG374" i="25" s="1"/>
  <c r="S374" i="25"/>
  <c r="S392" i="25"/>
  <c r="I392" i="25"/>
  <c r="S363" i="25"/>
  <c r="I363" i="25"/>
  <c r="AG363" i="25" s="1"/>
  <c r="L336" i="25"/>
  <c r="W336" i="25"/>
  <c r="AI317" i="25"/>
  <c r="Y317" i="25"/>
  <c r="AA317" i="25" s="1"/>
  <c r="H415" i="25"/>
  <c r="T415" i="25" s="1"/>
  <c r="P415" i="25"/>
  <c r="G415" i="25" s="1"/>
  <c r="H419" i="25"/>
  <c r="T419" i="25" s="1"/>
  <c r="P419" i="25"/>
  <c r="G419" i="25" s="1"/>
  <c r="H420" i="25"/>
  <c r="T420" i="25" s="1"/>
  <c r="P420" i="25"/>
  <c r="G420" i="25" s="1"/>
  <c r="H416" i="25"/>
  <c r="T416" i="25" s="1"/>
  <c r="P416" i="25"/>
  <c r="G416" i="25" s="1"/>
  <c r="H404" i="25"/>
  <c r="J404" i="25" s="1"/>
  <c r="AH404" i="25" s="1"/>
  <c r="P404" i="25"/>
  <c r="G404" i="25" s="1"/>
  <c r="S382" i="25"/>
  <c r="I382" i="25"/>
  <c r="AG382" i="25" s="1"/>
  <c r="AI311" i="25"/>
  <c r="Y311" i="25"/>
  <c r="AA311" i="25" s="1"/>
  <c r="W347" i="25"/>
  <c r="I377" i="25"/>
  <c r="AG377" i="25" s="1"/>
  <c r="S377" i="25"/>
  <c r="I381" i="25"/>
  <c r="AG381" i="25" s="1"/>
  <c r="S381" i="25"/>
  <c r="AI332" i="25"/>
  <c r="Y332" i="25"/>
  <c r="S366" i="25"/>
  <c r="I366" i="25"/>
  <c r="AG366" i="25" s="1"/>
  <c r="H402" i="25"/>
  <c r="J402" i="25" s="1"/>
  <c r="AH402" i="25" s="1"/>
  <c r="P402" i="25"/>
  <c r="G402" i="25" s="1"/>
  <c r="P406" i="25"/>
  <c r="H418" i="25"/>
  <c r="T418" i="25" s="1"/>
  <c r="P418" i="25"/>
  <c r="G418" i="25" s="1"/>
  <c r="H408" i="25"/>
  <c r="T408" i="25" s="1"/>
  <c r="P408" i="25"/>
  <c r="G408" i="25" s="1"/>
  <c r="H398" i="25"/>
  <c r="T398" i="25" s="1"/>
  <c r="P398" i="25"/>
  <c r="G398" i="25" s="1"/>
  <c r="H396" i="25"/>
  <c r="T396" i="25" s="1"/>
  <c r="P396" i="25"/>
  <c r="G396" i="25" s="1"/>
  <c r="H417" i="25"/>
  <c r="T417" i="25" s="1"/>
  <c r="P417" i="25"/>
  <c r="G417" i="25" s="1"/>
  <c r="H400" i="25"/>
  <c r="T400" i="25" s="1"/>
  <c r="P400" i="25"/>
  <c r="G400" i="25" s="1"/>
  <c r="H421" i="25"/>
  <c r="T421" i="25" s="1"/>
  <c r="P421" i="25"/>
  <c r="G421" i="25" s="1"/>
  <c r="AI325" i="25"/>
  <c r="Y325" i="25"/>
  <c r="AI318" i="25"/>
  <c r="Y318" i="25"/>
  <c r="AA318" i="25" s="1"/>
  <c r="W351" i="25"/>
  <c r="W361" i="25"/>
  <c r="I370" i="25"/>
  <c r="S370" i="25"/>
  <c r="I369" i="25"/>
  <c r="S369" i="25"/>
  <c r="W354" i="25"/>
  <c r="W358" i="25"/>
  <c r="I389" i="25"/>
  <c r="AG389" i="25" s="1"/>
  <c r="S389" i="25"/>
  <c r="S384" i="25"/>
  <c r="I384" i="25"/>
  <c r="AG384" i="25" s="1"/>
  <c r="AI308" i="25"/>
  <c r="Y308" i="25"/>
  <c r="AA308" i="25" s="1"/>
  <c r="S383" i="25"/>
  <c r="I383" i="25"/>
  <c r="AG383" i="25" s="1"/>
  <c r="W352" i="25"/>
  <c r="W342" i="25"/>
  <c r="AI314" i="25"/>
  <c r="Y314" i="25"/>
  <c r="I368" i="25"/>
  <c r="S368" i="25"/>
  <c r="P405" i="25"/>
  <c r="W340" i="25"/>
  <c r="I385" i="25"/>
  <c r="AG385" i="25" s="1"/>
  <c r="S385" i="25"/>
  <c r="W348" i="25"/>
  <c r="I388" i="25"/>
  <c r="S388" i="25"/>
  <c r="AI322" i="25"/>
  <c r="Y322" i="25"/>
  <c r="S365" i="25"/>
  <c r="I365" i="25"/>
  <c r="AG365" i="25" s="1"/>
  <c r="AI324" i="25"/>
  <c r="Y324" i="25"/>
  <c r="AA324" i="25" s="1"/>
  <c r="S391" i="25"/>
  <c r="I391" i="25"/>
  <c r="AG391" i="25" s="1"/>
  <c r="W359" i="25"/>
  <c r="H413" i="25"/>
  <c r="T413" i="25" s="1"/>
  <c r="P413" i="25"/>
  <c r="G413" i="25" s="1"/>
  <c r="H409" i="25"/>
  <c r="T409" i="25" s="1"/>
  <c r="P409" i="25"/>
  <c r="G409" i="25" s="1"/>
  <c r="H401" i="25"/>
  <c r="J401" i="25" s="1"/>
  <c r="AH401" i="25" s="1"/>
  <c r="P401" i="25"/>
  <c r="G401" i="25" s="1"/>
  <c r="H411" i="25"/>
  <c r="T411" i="25" s="1"/>
  <c r="P411" i="25"/>
  <c r="G411" i="25" s="1"/>
  <c r="H399" i="25"/>
  <c r="J399" i="25" s="1"/>
  <c r="AH399" i="25" s="1"/>
  <c r="P399" i="25"/>
  <c r="G399" i="25" s="1"/>
  <c r="H397" i="25"/>
  <c r="J397" i="25" s="1"/>
  <c r="AH397" i="25" s="1"/>
  <c r="P397" i="25"/>
  <c r="G397" i="25" s="1"/>
  <c r="S386" i="25"/>
  <c r="I386" i="25"/>
  <c r="AG386" i="25" s="1"/>
  <c r="AI312" i="25"/>
  <c r="Y312" i="25"/>
  <c r="AA312" i="25" s="1"/>
  <c r="I379" i="25"/>
  <c r="S379" i="25"/>
  <c r="W334" i="25"/>
  <c r="L334" i="25"/>
  <c r="W355" i="25"/>
  <c r="I378" i="25"/>
  <c r="AG378" i="25" s="1"/>
  <c r="S378" i="25"/>
  <c r="P403" i="25"/>
  <c r="W356" i="25"/>
  <c r="I372" i="25"/>
  <c r="S372" i="25"/>
  <c r="W337" i="25"/>
  <c r="W353" i="25"/>
  <c r="S390" i="25"/>
  <c r="I390" i="25"/>
  <c r="AG390" i="25" s="1"/>
  <c r="W339" i="25"/>
  <c r="L339" i="25"/>
  <c r="I367" i="25"/>
  <c r="S367" i="25"/>
  <c r="AI328" i="25"/>
  <c r="Y328" i="25"/>
  <c r="S387" i="25"/>
  <c r="I387" i="25"/>
  <c r="AI310" i="25"/>
  <c r="Y310" i="25"/>
  <c r="W341" i="25"/>
  <c r="AA279" i="25"/>
  <c r="AA159" i="25"/>
  <c r="AB249" i="25"/>
  <c r="AA123" i="25"/>
  <c r="AI303" i="25"/>
  <c r="AB246" i="25"/>
  <c r="AB125" i="25"/>
  <c r="AI344" i="25"/>
  <c r="Q428" i="25"/>
  <c r="Q436" i="25"/>
  <c r="Q444" i="25"/>
  <c r="Q452" i="25"/>
  <c r="Q429" i="25"/>
  <c r="Q437" i="25"/>
  <c r="Q445" i="25"/>
  <c r="Q430" i="25"/>
  <c r="Q438" i="25"/>
  <c r="Q446" i="25"/>
  <c r="Q423" i="25"/>
  <c r="Q431" i="25"/>
  <c r="Q439" i="25"/>
  <c r="Q447" i="25"/>
  <c r="Q424" i="25"/>
  <c r="Q432" i="25"/>
  <c r="Q440" i="25"/>
  <c r="Q448" i="25"/>
  <c r="Q427" i="25"/>
  <c r="Q435" i="25"/>
  <c r="Q443" i="25"/>
  <c r="Q451" i="25"/>
  <c r="Q442" i="25"/>
  <c r="Q449" i="25"/>
  <c r="Q450" i="25"/>
  <c r="Q425" i="25"/>
  <c r="Q434" i="25"/>
  <c r="Q426" i="25"/>
  <c r="Q433" i="25"/>
  <c r="Q441" i="25"/>
  <c r="R427" i="25"/>
  <c r="R435" i="25"/>
  <c r="R443" i="25"/>
  <c r="R451" i="25"/>
  <c r="R428" i="25"/>
  <c r="R436" i="25"/>
  <c r="R444" i="25"/>
  <c r="R452" i="25"/>
  <c r="R442" i="25"/>
  <c r="R429" i="25"/>
  <c r="R437" i="25"/>
  <c r="R445" i="25"/>
  <c r="R426" i="25"/>
  <c r="R430" i="25"/>
  <c r="R438" i="25"/>
  <c r="R446" i="25"/>
  <c r="R423" i="25"/>
  <c r="R431" i="25"/>
  <c r="R439" i="25"/>
  <c r="R447" i="25"/>
  <c r="R450" i="25"/>
  <c r="R424" i="25"/>
  <c r="R432" i="25"/>
  <c r="R440" i="25"/>
  <c r="R448" i="25"/>
  <c r="R425" i="25"/>
  <c r="R433" i="25"/>
  <c r="R441" i="25"/>
  <c r="R449" i="25"/>
  <c r="R434" i="25"/>
  <c r="AA304" i="25"/>
  <c r="AB306" i="25"/>
  <c r="Y303" i="25"/>
  <c r="W219" i="25"/>
  <c r="L219" i="25"/>
  <c r="AA124" i="25"/>
  <c r="AA170" i="25"/>
  <c r="AA214" i="25"/>
  <c r="AB140" i="25"/>
  <c r="AB96" i="25"/>
  <c r="Q4" i="23"/>
  <c r="W4" i="23"/>
  <c r="Q5" i="23"/>
  <c r="Q6" i="23"/>
  <c r="W6" i="23"/>
  <c r="Q7" i="23"/>
  <c r="W7" i="23"/>
  <c r="Q8" i="23"/>
  <c r="Q9" i="23"/>
  <c r="W9" i="23"/>
  <c r="Q10" i="23"/>
  <c r="AU10" i="23" s="1"/>
  <c r="X10" i="23"/>
  <c r="Q11" i="23"/>
  <c r="W11" i="23"/>
  <c r="Q12" i="23"/>
  <c r="Q13" i="23"/>
  <c r="W13" i="23"/>
  <c r="Q14" i="23"/>
  <c r="W14" i="23"/>
  <c r="Q15" i="23"/>
  <c r="Q16" i="23"/>
  <c r="W16" i="23"/>
  <c r="Q17" i="23"/>
  <c r="Q18" i="23"/>
  <c r="W18" i="23"/>
  <c r="Q19" i="23"/>
  <c r="W19" i="23"/>
  <c r="Q20" i="23"/>
  <c r="W3" i="23"/>
  <c r="Q3" i="23"/>
  <c r="Y358" i="25" l="1"/>
  <c r="AB244" i="25"/>
  <c r="Y351" i="25"/>
  <c r="AB333" i="25"/>
  <c r="Y341" i="25"/>
  <c r="AA111" i="25"/>
  <c r="T376" i="25"/>
  <c r="AA331" i="25"/>
  <c r="AA327" i="25"/>
  <c r="AB40" i="25"/>
  <c r="Y356" i="25"/>
  <c r="AB356" i="25" s="1"/>
  <c r="AI333" i="25"/>
  <c r="AA321" i="25"/>
  <c r="AI361" i="25"/>
  <c r="AA155" i="25"/>
  <c r="AB155" i="25"/>
  <c r="Y353" i="25"/>
  <c r="AA65" i="25"/>
  <c r="AA319" i="25"/>
  <c r="AA275" i="25"/>
  <c r="AI342" i="25"/>
  <c r="AA274" i="25"/>
  <c r="Y355" i="25"/>
  <c r="AI357" i="25"/>
  <c r="J420" i="25"/>
  <c r="AH420" i="25" s="1"/>
  <c r="AB330" i="25"/>
  <c r="AI348" i="25"/>
  <c r="Y362" i="25"/>
  <c r="AB362" i="25" s="1"/>
  <c r="Y350" i="25"/>
  <c r="AB202" i="25"/>
  <c r="AA202" i="25"/>
  <c r="J409" i="25"/>
  <c r="AH409" i="25" s="1"/>
  <c r="Y338" i="25"/>
  <c r="AA338" i="25" s="1"/>
  <c r="AI352" i="25"/>
  <c r="Y337" i="25"/>
  <c r="AA337" i="25" s="1"/>
  <c r="G406" i="25"/>
  <c r="S406" i="25" s="1"/>
  <c r="L383" i="25"/>
  <c r="Y360" i="25"/>
  <c r="AA360" i="25" s="1"/>
  <c r="Y354" i="25"/>
  <c r="AA354" i="25" s="1"/>
  <c r="J396" i="25"/>
  <c r="AH396" i="25" s="1"/>
  <c r="J406" i="25"/>
  <c r="AH406" i="25" s="1"/>
  <c r="L381" i="25"/>
  <c r="AI381" i="25" s="1"/>
  <c r="J411" i="25"/>
  <c r="AH411" i="25" s="1"/>
  <c r="Y340" i="25"/>
  <c r="AA340" i="25" s="1"/>
  <c r="L374" i="25"/>
  <c r="G376" i="25"/>
  <c r="L363" i="25"/>
  <c r="AI347" i="25"/>
  <c r="H286" i="25"/>
  <c r="G286" i="25"/>
  <c r="H46" i="25"/>
  <c r="G46" i="25"/>
  <c r="H316" i="25"/>
  <c r="G316" i="25"/>
  <c r="H166" i="25"/>
  <c r="G166" i="25"/>
  <c r="G16" i="25"/>
  <c r="H16" i="25"/>
  <c r="H136" i="25"/>
  <c r="G136" i="25"/>
  <c r="H106" i="25"/>
  <c r="G106" i="25"/>
  <c r="G196" i="25"/>
  <c r="H196" i="25"/>
  <c r="G76" i="25"/>
  <c r="H76" i="25"/>
  <c r="H256" i="25"/>
  <c r="G256" i="25"/>
  <c r="H226" i="25"/>
  <c r="G226" i="25"/>
  <c r="H346" i="25"/>
  <c r="G346" i="25"/>
  <c r="AA341" i="25"/>
  <c r="AB200" i="25"/>
  <c r="AA200" i="25"/>
  <c r="AB291" i="25"/>
  <c r="AA291" i="25"/>
  <c r="AB201" i="25"/>
  <c r="AA201" i="25"/>
  <c r="L364" i="25"/>
  <c r="AI364" i="25" s="1"/>
  <c r="AA250" i="25"/>
  <c r="AB250" i="25"/>
  <c r="T414" i="25"/>
  <c r="L390" i="25"/>
  <c r="Y390" i="25" s="1"/>
  <c r="Y359" i="25"/>
  <c r="AA359" i="25" s="1"/>
  <c r="T402" i="25"/>
  <c r="J410" i="25"/>
  <c r="AH410" i="25" s="1"/>
  <c r="L371" i="25"/>
  <c r="AI371" i="25" s="1"/>
  <c r="J416" i="25"/>
  <c r="AH416" i="25" s="1"/>
  <c r="T399" i="25"/>
  <c r="J418" i="25"/>
  <c r="AH418" i="25" s="1"/>
  <c r="L377" i="25"/>
  <c r="AI377" i="25" s="1"/>
  <c r="J419" i="25"/>
  <c r="AH419" i="25" s="1"/>
  <c r="L380" i="25"/>
  <c r="AI380" i="25" s="1"/>
  <c r="L366" i="25"/>
  <c r="L391" i="25"/>
  <c r="AI391" i="25" s="1"/>
  <c r="Y349" i="25"/>
  <c r="AB349" i="25" s="1"/>
  <c r="L384" i="25"/>
  <c r="AI384" i="25" s="1"/>
  <c r="L387" i="25"/>
  <c r="AI387" i="25" s="1"/>
  <c r="AG387" i="25"/>
  <c r="L388" i="25"/>
  <c r="Y388" i="25" s="1"/>
  <c r="AG388" i="25"/>
  <c r="L368" i="25"/>
  <c r="AG368" i="25"/>
  <c r="L392" i="25"/>
  <c r="AI392" i="25" s="1"/>
  <c r="AG392" i="25"/>
  <c r="L367" i="25"/>
  <c r="AI367" i="25" s="1"/>
  <c r="AG367" i="25"/>
  <c r="L372" i="25"/>
  <c r="AI372" i="25" s="1"/>
  <c r="AG372" i="25"/>
  <c r="J421" i="25"/>
  <c r="AH421" i="25" s="1"/>
  <c r="T412" i="25"/>
  <c r="J415" i="25"/>
  <c r="AH415" i="25" s="1"/>
  <c r="L379" i="25"/>
  <c r="Y379" i="25" s="1"/>
  <c r="AG379" i="25"/>
  <c r="J417" i="25"/>
  <c r="AH417" i="25" s="1"/>
  <c r="L389" i="25"/>
  <c r="Y389" i="25" s="1"/>
  <c r="L386" i="25"/>
  <c r="Y386" i="25" s="1"/>
  <c r="L378" i="25"/>
  <c r="T401" i="25"/>
  <c r="L385" i="25"/>
  <c r="AI385" i="25" s="1"/>
  <c r="J398" i="25"/>
  <c r="AH398" i="25" s="1"/>
  <c r="L382" i="25"/>
  <c r="Y382" i="25" s="1"/>
  <c r="L369" i="25"/>
  <c r="AI369" i="25" s="1"/>
  <c r="AG369" i="25"/>
  <c r="AA342" i="25"/>
  <c r="J408" i="25"/>
  <c r="AH408" i="25" s="1"/>
  <c r="J395" i="25"/>
  <c r="AH395" i="25" s="1"/>
  <c r="T394" i="25"/>
  <c r="L370" i="25"/>
  <c r="AI370" i="25" s="1"/>
  <c r="AG370" i="25"/>
  <c r="AU19" i="23"/>
  <c r="R19" i="23"/>
  <c r="AU14" i="23"/>
  <c r="R14" i="23"/>
  <c r="X15" i="23"/>
  <c r="AM15" i="23" s="1"/>
  <c r="AU15" i="23"/>
  <c r="BA15" i="23" s="1"/>
  <c r="AU9" i="23"/>
  <c r="R9" i="23"/>
  <c r="AU18" i="23"/>
  <c r="R18" i="23"/>
  <c r="AU13" i="23"/>
  <c r="R13" i="23"/>
  <c r="X8" i="23"/>
  <c r="AF8" i="23" s="1"/>
  <c r="AU8" i="23"/>
  <c r="BA8" i="23" s="1"/>
  <c r="X17" i="23"/>
  <c r="AX17" i="23" s="1"/>
  <c r="AU17" i="23"/>
  <c r="BA17" i="23" s="1"/>
  <c r="X12" i="23"/>
  <c r="AM12" i="23" s="1"/>
  <c r="AU12" i="23"/>
  <c r="BA12" i="23" s="1"/>
  <c r="X20" i="23"/>
  <c r="AM20" i="23" s="1"/>
  <c r="AU20" i="23"/>
  <c r="BA20" i="23" s="1"/>
  <c r="AU4" i="23"/>
  <c r="R4" i="23"/>
  <c r="AU3" i="23"/>
  <c r="R3" i="23"/>
  <c r="AU7" i="23"/>
  <c r="R7" i="23"/>
  <c r="AU6" i="23"/>
  <c r="R6" i="23"/>
  <c r="X5" i="23"/>
  <c r="AF5" i="23" s="1"/>
  <c r="AU5" i="23"/>
  <c r="BA5" i="23" s="1"/>
  <c r="AU16" i="23"/>
  <c r="R16" i="23"/>
  <c r="AU11" i="23"/>
  <c r="R11" i="23"/>
  <c r="AB35" i="25"/>
  <c r="AA35" i="25"/>
  <c r="AA186" i="25"/>
  <c r="AB186" i="25"/>
  <c r="AA5" i="25"/>
  <c r="AB5" i="25"/>
  <c r="AA139" i="25"/>
  <c r="AB139" i="25"/>
  <c r="AA44" i="25"/>
  <c r="AB44" i="25"/>
  <c r="AB100" i="25"/>
  <c r="AA100" i="25"/>
  <c r="AI14" i="25"/>
  <c r="Y14" i="25"/>
  <c r="AB235" i="25"/>
  <c r="AA235" i="25"/>
  <c r="AB254" i="25"/>
  <c r="AA254" i="25"/>
  <c r="AI80" i="25"/>
  <c r="Y80" i="25"/>
  <c r="AA36" i="25"/>
  <c r="AB36" i="25"/>
  <c r="AA66" i="25"/>
  <c r="AB66" i="25"/>
  <c r="AA20" i="25"/>
  <c r="AB20" i="25"/>
  <c r="AA112" i="25"/>
  <c r="AB112" i="25"/>
  <c r="AB104" i="25"/>
  <c r="AA104" i="25"/>
  <c r="AB9" i="25"/>
  <c r="AA9" i="25"/>
  <c r="AA10" i="25"/>
  <c r="AB10" i="25"/>
  <c r="AA232" i="25"/>
  <c r="AB232" i="25"/>
  <c r="AA237" i="25"/>
  <c r="AB237" i="25"/>
  <c r="AB199" i="25"/>
  <c r="AA199" i="25"/>
  <c r="AA262" i="25"/>
  <c r="AB262" i="25"/>
  <c r="AB81" i="25"/>
  <c r="AA81" i="25"/>
  <c r="J400" i="25"/>
  <c r="AH400" i="25" s="1"/>
  <c r="AA348" i="25"/>
  <c r="T393" i="25"/>
  <c r="AA347" i="25"/>
  <c r="T422" i="25"/>
  <c r="T397" i="25"/>
  <c r="T404" i="25"/>
  <c r="AA176" i="25"/>
  <c r="AB176" i="25"/>
  <c r="AB49" i="25"/>
  <c r="AA49" i="25"/>
  <c r="AA64" i="25"/>
  <c r="AB64" i="25"/>
  <c r="AA59" i="25"/>
  <c r="AB59" i="25"/>
  <c r="AA19" i="25"/>
  <c r="AB19" i="25"/>
  <c r="AB70" i="25"/>
  <c r="AA70" i="25"/>
  <c r="AB51" i="25"/>
  <c r="AA51" i="25"/>
  <c r="AB79" i="25"/>
  <c r="AA79" i="25"/>
  <c r="AA58" i="25"/>
  <c r="AB58" i="25"/>
  <c r="AA63" i="25"/>
  <c r="AB63" i="25"/>
  <c r="AB60" i="25"/>
  <c r="AA60" i="25"/>
  <c r="AA269" i="25"/>
  <c r="AB269" i="25"/>
  <c r="AA34" i="25"/>
  <c r="AB34" i="25"/>
  <c r="AA69" i="25"/>
  <c r="AB69" i="25"/>
  <c r="AA94" i="25"/>
  <c r="AB94" i="25"/>
  <c r="AA92" i="25"/>
  <c r="AB92" i="25"/>
  <c r="AI169" i="25"/>
  <c r="Y169" i="25"/>
  <c r="AB216" i="25"/>
  <c r="AA216" i="25"/>
  <c r="AB31" i="25"/>
  <c r="AA31" i="25"/>
  <c r="AB74" i="25"/>
  <c r="AA74" i="25"/>
  <c r="AB26" i="25"/>
  <c r="AA26" i="25"/>
  <c r="AB175" i="25"/>
  <c r="AA175" i="25"/>
  <c r="AB134" i="25"/>
  <c r="AA134" i="25"/>
  <c r="AB122" i="25"/>
  <c r="AA122" i="25"/>
  <c r="AA32" i="25"/>
  <c r="AB32" i="25"/>
  <c r="AI154" i="25"/>
  <c r="Y154" i="25"/>
  <c r="AA260" i="25"/>
  <c r="AB260" i="25"/>
  <c r="AA141" i="25"/>
  <c r="AB141" i="25"/>
  <c r="AA261" i="25"/>
  <c r="AB261" i="25"/>
  <c r="AB236" i="25"/>
  <c r="AA236" i="25"/>
  <c r="AB156" i="25"/>
  <c r="AA156" i="25"/>
  <c r="AB86" i="25"/>
  <c r="AA86" i="25"/>
  <c r="AB3" i="25"/>
  <c r="AA3" i="25"/>
  <c r="AB231" i="25"/>
  <c r="AA231" i="25"/>
  <c r="AA82" i="25"/>
  <c r="AB82" i="25"/>
  <c r="AB109" i="25"/>
  <c r="AA109" i="25"/>
  <c r="AA208" i="25"/>
  <c r="AB208" i="25"/>
  <c r="AI142" i="25"/>
  <c r="Y142" i="25"/>
  <c r="AI4" i="25"/>
  <c r="Y4" i="25"/>
  <c r="AB39" i="25"/>
  <c r="AA39" i="25"/>
  <c r="AA56" i="25"/>
  <c r="AB56" i="25"/>
  <c r="AA50" i="25"/>
  <c r="AB50" i="25"/>
  <c r="AA21" i="25"/>
  <c r="AB21" i="25"/>
  <c r="AB171" i="25"/>
  <c r="AA171" i="25"/>
  <c r="AB22" i="25"/>
  <c r="AA22" i="25"/>
  <c r="AB179" i="25"/>
  <c r="AA179" i="25"/>
  <c r="AA160" i="25"/>
  <c r="AB160" i="25"/>
  <c r="AB52" i="25"/>
  <c r="AA52" i="25"/>
  <c r="AB164" i="25"/>
  <c r="AA164" i="25"/>
  <c r="AB172" i="25"/>
  <c r="AA172" i="25"/>
  <c r="AA130" i="25"/>
  <c r="AB130" i="25"/>
  <c r="AB33" i="25"/>
  <c r="AA33" i="25"/>
  <c r="AI259" i="25"/>
  <c r="Y259" i="25"/>
  <c r="AA259" i="25" s="1"/>
  <c r="AB224" i="25"/>
  <c r="AA224" i="25"/>
  <c r="AB180" i="25"/>
  <c r="AA180" i="25"/>
  <c r="AA230" i="25"/>
  <c r="AB230" i="25"/>
  <c r="AB220" i="25"/>
  <c r="AA220" i="25"/>
  <c r="AA110" i="25"/>
  <c r="AB110" i="25"/>
  <c r="AA194" i="25"/>
  <c r="T407" i="25"/>
  <c r="J413" i="25"/>
  <c r="AA353" i="25"/>
  <c r="W386" i="25"/>
  <c r="I401" i="25"/>
  <c r="AG401" i="25" s="1"/>
  <c r="S401" i="25"/>
  <c r="W391" i="25"/>
  <c r="AA322" i="25"/>
  <c r="AB322" i="25"/>
  <c r="W389" i="25"/>
  <c r="W370" i="25"/>
  <c r="S414" i="25"/>
  <c r="I414" i="25"/>
  <c r="H427" i="25"/>
  <c r="T427" i="25" s="1"/>
  <c r="P427" i="25"/>
  <c r="G427" i="25" s="1"/>
  <c r="H444" i="25"/>
  <c r="T444" i="25" s="1"/>
  <c r="P444" i="25"/>
  <c r="G444" i="25" s="1"/>
  <c r="H425" i="25"/>
  <c r="T425" i="25" s="1"/>
  <c r="P425" i="25"/>
  <c r="G425" i="25" s="1"/>
  <c r="H436" i="25"/>
  <c r="J436" i="25" s="1"/>
  <c r="AH436" i="25" s="1"/>
  <c r="P436" i="25"/>
  <c r="G436" i="25" s="1"/>
  <c r="H442" i="25"/>
  <c r="T442" i="25" s="1"/>
  <c r="P442" i="25"/>
  <c r="G442" i="25" s="1"/>
  <c r="H445" i="25"/>
  <c r="J445" i="25" s="1"/>
  <c r="AH445" i="25" s="1"/>
  <c r="P445" i="25"/>
  <c r="G445" i="25" s="1"/>
  <c r="H441" i="25"/>
  <c r="J441" i="25" s="1"/>
  <c r="AH441" i="25" s="1"/>
  <c r="P441" i="25"/>
  <c r="G441" i="25" s="1"/>
  <c r="H451" i="25"/>
  <c r="J451" i="25" s="1"/>
  <c r="AH451" i="25" s="1"/>
  <c r="P451" i="25"/>
  <c r="G451" i="25" s="1"/>
  <c r="H447" i="25"/>
  <c r="J447" i="25" s="1"/>
  <c r="AH447" i="25" s="1"/>
  <c r="P447" i="25"/>
  <c r="G447" i="25" s="1"/>
  <c r="H437" i="25"/>
  <c r="J437" i="25" s="1"/>
  <c r="AH437" i="25" s="1"/>
  <c r="P437" i="25"/>
  <c r="G437" i="25" s="1"/>
  <c r="AA310" i="25"/>
  <c r="AB310" i="25"/>
  <c r="AA325" i="25"/>
  <c r="AB325" i="25"/>
  <c r="I396" i="25"/>
  <c r="AG396" i="25" s="1"/>
  <c r="S396" i="25"/>
  <c r="W382" i="25"/>
  <c r="I419" i="25"/>
  <c r="S419" i="25"/>
  <c r="H448" i="25"/>
  <c r="T448" i="25" s="1"/>
  <c r="P448" i="25"/>
  <c r="G448" i="25" s="1"/>
  <c r="H424" i="25"/>
  <c r="T424" i="25" s="1"/>
  <c r="P424" i="25"/>
  <c r="G424" i="25" s="1"/>
  <c r="P433" i="25"/>
  <c r="H443" i="25"/>
  <c r="J443" i="25" s="1"/>
  <c r="AH443" i="25" s="1"/>
  <c r="P443" i="25"/>
  <c r="G443" i="25" s="1"/>
  <c r="H439" i="25"/>
  <c r="J439" i="25" s="1"/>
  <c r="AH439" i="25" s="1"/>
  <c r="P439" i="25"/>
  <c r="G439" i="25" s="1"/>
  <c r="H429" i="25"/>
  <c r="T429" i="25" s="1"/>
  <c r="P429" i="25"/>
  <c r="G429" i="25" s="1"/>
  <c r="I397" i="25"/>
  <c r="AG397" i="25" s="1"/>
  <c r="S397" i="25"/>
  <c r="I409" i="25"/>
  <c r="S409" i="25"/>
  <c r="W381" i="25"/>
  <c r="W374" i="25"/>
  <c r="W364" i="25"/>
  <c r="S395" i="25"/>
  <c r="I395" i="25"/>
  <c r="H426" i="25"/>
  <c r="T426" i="25" s="1"/>
  <c r="P426" i="25"/>
  <c r="G426" i="25" s="1"/>
  <c r="P435" i="25"/>
  <c r="H431" i="25"/>
  <c r="T431" i="25" s="1"/>
  <c r="P431" i="25"/>
  <c r="G431" i="25" s="1"/>
  <c r="H452" i="25"/>
  <c r="T452" i="25" s="1"/>
  <c r="P452" i="25"/>
  <c r="G452" i="25" s="1"/>
  <c r="W387" i="25"/>
  <c r="W367" i="25"/>
  <c r="W379" i="25"/>
  <c r="W388" i="25"/>
  <c r="I421" i="25"/>
  <c r="S421" i="25"/>
  <c r="I398" i="25"/>
  <c r="AG398" i="25" s="1"/>
  <c r="S398" i="25"/>
  <c r="S402" i="25"/>
  <c r="I402" i="25"/>
  <c r="I404" i="25"/>
  <c r="AG404" i="25" s="1"/>
  <c r="S404" i="25"/>
  <c r="S415" i="25"/>
  <c r="I415" i="25"/>
  <c r="AI336" i="25"/>
  <c r="Y336" i="25"/>
  <c r="AB336" i="25" s="1"/>
  <c r="I394" i="25"/>
  <c r="S394" i="25"/>
  <c r="AA320" i="25"/>
  <c r="AB320" i="25"/>
  <c r="W371" i="25"/>
  <c r="AI339" i="25"/>
  <c r="Y339" i="25"/>
  <c r="AB339" i="25" s="1"/>
  <c r="W378" i="25"/>
  <c r="S399" i="25"/>
  <c r="I399" i="25"/>
  <c r="AG399" i="25" s="1"/>
  <c r="S413" i="25"/>
  <c r="I413" i="25"/>
  <c r="AG413" i="25" s="1"/>
  <c r="W383" i="25"/>
  <c r="W384" i="25"/>
  <c r="W377" i="25"/>
  <c r="S393" i="25"/>
  <c r="I393" i="25"/>
  <c r="H434" i="25"/>
  <c r="J434" i="25" s="1"/>
  <c r="AH434" i="25" s="1"/>
  <c r="P434" i="25"/>
  <c r="G434" i="25" s="1"/>
  <c r="H423" i="25"/>
  <c r="T423" i="25" s="1"/>
  <c r="P423" i="25"/>
  <c r="G423" i="25" s="1"/>
  <c r="AA328" i="25"/>
  <c r="AB328" i="25"/>
  <c r="W368" i="25"/>
  <c r="I400" i="25"/>
  <c r="S400" i="25"/>
  <c r="I408" i="25"/>
  <c r="AG408" i="25" s="1"/>
  <c r="S408" i="25"/>
  <c r="W366" i="25"/>
  <c r="I416" i="25"/>
  <c r="S416" i="25"/>
  <c r="W363" i="25"/>
  <c r="I407" i="25"/>
  <c r="AG407" i="25" s="1"/>
  <c r="S407" i="25"/>
  <c r="AA329" i="25"/>
  <c r="AB329" i="25"/>
  <c r="H438" i="25"/>
  <c r="T438" i="25" s="1"/>
  <c r="P438" i="25"/>
  <c r="G438" i="25" s="1"/>
  <c r="W372" i="25"/>
  <c r="S411" i="25"/>
  <c r="I411" i="25"/>
  <c r="W365" i="25"/>
  <c r="AB314" i="25"/>
  <c r="AA314" i="25"/>
  <c r="W369" i="25"/>
  <c r="W380" i="25"/>
  <c r="S412" i="25"/>
  <c r="I412" i="25"/>
  <c r="S422" i="25"/>
  <c r="I422" i="25"/>
  <c r="H446" i="25"/>
  <c r="T446" i="25" s="1"/>
  <c r="P446" i="25"/>
  <c r="G446" i="25" s="1"/>
  <c r="H450" i="25"/>
  <c r="J450" i="25" s="1"/>
  <c r="AH450" i="25" s="1"/>
  <c r="P450" i="25"/>
  <c r="G450" i="25" s="1"/>
  <c r="H440" i="25"/>
  <c r="T440" i="25" s="1"/>
  <c r="P440" i="25"/>
  <c r="G440" i="25" s="1"/>
  <c r="H428" i="25"/>
  <c r="J428" i="25" s="1"/>
  <c r="AH428" i="25" s="1"/>
  <c r="P428" i="25"/>
  <c r="G428" i="25" s="1"/>
  <c r="H449" i="25"/>
  <c r="J449" i="25" s="1"/>
  <c r="AH449" i="25" s="1"/>
  <c r="P449" i="25"/>
  <c r="G449" i="25" s="1"/>
  <c r="H432" i="25"/>
  <c r="J432" i="25" s="1"/>
  <c r="AH432" i="25" s="1"/>
  <c r="P432" i="25"/>
  <c r="G432" i="25" s="1"/>
  <c r="H430" i="25"/>
  <c r="T430" i="25" s="1"/>
  <c r="P430" i="25"/>
  <c r="G430" i="25" s="1"/>
  <c r="L365" i="25"/>
  <c r="AI365" i="25" s="1"/>
  <c r="W390" i="25"/>
  <c r="AI334" i="25"/>
  <c r="Y334" i="25"/>
  <c r="AB334" i="25" s="1"/>
  <c r="W385" i="25"/>
  <c r="I417" i="25"/>
  <c r="S417" i="25"/>
  <c r="I418" i="25"/>
  <c r="S418" i="25"/>
  <c r="AA332" i="25"/>
  <c r="AB332" i="25"/>
  <c r="I420" i="25"/>
  <c r="AG420" i="25" s="1"/>
  <c r="S420" i="25"/>
  <c r="W392" i="25"/>
  <c r="I410" i="25"/>
  <c r="S410" i="25"/>
  <c r="AI335" i="25"/>
  <c r="Y335" i="25"/>
  <c r="AB335" i="25" s="1"/>
  <c r="AA303" i="25"/>
  <c r="AI383" i="25"/>
  <c r="Y383" i="25"/>
  <c r="AA383" i="25" s="1"/>
  <c r="AI374" i="25"/>
  <c r="Y374" i="25"/>
  <c r="AI368" i="25"/>
  <c r="Y368" i="25"/>
  <c r="AA351" i="25"/>
  <c r="AB351" i="25"/>
  <c r="Y372" i="25"/>
  <c r="AA357" i="25"/>
  <c r="AB357" i="25"/>
  <c r="AI390" i="25"/>
  <c r="AA361" i="25"/>
  <c r="AB361" i="25"/>
  <c r="AB352" i="25"/>
  <c r="AA352" i="25"/>
  <c r="AI363" i="25"/>
  <c r="Y363" i="25"/>
  <c r="AB344" i="25"/>
  <c r="AA344" i="25"/>
  <c r="AB350" i="25"/>
  <c r="AA350" i="25"/>
  <c r="Q460" i="25"/>
  <c r="Q468" i="25"/>
  <c r="Q476" i="25"/>
  <c r="Q453" i="25"/>
  <c r="Q461" i="25"/>
  <c r="Q469" i="25"/>
  <c r="Q477" i="25"/>
  <c r="Q454" i="25"/>
  <c r="Q462" i="25"/>
  <c r="Q470" i="25"/>
  <c r="Q478" i="25"/>
  <c r="Q455" i="25"/>
  <c r="Q463" i="25"/>
  <c r="Q471" i="25"/>
  <c r="Q479" i="25"/>
  <c r="Q456" i="25"/>
  <c r="Q464" i="25"/>
  <c r="Q472" i="25"/>
  <c r="Q480" i="25"/>
  <c r="Q459" i="25"/>
  <c r="Q467" i="25"/>
  <c r="Q475" i="25"/>
  <c r="Q474" i="25"/>
  <c r="Q481" i="25"/>
  <c r="Q482" i="25"/>
  <c r="Q457" i="25"/>
  <c r="Q458" i="25"/>
  <c r="Q465" i="25"/>
  <c r="Q473" i="25"/>
  <c r="Q466" i="25"/>
  <c r="R459" i="25"/>
  <c r="R467" i="25"/>
  <c r="R475" i="25"/>
  <c r="R474" i="25"/>
  <c r="R460" i="25"/>
  <c r="R468" i="25"/>
  <c r="R476" i="25"/>
  <c r="R453" i="25"/>
  <c r="R461" i="25"/>
  <c r="R469" i="25"/>
  <c r="R477" i="25"/>
  <c r="R462" i="25"/>
  <c r="R478" i="25"/>
  <c r="R454" i="25"/>
  <c r="R470" i="25"/>
  <c r="R466" i="25"/>
  <c r="R455" i="25"/>
  <c r="R463" i="25"/>
  <c r="R471" i="25"/>
  <c r="R479" i="25"/>
  <c r="R456" i="25"/>
  <c r="R464" i="25"/>
  <c r="R472" i="25"/>
  <c r="R480" i="25"/>
  <c r="R458" i="25"/>
  <c r="R457" i="25"/>
  <c r="R465" i="25"/>
  <c r="R473" i="25"/>
  <c r="R481" i="25"/>
  <c r="R482" i="25"/>
  <c r="AA358" i="25"/>
  <c r="AB358" i="25"/>
  <c r="AI389" i="25"/>
  <c r="AI366" i="25"/>
  <c r="Y366" i="25"/>
  <c r="AA355" i="25"/>
  <c r="AB355" i="25"/>
  <c r="AI378" i="25"/>
  <c r="Y378" i="25"/>
  <c r="AB303" i="25"/>
  <c r="AI219" i="25"/>
  <c r="Y219" i="25"/>
  <c r="D39" i="23"/>
  <c r="D44" i="23"/>
  <c r="E33" i="23"/>
  <c r="D49" i="23"/>
  <c r="D41" i="23"/>
  <c r="E43" i="23"/>
  <c r="D43" i="23"/>
  <c r="X13" i="23"/>
  <c r="AF13" i="23" s="1"/>
  <c r="X11" i="23"/>
  <c r="AM11" i="23" s="1"/>
  <c r="D36" i="23"/>
  <c r="X3" i="23"/>
  <c r="AX3" i="23" s="1"/>
  <c r="E48" i="23"/>
  <c r="E36" i="23"/>
  <c r="X19" i="23"/>
  <c r="AF19" i="23" s="1"/>
  <c r="D48" i="23"/>
  <c r="X16" i="23"/>
  <c r="AX16" i="23" s="1"/>
  <c r="X9" i="23"/>
  <c r="AM9" i="23" s="1"/>
  <c r="D33" i="23"/>
  <c r="D37" i="23"/>
  <c r="D34" i="23"/>
  <c r="D46" i="23"/>
  <c r="AM10" i="23"/>
  <c r="AX10" i="23"/>
  <c r="AX20" i="23"/>
  <c r="BA10" i="23"/>
  <c r="AD12" i="23"/>
  <c r="AL8" i="23"/>
  <c r="X7" i="23"/>
  <c r="AX7" i="23" s="1"/>
  <c r="AE17" i="23"/>
  <c r="AE5" i="23"/>
  <c r="AE8" i="23"/>
  <c r="AF10" i="23"/>
  <c r="AE10" i="23"/>
  <c r="AE12" i="23"/>
  <c r="AF20" i="23"/>
  <c r="AE20" i="23"/>
  <c r="X14" i="23"/>
  <c r="AX14" i="23" s="1"/>
  <c r="AE15" i="23"/>
  <c r="X4" i="23"/>
  <c r="AX4" i="23" s="1"/>
  <c r="X6" i="23"/>
  <c r="AX6" i="23" s="1"/>
  <c r="X18" i="23"/>
  <c r="AX18" i="23" s="1"/>
  <c r="AR21" i="23"/>
  <c r="H27" i="23" s="1"/>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3" i="19"/>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3" i="16"/>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3" i="9"/>
  <c r="AA356" i="25" l="1"/>
  <c r="AM8" i="23"/>
  <c r="AF12" i="23"/>
  <c r="AX12" i="23"/>
  <c r="L399" i="25"/>
  <c r="Y377" i="25"/>
  <c r="AA377" i="25" s="1"/>
  <c r="AA362" i="25"/>
  <c r="Y370" i="25"/>
  <c r="AA370" i="25" s="1"/>
  <c r="AI379" i="25"/>
  <c r="Y380" i="25"/>
  <c r="AB380" i="25" s="1"/>
  <c r="T445" i="25"/>
  <c r="AI386" i="25"/>
  <c r="Y364" i="25"/>
  <c r="AB364" i="25" s="1"/>
  <c r="Y371" i="25"/>
  <c r="AA371" i="25" s="1"/>
  <c r="Y391" i="25"/>
  <c r="AB391" i="25" s="1"/>
  <c r="I406" i="25"/>
  <c r="AG406" i="25" s="1"/>
  <c r="AB359" i="25"/>
  <c r="AB360" i="25"/>
  <c r="Y381" i="25"/>
  <c r="AA381" i="25" s="1"/>
  <c r="AA349" i="25"/>
  <c r="Y392" i="25"/>
  <c r="AA392" i="25" s="1"/>
  <c r="AI388" i="25"/>
  <c r="AB340" i="25"/>
  <c r="Y387" i="25"/>
  <c r="AA387" i="25" s="1"/>
  <c r="AI382" i="25"/>
  <c r="Y367" i="25"/>
  <c r="AA367" i="25" s="1"/>
  <c r="Y384" i="25"/>
  <c r="AA384" i="25" s="1"/>
  <c r="I376" i="25"/>
  <c r="S376" i="25"/>
  <c r="T436" i="25"/>
  <c r="Y369" i="25"/>
  <c r="AA369" i="25" s="1"/>
  <c r="S346" i="25"/>
  <c r="I346" i="25"/>
  <c r="I76" i="25"/>
  <c r="S76" i="25"/>
  <c r="I136" i="25"/>
  <c r="S136" i="25"/>
  <c r="I316" i="25"/>
  <c r="S316" i="25"/>
  <c r="J346" i="25"/>
  <c r="AH346" i="25" s="1"/>
  <c r="T346" i="25"/>
  <c r="T136" i="25"/>
  <c r="J136" i="25"/>
  <c r="AH136" i="25" s="1"/>
  <c r="J316" i="25"/>
  <c r="AH316" i="25" s="1"/>
  <c r="T316" i="25"/>
  <c r="S226" i="25"/>
  <c r="I226" i="25"/>
  <c r="T16" i="25"/>
  <c r="J16" i="25"/>
  <c r="AH16" i="25" s="1"/>
  <c r="J226" i="25"/>
  <c r="AH226" i="25" s="1"/>
  <c r="T226" i="25"/>
  <c r="T196" i="25"/>
  <c r="J196" i="25"/>
  <c r="AH196" i="25" s="1"/>
  <c r="I16" i="25"/>
  <c r="S16" i="25"/>
  <c r="L408" i="25"/>
  <c r="AI408" i="25" s="1"/>
  <c r="I196" i="25"/>
  <c r="S196" i="25"/>
  <c r="S166" i="25"/>
  <c r="I166" i="25"/>
  <c r="S46" i="25"/>
  <c r="I46" i="25"/>
  <c r="I256" i="25"/>
  <c r="S256" i="25"/>
  <c r="S106" i="25"/>
  <c r="I106" i="25"/>
  <c r="J166" i="25"/>
  <c r="AH166" i="25" s="1"/>
  <c r="T166" i="25"/>
  <c r="J46" i="25"/>
  <c r="AH46" i="25" s="1"/>
  <c r="T46" i="25"/>
  <c r="J256" i="25"/>
  <c r="AH256" i="25" s="1"/>
  <c r="T256" i="25"/>
  <c r="T106" i="25"/>
  <c r="J106" i="25"/>
  <c r="AH106" i="25" s="1"/>
  <c r="I286" i="25"/>
  <c r="S286" i="25"/>
  <c r="J76" i="25"/>
  <c r="AH76" i="25" s="1"/>
  <c r="T76" i="25"/>
  <c r="T286" i="25"/>
  <c r="J286" i="25"/>
  <c r="AH286" i="25" s="1"/>
  <c r="L398" i="25"/>
  <c r="AI398" i="25" s="1"/>
  <c r="J442" i="25"/>
  <c r="AH442" i="25" s="1"/>
  <c r="T447" i="25"/>
  <c r="L407" i="25"/>
  <c r="AI407" i="25" s="1"/>
  <c r="Y385" i="25"/>
  <c r="AB385" i="25" s="1"/>
  <c r="L420" i="25"/>
  <c r="Y420" i="25" s="1"/>
  <c r="AB259" i="25"/>
  <c r="J430" i="25"/>
  <c r="AH430" i="25" s="1"/>
  <c r="T449" i="25"/>
  <c r="J440" i="25"/>
  <c r="AH440" i="25" s="1"/>
  <c r="L404" i="25"/>
  <c r="Y404" i="25" s="1"/>
  <c r="L401" i="25"/>
  <c r="AI401" i="25" s="1"/>
  <c r="J438" i="25"/>
  <c r="AH438" i="25" s="1"/>
  <c r="L397" i="25"/>
  <c r="AI397" i="25" s="1"/>
  <c r="J448" i="25"/>
  <c r="AH448" i="25" s="1"/>
  <c r="J427" i="25"/>
  <c r="AH427" i="25" s="1"/>
  <c r="L415" i="25"/>
  <c r="Y415" i="25" s="1"/>
  <c r="AG415" i="25"/>
  <c r="L414" i="25"/>
  <c r="AI414" i="25" s="1"/>
  <c r="AG414" i="25"/>
  <c r="L416" i="25"/>
  <c r="AI416" i="25" s="1"/>
  <c r="AG416" i="25"/>
  <c r="T434" i="25"/>
  <c r="L421" i="25"/>
  <c r="Y421" i="25" s="1"/>
  <c r="AG421" i="25"/>
  <c r="J425" i="25"/>
  <c r="AH425" i="25" s="1"/>
  <c r="T439" i="25"/>
  <c r="L422" i="25"/>
  <c r="AI422" i="25" s="1"/>
  <c r="AG422" i="25"/>
  <c r="L410" i="25"/>
  <c r="AI410" i="25" s="1"/>
  <c r="AG410" i="25"/>
  <c r="L411" i="25"/>
  <c r="AI411" i="25" s="1"/>
  <c r="AG411" i="25"/>
  <c r="L418" i="25"/>
  <c r="Y418" i="25" s="1"/>
  <c r="AG418" i="25"/>
  <c r="L412" i="25"/>
  <c r="AI412" i="25" s="1"/>
  <c r="AG412" i="25"/>
  <c r="L402" i="25"/>
  <c r="AI402" i="25" s="1"/>
  <c r="AG402" i="25"/>
  <c r="L413" i="25"/>
  <c r="Y413" i="25" s="1"/>
  <c r="AH413" i="25"/>
  <c r="L400" i="25"/>
  <c r="Y400" i="25" s="1"/>
  <c r="AG400" i="25"/>
  <c r="J452" i="25"/>
  <c r="AH452" i="25" s="1"/>
  <c r="L393" i="25"/>
  <c r="AI393" i="25" s="1"/>
  <c r="AG393" i="25"/>
  <c r="L394" i="25"/>
  <c r="AG394" i="25"/>
  <c r="Y365" i="25"/>
  <c r="AB365" i="25" s="1"/>
  <c r="L396" i="25"/>
  <c r="AI396" i="25" s="1"/>
  <c r="L417" i="25"/>
  <c r="AI417" i="25" s="1"/>
  <c r="AG417" i="25"/>
  <c r="L395" i="25"/>
  <c r="AI395" i="25" s="1"/>
  <c r="AG395" i="25"/>
  <c r="L409" i="25"/>
  <c r="AI409" i="25" s="1"/>
  <c r="AG409" i="25"/>
  <c r="L419" i="25"/>
  <c r="AI419" i="25" s="1"/>
  <c r="AG419" i="25"/>
  <c r="AM17" i="23"/>
  <c r="BB17" i="23" s="1"/>
  <c r="AF17" i="23"/>
  <c r="S16" i="23"/>
  <c r="T16" i="23"/>
  <c r="S9" i="23"/>
  <c r="T9" i="23"/>
  <c r="AX5" i="23"/>
  <c r="AX15" i="23"/>
  <c r="AU21" i="23"/>
  <c r="S3" i="23"/>
  <c r="T3" i="23"/>
  <c r="AF15" i="23"/>
  <c r="AM5" i="23"/>
  <c r="BB5" i="23" s="1"/>
  <c r="T4" i="23"/>
  <c r="S4" i="23"/>
  <c r="T6" i="23"/>
  <c r="S6" i="23"/>
  <c r="T13" i="23"/>
  <c r="S13" i="23"/>
  <c r="T14" i="23"/>
  <c r="S14" i="23"/>
  <c r="AX8" i="23"/>
  <c r="T11" i="23"/>
  <c r="S11" i="23"/>
  <c r="T7" i="23"/>
  <c r="S7" i="23"/>
  <c r="S18" i="23"/>
  <c r="T18" i="23"/>
  <c r="T19" i="23"/>
  <c r="S19" i="23"/>
  <c r="T451" i="25"/>
  <c r="AB169" i="25"/>
  <c r="AA169" i="25"/>
  <c r="T432" i="25"/>
  <c r="AA154" i="25"/>
  <c r="AB154" i="25"/>
  <c r="T450" i="25"/>
  <c r="J446" i="25"/>
  <c r="AH446" i="25" s="1"/>
  <c r="T443" i="25"/>
  <c r="AB142" i="25"/>
  <c r="AA142" i="25"/>
  <c r="AB14" i="25"/>
  <c r="AA14" i="25"/>
  <c r="AB4" i="25"/>
  <c r="AA4" i="25"/>
  <c r="AB80" i="25"/>
  <c r="AA80" i="25"/>
  <c r="J423" i="25"/>
  <c r="AH423" i="25" s="1"/>
  <c r="J424" i="25"/>
  <c r="AH424" i="25" s="1"/>
  <c r="J431" i="25"/>
  <c r="AH431" i="25" s="1"/>
  <c r="J429" i="25"/>
  <c r="AH429" i="25" s="1"/>
  <c r="T441" i="25"/>
  <c r="T428" i="25"/>
  <c r="J426" i="25"/>
  <c r="AH426" i="25" s="1"/>
  <c r="AA368" i="25"/>
  <c r="J444" i="25"/>
  <c r="AH444" i="25" s="1"/>
  <c r="AA378" i="25"/>
  <c r="T437" i="25"/>
  <c r="AA339" i="25"/>
  <c r="AA372" i="25"/>
  <c r="AA335" i="25"/>
  <c r="H466" i="25"/>
  <c r="T466" i="25" s="1"/>
  <c r="P466" i="25"/>
  <c r="G466" i="25" s="1"/>
  <c r="H475" i="25"/>
  <c r="T475" i="25" s="1"/>
  <c r="P475" i="25"/>
  <c r="G475" i="25" s="1"/>
  <c r="H471" i="25"/>
  <c r="T471" i="25" s="1"/>
  <c r="P471" i="25"/>
  <c r="G471" i="25" s="1"/>
  <c r="H469" i="25"/>
  <c r="J469" i="25" s="1"/>
  <c r="AH469" i="25" s="1"/>
  <c r="P469" i="25"/>
  <c r="G469" i="25" s="1"/>
  <c r="W420" i="25"/>
  <c r="I432" i="25"/>
  <c r="AG432" i="25" s="1"/>
  <c r="S432" i="25"/>
  <c r="S450" i="25"/>
  <c r="I450" i="25"/>
  <c r="W411" i="25"/>
  <c r="W393" i="25"/>
  <c r="W413" i="25"/>
  <c r="W415" i="25"/>
  <c r="S426" i="25"/>
  <c r="I426" i="25"/>
  <c r="AG426" i="25" s="1"/>
  <c r="AA336" i="25"/>
  <c r="W397" i="25"/>
  <c r="S447" i="25"/>
  <c r="I447" i="25"/>
  <c r="AG447" i="25" s="1"/>
  <c r="I442" i="25"/>
  <c r="AG442" i="25" s="1"/>
  <c r="S442" i="25"/>
  <c r="I427" i="25"/>
  <c r="AG427" i="25" s="1"/>
  <c r="S427" i="25"/>
  <c r="H473" i="25"/>
  <c r="J473" i="25" s="1"/>
  <c r="AH473" i="25" s="1"/>
  <c r="P473" i="25"/>
  <c r="G473" i="25" s="1"/>
  <c r="H467" i="25"/>
  <c r="J467" i="25" s="1"/>
  <c r="AH467" i="25" s="1"/>
  <c r="P467" i="25"/>
  <c r="G467" i="25" s="1"/>
  <c r="P463" i="25"/>
  <c r="H461" i="25"/>
  <c r="T461" i="25" s="1"/>
  <c r="P461" i="25"/>
  <c r="G461" i="25" s="1"/>
  <c r="W407" i="25"/>
  <c r="W421" i="25"/>
  <c r="S429" i="25"/>
  <c r="I429" i="25"/>
  <c r="AG429" i="25" s="1"/>
  <c r="S424" i="25"/>
  <c r="I424" i="25"/>
  <c r="P465" i="25"/>
  <c r="H459" i="25"/>
  <c r="T459" i="25" s="1"/>
  <c r="P459" i="25"/>
  <c r="G459" i="25" s="1"/>
  <c r="H455" i="25"/>
  <c r="T455" i="25" s="1"/>
  <c r="P455" i="25"/>
  <c r="G455" i="25" s="1"/>
  <c r="H453" i="25"/>
  <c r="J453" i="25" s="1"/>
  <c r="AH453" i="25" s="1"/>
  <c r="P453" i="25"/>
  <c r="G453" i="25" s="1"/>
  <c r="W410" i="25"/>
  <c r="I449" i="25"/>
  <c r="S449" i="25"/>
  <c r="S446" i="25"/>
  <c r="I446" i="25"/>
  <c r="W408" i="25"/>
  <c r="W399" i="25"/>
  <c r="I452" i="25"/>
  <c r="S452" i="25"/>
  <c r="W395" i="25"/>
  <c r="I451" i="25"/>
  <c r="S451" i="25"/>
  <c r="I436" i="25"/>
  <c r="S436" i="25"/>
  <c r="W414" i="25"/>
  <c r="W401" i="25"/>
  <c r="H458" i="25"/>
  <c r="T458" i="25" s="1"/>
  <c r="P458" i="25"/>
  <c r="G458" i="25" s="1"/>
  <c r="H480" i="25"/>
  <c r="T480" i="25" s="1"/>
  <c r="P480" i="25"/>
  <c r="G480" i="25" s="1"/>
  <c r="H478" i="25"/>
  <c r="J478" i="25" s="1"/>
  <c r="AH478" i="25" s="1"/>
  <c r="P478" i="25"/>
  <c r="G478" i="25" s="1"/>
  <c r="H476" i="25"/>
  <c r="T476" i="25" s="1"/>
  <c r="P476" i="25"/>
  <c r="G476" i="25" s="1"/>
  <c r="W404" i="25"/>
  <c r="I439" i="25"/>
  <c r="AG439" i="25" s="1"/>
  <c r="S439" i="25"/>
  <c r="I448" i="25"/>
  <c r="AG448" i="25" s="1"/>
  <c r="S448" i="25"/>
  <c r="H457" i="25"/>
  <c r="T457" i="25" s="1"/>
  <c r="P457" i="25"/>
  <c r="G457" i="25" s="1"/>
  <c r="H472" i="25"/>
  <c r="J472" i="25" s="1"/>
  <c r="AH472" i="25" s="1"/>
  <c r="P472" i="25"/>
  <c r="G472" i="25" s="1"/>
  <c r="H470" i="25"/>
  <c r="J470" i="25" s="1"/>
  <c r="AH470" i="25" s="1"/>
  <c r="P470" i="25"/>
  <c r="G470" i="25" s="1"/>
  <c r="H468" i="25"/>
  <c r="T468" i="25" s="1"/>
  <c r="P468" i="25"/>
  <c r="G468" i="25" s="1"/>
  <c r="W418" i="25"/>
  <c r="I428" i="25"/>
  <c r="AG428" i="25" s="1"/>
  <c r="S428" i="25"/>
  <c r="W422" i="25"/>
  <c r="I438" i="25"/>
  <c r="AG438" i="25" s="1"/>
  <c r="S438" i="25"/>
  <c r="W400" i="25"/>
  <c r="I423" i="25"/>
  <c r="AG423" i="25" s="1"/>
  <c r="S423" i="25"/>
  <c r="W402" i="25"/>
  <c r="I431" i="25"/>
  <c r="AG431" i="25" s="1"/>
  <c r="S431" i="25"/>
  <c r="W396" i="25"/>
  <c r="S441" i="25"/>
  <c r="I441" i="25"/>
  <c r="I425" i="25"/>
  <c r="S425" i="25"/>
  <c r="H482" i="25"/>
  <c r="T482" i="25" s="1"/>
  <c r="P482" i="25"/>
  <c r="G482" i="25" s="1"/>
  <c r="H464" i="25"/>
  <c r="T464" i="25" s="1"/>
  <c r="P464" i="25"/>
  <c r="G464" i="25" s="1"/>
  <c r="H462" i="25"/>
  <c r="J462" i="25" s="1"/>
  <c r="AH462" i="25" s="1"/>
  <c r="P462" i="25"/>
  <c r="G462" i="25" s="1"/>
  <c r="H460" i="25"/>
  <c r="T460" i="25" s="1"/>
  <c r="P460" i="25"/>
  <c r="G460" i="25" s="1"/>
  <c r="W394" i="25"/>
  <c r="I443" i="25"/>
  <c r="AG443" i="25" s="1"/>
  <c r="S443" i="25"/>
  <c r="AA334" i="25"/>
  <c r="H481" i="25"/>
  <c r="T481" i="25" s="1"/>
  <c r="P481" i="25"/>
  <c r="G481" i="25" s="1"/>
  <c r="H456" i="25"/>
  <c r="J456" i="25" s="1"/>
  <c r="AH456" i="25" s="1"/>
  <c r="P456" i="25"/>
  <c r="G456" i="25" s="1"/>
  <c r="H454" i="25"/>
  <c r="J454" i="25" s="1"/>
  <c r="AH454" i="25" s="1"/>
  <c r="P454" i="25"/>
  <c r="G454" i="25" s="1"/>
  <c r="W417" i="25"/>
  <c r="I430" i="25"/>
  <c r="S430" i="25"/>
  <c r="S440" i="25"/>
  <c r="I440" i="25"/>
  <c r="W412" i="25"/>
  <c r="W416" i="25"/>
  <c r="I434" i="25"/>
  <c r="S434" i="25"/>
  <c r="W409" i="25"/>
  <c r="W419" i="25"/>
  <c r="I437" i="25"/>
  <c r="S437" i="25"/>
  <c r="S445" i="25"/>
  <c r="I445" i="25"/>
  <c r="AG445" i="25" s="1"/>
  <c r="I444" i="25"/>
  <c r="AG444" i="25" s="1"/>
  <c r="S444" i="25"/>
  <c r="H474" i="25"/>
  <c r="T474" i="25" s="1"/>
  <c r="P474" i="25"/>
  <c r="G474" i="25" s="1"/>
  <c r="H479" i="25"/>
  <c r="T479" i="25" s="1"/>
  <c r="P479" i="25"/>
  <c r="G479" i="25" s="1"/>
  <c r="H477" i="25"/>
  <c r="T477" i="25" s="1"/>
  <c r="P477" i="25"/>
  <c r="G477" i="25" s="1"/>
  <c r="W398" i="25"/>
  <c r="AB219" i="25"/>
  <c r="AB382" i="25"/>
  <c r="AA382" i="25"/>
  <c r="AA389" i="25"/>
  <c r="AB389" i="25"/>
  <c r="AB363" i="25"/>
  <c r="AA363" i="25"/>
  <c r="AI399" i="25"/>
  <c r="Y399" i="25"/>
  <c r="AA374" i="25"/>
  <c r="AB374" i="25"/>
  <c r="AB379" i="25"/>
  <c r="AA379" i="25"/>
  <c r="Q484" i="25"/>
  <c r="Q492" i="25"/>
  <c r="Q500" i="25"/>
  <c r="Q508" i="25"/>
  <c r="Q485" i="25"/>
  <c r="Q493" i="25"/>
  <c r="Q501" i="25"/>
  <c r="Q509" i="25"/>
  <c r="Q486" i="25"/>
  <c r="Q494" i="25"/>
  <c r="Q502" i="25"/>
  <c r="Q510" i="25"/>
  <c r="Q487" i="25"/>
  <c r="Q495" i="25"/>
  <c r="Q503" i="25"/>
  <c r="Q511" i="25"/>
  <c r="Q488" i="25"/>
  <c r="Q496" i="25"/>
  <c r="Q504" i="25"/>
  <c r="Q512" i="25"/>
  <c r="Q483" i="25"/>
  <c r="Q491" i="25"/>
  <c r="Q499" i="25"/>
  <c r="Q507" i="25"/>
  <c r="Q506" i="25"/>
  <c r="Q489" i="25"/>
  <c r="Q490" i="25"/>
  <c r="Q497" i="25"/>
  <c r="Q498" i="25"/>
  <c r="Q505" i="25"/>
  <c r="R483" i="25"/>
  <c r="R491" i="25"/>
  <c r="R499" i="25"/>
  <c r="R507" i="25"/>
  <c r="R484" i="25"/>
  <c r="R492" i="25"/>
  <c r="R500" i="25"/>
  <c r="R508" i="25"/>
  <c r="R498" i="25"/>
  <c r="R485" i="25"/>
  <c r="R493" i="25"/>
  <c r="R501" i="25"/>
  <c r="R509" i="25"/>
  <c r="R494" i="25"/>
  <c r="R510" i="25"/>
  <c r="R503" i="25"/>
  <c r="R490" i="25"/>
  <c r="R486" i="25"/>
  <c r="R502" i="25"/>
  <c r="R495" i="25"/>
  <c r="L11" i="13"/>
  <c r="R487" i="25"/>
  <c r="R511" i="25"/>
  <c r="R506" i="25"/>
  <c r="R488" i="25"/>
  <c r="R496" i="25"/>
  <c r="R504" i="25"/>
  <c r="R512" i="25"/>
  <c r="R489" i="25"/>
  <c r="R497" i="25"/>
  <c r="R505" i="25"/>
  <c r="AB388" i="25"/>
  <c r="AA388" i="25"/>
  <c r="AA390" i="25"/>
  <c r="AB390" i="25"/>
  <c r="AB386" i="25"/>
  <c r="AA386" i="25"/>
  <c r="AA366" i="25"/>
  <c r="AB366" i="25"/>
  <c r="AA219" i="25"/>
  <c r="AM16" i="23"/>
  <c r="AF9" i="23"/>
  <c r="AX9" i="23"/>
  <c r="AM3" i="23"/>
  <c r="AF16" i="23"/>
  <c r="AM13" i="23"/>
  <c r="AX13" i="23"/>
  <c r="AV8" i="23"/>
  <c r="AM19" i="23"/>
  <c r="AW17" i="23"/>
  <c r="AY17" i="23" s="1"/>
  <c r="AF11" i="23"/>
  <c r="AX11" i="23"/>
  <c r="AV17" i="23"/>
  <c r="AW8" i="23"/>
  <c r="BA3" i="23"/>
  <c r="AV3" i="23"/>
  <c r="D35" i="23"/>
  <c r="D42" i="23"/>
  <c r="BA11" i="23"/>
  <c r="BB11" i="23" s="1"/>
  <c r="AV11" i="23"/>
  <c r="AV4" i="23"/>
  <c r="BA4" i="23"/>
  <c r="AV16" i="23"/>
  <c r="D47" i="23"/>
  <c r="BA16" i="23"/>
  <c r="AX19" i="23"/>
  <c r="D45" i="23"/>
  <c r="BA13" i="23"/>
  <c r="AV13" i="23"/>
  <c r="AF3" i="23"/>
  <c r="BA6" i="23"/>
  <c r="AV6" i="23"/>
  <c r="D38" i="23"/>
  <c r="BA18" i="23"/>
  <c r="AV18" i="23"/>
  <c r="D50" i="23"/>
  <c r="D40" i="23"/>
  <c r="BA9" i="23"/>
  <c r="BB9" i="23" s="1"/>
  <c r="AV9" i="23"/>
  <c r="AV19" i="23"/>
  <c r="BA19" i="23"/>
  <c r="AV7" i="23"/>
  <c r="BA7" i="23"/>
  <c r="BA14" i="23"/>
  <c r="AV14" i="23"/>
  <c r="AD15" i="23"/>
  <c r="AH15" i="23" s="1"/>
  <c r="AW5" i="23"/>
  <c r="AV5" i="23"/>
  <c r="AL15" i="23"/>
  <c r="AK15" i="23"/>
  <c r="BB8" i="23"/>
  <c r="AK20" i="23"/>
  <c r="AD20" i="23"/>
  <c r="AH20" i="23" s="1"/>
  <c r="AL20" i="23"/>
  <c r="AV20" i="23"/>
  <c r="BB20" i="23"/>
  <c r="AW20" i="23"/>
  <c r="AY20" i="23" s="1"/>
  <c r="AL12" i="23"/>
  <c r="AD8" i="23"/>
  <c r="AH8" i="23" s="1"/>
  <c r="AV12" i="23"/>
  <c r="BB12" i="23"/>
  <c r="AW12" i="23"/>
  <c r="BB10" i="23"/>
  <c r="AW10" i="23"/>
  <c r="AY10" i="23" s="1"/>
  <c r="AV10" i="23"/>
  <c r="AL10" i="23"/>
  <c r="AV15" i="23"/>
  <c r="BB15" i="23"/>
  <c r="AW15" i="23"/>
  <c r="AD10" i="23"/>
  <c r="AH10" i="23" s="1"/>
  <c r="AK12" i="23"/>
  <c r="AK10" i="23"/>
  <c r="AK8" i="23"/>
  <c r="AK5" i="23"/>
  <c r="AL5" i="23"/>
  <c r="AD5" i="23"/>
  <c r="AH5" i="23" s="1"/>
  <c r="AF4" i="23"/>
  <c r="AM4" i="23"/>
  <c r="AF7" i="23"/>
  <c r="AM7" i="23"/>
  <c r="AD17" i="23"/>
  <c r="AK17" i="23"/>
  <c r="AH12" i="23"/>
  <c r="AM6" i="23"/>
  <c r="AF6" i="23"/>
  <c r="AM18" i="23"/>
  <c r="AF18" i="23"/>
  <c r="AF14" i="23"/>
  <c r="AM14" i="23"/>
  <c r="AA391" i="25" l="1"/>
  <c r="AB370" i="25"/>
  <c r="L406" i="25"/>
  <c r="AI406" i="25" s="1"/>
  <c r="Y408" i="25"/>
  <c r="W406" i="25"/>
  <c r="AY12" i="23"/>
  <c r="AH17" i="23"/>
  <c r="AA380" i="25"/>
  <c r="AB381" i="25"/>
  <c r="AA364" i="25"/>
  <c r="Y412" i="25"/>
  <c r="Y401" i="25"/>
  <c r="AB392" i="25"/>
  <c r="Y397" i="25"/>
  <c r="AA397" i="25" s="1"/>
  <c r="AI420" i="25"/>
  <c r="Y393" i="25"/>
  <c r="AA393" i="25" s="1"/>
  <c r="Y414" i="25"/>
  <c r="AA414" i="25" s="1"/>
  <c r="AI400" i="25"/>
  <c r="AI418" i="25"/>
  <c r="Y395" i="25"/>
  <c r="AB395" i="25" s="1"/>
  <c r="Y416" i="25"/>
  <c r="AA416" i="25" s="1"/>
  <c r="L423" i="25"/>
  <c r="AI423" i="25" s="1"/>
  <c r="AA385" i="25"/>
  <c r="Y410" i="25"/>
  <c r="AB410" i="25" s="1"/>
  <c r="AB369" i="25"/>
  <c r="Y402" i="25"/>
  <c r="AA402" i="25" s="1"/>
  <c r="AB387" i="25"/>
  <c r="L448" i="25"/>
  <c r="AI448" i="25" s="1"/>
  <c r="Y398" i="25"/>
  <c r="AA398" i="25" s="1"/>
  <c r="T469" i="25"/>
  <c r="AI421" i="25"/>
  <c r="J468" i="25"/>
  <c r="AH468" i="25" s="1"/>
  <c r="L443" i="25"/>
  <c r="Y417" i="25"/>
  <c r="AA417" i="25" s="1"/>
  <c r="Y396" i="25"/>
  <c r="AA396" i="25" s="1"/>
  <c r="AI413" i="25"/>
  <c r="T467" i="25"/>
  <c r="Y411" i="25"/>
  <c r="AA411" i="25" s="1"/>
  <c r="AI415" i="25"/>
  <c r="L426" i="25"/>
  <c r="AI426" i="25" s="1"/>
  <c r="J459" i="25"/>
  <c r="AH459" i="25" s="1"/>
  <c r="AG376" i="25"/>
  <c r="L376" i="25"/>
  <c r="W376" i="25"/>
  <c r="T454" i="25"/>
  <c r="J476" i="25"/>
  <c r="AH476" i="25" s="1"/>
  <c r="L432" i="25"/>
  <c r="AI432" i="25" s="1"/>
  <c r="AG46" i="25"/>
  <c r="W46" i="25"/>
  <c r="L46" i="25"/>
  <c r="AG226" i="25"/>
  <c r="W226" i="25"/>
  <c r="L226" i="25"/>
  <c r="Y409" i="25"/>
  <c r="AB409" i="25" s="1"/>
  <c r="Y394" i="25"/>
  <c r="AB394" i="25" s="1"/>
  <c r="AI404" i="25"/>
  <c r="AG16" i="25"/>
  <c r="W16" i="25"/>
  <c r="L16" i="25"/>
  <c r="AG316" i="25"/>
  <c r="L316" i="25"/>
  <c r="W316" i="25"/>
  <c r="AG166" i="25"/>
  <c r="L166" i="25"/>
  <c r="W166" i="25"/>
  <c r="AI394" i="25"/>
  <c r="Y407" i="25"/>
  <c r="AA407" i="25" s="1"/>
  <c r="J466" i="25"/>
  <c r="AH466" i="25" s="1"/>
  <c r="AG286" i="25"/>
  <c r="W286" i="25"/>
  <c r="L286" i="25"/>
  <c r="AG136" i="25"/>
  <c r="L136" i="25"/>
  <c r="W136" i="25"/>
  <c r="AG106" i="25"/>
  <c r="W106" i="25"/>
  <c r="L106" i="25"/>
  <c r="AG196" i="25"/>
  <c r="W196" i="25"/>
  <c r="L196" i="25"/>
  <c r="W76" i="25"/>
  <c r="L76" i="25"/>
  <c r="AG76" i="25"/>
  <c r="W346" i="25"/>
  <c r="L346" i="25"/>
  <c r="AG346" i="25"/>
  <c r="AG256" i="25"/>
  <c r="L256" i="25"/>
  <c r="W256" i="25"/>
  <c r="L427" i="25"/>
  <c r="Y427" i="25" s="1"/>
  <c r="T462" i="25"/>
  <c r="L428" i="25"/>
  <c r="AI428" i="25" s="1"/>
  <c r="L445" i="25"/>
  <c r="AI445" i="25" s="1"/>
  <c r="AA413" i="25"/>
  <c r="J477" i="25"/>
  <c r="AH477" i="25" s="1"/>
  <c r="Y419" i="25"/>
  <c r="AB419" i="25" s="1"/>
  <c r="L429" i="25"/>
  <c r="Y429" i="25" s="1"/>
  <c r="L438" i="25"/>
  <c r="AI438" i="25" s="1"/>
  <c r="L431" i="25"/>
  <c r="Y431" i="25" s="1"/>
  <c r="J464" i="25"/>
  <c r="AH464" i="25" s="1"/>
  <c r="T473" i="25"/>
  <c r="L439" i="25"/>
  <c r="AI439" i="25" s="1"/>
  <c r="L425" i="25"/>
  <c r="Y425" i="25" s="1"/>
  <c r="AG425" i="25"/>
  <c r="L452" i="25"/>
  <c r="Y452" i="25" s="1"/>
  <c r="AG452" i="25"/>
  <c r="L430" i="25"/>
  <c r="AI430" i="25" s="1"/>
  <c r="AG430" i="25"/>
  <c r="L436" i="25"/>
  <c r="Y436" i="25" s="1"/>
  <c r="AG436" i="25"/>
  <c r="J471" i="25"/>
  <c r="AH471" i="25" s="1"/>
  <c r="AA365" i="25"/>
  <c r="Y422" i="25"/>
  <c r="AA422" i="25" s="1"/>
  <c r="J461" i="25"/>
  <c r="AH461" i="25" s="1"/>
  <c r="L446" i="25"/>
  <c r="Y446" i="25" s="1"/>
  <c r="AG446" i="25"/>
  <c r="L441" i="25"/>
  <c r="AI441" i="25" s="1"/>
  <c r="AG441" i="25"/>
  <c r="L424" i="25"/>
  <c r="AI424" i="25" s="1"/>
  <c r="AG424" i="25"/>
  <c r="J475" i="25"/>
  <c r="AH475" i="25" s="1"/>
  <c r="AA401" i="25"/>
  <c r="T453" i="25"/>
  <c r="L434" i="25"/>
  <c r="AI434" i="25" s="1"/>
  <c r="AG434" i="25"/>
  <c r="L451" i="25"/>
  <c r="AI451" i="25" s="1"/>
  <c r="AG451" i="25"/>
  <c r="L442" i="25"/>
  <c r="AI442" i="25" s="1"/>
  <c r="L447" i="25"/>
  <c r="AI447" i="25" s="1"/>
  <c r="L437" i="25"/>
  <c r="Y437" i="25" s="1"/>
  <c r="AG437" i="25"/>
  <c r="L449" i="25"/>
  <c r="Y449" i="25" s="1"/>
  <c r="AG449" i="25"/>
  <c r="L440" i="25"/>
  <c r="AI440" i="25" s="1"/>
  <c r="AG440" i="25"/>
  <c r="L450" i="25"/>
  <c r="AI450" i="25" s="1"/>
  <c r="AG450" i="25"/>
  <c r="AY15" i="23"/>
  <c r="AY8" i="23"/>
  <c r="AX21" i="23"/>
  <c r="V7" i="23"/>
  <c r="AL7" i="23" s="1"/>
  <c r="AA7" i="23"/>
  <c r="V13" i="23"/>
  <c r="AL13" i="23" s="1"/>
  <c r="AA13" i="23"/>
  <c r="U3" i="23"/>
  <c r="AK3" i="23" s="1"/>
  <c r="Z3" i="23"/>
  <c r="U11" i="23"/>
  <c r="AK11" i="23" s="1"/>
  <c r="Z11" i="23"/>
  <c r="U6" i="23"/>
  <c r="AK6" i="23" s="1"/>
  <c r="Z6" i="23"/>
  <c r="V11" i="23"/>
  <c r="AL11" i="23" s="1"/>
  <c r="AA11" i="23"/>
  <c r="V6" i="23"/>
  <c r="AL6" i="23" s="1"/>
  <c r="AA6" i="23"/>
  <c r="U19" i="23"/>
  <c r="AK19" i="23" s="1"/>
  <c r="Z19" i="23"/>
  <c r="V19" i="23"/>
  <c r="AL19" i="23" s="1"/>
  <c r="AA19" i="23"/>
  <c r="V4" i="23"/>
  <c r="AL4" i="23" s="1"/>
  <c r="AA4" i="23"/>
  <c r="V9" i="23"/>
  <c r="AL9" i="23" s="1"/>
  <c r="AA9" i="23"/>
  <c r="U4" i="23"/>
  <c r="AK4" i="23" s="1"/>
  <c r="Z4" i="23"/>
  <c r="AV21" i="23"/>
  <c r="V18" i="23"/>
  <c r="AL18" i="23" s="1"/>
  <c r="AA18" i="23"/>
  <c r="U14" i="23"/>
  <c r="AK14" i="23" s="1"/>
  <c r="Z14" i="23"/>
  <c r="U9" i="23"/>
  <c r="AK9" i="23" s="1"/>
  <c r="Z9" i="23"/>
  <c r="BA21" i="23"/>
  <c r="U18" i="23"/>
  <c r="AK18" i="23" s="1"/>
  <c r="Z18" i="23"/>
  <c r="V14" i="23"/>
  <c r="AL14" i="23" s="1"/>
  <c r="AA14" i="23"/>
  <c r="V16" i="23"/>
  <c r="AL16" i="23" s="1"/>
  <c r="AA16" i="23"/>
  <c r="U7" i="23"/>
  <c r="AK7" i="23" s="1"/>
  <c r="Z7" i="23"/>
  <c r="U13" i="23"/>
  <c r="AK13" i="23" s="1"/>
  <c r="Z13" i="23"/>
  <c r="V3" i="23"/>
  <c r="AL3" i="23" s="1"/>
  <c r="AA3" i="23"/>
  <c r="U16" i="23"/>
  <c r="AK16" i="23" s="1"/>
  <c r="Z16" i="23"/>
  <c r="J455" i="25"/>
  <c r="AH455" i="25" s="1"/>
  <c r="T470" i="25"/>
  <c r="J474" i="25"/>
  <c r="AH474" i="25" s="1"/>
  <c r="J457" i="25"/>
  <c r="AH457" i="25" s="1"/>
  <c r="J480" i="25"/>
  <c r="AH480" i="25" s="1"/>
  <c r="T472" i="25"/>
  <c r="L444" i="25"/>
  <c r="Y444" i="25" s="1"/>
  <c r="J481" i="25"/>
  <c r="AH481" i="25" s="1"/>
  <c r="J460" i="25"/>
  <c r="AH460" i="25" s="1"/>
  <c r="J482" i="25"/>
  <c r="AH482" i="25" s="1"/>
  <c r="T478" i="25"/>
  <c r="J479" i="25"/>
  <c r="AH479" i="25" s="1"/>
  <c r="T456" i="25"/>
  <c r="J458" i="25"/>
  <c r="AA408" i="25"/>
  <c r="H508" i="25"/>
  <c r="J508" i="25" s="1"/>
  <c r="AH508" i="25" s="1"/>
  <c r="P508" i="25"/>
  <c r="G508" i="25" s="1"/>
  <c r="H506" i="25"/>
  <c r="T506" i="25" s="1"/>
  <c r="P506" i="25"/>
  <c r="G506" i="25" s="1"/>
  <c r="H511" i="25"/>
  <c r="J511" i="25" s="1"/>
  <c r="AH511" i="25" s="1"/>
  <c r="P511" i="25"/>
  <c r="G511" i="25" s="1"/>
  <c r="H499" i="25"/>
  <c r="T499" i="25" s="1"/>
  <c r="P499" i="25"/>
  <c r="G499" i="25" s="1"/>
  <c r="H503" i="25"/>
  <c r="J503" i="25" s="1"/>
  <c r="AH503" i="25" s="1"/>
  <c r="P503" i="25"/>
  <c r="G503" i="25" s="1"/>
  <c r="H505" i="25"/>
  <c r="T505" i="25" s="1"/>
  <c r="P505" i="25"/>
  <c r="G505" i="25" s="1"/>
  <c r="H491" i="25"/>
  <c r="T491" i="25" s="1"/>
  <c r="P491" i="25"/>
  <c r="G491" i="25" s="1"/>
  <c r="P495" i="25"/>
  <c r="P493" i="25"/>
  <c r="I479" i="25"/>
  <c r="S479" i="25"/>
  <c r="W445" i="25"/>
  <c r="W440" i="25"/>
  <c r="S456" i="25"/>
  <c r="I456" i="25"/>
  <c r="I457" i="25"/>
  <c r="AG457" i="25" s="1"/>
  <c r="S457" i="25"/>
  <c r="S458" i="25"/>
  <c r="I458" i="25"/>
  <c r="AG458" i="25" s="1"/>
  <c r="W442" i="25"/>
  <c r="I469" i="25"/>
  <c r="AG469" i="25" s="1"/>
  <c r="S469" i="25"/>
  <c r="H512" i="25"/>
  <c r="J512" i="25" s="1"/>
  <c r="AH512" i="25" s="1"/>
  <c r="P512" i="25"/>
  <c r="G512" i="25" s="1"/>
  <c r="H488" i="25"/>
  <c r="T488" i="25" s="1"/>
  <c r="P488" i="25"/>
  <c r="G488" i="25" s="1"/>
  <c r="H498" i="25"/>
  <c r="J498" i="25" s="1"/>
  <c r="AH498" i="25" s="1"/>
  <c r="P498" i="25"/>
  <c r="G498" i="25" s="1"/>
  <c r="H483" i="25"/>
  <c r="T483" i="25" s="1"/>
  <c r="P483" i="25"/>
  <c r="G483" i="25" s="1"/>
  <c r="H487" i="25"/>
  <c r="T487" i="25" s="1"/>
  <c r="P487" i="25"/>
  <c r="G487" i="25" s="1"/>
  <c r="H485" i="25"/>
  <c r="T485" i="25" s="1"/>
  <c r="P485" i="25"/>
  <c r="G485" i="25" s="1"/>
  <c r="I482" i="25"/>
  <c r="S482" i="25"/>
  <c r="W451" i="25"/>
  <c r="S467" i="25"/>
  <c r="I467" i="25"/>
  <c r="AG467" i="25" s="1"/>
  <c r="W447" i="25"/>
  <c r="I474" i="25"/>
  <c r="S474" i="25"/>
  <c r="S481" i="25"/>
  <c r="I481" i="25"/>
  <c r="AG481" i="25" s="1"/>
  <c r="W431" i="25"/>
  <c r="S468" i="25"/>
  <c r="I468" i="25"/>
  <c r="S476" i="25"/>
  <c r="I476" i="25"/>
  <c r="S453" i="25"/>
  <c r="I453" i="25"/>
  <c r="AG453" i="25" s="1"/>
  <c r="W450" i="25"/>
  <c r="S471" i="25"/>
  <c r="I471" i="25"/>
  <c r="H490" i="25"/>
  <c r="J490" i="25" s="1"/>
  <c r="AH490" i="25" s="1"/>
  <c r="P490" i="25"/>
  <c r="G490" i="25" s="1"/>
  <c r="H504" i="25"/>
  <c r="T504" i="25" s="1"/>
  <c r="P504" i="25"/>
  <c r="G504" i="25" s="1"/>
  <c r="H502" i="25"/>
  <c r="J502" i="25" s="1"/>
  <c r="AH502" i="25" s="1"/>
  <c r="P502" i="25"/>
  <c r="G502" i="25" s="1"/>
  <c r="H500" i="25"/>
  <c r="T500" i="25" s="1"/>
  <c r="P500" i="25"/>
  <c r="G500" i="25" s="1"/>
  <c r="W437" i="25"/>
  <c r="W434" i="25"/>
  <c r="W430" i="25"/>
  <c r="I460" i="25"/>
  <c r="S460" i="25"/>
  <c r="W438" i="25"/>
  <c r="W448" i="25"/>
  <c r="I473" i="25"/>
  <c r="S473" i="25"/>
  <c r="H497" i="25"/>
  <c r="J497" i="25" s="1"/>
  <c r="AH497" i="25" s="1"/>
  <c r="P497" i="25"/>
  <c r="G497" i="25" s="1"/>
  <c r="H489" i="25"/>
  <c r="T489" i="25" s="1"/>
  <c r="P489" i="25"/>
  <c r="G489" i="25" s="1"/>
  <c r="H496" i="25"/>
  <c r="J496" i="25" s="1"/>
  <c r="AH496" i="25" s="1"/>
  <c r="P496" i="25"/>
  <c r="G496" i="25" s="1"/>
  <c r="H494" i="25"/>
  <c r="J494" i="25" s="1"/>
  <c r="AH494" i="25" s="1"/>
  <c r="P494" i="25"/>
  <c r="G494" i="25" s="1"/>
  <c r="H492" i="25"/>
  <c r="T492" i="25" s="1"/>
  <c r="P492" i="25"/>
  <c r="G492" i="25" s="1"/>
  <c r="W425" i="25"/>
  <c r="I470" i="25"/>
  <c r="S470" i="25"/>
  <c r="S478" i="25"/>
  <c r="I478" i="25"/>
  <c r="AG478" i="25" s="1"/>
  <c r="W446" i="25"/>
  <c r="I455" i="25"/>
  <c r="AG455" i="25" s="1"/>
  <c r="S455" i="25"/>
  <c r="W424" i="25"/>
  <c r="S475" i="25"/>
  <c r="I475" i="25"/>
  <c r="I462" i="25"/>
  <c r="S462" i="25"/>
  <c r="W441" i="25"/>
  <c r="W439" i="25"/>
  <c r="I461" i="25"/>
  <c r="S461" i="25"/>
  <c r="W432" i="25"/>
  <c r="H486" i="25"/>
  <c r="J486" i="25" s="1"/>
  <c r="AH486" i="25" s="1"/>
  <c r="P486" i="25"/>
  <c r="G486" i="25" s="1"/>
  <c r="H507" i="25"/>
  <c r="J507" i="25" s="1"/>
  <c r="AH507" i="25" s="1"/>
  <c r="P507" i="25"/>
  <c r="G507" i="25" s="1"/>
  <c r="S477" i="25"/>
  <c r="I477" i="25"/>
  <c r="S454" i="25"/>
  <c r="I454" i="25"/>
  <c r="AG454" i="25" s="1"/>
  <c r="W423" i="25"/>
  <c r="I472" i="25"/>
  <c r="AG472" i="25" s="1"/>
  <c r="S472" i="25"/>
  <c r="S480" i="25"/>
  <c r="I480" i="25"/>
  <c r="AG480" i="25" s="1"/>
  <c r="I459" i="25"/>
  <c r="S459" i="25"/>
  <c r="W429" i="25"/>
  <c r="W427" i="25"/>
  <c r="S466" i="25"/>
  <c r="I466" i="25"/>
  <c r="AG466" i="25" s="1"/>
  <c r="H510" i="25"/>
  <c r="T510" i="25" s="1"/>
  <c r="P510" i="25"/>
  <c r="G510" i="25" s="1"/>
  <c r="H484" i="25"/>
  <c r="J484" i="25" s="1"/>
  <c r="AH484" i="25" s="1"/>
  <c r="P484" i="25"/>
  <c r="G484" i="25" s="1"/>
  <c r="H509" i="25"/>
  <c r="J509" i="25" s="1"/>
  <c r="AH509" i="25" s="1"/>
  <c r="P509" i="25"/>
  <c r="G509" i="25" s="1"/>
  <c r="H501" i="25"/>
  <c r="T501" i="25" s="1"/>
  <c r="P501" i="25"/>
  <c r="G501" i="25" s="1"/>
  <c r="W444" i="25"/>
  <c r="W443" i="25"/>
  <c r="S464" i="25"/>
  <c r="I464" i="25"/>
  <c r="W428" i="25"/>
  <c r="W436" i="25"/>
  <c r="W452" i="25"/>
  <c r="W449" i="25"/>
  <c r="W426" i="25"/>
  <c r="AA410" i="25"/>
  <c r="AI443" i="25"/>
  <c r="Y443" i="25"/>
  <c r="AI431" i="25"/>
  <c r="AB416" i="25"/>
  <c r="AB396" i="25"/>
  <c r="AB412" i="25"/>
  <c r="AA412" i="25"/>
  <c r="AA400" i="25"/>
  <c r="AB400" i="25"/>
  <c r="AA418" i="25"/>
  <c r="AB418" i="25"/>
  <c r="AB404" i="25"/>
  <c r="AA404" i="25"/>
  <c r="AB415" i="25"/>
  <c r="AA415" i="25"/>
  <c r="AB421" i="25"/>
  <c r="AA421" i="25"/>
  <c r="AB420" i="25"/>
  <c r="AA420" i="25"/>
  <c r="AB399" i="25"/>
  <c r="AA399" i="25"/>
  <c r="BB18" i="23"/>
  <c r="BB3" i="23"/>
  <c r="BB16" i="23"/>
  <c r="BB13" i="23"/>
  <c r="BB7" i="23"/>
  <c r="BB14" i="23"/>
  <c r="AZ5" i="23"/>
  <c r="AZ8" i="23"/>
  <c r="BB19" i="23"/>
  <c r="AZ17" i="23"/>
  <c r="BB4" i="23"/>
  <c r="AY5" i="23"/>
  <c r="BB6" i="23"/>
  <c r="AZ15" i="23"/>
  <c r="AZ10" i="23"/>
  <c r="AZ20" i="23"/>
  <c r="AZ12" i="23"/>
  <c r="AL17" i="23"/>
  <c r="Q21" i="23"/>
  <c r="AC3" i="23"/>
  <c r="A2" i="13"/>
  <c r="B4" i="13"/>
  <c r="B5" i="13" s="1"/>
  <c r="B6" i="13" s="1"/>
  <c r="Y406" i="25" l="1"/>
  <c r="AB406" i="25" s="1"/>
  <c r="AA395" i="25"/>
  <c r="AB393" i="25"/>
  <c r="AI436" i="25"/>
  <c r="Y445" i="25"/>
  <c r="AB445" i="25" s="1"/>
  <c r="Y448" i="25"/>
  <c r="AB448" i="25" s="1"/>
  <c r="AB417" i="25"/>
  <c r="Y432" i="25"/>
  <c r="AA432" i="25" s="1"/>
  <c r="AA409" i="25"/>
  <c r="T508" i="25"/>
  <c r="AB411" i="25"/>
  <c r="Y423" i="25"/>
  <c r="AA423" i="25" s="1"/>
  <c r="AI429" i="25"/>
  <c r="AI452" i="25"/>
  <c r="Y447" i="25"/>
  <c r="AA447" i="25" s="1"/>
  <c r="AI427" i="25"/>
  <c r="Y451" i="25"/>
  <c r="AA451" i="25" s="1"/>
  <c r="AA394" i="25"/>
  <c r="Y438" i="25"/>
  <c r="J489" i="25"/>
  <c r="AH489" i="25" s="1"/>
  <c r="AA419" i="25"/>
  <c r="Y426" i="25"/>
  <c r="AA426" i="25" s="1"/>
  <c r="Y440" i="25"/>
  <c r="AA440" i="25" s="1"/>
  <c r="J500" i="25"/>
  <c r="AH500" i="25" s="1"/>
  <c r="AI376" i="25"/>
  <c r="Y376" i="25"/>
  <c r="AA376" i="25" s="1"/>
  <c r="Y428" i="25"/>
  <c r="AA428" i="25" s="1"/>
  <c r="AI446" i="25"/>
  <c r="T484" i="25"/>
  <c r="AI106" i="25"/>
  <c r="Y106" i="25"/>
  <c r="AB106" i="25" s="1"/>
  <c r="AI316" i="25"/>
  <c r="Y316" i="25"/>
  <c r="AI226" i="25"/>
  <c r="Y226" i="25"/>
  <c r="AB226" i="25" s="1"/>
  <c r="AI76" i="25"/>
  <c r="Y76" i="25"/>
  <c r="AA76" i="25" s="1"/>
  <c r="AI256" i="25"/>
  <c r="Y256" i="25"/>
  <c r="AI16" i="25"/>
  <c r="Y16" i="25"/>
  <c r="AA16" i="25" s="1"/>
  <c r="Y196" i="25"/>
  <c r="AA196" i="25" s="1"/>
  <c r="AI196" i="25"/>
  <c r="Y46" i="25"/>
  <c r="AB46" i="25" s="1"/>
  <c r="AI46" i="25"/>
  <c r="AI136" i="25"/>
  <c r="Y136" i="25"/>
  <c r="AA136" i="25" s="1"/>
  <c r="AI346" i="25"/>
  <c r="Y346" i="25"/>
  <c r="AB346" i="25" s="1"/>
  <c r="AI166" i="25"/>
  <c r="Y166" i="25"/>
  <c r="AA166" i="25" s="1"/>
  <c r="AI286" i="25"/>
  <c r="Y286" i="25"/>
  <c r="AA286" i="25" s="1"/>
  <c r="T502" i="25"/>
  <c r="L453" i="25"/>
  <c r="AI453" i="25" s="1"/>
  <c r="T511" i="25"/>
  <c r="AB422" i="25"/>
  <c r="Y424" i="25"/>
  <c r="AA424" i="25" s="1"/>
  <c r="J499" i="25"/>
  <c r="AH499" i="25" s="1"/>
  <c r="Y430" i="25"/>
  <c r="AA430" i="25" s="1"/>
  <c r="Y442" i="25"/>
  <c r="AA442" i="25" s="1"/>
  <c r="J485" i="25"/>
  <c r="AH485" i="25" s="1"/>
  <c r="L455" i="25"/>
  <c r="Y455" i="25" s="1"/>
  <c r="AA443" i="25"/>
  <c r="AA437" i="25"/>
  <c r="J491" i="25"/>
  <c r="AH491" i="25" s="1"/>
  <c r="Y434" i="25"/>
  <c r="AA434" i="25" s="1"/>
  <c r="AI437" i="25"/>
  <c r="L454" i="25"/>
  <c r="AI454" i="25" s="1"/>
  <c r="AI425" i="25"/>
  <c r="J504" i="25"/>
  <c r="AH504" i="25" s="1"/>
  <c r="L481" i="25"/>
  <c r="AI481" i="25" s="1"/>
  <c r="J487" i="25"/>
  <c r="AH487" i="25" s="1"/>
  <c r="L472" i="25"/>
  <c r="AI472" i="25" s="1"/>
  <c r="AI449" i="25"/>
  <c r="Y441" i="25"/>
  <c r="L457" i="25"/>
  <c r="AI457" i="25" s="1"/>
  <c r="T509" i="25"/>
  <c r="AI444" i="25"/>
  <c r="Y439" i="25"/>
  <c r="AB439" i="25" s="1"/>
  <c r="Y450" i="25"/>
  <c r="AA450" i="25" s="1"/>
  <c r="T512" i="25"/>
  <c r="L464" i="25"/>
  <c r="AI464" i="25" s="1"/>
  <c r="AG464" i="25"/>
  <c r="L456" i="25"/>
  <c r="AI456" i="25" s="1"/>
  <c r="AG456" i="25"/>
  <c r="J483" i="25"/>
  <c r="AH483" i="25" s="1"/>
  <c r="L469" i="25"/>
  <c r="Y469" i="25" s="1"/>
  <c r="L459" i="25"/>
  <c r="AG459" i="25"/>
  <c r="L477" i="25"/>
  <c r="AI477" i="25" s="1"/>
  <c r="AG477" i="25"/>
  <c r="L461" i="25"/>
  <c r="AI461" i="25" s="1"/>
  <c r="AG461" i="25"/>
  <c r="L460" i="25"/>
  <c r="Y460" i="25" s="1"/>
  <c r="AG460" i="25"/>
  <c r="L482" i="25"/>
  <c r="AI482" i="25" s="1"/>
  <c r="AG482" i="25"/>
  <c r="L458" i="25"/>
  <c r="AI458" i="25" s="1"/>
  <c r="AH458" i="25"/>
  <c r="T486" i="25"/>
  <c r="L476" i="25"/>
  <c r="AI476" i="25" s="1"/>
  <c r="AG476" i="25"/>
  <c r="L474" i="25"/>
  <c r="Y474" i="25" s="1"/>
  <c r="AG474" i="25"/>
  <c r="L475" i="25"/>
  <c r="AI475" i="25" s="1"/>
  <c r="AG475" i="25"/>
  <c r="L462" i="25"/>
  <c r="Y462" i="25" s="1"/>
  <c r="AG462" i="25"/>
  <c r="L473" i="25"/>
  <c r="AI473" i="25" s="1"/>
  <c r="AG473" i="25"/>
  <c r="AA444" i="25"/>
  <c r="L468" i="25"/>
  <c r="Y468" i="25" s="1"/>
  <c r="AG468" i="25"/>
  <c r="L479" i="25"/>
  <c r="Y479" i="25" s="1"/>
  <c r="AG479" i="25"/>
  <c r="L470" i="25"/>
  <c r="AI470" i="25" s="1"/>
  <c r="AG470" i="25"/>
  <c r="L471" i="25"/>
  <c r="AI471" i="25" s="1"/>
  <c r="AG471" i="25"/>
  <c r="BB21" i="23"/>
  <c r="J510" i="25"/>
  <c r="AH510" i="25" s="1"/>
  <c r="T490" i="25"/>
  <c r="J501" i="25"/>
  <c r="AH501" i="25" s="1"/>
  <c r="J506" i="25"/>
  <c r="AH506" i="25" s="1"/>
  <c r="T507" i="25"/>
  <c r="J505" i="25"/>
  <c r="AH505" i="25" s="1"/>
  <c r="J488" i="25"/>
  <c r="AH488" i="25" s="1"/>
  <c r="T496" i="25"/>
  <c r="AA427" i="25"/>
  <c r="T498" i="25"/>
  <c r="T503" i="25"/>
  <c r="S489" i="25"/>
  <c r="I489" i="25"/>
  <c r="AG489" i="25" s="1"/>
  <c r="W467" i="25"/>
  <c r="T494" i="25"/>
  <c r="T497" i="25"/>
  <c r="W455" i="25"/>
  <c r="S502" i="25"/>
  <c r="I502" i="25"/>
  <c r="AG502" i="25" s="1"/>
  <c r="I487" i="25"/>
  <c r="AG487" i="25" s="1"/>
  <c r="S487" i="25"/>
  <c r="S512" i="25"/>
  <c r="I512" i="25"/>
  <c r="W458" i="25"/>
  <c r="I499" i="25"/>
  <c r="AG499" i="25" s="1"/>
  <c r="S499" i="25"/>
  <c r="I510" i="25"/>
  <c r="S510" i="25"/>
  <c r="W454" i="25"/>
  <c r="L467" i="25"/>
  <c r="Y467" i="25" s="1"/>
  <c r="AA438" i="25"/>
  <c r="W459" i="25"/>
  <c r="W462" i="25"/>
  <c r="I492" i="25"/>
  <c r="AG492" i="25" s="1"/>
  <c r="S492" i="25"/>
  <c r="I497" i="25"/>
  <c r="AG497" i="25" s="1"/>
  <c r="S497" i="25"/>
  <c r="I504" i="25"/>
  <c r="AG504" i="25" s="1"/>
  <c r="S504" i="25"/>
  <c r="W453" i="25"/>
  <c r="W481" i="25"/>
  <c r="S483" i="25"/>
  <c r="I483" i="25"/>
  <c r="AG483" i="25" s="1"/>
  <c r="S491" i="25"/>
  <c r="I491" i="25"/>
  <c r="AG491" i="25" s="1"/>
  <c r="I511" i="25"/>
  <c r="AG511" i="25" s="1"/>
  <c r="S511" i="25"/>
  <c r="I501" i="25"/>
  <c r="S501" i="25"/>
  <c r="W480" i="25"/>
  <c r="W477" i="25"/>
  <c r="W475" i="25"/>
  <c r="W469" i="25"/>
  <c r="W457" i="25"/>
  <c r="L480" i="25"/>
  <c r="AI480" i="25" s="1"/>
  <c r="W461" i="25"/>
  <c r="S494" i="25"/>
  <c r="I494" i="25"/>
  <c r="AG494" i="25" s="1"/>
  <c r="W460" i="25"/>
  <c r="I490" i="25"/>
  <c r="S490" i="25"/>
  <c r="W476" i="25"/>
  <c r="S498" i="25"/>
  <c r="I498" i="25"/>
  <c r="AG498" i="25" s="1"/>
  <c r="W456" i="25"/>
  <c r="I505" i="25"/>
  <c r="S505" i="25"/>
  <c r="I506" i="25"/>
  <c r="S506" i="25"/>
  <c r="W478" i="25"/>
  <c r="W464" i="25"/>
  <c r="S509" i="25"/>
  <c r="I509" i="25"/>
  <c r="S507" i="25"/>
  <c r="I507" i="25"/>
  <c r="AG507" i="25" s="1"/>
  <c r="W474" i="25"/>
  <c r="W482" i="25"/>
  <c r="W479" i="25"/>
  <c r="L478" i="25"/>
  <c r="AI478" i="25" s="1"/>
  <c r="AA431" i="25"/>
  <c r="W472" i="25"/>
  <c r="W470" i="25"/>
  <c r="I496" i="25"/>
  <c r="S496" i="25"/>
  <c r="W473" i="25"/>
  <c r="S500" i="25"/>
  <c r="I500" i="25"/>
  <c r="W471" i="25"/>
  <c r="W468" i="25"/>
  <c r="S485" i="25"/>
  <c r="I485" i="25"/>
  <c r="AG485" i="25" s="1"/>
  <c r="I488" i="25"/>
  <c r="AG488" i="25" s="1"/>
  <c r="S488" i="25"/>
  <c r="I503" i="25"/>
  <c r="S503" i="25"/>
  <c r="I508" i="25"/>
  <c r="S508" i="25"/>
  <c r="W466" i="25"/>
  <c r="J492" i="25"/>
  <c r="AH492" i="25" s="1"/>
  <c r="L466" i="25"/>
  <c r="AI466" i="25" s="1"/>
  <c r="S484" i="25"/>
  <c r="I484" i="25"/>
  <c r="S486" i="25"/>
  <c r="I486" i="25"/>
  <c r="AG486" i="25" s="1"/>
  <c r="AB452" i="25"/>
  <c r="AA452" i="25"/>
  <c r="AB449" i="25"/>
  <c r="AA449" i="25"/>
  <c r="AA425" i="25"/>
  <c r="AB425" i="25"/>
  <c r="AA429" i="25"/>
  <c r="AB429" i="25"/>
  <c r="AB446" i="25"/>
  <c r="AA446" i="25"/>
  <c r="AB436" i="25"/>
  <c r="AA436" i="25"/>
  <c r="V489" i="25"/>
  <c r="V487" i="25"/>
  <c r="V482" i="25"/>
  <c r="V464" i="25"/>
  <c r="V488" i="25"/>
  <c r="V461" i="25"/>
  <c r="V475" i="25"/>
  <c r="V497" i="25"/>
  <c r="V459" i="25"/>
  <c r="V486" i="25"/>
  <c r="V465" i="25"/>
  <c r="V446" i="25"/>
  <c r="V442" i="25"/>
  <c r="V432" i="25"/>
  <c r="V426" i="25"/>
  <c r="V425" i="25"/>
  <c r="V430" i="25"/>
  <c r="V390" i="25"/>
  <c r="V396" i="25"/>
  <c r="V380" i="25"/>
  <c r="V424" i="25"/>
  <c r="V377" i="25"/>
  <c r="V370" i="25"/>
  <c r="V392" i="25"/>
  <c r="V382" i="25"/>
  <c r="V393" i="25"/>
  <c r="V361" i="25"/>
  <c r="V365" i="25"/>
  <c r="V362" i="25"/>
  <c r="V343" i="25"/>
  <c r="V340" i="25"/>
  <c r="V325" i="25"/>
  <c r="V321" i="25"/>
  <c r="V398" i="25"/>
  <c r="V338" i="25"/>
  <c r="V364" i="25"/>
  <c r="V290" i="25"/>
  <c r="V285" i="25"/>
  <c r="V279" i="25"/>
  <c r="V327" i="25"/>
  <c r="V314" i="25"/>
  <c r="V336" i="25"/>
  <c r="V288" i="25"/>
  <c r="V284" i="25"/>
  <c r="V298" i="25"/>
  <c r="V277" i="25"/>
  <c r="V246" i="25"/>
  <c r="V248" i="25"/>
  <c r="V254" i="25"/>
  <c r="V256" i="25"/>
  <c r="V252" i="25"/>
  <c r="V243" i="25"/>
  <c r="V206" i="25"/>
  <c r="V226" i="25"/>
  <c r="V218" i="25"/>
  <c r="V211" i="25"/>
  <c r="V249" i="25"/>
  <c r="V269" i="25"/>
  <c r="V222" i="25"/>
  <c r="V199" i="25"/>
  <c r="V235" i="25"/>
  <c r="V204" i="25"/>
  <c r="V156" i="25"/>
  <c r="V130" i="25"/>
  <c r="V203" i="25"/>
  <c r="V148" i="25"/>
  <c r="V180" i="25"/>
  <c r="V135" i="25"/>
  <c r="V129" i="25"/>
  <c r="V177" i="25"/>
  <c r="V168" i="25"/>
  <c r="V159" i="25"/>
  <c r="V143" i="25"/>
  <c r="V139" i="25"/>
  <c r="V227" i="25"/>
  <c r="V209" i="25"/>
  <c r="V164" i="25"/>
  <c r="V158" i="25"/>
  <c r="V147" i="25"/>
  <c r="V134" i="25"/>
  <c r="V126" i="25"/>
  <c r="V185" i="25"/>
  <c r="V123" i="25"/>
  <c r="V120" i="25"/>
  <c r="V213" i="25"/>
  <c r="V145" i="25"/>
  <c r="V132" i="25"/>
  <c r="V113" i="25"/>
  <c r="V109" i="25"/>
  <c r="V183" i="25"/>
  <c r="V102" i="25"/>
  <c r="V98" i="25"/>
  <c r="V151" i="25"/>
  <c r="V100" i="25"/>
  <c r="V70" i="25"/>
  <c r="V83" i="25"/>
  <c r="V72" i="25"/>
  <c r="V122" i="25"/>
  <c r="V104" i="25"/>
  <c r="V110" i="25"/>
  <c r="V106" i="25"/>
  <c r="V91" i="25"/>
  <c r="V59" i="25"/>
  <c r="V73" i="25"/>
  <c r="V69" i="25"/>
  <c r="V20" i="25"/>
  <c r="V61" i="25"/>
  <c r="V35" i="25"/>
  <c r="V11" i="25"/>
  <c r="V64" i="25"/>
  <c r="V42" i="25"/>
  <c r="V23" i="25"/>
  <c r="V19" i="25"/>
  <c r="V56" i="25"/>
  <c r="V39" i="25"/>
  <c r="V16" i="25"/>
  <c r="V38" i="25"/>
  <c r="V32" i="25"/>
  <c r="V27" i="25"/>
  <c r="V14" i="25"/>
  <c r="V22" i="25"/>
  <c r="V95" i="25"/>
  <c r="V68" i="25"/>
  <c r="V8" i="25"/>
  <c r="V45" i="25"/>
  <c r="V167" i="25"/>
  <c r="V43" i="25"/>
  <c r="V66" i="25"/>
  <c r="V108" i="25"/>
  <c r="V63" i="25"/>
  <c r="V85" i="25"/>
  <c r="V115" i="25"/>
  <c r="V194" i="25"/>
  <c r="V153" i="25"/>
  <c r="V216" i="25"/>
  <c r="V174" i="25"/>
  <c r="V188" i="25"/>
  <c r="V241" i="25"/>
  <c r="V232" i="25"/>
  <c r="V229" i="25"/>
  <c r="V282" i="25"/>
  <c r="V278" i="25"/>
  <c r="V308" i="25"/>
  <c r="V250" i="25"/>
  <c r="V268" i="25"/>
  <c r="V311" i="25"/>
  <c r="V306" i="25"/>
  <c r="V272" i="25"/>
  <c r="V328" i="25"/>
  <c r="V335" i="25"/>
  <c r="V359" i="25"/>
  <c r="V354" i="25"/>
  <c r="V355" i="25"/>
  <c r="V358" i="25"/>
  <c r="V369" i="25"/>
  <c r="V379" i="25"/>
  <c r="V383" i="25"/>
  <c r="V406" i="25"/>
  <c r="V408" i="25"/>
  <c r="V422" i="25"/>
  <c r="V411" i="25"/>
  <c r="V467" i="25"/>
  <c r="V473" i="25"/>
  <c r="V468" i="25"/>
  <c r="V504" i="25"/>
  <c r="V499" i="25"/>
  <c r="V508" i="25"/>
  <c r="V498" i="25"/>
  <c r="V494" i="25"/>
  <c r="V214" i="25"/>
  <c r="V197" i="25"/>
  <c r="V273" i="25"/>
  <c r="V389" i="25"/>
  <c r="V458" i="25"/>
  <c r="V12" i="25"/>
  <c r="V44" i="25"/>
  <c r="V50" i="25"/>
  <c r="V7" i="25"/>
  <c r="V80" i="25"/>
  <c r="V13" i="25"/>
  <c r="V29" i="25"/>
  <c r="V41" i="25"/>
  <c r="V36" i="25"/>
  <c r="V57" i="25"/>
  <c r="V53" i="25"/>
  <c r="V31" i="25"/>
  <c r="V60" i="25"/>
  <c r="V78" i="25"/>
  <c r="V84" i="25"/>
  <c r="V112" i="25"/>
  <c r="V92" i="25"/>
  <c r="V114" i="25"/>
  <c r="V105" i="25"/>
  <c r="V176" i="25"/>
  <c r="V219" i="25"/>
  <c r="V231" i="25"/>
  <c r="V141" i="25"/>
  <c r="V257" i="25"/>
  <c r="V193" i="25"/>
  <c r="V178" i="25"/>
  <c r="V242" i="25"/>
  <c r="V207" i="25"/>
  <c r="V236" i="25"/>
  <c r="V259" i="25"/>
  <c r="V245" i="25"/>
  <c r="V312" i="25"/>
  <c r="V297" i="25"/>
  <c r="V339" i="25"/>
  <c r="V341" i="25"/>
  <c r="V310" i="25"/>
  <c r="V326" i="25"/>
  <c r="V347" i="25"/>
  <c r="V376" i="25"/>
  <c r="V368" i="25"/>
  <c r="V387" i="25"/>
  <c r="V407" i="25"/>
  <c r="V435" i="25"/>
  <c r="V395" i="25"/>
  <c r="V438" i="25"/>
  <c r="V443" i="25"/>
  <c r="V439" i="25"/>
  <c r="V444" i="25"/>
  <c r="V481" i="25"/>
  <c r="V496" i="25"/>
  <c r="V500" i="25"/>
  <c r="V510" i="25"/>
  <c r="V503" i="25"/>
  <c r="V276" i="25"/>
  <c r="V428" i="25"/>
  <c r="V434" i="25"/>
  <c r="V509" i="25"/>
  <c r="V4" i="25"/>
  <c r="V48" i="25"/>
  <c r="V24" i="25"/>
  <c r="V33" i="25"/>
  <c r="V65" i="25"/>
  <c r="V10" i="25"/>
  <c r="V54" i="25"/>
  <c r="V81" i="25"/>
  <c r="V46" i="25"/>
  <c r="V96" i="25"/>
  <c r="V87" i="25"/>
  <c r="V82" i="25"/>
  <c r="V116" i="25"/>
  <c r="V118" i="25"/>
  <c r="V133" i="25"/>
  <c r="V170" i="25"/>
  <c r="V136" i="25"/>
  <c r="V172" i="25"/>
  <c r="V149" i="25"/>
  <c r="V155" i="25"/>
  <c r="V225" i="25"/>
  <c r="V182" i="25"/>
  <c r="V181" i="25"/>
  <c r="V205" i="25"/>
  <c r="V240" i="25"/>
  <c r="V220" i="25"/>
  <c r="V208" i="25"/>
  <c r="V196" i="25"/>
  <c r="V224" i="25"/>
  <c r="V223" i="25"/>
  <c r="V234" i="25"/>
  <c r="V255" i="25"/>
  <c r="V300" i="25"/>
  <c r="V283" i="25"/>
  <c r="V330" i="25"/>
  <c r="V293" i="25"/>
  <c r="V307" i="25"/>
  <c r="V281" i="25"/>
  <c r="V351" i="25"/>
  <c r="V373" i="25"/>
  <c r="V345" i="25"/>
  <c r="V410" i="25"/>
  <c r="V381" i="25"/>
  <c r="V441" i="25"/>
  <c r="V397" i="25"/>
  <c r="V429" i="25"/>
  <c r="V472" i="25"/>
  <c r="V512" i="25"/>
  <c r="V262" i="25"/>
  <c r="V374" i="25"/>
  <c r="V421" i="25"/>
  <c r="V6" i="25"/>
  <c r="V74" i="25"/>
  <c r="V75" i="25"/>
  <c r="V97" i="25"/>
  <c r="V51" i="25"/>
  <c r="V94" i="25"/>
  <c r="V140" i="25"/>
  <c r="V119" i="25"/>
  <c r="V131" i="25"/>
  <c r="V161" i="25"/>
  <c r="V150" i="25"/>
  <c r="V166" i="25"/>
  <c r="V165" i="25"/>
  <c r="V265" i="25"/>
  <c r="V191" i="25"/>
  <c r="V202" i="25"/>
  <c r="V186" i="25"/>
  <c r="V253" i="25"/>
  <c r="V192" i="25"/>
  <c r="V212" i="25"/>
  <c r="V267" i="25"/>
  <c r="V187" i="25"/>
  <c r="V215" i="25"/>
  <c r="V228" i="25"/>
  <c r="V244" i="25"/>
  <c r="V237" i="25"/>
  <c r="V258" i="25"/>
  <c r="V319" i="25"/>
  <c r="V286" i="25"/>
  <c r="V316" i="25"/>
  <c r="V317" i="25"/>
  <c r="V344" i="25"/>
  <c r="V331" i="25"/>
  <c r="V323" i="25"/>
  <c r="V400" i="25"/>
  <c r="V391" i="25"/>
  <c r="V412" i="25"/>
  <c r="V436" i="25"/>
  <c r="V399" i="25"/>
  <c r="V394" i="25"/>
  <c r="V409" i="25"/>
  <c r="V419" i="25"/>
  <c r="V420" i="25"/>
  <c r="V413" i="25"/>
  <c r="V427" i="25"/>
  <c r="V463" i="25"/>
  <c r="V455" i="25"/>
  <c r="V445" i="25"/>
  <c r="V453" i="25"/>
  <c r="V454" i="25"/>
  <c r="V474" i="25"/>
  <c r="V466" i="25"/>
  <c r="V477" i="25"/>
  <c r="V483" i="25"/>
  <c r="V460" i="25"/>
  <c r="V9" i="25"/>
  <c r="V154" i="25"/>
  <c r="V157" i="25"/>
  <c r="V271" i="25"/>
  <c r="V295" i="25"/>
  <c r="V350" i="25"/>
  <c r="V346" i="25"/>
  <c r="V414" i="25"/>
  <c r="V348" i="25"/>
  <c r="V501" i="25"/>
  <c r="V5" i="25"/>
  <c r="V40" i="25"/>
  <c r="V67" i="25"/>
  <c r="V37" i="25"/>
  <c r="V58" i="25"/>
  <c r="V76" i="25"/>
  <c r="V88" i="25"/>
  <c r="V121" i="25"/>
  <c r="V93" i="25"/>
  <c r="V125" i="25"/>
  <c r="V138" i="25"/>
  <c r="V128" i="25"/>
  <c r="V163" i="25"/>
  <c r="V189" i="25"/>
  <c r="V233" i="25"/>
  <c r="V230" i="25"/>
  <c r="V266" i="25"/>
  <c r="V238" i="25"/>
  <c r="V261" i="25"/>
  <c r="V304" i="25"/>
  <c r="V333" i="25"/>
  <c r="V299" i="25"/>
  <c r="V264" i="25"/>
  <c r="V363" i="25"/>
  <c r="V289" i="25"/>
  <c r="V313" i="25"/>
  <c r="V332" i="25"/>
  <c r="V385" i="25"/>
  <c r="V318" i="25"/>
  <c r="V329" i="25"/>
  <c r="V366" i="25"/>
  <c r="V372" i="25"/>
  <c r="V388" i="25"/>
  <c r="V404" i="25"/>
  <c r="V415" i="25"/>
  <c r="V386" i="25"/>
  <c r="V401" i="25"/>
  <c r="V417" i="25"/>
  <c r="V403" i="25"/>
  <c r="V476" i="25"/>
  <c r="V450" i="25"/>
  <c r="V456" i="25"/>
  <c r="V471" i="25"/>
  <c r="V469" i="25"/>
  <c r="V507" i="25"/>
  <c r="V99" i="25"/>
  <c r="V356" i="25"/>
  <c r="V292" i="25"/>
  <c r="V320" i="25"/>
  <c r="V352" i="25"/>
  <c r="V378" i="25"/>
  <c r="V505" i="25"/>
  <c r="V502" i="25"/>
  <c r="V26" i="25"/>
  <c r="V3" i="25"/>
  <c r="V17" i="25"/>
  <c r="V47" i="25"/>
  <c r="V52" i="25"/>
  <c r="V49" i="25"/>
  <c r="V103" i="25"/>
  <c r="V124" i="25"/>
  <c r="V77" i="25"/>
  <c r="V137" i="25"/>
  <c r="V146" i="25"/>
  <c r="V144" i="25"/>
  <c r="V200" i="25"/>
  <c r="V190" i="25"/>
  <c r="V152" i="25"/>
  <c r="V210" i="25"/>
  <c r="V171" i="25"/>
  <c r="V201" i="25"/>
  <c r="V217" i="25"/>
  <c r="V239" i="25"/>
  <c r="V247" i="25"/>
  <c r="V260" i="25"/>
  <c r="V263" i="25"/>
  <c r="V322" i="25"/>
  <c r="V301" i="25"/>
  <c r="V315" i="25"/>
  <c r="V342" i="25"/>
  <c r="V384" i="25"/>
  <c r="V367" i="25"/>
  <c r="V418" i="25"/>
  <c r="V433" i="25"/>
  <c r="V440" i="25"/>
  <c r="V447" i="25"/>
  <c r="V448" i="25"/>
  <c r="V457" i="25"/>
  <c r="V452" i="25"/>
  <c r="V462" i="25"/>
  <c r="V437" i="25"/>
  <c r="V478" i="25"/>
  <c r="V479" i="25"/>
  <c r="V506" i="25"/>
  <c r="V484" i="25"/>
  <c r="V511" i="25"/>
  <c r="V30" i="25"/>
  <c r="V198" i="25"/>
  <c r="V296" i="25"/>
  <c r="V353" i="25"/>
  <c r="V451" i="25"/>
  <c r="V15" i="25"/>
  <c r="V18" i="25"/>
  <c r="V34" i="25"/>
  <c r="V55" i="25"/>
  <c r="V25" i="25"/>
  <c r="V62" i="25"/>
  <c r="V89" i="25"/>
  <c r="V79" i="25"/>
  <c r="V86" i="25"/>
  <c r="V162" i="25"/>
  <c r="V127" i="25"/>
  <c r="V107" i="25"/>
  <c r="V142" i="25"/>
  <c r="V101" i="25"/>
  <c r="V160" i="25"/>
  <c r="V184" i="25"/>
  <c r="V117" i="25"/>
  <c r="V169" i="25"/>
  <c r="V175" i="25"/>
  <c r="V173" i="25"/>
  <c r="V179" i="25"/>
  <c r="V280" i="25"/>
  <c r="V195" i="25"/>
  <c r="V251" i="25"/>
  <c r="V287" i="25"/>
  <c r="V221" i="25"/>
  <c r="V274" i="25"/>
  <c r="V270" i="25"/>
  <c r="V294" i="25"/>
  <c r="V324" i="25"/>
  <c r="V302" i="25"/>
  <c r="V357" i="25"/>
  <c r="V291" i="25"/>
  <c r="V275" i="25"/>
  <c r="V303" i="25"/>
  <c r="V305" i="25"/>
  <c r="V334" i="25"/>
  <c r="V349" i="25"/>
  <c r="V360" i="25"/>
  <c r="V375" i="25"/>
  <c r="V337" i="25"/>
  <c r="V371" i="25"/>
  <c r="V423" i="25"/>
  <c r="V402" i="25"/>
  <c r="V416" i="25"/>
  <c r="V405" i="25"/>
  <c r="V449" i="25"/>
  <c r="V431" i="25"/>
  <c r="V485" i="25"/>
  <c r="V480" i="25"/>
  <c r="V495" i="25"/>
  <c r="V491" i="25"/>
  <c r="V21" i="25"/>
  <c r="V28" i="25"/>
  <c r="V90" i="25"/>
  <c r="V71" i="25"/>
  <c r="V111" i="25"/>
  <c r="V309" i="25"/>
  <c r="V470" i="25"/>
  <c r="V493" i="25"/>
  <c r="V492" i="25"/>
  <c r="V490" i="25"/>
  <c r="AC6" i="23"/>
  <c r="AC9" i="23"/>
  <c r="AC12" i="23"/>
  <c r="AC15" i="23"/>
  <c r="AC4" i="23"/>
  <c r="AC7" i="23"/>
  <c r="AC10" i="23"/>
  <c r="AC18" i="23"/>
  <c r="AC11" i="23"/>
  <c r="AC17" i="23"/>
  <c r="AC20" i="23"/>
  <c r="AC5" i="23"/>
  <c r="AC8" i="23"/>
  <c r="AC13" i="23"/>
  <c r="AC16" i="23"/>
  <c r="AC19" i="23"/>
  <c r="AC14" i="23"/>
  <c r="V21" i="23"/>
  <c r="U21" i="23"/>
  <c r="X21" i="23"/>
  <c r="V507" i="19"/>
  <c r="V475" i="19"/>
  <c r="V451" i="19"/>
  <c r="V419" i="19"/>
  <c r="V387" i="19"/>
  <c r="V355" i="19"/>
  <c r="V331" i="19"/>
  <c r="V299" i="19"/>
  <c r="V267" i="19"/>
  <c r="V235" i="19"/>
  <c r="V211" i="19"/>
  <c r="V179" i="19"/>
  <c r="V147" i="19"/>
  <c r="V115" i="19"/>
  <c r="V91" i="19"/>
  <c r="V59" i="19"/>
  <c r="V27" i="19"/>
  <c r="V511" i="19"/>
  <c r="V479" i="19"/>
  <c r="V447" i="19"/>
  <c r="V415" i="19"/>
  <c r="V391" i="19"/>
  <c r="V359" i="19"/>
  <c r="V327" i="19"/>
  <c r="V295" i="19"/>
  <c r="V271" i="19"/>
  <c r="V239" i="19"/>
  <c r="V207" i="19"/>
  <c r="V175" i="19"/>
  <c r="V151" i="19"/>
  <c r="V119" i="19"/>
  <c r="V87" i="19"/>
  <c r="V55" i="19"/>
  <c r="V31" i="19"/>
  <c r="V509" i="19"/>
  <c r="V477" i="19"/>
  <c r="V445" i="19"/>
  <c r="V392" i="19"/>
  <c r="V360" i="19"/>
  <c r="V328" i="19"/>
  <c r="V296" i="19"/>
  <c r="V242" i="19"/>
  <c r="V210" i="19"/>
  <c r="V178" i="19"/>
  <c r="V146" i="19"/>
  <c r="V61" i="19"/>
  <c r="V29" i="19"/>
  <c r="V508" i="19"/>
  <c r="V476" i="19"/>
  <c r="V422" i="19"/>
  <c r="V390" i="19"/>
  <c r="V358" i="19"/>
  <c r="V326" i="19"/>
  <c r="V241" i="19"/>
  <c r="V209" i="19"/>
  <c r="V177" i="19"/>
  <c r="V145" i="19"/>
  <c r="V92" i="19"/>
  <c r="V60" i="19"/>
  <c r="V28" i="19"/>
  <c r="V506" i="19"/>
  <c r="V421" i="19"/>
  <c r="V389" i="19"/>
  <c r="V357" i="19"/>
  <c r="V325" i="19"/>
  <c r="V272" i="19"/>
  <c r="V240" i="19"/>
  <c r="V208" i="19"/>
  <c r="V176" i="19"/>
  <c r="V122" i="19"/>
  <c r="V90" i="19"/>
  <c r="V58" i="19"/>
  <c r="V26" i="19"/>
  <c r="V480" i="19"/>
  <c r="V330" i="19"/>
  <c r="V298" i="19"/>
  <c r="V266" i="19"/>
  <c r="V85" i="19"/>
  <c r="V32" i="19"/>
  <c r="V446" i="19"/>
  <c r="V505" i="19"/>
  <c r="V452" i="19"/>
  <c r="V420" i="19"/>
  <c r="V388" i="19"/>
  <c r="V356" i="19"/>
  <c r="V302" i="19"/>
  <c r="V270" i="19"/>
  <c r="V238" i="19"/>
  <c r="V206" i="19"/>
  <c r="V121" i="19"/>
  <c r="V89" i="19"/>
  <c r="V57" i="19"/>
  <c r="V25" i="19"/>
  <c r="V448" i="19"/>
  <c r="V149" i="19"/>
  <c r="V482" i="19"/>
  <c r="V450" i="19"/>
  <c r="V418" i="19"/>
  <c r="V386" i="19"/>
  <c r="V301" i="19"/>
  <c r="V269" i="19"/>
  <c r="V237" i="19"/>
  <c r="V205" i="19"/>
  <c r="V152" i="19"/>
  <c r="V120" i="19"/>
  <c r="V88" i="19"/>
  <c r="V56" i="19"/>
  <c r="V512" i="19"/>
  <c r="V362" i="19"/>
  <c r="V117" i="19"/>
  <c r="V510" i="19"/>
  <c r="V478" i="19"/>
  <c r="V481" i="19"/>
  <c r="V449" i="19"/>
  <c r="V417" i="19"/>
  <c r="V385" i="19"/>
  <c r="V332" i="19"/>
  <c r="V300" i="19"/>
  <c r="V268" i="19"/>
  <c r="V236" i="19"/>
  <c r="V182" i="19"/>
  <c r="V150" i="19"/>
  <c r="V118" i="19"/>
  <c r="V86" i="19"/>
  <c r="V416" i="19"/>
  <c r="V181" i="19"/>
  <c r="V212" i="19"/>
  <c r="V361" i="19"/>
  <c r="V180" i="19"/>
  <c r="V329" i="19"/>
  <c r="V30" i="19"/>
  <c r="V148" i="19"/>
  <c r="V62" i="19"/>
  <c r="V297" i="19"/>
  <c r="V265" i="19"/>
  <c r="V116" i="19"/>
  <c r="V509" i="16"/>
  <c r="V477" i="16"/>
  <c r="V445" i="16"/>
  <c r="V421" i="16"/>
  <c r="V389" i="16"/>
  <c r="V357" i="16"/>
  <c r="V325" i="16"/>
  <c r="V301" i="16"/>
  <c r="V269" i="16"/>
  <c r="V237" i="16"/>
  <c r="V508" i="16"/>
  <c r="V476" i="16"/>
  <c r="V452" i="16"/>
  <c r="V420" i="16"/>
  <c r="V388" i="16"/>
  <c r="V356" i="16"/>
  <c r="V332" i="16"/>
  <c r="V300" i="16"/>
  <c r="V268" i="16"/>
  <c r="V236" i="16"/>
  <c r="V212" i="16"/>
  <c r="V180" i="16"/>
  <c r="V148" i="16"/>
  <c r="V116" i="16"/>
  <c r="V92" i="16"/>
  <c r="V60" i="16"/>
  <c r="V28" i="16"/>
  <c r="V507" i="16"/>
  <c r="V475" i="16"/>
  <c r="V451" i="16"/>
  <c r="V419" i="16"/>
  <c r="V387" i="16"/>
  <c r="V355" i="16"/>
  <c r="V331" i="16"/>
  <c r="V299" i="16"/>
  <c r="V267" i="16"/>
  <c r="V235" i="16"/>
  <c r="V211" i="16"/>
  <c r="V179" i="16"/>
  <c r="V147" i="16"/>
  <c r="V115" i="16"/>
  <c r="V91" i="16"/>
  <c r="V59" i="16"/>
  <c r="V506" i="16"/>
  <c r="V482" i="16"/>
  <c r="V450" i="16"/>
  <c r="V418" i="16"/>
  <c r="V386" i="16"/>
  <c r="V362" i="16"/>
  <c r="V330" i="16"/>
  <c r="V298" i="16"/>
  <c r="V266" i="16"/>
  <c r="V505" i="16"/>
  <c r="V481" i="16"/>
  <c r="V449" i="16"/>
  <c r="V417" i="16"/>
  <c r="V385" i="16"/>
  <c r="V361" i="16"/>
  <c r="V329" i="16"/>
  <c r="V297" i="16"/>
  <c r="V265" i="16"/>
  <c r="V241" i="16"/>
  <c r="V512" i="16"/>
  <c r="V480" i="16"/>
  <c r="V448" i="16"/>
  <c r="V416" i="16"/>
  <c r="V392" i="16"/>
  <c r="V360" i="16"/>
  <c r="V328" i="16"/>
  <c r="V296" i="16"/>
  <c r="V272" i="16"/>
  <c r="V240" i="16"/>
  <c r="V208" i="16"/>
  <c r="V176" i="16"/>
  <c r="V152" i="16"/>
  <c r="V120" i="16"/>
  <c r="V88" i="16"/>
  <c r="V56" i="16"/>
  <c r="V32" i="16"/>
  <c r="V422" i="16"/>
  <c r="V390" i="16"/>
  <c r="V358" i="16"/>
  <c r="V326" i="16"/>
  <c r="V239" i="16"/>
  <c r="V206" i="16"/>
  <c r="V181" i="16"/>
  <c r="V117" i="16"/>
  <c r="V90" i="16"/>
  <c r="V29" i="16"/>
  <c r="V149" i="16"/>
  <c r="V57" i="16"/>
  <c r="V182" i="16"/>
  <c r="V511" i="16"/>
  <c r="V479" i="16"/>
  <c r="V447" i="16"/>
  <c r="V415" i="16"/>
  <c r="V238" i="16"/>
  <c r="V205" i="16"/>
  <c r="V178" i="16"/>
  <c r="V89" i="16"/>
  <c r="V27" i="16"/>
  <c r="V26" i="16"/>
  <c r="V25" i="16"/>
  <c r="V146" i="16"/>
  <c r="V55" i="16"/>
  <c r="V359" i="16"/>
  <c r="V242" i="16"/>
  <c r="V30" i="16"/>
  <c r="V510" i="16"/>
  <c r="V478" i="16"/>
  <c r="V446" i="16"/>
  <c r="V177" i="16"/>
  <c r="V151" i="16"/>
  <c r="V87" i="16"/>
  <c r="V62" i="16"/>
  <c r="V122" i="16"/>
  <c r="V85" i="16"/>
  <c r="V271" i="16"/>
  <c r="V270" i="16"/>
  <c r="V145" i="16"/>
  <c r="V31" i="16"/>
  <c r="V391" i="16"/>
  <c r="V295" i="16"/>
  <c r="V207" i="16"/>
  <c r="V175" i="16"/>
  <c r="V150" i="16"/>
  <c r="V86" i="16"/>
  <c r="V61" i="16"/>
  <c r="V58" i="16"/>
  <c r="V210" i="16"/>
  <c r="V121" i="16"/>
  <c r="V302" i="16"/>
  <c r="V209" i="16"/>
  <c r="V119" i="16"/>
  <c r="V327" i="16"/>
  <c r="V118" i="16"/>
  <c r="V28" i="9"/>
  <c r="V60" i="9"/>
  <c r="V92" i="9"/>
  <c r="V116" i="9"/>
  <c r="V29" i="9"/>
  <c r="V61" i="9"/>
  <c r="V85" i="9"/>
  <c r="V117" i="9"/>
  <c r="V149" i="9"/>
  <c r="V181" i="9"/>
  <c r="V205" i="9"/>
  <c r="V237" i="9"/>
  <c r="V269" i="9"/>
  <c r="V301" i="9"/>
  <c r="V325" i="9"/>
  <c r="V357" i="9"/>
  <c r="V389" i="9"/>
  <c r="V421" i="9"/>
  <c r="V445" i="9"/>
  <c r="V477" i="9"/>
  <c r="V30" i="9"/>
  <c r="V62" i="9"/>
  <c r="V86" i="9"/>
  <c r="V118" i="9"/>
  <c r="V31" i="9"/>
  <c r="V55" i="9"/>
  <c r="V87" i="9"/>
  <c r="V119" i="9"/>
  <c r="V151" i="9"/>
  <c r="V175" i="9"/>
  <c r="V207" i="9"/>
  <c r="V239" i="9"/>
  <c r="V271" i="9"/>
  <c r="V295" i="9"/>
  <c r="V327" i="9"/>
  <c r="V359" i="9"/>
  <c r="V391" i="9"/>
  <c r="V415" i="9"/>
  <c r="V447" i="9"/>
  <c r="V479" i="9"/>
  <c r="V32" i="9"/>
  <c r="V56" i="9"/>
  <c r="V88" i="9"/>
  <c r="V120" i="9"/>
  <c r="V152" i="9"/>
  <c r="V176" i="9"/>
  <c r="V208" i="9"/>
  <c r="V240" i="9"/>
  <c r="V272" i="9"/>
  <c r="V296" i="9"/>
  <c r="V328" i="9"/>
  <c r="V360" i="9"/>
  <c r="V392" i="9"/>
  <c r="V416" i="9"/>
  <c r="V448" i="9"/>
  <c r="V480" i="9"/>
  <c r="V25" i="9"/>
  <c r="V57" i="9"/>
  <c r="V89" i="9"/>
  <c r="V121" i="9"/>
  <c r="V145" i="9"/>
  <c r="V177" i="9"/>
  <c r="V209" i="9"/>
  <c r="V241" i="9"/>
  <c r="V265" i="9"/>
  <c r="V297" i="9"/>
  <c r="V329" i="9"/>
  <c r="V361" i="9"/>
  <c r="V385" i="9"/>
  <c r="V417" i="9"/>
  <c r="V449" i="9"/>
  <c r="V481" i="9"/>
  <c r="V27" i="9"/>
  <c r="V59" i="9"/>
  <c r="V91" i="9"/>
  <c r="V115" i="9"/>
  <c r="V147" i="9"/>
  <c r="V179" i="9"/>
  <c r="V211" i="9"/>
  <c r="V235" i="9"/>
  <c r="V267" i="9"/>
  <c r="V299" i="9"/>
  <c r="V331" i="9"/>
  <c r="V355" i="9"/>
  <c r="V387" i="9"/>
  <c r="V419" i="9"/>
  <c r="V451" i="9"/>
  <c r="V475" i="9"/>
  <c r="V450" i="9"/>
  <c r="V26" i="9"/>
  <c r="V90" i="9"/>
  <c r="V178" i="9"/>
  <c r="V242" i="9"/>
  <c r="V326" i="9"/>
  <c r="V390" i="9"/>
  <c r="V180" i="9"/>
  <c r="V266" i="9"/>
  <c r="V330" i="9"/>
  <c r="V478" i="9"/>
  <c r="V356" i="9"/>
  <c r="V122" i="9"/>
  <c r="V210" i="9"/>
  <c r="V358" i="9"/>
  <c r="V422" i="9"/>
  <c r="V388" i="9"/>
  <c r="V476" i="9"/>
  <c r="V182" i="9"/>
  <c r="V268" i="9"/>
  <c r="V332" i="9"/>
  <c r="V418" i="9"/>
  <c r="V482" i="9"/>
  <c r="V206" i="9"/>
  <c r="V270" i="9"/>
  <c r="V420" i="9"/>
  <c r="V58" i="9"/>
  <c r="V146" i="9"/>
  <c r="V148" i="9"/>
  <c r="V212" i="9"/>
  <c r="V298" i="9"/>
  <c r="V362" i="9"/>
  <c r="V446" i="9"/>
  <c r="V150" i="9"/>
  <c r="V236" i="9"/>
  <c r="V300" i="9"/>
  <c r="V386" i="9"/>
  <c r="V238" i="9"/>
  <c r="V302" i="9"/>
  <c r="V452" i="9"/>
  <c r="D4" i="19"/>
  <c r="M4" i="19" s="1"/>
  <c r="N4" i="19"/>
  <c r="R4" i="19"/>
  <c r="D5" i="19"/>
  <c r="K5" i="19" s="1"/>
  <c r="N5" i="19"/>
  <c r="R5" i="19"/>
  <c r="D6" i="19"/>
  <c r="M6" i="19" s="1"/>
  <c r="N6" i="19"/>
  <c r="R6" i="19"/>
  <c r="D7" i="19"/>
  <c r="N7" i="19"/>
  <c r="R7" i="19"/>
  <c r="D8" i="19"/>
  <c r="F8" i="19" s="1"/>
  <c r="N8" i="19"/>
  <c r="R8" i="19"/>
  <c r="D9" i="19"/>
  <c r="K9" i="19" s="1"/>
  <c r="N9" i="19"/>
  <c r="R9" i="19"/>
  <c r="D10" i="19"/>
  <c r="N10" i="19"/>
  <c r="R10" i="19"/>
  <c r="D11" i="19"/>
  <c r="F11" i="19" s="1"/>
  <c r="N11" i="19"/>
  <c r="R11" i="19"/>
  <c r="D12" i="19"/>
  <c r="N12" i="19"/>
  <c r="R12" i="19"/>
  <c r="D13" i="19"/>
  <c r="M13" i="19" s="1"/>
  <c r="N13" i="19"/>
  <c r="R13" i="19"/>
  <c r="D14" i="19"/>
  <c r="M14" i="19" s="1"/>
  <c r="N14" i="19"/>
  <c r="R14" i="19"/>
  <c r="D15" i="19"/>
  <c r="K15" i="19" s="1"/>
  <c r="N15" i="19"/>
  <c r="R15" i="19"/>
  <c r="D16" i="19"/>
  <c r="N16" i="19"/>
  <c r="R16" i="19"/>
  <c r="D17" i="19"/>
  <c r="N17" i="19"/>
  <c r="R17" i="19"/>
  <c r="D18" i="19"/>
  <c r="F18" i="19" s="1"/>
  <c r="N18" i="19"/>
  <c r="R18" i="19"/>
  <c r="D19" i="19"/>
  <c r="N19" i="19"/>
  <c r="R19" i="19"/>
  <c r="D20" i="19"/>
  <c r="N20" i="19"/>
  <c r="R20" i="19"/>
  <c r="D21" i="19"/>
  <c r="N21" i="19"/>
  <c r="R21" i="19"/>
  <c r="D22" i="19"/>
  <c r="N22" i="19"/>
  <c r="R22" i="19"/>
  <c r="D23" i="19"/>
  <c r="F23" i="19" s="1"/>
  <c r="N23" i="19"/>
  <c r="R23" i="19"/>
  <c r="D24" i="19"/>
  <c r="N24" i="19"/>
  <c r="R24" i="19"/>
  <c r="D25" i="19"/>
  <c r="F25" i="19" s="1"/>
  <c r="N25" i="19"/>
  <c r="R25" i="19"/>
  <c r="D26" i="19"/>
  <c r="N26" i="19"/>
  <c r="R26" i="19"/>
  <c r="D27" i="19"/>
  <c r="N27" i="19"/>
  <c r="R27" i="19"/>
  <c r="D28" i="19"/>
  <c r="N28" i="19"/>
  <c r="R28" i="19"/>
  <c r="D29" i="19"/>
  <c r="N29" i="19"/>
  <c r="R29" i="19"/>
  <c r="D30" i="19"/>
  <c r="F30" i="19" s="1"/>
  <c r="N30" i="19"/>
  <c r="R30" i="19"/>
  <c r="D31" i="19"/>
  <c r="F31" i="19" s="1"/>
  <c r="N31" i="19"/>
  <c r="R31" i="19"/>
  <c r="D32" i="19"/>
  <c r="F32" i="19" s="1"/>
  <c r="N32" i="19"/>
  <c r="R32" i="19"/>
  <c r="D33" i="19"/>
  <c r="N33" i="19"/>
  <c r="R33" i="19"/>
  <c r="D34" i="19"/>
  <c r="N34" i="19"/>
  <c r="R34" i="19"/>
  <c r="D35" i="19"/>
  <c r="N35" i="19"/>
  <c r="R35" i="19"/>
  <c r="D36" i="19"/>
  <c r="K36" i="19" s="1"/>
  <c r="N36" i="19"/>
  <c r="R36" i="19"/>
  <c r="D37" i="19"/>
  <c r="N37" i="19"/>
  <c r="R37" i="19"/>
  <c r="D38" i="19"/>
  <c r="F38" i="19" s="1"/>
  <c r="N38" i="19"/>
  <c r="R38" i="19"/>
  <c r="D39" i="19"/>
  <c r="N39" i="19"/>
  <c r="R39" i="19"/>
  <c r="D40" i="19"/>
  <c r="N40" i="19"/>
  <c r="R40" i="19"/>
  <c r="D41" i="19"/>
  <c r="F41" i="19" s="1"/>
  <c r="N41" i="19"/>
  <c r="R41" i="19"/>
  <c r="D42" i="19"/>
  <c r="F42" i="19" s="1"/>
  <c r="N42" i="19"/>
  <c r="R42" i="19"/>
  <c r="D43" i="19"/>
  <c r="N43" i="19"/>
  <c r="R43" i="19"/>
  <c r="D44" i="19"/>
  <c r="N44" i="19"/>
  <c r="R44" i="19"/>
  <c r="D45" i="19"/>
  <c r="K45" i="19" s="1"/>
  <c r="N45" i="19"/>
  <c r="R45" i="19"/>
  <c r="D46" i="19"/>
  <c r="N46" i="19"/>
  <c r="R46" i="19"/>
  <c r="D47" i="19"/>
  <c r="F47" i="19" s="1"/>
  <c r="N47" i="19"/>
  <c r="R47" i="19"/>
  <c r="D48" i="19"/>
  <c r="F48" i="19" s="1"/>
  <c r="N48" i="19"/>
  <c r="R48" i="19"/>
  <c r="D49" i="19"/>
  <c r="K49" i="19" s="1"/>
  <c r="N49" i="19"/>
  <c r="R49" i="19"/>
  <c r="D50" i="19"/>
  <c r="N50" i="19"/>
  <c r="R50" i="19"/>
  <c r="D51" i="19"/>
  <c r="N51" i="19"/>
  <c r="R51" i="19"/>
  <c r="D52" i="19"/>
  <c r="N52" i="19"/>
  <c r="R52" i="19"/>
  <c r="D53" i="19"/>
  <c r="N53" i="19"/>
  <c r="R53" i="19"/>
  <c r="D54" i="19"/>
  <c r="F54" i="19" s="1"/>
  <c r="N54" i="19"/>
  <c r="R54" i="19"/>
  <c r="D55" i="19"/>
  <c r="N55" i="19"/>
  <c r="R55" i="19"/>
  <c r="D56" i="19"/>
  <c r="F56" i="19" s="1"/>
  <c r="N56" i="19"/>
  <c r="R56" i="19"/>
  <c r="D57" i="19"/>
  <c r="F57" i="19" s="1"/>
  <c r="N57" i="19"/>
  <c r="R57" i="19"/>
  <c r="D58" i="19"/>
  <c r="N58" i="19"/>
  <c r="R58" i="19"/>
  <c r="D59" i="19"/>
  <c r="F59" i="19" s="1"/>
  <c r="N59" i="19"/>
  <c r="R59" i="19"/>
  <c r="D60" i="19"/>
  <c r="F60" i="19" s="1"/>
  <c r="N60" i="19"/>
  <c r="R60" i="19"/>
  <c r="D61" i="19"/>
  <c r="F61" i="19" s="1"/>
  <c r="N61" i="19"/>
  <c r="R61" i="19"/>
  <c r="D62" i="19"/>
  <c r="F62" i="19" s="1"/>
  <c r="N62" i="19"/>
  <c r="R62" i="19"/>
  <c r="D63" i="19"/>
  <c r="M63" i="19" s="1"/>
  <c r="N63" i="19"/>
  <c r="D64" i="19"/>
  <c r="M64" i="19" s="1"/>
  <c r="N64" i="19"/>
  <c r="D65" i="19"/>
  <c r="M65" i="19" s="1"/>
  <c r="N65" i="19"/>
  <c r="D66" i="19"/>
  <c r="M66" i="19" s="1"/>
  <c r="N66" i="19"/>
  <c r="D67" i="19"/>
  <c r="F67" i="19" s="1"/>
  <c r="N67" i="19"/>
  <c r="D68" i="19"/>
  <c r="F68" i="19" s="1"/>
  <c r="N68" i="19"/>
  <c r="D69" i="19"/>
  <c r="M69" i="19" s="1"/>
  <c r="N69" i="19"/>
  <c r="D70" i="19"/>
  <c r="N70" i="19"/>
  <c r="D71" i="19"/>
  <c r="F71" i="19" s="1"/>
  <c r="N71" i="19"/>
  <c r="D72" i="19"/>
  <c r="F72" i="19" s="1"/>
  <c r="N72" i="19"/>
  <c r="D73" i="19"/>
  <c r="M73" i="19" s="1"/>
  <c r="N73" i="19"/>
  <c r="D74" i="19"/>
  <c r="N74" i="19"/>
  <c r="D75" i="19"/>
  <c r="N75" i="19"/>
  <c r="D76" i="19"/>
  <c r="N76" i="19"/>
  <c r="D77" i="19"/>
  <c r="F77" i="19" s="1"/>
  <c r="N77" i="19"/>
  <c r="D78" i="19"/>
  <c r="F78" i="19" s="1"/>
  <c r="N78" i="19"/>
  <c r="D79" i="19"/>
  <c r="M79" i="19" s="1"/>
  <c r="N79" i="19"/>
  <c r="D80" i="19"/>
  <c r="N80" i="19"/>
  <c r="D81" i="19"/>
  <c r="N81" i="19"/>
  <c r="D82" i="19"/>
  <c r="N82" i="19"/>
  <c r="D83" i="19"/>
  <c r="F83" i="19" s="1"/>
  <c r="N83" i="19"/>
  <c r="D84" i="19"/>
  <c r="F84" i="19" s="1"/>
  <c r="N84" i="19"/>
  <c r="D85" i="19"/>
  <c r="F85" i="19" s="1"/>
  <c r="N85" i="19"/>
  <c r="D86" i="19"/>
  <c r="F86" i="19" s="1"/>
  <c r="N86" i="19"/>
  <c r="D87" i="19"/>
  <c r="N87" i="19"/>
  <c r="D88" i="19"/>
  <c r="F88" i="19" s="1"/>
  <c r="N88" i="19"/>
  <c r="D89" i="19"/>
  <c r="N89" i="19"/>
  <c r="D90" i="19"/>
  <c r="N90" i="19"/>
  <c r="D91" i="19"/>
  <c r="N91" i="19"/>
  <c r="D92" i="19"/>
  <c r="N92" i="19"/>
  <c r="D93" i="19"/>
  <c r="K93" i="19" s="1"/>
  <c r="N93" i="19"/>
  <c r="D94" i="19"/>
  <c r="N94" i="19"/>
  <c r="D95" i="19"/>
  <c r="M95" i="19" s="1"/>
  <c r="N95" i="19"/>
  <c r="D96" i="19"/>
  <c r="M96" i="19" s="1"/>
  <c r="N96" i="19"/>
  <c r="D97" i="19"/>
  <c r="N97" i="19"/>
  <c r="D98" i="19"/>
  <c r="N98" i="19"/>
  <c r="D99" i="19"/>
  <c r="M99" i="19" s="1"/>
  <c r="N99" i="19"/>
  <c r="D100" i="19"/>
  <c r="N100" i="19"/>
  <c r="D101" i="19"/>
  <c r="F101" i="19" s="1"/>
  <c r="N101" i="19"/>
  <c r="D102" i="19"/>
  <c r="F102" i="19" s="1"/>
  <c r="N102" i="19"/>
  <c r="D103" i="19"/>
  <c r="N103" i="19"/>
  <c r="D104" i="19"/>
  <c r="N104" i="19"/>
  <c r="D105" i="19"/>
  <c r="N105" i="19"/>
  <c r="D106" i="19"/>
  <c r="N106" i="19"/>
  <c r="D107" i="19"/>
  <c r="F107" i="19" s="1"/>
  <c r="N107" i="19"/>
  <c r="D108" i="19"/>
  <c r="F108" i="19" s="1"/>
  <c r="N108" i="19"/>
  <c r="D109" i="19"/>
  <c r="N109" i="19"/>
  <c r="D110" i="19"/>
  <c r="N110" i="19"/>
  <c r="D111" i="19"/>
  <c r="N111" i="19"/>
  <c r="D112" i="19"/>
  <c r="K112" i="19" s="1"/>
  <c r="N112" i="19"/>
  <c r="D113" i="19"/>
  <c r="F113" i="19" s="1"/>
  <c r="N113" i="19"/>
  <c r="D114" i="19"/>
  <c r="F114" i="19" s="1"/>
  <c r="N114" i="19"/>
  <c r="D115" i="19"/>
  <c r="F115" i="19" s="1"/>
  <c r="N115" i="19"/>
  <c r="D116" i="19"/>
  <c r="F116" i="19" s="1"/>
  <c r="N116" i="19"/>
  <c r="D117" i="19"/>
  <c r="F117" i="19" s="1"/>
  <c r="N117" i="19"/>
  <c r="D118" i="19"/>
  <c r="F118" i="19" s="1"/>
  <c r="N118" i="19"/>
  <c r="D119" i="19"/>
  <c r="F119" i="19" s="1"/>
  <c r="N119" i="19"/>
  <c r="D120" i="19"/>
  <c r="F120" i="19" s="1"/>
  <c r="N120" i="19"/>
  <c r="D121" i="19"/>
  <c r="F121" i="19" s="1"/>
  <c r="N121" i="19"/>
  <c r="D122" i="19"/>
  <c r="F122" i="19" s="1"/>
  <c r="N122" i="19"/>
  <c r="D123" i="19"/>
  <c r="N123" i="19"/>
  <c r="D124" i="19"/>
  <c r="K124" i="19" s="1"/>
  <c r="N124" i="19"/>
  <c r="D125" i="19"/>
  <c r="N125" i="19"/>
  <c r="D126" i="19"/>
  <c r="K126" i="19" s="1"/>
  <c r="N126" i="19"/>
  <c r="D127" i="19"/>
  <c r="N127" i="19"/>
  <c r="D128" i="19"/>
  <c r="F128" i="19" s="1"/>
  <c r="N128" i="19"/>
  <c r="D129" i="19"/>
  <c r="K129" i="19" s="1"/>
  <c r="N129" i="19"/>
  <c r="D130" i="19"/>
  <c r="N130" i="19"/>
  <c r="D131" i="19"/>
  <c r="F131" i="19" s="1"/>
  <c r="N131" i="19"/>
  <c r="D132" i="19"/>
  <c r="N132" i="19"/>
  <c r="D133" i="19"/>
  <c r="M133" i="19" s="1"/>
  <c r="N133" i="19"/>
  <c r="D134" i="19"/>
  <c r="N134" i="19"/>
  <c r="D135" i="19"/>
  <c r="K135" i="19" s="1"/>
  <c r="N135" i="19"/>
  <c r="D136" i="19"/>
  <c r="N136" i="19"/>
  <c r="D137" i="19"/>
  <c r="F137" i="19" s="1"/>
  <c r="N137" i="19"/>
  <c r="D138" i="19"/>
  <c r="F138" i="19" s="1"/>
  <c r="N138" i="19"/>
  <c r="D139" i="19"/>
  <c r="K139" i="19" s="1"/>
  <c r="N139" i="19"/>
  <c r="D140" i="19"/>
  <c r="N140" i="19"/>
  <c r="D141" i="19"/>
  <c r="K141" i="19" s="1"/>
  <c r="N141" i="19"/>
  <c r="D142" i="19"/>
  <c r="N142" i="19"/>
  <c r="D143" i="19"/>
  <c r="N143" i="19"/>
  <c r="D144" i="19"/>
  <c r="N144" i="19"/>
  <c r="D145" i="19"/>
  <c r="F145" i="19" s="1"/>
  <c r="N145" i="19"/>
  <c r="D146" i="19"/>
  <c r="N146" i="19"/>
  <c r="D147" i="19"/>
  <c r="N147" i="19"/>
  <c r="D148" i="19"/>
  <c r="F148" i="19" s="1"/>
  <c r="N148" i="19"/>
  <c r="D149" i="19"/>
  <c r="F149" i="19" s="1"/>
  <c r="N149" i="19"/>
  <c r="D150" i="19"/>
  <c r="N150" i="19"/>
  <c r="D151" i="19"/>
  <c r="N151" i="19"/>
  <c r="D152" i="19"/>
  <c r="F152" i="19" s="1"/>
  <c r="N152" i="19"/>
  <c r="D153" i="19"/>
  <c r="M153" i="19" s="1"/>
  <c r="N153" i="19"/>
  <c r="D154" i="19"/>
  <c r="N154" i="19"/>
  <c r="D155" i="19"/>
  <c r="M155" i="19" s="1"/>
  <c r="N155" i="19"/>
  <c r="D156" i="19"/>
  <c r="M156" i="19" s="1"/>
  <c r="N156" i="19"/>
  <c r="D157" i="19"/>
  <c r="F157" i="19" s="1"/>
  <c r="N157" i="19"/>
  <c r="D158" i="19"/>
  <c r="F158" i="19" s="1"/>
  <c r="N158" i="19"/>
  <c r="D159" i="19"/>
  <c r="M159" i="19" s="1"/>
  <c r="N159" i="19"/>
  <c r="D160" i="19"/>
  <c r="N160" i="19"/>
  <c r="D161" i="19"/>
  <c r="F161" i="19" s="1"/>
  <c r="N161" i="19"/>
  <c r="D162" i="19"/>
  <c r="F162" i="19" s="1"/>
  <c r="N162" i="19"/>
  <c r="D163" i="19"/>
  <c r="M163" i="19" s="1"/>
  <c r="N163" i="19"/>
  <c r="D164" i="19"/>
  <c r="N164" i="19"/>
  <c r="D165" i="19"/>
  <c r="N165" i="19"/>
  <c r="D166" i="19"/>
  <c r="N166" i="19"/>
  <c r="D167" i="19"/>
  <c r="F167" i="19" s="1"/>
  <c r="N167" i="19"/>
  <c r="D168" i="19"/>
  <c r="F168" i="19" s="1"/>
  <c r="N168" i="19"/>
  <c r="D169" i="19"/>
  <c r="N169" i="19"/>
  <c r="D170" i="19"/>
  <c r="N170" i="19"/>
  <c r="D171" i="19"/>
  <c r="N171" i="19"/>
  <c r="D172" i="19"/>
  <c r="N172" i="19"/>
  <c r="D173" i="19"/>
  <c r="F173" i="19" s="1"/>
  <c r="N173" i="19"/>
  <c r="D174" i="19"/>
  <c r="F174" i="19" s="1"/>
  <c r="N174" i="19"/>
  <c r="D175" i="19"/>
  <c r="F175" i="19" s="1"/>
  <c r="N175" i="19"/>
  <c r="D176" i="19"/>
  <c r="F176" i="19" s="1"/>
  <c r="N176" i="19"/>
  <c r="D177" i="19"/>
  <c r="F177" i="19" s="1"/>
  <c r="N177" i="19"/>
  <c r="D178" i="19"/>
  <c r="F178" i="19" s="1"/>
  <c r="N178" i="19"/>
  <c r="D179" i="19"/>
  <c r="F179" i="19" s="1"/>
  <c r="N179" i="19"/>
  <c r="D180" i="19"/>
  <c r="F180" i="19" s="1"/>
  <c r="N180" i="19"/>
  <c r="D181" i="19"/>
  <c r="F181" i="19" s="1"/>
  <c r="N181" i="19"/>
  <c r="D182" i="19"/>
  <c r="F182" i="19" s="1"/>
  <c r="N182" i="19"/>
  <c r="D183" i="19"/>
  <c r="N183" i="19"/>
  <c r="D184" i="19"/>
  <c r="N184" i="19"/>
  <c r="D185" i="19"/>
  <c r="N185" i="19"/>
  <c r="D186" i="19"/>
  <c r="N186" i="19"/>
  <c r="D187" i="19"/>
  <c r="F187" i="19" s="1"/>
  <c r="N187" i="19"/>
  <c r="D188" i="19"/>
  <c r="N188" i="19"/>
  <c r="D189" i="19"/>
  <c r="K189" i="19" s="1"/>
  <c r="N189" i="19"/>
  <c r="D190" i="19"/>
  <c r="N190" i="19"/>
  <c r="D191" i="19"/>
  <c r="N191" i="19"/>
  <c r="D192" i="19"/>
  <c r="N192" i="19"/>
  <c r="D193" i="19"/>
  <c r="K193" i="19" s="1"/>
  <c r="N193" i="19"/>
  <c r="D194" i="19"/>
  <c r="N194" i="19"/>
  <c r="D195" i="19"/>
  <c r="N195" i="19"/>
  <c r="D196" i="19"/>
  <c r="N196" i="19"/>
  <c r="D197" i="19"/>
  <c r="N197" i="19"/>
  <c r="D198" i="19"/>
  <c r="F198" i="19" s="1"/>
  <c r="N198" i="19"/>
  <c r="D199" i="19"/>
  <c r="N199" i="19"/>
  <c r="D200" i="19"/>
  <c r="N200" i="19"/>
  <c r="D201" i="19"/>
  <c r="N201" i="19"/>
  <c r="D202" i="19"/>
  <c r="N202" i="19"/>
  <c r="D203" i="19"/>
  <c r="F203" i="19" s="1"/>
  <c r="N203" i="19"/>
  <c r="D204" i="19"/>
  <c r="N204" i="19"/>
  <c r="D205" i="19"/>
  <c r="F205" i="19" s="1"/>
  <c r="N205" i="19"/>
  <c r="D206" i="19"/>
  <c r="F206" i="19" s="1"/>
  <c r="N206" i="19"/>
  <c r="D207" i="19"/>
  <c r="F207" i="19" s="1"/>
  <c r="N207" i="19"/>
  <c r="D208" i="19"/>
  <c r="F208" i="19" s="1"/>
  <c r="N208" i="19"/>
  <c r="D209" i="19"/>
  <c r="F209" i="19" s="1"/>
  <c r="N209" i="19"/>
  <c r="D210" i="19"/>
  <c r="F210" i="19" s="1"/>
  <c r="N210" i="19"/>
  <c r="D211" i="19"/>
  <c r="F211" i="19" s="1"/>
  <c r="N211" i="19"/>
  <c r="D212" i="19"/>
  <c r="N212" i="19"/>
  <c r="D213" i="19"/>
  <c r="K213" i="19" s="1"/>
  <c r="N213" i="19"/>
  <c r="D214" i="19"/>
  <c r="K214" i="19" s="1"/>
  <c r="N214" i="19"/>
  <c r="D215" i="19"/>
  <c r="M215" i="19" s="1"/>
  <c r="N215" i="19"/>
  <c r="D216" i="19"/>
  <c r="K216" i="19" s="1"/>
  <c r="N216" i="19"/>
  <c r="D217" i="19"/>
  <c r="N217" i="19"/>
  <c r="D218" i="19"/>
  <c r="N218" i="19"/>
  <c r="D219" i="19"/>
  <c r="K219" i="19" s="1"/>
  <c r="N219" i="19"/>
  <c r="D220" i="19"/>
  <c r="N220" i="19"/>
  <c r="D221" i="19"/>
  <c r="N221" i="19"/>
  <c r="D222" i="19"/>
  <c r="N222" i="19"/>
  <c r="D223" i="19"/>
  <c r="N223" i="19"/>
  <c r="D224" i="19"/>
  <c r="M224" i="19" s="1"/>
  <c r="N224" i="19"/>
  <c r="D225" i="19"/>
  <c r="M225" i="19" s="1"/>
  <c r="N225" i="19"/>
  <c r="D226" i="19"/>
  <c r="N226" i="19"/>
  <c r="D227" i="19"/>
  <c r="F227" i="19" s="1"/>
  <c r="N227" i="19"/>
  <c r="D228" i="19"/>
  <c r="N228" i="19"/>
  <c r="D229" i="19"/>
  <c r="N229" i="19"/>
  <c r="D230" i="19"/>
  <c r="N230" i="19"/>
  <c r="D231" i="19"/>
  <c r="N231" i="19"/>
  <c r="D232" i="19"/>
  <c r="K232" i="19" s="1"/>
  <c r="N232" i="19"/>
  <c r="D233" i="19"/>
  <c r="F233" i="19" s="1"/>
  <c r="N233" i="19"/>
  <c r="D234" i="19"/>
  <c r="N234" i="19"/>
  <c r="D235" i="19"/>
  <c r="F235" i="19" s="1"/>
  <c r="N235" i="19"/>
  <c r="D236" i="19"/>
  <c r="N236" i="19"/>
  <c r="D237" i="19"/>
  <c r="F237" i="19" s="1"/>
  <c r="N237" i="19"/>
  <c r="D238" i="19"/>
  <c r="F238" i="19" s="1"/>
  <c r="N238" i="19"/>
  <c r="D239" i="19"/>
  <c r="F239" i="19" s="1"/>
  <c r="N239" i="19"/>
  <c r="D240" i="19"/>
  <c r="F240" i="19" s="1"/>
  <c r="N240" i="19"/>
  <c r="D241" i="19"/>
  <c r="F241" i="19" s="1"/>
  <c r="N241" i="19"/>
  <c r="D242" i="19"/>
  <c r="F242" i="19" s="1"/>
  <c r="N242" i="19"/>
  <c r="D243" i="19"/>
  <c r="N243" i="19"/>
  <c r="D244" i="19"/>
  <c r="M244" i="19" s="1"/>
  <c r="N244" i="19"/>
  <c r="D245" i="19"/>
  <c r="M245" i="19" s="1"/>
  <c r="N245" i="19"/>
  <c r="D246" i="19"/>
  <c r="M246" i="19" s="1"/>
  <c r="N246" i="19"/>
  <c r="D247" i="19"/>
  <c r="F247" i="19" s="1"/>
  <c r="N247" i="19"/>
  <c r="D248" i="19"/>
  <c r="F248" i="19" s="1"/>
  <c r="N248" i="19"/>
  <c r="D249" i="19"/>
  <c r="M249" i="19" s="1"/>
  <c r="N249" i="19"/>
  <c r="D250" i="19"/>
  <c r="N250" i="19"/>
  <c r="D251" i="19"/>
  <c r="F251" i="19" s="1"/>
  <c r="N251" i="19"/>
  <c r="D252" i="19"/>
  <c r="F252" i="19" s="1"/>
  <c r="N252" i="19"/>
  <c r="D253" i="19"/>
  <c r="M253" i="19" s="1"/>
  <c r="N253" i="19"/>
  <c r="D254" i="19"/>
  <c r="M254" i="19" s="1"/>
  <c r="N254" i="19"/>
  <c r="D255" i="19"/>
  <c r="M255" i="19" s="1"/>
  <c r="N255" i="19"/>
  <c r="D256" i="19"/>
  <c r="N256" i="19"/>
  <c r="D257" i="19"/>
  <c r="F257" i="19" s="1"/>
  <c r="N257" i="19"/>
  <c r="D258" i="19"/>
  <c r="F258" i="19" s="1"/>
  <c r="N258" i="19"/>
  <c r="D259" i="19"/>
  <c r="M259" i="19" s="1"/>
  <c r="N259" i="19"/>
  <c r="D260" i="19"/>
  <c r="N260" i="19"/>
  <c r="D261" i="19"/>
  <c r="K261" i="19" s="1"/>
  <c r="N261" i="19"/>
  <c r="D262" i="19"/>
  <c r="N262" i="19"/>
  <c r="D263" i="19"/>
  <c r="F263" i="19" s="1"/>
  <c r="N263" i="19"/>
  <c r="D264" i="19"/>
  <c r="F264" i="19" s="1"/>
  <c r="N264" i="19"/>
  <c r="D265" i="19"/>
  <c r="N265" i="19"/>
  <c r="D266" i="19"/>
  <c r="N266" i="19"/>
  <c r="D267" i="19"/>
  <c r="F267" i="19" s="1"/>
  <c r="N267" i="19"/>
  <c r="D268" i="19"/>
  <c r="N268" i="19"/>
  <c r="D269" i="19"/>
  <c r="N269" i="19"/>
  <c r="D270" i="19"/>
  <c r="N270" i="19"/>
  <c r="D271" i="19"/>
  <c r="N271" i="19"/>
  <c r="D272" i="19"/>
  <c r="N272" i="19"/>
  <c r="D273" i="19"/>
  <c r="M273" i="19" s="1"/>
  <c r="N273" i="19"/>
  <c r="D274" i="19"/>
  <c r="M274" i="19" s="1"/>
  <c r="N274" i="19"/>
  <c r="D275" i="19"/>
  <c r="N275" i="19"/>
  <c r="D276" i="19"/>
  <c r="N276" i="19"/>
  <c r="D277" i="19"/>
  <c r="F277" i="19" s="1"/>
  <c r="N277" i="19"/>
  <c r="D278" i="19"/>
  <c r="F278" i="19" s="1"/>
  <c r="N278" i="19"/>
  <c r="D279" i="19"/>
  <c r="N279" i="19"/>
  <c r="D280" i="19"/>
  <c r="N280" i="19"/>
  <c r="D281" i="19"/>
  <c r="F281" i="19" s="1"/>
  <c r="N281" i="19"/>
  <c r="D282" i="19"/>
  <c r="F282" i="19" s="1"/>
  <c r="N282" i="19"/>
  <c r="D283" i="19"/>
  <c r="N283" i="19"/>
  <c r="D284" i="19"/>
  <c r="N284" i="19"/>
  <c r="D285" i="19"/>
  <c r="N285" i="19"/>
  <c r="D286" i="19"/>
  <c r="N286" i="19"/>
  <c r="D287" i="19"/>
  <c r="F287" i="19" s="1"/>
  <c r="N287" i="19"/>
  <c r="D288" i="19"/>
  <c r="F288" i="19" s="1"/>
  <c r="N288" i="19"/>
  <c r="D289" i="19"/>
  <c r="N289" i="19"/>
  <c r="D290" i="19"/>
  <c r="N290" i="19"/>
  <c r="D291" i="19"/>
  <c r="N291" i="19"/>
  <c r="D292" i="19"/>
  <c r="N292" i="19"/>
  <c r="D293" i="19"/>
  <c r="F293" i="19" s="1"/>
  <c r="N293" i="19"/>
  <c r="D294" i="19"/>
  <c r="F294" i="19" s="1"/>
  <c r="N294" i="19"/>
  <c r="D295" i="19"/>
  <c r="F295" i="19" s="1"/>
  <c r="N295" i="19"/>
  <c r="D296" i="19"/>
  <c r="F296" i="19" s="1"/>
  <c r="N296" i="19"/>
  <c r="D297" i="19"/>
  <c r="F297" i="19" s="1"/>
  <c r="N297" i="19"/>
  <c r="D298" i="19"/>
  <c r="F298" i="19" s="1"/>
  <c r="N298" i="19"/>
  <c r="D299" i="19"/>
  <c r="F299" i="19" s="1"/>
  <c r="N299" i="19"/>
  <c r="D300" i="19"/>
  <c r="F300" i="19" s="1"/>
  <c r="N300" i="19"/>
  <c r="D301" i="19"/>
  <c r="F301" i="19" s="1"/>
  <c r="N301" i="19"/>
  <c r="D302" i="19"/>
  <c r="F302" i="19" s="1"/>
  <c r="N302" i="19"/>
  <c r="D303" i="19"/>
  <c r="N303" i="19"/>
  <c r="D304" i="19"/>
  <c r="M304" i="19" s="1"/>
  <c r="N304" i="19"/>
  <c r="D305" i="19"/>
  <c r="M305" i="19" s="1"/>
  <c r="N305" i="19"/>
  <c r="D306" i="19"/>
  <c r="M306" i="19" s="1"/>
  <c r="N306" i="19"/>
  <c r="D307" i="19"/>
  <c r="F307" i="19" s="1"/>
  <c r="N307" i="19"/>
  <c r="D308" i="19"/>
  <c r="F308" i="19" s="1"/>
  <c r="N308" i="19"/>
  <c r="D309" i="19"/>
  <c r="M309" i="19" s="1"/>
  <c r="N309" i="19"/>
  <c r="D310" i="19"/>
  <c r="N310" i="19"/>
  <c r="D311" i="19"/>
  <c r="F311" i="19" s="1"/>
  <c r="N311" i="19"/>
  <c r="D312" i="19"/>
  <c r="F312" i="19" s="1"/>
  <c r="N312" i="19"/>
  <c r="D313" i="19"/>
  <c r="M313" i="19" s="1"/>
  <c r="N313" i="19"/>
  <c r="D314" i="19"/>
  <c r="M314" i="19" s="1"/>
  <c r="N314" i="19"/>
  <c r="D315" i="19"/>
  <c r="M315" i="19" s="1"/>
  <c r="N315" i="19"/>
  <c r="D316" i="19"/>
  <c r="K316" i="19" s="1"/>
  <c r="N316" i="19"/>
  <c r="D317" i="19"/>
  <c r="F317" i="19" s="1"/>
  <c r="N317" i="19"/>
  <c r="D318" i="19"/>
  <c r="F318" i="19" s="1"/>
  <c r="N318" i="19"/>
  <c r="D319" i="19"/>
  <c r="M319" i="19" s="1"/>
  <c r="N319" i="19"/>
  <c r="D320" i="19"/>
  <c r="N320" i="19"/>
  <c r="D321" i="19"/>
  <c r="N321" i="19"/>
  <c r="D322" i="19"/>
  <c r="N322" i="19"/>
  <c r="D323" i="19"/>
  <c r="F323" i="19" s="1"/>
  <c r="N323" i="19"/>
  <c r="D324" i="19"/>
  <c r="F324" i="19" s="1"/>
  <c r="N324" i="19"/>
  <c r="D325" i="19"/>
  <c r="N325" i="19"/>
  <c r="D326" i="19"/>
  <c r="F326" i="19" s="1"/>
  <c r="N326" i="19"/>
  <c r="D327" i="19"/>
  <c r="N327" i="19"/>
  <c r="D328" i="19"/>
  <c r="F328" i="19" s="1"/>
  <c r="N328" i="19"/>
  <c r="D329" i="19"/>
  <c r="N329" i="19"/>
  <c r="D330" i="19"/>
  <c r="N330" i="19"/>
  <c r="D331" i="19"/>
  <c r="N331" i="19"/>
  <c r="D332" i="19"/>
  <c r="N332" i="19"/>
  <c r="D333" i="19"/>
  <c r="M333" i="19" s="1"/>
  <c r="N333" i="19"/>
  <c r="D334" i="19"/>
  <c r="N334" i="19"/>
  <c r="D335" i="19"/>
  <c r="M335" i="19" s="1"/>
  <c r="N335" i="19"/>
  <c r="D336" i="19"/>
  <c r="N336" i="19"/>
  <c r="D337" i="19"/>
  <c r="N337" i="19"/>
  <c r="D338" i="19"/>
  <c r="N338" i="19"/>
  <c r="D339" i="19"/>
  <c r="M339" i="19" s="1"/>
  <c r="N339" i="19"/>
  <c r="D340" i="19"/>
  <c r="N340" i="19"/>
  <c r="D341" i="19"/>
  <c r="N341" i="19"/>
  <c r="D342" i="19"/>
  <c r="N342" i="19"/>
  <c r="D343" i="19"/>
  <c r="N343" i="19"/>
  <c r="D344" i="19"/>
  <c r="N344" i="19"/>
  <c r="D345" i="19"/>
  <c r="M345" i="19" s="1"/>
  <c r="N345" i="19"/>
  <c r="D346" i="19"/>
  <c r="K346" i="19" s="1"/>
  <c r="N346" i="19"/>
  <c r="D347" i="19"/>
  <c r="N347" i="19"/>
  <c r="D348" i="19"/>
  <c r="F348" i="19" s="1"/>
  <c r="N348" i="19"/>
  <c r="D349" i="19"/>
  <c r="M349" i="19" s="1"/>
  <c r="N349" i="19"/>
  <c r="D350" i="19"/>
  <c r="K350" i="19" s="1"/>
  <c r="N350" i="19"/>
  <c r="D351" i="19"/>
  <c r="N351" i="19"/>
  <c r="D352" i="19"/>
  <c r="N352" i="19"/>
  <c r="D353" i="19"/>
  <c r="F353" i="19" s="1"/>
  <c r="N353" i="19"/>
  <c r="D354" i="19"/>
  <c r="N354" i="19"/>
  <c r="D355" i="19"/>
  <c r="F355" i="19" s="1"/>
  <c r="N355" i="19"/>
  <c r="D356" i="19"/>
  <c r="F356" i="19" s="1"/>
  <c r="N356" i="19"/>
  <c r="D357" i="19"/>
  <c r="N357" i="19"/>
  <c r="D358" i="19"/>
  <c r="N358" i="19"/>
  <c r="D359" i="19"/>
  <c r="F359" i="19" s="1"/>
  <c r="N359" i="19"/>
  <c r="D360" i="19"/>
  <c r="N360" i="19"/>
  <c r="D361" i="19"/>
  <c r="N361" i="19"/>
  <c r="D362" i="19"/>
  <c r="F362" i="19" s="1"/>
  <c r="N362" i="19"/>
  <c r="D363" i="19"/>
  <c r="K363" i="19" s="1"/>
  <c r="N363" i="19"/>
  <c r="D364" i="19"/>
  <c r="K364" i="19" s="1"/>
  <c r="N364" i="19"/>
  <c r="D365" i="19"/>
  <c r="N365" i="19"/>
  <c r="D366" i="19"/>
  <c r="K366" i="19" s="1"/>
  <c r="N366" i="19"/>
  <c r="D367" i="19"/>
  <c r="F367" i="19" s="1"/>
  <c r="N367" i="19"/>
  <c r="D368" i="19"/>
  <c r="F368" i="19" s="1"/>
  <c r="N368" i="19"/>
  <c r="D369" i="19"/>
  <c r="M369" i="19" s="1"/>
  <c r="N369" i="19"/>
  <c r="D370" i="19"/>
  <c r="N370" i="19"/>
  <c r="D371" i="19"/>
  <c r="F371" i="19" s="1"/>
  <c r="N371" i="19"/>
  <c r="D372" i="19"/>
  <c r="F372" i="19" s="1"/>
  <c r="N372" i="19"/>
  <c r="D373" i="19"/>
  <c r="N373" i="19"/>
  <c r="D374" i="19"/>
  <c r="M374" i="19" s="1"/>
  <c r="N374" i="19"/>
  <c r="D375" i="19"/>
  <c r="M375" i="19" s="1"/>
  <c r="N375" i="19"/>
  <c r="D376" i="19"/>
  <c r="N376" i="19"/>
  <c r="D377" i="19"/>
  <c r="F377" i="19" s="1"/>
  <c r="N377" i="19"/>
  <c r="D378" i="19"/>
  <c r="F378" i="19" s="1"/>
  <c r="N378" i="19"/>
  <c r="D379" i="19"/>
  <c r="M379" i="19" s="1"/>
  <c r="N379" i="19"/>
  <c r="D380" i="19"/>
  <c r="N380" i="19"/>
  <c r="D381" i="19"/>
  <c r="K381" i="19" s="1"/>
  <c r="N381" i="19"/>
  <c r="D382" i="19"/>
  <c r="N382" i="19"/>
  <c r="D383" i="19"/>
  <c r="F383" i="19" s="1"/>
  <c r="N383" i="19"/>
  <c r="D384" i="19"/>
  <c r="F384" i="19" s="1"/>
  <c r="N384" i="19"/>
  <c r="D385" i="19"/>
  <c r="F385" i="19" s="1"/>
  <c r="N385" i="19"/>
  <c r="D386" i="19"/>
  <c r="N386" i="19"/>
  <c r="D387" i="19"/>
  <c r="F387" i="19" s="1"/>
  <c r="N387" i="19"/>
  <c r="D388" i="19"/>
  <c r="N388" i="19"/>
  <c r="D389" i="19"/>
  <c r="F389" i="19" s="1"/>
  <c r="N389" i="19"/>
  <c r="D390" i="19"/>
  <c r="F390" i="19" s="1"/>
  <c r="N390" i="19"/>
  <c r="D391" i="19"/>
  <c r="N391" i="19"/>
  <c r="D392" i="19"/>
  <c r="F392" i="19" s="1"/>
  <c r="N392" i="19"/>
  <c r="D393" i="19"/>
  <c r="N393" i="19"/>
  <c r="D394" i="19"/>
  <c r="M394" i="19" s="1"/>
  <c r="N394" i="19"/>
  <c r="D395" i="19"/>
  <c r="N395" i="19"/>
  <c r="D396" i="19"/>
  <c r="M396" i="19" s="1"/>
  <c r="N396" i="19"/>
  <c r="D397" i="19"/>
  <c r="F397" i="19" s="1"/>
  <c r="N397" i="19"/>
  <c r="D398" i="19"/>
  <c r="F398" i="19" s="1"/>
  <c r="N398" i="19"/>
  <c r="D399" i="19"/>
  <c r="N399" i="19"/>
  <c r="D400" i="19"/>
  <c r="N400" i="19"/>
  <c r="D401" i="19"/>
  <c r="F401" i="19" s="1"/>
  <c r="N401" i="19"/>
  <c r="D402" i="19"/>
  <c r="F402" i="19" s="1"/>
  <c r="N402" i="19"/>
  <c r="D403" i="19"/>
  <c r="M403" i="19" s="1"/>
  <c r="N403" i="19"/>
  <c r="D404" i="19"/>
  <c r="M404" i="19" s="1"/>
  <c r="N404" i="19"/>
  <c r="D405" i="19"/>
  <c r="M405" i="19" s="1"/>
  <c r="N405" i="19"/>
  <c r="D406" i="19"/>
  <c r="N406" i="19"/>
  <c r="D407" i="19"/>
  <c r="F407" i="19" s="1"/>
  <c r="N407" i="19"/>
  <c r="D408" i="19"/>
  <c r="F408" i="19" s="1"/>
  <c r="N408" i="19"/>
  <c r="D409" i="19"/>
  <c r="N409" i="19"/>
  <c r="D410" i="19"/>
  <c r="N410" i="19"/>
  <c r="D411" i="19"/>
  <c r="N411" i="19"/>
  <c r="D412" i="19"/>
  <c r="N412" i="19"/>
  <c r="D413" i="19"/>
  <c r="N413" i="19"/>
  <c r="D414" i="19"/>
  <c r="N414" i="19"/>
  <c r="D415" i="19"/>
  <c r="N415" i="19"/>
  <c r="D416" i="19"/>
  <c r="N416" i="19"/>
  <c r="D417" i="19"/>
  <c r="F417" i="19" s="1"/>
  <c r="N417" i="19"/>
  <c r="D418" i="19"/>
  <c r="F418" i="19" s="1"/>
  <c r="N418" i="19"/>
  <c r="D419" i="19"/>
  <c r="F419" i="19" s="1"/>
  <c r="N419" i="19"/>
  <c r="D420" i="19"/>
  <c r="N420" i="19"/>
  <c r="D421" i="19"/>
  <c r="N421" i="19"/>
  <c r="D422" i="19"/>
  <c r="N422" i="19"/>
  <c r="D423" i="19"/>
  <c r="K423" i="19" s="1"/>
  <c r="N423" i="19"/>
  <c r="D424" i="19"/>
  <c r="N424" i="19"/>
  <c r="D425" i="19"/>
  <c r="M425" i="19" s="1"/>
  <c r="N425" i="19"/>
  <c r="D426" i="19"/>
  <c r="M426" i="19" s="1"/>
  <c r="N426" i="19"/>
  <c r="D427" i="19"/>
  <c r="F427" i="19" s="1"/>
  <c r="N427" i="19"/>
  <c r="D428" i="19"/>
  <c r="F428" i="19" s="1"/>
  <c r="N428" i="19"/>
  <c r="D429" i="19"/>
  <c r="N429" i="19"/>
  <c r="D430" i="19"/>
  <c r="N430" i="19"/>
  <c r="D431" i="19"/>
  <c r="N431" i="19"/>
  <c r="D432" i="19"/>
  <c r="F432" i="19" s="1"/>
  <c r="N432" i="19"/>
  <c r="D433" i="19"/>
  <c r="M433" i="19" s="1"/>
  <c r="N433" i="19"/>
  <c r="D434" i="19"/>
  <c r="M434" i="19" s="1"/>
  <c r="N434" i="19"/>
  <c r="D435" i="19"/>
  <c r="N435" i="19"/>
  <c r="D436" i="19"/>
  <c r="N436" i="19"/>
  <c r="D437" i="19"/>
  <c r="F437" i="19" s="1"/>
  <c r="N437" i="19"/>
  <c r="D438" i="19"/>
  <c r="N438" i="19"/>
  <c r="D439" i="19"/>
  <c r="K439" i="19" s="1"/>
  <c r="N439" i="19"/>
  <c r="D440" i="19"/>
  <c r="N440" i="19"/>
  <c r="D441" i="19"/>
  <c r="N441" i="19"/>
  <c r="D442" i="19"/>
  <c r="N442" i="19"/>
  <c r="D443" i="19"/>
  <c r="N443" i="19"/>
  <c r="D444" i="19"/>
  <c r="F444" i="19" s="1"/>
  <c r="N444" i="19"/>
  <c r="D445" i="19"/>
  <c r="F445" i="19" s="1"/>
  <c r="N445" i="19"/>
  <c r="D446" i="19"/>
  <c r="F446" i="19" s="1"/>
  <c r="N446" i="19"/>
  <c r="D447" i="19"/>
  <c r="F447" i="19" s="1"/>
  <c r="N447" i="19"/>
  <c r="D448" i="19"/>
  <c r="F448" i="19" s="1"/>
  <c r="N448" i="19"/>
  <c r="D449" i="19"/>
  <c r="N449" i="19"/>
  <c r="D450" i="19"/>
  <c r="F450" i="19" s="1"/>
  <c r="N450" i="19"/>
  <c r="D451" i="19"/>
  <c r="N451" i="19"/>
  <c r="D452" i="19"/>
  <c r="F452" i="19" s="1"/>
  <c r="N452" i="19"/>
  <c r="D453" i="19"/>
  <c r="N453" i="19"/>
  <c r="D454" i="19"/>
  <c r="K454" i="19" s="1"/>
  <c r="N454" i="19"/>
  <c r="D455" i="19"/>
  <c r="K455" i="19" s="1"/>
  <c r="N455" i="19"/>
  <c r="D456" i="19"/>
  <c r="N456" i="19"/>
  <c r="D457" i="19"/>
  <c r="N457" i="19"/>
  <c r="D458" i="19"/>
  <c r="F458" i="19" s="1"/>
  <c r="N458" i="19"/>
  <c r="D459" i="19"/>
  <c r="K459" i="19" s="1"/>
  <c r="N459" i="19"/>
  <c r="D460" i="19"/>
  <c r="N460" i="19"/>
  <c r="D461" i="19"/>
  <c r="F461" i="19" s="1"/>
  <c r="N461" i="19"/>
  <c r="D462" i="19"/>
  <c r="N462" i="19"/>
  <c r="D463" i="19"/>
  <c r="M463" i="19" s="1"/>
  <c r="N463" i="19"/>
  <c r="D464" i="19"/>
  <c r="N464" i="19"/>
  <c r="D465" i="19"/>
  <c r="N465" i="19"/>
  <c r="D466" i="19"/>
  <c r="N466" i="19"/>
  <c r="D467" i="19"/>
  <c r="N467" i="19"/>
  <c r="D468" i="19"/>
  <c r="F468" i="19" s="1"/>
  <c r="N468" i="19"/>
  <c r="D469" i="19"/>
  <c r="N469" i="19"/>
  <c r="D470" i="19"/>
  <c r="K470" i="19" s="1"/>
  <c r="N470" i="19"/>
  <c r="D471" i="19"/>
  <c r="N471" i="19"/>
  <c r="D472" i="19"/>
  <c r="N472" i="19"/>
  <c r="D473" i="19"/>
  <c r="N473" i="19"/>
  <c r="D474" i="19"/>
  <c r="N474" i="19"/>
  <c r="D475" i="19"/>
  <c r="F475" i="19" s="1"/>
  <c r="N475" i="19"/>
  <c r="D476" i="19"/>
  <c r="F476" i="19" s="1"/>
  <c r="N476" i="19"/>
  <c r="D477" i="19"/>
  <c r="F477" i="19" s="1"/>
  <c r="N477" i="19"/>
  <c r="D478" i="19"/>
  <c r="F478" i="19" s="1"/>
  <c r="N478" i="19"/>
  <c r="D479" i="19"/>
  <c r="F479" i="19" s="1"/>
  <c r="N479" i="19"/>
  <c r="D480" i="19"/>
  <c r="F480" i="19" s="1"/>
  <c r="N480" i="19"/>
  <c r="D481" i="19"/>
  <c r="F481" i="19" s="1"/>
  <c r="N481" i="19"/>
  <c r="D482" i="19"/>
  <c r="F482" i="19" s="1"/>
  <c r="N482" i="19"/>
  <c r="D483" i="19"/>
  <c r="K483" i="19" s="1"/>
  <c r="N483" i="19"/>
  <c r="D484" i="19"/>
  <c r="K484" i="19" s="1"/>
  <c r="N484" i="19"/>
  <c r="D485" i="19"/>
  <c r="K485" i="19" s="1"/>
  <c r="N485" i="19"/>
  <c r="D486" i="19"/>
  <c r="K486" i="19" s="1"/>
  <c r="N486" i="19"/>
  <c r="D487" i="19"/>
  <c r="F487" i="19" s="1"/>
  <c r="N487" i="19"/>
  <c r="D488" i="19"/>
  <c r="N488" i="19"/>
  <c r="D489" i="19"/>
  <c r="K489" i="19" s="1"/>
  <c r="N489" i="19"/>
  <c r="D490" i="19"/>
  <c r="N490" i="19"/>
  <c r="D491" i="19"/>
  <c r="F491" i="19" s="1"/>
  <c r="N491" i="19"/>
  <c r="D492" i="19"/>
  <c r="N492" i="19"/>
  <c r="D493" i="19"/>
  <c r="K493" i="19" s="1"/>
  <c r="N493" i="19"/>
  <c r="D494" i="19"/>
  <c r="K494" i="19" s="1"/>
  <c r="N494" i="19"/>
  <c r="D495" i="19"/>
  <c r="K495" i="19" s="1"/>
  <c r="N495" i="19"/>
  <c r="D496" i="19"/>
  <c r="N496" i="19"/>
  <c r="D497" i="19"/>
  <c r="N497" i="19"/>
  <c r="D498" i="19"/>
  <c r="N498" i="19"/>
  <c r="D499" i="19"/>
  <c r="K499" i="19" s="1"/>
  <c r="N499" i="19"/>
  <c r="D500" i="19"/>
  <c r="N500" i="19"/>
  <c r="D501" i="19"/>
  <c r="N501" i="19"/>
  <c r="D502" i="19"/>
  <c r="K502" i="19" s="1"/>
  <c r="N502" i="19"/>
  <c r="D503" i="19"/>
  <c r="N503" i="19"/>
  <c r="D504" i="19"/>
  <c r="N504" i="19"/>
  <c r="D505" i="19"/>
  <c r="F505" i="19" s="1"/>
  <c r="N505" i="19"/>
  <c r="D506" i="19"/>
  <c r="F506" i="19" s="1"/>
  <c r="N506" i="19"/>
  <c r="D507" i="19"/>
  <c r="F507" i="19" s="1"/>
  <c r="N507" i="19"/>
  <c r="D508" i="19"/>
  <c r="F508" i="19" s="1"/>
  <c r="N508" i="19"/>
  <c r="D509" i="19"/>
  <c r="F509" i="19" s="1"/>
  <c r="N509" i="19"/>
  <c r="D510" i="19"/>
  <c r="F510" i="19" s="1"/>
  <c r="N510" i="19"/>
  <c r="D511" i="19"/>
  <c r="F511" i="19" s="1"/>
  <c r="N511" i="19"/>
  <c r="D512" i="19"/>
  <c r="F512" i="19" s="1"/>
  <c r="N512" i="19"/>
  <c r="D3" i="19"/>
  <c r="K3" i="19" s="1"/>
  <c r="D4" i="17"/>
  <c r="N4" i="17"/>
  <c r="R4" i="17"/>
  <c r="D5" i="17"/>
  <c r="N5" i="17"/>
  <c r="R5" i="17"/>
  <c r="D6" i="17"/>
  <c r="N6" i="17"/>
  <c r="R6" i="17"/>
  <c r="D7" i="17"/>
  <c r="F7" i="17" s="1"/>
  <c r="N7" i="17"/>
  <c r="R7" i="17"/>
  <c r="D8" i="17"/>
  <c r="F8" i="17" s="1"/>
  <c r="N8" i="17"/>
  <c r="R8" i="17"/>
  <c r="D9" i="17"/>
  <c r="N9" i="17"/>
  <c r="R9" i="17"/>
  <c r="D10" i="17"/>
  <c r="N10" i="17"/>
  <c r="R10" i="17"/>
  <c r="D11" i="17"/>
  <c r="F11" i="17" s="1"/>
  <c r="N11" i="17"/>
  <c r="R11" i="17"/>
  <c r="D12" i="17"/>
  <c r="F12" i="17" s="1"/>
  <c r="N12" i="17"/>
  <c r="R12" i="17"/>
  <c r="D13" i="17"/>
  <c r="N13" i="17"/>
  <c r="R13" i="17"/>
  <c r="D14" i="17"/>
  <c r="N14" i="17"/>
  <c r="R14" i="17"/>
  <c r="D15" i="17"/>
  <c r="M15" i="17" s="1"/>
  <c r="N15" i="17"/>
  <c r="R15" i="17"/>
  <c r="D16" i="17"/>
  <c r="K16" i="17" s="1"/>
  <c r="N16" i="17"/>
  <c r="R16" i="17"/>
  <c r="D17" i="17"/>
  <c r="F17" i="17" s="1"/>
  <c r="N17" i="17"/>
  <c r="R17" i="17"/>
  <c r="D18" i="17"/>
  <c r="F18" i="17" s="1"/>
  <c r="N18" i="17"/>
  <c r="R18" i="17"/>
  <c r="D19" i="17"/>
  <c r="M19" i="17" s="1"/>
  <c r="N19" i="17"/>
  <c r="R19" i="17"/>
  <c r="D20" i="17"/>
  <c r="K20" i="17" s="1"/>
  <c r="N20" i="17"/>
  <c r="R20" i="17"/>
  <c r="D21" i="17"/>
  <c r="N21" i="17"/>
  <c r="R21" i="17"/>
  <c r="D22" i="17"/>
  <c r="K22" i="17" s="1"/>
  <c r="N22" i="17"/>
  <c r="R22" i="17"/>
  <c r="D23" i="17"/>
  <c r="F23" i="17" s="1"/>
  <c r="N23" i="17"/>
  <c r="R23" i="17"/>
  <c r="D24" i="17"/>
  <c r="N24" i="17"/>
  <c r="R24" i="17"/>
  <c r="D25" i="17"/>
  <c r="N25" i="17"/>
  <c r="R25" i="17"/>
  <c r="D26" i="17"/>
  <c r="N26" i="17"/>
  <c r="R26" i="17"/>
  <c r="D27" i="17"/>
  <c r="F27" i="17" s="1"/>
  <c r="N27" i="17"/>
  <c r="R27" i="17"/>
  <c r="D28" i="17"/>
  <c r="F28" i="17" s="1"/>
  <c r="N28" i="17"/>
  <c r="R28" i="17"/>
  <c r="D29" i="17"/>
  <c r="N29" i="17"/>
  <c r="R29" i="17"/>
  <c r="D30" i="17"/>
  <c r="N30" i="17"/>
  <c r="R30" i="17"/>
  <c r="D31" i="17"/>
  <c r="F31" i="17" s="1"/>
  <c r="N31" i="17"/>
  <c r="R31" i="17"/>
  <c r="D32" i="17"/>
  <c r="F32" i="17" s="1"/>
  <c r="N32" i="17"/>
  <c r="R32" i="17"/>
  <c r="D33" i="17"/>
  <c r="N33" i="17"/>
  <c r="R33" i="17"/>
  <c r="D34" i="17"/>
  <c r="K34" i="17" s="1"/>
  <c r="N34" i="17"/>
  <c r="R34" i="17"/>
  <c r="D35" i="17"/>
  <c r="K35" i="17" s="1"/>
  <c r="N35" i="17"/>
  <c r="R35" i="17"/>
  <c r="D36" i="17"/>
  <c r="N36" i="17"/>
  <c r="R36" i="17"/>
  <c r="D37" i="17"/>
  <c r="F37" i="17" s="1"/>
  <c r="N37" i="17"/>
  <c r="R37" i="17"/>
  <c r="D38" i="17"/>
  <c r="N38" i="17"/>
  <c r="R38" i="17"/>
  <c r="D39" i="17"/>
  <c r="K39" i="17" s="1"/>
  <c r="N39" i="17"/>
  <c r="R39" i="17"/>
  <c r="D40" i="17"/>
  <c r="N40" i="17"/>
  <c r="R40" i="17"/>
  <c r="D41" i="17"/>
  <c r="F41" i="17" s="1"/>
  <c r="N41" i="17"/>
  <c r="R41" i="17"/>
  <c r="D42" i="17"/>
  <c r="N42" i="17"/>
  <c r="R42" i="17"/>
  <c r="D43" i="17"/>
  <c r="K43" i="17" s="1"/>
  <c r="N43" i="17"/>
  <c r="R43" i="17"/>
  <c r="D44" i="17"/>
  <c r="N44" i="17"/>
  <c r="R44" i="17"/>
  <c r="D45" i="17"/>
  <c r="N45" i="17"/>
  <c r="R45" i="17"/>
  <c r="D46" i="17"/>
  <c r="N46" i="17"/>
  <c r="R46" i="17"/>
  <c r="D47" i="17"/>
  <c r="F47" i="17" s="1"/>
  <c r="N47" i="17"/>
  <c r="R47" i="17"/>
  <c r="D48" i="17"/>
  <c r="F48" i="17" s="1"/>
  <c r="N48" i="17"/>
  <c r="R48" i="17"/>
  <c r="D49" i="17"/>
  <c r="M49" i="17" s="1"/>
  <c r="N49" i="17"/>
  <c r="R49" i="17"/>
  <c r="D50" i="17"/>
  <c r="N50" i="17"/>
  <c r="R50" i="17"/>
  <c r="D51" i="17"/>
  <c r="N51" i="17"/>
  <c r="R51" i="17"/>
  <c r="D52" i="17"/>
  <c r="N52" i="17"/>
  <c r="R52" i="17"/>
  <c r="D53" i="17"/>
  <c r="F53" i="17" s="1"/>
  <c r="N53" i="17"/>
  <c r="R53" i="17"/>
  <c r="D54" i="17"/>
  <c r="F54" i="17" s="1"/>
  <c r="N54" i="17"/>
  <c r="R54" i="17"/>
  <c r="D55" i="17"/>
  <c r="F55" i="17" s="1"/>
  <c r="N55" i="17"/>
  <c r="R55" i="17"/>
  <c r="D56" i="17"/>
  <c r="F56" i="17" s="1"/>
  <c r="N56" i="17"/>
  <c r="R56" i="17"/>
  <c r="D57" i="17"/>
  <c r="F57" i="17" s="1"/>
  <c r="N57" i="17"/>
  <c r="R57" i="17"/>
  <c r="D58" i="17"/>
  <c r="F58" i="17" s="1"/>
  <c r="N58" i="17"/>
  <c r="R58" i="17"/>
  <c r="D59" i="17"/>
  <c r="F59" i="17" s="1"/>
  <c r="N59" i="17"/>
  <c r="R59" i="17"/>
  <c r="D60" i="17"/>
  <c r="F60" i="17" s="1"/>
  <c r="N60" i="17"/>
  <c r="R60" i="17"/>
  <c r="D61" i="17"/>
  <c r="F61" i="17" s="1"/>
  <c r="N61" i="17"/>
  <c r="R61" i="17"/>
  <c r="D62" i="17"/>
  <c r="F62" i="17" s="1"/>
  <c r="N62" i="17"/>
  <c r="R62" i="17"/>
  <c r="D63" i="17"/>
  <c r="K63" i="17" s="1"/>
  <c r="N63" i="17"/>
  <c r="R63" i="17"/>
  <c r="D64" i="17"/>
  <c r="M64" i="17" s="1"/>
  <c r="N64" i="17"/>
  <c r="R64" i="17"/>
  <c r="D65" i="17"/>
  <c r="M65" i="17" s="1"/>
  <c r="N65" i="17"/>
  <c r="R65" i="17"/>
  <c r="D66" i="17"/>
  <c r="N66" i="17"/>
  <c r="R66" i="17"/>
  <c r="D67" i="17"/>
  <c r="N67" i="17"/>
  <c r="R67" i="17"/>
  <c r="D68" i="17"/>
  <c r="F68" i="17" s="1"/>
  <c r="N68" i="17"/>
  <c r="R68" i="17"/>
  <c r="D69" i="17"/>
  <c r="N69" i="17"/>
  <c r="R69" i="17"/>
  <c r="D70" i="17"/>
  <c r="N70" i="17"/>
  <c r="R70" i="17"/>
  <c r="D71" i="17"/>
  <c r="F71" i="17" s="1"/>
  <c r="N71" i="17"/>
  <c r="R71" i="17"/>
  <c r="D72" i="17"/>
  <c r="F72" i="17" s="1"/>
  <c r="N72" i="17"/>
  <c r="R72" i="17"/>
  <c r="D73" i="17"/>
  <c r="M73" i="17" s="1"/>
  <c r="N73" i="17"/>
  <c r="R73" i="17"/>
  <c r="D74" i="17"/>
  <c r="N74" i="17"/>
  <c r="R74" i="17"/>
  <c r="D75" i="17"/>
  <c r="M75" i="17" s="1"/>
  <c r="N75" i="17"/>
  <c r="R75" i="17"/>
  <c r="D76" i="17"/>
  <c r="N76" i="17"/>
  <c r="R76" i="17"/>
  <c r="D77" i="17"/>
  <c r="F77" i="17" s="1"/>
  <c r="N77" i="17"/>
  <c r="R77" i="17"/>
  <c r="D78" i="17"/>
  <c r="F78" i="17" s="1"/>
  <c r="N78" i="17"/>
  <c r="R78" i="17"/>
  <c r="D79" i="17"/>
  <c r="M79" i="17" s="1"/>
  <c r="N79" i="17"/>
  <c r="R79" i="17"/>
  <c r="D80" i="17"/>
  <c r="N80" i="17"/>
  <c r="R80" i="17"/>
  <c r="D81" i="17"/>
  <c r="N81" i="17"/>
  <c r="R81" i="17"/>
  <c r="D82" i="17"/>
  <c r="K82" i="17" s="1"/>
  <c r="N82" i="17"/>
  <c r="R82" i="17"/>
  <c r="D83" i="17"/>
  <c r="F83" i="17" s="1"/>
  <c r="N83" i="17"/>
  <c r="R83" i="17"/>
  <c r="D84" i="17"/>
  <c r="N84" i="17"/>
  <c r="R84" i="17"/>
  <c r="D85" i="17"/>
  <c r="F85" i="17" s="1"/>
  <c r="N85" i="17"/>
  <c r="R85" i="17"/>
  <c r="D86" i="17"/>
  <c r="F86" i="17" s="1"/>
  <c r="N86" i="17"/>
  <c r="R86" i="17"/>
  <c r="D87" i="17"/>
  <c r="F87" i="17" s="1"/>
  <c r="N87" i="17"/>
  <c r="R87" i="17"/>
  <c r="D88" i="17"/>
  <c r="F88" i="17" s="1"/>
  <c r="N88" i="17"/>
  <c r="R88" i="17"/>
  <c r="D89" i="17"/>
  <c r="N89" i="17"/>
  <c r="R89" i="17"/>
  <c r="D90" i="17"/>
  <c r="F90" i="17" s="1"/>
  <c r="N90" i="17"/>
  <c r="R90" i="17"/>
  <c r="D91" i="17"/>
  <c r="F91" i="17" s="1"/>
  <c r="N91" i="17"/>
  <c r="R91" i="17"/>
  <c r="D92" i="17"/>
  <c r="F92" i="17" s="1"/>
  <c r="N92" i="17"/>
  <c r="R92" i="17"/>
  <c r="D93" i="17"/>
  <c r="M93" i="17" s="1"/>
  <c r="N93" i="17"/>
  <c r="R93" i="17"/>
  <c r="D94" i="17"/>
  <c r="N94" i="17"/>
  <c r="R94" i="17"/>
  <c r="D95" i="17"/>
  <c r="K95" i="17" s="1"/>
  <c r="N95" i="17"/>
  <c r="R95" i="17"/>
  <c r="D96" i="17"/>
  <c r="M96" i="17" s="1"/>
  <c r="N96" i="17"/>
  <c r="R96" i="17"/>
  <c r="D97" i="17"/>
  <c r="F97" i="17" s="1"/>
  <c r="N97" i="17"/>
  <c r="R97" i="17"/>
  <c r="D98" i="17"/>
  <c r="F98" i="17" s="1"/>
  <c r="N98" i="17"/>
  <c r="R98" i="17"/>
  <c r="D99" i="17"/>
  <c r="M99" i="17" s="1"/>
  <c r="N99" i="17"/>
  <c r="R99" i="17"/>
  <c r="D100" i="17"/>
  <c r="N100" i="17"/>
  <c r="R100" i="17"/>
  <c r="D101" i="17"/>
  <c r="F101" i="17" s="1"/>
  <c r="N101" i="17"/>
  <c r="R101" i="17"/>
  <c r="D102" i="17"/>
  <c r="F102" i="17" s="1"/>
  <c r="N102" i="17"/>
  <c r="R102" i="17"/>
  <c r="D103" i="17"/>
  <c r="M103" i="17" s="1"/>
  <c r="N103" i="17"/>
  <c r="R103" i="17"/>
  <c r="D104" i="17"/>
  <c r="M104" i="17" s="1"/>
  <c r="N104" i="17"/>
  <c r="R104" i="17"/>
  <c r="D105" i="17"/>
  <c r="M105" i="17" s="1"/>
  <c r="N105" i="17"/>
  <c r="R105" i="17"/>
  <c r="D106" i="17"/>
  <c r="N106" i="17"/>
  <c r="R106" i="17"/>
  <c r="D107" i="17"/>
  <c r="F107" i="17" s="1"/>
  <c r="N107" i="17"/>
  <c r="R107" i="17"/>
  <c r="D108" i="17"/>
  <c r="F108" i="17" s="1"/>
  <c r="N108" i="17"/>
  <c r="R108" i="17"/>
  <c r="D109" i="17"/>
  <c r="M109" i="17" s="1"/>
  <c r="N109" i="17"/>
  <c r="R109" i="17"/>
  <c r="D110" i="17"/>
  <c r="N110" i="17"/>
  <c r="R110" i="17"/>
  <c r="D111" i="17"/>
  <c r="N111" i="17"/>
  <c r="R111" i="17"/>
  <c r="D112" i="17"/>
  <c r="N112" i="17"/>
  <c r="R112" i="17"/>
  <c r="D113" i="17"/>
  <c r="F113" i="17" s="1"/>
  <c r="N113" i="17"/>
  <c r="R113" i="17"/>
  <c r="D114" i="17"/>
  <c r="F114" i="17" s="1"/>
  <c r="N114" i="17"/>
  <c r="R114" i="17"/>
  <c r="D115" i="17"/>
  <c r="F115" i="17" s="1"/>
  <c r="N115" i="17"/>
  <c r="R115" i="17"/>
  <c r="D116" i="17"/>
  <c r="F116" i="17" s="1"/>
  <c r="N116" i="17"/>
  <c r="R116" i="17"/>
  <c r="D117" i="17"/>
  <c r="N117" i="17"/>
  <c r="R117" i="17"/>
  <c r="D118" i="17"/>
  <c r="F118" i="17" s="1"/>
  <c r="N118" i="17"/>
  <c r="R118" i="17"/>
  <c r="D119" i="17"/>
  <c r="N119" i="17"/>
  <c r="R119" i="17"/>
  <c r="D120" i="17"/>
  <c r="F120" i="17" s="1"/>
  <c r="N120" i="17"/>
  <c r="R120" i="17"/>
  <c r="D121" i="17"/>
  <c r="F121" i="17" s="1"/>
  <c r="N121" i="17"/>
  <c r="R121" i="17"/>
  <c r="D122" i="17"/>
  <c r="N122" i="17"/>
  <c r="R122" i="17"/>
  <c r="D123" i="17"/>
  <c r="M123" i="17" s="1"/>
  <c r="N123" i="17"/>
  <c r="R123" i="17"/>
  <c r="D124" i="17"/>
  <c r="M124" i="17" s="1"/>
  <c r="N124" i="17"/>
  <c r="R124" i="17"/>
  <c r="D125" i="17"/>
  <c r="M125" i="17" s="1"/>
  <c r="N125" i="17"/>
  <c r="R125" i="17"/>
  <c r="D126" i="17"/>
  <c r="K126" i="17" s="1"/>
  <c r="N126" i="17"/>
  <c r="R126" i="17"/>
  <c r="D127" i="17"/>
  <c r="N127" i="17"/>
  <c r="R127" i="17"/>
  <c r="D128" i="17"/>
  <c r="N128" i="17"/>
  <c r="R128" i="17"/>
  <c r="D129" i="17"/>
  <c r="K129" i="17" s="1"/>
  <c r="N129" i="17"/>
  <c r="R129" i="17"/>
  <c r="D130" i="17"/>
  <c r="N130" i="17"/>
  <c r="R130" i="17"/>
  <c r="D131" i="17"/>
  <c r="N131" i="17"/>
  <c r="R131" i="17"/>
  <c r="D132" i="17"/>
  <c r="N132" i="17"/>
  <c r="R132" i="17"/>
  <c r="D133" i="17"/>
  <c r="K133" i="17" s="1"/>
  <c r="N133" i="17"/>
  <c r="R133" i="17"/>
  <c r="D134" i="17"/>
  <c r="K134" i="17" s="1"/>
  <c r="N134" i="17"/>
  <c r="R134" i="17"/>
  <c r="D135" i="17"/>
  <c r="N135" i="17"/>
  <c r="R135" i="17"/>
  <c r="D136" i="17"/>
  <c r="N136" i="17"/>
  <c r="R136" i="17"/>
  <c r="D137" i="17"/>
  <c r="N137" i="17"/>
  <c r="R137" i="17"/>
  <c r="D138" i="17"/>
  <c r="N138" i="17"/>
  <c r="R138" i="17"/>
  <c r="D139" i="17"/>
  <c r="N139" i="17"/>
  <c r="R139" i="17"/>
  <c r="D140" i="17"/>
  <c r="N140" i="17"/>
  <c r="R140" i="17"/>
  <c r="D141" i="17"/>
  <c r="N141" i="17"/>
  <c r="R141" i="17"/>
  <c r="D142" i="17"/>
  <c r="K142" i="17" s="1"/>
  <c r="N142" i="17"/>
  <c r="R142" i="17"/>
  <c r="D143" i="17"/>
  <c r="F143" i="17" s="1"/>
  <c r="N143" i="17"/>
  <c r="R143" i="17"/>
  <c r="D144" i="17"/>
  <c r="N144" i="17"/>
  <c r="R144" i="17"/>
  <c r="D145" i="17"/>
  <c r="N145" i="17"/>
  <c r="R145" i="17"/>
  <c r="D146" i="17"/>
  <c r="N146" i="17"/>
  <c r="R146" i="17"/>
  <c r="D147" i="17"/>
  <c r="F147" i="17" s="1"/>
  <c r="N147" i="17"/>
  <c r="R147" i="17"/>
  <c r="D148" i="17"/>
  <c r="F148" i="17" s="1"/>
  <c r="N148" i="17"/>
  <c r="R148" i="17"/>
  <c r="D149" i="17"/>
  <c r="N149" i="17"/>
  <c r="R149" i="17"/>
  <c r="D150" i="17"/>
  <c r="F150" i="17" s="1"/>
  <c r="N150" i="17"/>
  <c r="R150" i="17"/>
  <c r="D151" i="17"/>
  <c r="N151" i="17"/>
  <c r="R151" i="17"/>
  <c r="D152" i="17"/>
  <c r="F152" i="17" s="1"/>
  <c r="N152" i="17"/>
  <c r="R152" i="17"/>
  <c r="D153" i="17"/>
  <c r="M153" i="17" s="1"/>
  <c r="N153" i="17"/>
  <c r="R153" i="17"/>
  <c r="D154" i="17"/>
  <c r="M154" i="17" s="1"/>
  <c r="N154" i="17"/>
  <c r="R154" i="17"/>
  <c r="D155" i="17"/>
  <c r="M155" i="17" s="1"/>
  <c r="N155" i="17"/>
  <c r="R155" i="17"/>
  <c r="D156" i="17"/>
  <c r="K156" i="17" s="1"/>
  <c r="N156" i="17"/>
  <c r="R156" i="17"/>
  <c r="D157" i="17"/>
  <c r="N157" i="17"/>
  <c r="R157" i="17"/>
  <c r="D158" i="17"/>
  <c r="F158" i="17" s="1"/>
  <c r="N158" i="17"/>
  <c r="R158" i="17"/>
  <c r="D159" i="17"/>
  <c r="N159" i="17"/>
  <c r="R159" i="17"/>
  <c r="D160" i="17"/>
  <c r="K160" i="17" s="1"/>
  <c r="N160" i="17"/>
  <c r="R160" i="17"/>
  <c r="D161" i="17"/>
  <c r="F161" i="17" s="1"/>
  <c r="N161" i="17"/>
  <c r="R161" i="17"/>
  <c r="D162" i="17"/>
  <c r="F162" i="17" s="1"/>
  <c r="N162" i="17"/>
  <c r="R162" i="17"/>
  <c r="D163" i="17"/>
  <c r="M163" i="17" s="1"/>
  <c r="N163" i="17"/>
  <c r="R163" i="17"/>
  <c r="D164" i="17"/>
  <c r="K164" i="17" s="1"/>
  <c r="N164" i="17"/>
  <c r="R164" i="17"/>
  <c r="D165" i="17"/>
  <c r="M165" i="17" s="1"/>
  <c r="N165" i="17"/>
  <c r="R165" i="17"/>
  <c r="D166" i="17"/>
  <c r="N166" i="17"/>
  <c r="R166" i="17"/>
  <c r="D167" i="17"/>
  <c r="F167" i="17" s="1"/>
  <c r="N167" i="17"/>
  <c r="R167" i="17"/>
  <c r="D168" i="17"/>
  <c r="F168" i="17" s="1"/>
  <c r="N168" i="17"/>
  <c r="R168" i="17"/>
  <c r="D169" i="17"/>
  <c r="K169" i="17" s="1"/>
  <c r="N169" i="17"/>
  <c r="R169" i="17"/>
  <c r="D170" i="17"/>
  <c r="N170" i="17"/>
  <c r="R170" i="17"/>
  <c r="D171" i="17"/>
  <c r="N171" i="17"/>
  <c r="R171" i="17"/>
  <c r="D172" i="17"/>
  <c r="N172" i="17"/>
  <c r="R172" i="17"/>
  <c r="D173" i="17"/>
  <c r="N173" i="17"/>
  <c r="R173" i="17"/>
  <c r="D174" i="17"/>
  <c r="F174" i="17" s="1"/>
  <c r="N174" i="17"/>
  <c r="R174" i="17"/>
  <c r="D175" i="17"/>
  <c r="F175" i="17" s="1"/>
  <c r="N175" i="17"/>
  <c r="R175" i="17"/>
  <c r="D176" i="17"/>
  <c r="N176" i="17"/>
  <c r="R176" i="17"/>
  <c r="D177" i="17"/>
  <c r="F177" i="17" s="1"/>
  <c r="N177" i="17"/>
  <c r="R177" i="17"/>
  <c r="D178" i="17"/>
  <c r="F178" i="17" s="1"/>
  <c r="N178" i="17"/>
  <c r="R178" i="17"/>
  <c r="D179" i="17"/>
  <c r="F179" i="17" s="1"/>
  <c r="N179" i="17"/>
  <c r="R179" i="17"/>
  <c r="D180" i="17"/>
  <c r="F180" i="17" s="1"/>
  <c r="N180" i="17"/>
  <c r="R180" i="17"/>
  <c r="D181" i="17"/>
  <c r="F181" i="17" s="1"/>
  <c r="N181" i="17"/>
  <c r="R181" i="17"/>
  <c r="D182" i="17"/>
  <c r="F182" i="17" s="1"/>
  <c r="N182" i="17"/>
  <c r="R182" i="17"/>
  <c r="D183" i="17"/>
  <c r="N183" i="17"/>
  <c r="R183" i="17"/>
  <c r="D184" i="17"/>
  <c r="M184" i="17" s="1"/>
  <c r="N184" i="17"/>
  <c r="R184" i="17"/>
  <c r="D185" i="17"/>
  <c r="M185" i="17" s="1"/>
  <c r="N185" i="17"/>
  <c r="R185" i="17"/>
  <c r="D186" i="17"/>
  <c r="M186" i="17" s="1"/>
  <c r="N186" i="17"/>
  <c r="R186" i="17"/>
  <c r="D187" i="17"/>
  <c r="N187" i="17"/>
  <c r="R187" i="17"/>
  <c r="D188" i="17"/>
  <c r="F188" i="17" s="1"/>
  <c r="N188" i="17"/>
  <c r="R188" i="17"/>
  <c r="D189" i="17"/>
  <c r="N189" i="17"/>
  <c r="R189" i="17"/>
  <c r="D190" i="17"/>
  <c r="N190" i="17"/>
  <c r="R190" i="17"/>
  <c r="D191" i="17"/>
  <c r="F191" i="17" s="1"/>
  <c r="N191" i="17"/>
  <c r="R191" i="17"/>
  <c r="D192" i="17"/>
  <c r="F192" i="17" s="1"/>
  <c r="N192" i="17"/>
  <c r="R192" i="17"/>
  <c r="D193" i="17"/>
  <c r="M193" i="17" s="1"/>
  <c r="N193" i="17"/>
  <c r="R193" i="17"/>
  <c r="D194" i="17"/>
  <c r="M194" i="17" s="1"/>
  <c r="N194" i="17"/>
  <c r="R194" i="17"/>
  <c r="D195" i="17"/>
  <c r="M195" i="17" s="1"/>
  <c r="N195" i="17"/>
  <c r="R195" i="17"/>
  <c r="D196" i="17"/>
  <c r="N196" i="17"/>
  <c r="R196" i="17"/>
  <c r="D197" i="17"/>
  <c r="F197" i="17" s="1"/>
  <c r="N197" i="17"/>
  <c r="R197" i="17"/>
  <c r="D198" i="17"/>
  <c r="F198" i="17" s="1"/>
  <c r="N198" i="17"/>
  <c r="R198" i="17"/>
  <c r="D199" i="17"/>
  <c r="N199" i="17"/>
  <c r="R199" i="17"/>
  <c r="D200" i="17"/>
  <c r="N200" i="17"/>
  <c r="R200" i="17"/>
  <c r="D201" i="17"/>
  <c r="N201" i="17"/>
  <c r="R201" i="17"/>
  <c r="D202" i="17"/>
  <c r="N202" i="17"/>
  <c r="R202" i="17"/>
  <c r="D203" i="17"/>
  <c r="F203" i="17" s="1"/>
  <c r="N203" i="17"/>
  <c r="R203" i="17"/>
  <c r="D204" i="17"/>
  <c r="F204" i="17" s="1"/>
  <c r="N204" i="17"/>
  <c r="R204" i="17"/>
  <c r="D205" i="17"/>
  <c r="N205" i="17"/>
  <c r="R205" i="17"/>
  <c r="D206" i="17"/>
  <c r="F206" i="17" s="1"/>
  <c r="N206" i="17"/>
  <c r="R206" i="17"/>
  <c r="D207" i="17"/>
  <c r="F207" i="17" s="1"/>
  <c r="N207" i="17"/>
  <c r="R207" i="17"/>
  <c r="D208" i="17"/>
  <c r="N208" i="17"/>
  <c r="R208" i="17"/>
  <c r="D209" i="17"/>
  <c r="N209" i="17"/>
  <c r="R209" i="17"/>
  <c r="D210" i="17"/>
  <c r="N210" i="17"/>
  <c r="R210" i="17"/>
  <c r="D211" i="17"/>
  <c r="N211" i="17"/>
  <c r="R211" i="17"/>
  <c r="D212" i="17"/>
  <c r="N212" i="17"/>
  <c r="R212" i="17"/>
  <c r="D213" i="17"/>
  <c r="N213" i="17"/>
  <c r="R213" i="17"/>
  <c r="D214" i="17"/>
  <c r="M214" i="17" s="1"/>
  <c r="N214" i="17"/>
  <c r="R214" i="17"/>
  <c r="D215" i="17"/>
  <c r="N215" i="17"/>
  <c r="R215" i="17"/>
  <c r="D216" i="17"/>
  <c r="M216" i="17" s="1"/>
  <c r="N216" i="17"/>
  <c r="R216" i="17"/>
  <c r="D217" i="17"/>
  <c r="F217" i="17" s="1"/>
  <c r="N217" i="17"/>
  <c r="R217" i="17"/>
  <c r="D218" i="17"/>
  <c r="F218" i="17" s="1"/>
  <c r="N218" i="17"/>
  <c r="R218" i="17"/>
  <c r="D219" i="17"/>
  <c r="M219" i="17" s="1"/>
  <c r="N219" i="17"/>
  <c r="R219" i="17"/>
  <c r="D220" i="17"/>
  <c r="N220" i="17"/>
  <c r="R220" i="17"/>
  <c r="D221" i="17"/>
  <c r="N221" i="17"/>
  <c r="R221" i="17"/>
  <c r="D222" i="17"/>
  <c r="F222" i="17" s="1"/>
  <c r="N222" i="17"/>
  <c r="R222" i="17"/>
  <c r="D223" i="17"/>
  <c r="N223" i="17"/>
  <c r="R223" i="17"/>
  <c r="D224" i="17"/>
  <c r="N224" i="17"/>
  <c r="R224" i="17"/>
  <c r="D225" i="17"/>
  <c r="N225" i="17"/>
  <c r="R225" i="17"/>
  <c r="D226" i="17"/>
  <c r="N226" i="17"/>
  <c r="R226" i="17"/>
  <c r="D227" i="17"/>
  <c r="F227" i="17" s="1"/>
  <c r="N227" i="17"/>
  <c r="R227" i="17"/>
  <c r="D228" i="17"/>
  <c r="F228" i="17" s="1"/>
  <c r="N228" i="17"/>
  <c r="R228" i="17"/>
  <c r="D229" i="17"/>
  <c r="K229" i="17" s="1"/>
  <c r="N229" i="17"/>
  <c r="R229" i="17"/>
  <c r="D230" i="17"/>
  <c r="N230" i="17"/>
  <c r="R230" i="17"/>
  <c r="D231" i="17"/>
  <c r="N231" i="17"/>
  <c r="R231" i="17"/>
  <c r="D232" i="17"/>
  <c r="K232" i="17" s="1"/>
  <c r="N232" i="17"/>
  <c r="R232" i="17"/>
  <c r="D233" i="17"/>
  <c r="N233" i="17"/>
  <c r="R233" i="17"/>
  <c r="D234" i="17"/>
  <c r="F234" i="17" s="1"/>
  <c r="N234" i="17"/>
  <c r="R234" i="17"/>
  <c r="D235" i="17"/>
  <c r="F235" i="17" s="1"/>
  <c r="N235" i="17"/>
  <c r="R235" i="17"/>
  <c r="D236" i="17"/>
  <c r="F236" i="17" s="1"/>
  <c r="N236" i="17"/>
  <c r="R236" i="17"/>
  <c r="D237" i="17"/>
  <c r="F237" i="17" s="1"/>
  <c r="N237" i="17"/>
  <c r="R237" i="17"/>
  <c r="D238" i="17"/>
  <c r="F238" i="17" s="1"/>
  <c r="N238" i="17"/>
  <c r="R238" i="17"/>
  <c r="D239" i="17"/>
  <c r="N239" i="17"/>
  <c r="R239" i="17"/>
  <c r="D240" i="17"/>
  <c r="F240" i="17" s="1"/>
  <c r="N240" i="17"/>
  <c r="R240" i="17"/>
  <c r="D241" i="17"/>
  <c r="N241" i="17"/>
  <c r="R241" i="17"/>
  <c r="D242" i="17"/>
  <c r="F242" i="17" s="1"/>
  <c r="N242" i="17"/>
  <c r="R242" i="17"/>
  <c r="D243" i="17"/>
  <c r="N243" i="17"/>
  <c r="R243" i="17"/>
  <c r="D244" i="17"/>
  <c r="K244" i="17" s="1"/>
  <c r="N244" i="17"/>
  <c r="R244" i="17"/>
  <c r="D245" i="17"/>
  <c r="N245" i="17"/>
  <c r="R245" i="17"/>
  <c r="D246" i="17"/>
  <c r="M246" i="17" s="1"/>
  <c r="N246" i="17"/>
  <c r="R246" i="17"/>
  <c r="D247" i="17"/>
  <c r="F247" i="17" s="1"/>
  <c r="N247" i="17"/>
  <c r="R247" i="17"/>
  <c r="D248" i="17"/>
  <c r="N248" i="17"/>
  <c r="R248" i="17"/>
  <c r="D249" i="17"/>
  <c r="K249" i="17" s="1"/>
  <c r="N249" i="17"/>
  <c r="R249" i="17"/>
  <c r="D250" i="17"/>
  <c r="N250" i="17"/>
  <c r="R250" i="17"/>
  <c r="D251" i="17"/>
  <c r="F251" i="17" s="1"/>
  <c r="N251" i="17"/>
  <c r="R251" i="17"/>
  <c r="D252" i="17"/>
  <c r="N252" i="17"/>
  <c r="R252" i="17"/>
  <c r="D253" i="17"/>
  <c r="N253" i="17"/>
  <c r="R253" i="17"/>
  <c r="D254" i="17"/>
  <c r="N254" i="17"/>
  <c r="R254" i="17"/>
  <c r="D255" i="17"/>
  <c r="M255" i="17" s="1"/>
  <c r="N255" i="17"/>
  <c r="R255" i="17"/>
  <c r="D256" i="17"/>
  <c r="N256" i="17"/>
  <c r="R256" i="17"/>
  <c r="D257" i="17"/>
  <c r="N257" i="17"/>
  <c r="R257" i="17"/>
  <c r="D258" i="17"/>
  <c r="N258" i="17"/>
  <c r="R258" i="17"/>
  <c r="D259" i="17"/>
  <c r="K259" i="17" s="1"/>
  <c r="N259" i="17"/>
  <c r="R259" i="17"/>
  <c r="D260" i="17"/>
  <c r="N260" i="17"/>
  <c r="R260" i="17"/>
  <c r="D261" i="17"/>
  <c r="K261" i="17" s="1"/>
  <c r="N261" i="17"/>
  <c r="R261" i="17"/>
  <c r="D262" i="17"/>
  <c r="N262" i="17"/>
  <c r="R262" i="17"/>
  <c r="D263" i="17"/>
  <c r="F263" i="17" s="1"/>
  <c r="N263" i="17"/>
  <c r="R263" i="17"/>
  <c r="D264" i="17"/>
  <c r="F264" i="17" s="1"/>
  <c r="N264" i="17"/>
  <c r="R264" i="17"/>
  <c r="D265" i="17"/>
  <c r="N265" i="17"/>
  <c r="R265" i="17"/>
  <c r="D266" i="17"/>
  <c r="F266" i="17" s="1"/>
  <c r="N266" i="17"/>
  <c r="R266" i="17"/>
  <c r="D267" i="17"/>
  <c r="N267" i="17"/>
  <c r="R267" i="17"/>
  <c r="D268" i="17"/>
  <c r="N268" i="17"/>
  <c r="R268" i="17"/>
  <c r="D269" i="17"/>
  <c r="F269" i="17" s="1"/>
  <c r="N269" i="17"/>
  <c r="R269" i="17"/>
  <c r="D270" i="17"/>
  <c r="N270" i="17"/>
  <c r="R270" i="17"/>
  <c r="D271" i="17"/>
  <c r="N271" i="17"/>
  <c r="R271" i="17"/>
  <c r="D272" i="17"/>
  <c r="N272" i="17"/>
  <c r="R272" i="17"/>
  <c r="D273" i="17"/>
  <c r="N273" i="17"/>
  <c r="R273" i="17"/>
  <c r="D274" i="17"/>
  <c r="M274" i="17" s="1"/>
  <c r="N274" i="17"/>
  <c r="R274" i="17"/>
  <c r="D275" i="17"/>
  <c r="M275" i="17" s="1"/>
  <c r="N275" i="17"/>
  <c r="R275" i="17"/>
  <c r="D276" i="17"/>
  <c r="M276" i="17" s="1"/>
  <c r="N276" i="17"/>
  <c r="R276" i="17"/>
  <c r="D277" i="17"/>
  <c r="F277" i="17" s="1"/>
  <c r="N277" i="17"/>
  <c r="R277" i="17"/>
  <c r="D278" i="17"/>
  <c r="F278" i="17" s="1"/>
  <c r="N278" i="17"/>
  <c r="R278" i="17"/>
  <c r="D279" i="17"/>
  <c r="M279" i="17" s="1"/>
  <c r="N279" i="17"/>
  <c r="R279" i="17"/>
  <c r="D280" i="17"/>
  <c r="N280" i="17"/>
  <c r="R280" i="17"/>
  <c r="D281" i="17"/>
  <c r="N281" i="17"/>
  <c r="R281" i="17"/>
  <c r="D282" i="17"/>
  <c r="F282" i="17" s="1"/>
  <c r="N282" i="17"/>
  <c r="R282" i="17"/>
  <c r="D283" i="17"/>
  <c r="K283" i="17" s="1"/>
  <c r="N283" i="17"/>
  <c r="R283" i="17"/>
  <c r="D284" i="17"/>
  <c r="N284" i="17"/>
  <c r="R284" i="17"/>
  <c r="D285" i="17"/>
  <c r="N285" i="17"/>
  <c r="R285" i="17"/>
  <c r="D286" i="17"/>
  <c r="N286" i="17"/>
  <c r="R286" i="17"/>
  <c r="D287" i="17"/>
  <c r="N287" i="17"/>
  <c r="R287" i="17"/>
  <c r="D288" i="17"/>
  <c r="F288" i="17" s="1"/>
  <c r="N288" i="17"/>
  <c r="R288" i="17"/>
  <c r="D289" i="17"/>
  <c r="M289" i="17" s="1"/>
  <c r="N289" i="17"/>
  <c r="R289" i="17"/>
  <c r="D290" i="17"/>
  <c r="K290" i="17" s="1"/>
  <c r="N290" i="17"/>
  <c r="R290" i="17"/>
  <c r="D291" i="17"/>
  <c r="N291" i="17"/>
  <c r="R291" i="17"/>
  <c r="D292" i="17"/>
  <c r="N292" i="17"/>
  <c r="R292" i="17"/>
  <c r="D293" i="17"/>
  <c r="F293" i="17" s="1"/>
  <c r="N293" i="17"/>
  <c r="R293" i="17"/>
  <c r="D294" i="17"/>
  <c r="F294" i="17" s="1"/>
  <c r="N294" i="17"/>
  <c r="R294" i="17"/>
  <c r="D295" i="17"/>
  <c r="F295" i="17" s="1"/>
  <c r="N295" i="17"/>
  <c r="R295" i="17"/>
  <c r="D296" i="17"/>
  <c r="F296" i="17" s="1"/>
  <c r="N296" i="17"/>
  <c r="R296" i="17"/>
  <c r="D297" i="17"/>
  <c r="F297" i="17" s="1"/>
  <c r="N297" i="17"/>
  <c r="R297" i="17"/>
  <c r="D298" i="17"/>
  <c r="N298" i="17"/>
  <c r="R298" i="17"/>
  <c r="D299" i="17"/>
  <c r="F299" i="17" s="1"/>
  <c r="N299" i="17"/>
  <c r="R299" i="17"/>
  <c r="D300" i="17"/>
  <c r="F300" i="17" s="1"/>
  <c r="N300" i="17"/>
  <c r="R300" i="17"/>
  <c r="D301" i="17"/>
  <c r="N301" i="17"/>
  <c r="R301" i="17"/>
  <c r="D302" i="17"/>
  <c r="F302" i="17" s="1"/>
  <c r="N302" i="17"/>
  <c r="R302" i="17"/>
  <c r="D303" i="17"/>
  <c r="N303" i="17"/>
  <c r="R303" i="17"/>
  <c r="D304" i="17"/>
  <c r="N304" i="17"/>
  <c r="R304" i="17"/>
  <c r="D305" i="17"/>
  <c r="N305" i="17"/>
  <c r="R305" i="17"/>
  <c r="D306" i="17"/>
  <c r="N306" i="17"/>
  <c r="R306" i="17"/>
  <c r="D307" i="17"/>
  <c r="N307" i="17"/>
  <c r="R307" i="17"/>
  <c r="D308" i="17"/>
  <c r="F308" i="17" s="1"/>
  <c r="N308" i="17"/>
  <c r="R308" i="17"/>
  <c r="D309" i="17"/>
  <c r="N309" i="17"/>
  <c r="R309" i="17"/>
  <c r="D310" i="17"/>
  <c r="N310" i="17"/>
  <c r="R310" i="17"/>
  <c r="D311" i="17"/>
  <c r="F311" i="17" s="1"/>
  <c r="N311" i="17"/>
  <c r="R311" i="17"/>
  <c r="D312" i="17"/>
  <c r="F312" i="17" s="1"/>
  <c r="N312" i="17"/>
  <c r="R312" i="17"/>
  <c r="D313" i="17"/>
  <c r="N313" i="17"/>
  <c r="R313" i="17"/>
  <c r="D314" i="17"/>
  <c r="M314" i="17" s="1"/>
  <c r="N314" i="17"/>
  <c r="R314" i="17"/>
  <c r="D315" i="17"/>
  <c r="K315" i="17" s="1"/>
  <c r="N315" i="17"/>
  <c r="R315" i="17"/>
  <c r="D316" i="17"/>
  <c r="N316" i="17"/>
  <c r="R316" i="17"/>
  <c r="D317" i="17"/>
  <c r="F317" i="17" s="1"/>
  <c r="N317" i="17"/>
  <c r="R317" i="17"/>
  <c r="D318" i="17"/>
  <c r="F318" i="17" s="1"/>
  <c r="N318" i="17"/>
  <c r="R318" i="17"/>
  <c r="D319" i="17"/>
  <c r="N319" i="17"/>
  <c r="R319" i="17"/>
  <c r="D320" i="17"/>
  <c r="N320" i="17"/>
  <c r="R320" i="17"/>
  <c r="D321" i="17"/>
  <c r="N321" i="17"/>
  <c r="R321" i="17"/>
  <c r="D322" i="17"/>
  <c r="N322" i="17"/>
  <c r="R322" i="17"/>
  <c r="D323" i="17"/>
  <c r="F323" i="17" s="1"/>
  <c r="N323" i="17"/>
  <c r="R323" i="17"/>
  <c r="D324" i="17"/>
  <c r="F324" i="17" s="1"/>
  <c r="N324" i="17"/>
  <c r="R324" i="17"/>
  <c r="D325" i="17"/>
  <c r="N325" i="17"/>
  <c r="R325" i="17"/>
  <c r="D326" i="17"/>
  <c r="N326" i="17"/>
  <c r="R326" i="17"/>
  <c r="D327" i="17"/>
  <c r="N327" i="17"/>
  <c r="R327" i="17"/>
  <c r="D328" i="17"/>
  <c r="N328" i="17"/>
  <c r="R328" i="17"/>
  <c r="D329" i="17"/>
  <c r="N329" i="17"/>
  <c r="R329" i="17"/>
  <c r="D330" i="17"/>
  <c r="N330" i="17"/>
  <c r="R330" i="17"/>
  <c r="D331" i="17"/>
  <c r="F331" i="17" s="1"/>
  <c r="N331" i="17"/>
  <c r="R331" i="17"/>
  <c r="D332" i="17"/>
  <c r="N332" i="17"/>
  <c r="R332" i="17"/>
  <c r="D333" i="17"/>
  <c r="M333" i="17" s="1"/>
  <c r="N333" i="17"/>
  <c r="R333" i="17"/>
  <c r="D334" i="17"/>
  <c r="M334" i="17" s="1"/>
  <c r="N334" i="17"/>
  <c r="R334" i="17"/>
  <c r="D335" i="17"/>
  <c r="M335" i="17" s="1"/>
  <c r="N335" i="17"/>
  <c r="R335" i="17"/>
  <c r="D336" i="17"/>
  <c r="M336" i="17" s="1"/>
  <c r="N336" i="17"/>
  <c r="R336" i="17"/>
  <c r="D337" i="17"/>
  <c r="F337" i="17" s="1"/>
  <c r="N337" i="17"/>
  <c r="R337" i="17"/>
  <c r="D338" i="17"/>
  <c r="F338" i="17" s="1"/>
  <c r="N338" i="17"/>
  <c r="R338" i="17"/>
  <c r="D339" i="17"/>
  <c r="M339" i="17" s="1"/>
  <c r="N339" i="17"/>
  <c r="R339" i="17"/>
  <c r="D340" i="17"/>
  <c r="N340" i="17"/>
  <c r="R340" i="17"/>
  <c r="D341" i="17"/>
  <c r="F341" i="17" s="1"/>
  <c r="N341" i="17"/>
  <c r="R341" i="17"/>
  <c r="D342" i="17"/>
  <c r="F342" i="17" s="1"/>
  <c r="N342" i="17"/>
  <c r="R342" i="17"/>
  <c r="D343" i="17"/>
  <c r="M343" i="17" s="1"/>
  <c r="N343" i="17"/>
  <c r="R343" i="17"/>
  <c r="D344" i="17"/>
  <c r="M344" i="17" s="1"/>
  <c r="N344" i="17"/>
  <c r="R344" i="17"/>
  <c r="D345" i="17"/>
  <c r="M345" i="17" s="1"/>
  <c r="N345" i="17"/>
  <c r="R345" i="17"/>
  <c r="D346" i="17"/>
  <c r="N346" i="17"/>
  <c r="R346" i="17"/>
  <c r="D347" i="17"/>
  <c r="F347" i="17" s="1"/>
  <c r="N347" i="17"/>
  <c r="R347" i="17"/>
  <c r="D348" i="17"/>
  <c r="F348" i="17" s="1"/>
  <c r="N348" i="17"/>
  <c r="R348" i="17"/>
  <c r="D349" i="17"/>
  <c r="M349" i="17" s="1"/>
  <c r="N349" i="17"/>
  <c r="R349" i="17"/>
  <c r="D350" i="17"/>
  <c r="N350" i="17"/>
  <c r="R350" i="17"/>
  <c r="D351" i="17"/>
  <c r="N351" i="17"/>
  <c r="R351" i="17"/>
  <c r="D352" i="17"/>
  <c r="N352" i="17"/>
  <c r="R352" i="17"/>
  <c r="D353" i="17"/>
  <c r="F353" i="17" s="1"/>
  <c r="N353" i="17"/>
  <c r="R353" i="17"/>
  <c r="D354" i="17"/>
  <c r="F354" i="17" s="1"/>
  <c r="N354" i="17"/>
  <c r="R354" i="17"/>
  <c r="D355" i="17"/>
  <c r="F355" i="17" s="1"/>
  <c r="N355" i="17"/>
  <c r="R355" i="17"/>
  <c r="D356" i="17"/>
  <c r="F356" i="17" s="1"/>
  <c r="N356" i="17"/>
  <c r="R356" i="17"/>
  <c r="D357" i="17"/>
  <c r="F357" i="17" s="1"/>
  <c r="N357" i="17"/>
  <c r="R357" i="17"/>
  <c r="D358" i="17"/>
  <c r="F358" i="17" s="1"/>
  <c r="N358" i="17"/>
  <c r="R358" i="17"/>
  <c r="D359" i="17"/>
  <c r="F359" i="17" s="1"/>
  <c r="N359" i="17"/>
  <c r="R359" i="17"/>
  <c r="D360" i="17"/>
  <c r="F360" i="17" s="1"/>
  <c r="N360" i="17"/>
  <c r="R360" i="17"/>
  <c r="D361" i="17"/>
  <c r="F361" i="17" s="1"/>
  <c r="N361" i="17"/>
  <c r="R361" i="17"/>
  <c r="D362" i="17"/>
  <c r="F362" i="17" s="1"/>
  <c r="N362" i="17"/>
  <c r="R362" i="17"/>
  <c r="D363" i="17"/>
  <c r="N363" i="17"/>
  <c r="R363" i="17"/>
  <c r="D364" i="17"/>
  <c r="N364" i="17"/>
  <c r="R364" i="17"/>
  <c r="D365" i="17"/>
  <c r="N365" i="17"/>
  <c r="R365" i="17"/>
  <c r="D366" i="17"/>
  <c r="N366" i="17"/>
  <c r="R366" i="17"/>
  <c r="D367" i="17"/>
  <c r="F367" i="17" s="1"/>
  <c r="N367" i="17"/>
  <c r="R367" i="17"/>
  <c r="D368" i="17"/>
  <c r="F368" i="17" s="1"/>
  <c r="N368" i="17"/>
  <c r="R368" i="17"/>
  <c r="D369" i="17"/>
  <c r="N369" i="17"/>
  <c r="R369" i="17"/>
  <c r="D370" i="17"/>
  <c r="N370" i="17"/>
  <c r="R370" i="17"/>
  <c r="D371" i="17"/>
  <c r="F371" i="17" s="1"/>
  <c r="N371" i="17"/>
  <c r="R371" i="17"/>
  <c r="D372" i="17"/>
  <c r="F372" i="17" s="1"/>
  <c r="N372" i="17"/>
  <c r="R372" i="17"/>
  <c r="D373" i="17"/>
  <c r="N373" i="17"/>
  <c r="R373" i="17"/>
  <c r="D374" i="17"/>
  <c r="N374" i="17"/>
  <c r="R374" i="17"/>
  <c r="D375" i="17"/>
  <c r="N375" i="17"/>
  <c r="R375" i="17"/>
  <c r="D376" i="17"/>
  <c r="N376" i="17"/>
  <c r="R376" i="17"/>
  <c r="D377" i="17"/>
  <c r="F377" i="17" s="1"/>
  <c r="N377" i="17"/>
  <c r="R377" i="17"/>
  <c r="D378" i="17"/>
  <c r="F378" i="17" s="1"/>
  <c r="N378" i="17"/>
  <c r="R378" i="17"/>
  <c r="D379" i="17"/>
  <c r="N379" i="17"/>
  <c r="R379" i="17"/>
  <c r="D380" i="17"/>
  <c r="N380" i="17"/>
  <c r="R380" i="17"/>
  <c r="D381" i="17"/>
  <c r="N381" i="17"/>
  <c r="R381" i="17"/>
  <c r="D382" i="17"/>
  <c r="N382" i="17"/>
  <c r="R382" i="17"/>
  <c r="D383" i="17"/>
  <c r="F383" i="17" s="1"/>
  <c r="N383" i="17"/>
  <c r="R383" i="17"/>
  <c r="D384" i="17"/>
  <c r="F384" i="17" s="1"/>
  <c r="N384" i="17"/>
  <c r="R384" i="17"/>
  <c r="D385" i="17"/>
  <c r="F385" i="17" s="1"/>
  <c r="N385" i="17"/>
  <c r="R385" i="17"/>
  <c r="D386" i="17"/>
  <c r="F386" i="17" s="1"/>
  <c r="N386" i="17"/>
  <c r="R386" i="17"/>
  <c r="D387" i="17"/>
  <c r="F387" i="17" s="1"/>
  <c r="N387" i="17"/>
  <c r="R387" i="17"/>
  <c r="D388" i="17"/>
  <c r="N388" i="17"/>
  <c r="R388" i="17"/>
  <c r="D389" i="17"/>
  <c r="F389" i="17" s="1"/>
  <c r="N389" i="17"/>
  <c r="R389" i="17"/>
  <c r="D390" i="17"/>
  <c r="N390" i="17"/>
  <c r="R390" i="17"/>
  <c r="D391" i="17"/>
  <c r="N391" i="17"/>
  <c r="R391" i="17"/>
  <c r="D392" i="17"/>
  <c r="N392" i="17"/>
  <c r="R392" i="17"/>
  <c r="D393" i="17"/>
  <c r="M393" i="17" s="1"/>
  <c r="N393" i="17"/>
  <c r="R393" i="17"/>
  <c r="D394" i="17"/>
  <c r="M394" i="17" s="1"/>
  <c r="N394" i="17"/>
  <c r="R394" i="17"/>
  <c r="D395" i="17"/>
  <c r="N395" i="17"/>
  <c r="R395" i="17"/>
  <c r="D396" i="17"/>
  <c r="M396" i="17" s="1"/>
  <c r="N396" i="17"/>
  <c r="R396" i="17"/>
  <c r="D397" i="17"/>
  <c r="F397" i="17" s="1"/>
  <c r="N397" i="17"/>
  <c r="R397" i="17"/>
  <c r="D398" i="17"/>
  <c r="F398" i="17" s="1"/>
  <c r="N398" i="17"/>
  <c r="R398" i="17"/>
  <c r="D399" i="17"/>
  <c r="M399" i="17" s="1"/>
  <c r="N399" i="17"/>
  <c r="R399" i="17"/>
  <c r="D400" i="17"/>
  <c r="N400" i="17"/>
  <c r="R400" i="17"/>
  <c r="D401" i="17"/>
  <c r="F401" i="17" s="1"/>
  <c r="N401" i="17"/>
  <c r="R401" i="17"/>
  <c r="D402" i="17"/>
  <c r="F402" i="17" s="1"/>
  <c r="N402" i="17"/>
  <c r="R402" i="17"/>
  <c r="D403" i="17"/>
  <c r="M403" i="17" s="1"/>
  <c r="N403" i="17"/>
  <c r="R403" i="17"/>
  <c r="D404" i="17"/>
  <c r="M404" i="17" s="1"/>
  <c r="N404" i="17"/>
  <c r="R404" i="17"/>
  <c r="D405" i="17"/>
  <c r="M405" i="17" s="1"/>
  <c r="N405" i="17"/>
  <c r="R405" i="17"/>
  <c r="D406" i="17"/>
  <c r="N406" i="17"/>
  <c r="R406" i="17"/>
  <c r="D407" i="17"/>
  <c r="F407" i="17" s="1"/>
  <c r="N407" i="17"/>
  <c r="R407" i="17"/>
  <c r="D408" i="17"/>
  <c r="F408" i="17" s="1"/>
  <c r="N408" i="17"/>
  <c r="R408" i="17"/>
  <c r="D409" i="17"/>
  <c r="M409" i="17" s="1"/>
  <c r="N409" i="17"/>
  <c r="R409" i="17"/>
  <c r="D410" i="17"/>
  <c r="N410" i="17"/>
  <c r="R410" i="17"/>
  <c r="D411" i="17"/>
  <c r="K411" i="17" s="1"/>
  <c r="N411" i="17"/>
  <c r="R411" i="17"/>
  <c r="D412" i="17"/>
  <c r="N412" i="17"/>
  <c r="R412" i="17"/>
  <c r="D413" i="17"/>
  <c r="F413" i="17" s="1"/>
  <c r="N413" i="17"/>
  <c r="R413" i="17"/>
  <c r="D414" i="17"/>
  <c r="F414" i="17" s="1"/>
  <c r="N414" i="17"/>
  <c r="R414" i="17"/>
  <c r="D415" i="17"/>
  <c r="F415" i="17" s="1"/>
  <c r="N415" i="17"/>
  <c r="R415" i="17"/>
  <c r="D416" i="17"/>
  <c r="F416" i="17" s="1"/>
  <c r="N416" i="17"/>
  <c r="R416" i="17"/>
  <c r="D417" i="17"/>
  <c r="F417" i="17" s="1"/>
  <c r="N417" i="17"/>
  <c r="R417" i="17"/>
  <c r="D418" i="17"/>
  <c r="F418" i="17" s="1"/>
  <c r="N418" i="17"/>
  <c r="R418" i="17"/>
  <c r="D419" i="17"/>
  <c r="N419" i="17"/>
  <c r="R419" i="17"/>
  <c r="D420" i="17"/>
  <c r="N420" i="17"/>
  <c r="R420" i="17"/>
  <c r="D421" i="17"/>
  <c r="N421" i="17"/>
  <c r="R421" i="17"/>
  <c r="D422" i="17"/>
  <c r="F422" i="17" s="1"/>
  <c r="N422" i="17"/>
  <c r="R422" i="17"/>
  <c r="D423" i="17"/>
  <c r="N423" i="17"/>
  <c r="R423" i="17"/>
  <c r="D424" i="17"/>
  <c r="M424" i="17" s="1"/>
  <c r="N424" i="17"/>
  <c r="R424" i="17"/>
  <c r="D425" i="17"/>
  <c r="M425" i="17" s="1"/>
  <c r="N425" i="17"/>
  <c r="R425" i="17"/>
  <c r="D426" i="17"/>
  <c r="M426" i="17" s="1"/>
  <c r="N426" i="17"/>
  <c r="R426" i="17"/>
  <c r="D427" i="17"/>
  <c r="F427" i="17" s="1"/>
  <c r="N427" i="17"/>
  <c r="R427" i="17"/>
  <c r="D428" i="17"/>
  <c r="F428" i="17" s="1"/>
  <c r="N428" i="17"/>
  <c r="R428" i="17"/>
  <c r="D429" i="17"/>
  <c r="M429" i="17" s="1"/>
  <c r="N429" i="17"/>
  <c r="R429" i="17"/>
  <c r="D430" i="17"/>
  <c r="N430" i="17"/>
  <c r="R430" i="17"/>
  <c r="D431" i="17"/>
  <c r="F431" i="17" s="1"/>
  <c r="N431" i="17"/>
  <c r="R431" i="17"/>
  <c r="D432" i="17"/>
  <c r="F432" i="17" s="1"/>
  <c r="N432" i="17"/>
  <c r="R432" i="17"/>
  <c r="D433" i="17"/>
  <c r="M433" i="17" s="1"/>
  <c r="N433" i="17"/>
  <c r="R433" i="17"/>
  <c r="D434" i="17"/>
  <c r="K434" i="17" s="1"/>
  <c r="N434" i="17"/>
  <c r="R434" i="17"/>
  <c r="D435" i="17"/>
  <c r="K435" i="17" s="1"/>
  <c r="N435" i="17"/>
  <c r="R435" i="17"/>
  <c r="D436" i="17"/>
  <c r="N436" i="17"/>
  <c r="R436" i="17"/>
  <c r="D437" i="17"/>
  <c r="F437" i="17" s="1"/>
  <c r="N437" i="17"/>
  <c r="R437" i="17"/>
  <c r="D438" i="17"/>
  <c r="N438" i="17"/>
  <c r="R438" i="17"/>
  <c r="D439" i="17"/>
  <c r="N439" i="17"/>
  <c r="R439" i="17"/>
  <c r="D440" i="17"/>
  <c r="N440" i="17"/>
  <c r="R440" i="17"/>
  <c r="D441" i="17"/>
  <c r="N441" i="17"/>
  <c r="R441" i="17"/>
  <c r="D442" i="17"/>
  <c r="N442" i="17"/>
  <c r="R442" i="17"/>
  <c r="D443" i="17"/>
  <c r="F443" i="17" s="1"/>
  <c r="N443" i="17"/>
  <c r="R443" i="17"/>
  <c r="D444" i="17"/>
  <c r="F444" i="17" s="1"/>
  <c r="N444" i="17"/>
  <c r="R444" i="17"/>
  <c r="D445" i="17"/>
  <c r="F445" i="17" s="1"/>
  <c r="N445" i="17"/>
  <c r="R445" i="17"/>
  <c r="D446" i="17"/>
  <c r="N446" i="17"/>
  <c r="R446" i="17"/>
  <c r="D447" i="17"/>
  <c r="F447" i="17" s="1"/>
  <c r="N447" i="17"/>
  <c r="R447" i="17"/>
  <c r="D448" i="17"/>
  <c r="F448" i="17" s="1"/>
  <c r="N448" i="17"/>
  <c r="R448" i="17"/>
  <c r="D449" i="17"/>
  <c r="F449" i="17" s="1"/>
  <c r="N449" i="17"/>
  <c r="R449" i="17"/>
  <c r="D450" i="17"/>
  <c r="N450" i="17"/>
  <c r="R450" i="17"/>
  <c r="D451" i="17"/>
  <c r="N451" i="17"/>
  <c r="R451" i="17"/>
  <c r="D452" i="17"/>
  <c r="N452" i="17"/>
  <c r="R452" i="17"/>
  <c r="D453" i="17"/>
  <c r="M453" i="17" s="1"/>
  <c r="N453" i="17"/>
  <c r="R453" i="17"/>
  <c r="D454" i="17"/>
  <c r="M454" i="17" s="1"/>
  <c r="N454" i="17"/>
  <c r="R454" i="17"/>
  <c r="D455" i="17"/>
  <c r="M455" i="17" s="1"/>
  <c r="N455" i="17"/>
  <c r="R455" i="17"/>
  <c r="D456" i="17"/>
  <c r="M456" i="17" s="1"/>
  <c r="N456" i="17"/>
  <c r="R456" i="17"/>
  <c r="D457" i="17"/>
  <c r="F457" i="17" s="1"/>
  <c r="N457" i="17"/>
  <c r="R457" i="17"/>
  <c r="D458" i="17"/>
  <c r="F458" i="17" s="1"/>
  <c r="N458" i="17"/>
  <c r="R458" i="17"/>
  <c r="D459" i="17"/>
  <c r="M459" i="17" s="1"/>
  <c r="N459" i="17"/>
  <c r="R459" i="17"/>
  <c r="D460" i="17"/>
  <c r="N460" i="17"/>
  <c r="R460" i="17"/>
  <c r="D461" i="17"/>
  <c r="F461" i="17" s="1"/>
  <c r="N461" i="17"/>
  <c r="R461" i="17"/>
  <c r="D462" i="17"/>
  <c r="F462" i="17" s="1"/>
  <c r="N462" i="17"/>
  <c r="R462" i="17"/>
  <c r="D463" i="17"/>
  <c r="M463" i="17" s="1"/>
  <c r="N463" i="17"/>
  <c r="R463" i="17"/>
  <c r="D464" i="17"/>
  <c r="M464" i="17" s="1"/>
  <c r="N464" i="17"/>
  <c r="R464" i="17"/>
  <c r="D465" i="17"/>
  <c r="M465" i="17" s="1"/>
  <c r="N465" i="17"/>
  <c r="R465" i="17"/>
  <c r="D466" i="17"/>
  <c r="N466" i="17"/>
  <c r="R466" i="17"/>
  <c r="D467" i="17"/>
  <c r="F467" i="17" s="1"/>
  <c r="N467" i="17"/>
  <c r="R467" i="17"/>
  <c r="D468" i="17"/>
  <c r="F468" i="17" s="1"/>
  <c r="N468" i="17"/>
  <c r="R468" i="17"/>
  <c r="D469" i="17"/>
  <c r="M469" i="17" s="1"/>
  <c r="N469" i="17"/>
  <c r="R469" i="17"/>
  <c r="D470" i="17"/>
  <c r="N470" i="17"/>
  <c r="R470" i="17"/>
  <c r="D471" i="17"/>
  <c r="N471" i="17"/>
  <c r="R471" i="17"/>
  <c r="D472" i="17"/>
  <c r="N472" i="17"/>
  <c r="R472" i="17"/>
  <c r="D473" i="17"/>
  <c r="N473" i="17"/>
  <c r="R473" i="17"/>
  <c r="D474" i="17"/>
  <c r="F474" i="17" s="1"/>
  <c r="N474" i="17"/>
  <c r="R474" i="17"/>
  <c r="D475" i="17"/>
  <c r="F475" i="17" s="1"/>
  <c r="N475" i="17"/>
  <c r="R475" i="17"/>
  <c r="D476" i="17"/>
  <c r="F476" i="17" s="1"/>
  <c r="N476" i="17"/>
  <c r="R476" i="17"/>
  <c r="D477" i="17"/>
  <c r="F477" i="17" s="1"/>
  <c r="N477" i="17"/>
  <c r="R477" i="17"/>
  <c r="D478" i="17"/>
  <c r="F478" i="17" s="1"/>
  <c r="N478" i="17"/>
  <c r="R478" i="17"/>
  <c r="D479" i="17"/>
  <c r="F479" i="17" s="1"/>
  <c r="N479" i="17"/>
  <c r="R479" i="17"/>
  <c r="D480" i="17"/>
  <c r="F480" i="17" s="1"/>
  <c r="N480" i="17"/>
  <c r="R480" i="17"/>
  <c r="D481" i="17"/>
  <c r="N481" i="17"/>
  <c r="R481" i="17"/>
  <c r="D482" i="17"/>
  <c r="F482" i="17" s="1"/>
  <c r="N482" i="17"/>
  <c r="R482" i="17"/>
  <c r="D483" i="17"/>
  <c r="M483" i="17" s="1"/>
  <c r="N483" i="17"/>
  <c r="R483" i="17"/>
  <c r="D484" i="17"/>
  <c r="K484" i="17" s="1"/>
  <c r="N484" i="17"/>
  <c r="R484" i="17"/>
  <c r="D485" i="17"/>
  <c r="K485" i="17" s="1"/>
  <c r="N485" i="17"/>
  <c r="R485" i="17"/>
  <c r="D486" i="17"/>
  <c r="M486" i="17" s="1"/>
  <c r="N486" i="17"/>
  <c r="R486" i="17"/>
  <c r="D487" i="17"/>
  <c r="F487" i="17" s="1"/>
  <c r="N487" i="17"/>
  <c r="R487" i="17"/>
  <c r="D488" i="17"/>
  <c r="F488" i="17" s="1"/>
  <c r="N488" i="17"/>
  <c r="R488" i="17"/>
  <c r="D489" i="17"/>
  <c r="M489" i="17" s="1"/>
  <c r="N489" i="17"/>
  <c r="R489" i="17"/>
  <c r="D490" i="17"/>
  <c r="N490" i="17"/>
  <c r="R490" i="17"/>
  <c r="D491" i="17"/>
  <c r="N491" i="17"/>
  <c r="R491" i="17"/>
  <c r="D492" i="17"/>
  <c r="F492" i="17" s="1"/>
  <c r="N492" i="17"/>
  <c r="R492" i="17"/>
  <c r="D493" i="17"/>
  <c r="M493" i="17" s="1"/>
  <c r="N493" i="17"/>
  <c r="R493" i="17"/>
  <c r="D494" i="17"/>
  <c r="M494" i="17" s="1"/>
  <c r="N494" i="17"/>
  <c r="R494" i="17"/>
  <c r="D495" i="17"/>
  <c r="M495" i="17" s="1"/>
  <c r="N495" i="17"/>
  <c r="R495" i="17"/>
  <c r="D496" i="17"/>
  <c r="N496" i="17"/>
  <c r="R496" i="17"/>
  <c r="D497" i="17"/>
  <c r="F497" i="17" s="1"/>
  <c r="N497" i="17"/>
  <c r="R497" i="17"/>
  <c r="D498" i="17"/>
  <c r="F498" i="17" s="1"/>
  <c r="N498" i="17"/>
  <c r="R498" i="17"/>
  <c r="D499" i="17"/>
  <c r="M499" i="17" s="1"/>
  <c r="N499" i="17"/>
  <c r="R499" i="17"/>
  <c r="D500" i="17"/>
  <c r="N500" i="17"/>
  <c r="R500" i="17"/>
  <c r="D501" i="17"/>
  <c r="N501" i="17"/>
  <c r="R501" i="17"/>
  <c r="D502" i="17"/>
  <c r="N502" i="17"/>
  <c r="R502" i="17"/>
  <c r="D503" i="17"/>
  <c r="F503" i="17" s="1"/>
  <c r="N503" i="17"/>
  <c r="R503" i="17"/>
  <c r="D504" i="17"/>
  <c r="F504" i="17" s="1"/>
  <c r="N504" i="17"/>
  <c r="R504" i="17"/>
  <c r="D505" i="17"/>
  <c r="N505" i="17"/>
  <c r="R505" i="17"/>
  <c r="D506" i="17"/>
  <c r="N506" i="17"/>
  <c r="R506" i="17"/>
  <c r="D507" i="17"/>
  <c r="N507" i="17"/>
  <c r="R507" i="17"/>
  <c r="D508" i="17"/>
  <c r="F508" i="17" s="1"/>
  <c r="N508" i="17"/>
  <c r="R508" i="17"/>
  <c r="D509" i="17"/>
  <c r="N509" i="17"/>
  <c r="R509" i="17"/>
  <c r="D510" i="17"/>
  <c r="N510" i="17"/>
  <c r="R510" i="17"/>
  <c r="D511" i="17"/>
  <c r="N511" i="17"/>
  <c r="R511" i="17"/>
  <c r="D512" i="17"/>
  <c r="F512" i="17" s="1"/>
  <c r="N512" i="17"/>
  <c r="R512" i="17"/>
  <c r="D3" i="17"/>
  <c r="K3" i="17" s="1"/>
  <c r="AB447" i="25" l="1"/>
  <c r="AB423" i="25"/>
  <c r="AA448" i="25"/>
  <c r="AA445" i="25"/>
  <c r="AB426" i="25"/>
  <c r="AA406" i="25"/>
  <c r="AB451" i="25"/>
  <c r="AB442" i="25"/>
  <c r="L502" i="25"/>
  <c r="AI502" i="25" s="1"/>
  <c r="AI462" i="25"/>
  <c r="AI455" i="25"/>
  <c r="Y453" i="25"/>
  <c r="AB453" i="25" s="1"/>
  <c r="AB440" i="25"/>
  <c r="AI469" i="25"/>
  <c r="AI468" i="25"/>
  <c r="Y481" i="25"/>
  <c r="Y458" i="25"/>
  <c r="AA458" i="25" s="1"/>
  <c r="AB430" i="25"/>
  <c r="Y464" i="25"/>
  <c r="AB464" i="25" s="1"/>
  <c r="Y477" i="25"/>
  <c r="AA477" i="25" s="1"/>
  <c r="AI479" i="25"/>
  <c r="Y470" i="25"/>
  <c r="AB470" i="25" s="1"/>
  <c r="Y456" i="25"/>
  <c r="AA456" i="25" s="1"/>
  <c r="AB76" i="25"/>
  <c r="AB376" i="25"/>
  <c r="Y473" i="25"/>
  <c r="L489" i="25"/>
  <c r="Y489" i="25" s="1"/>
  <c r="Y476" i="25"/>
  <c r="AB476" i="25" s="1"/>
  <c r="AA46" i="25"/>
  <c r="AB196" i="25"/>
  <c r="AA256" i="25"/>
  <c r="AB256" i="25"/>
  <c r="AB316" i="25"/>
  <c r="AA316" i="25"/>
  <c r="AB424" i="25"/>
  <c r="AI460" i="25"/>
  <c r="AA106" i="25"/>
  <c r="AA439" i="25"/>
  <c r="AB16" i="25"/>
  <c r="AB166" i="25"/>
  <c r="AB136" i="25"/>
  <c r="Y461" i="25"/>
  <c r="AA461" i="25" s="1"/>
  <c r="Y457" i="25"/>
  <c r="AA457" i="25" s="1"/>
  <c r="AB286" i="25"/>
  <c r="AB434" i="25"/>
  <c r="AA226" i="25"/>
  <c r="AA346" i="25"/>
  <c r="AA441" i="25"/>
  <c r="L488" i="25"/>
  <c r="AI488" i="25" s="1"/>
  <c r="AB441" i="25"/>
  <c r="L487" i="25"/>
  <c r="AI487" i="25" s="1"/>
  <c r="Y454" i="25"/>
  <c r="AB454" i="25" s="1"/>
  <c r="L483" i="25"/>
  <c r="Y475" i="25"/>
  <c r="AB475" i="25" s="1"/>
  <c r="L497" i="25"/>
  <c r="AI497" i="25" s="1"/>
  <c r="L498" i="25"/>
  <c r="L491" i="25"/>
  <c r="AI491" i="25" s="1"/>
  <c r="L486" i="25"/>
  <c r="AI486" i="25" s="1"/>
  <c r="L507" i="25"/>
  <c r="Y507" i="25" s="1"/>
  <c r="H504" i="17"/>
  <c r="G504" i="17"/>
  <c r="M328" i="17"/>
  <c r="F328" i="17"/>
  <c r="M272" i="17"/>
  <c r="F272" i="17"/>
  <c r="G240" i="17"/>
  <c r="H240" i="17"/>
  <c r="M208" i="17"/>
  <c r="F208" i="17"/>
  <c r="K144" i="17"/>
  <c r="F144" i="17"/>
  <c r="K128" i="17"/>
  <c r="F128" i="17"/>
  <c r="H48" i="17"/>
  <c r="G48" i="17"/>
  <c r="M509" i="17"/>
  <c r="F509" i="17"/>
  <c r="G437" i="17"/>
  <c r="H437" i="17"/>
  <c r="F421" i="17"/>
  <c r="H397" i="17"/>
  <c r="G397" i="17"/>
  <c r="G357" i="17"/>
  <c r="H357" i="17"/>
  <c r="H341" i="17"/>
  <c r="G341" i="17"/>
  <c r="M325" i="17"/>
  <c r="F325" i="17"/>
  <c r="G293" i="17"/>
  <c r="H293" i="17"/>
  <c r="G277" i="17"/>
  <c r="H277" i="17"/>
  <c r="H269" i="17"/>
  <c r="G269" i="17"/>
  <c r="H237" i="17"/>
  <c r="G237" i="17"/>
  <c r="K221" i="17"/>
  <c r="F221" i="17"/>
  <c r="F205" i="17"/>
  <c r="G181" i="17"/>
  <c r="H181" i="17"/>
  <c r="K173" i="17"/>
  <c r="F173" i="17"/>
  <c r="K157" i="17"/>
  <c r="F157" i="17"/>
  <c r="F117" i="17"/>
  <c r="G101" i="17"/>
  <c r="H101" i="17"/>
  <c r="G85" i="17"/>
  <c r="H85" i="17"/>
  <c r="G77" i="17"/>
  <c r="H77" i="17"/>
  <c r="G61" i="17"/>
  <c r="H61" i="17"/>
  <c r="G53" i="17"/>
  <c r="H53" i="17"/>
  <c r="G37" i="17"/>
  <c r="H37" i="17"/>
  <c r="M29" i="17"/>
  <c r="F29" i="17"/>
  <c r="G511" i="19"/>
  <c r="H511" i="19"/>
  <c r="G507" i="19"/>
  <c r="H507" i="19"/>
  <c r="K503" i="19"/>
  <c r="F503" i="19"/>
  <c r="G491" i="19"/>
  <c r="H491" i="19"/>
  <c r="H487" i="19"/>
  <c r="G487" i="19"/>
  <c r="G479" i="19"/>
  <c r="H479" i="19"/>
  <c r="G475" i="19"/>
  <c r="H475" i="19"/>
  <c r="K467" i="19"/>
  <c r="F467" i="19"/>
  <c r="M451" i="19"/>
  <c r="F451" i="19"/>
  <c r="H447" i="19"/>
  <c r="G447" i="19"/>
  <c r="K443" i="19"/>
  <c r="F443" i="19"/>
  <c r="K431" i="19"/>
  <c r="F431" i="19"/>
  <c r="H427" i="19"/>
  <c r="G427" i="19"/>
  <c r="H419" i="19"/>
  <c r="G419" i="19"/>
  <c r="F415" i="19"/>
  <c r="H407" i="19"/>
  <c r="G407" i="19"/>
  <c r="M391" i="19"/>
  <c r="F391" i="19"/>
  <c r="H387" i="19"/>
  <c r="G387" i="19"/>
  <c r="H383" i="19"/>
  <c r="G383" i="19"/>
  <c r="H371" i="19"/>
  <c r="G371" i="19"/>
  <c r="H367" i="19"/>
  <c r="G367" i="19"/>
  <c r="G359" i="19"/>
  <c r="H359" i="19"/>
  <c r="G355" i="19"/>
  <c r="H355" i="19"/>
  <c r="K347" i="19"/>
  <c r="F347" i="19"/>
  <c r="M331" i="19"/>
  <c r="F331" i="19"/>
  <c r="M327" i="19"/>
  <c r="F327" i="19"/>
  <c r="H323" i="19"/>
  <c r="G323" i="19"/>
  <c r="H311" i="19"/>
  <c r="G311" i="19"/>
  <c r="H307" i="19"/>
  <c r="G307" i="19"/>
  <c r="H299" i="19"/>
  <c r="G299" i="19"/>
  <c r="H295" i="19"/>
  <c r="G295" i="19"/>
  <c r="H287" i="19"/>
  <c r="G287" i="19"/>
  <c r="M271" i="19"/>
  <c r="F271" i="19"/>
  <c r="H267" i="19"/>
  <c r="G267" i="19"/>
  <c r="H263" i="19"/>
  <c r="G263" i="19"/>
  <c r="H251" i="19"/>
  <c r="G251" i="19"/>
  <c r="H247" i="19"/>
  <c r="G247" i="19"/>
  <c r="H239" i="19"/>
  <c r="G239" i="19"/>
  <c r="H235" i="19"/>
  <c r="G235" i="19"/>
  <c r="H227" i="19"/>
  <c r="G227" i="19"/>
  <c r="H211" i="19"/>
  <c r="G211" i="19"/>
  <c r="H207" i="19"/>
  <c r="G207" i="19"/>
  <c r="H203" i="19"/>
  <c r="G203" i="19"/>
  <c r="K191" i="19"/>
  <c r="F191" i="19"/>
  <c r="H187" i="19"/>
  <c r="G187" i="19"/>
  <c r="H179" i="19"/>
  <c r="G179" i="19"/>
  <c r="H175" i="19"/>
  <c r="G175" i="19"/>
  <c r="H167" i="19"/>
  <c r="G167" i="19"/>
  <c r="K151" i="19"/>
  <c r="F151" i="19"/>
  <c r="K147" i="19"/>
  <c r="F147" i="19"/>
  <c r="K143" i="19"/>
  <c r="F143" i="19"/>
  <c r="H131" i="19"/>
  <c r="G131" i="19"/>
  <c r="K127" i="19"/>
  <c r="F127" i="19"/>
  <c r="G119" i="19"/>
  <c r="H119" i="19"/>
  <c r="H115" i="19"/>
  <c r="G115" i="19"/>
  <c r="H107" i="19"/>
  <c r="G107" i="19"/>
  <c r="M91" i="19"/>
  <c r="F91" i="19"/>
  <c r="F87" i="19"/>
  <c r="H83" i="19"/>
  <c r="G83" i="19"/>
  <c r="H71" i="19"/>
  <c r="G71" i="19"/>
  <c r="H67" i="19"/>
  <c r="G67" i="19"/>
  <c r="M55" i="19"/>
  <c r="F55" i="19"/>
  <c r="G47" i="19"/>
  <c r="H47" i="19"/>
  <c r="G31" i="19"/>
  <c r="H31" i="19"/>
  <c r="H23" i="19"/>
  <c r="G23" i="19"/>
  <c r="K7" i="19"/>
  <c r="F7" i="19"/>
  <c r="AI467" i="25"/>
  <c r="Y482" i="25"/>
  <c r="AA482" i="25" s="1"/>
  <c r="H488" i="17"/>
  <c r="G488" i="17"/>
  <c r="G408" i="17"/>
  <c r="H408" i="17"/>
  <c r="G384" i="17"/>
  <c r="H384" i="17"/>
  <c r="G152" i="17"/>
  <c r="H152" i="17"/>
  <c r="G120" i="17"/>
  <c r="H120" i="17"/>
  <c r="H88" i="17"/>
  <c r="G88" i="17"/>
  <c r="H56" i="17"/>
  <c r="G56" i="17"/>
  <c r="K24" i="17"/>
  <c r="F24" i="17"/>
  <c r="H42" i="19"/>
  <c r="G42" i="19"/>
  <c r="G477" i="17"/>
  <c r="H477" i="17"/>
  <c r="H461" i="17"/>
  <c r="G461" i="17"/>
  <c r="H445" i="17"/>
  <c r="G445" i="17"/>
  <c r="H413" i="17"/>
  <c r="G413" i="17"/>
  <c r="G389" i="17"/>
  <c r="H389" i="17"/>
  <c r="G317" i="17"/>
  <c r="H317" i="17"/>
  <c r="F301" i="17"/>
  <c r="G197" i="17"/>
  <c r="H197" i="17"/>
  <c r="M149" i="17"/>
  <c r="F149" i="17"/>
  <c r="M506" i="17"/>
  <c r="F506" i="17"/>
  <c r="G498" i="17"/>
  <c r="H498" i="17"/>
  <c r="H482" i="17"/>
  <c r="G482" i="17"/>
  <c r="G474" i="17"/>
  <c r="H474" i="17"/>
  <c r="G458" i="17"/>
  <c r="H458" i="17"/>
  <c r="M450" i="17"/>
  <c r="F450" i="17"/>
  <c r="G418" i="17"/>
  <c r="H418" i="17"/>
  <c r="G402" i="17"/>
  <c r="H402" i="17"/>
  <c r="G386" i="17"/>
  <c r="H386" i="17"/>
  <c r="G378" i="17"/>
  <c r="H378" i="17"/>
  <c r="G362" i="17"/>
  <c r="H362" i="17"/>
  <c r="G354" i="17"/>
  <c r="H354" i="17"/>
  <c r="H338" i="17"/>
  <c r="G338" i="17"/>
  <c r="M330" i="17"/>
  <c r="F330" i="17"/>
  <c r="F298" i="17"/>
  <c r="G282" i="17"/>
  <c r="H282" i="17"/>
  <c r="G266" i="17"/>
  <c r="H266" i="17"/>
  <c r="K258" i="17"/>
  <c r="F258" i="17"/>
  <c r="G242" i="17"/>
  <c r="H242" i="17"/>
  <c r="G234" i="17"/>
  <c r="H234" i="17"/>
  <c r="G218" i="17"/>
  <c r="H218" i="17"/>
  <c r="M210" i="17"/>
  <c r="F210" i="17"/>
  <c r="G178" i="17"/>
  <c r="H178" i="17"/>
  <c r="G162" i="17"/>
  <c r="H162" i="17"/>
  <c r="F146" i="17"/>
  <c r="K138" i="17"/>
  <c r="F138" i="17"/>
  <c r="M122" i="17"/>
  <c r="F122" i="17"/>
  <c r="G114" i="17"/>
  <c r="H114" i="17"/>
  <c r="G98" i="17"/>
  <c r="H98" i="17"/>
  <c r="G90" i="17"/>
  <c r="H90" i="17"/>
  <c r="G58" i="17"/>
  <c r="H58" i="17"/>
  <c r="K42" i="17"/>
  <c r="F42" i="17"/>
  <c r="M26" i="17"/>
  <c r="F26" i="17"/>
  <c r="H18" i="17"/>
  <c r="G18" i="17"/>
  <c r="G60" i="19"/>
  <c r="H60" i="19"/>
  <c r="K28" i="19"/>
  <c r="F28" i="19"/>
  <c r="K12" i="19"/>
  <c r="F12" i="19"/>
  <c r="L499" i="25"/>
  <c r="H512" i="17"/>
  <c r="G512" i="17"/>
  <c r="G416" i="17"/>
  <c r="H416" i="17"/>
  <c r="G368" i="17"/>
  <c r="H368" i="17"/>
  <c r="H264" i="17"/>
  <c r="G264" i="17"/>
  <c r="H192" i="17"/>
  <c r="G192" i="17"/>
  <c r="G72" i="17"/>
  <c r="H72" i="17"/>
  <c r="H8" i="17"/>
  <c r="G8" i="17"/>
  <c r="M511" i="17"/>
  <c r="F511" i="17"/>
  <c r="G503" i="17"/>
  <c r="H503" i="17"/>
  <c r="G487" i="17"/>
  <c r="H487" i="17"/>
  <c r="G479" i="17"/>
  <c r="H479" i="17"/>
  <c r="G447" i="17"/>
  <c r="H447" i="17"/>
  <c r="G431" i="17"/>
  <c r="H431" i="17"/>
  <c r="G415" i="17"/>
  <c r="H415" i="17"/>
  <c r="G407" i="17"/>
  <c r="H407" i="17"/>
  <c r="M391" i="17"/>
  <c r="F391" i="17"/>
  <c r="G383" i="17"/>
  <c r="H383" i="17"/>
  <c r="G367" i="17"/>
  <c r="H367" i="17"/>
  <c r="G359" i="17"/>
  <c r="H359" i="17"/>
  <c r="M327" i="17"/>
  <c r="F327" i="17"/>
  <c r="G311" i="17"/>
  <c r="H311" i="17"/>
  <c r="H295" i="17"/>
  <c r="G295" i="17"/>
  <c r="K287" i="17"/>
  <c r="F287" i="17"/>
  <c r="M271" i="17"/>
  <c r="F271" i="17"/>
  <c r="G263" i="17"/>
  <c r="H263" i="17"/>
  <c r="G247" i="17"/>
  <c r="H247" i="17"/>
  <c r="K239" i="17"/>
  <c r="F239" i="17"/>
  <c r="G207" i="17"/>
  <c r="H207" i="17"/>
  <c r="G191" i="17"/>
  <c r="H191" i="17"/>
  <c r="H175" i="17"/>
  <c r="G175" i="17"/>
  <c r="H167" i="17"/>
  <c r="G167" i="17"/>
  <c r="M151" i="17"/>
  <c r="F151" i="17"/>
  <c r="H143" i="17"/>
  <c r="G143" i="17"/>
  <c r="F127" i="17"/>
  <c r="F119" i="17"/>
  <c r="H87" i="17"/>
  <c r="G87" i="17"/>
  <c r="H71" i="17"/>
  <c r="G71" i="17"/>
  <c r="H55" i="17"/>
  <c r="G55" i="17"/>
  <c r="G47" i="17"/>
  <c r="H47" i="17"/>
  <c r="G31" i="17"/>
  <c r="H31" i="17"/>
  <c r="G23" i="17"/>
  <c r="H23" i="17"/>
  <c r="G7" i="17"/>
  <c r="H7" i="17"/>
  <c r="G510" i="19"/>
  <c r="H510" i="19"/>
  <c r="G506" i="19"/>
  <c r="H506" i="19"/>
  <c r="K498" i="19"/>
  <c r="F498" i="19"/>
  <c r="H482" i="19"/>
  <c r="G482" i="19"/>
  <c r="H478" i="19"/>
  <c r="G478" i="19"/>
  <c r="K474" i="19"/>
  <c r="F474" i="19"/>
  <c r="K462" i="19"/>
  <c r="F462" i="19"/>
  <c r="G458" i="19"/>
  <c r="H458" i="19"/>
  <c r="H450" i="19"/>
  <c r="G450" i="19"/>
  <c r="H446" i="19"/>
  <c r="G446" i="19"/>
  <c r="K438" i="19"/>
  <c r="F438" i="19"/>
  <c r="F422" i="19"/>
  <c r="H418" i="19"/>
  <c r="G418" i="19"/>
  <c r="K414" i="19"/>
  <c r="F414" i="19"/>
  <c r="H402" i="19"/>
  <c r="G402" i="19"/>
  <c r="H398" i="19"/>
  <c r="G398" i="19"/>
  <c r="H390" i="19"/>
  <c r="G390" i="19"/>
  <c r="M386" i="19"/>
  <c r="F386" i="19"/>
  <c r="H378" i="19"/>
  <c r="G378" i="19"/>
  <c r="G362" i="19"/>
  <c r="H362" i="19"/>
  <c r="K358" i="19"/>
  <c r="F358" i="19"/>
  <c r="K354" i="19"/>
  <c r="F354" i="19"/>
  <c r="K342" i="19"/>
  <c r="F342" i="19"/>
  <c r="K338" i="19"/>
  <c r="F338" i="19"/>
  <c r="M330" i="19"/>
  <c r="F330" i="19"/>
  <c r="H326" i="19"/>
  <c r="G326" i="19"/>
  <c r="H318" i="19"/>
  <c r="G318" i="19"/>
  <c r="H302" i="19"/>
  <c r="G302" i="19"/>
  <c r="H298" i="19"/>
  <c r="G298" i="19"/>
  <c r="H294" i="19"/>
  <c r="G294" i="19"/>
  <c r="H282" i="19"/>
  <c r="G282" i="19"/>
  <c r="H278" i="19"/>
  <c r="G278" i="19"/>
  <c r="M270" i="19"/>
  <c r="F270" i="19"/>
  <c r="M266" i="19"/>
  <c r="F266" i="19"/>
  <c r="H258" i="19"/>
  <c r="G258" i="19"/>
  <c r="H242" i="19"/>
  <c r="G242" i="19"/>
  <c r="H238" i="19"/>
  <c r="G238" i="19"/>
  <c r="K234" i="19"/>
  <c r="F234" i="19"/>
  <c r="K222" i="19"/>
  <c r="F222" i="19"/>
  <c r="K218" i="19"/>
  <c r="F218" i="19"/>
  <c r="H210" i="19"/>
  <c r="G210" i="19"/>
  <c r="H206" i="19"/>
  <c r="G206" i="19"/>
  <c r="H198" i="19"/>
  <c r="G198" i="19"/>
  <c r="H182" i="19"/>
  <c r="G182" i="19"/>
  <c r="H178" i="19"/>
  <c r="G178" i="19"/>
  <c r="H174" i="19"/>
  <c r="G174" i="19"/>
  <c r="H162" i="19"/>
  <c r="G162" i="19"/>
  <c r="H158" i="19"/>
  <c r="G158" i="19"/>
  <c r="M150" i="19"/>
  <c r="F150" i="19"/>
  <c r="M146" i="19"/>
  <c r="F146" i="19"/>
  <c r="H138" i="19"/>
  <c r="G138" i="19"/>
  <c r="H122" i="19"/>
  <c r="G122" i="19"/>
  <c r="H118" i="19"/>
  <c r="G118" i="19"/>
  <c r="H114" i="19"/>
  <c r="G114" i="19"/>
  <c r="H102" i="19"/>
  <c r="G102" i="19"/>
  <c r="K98" i="19"/>
  <c r="F98" i="19"/>
  <c r="M90" i="19"/>
  <c r="F90" i="19"/>
  <c r="H86" i="19"/>
  <c r="G86" i="19"/>
  <c r="H78" i="19"/>
  <c r="G78" i="19"/>
  <c r="G57" i="19"/>
  <c r="H57" i="19"/>
  <c r="H41" i="19"/>
  <c r="G41" i="19"/>
  <c r="G25" i="19"/>
  <c r="H25" i="19"/>
  <c r="K17" i="19"/>
  <c r="F17" i="19"/>
  <c r="AB450" i="25"/>
  <c r="H296" i="17"/>
  <c r="G296" i="17"/>
  <c r="H480" i="17"/>
  <c r="G480" i="17"/>
  <c r="G448" i="17"/>
  <c r="H448" i="17"/>
  <c r="G432" i="17"/>
  <c r="H432" i="17"/>
  <c r="G360" i="17"/>
  <c r="H360" i="17"/>
  <c r="G288" i="17"/>
  <c r="H288" i="17"/>
  <c r="K248" i="17"/>
  <c r="F248" i="17"/>
  <c r="G168" i="17"/>
  <c r="H168" i="17"/>
  <c r="H32" i="17"/>
  <c r="G32" i="17"/>
  <c r="M58" i="19"/>
  <c r="F58" i="19"/>
  <c r="F26" i="19"/>
  <c r="G468" i="17"/>
  <c r="H468" i="17"/>
  <c r="M452" i="17"/>
  <c r="F452" i="17"/>
  <c r="M420" i="17"/>
  <c r="F420" i="17"/>
  <c r="G348" i="17"/>
  <c r="H348" i="17"/>
  <c r="H324" i="17"/>
  <c r="G324" i="17"/>
  <c r="H308" i="17"/>
  <c r="G308" i="17"/>
  <c r="K252" i="17"/>
  <c r="F252" i="17"/>
  <c r="G236" i="17"/>
  <c r="H236" i="17"/>
  <c r="G204" i="17"/>
  <c r="H204" i="17"/>
  <c r="H188" i="17"/>
  <c r="G188" i="17"/>
  <c r="K132" i="17"/>
  <c r="F132" i="17"/>
  <c r="G108" i="17"/>
  <c r="H108" i="17"/>
  <c r="G92" i="17"/>
  <c r="H92" i="17"/>
  <c r="G60" i="17"/>
  <c r="H60" i="17"/>
  <c r="G12" i="17"/>
  <c r="H12" i="17"/>
  <c r="M505" i="17"/>
  <c r="F505" i="17"/>
  <c r="K473" i="17"/>
  <c r="F473" i="17"/>
  <c r="H457" i="17"/>
  <c r="G457" i="17"/>
  <c r="H417" i="17"/>
  <c r="G417" i="17"/>
  <c r="H401" i="17"/>
  <c r="G401" i="17"/>
  <c r="H385" i="17"/>
  <c r="G385" i="17"/>
  <c r="H353" i="17"/>
  <c r="G353" i="17"/>
  <c r="G337" i="17"/>
  <c r="H337" i="17"/>
  <c r="H297" i="17"/>
  <c r="G297" i="17"/>
  <c r="K281" i="17"/>
  <c r="F281" i="17"/>
  <c r="K241" i="17"/>
  <c r="F241" i="17"/>
  <c r="M209" i="17"/>
  <c r="F209" i="17"/>
  <c r="G177" i="17"/>
  <c r="H177" i="17"/>
  <c r="G161" i="17"/>
  <c r="H161" i="17"/>
  <c r="M145" i="17"/>
  <c r="F145" i="17"/>
  <c r="G113" i="17"/>
  <c r="H113" i="17"/>
  <c r="G97" i="17"/>
  <c r="H97" i="17"/>
  <c r="M89" i="17"/>
  <c r="F89" i="17"/>
  <c r="G57" i="17"/>
  <c r="H57" i="17"/>
  <c r="G41" i="17"/>
  <c r="H41" i="17"/>
  <c r="M25" i="17"/>
  <c r="F25" i="17"/>
  <c r="G17" i="17"/>
  <c r="H17" i="17"/>
  <c r="H509" i="19"/>
  <c r="G509" i="19"/>
  <c r="H505" i="19"/>
  <c r="G505" i="19"/>
  <c r="K497" i="19"/>
  <c r="F497" i="19"/>
  <c r="H481" i="19"/>
  <c r="G481" i="19"/>
  <c r="H477" i="19"/>
  <c r="G477" i="19"/>
  <c r="K473" i="19"/>
  <c r="F473" i="19"/>
  <c r="H461" i="19"/>
  <c r="G461" i="19"/>
  <c r="K457" i="19"/>
  <c r="F457" i="19"/>
  <c r="M449" i="19"/>
  <c r="F449" i="19"/>
  <c r="H445" i="19"/>
  <c r="G445" i="19"/>
  <c r="H437" i="19"/>
  <c r="G437" i="19"/>
  <c r="F421" i="19"/>
  <c r="H417" i="19"/>
  <c r="G417" i="19"/>
  <c r="K413" i="19"/>
  <c r="F413" i="19"/>
  <c r="H401" i="19"/>
  <c r="G401" i="19"/>
  <c r="H397" i="19"/>
  <c r="G397" i="19"/>
  <c r="H389" i="19"/>
  <c r="G389" i="19"/>
  <c r="H385" i="19"/>
  <c r="G385" i="19"/>
  <c r="H377" i="19"/>
  <c r="G377" i="19"/>
  <c r="M361" i="19"/>
  <c r="F361" i="19"/>
  <c r="M357" i="19"/>
  <c r="F357" i="19"/>
  <c r="H353" i="19"/>
  <c r="G353" i="19"/>
  <c r="K341" i="19"/>
  <c r="F341" i="19"/>
  <c r="F337" i="19"/>
  <c r="M329" i="19"/>
  <c r="F329" i="19"/>
  <c r="M325" i="19"/>
  <c r="F325" i="19"/>
  <c r="H317" i="19"/>
  <c r="G317" i="19"/>
  <c r="H301" i="19"/>
  <c r="G301" i="19"/>
  <c r="H297" i="19"/>
  <c r="G297" i="19"/>
  <c r="H293" i="19"/>
  <c r="G293" i="19"/>
  <c r="H281" i="19"/>
  <c r="G281" i="19"/>
  <c r="H277" i="19"/>
  <c r="G277" i="19"/>
  <c r="M269" i="19"/>
  <c r="F269" i="19"/>
  <c r="M265" i="19"/>
  <c r="F265" i="19"/>
  <c r="H257" i="19"/>
  <c r="G257" i="19"/>
  <c r="H241" i="19"/>
  <c r="G241" i="19"/>
  <c r="H237" i="19"/>
  <c r="G237" i="19"/>
  <c r="H233" i="19"/>
  <c r="G233" i="19"/>
  <c r="F221" i="19"/>
  <c r="F217" i="19"/>
  <c r="H209" i="19"/>
  <c r="G209" i="19"/>
  <c r="H205" i="19"/>
  <c r="G205" i="19"/>
  <c r="K197" i="19"/>
  <c r="F197" i="19"/>
  <c r="H181" i="19"/>
  <c r="G181" i="19"/>
  <c r="H177" i="19"/>
  <c r="G177" i="19"/>
  <c r="H173" i="19"/>
  <c r="G173" i="19"/>
  <c r="H161" i="19"/>
  <c r="G161" i="19"/>
  <c r="H157" i="19"/>
  <c r="G157" i="19"/>
  <c r="H149" i="19"/>
  <c r="G149" i="19"/>
  <c r="H145" i="19"/>
  <c r="G145" i="19"/>
  <c r="H137" i="19"/>
  <c r="G137" i="19"/>
  <c r="G121" i="19"/>
  <c r="H121" i="19"/>
  <c r="G117" i="19"/>
  <c r="H117" i="19"/>
  <c r="G113" i="19"/>
  <c r="H113" i="19"/>
  <c r="G101" i="19"/>
  <c r="H101" i="19"/>
  <c r="K97" i="19"/>
  <c r="F97" i="19"/>
  <c r="M89" i="19"/>
  <c r="F89" i="19"/>
  <c r="H85" i="19"/>
  <c r="G85" i="19"/>
  <c r="H77" i="19"/>
  <c r="G77" i="19"/>
  <c r="H59" i="19"/>
  <c r="G59" i="19"/>
  <c r="F27" i="19"/>
  <c r="H11" i="19"/>
  <c r="G11" i="19"/>
  <c r="Y459" i="25"/>
  <c r="AB459" i="25" s="1"/>
  <c r="Y472" i="25"/>
  <c r="L504" i="25"/>
  <c r="AI504" i="25" s="1"/>
  <c r="M392" i="17"/>
  <c r="F392" i="17"/>
  <c r="H312" i="17"/>
  <c r="G312" i="17"/>
  <c r="F176" i="17"/>
  <c r="H18" i="19"/>
  <c r="G18" i="19"/>
  <c r="G508" i="17"/>
  <c r="H508" i="17"/>
  <c r="G492" i="17"/>
  <c r="H492" i="17"/>
  <c r="G476" i="17"/>
  <c r="H476" i="17"/>
  <c r="G444" i="17"/>
  <c r="H444" i="17"/>
  <c r="G428" i="17"/>
  <c r="H428" i="17"/>
  <c r="M388" i="17"/>
  <c r="F388" i="17"/>
  <c r="G372" i="17"/>
  <c r="H372" i="17"/>
  <c r="G356" i="17"/>
  <c r="H356" i="17"/>
  <c r="M332" i="17"/>
  <c r="F332" i="17"/>
  <c r="G300" i="17"/>
  <c r="H300" i="17"/>
  <c r="G228" i="17"/>
  <c r="H228" i="17"/>
  <c r="M212" i="17"/>
  <c r="F212" i="17"/>
  <c r="G180" i="17"/>
  <c r="H180" i="17"/>
  <c r="G148" i="17"/>
  <c r="H148" i="17"/>
  <c r="H116" i="17"/>
  <c r="G116" i="17"/>
  <c r="K84" i="17"/>
  <c r="F84" i="17"/>
  <c r="G68" i="17"/>
  <c r="H68" i="17"/>
  <c r="G28" i="17"/>
  <c r="H28" i="17"/>
  <c r="H62" i="19"/>
  <c r="G62" i="19"/>
  <c r="H54" i="19"/>
  <c r="G54" i="19"/>
  <c r="H38" i="19"/>
  <c r="G38" i="19"/>
  <c r="H30" i="19"/>
  <c r="G30" i="19"/>
  <c r="H497" i="17"/>
  <c r="G497" i="17"/>
  <c r="M481" i="17"/>
  <c r="F481" i="17"/>
  <c r="H449" i="17"/>
  <c r="G449" i="17"/>
  <c r="H377" i="17"/>
  <c r="G377" i="17"/>
  <c r="H361" i="17"/>
  <c r="G361" i="17"/>
  <c r="M329" i="17"/>
  <c r="F329" i="17"/>
  <c r="M265" i="17"/>
  <c r="F265" i="17"/>
  <c r="K257" i="17"/>
  <c r="F257" i="17"/>
  <c r="K233" i="17"/>
  <c r="F233" i="17"/>
  <c r="G217" i="17"/>
  <c r="H217" i="17"/>
  <c r="K137" i="17"/>
  <c r="F137" i="17"/>
  <c r="G121" i="17"/>
  <c r="H121" i="17"/>
  <c r="M510" i="17"/>
  <c r="F510" i="17"/>
  <c r="G478" i="17"/>
  <c r="H478" i="17"/>
  <c r="H462" i="17"/>
  <c r="G462" i="17"/>
  <c r="F446" i="17"/>
  <c r="K438" i="17"/>
  <c r="F438" i="17"/>
  <c r="G422" i="17"/>
  <c r="H422" i="17"/>
  <c r="G414" i="17"/>
  <c r="H414" i="17"/>
  <c r="G398" i="17"/>
  <c r="H398" i="17"/>
  <c r="F390" i="17"/>
  <c r="G358" i="17"/>
  <c r="H358" i="17"/>
  <c r="H342" i="17"/>
  <c r="G342" i="17"/>
  <c r="M326" i="17"/>
  <c r="F326" i="17"/>
  <c r="H318" i="17"/>
  <c r="G318" i="17"/>
  <c r="H302" i="17"/>
  <c r="G302" i="17"/>
  <c r="G294" i="17"/>
  <c r="H294" i="17"/>
  <c r="H278" i="17"/>
  <c r="G278" i="17"/>
  <c r="M270" i="17"/>
  <c r="F270" i="17"/>
  <c r="H238" i="17"/>
  <c r="G238" i="17"/>
  <c r="H222" i="17"/>
  <c r="G222" i="17"/>
  <c r="H206" i="17"/>
  <c r="G206" i="17"/>
  <c r="H198" i="17"/>
  <c r="G198" i="17"/>
  <c r="H182" i="17"/>
  <c r="G182" i="17"/>
  <c r="H174" i="17"/>
  <c r="G174" i="17"/>
  <c r="H158" i="17"/>
  <c r="G158" i="17"/>
  <c r="H150" i="17"/>
  <c r="G150" i="17"/>
  <c r="H118" i="17"/>
  <c r="G118" i="17"/>
  <c r="H102" i="17"/>
  <c r="G102" i="17"/>
  <c r="G86" i="17"/>
  <c r="H86" i="17"/>
  <c r="G78" i="17"/>
  <c r="H78" i="17"/>
  <c r="G62" i="17"/>
  <c r="H62" i="17"/>
  <c r="H54" i="17"/>
  <c r="G54" i="17"/>
  <c r="K38" i="17"/>
  <c r="F38" i="17"/>
  <c r="M30" i="17"/>
  <c r="F30" i="17"/>
  <c r="H56" i="19"/>
  <c r="G56" i="19"/>
  <c r="G48" i="19"/>
  <c r="H48" i="19"/>
  <c r="G32" i="19"/>
  <c r="H32" i="19"/>
  <c r="K24" i="19"/>
  <c r="F24" i="19"/>
  <c r="G8" i="19"/>
  <c r="H8" i="19"/>
  <c r="AI459" i="25"/>
  <c r="AA462" i="25"/>
  <c r="M268" i="17"/>
  <c r="F268" i="17"/>
  <c r="M507" i="17"/>
  <c r="F507" i="17"/>
  <c r="K491" i="17"/>
  <c r="F491" i="17"/>
  <c r="H475" i="17"/>
  <c r="G475" i="17"/>
  <c r="G467" i="17"/>
  <c r="H467" i="17"/>
  <c r="M451" i="17"/>
  <c r="F451" i="17"/>
  <c r="G443" i="17"/>
  <c r="H443" i="17"/>
  <c r="G427" i="17"/>
  <c r="H427" i="17"/>
  <c r="M419" i="17"/>
  <c r="F419" i="17"/>
  <c r="G387" i="17"/>
  <c r="H387" i="17"/>
  <c r="G371" i="17"/>
  <c r="H371" i="17"/>
  <c r="G355" i="17"/>
  <c r="H355" i="17"/>
  <c r="G347" i="17"/>
  <c r="H347" i="17"/>
  <c r="H331" i="17"/>
  <c r="G331" i="17"/>
  <c r="G323" i="17"/>
  <c r="H323" i="17"/>
  <c r="F307" i="17"/>
  <c r="G299" i="17"/>
  <c r="H299" i="17"/>
  <c r="M267" i="17"/>
  <c r="F267" i="17"/>
  <c r="G251" i="17"/>
  <c r="H251" i="17"/>
  <c r="H235" i="17"/>
  <c r="G235" i="17"/>
  <c r="H227" i="17"/>
  <c r="G227" i="17"/>
  <c r="M211" i="17"/>
  <c r="F211" i="17"/>
  <c r="H203" i="17"/>
  <c r="G203" i="17"/>
  <c r="F187" i="17"/>
  <c r="G179" i="17"/>
  <c r="H179" i="17"/>
  <c r="H147" i="17"/>
  <c r="G147" i="17"/>
  <c r="K131" i="17"/>
  <c r="F131" i="17"/>
  <c r="H115" i="17"/>
  <c r="G115" i="17"/>
  <c r="H107" i="17"/>
  <c r="G107" i="17"/>
  <c r="H91" i="17"/>
  <c r="G91" i="17"/>
  <c r="H83" i="17"/>
  <c r="G83" i="17"/>
  <c r="K67" i="17"/>
  <c r="F67" i="17"/>
  <c r="H59" i="17"/>
  <c r="G59" i="17"/>
  <c r="H27" i="17"/>
  <c r="G27" i="17"/>
  <c r="H11" i="17"/>
  <c r="G11" i="17"/>
  <c r="H512" i="19"/>
  <c r="G512" i="19"/>
  <c r="H508" i="19"/>
  <c r="G508" i="19"/>
  <c r="K504" i="19"/>
  <c r="F504" i="19"/>
  <c r="K492" i="19"/>
  <c r="F492" i="19"/>
  <c r="K488" i="19"/>
  <c r="F488" i="19"/>
  <c r="H480" i="19"/>
  <c r="G480" i="19"/>
  <c r="G476" i="19"/>
  <c r="H476" i="19"/>
  <c r="H468" i="19"/>
  <c r="G468" i="19"/>
  <c r="H452" i="19"/>
  <c r="G452" i="19"/>
  <c r="H448" i="19"/>
  <c r="G448" i="19"/>
  <c r="H444" i="19"/>
  <c r="G444" i="19"/>
  <c r="H432" i="19"/>
  <c r="G432" i="19"/>
  <c r="H428" i="19"/>
  <c r="G428" i="19"/>
  <c r="F420" i="19"/>
  <c r="F416" i="19"/>
  <c r="H408" i="19"/>
  <c r="G408" i="19"/>
  <c r="H392" i="19"/>
  <c r="G392" i="19"/>
  <c r="M388" i="19"/>
  <c r="F388" i="19"/>
  <c r="H384" i="19"/>
  <c r="G384" i="19"/>
  <c r="H372" i="19"/>
  <c r="G372" i="19"/>
  <c r="H368" i="19"/>
  <c r="G368" i="19"/>
  <c r="M360" i="19"/>
  <c r="F360" i="19"/>
  <c r="H356" i="19"/>
  <c r="G356" i="19"/>
  <c r="H348" i="19"/>
  <c r="G348" i="19"/>
  <c r="M332" i="19"/>
  <c r="F332" i="19"/>
  <c r="H328" i="19"/>
  <c r="G328" i="19"/>
  <c r="H324" i="19"/>
  <c r="G324" i="19"/>
  <c r="G312" i="19"/>
  <c r="H312" i="19"/>
  <c r="H308" i="19"/>
  <c r="G308" i="19"/>
  <c r="H300" i="19"/>
  <c r="G300" i="19"/>
  <c r="H296" i="19"/>
  <c r="G296" i="19"/>
  <c r="H288" i="19"/>
  <c r="G288" i="19"/>
  <c r="M272" i="19"/>
  <c r="F272" i="19"/>
  <c r="M268" i="19"/>
  <c r="F268" i="19"/>
  <c r="H264" i="19"/>
  <c r="G264" i="19"/>
  <c r="H252" i="19"/>
  <c r="G252" i="19"/>
  <c r="H248" i="19"/>
  <c r="G248" i="19"/>
  <c r="H240" i="19"/>
  <c r="G240" i="19"/>
  <c r="F236" i="19"/>
  <c r="K228" i="19"/>
  <c r="F228" i="19"/>
  <c r="F212" i="19"/>
  <c r="H208" i="19"/>
  <c r="G208" i="19"/>
  <c r="K204" i="19"/>
  <c r="F204" i="19"/>
  <c r="K192" i="19"/>
  <c r="F192" i="19"/>
  <c r="K188" i="19"/>
  <c r="F188" i="19"/>
  <c r="H180" i="19"/>
  <c r="G180" i="19"/>
  <c r="H176" i="19"/>
  <c r="G176" i="19"/>
  <c r="H168" i="19"/>
  <c r="G168" i="19"/>
  <c r="H152" i="19"/>
  <c r="G152" i="19"/>
  <c r="H148" i="19"/>
  <c r="G148" i="19"/>
  <c r="K144" i="19"/>
  <c r="F144" i="19"/>
  <c r="K132" i="19"/>
  <c r="F132" i="19"/>
  <c r="H128" i="19"/>
  <c r="G128" i="19"/>
  <c r="G120" i="19"/>
  <c r="H120" i="19"/>
  <c r="G116" i="19"/>
  <c r="H116" i="19"/>
  <c r="G108" i="19"/>
  <c r="H108" i="19"/>
  <c r="M92" i="19"/>
  <c r="F92" i="19"/>
  <c r="H88" i="19"/>
  <c r="G88" i="19"/>
  <c r="H84" i="19"/>
  <c r="G84" i="19"/>
  <c r="H72" i="19"/>
  <c r="G72" i="19"/>
  <c r="H68" i="19"/>
  <c r="G68" i="19"/>
  <c r="H61" i="19"/>
  <c r="G61" i="19"/>
  <c r="K53" i="19"/>
  <c r="F53" i="19"/>
  <c r="K37" i="19"/>
  <c r="F37" i="19"/>
  <c r="M29" i="19"/>
  <c r="F29" i="19"/>
  <c r="AI474" i="25"/>
  <c r="L501" i="25"/>
  <c r="AI501" i="25" s="1"/>
  <c r="AG501" i="25"/>
  <c r="L506" i="25"/>
  <c r="AI506" i="25" s="1"/>
  <c r="AG506" i="25"/>
  <c r="L490" i="25"/>
  <c r="AG490" i="25"/>
  <c r="L496" i="25"/>
  <c r="AI496" i="25" s="1"/>
  <c r="AG496" i="25"/>
  <c r="L512" i="25"/>
  <c r="Y512" i="25" s="1"/>
  <c r="AG512" i="25"/>
  <c r="L508" i="25"/>
  <c r="AI508" i="25" s="1"/>
  <c r="AG508" i="25"/>
  <c r="L505" i="25"/>
  <c r="AG505" i="25"/>
  <c r="L484" i="25"/>
  <c r="AI484" i="25" s="1"/>
  <c r="AG484" i="25"/>
  <c r="L509" i="25"/>
  <c r="AG509" i="25"/>
  <c r="L511" i="25"/>
  <c r="AI511" i="25" s="1"/>
  <c r="L494" i="25"/>
  <c r="Y471" i="25"/>
  <c r="AA471" i="25" s="1"/>
  <c r="AA473" i="25"/>
  <c r="L503" i="25"/>
  <c r="Y503" i="25" s="1"/>
  <c r="AG503" i="25"/>
  <c r="L485" i="25"/>
  <c r="L500" i="25"/>
  <c r="AI500" i="25" s="1"/>
  <c r="AG500" i="25"/>
  <c r="L510" i="25"/>
  <c r="AG510" i="25"/>
  <c r="AA467" i="25"/>
  <c r="AA474" i="25"/>
  <c r="Y478" i="25"/>
  <c r="AA478" i="25" s="1"/>
  <c r="W492" i="25"/>
  <c r="W511" i="25"/>
  <c r="W500" i="25"/>
  <c r="W498" i="25"/>
  <c r="W494" i="25"/>
  <c r="W491" i="25"/>
  <c r="W510" i="25"/>
  <c r="W487" i="25"/>
  <c r="Y466" i="25"/>
  <c r="AB466" i="25" s="1"/>
  <c r="AA468" i="25"/>
  <c r="W486" i="25"/>
  <c r="W488" i="25"/>
  <c r="W502" i="25"/>
  <c r="W485" i="25"/>
  <c r="W507" i="25"/>
  <c r="W483" i="25"/>
  <c r="W504" i="25"/>
  <c r="W499" i="25"/>
  <c r="L492" i="25"/>
  <c r="Y492" i="25" s="1"/>
  <c r="Y480" i="25"/>
  <c r="W484" i="25"/>
  <c r="W508" i="25"/>
  <c r="W506" i="25"/>
  <c r="W489" i="25"/>
  <c r="W509" i="25"/>
  <c r="W497" i="25"/>
  <c r="W503" i="25"/>
  <c r="W496" i="25"/>
  <c r="W505" i="25"/>
  <c r="W490" i="25"/>
  <c r="W501" i="25"/>
  <c r="W512" i="25"/>
  <c r="E87" i="11"/>
  <c r="E93" i="11"/>
  <c r="E92" i="11"/>
  <c r="E98" i="11"/>
  <c r="E94" i="11"/>
  <c r="E96" i="11"/>
  <c r="E99" i="11"/>
  <c r="E85" i="11"/>
  <c r="E88" i="11"/>
  <c r="E84" i="11"/>
  <c r="E86" i="11"/>
  <c r="E90" i="11"/>
  <c r="E97" i="11"/>
  <c r="E95" i="11"/>
  <c r="E100" i="11"/>
  <c r="E89" i="11"/>
  <c r="E91" i="11"/>
  <c r="AI498" i="25"/>
  <c r="Y498" i="25"/>
  <c r="AA498" i="25" s="1"/>
  <c r="AB481" i="25"/>
  <c r="AA481" i="25"/>
  <c r="AA453" i="25"/>
  <c r="AI507" i="25"/>
  <c r="AI505" i="25"/>
  <c r="Y505" i="25"/>
  <c r="AA472" i="25"/>
  <c r="AB472" i="25"/>
  <c r="AI494" i="25"/>
  <c r="Y494" i="25"/>
  <c r="AI499" i="25"/>
  <c r="Y499" i="25"/>
  <c r="AB460" i="25"/>
  <c r="AA460" i="25"/>
  <c r="AA479" i="25"/>
  <c r="AB479" i="25"/>
  <c r="AA464" i="25"/>
  <c r="AA469" i="25"/>
  <c r="AB469" i="25"/>
  <c r="AB471" i="25"/>
  <c r="AI483" i="25"/>
  <c r="Y483" i="25"/>
  <c r="AI510" i="25"/>
  <c r="Y510" i="25"/>
  <c r="AA455" i="25"/>
  <c r="AB455" i="25"/>
  <c r="AI490" i="25"/>
  <c r="Y490" i="25"/>
  <c r="AI509" i="25"/>
  <c r="Y509" i="25"/>
  <c r="AI485" i="25"/>
  <c r="Y485" i="25"/>
  <c r="AA476" i="25"/>
  <c r="K487" i="17"/>
  <c r="K392" i="17"/>
  <c r="M208" i="19"/>
  <c r="K511" i="17"/>
  <c r="K265" i="19"/>
  <c r="M149" i="19"/>
  <c r="K463" i="19"/>
  <c r="K227" i="19"/>
  <c r="AF21" i="23"/>
  <c r="AM21" i="23"/>
  <c r="AA21" i="23"/>
  <c r="AK21" i="23"/>
  <c r="AC21" i="23"/>
  <c r="M219" i="19"/>
  <c r="K163" i="19"/>
  <c r="K58" i="19"/>
  <c r="K430" i="19"/>
  <c r="K475" i="19"/>
  <c r="K221" i="19"/>
  <c r="K500" i="19"/>
  <c r="K422" i="19"/>
  <c r="K388" i="19"/>
  <c r="K224" i="19"/>
  <c r="K477" i="19"/>
  <c r="K217" i="19"/>
  <c r="K155" i="19"/>
  <c r="K23" i="19"/>
  <c r="K382" i="19"/>
  <c r="K163" i="17"/>
  <c r="K426" i="17"/>
  <c r="K413" i="17"/>
  <c r="K436" i="17"/>
  <c r="K323" i="17"/>
  <c r="K263" i="17"/>
  <c r="M242" i="17"/>
  <c r="K498" i="17"/>
  <c r="K496" i="17"/>
  <c r="K242" i="17"/>
  <c r="K83" i="17"/>
  <c r="K349" i="17"/>
  <c r="K486" i="17"/>
  <c r="K455" i="17"/>
  <c r="K271" i="17"/>
  <c r="K506" i="17"/>
  <c r="K410" i="17"/>
  <c r="K488" i="17"/>
  <c r="M240" i="17"/>
  <c r="K177" i="17"/>
  <c r="K483" i="17"/>
  <c r="K251" i="17"/>
  <c r="M512" i="17"/>
  <c r="K512" i="17"/>
  <c r="K497" i="17"/>
  <c r="M508" i="17"/>
  <c r="M478" i="17"/>
  <c r="M266" i="17"/>
  <c r="K182" i="17"/>
  <c r="M273" i="17"/>
  <c r="K273" i="17"/>
  <c r="K162" i="17"/>
  <c r="K482" i="17"/>
  <c r="M482" i="17"/>
  <c r="M331" i="17"/>
  <c r="K280" i="17"/>
  <c r="K316" i="17"/>
  <c r="K152" i="17"/>
  <c r="K507" i="17"/>
  <c r="M484" i="17"/>
  <c r="K228" i="17"/>
  <c r="K185" i="17"/>
  <c r="K220" i="17"/>
  <c r="M118" i="17"/>
  <c r="K397" i="17"/>
  <c r="K317" i="17"/>
  <c r="K89" i="17"/>
  <c r="K72" i="17"/>
  <c r="K508" i="19"/>
  <c r="K507" i="19"/>
  <c r="K501" i="19"/>
  <c r="K491" i="19"/>
  <c r="K449" i="19"/>
  <c r="K190" i="19"/>
  <c r="M87" i="19"/>
  <c r="K57" i="19"/>
  <c r="K446" i="19"/>
  <c r="K339" i="19"/>
  <c r="K258" i="19"/>
  <c r="M213" i="19"/>
  <c r="K153" i="19"/>
  <c r="K313" i="19"/>
  <c r="K254" i="19"/>
  <c r="M216" i="19"/>
  <c r="K205" i="19"/>
  <c r="K150" i="19"/>
  <c r="M135" i="19"/>
  <c r="K30" i="19"/>
  <c r="M15" i="19"/>
  <c r="K348" i="19"/>
  <c r="K235" i="19"/>
  <c r="M212" i="19"/>
  <c r="K207" i="19"/>
  <c r="K249" i="19"/>
  <c r="M145" i="19"/>
  <c r="M452" i="19"/>
  <c r="K447" i="19"/>
  <c r="K416" i="19"/>
  <c r="M126" i="19"/>
  <c r="M31" i="19"/>
  <c r="K4" i="19"/>
  <c r="M422" i="19"/>
  <c r="M421" i="19"/>
  <c r="K353" i="19"/>
  <c r="K340" i="19"/>
  <c r="K314" i="19"/>
  <c r="K253" i="19"/>
  <c r="K225" i="19"/>
  <c r="K187" i="19"/>
  <c r="M151" i="19"/>
  <c r="K119" i="19"/>
  <c r="K50" i="19"/>
  <c r="K41" i="19"/>
  <c r="K40" i="19"/>
  <c r="K22" i="19"/>
  <c r="K490" i="19"/>
  <c r="K460" i="19"/>
  <c r="K323" i="19"/>
  <c r="K226" i="19"/>
  <c r="K120" i="19"/>
  <c r="K63" i="19"/>
  <c r="K31" i="19"/>
  <c r="K405" i="19"/>
  <c r="K156" i="19"/>
  <c r="M147" i="19"/>
  <c r="K146" i="19"/>
  <c r="M86" i="19"/>
  <c r="K52" i="19"/>
  <c r="K14" i="19"/>
  <c r="K512" i="19"/>
  <c r="K487" i="19"/>
  <c r="K476" i="19"/>
  <c r="M459" i="19"/>
  <c r="M450" i="19"/>
  <c r="K408" i="19"/>
  <c r="K406" i="19"/>
  <c r="K374" i="19"/>
  <c r="K359" i="19"/>
  <c r="K208" i="19"/>
  <c r="K116" i="19"/>
  <c r="K61" i="19"/>
  <c r="K47" i="19"/>
  <c r="M447" i="19"/>
  <c r="M420" i="19"/>
  <c r="K410" i="19"/>
  <c r="K404" i="19"/>
  <c r="K397" i="19"/>
  <c r="K305" i="19"/>
  <c r="K206" i="19"/>
  <c r="K62" i="19"/>
  <c r="K456" i="17"/>
  <c r="K324" i="17"/>
  <c r="K274" i="17"/>
  <c r="K234" i="17"/>
  <c r="K161" i="17"/>
  <c r="K153" i="17"/>
  <c r="K127" i="17"/>
  <c r="K92" i="17"/>
  <c r="M91" i="17"/>
  <c r="K86" i="17"/>
  <c r="K505" i="17"/>
  <c r="K504" i="17"/>
  <c r="M479" i="17"/>
  <c r="K474" i="17"/>
  <c r="K454" i="17"/>
  <c r="K341" i="17"/>
  <c r="K325" i="17"/>
  <c r="K320" i="17"/>
  <c r="K272" i="17"/>
  <c r="K266" i="17"/>
  <c r="M239" i="17"/>
  <c r="K140" i="17"/>
  <c r="M116" i="17"/>
  <c r="K91" i="17"/>
  <c r="M88" i="17"/>
  <c r="K492" i="17"/>
  <c r="M485" i="17"/>
  <c r="K477" i="17"/>
  <c r="K437" i="17"/>
  <c r="K420" i="17"/>
  <c r="K348" i="17"/>
  <c r="K331" i="17"/>
  <c r="K330" i="17"/>
  <c r="K279" i="17"/>
  <c r="K256" i="17"/>
  <c r="K240" i="17"/>
  <c r="K212" i="17"/>
  <c r="K148" i="17"/>
  <c r="K93" i="17"/>
  <c r="M62" i="17"/>
  <c r="K479" i="17"/>
  <c r="M476" i="17"/>
  <c r="K464" i="17"/>
  <c r="K396" i="17"/>
  <c r="K318" i="17"/>
  <c r="K219" i="17"/>
  <c r="M169" i="17"/>
  <c r="K136" i="17"/>
  <c r="M117" i="17"/>
  <c r="M175" i="17"/>
  <c r="K476" i="17"/>
  <c r="K186" i="17"/>
  <c r="M86" i="17"/>
  <c r="K70" i="17"/>
  <c r="M57" i="17"/>
  <c r="K503" i="17"/>
  <c r="K404" i="17"/>
  <c r="K338" i="17"/>
  <c r="K314" i="17"/>
  <c r="M85" i="17"/>
  <c r="K481" i="17"/>
  <c r="K457" i="17"/>
  <c r="K427" i="17"/>
  <c r="M389" i="17"/>
  <c r="K510" i="17"/>
  <c r="K509" i="17"/>
  <c r="K501" i="17"/>
  <c r="K493" i="17"/>
  <c r="K490" i="17"/>
  <c r="K489" i="17"/>
  <c r="M480" i="17"/>
  <c r="K478" i="17"/>
  <c r="M475" i="17"/>
  <c r="K472" i="17"/>
  <c r="K471" i="17"/>
  <c r="K465" i="17"/>
  <c r="M417" i="17"/>
  <c r="K402" i="17"/>
  <c r="K508" i="17"/>
  <c r="K502" i="17"/>
  <c r="K500" i="17"/>
  <c r="K499" i="17"/>
  <c r="M477" i="17"/>
  <c r="K412" i="17"/>
  <c r="K400" i="17"/>
  <c r="K391" i="17"/>
  <c r="K494" i="17"/>
  <c r="K480" i="17"/>
  <c r="K475" i="17"/>
  <c r="K470" i="17"/>
  <c r="K462" i="17"/>
  <c r="K403" i="17"/>
  <c r="M390" i="17"/>
  <c r="M387" i="17"/>
  <c r="K387" i="17"/>
  <c r="K428" i="17"/>
  <c r="M418" i="17"/>
  <c r="K418" i="17"/>
  <c r="K495" i="17"/>
  <c r="K463" i="17"/>
  <c r="K429" i="17"/>
  <c r="K419" i="17"/>
  <c r="M395" i="17"/>
  <c r="K395" i="17"/>
  <c r="M421" i="17"/>
  <c r="K421" i="17"/>
  <c r="M416" i="17"/>
  <c r="K87" i="17"/>
  <c r="M87" i="17"/>
  <c r="K394" i="17"/>
  <c r="K264" i="17"/>
  <c r="M236" i="17"/>
  <c r="K187" i="17"/>
  <c r="K405" i="17"/>
  <c r="K346" i="17"/>
  <c r="K340" i="17"/>
  <c r="K339" i="17"/>
  <c r="K288" i="17"/>
  <c r="K265" i="17"/>
  <c r="K236" i="17"/>
  <c r="K211" i="17"/>
  <c r="K154" i="17"/>
  <c r="K146" i="17"/>
  <c r="M115" i="17"/>
  <c r="K347" i="17"/>
  <c r="K322" i="17"/>
  <c r="M249" i="17"/>
  <c r="M238" i="17"/>
  <c r="K227" i="17"/>
  <c r="K226" i="17"/>
  <c r="K217" i="17"/>
  <c r="M178" i="17"/>
  <c r="M177" i="17"/>
  <c r="K145" i="17"/>
  <c r="K388" i="17"/>
  <c r="K333" i="17"/>
  <c r="K332" i="17"/>
  <c r="K289" i="17"/>
  <c r="K282" i="17"/>
  <c r="K250" i="17"/>
  <c r="K218" i="17"/>
  <c r="K210" i="17"/>
  <c r="K209" i="17"/>
  <c r="K184" i="17"/>
  <c r="K155" i="17"/>
  <c r="M120" i="17"/>
  <c r="M147" i="17"/>
  <c r="K147" i="17"/>
  <c r="M146" i="17"/>
  <c r="K130" i="17"/>
  <c r="M121" i="17"/>
  <c r="M90" i="17"/>
  <c r="K88" i="17"/>
  <c r="K81" i="17"/>
  <c r="K80" i="17"/>
  <c r="K73" i="17"/>
  <c r="M63" i="17"/>
  <c r="K25" i="17"/>
  <c r="K509" i="19"/>
  <c r="K478" i="19"/>
  <c r="K451" i="19"/>
  <c r="K435" i="19"/>
  <c r="M435" i="19"/>
  <c r="K433" i="19"/>
  <c r="K427" i="19"/>
  <c r="K425" i="19"/>
  <c r="M423" i="19"/>
  <c r="K85" i="17"/>
  <c r="K505" i="19"/>
  <c r="K481" i="19"/>
  <c r="K480" i="19"/>
  <c r="K479" i="19"/>
  <c r="M455" i="19"/>
  <c r="K452" i="19"/>
  <c r="K436" i="19"/>
  <c r="M418" i="19"/>
  <c r="M399" i="19"/>
  <c r="K399" i="19"/>
  <c r="M119" i="17"/>
  <c r="K90" i="17"/>
  <c r="K30" i="17"/>
  <c r="K510" i="19"/>
  <c r="K496" i="19"/>
  <c r="K482" i="19"/>
  <c r="K468" i="19"/>
  <c r="M439" i="19"/>
  <c r="K428" i="19"/>
  <c r="M95" i="17"/>
  <c r="M59" i="17"/>
  <c r="K21" i="17"/>
  <c r="K17" i="17"/>
  <c r="K506" i="19"/>
  <c r="K441" i="19"/>
  <c r="M416" i="19"/>
  <c r="M373" i="19"/>
  <c r="K373" i="19"/>
  <c r="M55" i="17"/>
  <c r="K28" i="17"/>
  <c r="K511" i="19"/>
  <c r="K444" i="19"/>
  <c r="K418" i="19"/>
  <c r="K398" i="19"/>
  <c r="M389" i="19"/>
  <c r="K389" i="19"/>
  <c r="K383" i="19"/>
  <c r="K78" i="17"/>
  <c r="K75" i="17"/>
  <c r="K23" i="17"/>
  <c r="K471" i="19"/>
  <c r="M465" i="19"/>
  <c r="K465" i="19"/>
  <c r="M390" i="19"/>
  <c r="K390" i="19"/>
  <c r="K237" i="19"/>
  <c r="K134" i="19"/>
  <c r="M134" i="19"/>
  <c r="K391" i="19"/>
  <c r="K372" i="19"/>
  <c r="K361" i="19"/>
  <c r="K324" i="19"/>
  <c r="K306" i="19"/>
  <c r="K230" i="19"/>
  <c r="K157" i="19"/>
  <c r="K396" i="19"/>
  <c r="K375" i="19"/>
  <c r="K337" i="19"/>
  <c r="K329" i="19"/>
  <c r="K321" i="19"/>
  <c r="K271" i="19"/>
  <c r="K245" i="19"/>
  <c r="K220" i="19"/>
  <c r="K148" i="19"/>
  <c r="M148" i="19"/>
  <c r="K140" i="19"/>
  <c r="K131" i="19"/>
  <c r="K118" i="19"/>
  <c r="K367" i="19"/>
  <c r="K332" i="19"/>
  <c r="K330" i="19"/>
  <c r="K322" i="19"/>
  <c r="K315" i="19"/>
  <c r="K307" i="19"/>
  <c r="K277" i="19"/>
  <c r="K272" i="19"/>
  <c r="K270" i="19"/>
  <c r="K262" i="19"/>
  <c r="K257" i="19"/>
  <c r="K223" i="19"/>
  <c r="M223" i="19"/>
  <c r="K380" i="19"/>
  <c r="K345" i="19"/>
  <c r="K331" i="19"/>
  <c r="K308" i="19"/>
  <c r="K269" i="19"/>
  <c r="K250" i="19"/>
  <c r="K241" i="19"/>
  <c r="K239" i="19"/>
  <c r="K238" i="19"/>
  <c r="K229" i="19"/>
  <c r="M229" i="19"/>
  <c r="K215" i="19"/>
  <c r="M154" i="19"/>
  <c r="K154" i="19"/>
  <c r="M44" i="19"/>
  <c r="K44" i="19"/>
  <c r="K158" i="19"/>
  <c r="K137" i="19"/>
  <c r="K152" i="19"/>
  <c r="M152" i="19"/>
  <c r="M117" i="19"/>
  <c r="K100" i="19"/>
  <c r="M94" i="19"/>
  <c r="K94" i="19"/>
  <c r="K211" i="19"/>
  <c r="M211" i="19"/>
  <c r="K196" i="19"/>
  <c r="M119" i="19"/>
  <c r="M85" i="19"/>
  <c r="K56" i="19"/>
  <c r="M30" i="19"/>
  <c r="K246" i="19"/>
  <c r="K236" i="19"/>
  <c r="K212" i="19"/>
  <c r="K201" i="19"/>
  <c r="K200" i="19"/>
  <c r="K149" i="19"/>
  <c r="K145" i="19"/>
  <c r="M129" i="19"/>
  <c r="M121" i="19"/>
  <c r="M115" i="19"/>
  <c r="M26" i="19"/>
  <c r="K25" i="19"/>
  <c r="M214" i="19"/>
  <c r="M124" i="19"/>
  <c r="K115" i="19"/>
  <c r="M88" i="19"/>
  <c r="M61" i="19"/>
  <c r="K20" i="19"/>
  <c r="K16" i="19"/>
  <c r="K55" i="19"/>
  <c r="K472" i="19"/>
  <c r="M392" i="19"/>
  <c r="K392" i="19"/>
  <c r="K401" i="19"/>
  <c r="M356" i="19"/>
  <c r="K356" i="19"/>
  <c r="K440" i="19"/>
  <c r="K424" i="19"/>
  <c r="M424" i="19"/>
  <c r="K409" i="19"/>
  <c r="M409" i="19"/>
  <c r="K402" i="19"/>
  <c r="K464" i="19"/>
  <c r="M464" i="19"/>
  <c r="K432" i="19"/>
  <c r="M512" i="19"/>
  <c r="M511" i="19"/>
  <c r="M510" i="19"/>
  <c r="M509" i="19"/>
  <c r="M508" i="19"/>
  <c r="M507" i="19"/>
  <c r="M506" i="19"/>
  <c r="M505" i="19"/>
  <c r="M499" i="19"/>
  <c r="M495" i="19"/>
  <c r="M494" i="19"/>
  <c r="M493" i="19"/>
  <c r="K448" i="19"/>
  <c r="M448" i="19"/>
  <c r="M387" i="19"/>
  <c r="K387" i="19"/>
  <c r="K368" i="19"/>
  <c r="K456" i="19"/>
  <c r="M456" i="19"/>
  <c r="K417" i="19"/>
  <c r="M417" i="19"/>
  <c r="K400" i="19"/>
  <c r="M469" i="19"/>
  <c r="M453" i="19"/>
  <c r="M445" i="19"/>
  <c r="M429" i="19"/>
  <c r="K421" i="19"/>
  <c r="M415" i="19"/>
  <c r="M385" i="19"/>
  <c r="K385" i="19"/>
  <c r="K466" i="19"/>
  <c r="K458" i="19"/>
  <c r="K450" i="19"/>
  <c r="K442" i="19"/>
  <c r="K434" i="19"/>
  <c r="K426" i="19"/>
  <c r="K384" i="19"/>
  <c r="K469" i="19"/>
  <c r="K461" i="19"/>
  <c r="K453" i="19"/>
  <c r="K445" i="19"/>
  <c r="K437" i="19"/>
  <c r="K429" i="19"/>
  <c r="K415" i="19"/>
  <c r="K407" i="19"/>
  <c r="M489" i="19"/>
  <c r="M486" i="19"/>
  <c r="M485" i="19"/>
  <c r="M484" i="19"/>
  <c r="M483" i="19"/>
  <c r="M482" i="19"/>
  <c r="M481" i="19"/>
  <c r="M480" i="19"/>
  <c r="M479" i="19"/>
  <c r="M478" i="19"/>
  <c r="M477" i="19"/>
  <c r="M476" i="19"/>
  <c r="M475" i="19"/>
  <c r="M454" i="19"/>
  <c r="M446" i="19"/>
  <c r="K420" i="19"/>
  <c r="K412" i="19"/>
  <c r="K403" i="19"/>
  <c r="K377" i="19"/>
  <c r="M419" i="19"/>
  <c r="M395" i="19"/>
  <c r="K395" i="19"/>
  <c r="M393" i="19"/>
  <c r="K393" i="19"/>
  <c r="K376" i="19"/>
  <c r="K419" i="19"/>
  <c r="K411" i="19"/>
  <c r="M365" i="19"/>
  <c r="M355" i="19"/>
  <c r="K318" i="19"/>
  <c r="K303" i="19"/>
  <c r="M303" i="19"/>
  <c r="K394" i="19"/>
  <c r="K386" i="19"/>
  <c r="K378" i="19"/>
  <c r="K370" i="19"/>
  <c r="K352" i="19"/>
  <c r="M326" i="19"/>
  <c r="K326" i="19"/>
  <c r="K282" i="19"/>
  <c r="M276" i="19"/>
  <c r="K276" i="19"/>
  <c r="M364" i="19"/>
  <c r="K362" i="19"/>
  <c r="M359" i="19"/>
  <c r="K351" i="19"/>
  <c r="M343" i="19"/>
  <c r="K343" i="19"/>
  <c r="K334" i="19"/>
  <c r="K310" i="19"/>
  <c r="K379" i="19"/>
  <c r="K371" i="19"/>
  <c r="M358" i="19"/>
  <c r="M366" i="19"/>
  <c r="K365" i="19"/>
  <c r="M363" i="19"/>
  <c r="K355" i="19"/>
  <c r="K295" i="19"/>
  <c r="M295" i="19"/>
  <c r="M267" i="19"/>
  <c r="K267" i="19"/>
  <c r="K369" i="19"/>
  <c r="M362" i="19"/>
  <c r="K360" i="19"/>
  <c r="M344" i="19"/>
  <c r="K344" i="19"/>
  <c r="M336" i="19"/>
  <c r="K336" i="19"/>
  <c r="M334" i="19"/>
  <c r="M328" i="19"/>
  <c r="K328" i="19"/>
  <c r="K357" i="19"/>
  <c r="K349" i="19"/>
  <c r="K333" i="19"/>
  <c r="K325" i="19"/>
  <c r="K317" i="19"/>
  <c r="K309" i="19"/>
  <c r="K302" i="19"/>
  <c r="M302" i="19"/>
  <c r="K294" i="19"/>
  <c r="K283" i="19"/>
  <c r="M283" i="19"/>
  <c r="K320" i="19"/>
  <c r="K312" i="19"/>
  <c r="K304" i="19"/>
  <c r="K301" i="19"/>
  <c r="M301" i="19"/>
  <c r="K293" i="19"/>
  <c r="K284" i="19"/>
  <c r="M284" i="19"/>
  <c r="K233" i="19"/>
  <c r="K300" i="19"/>
  <c r="M300" i="19"/>
  <c r="K292" i="19"/>
  <c r="K285" i="19"/>
  <c r="M285" i="19"/>
  <c r="K299" i="19"/>
  <c r="M299" i="19"/>
  <c r="K291" i="19"/>
  <c r="K286" i="19"/>
  <c r="K278" i="19"/>
  <c r="M275" i="19"/>
  <c r="K275" i="19"/>
  <c r="K298" i="19"/>
  <c r="M298" i="19"/>
  <c r="K290" i="19"/>
  <c r="K287" i="19"/>
  <c r="K279" i="19"/>
  <c r="M279" i="19"/>
  <c r="M240" i="19"/>
  <c r="K240" i="19"/>
  <c r="K297" i="19"/>
  <c r="M297" i="19"/>
  <c r="K289" i="19"/>
  <c r="M289" i="19"/>
  <c r="K288" i="19"/>
  <c r="K280" i="19"/>
  <c r="K335" i="19"/>
  <c r="K327" i="19"/>
  <c r="K319" i="19"/>
  <c r="K311" i="19"/>
  <c r="K296" i="19"/>
  <c r="M296" i="19"/>
  <c r="K281" i="19"/>
  <c r="K274" i="19"/>
  <c r="K266" i="19"/>
  <c r="K263" i="19"/>
  <c r="K259" i="19"/>
  <c r="K255" i="19"/>
  <c r="K251" i="19"/>
  <c r="K247" i="19"/>
  <c r="M241" i="19"/>
  <c r="M236" i="19"/>
  <c r="K209" i="19"/>
  <c r="M209" i="19"/>
  <c r="M242" i="19"/>
  <c r="M243" i="19"/>
  <c r="M237" i="19"/>
  <c r="K202" i="19"/>
  <c r="K273" i="19"/>
  <c r="K242" i="19"/>
  <c r="M238" i="19"/>
  <c r="M235" i="19"/>
  <c r="K268" i="19"/>
  <c r="K264" i="19"/>
  <c r="K260" i="19"/>
  <c r="K256" i="19"/>
  <c r="K252" i="19"/>
  <c r="K248" i="19"/>
  <c r="K244" i="19"/>
  <c r="K243" i="19"/>
  <c r="M239" i="19"/>
  <c r="K231" i="19"/>
  <c r="K184" i="19"/>
  <c r="M184" i="19"/>
  <c r="K180" i="19"/>
  <c r="M180" i="19"/>
  <c r="K176" i="19"/>
  <c r="M176" i="19"/>
  <c r="K142" i="19"/>
  <c r="K198" i="19"/>
  <c r="M194" i="19"/>
  <c r="K194" i="19"/>
  <c r="M206" i="19"/>
  <c r="K172" i="19"/>
  <c r="K168" i="19"/>
  <c r="K164" i="19"/>
  <c r="M164" i="19"/>
  <c r="M205" i="19"/>
  <c r="K203" i="19"/>
  <c r="K199" i="19"/>
  <c r="K195" i="19"/>
  <c r="M193" i="19"/>
  <c r="K185" i="19"/>
  <c r="M185" i="19"/>
  <c r="K181" i="19"/>
  <c r="M181" i="19"/>
  <c r="K177" i="19"/>
  <c r="M177" i="19"/>
  <c r="K175" i="19"/>
  <c r="M175" i="19"/>
  <c r="K171" i="19"/>
  <c r="K167" i="19"/>
  <c r="M207" i="19"/>
  <c r="K186" i="19"/>
  <c r="M186" i="19"/>
  <c r="K182" i="19"/>
  <c r="M182" i="19"/>
  <c r="K178" i="19"/>
  <c r="M178" i="19"/>
  <c r="M210" i="19"/>
  <c r="M189" i="19"/>
  <c r="K174" i="19"/>
  <c r="K170" i="19"/>
  <c r="K166" i="19"/>
  <c r="M199" i="19"/>
  <c r="M195" i="19"/>
  <c r="K183" i="19"/>
  <c r="M183" i="19"/>
  <c r="K179" i="19"/>
  <c r="M179" i="19"/>
  <c r="K161" i="19"/>
  <c r="K210" i="19"/>
  <c r="K173" i="19"/>
  <c r="K169" i="19"/>
  <c r="M169" i="19"/>
  <c r="K165" i="19"/>
  <c r="M165" i="19"/>
  <c r="K162" i="19"/>
  <c r="K160" i="19"/>
  <c r="K138" i="19"/>
  <c r="K136" i="19"/>
  <c r="K128" i="19"/>
  <c r="K159" i="19"/>
  <c r="K133" i="19"/>
  <c r="M120" i="19"/>
  <c r="K109" i="19"/>
  <c r="M109" i="19"/>
  <c r="K105" i="19"/>
  <c r="M105" i="19"/>
  <c r="K101" i="19"/>
  <c r="K123" i="19"/>
  <c r="M122" i="19"/>
  <c r="K125" i="19"/>
  <c r="K122" i="19"/>
  <c r="M118" i="19"/>
  <c r="K110" i="19"/>
  <c r="K106" i="19"/>
  <c r="K102" i="19"/>
  <c r="M139" i="19"/>
  <c r="K130" i="19"/>
  <c r="K121" i="19"/>
  <c r="K111" i="19"/>
  <c r="K107" i="19"/>
  <c r="K103" i="19"/>
  <c r="M103" i="19"/>
  <c r="M123" i="19"/>
  <c r="M125" i="19"/>
  <c r="K108" i="19"/>
  <c r="K104" i="19"/>
  <c r="M104" i="19"/>
  <c r="K114" i="19"/>
  <c r="K117" i="19"/>
  <c r="K113" i="19"/>
  <c r="M116" i="19"/>
  <c r="M93" i="19"/>
  <c r="K96" i="19"/>
  <c r="K80" i="19"/>
  <c r="K92" i="19"/>
  <c r="K90" i="19"/>
  <c r="K99" i="19"/>
  <c r="K95" i="19"/>
  <c r="K91" i="19"/>
  <c r="K89" i="19"/>
  <c r="K87" i="19"/>
  <c r="K85" i="19"/>
  <c r="K79" i="19"/>
  <c r="K78" i="19"/>
  <c r="M60" i="19"/>
  <c r="K60" i="19"/>
  <c r="K84" i="19"/>
  <c r="K88" i="19"/>
  <c r="K86" i="19"/>
  <c r="K83" i="19"/>
  <c r="K76" i="19"/>
  <c r="K82" i="19"/>
  <c r="K81" i="19"/>
  <c r="K77" i="19"/>
  <c r="M59" i="19"/>
  <c r="K59" i="19"/>
  <c r="K75" i="19"/>
  <c r="K74" i="19"/>
  <c r="K73" i="19"/>
  <c r="K72" i="19"/>
  <c r="K71" i="19"/>
  <c r="K70" i="19"/>
  <c r="K69" i="19"/>
  <c r="K68" i="19"/>
  <c r="K67" i="19"/>
  <c r="K66" i="19"/>
  <c r="K65" i="19"/>
  <c r="K64" i="19"/>
  <c r="M62" i="19"/>
  <c r="M49" i="19"/>
  <c r="K42" i="19"/>
  <c r="K51" i="19"/>
  <c r="M43" i="19"/>
  <c r="K43" i="19"/>
  <c r="M45" i="19"/>
  <c r="M57" i="19"/>
  <c r="K54" i="19"/>
  <c r="M56" i="19"/>
  <c r="M39" i="19"/>
  <c r="K39" i="19"/>
  <c r="K38" i="19"/>
  <c r="M75" i="19"/>
  <c r="M74" i="19"/>
  <c r="K34" i="19"/>
  <c r="M34" i="19"/>
  <c r="K33" i="19"/>
  <c r="M33" i="19"/>
  <c r="K19" i="19"/>
  <c r="M19" i="19"/>
  <c r="K11" i="19"/>
  <c r="K48" i="19"/>
  <c r="M28" i="19"/>
  <c r="K21" i="19"/>
  <c r="K35" i="19"/>
  <c r="K13" i="19"/>
  <c r="K46" i="19"/>
  <c r="K32" i="19"/>
  <c r="K26" i="19"/>
  <c r="K18" i="19"/>
  <c r="M36" i="19"/>
  <c r="K27" i="19"/>
  <c r="M27" i="19"/>
  <c r="M35" i="19"/>
  <c r="M32" i="19"/>
  <c r="K29" i="19"/>
  <c r="K10" i="19"/>
  <c r="K6" i="19"/>
  <c r="M5" i="19"/>
  <c r="K8" i="19"/>
  <c r="M25" i="19"/>
  <c r="M9" i="19"/>
  <c r="K468" i="17"/>
  <c r="K460" i="17"/>
  <c r="K452" i="17"/>
  <c r="K444" i="17"/>
  <c r="M434" i="17"/>
  <c r="K449" i="17"/>
  <c r="M449" i="17"/>
  <c r="K441" i="17"/>
  <c r="M423" i="17"/>
  <c r="K406" i="17"/>
  <c r="K447" i="17"/>
  <c r="M447" i="17"/>
  <c r="K466" i="17"/>
  <c r="K458" i="17"/>
  <c r="K450" i="17"/>
  <c r="K446" i="17"/>
  <c r="M446" i="17"/>
  <c r="M415" i="17"/>
  <c r="K415" i="17"/>
  <c r="K469" i="17"/>
  <c r="K461" i="17"/>
  <c r="K453" i="17"/>
  <c r="K443" i="17"/>
  <c r="K440" i="17"/>
  <c r="M435" i="17"/>
  <c r="M422" i="17"/>
  <c r="K422" i="17"/>
  <c r="K414" i="17"/>
  <c r="K448" i="17"/>
  <c r="M448" i="17"/>
  <c r="K430" i="17"/>
  <c r="K467" i="17"/>
  <c r="K459" i="17"/>
  <c r="K451" i="17"/>
  <c r="K445" i="17"/>
  <c r="M445" i="17"/>
  <c r="K442" i="17"/>
  <c r="K431" i="17"/>
  <c r="K423" i="17"/>
  <c r="K374" i="17"/>
  <c r="M374" i="17"/>
  <c r="K370" i="17"/>
  <c r="K366" i="17"/>
  <c r="M366" i="17"/>
  <c r="M439" i="17"/>
  <c r="K432" i="17"/>
  <c r="K424" i="17"/>
  <c r="K416" i="17"/>
  <c r="K408" i="17"/>
  <c r="K375" i="17"/>
  <c r="M375" i="17"/>
  <c r="K371" i="17"/>
  <c r="K367" i="17"/>
  <c r="K398" i="17"/>
  <c r="K439" i="17"/>
  <c r="K433" i="17"/>
  <c r="K425" i="17"/>
  <c r="K417" i="17"/>
  <c r="K409" i="17"/>
  <c r="K401" i="17"/>
  <c r="K393" i="17"/>
  <c r="K390" i="17"/>
  <c r="K376" i="17"/>
  <c r="K372" i="17"/>
  <c r="K368" i="17"/>
  <c r="K364" i="17"/>
  <c r="M364" i="17"/>
  <c r="K407" i="17"/>
  <c r="K399" i="17"/>
  <c r="K389" i="17"/>
  <c r="K377" i="17"/>
  <c r="K373" i="17"/>
  <c r="M373" i="17"/>
  <c r="K369" i="17"/>
  <c r="M369" i="17"/>
  <c r="K365" i="17"/>
  <c r="M365" i="17"/>
  <c r="K351" i="17"/>
  <c r="K386" i="17"/>
  <c r="M386" i="17"/>
  <c r="K385" i="17"/>
  <c r="M385" i="17"/>
  <c r="K384" i="17"/>
  <c r="K383" i="17"/>
  <c r="K382" i="17"/>
  <c r="K381" i="17"/>
  <c r="K380" i="17"/>
  <c r="K379" i="17"/>
  <c r="M379" i="17"/>
  <c r="K378" i="17"/>
  <c r="K350" i="17"/>
  <c r="M363" i="17"/>
  <c r="M362" i="17"/>
  <c r="M361" i="17"/>
  <c r="M360" i="17"/>
  <c r="M359" i="17"/>
  <c r="M358" i="17"/>
  <c r="M357" i="17"/>
  <c r="M356" i="17"/>
  <c r="M355" i="17"/>
  <c r="K352" i="17"/>
  <c r="K344" i="17"/>
  <c r="K336" i="17"/>
  <c r="K328" i="17"/>
  <c r="K312" i="17"/>
  <c r="K342" i="17"/>
  <c r="K334" i="17"/>
  <c r="K326" i="17"/>
  <c r="K319" i="17"/>
  <c r="M315" i="17"/>
  <c r="K296" i="17"/>
  <c r="M296" i="17"/>
  <c r="K363" i="17"/>
  <c r="K362" i="17"/>
  <c r="K361" i="17"/>
  <c r="K360" i="17"/>
  <c r="K359" i="17"/>
  <c r="K358" i="17"/>
  <c r="K357" i="17"/>
  <c r="K356" i="17"/>
  <c r="K355" i="17"/>
  <c r="K354" i="17"/>
  <c r="K353" i="17"/>
  <c r="K345" i="17"/>
  <c r="K337" i="17"/>
  <c r="K329" i="17"/>
  <c r="K321" i="17"/>
  <c r="K308" i="17"/>
  <c r="K343" i="17"/>
  <c r="K335" i="17"/>
  <c r="K327" i="17"/>
  <c r="M319" i="17"/>
  <c r="K311" i="17"/>
  <c r="K304" i="17"/>
  <c r="M304" i="17"/>
  <c r="K300" i="17"/>
  <c r="M300" i="17"/>
  <c r="K303" i="17"/>
  <c r="M303" i="17"/>
  <c r="K309" i="17"/>
  <c r="M309" i="17"/>
  <c r="K301" i="17"/>
  <c r="M301" i="17"/>
  <c r="K297" i="17"/>
  <c r="M297" i="17"/>
  <c r="K293" i="17"/>
  <c r="K306" i="17"/>
  <c r="M306" i="17"/>
  <c r="K292" i="17"/>
  <c r="M284" i="17"/>
  <c r="K284" i="17"/>
  <c r="M283" i="17"/>
  <c r="M285" i="17"/>
  <c r="K285" i="17"/>
  <c r="K313" i="17"/>
  <c r="M313" i="17"/>
  <c r="K305" i="17"/>
  <c r="M305" i="17"/>
  <c r="K299" i="17"/>
  <c r="M299" i="17"/>
  <c r="K295" i="17"/>
  <c r="M295" i="17"/>
  <c r="K291" i="17"/>
  <c r="K286" i="17"/>
  <c r="K310" i="17"/>
  <c r="K302" i="17"/>
  <c r="M302" i="17"/>
  <c r="M269" i="17"/>
  <c r="K269" i="17"/>
  <c r="K307" i="17"/>
  <c r="K298" i="17"/>
  <c r="M298" i="17"/>
  <c r="K294" i="17"/>
  <c r="K278" i="17"/>
  <c r="M213" i="17"/>
  <c r="K213" i="17"/>
  <c r="K277" i="17"/>
  <c r="K270" i="17"/>
  <c r="K262" i="17"/>
  <c r="K260" i="17"/>
  <c r="M254" i="17"/>
  <c r="K276" i="17"/>
  <c r="K268" i="17"/>
  <c r="M244" i="17"/>
  <c r="K235" i="17"/>
  <c r="M235" i="17"/>
  <c r="K203" i="17"/>
  <c r="K253" i="17"/>
  <c r="M253" i="17"/>
  <c r="K245" i="17"/>
  <c r="M245" i="17"/>
  <c r="K254" i="17"/>
  <c r="K237" i="17"/>
  <c r="M237" i="17"/>
  <c r="K255" i="17"/>
  <c r="K243" i="17"/>
  <c r="M243" i="17"/>
  <c r="M225" i="17"/>
  <c r="K225" i="17"/>
  <c r="K275" i="17"/>
  <c r="K267" i="17"/>
  <c r="K246" i="17"/>
  <c r="K247" i="17"/>
  <c r="M241" i="17"/>
  <c r="K230" i="17"/>
  <c r="M259" i="17"/>
  <c r="K231" i="17"/>
  <c r="K238" i="17"/>
  <c r="K222" i="17"/>
  <c r="M215" i="17"/>
  <c r="K215" i="17"/>
  <c r="M223" i="17"/>
  <c r="K223" i="17"/>
  <c r="M229" i="17"/>
  <c r="M224" i="17"/>
  <c r="K224" i="17"/>
  <c r="K216" i="17"/>
  <c r="K208" i="17"/>
  <c r="M207" i="17"/>
  <c r="K207" i="17"/>
  <c r="K204" i="17"/>
  <c r="K180" i="17"/>
  <c r="M180" i="17"/>
  <c r="K214" i="17"/>
  <c r="K202" i="17"/>
  <c r="K188" i="17"/>
  <c r="M206" i="17"/>
  <c r="K206" i="17"/>
  <c r="K201" i="17"/>
  <c r="K200" i="17"/>
  <c r="M199" i="17"/>
  <c r="K199" i="17"/>
  <c r="M181" i="17"/>
  <c r="K181" i="17"/>
  <c r="K166" i="17"/>
  <c r="M205" i="17"/>
  <c r="K205" i="17"/>
  <c r="K198" i="17"/>
  <c r="K197" i="17"/>
  <c r="M189" i="17"/>
  <c r="K189" i="17"/>
  <c r="M183" i="17"/>
  <c r="K183" i="17"/>
  <c r="K196" i="17"/>
  <c r="K195" i="17"/>
  <c r="K194" i="17"/>
  <c r="K193" i="17"/>
  <c r="K192" i="17"/>
  <c r="K191" i="17"/>
  <c r="K190" i="17"/>
  <c r="M156" i="17"/>
  <c r="K179" i="17"/>
  <c r="K176" i="17"/>
  <c r="M176" i="17"/>
  <c r="K174" i="17"/>
  <c r="K170" i="17"/>
  <c r="K168" i="17"/>
  <c r="M182" i="17"/>
  <c r="K178" i="17"/>
  <c r="K175" i="17"/>
  <c r="K172" i="17"/>
  <c r="K171" i="17"/>
  <c r="K143" i="17"/>
  <c r="M179" i="17"/>
  <c r="M164" i="17"/>
  <c r="K158" i="17"/>
  <c r="M139" i="17"/>
  <c r="K139" i="17"/>
  <c r="M150" i="17"/>
  <c r="K150" i="17"/>
  <c r="M148" i="17"/>
  <c r="K141" i="17"/>
  <c r="K167" i="17"/>
  <c r="M159" i="17"/>
  <c r="K159" i="17"/>
  <c r="M152" i="17"/>
  <c r="M135" i="17"/>
  <c r="K135" i="17"/>
  <c r="K165" i="17"/>
  <c r="K149" i="17"/>
  <c r="K125" i="17"/>
  <c r="M134" i="17"/>
  <c r="M133" i="17"/>
  <c r="M129" i="17"/>
  <c r="M126" i="17"/>
  <c r="K151" i="17"/>
  <c r="K124" i="17"/>
  <c r="K122" i="17"/>
  <c r="K120" i="17"/>
  <c r="K118" i="17"/>
  <c r="K116" i="17"/>
  <c r="K114" i="17"/>
  <c r="K112" i="17"/>
  <c r="K123" i="17"/>
  <c r="K121" i="17"/>
  <c r="K119" i="17"/>
  <c r="K117" i="17"/>
  <c r="K115" i="17"/>
  <c r="K113" i="17"/>
  <c r="K96" i="17"/>
  <c r="K94" i="17"/>
  <c r="M94" i="17"/>
  <c r="K58" i="17"/>
  <c r="M58" i="17"/>
  <c r="K111" i="17"/>
  <c r="K110" i="17"/>
  <c r="K109" i="17"/>
  <c r="K108" i="17"/>
  <c r="K107" i="17"/>
  <c r="K106" i="17"/>
  <c r="K105" i="17"/>
  <c r="K104" i="17"/>
  <c r="K103" i="17"/>
  <c r="K102" i="17"/>
  <c r="K101" i="17"/>
  <c r="K100" i="17"/>
  <c r="K99" i="17"/>
  <c r="K98" i="17"/>
  <c r="K97" i="17"/>
  <c r="K77" i="17"/>
  <c r="M92" i="17"/>
  <c r="K76" i="17"/>
  <c r="M74" i="17"/>
  <c r="K74" i="17"/>
  <c r="M69" i="17"/>
  <c r="K69" i="17"/>
  <c r="K68" i="17"/>
  <c r="K64" i="17"/>
  <c r="K60" i="17"/>
  <c r="M60" i="17"/>
  <c r="M32" i="17"/>
  <c r="K32" i="17"/>
  <c r="K79" i="17"/>
  <c r="K71" i="17"/>
  <c r="K66" i="17"/>
  <c r="M66" i="17"/>
  <c r="K65" i="17"/>
  <c r="M61" i="17"/>
  <c r="K61" i="17"/>
  <c r="K51" i="17"/>
  <c r="K50" i="17"/>
  <c r="K37" i="17"/>
  <c r="M33" i="17"/>
  <c r="K33" i="17"/>
  <c r="K57" i="17"/>
  <c r="K49" i="17"/>
  <c r="K45" i="17"/>
  <c r="K56" i="17"/>
  <c r="K48" i="17"/>
  <c r="K55" i="17"/>
  <c r="K47" i="17"/>
  <c r="K46" i="17"/>
  <c r="K54" i="17"/>
  <c r="K41" i="17"/>
  <c r="K62" i="17"/>
  <c r="K53" i="17"/>
  <c r="M31" i="17"/>
  <c r="K31" i="17"/>
  <c r="K59" i="17"/>
  <c r="M56" i="17"/>
  <c r="K52" i="17"/>
  <c r="M45" i="17"/>
  <c r="M44" i="17"/>
  <c r="M36" i="17"/>
  <c r="M43" i="17"/>
  <c r="M39" i="17"/>
  <c r="M35" i="17"/>
  <c r="K44" i="17"/>
  <c r="K40" i="17"/>
  <c r="K36" i="17"/>
  <c r="M34" i="17"/>
  <c r="M28" i="17"/>
  <c r="M27" i="17"/>
  <c r="K27" i="17"/>
  <c r="K18" i="17"/>
  <c r="K14" i="17"/>
  <c r="M14" i="17"/>
  <c r="K12" i="17"/>
  <c r="K10" i="17"/>
  <c r="K8" i="17"/>
  <c r="K6" i="17"/>
  <c r="M6" i="17"/>
  <c r="K26" i="17"/>
  <c r="K19" i="17"/>
  <c r="K15" i="17"/>
  <c r="K29" i="17"/>
  <c r="K13" i="17"/>
  <c r="M13" i="17"/>
  <c r="K11" i="17"/>
  <c r="K9" i="17"/>
  <c r="M9" i="17"/>
  <c r="K7" i="17"/>
  <c r="M5" i="17"/>
  <c r="M4" i="17"/>
  <c r="K5" i="17"/>
  <c r="K4" i="17"/>
  <c r="D4" i="16"/>
  <c r="M4" i="16" s="1"/>
  <c r="N4" i="16"/>
  <c r="R4" i="16"/>
  <c r="D5" i="16"/>
  <c r="N5" i="16"/>
  <c r="R5" i="16"/>
  <c r="D6" i="16"/>
  <c r="N6" i="16"/>
  <c r="R6" i="16"/>
  <c r="D7" i="16"/>
  <c r="F7" i="16" s="1"/>
  <c r="N7" i="16"/>
  <c r="R7" i="16"/>
  <c r="D8" i="16"/>
  <c r="F8" i="16" s="1"/>
  <c r="N8" i="16"/>
  <c r="R8" i="16"/>
  <c r="D9" i="16"/>
  <c r="M9" i="16" s="1"/>
  <c r="N9" i="16"/>
  <c r="R9" i="16"/>
  <c r="D10" i="16"/>
  <c r="N10" i="16"/>
  <c r="R10" i="16"/>
  <c r="D11" i="16"/>
  <c r="F11" i="16" s="1"/>
  <c r="N11" i="16"/>
  <c r="R11" i="16"/>
  <c r="D12" i="16"/>
  <c r="F12" i="16" s="1"/>
  <c r="N12" i="16"/>
  <c r="R12" i="16"/>
  <c r="D13" i="16"/>
  <c r="N13" i="16"/>
  <c r="R13" i="16"/>
  <c r="D14" i="16"/>
  <c r="K14" i="16" s="1"/>
  <c r="N14" i="16"/>
  <c r="R14" i="16"/>
  <c r="D15" i="16"/>
  <c r="M15" i="16" s="1"/>
  <c r="N15" i="16"/>
  <c r="R15" i="16"/>
  <c r="D16" i="16"/>
  <c r="N16" i="16"/>
  <c r="R16" i="16"/>
  <c r="D17" i="16"/>
  <c r="N17" i="16"/>
  <c r="R17" i="16"/>
  <c r="D18" i="16"/>
  <c r="F18" i="16" s="1"/>
  <c r="N18" i="16"/>
  <c r="R18" i="16"/>
  <c r="D19" i="16"/>
  <c r="K19" i="16" s="1"/>
  <c r="N19" i="16"/>
  <c r="R19" i="16"/>
  <c r="D20" i="16"/>
  <c r="N20" i="16"/>
  <c r="R20" i="16"/>
  <c r="D21" i="16"/>
  <c r="N21" i="16"/>
  <c r="R21" i="16"/>
  <c r="D22" i="16"/>
  <c r="K22" i="16" s="1"/>
  <c r="N22" i="16"/>
  <c r="R22" i="16"/>
  <c r="D23" i="16"/>
  <c r="F23" i="16" s="1"/>
  <c r="N23" i="16"/>
  <c r="R23" i="16"/>
  <c r="D24" i="16"/>
  <c r="N24" i="16"/>
  <c r="R24" i="16"/>
  <c r="D25" i="16"/>
  <c r="F25" i="16" s="1"/>
  <c r="E25" i="16"/>
  <c r="N25" i="16"/>
  <c r="R25" i="16"/>
  <c r="D26" i="16"/>
  <c r="F26" i="16" s="1"/>
  <c r="E26" i="16"/>
  <c r="N26" i="16"/>
  <c r="R26" i="16"/>
  <c r="D27" i="16"/>
  <c r="F27" i="16" s="1"/>
  <c r="E27" i="16"/>
  <c r="N27" i="16"/>
  <c r="R27" i="16"/>
  <c r="D28" i="16"/>
  <c r="F28" i="16" s="1"/>
  <c r="E28" i="16"/>
  <c r="N28" i="16"/>
  <c r="R28" i="16"/>
  <c r="D29" i="16"/>
  <c r="F29" i="16" s="1"/>
  <c r="E29" i="16"/>
  <c r="N29" i="16"/>
  <c r="R29" i="16"/>
  <c r="D30" i="16"/>
  <c r="F30" i="16" s="1"/>
  <c r="E30" i="16"/>
  <c r="N30" i="16"/>
  <c r="R30" i="16"/>
  <c r="D31" i="16"/>
  <c r="F31" i="16" s="1"/>
  <c r="E31" i="16"/>
  <c r="N31" i="16"/>
  <c r="R31" i="16"/>
  <c r="D32" i="16"/>
  <c r="F32" i="16" s="1"/>
  <c r="E32" i="16"/>
  <c r="N32" i="16"/>
  <c r="R32" i="16"/>
  <c r="D33" i="16"/>
  <c r="M33" i="16" s="1"/>
  <c r="N33" i="16"/>
  <c r="R33" i="16"/>
  <c r="D34" i="16"/>
  <c r="M34" i="16" s="1"/>
  <c r="N34" i="16"/>
  <c r="R34" i="16"/>
  <c r="D35" i="16"/>
  <c r="M35" i="16" s="1"/>
  <c r="N35" i="16"/>
  <c r="R35" i="16"/>
  <c r="D36" i="16"/>
  <c r="M36" i="16" s="1"/>
  <c r="N36" i="16"/>
  <c r="R36" i="16"/>
  <c r="D37" i="16"/>
  <c r="F37" i="16" s="1"/>
  <c r="N37" i="16"/>
  <c r="R37" i="16"/>
  <c r="D38" i="16"/>
  <c r="F38" i="16" s="1"/>
  <c r="N38" i="16"/>
  <c r="R38" i="16"/>
  <c r="D39" i="16"/>
  <c r="M39" i="16" s="1"/>
  <c r="N39" i="16"/>
  <c r="R39" i="16"/>
  <c r="D40" i="16"/>
  <c r="N40" i="16"/>
  <c r="R40" i="16"/>
  <c r="D41" i="16"/>
  <c r="N41" i="16"/>
  <c r="R41" i="16"/>
  <c r="D42" i="16"/>
  <c r="F42" i="16" s="1"/>
  <c r="N42" i="16"/>
  <c r="R42" i="16"/>
  <c r="D43" i="16"/>
  <c r="N43" i="16"/>
  <c r="R43" i="16"/>
  <c r="D44" i="16"/>
  <c r="K44" i="16" s="1"/>
  <c r="N44" i="16"/>
  <c r="R44" i="16"/>
  <c r="D45" i="16"/>
  <c r="K45" i="16" s="1"/>
  <c r="N45" i="16"/>
  <c r="R45" i="16"/>
  <c r="D46" i="16"/>
  <c r="N46" i="16"/>
  <c r="R46" i="16"/>
  <c r="D47" i="16"/>
  <c r="F47" i="16" s="1"/>
  <c r="N47" i="16"/>
  <c r="R47" i="16"/>
  <c r="D48" i="16"/>
  <c r="F48" i="16" s="1"/>
  <c r="N48" i="16"/>
  <c r="R48" i="16"/>
  <c r="D49" i="16"/>
  <c r="K49" i="16" s="1"/>
  <c r="N49" i="16"/>
  <c r="R49" i="16"/>
  <c r="D50" i="16"/>
  <c r="K50" i="16" s="1"/>
  <c r="N50" i="16"/>
  <c r="R50" i="16"/>
  <c r="D51" i="16"/>
  <c r="N51" i="16"/>
  <c r="R51" i="16"/>
  <c r="D52" i="16"/>
  <c r="K52" i="16" s="1"/>
  <c r="N52" i="16"/>
  <c r="R52" i="16"/>
  <c r="D53" i="16"/>
  <c r="F53" i="16" s="1"/>
  <c r="N53" i="16"/>
  <c r="R53" i="16"/>
  <c r="D54" i="16"/>
  <c r="N54" i="16"/>
  <c r="R54" i="16"/>
  <c r="D55" i="16"/>
  <c r="F55" i="16" s="1"/>
  <c r="E55" i="16"/>
  <c r="N55" i="16"/>
  <c r="R55" i="16"/>
  <c r="D56" i="16"/>
  <c r="F56" i="16" s="1"/>
  <c r="E56" i="16"/>
  <c r="N56" i="16"/>
  <c r="R56" i="16"/>
  <c r="D57" i="16"/>
  <c r="F57" i="16" s="1"/>
  <c r="E57" i="16"/>
  <c r="N57" i="16"/>
  <c r="R57" i="16"/>
  <c r="D58" i="16"/>
  <c r="E58" i="16"/>
  <c r="N58" i="16"/>
  <c r="R58" i="16"/>
  <c r="D59" i="16"/>
  <c r="F59" i="16" s="1"/>
  <c r="E59" i="16"/>
  <c r="N59" i="16"/>
  <c r="R59" i="16"/>
  <c r="D60" i="16"/>
  <c r="F60" i="16" s="1"/>
  <c r="E60" i="16"/>
  <c r="N60" i="16"/>
  <c r="R60" i="16"/>
  <c r="D61" i="16"/>
  <c r="F61" i="16" s="1"/>
  <c r="E61" i="16"/>
  <c r="N61" i="16"/>
  <c r="R61" i="16"/>
  <c r="D62" i="16"/>
  <c r="F62" i="16" s="1"/>
  <c r="E62" i="16"/>
  <c r="N62" i="16"/>
  <c r="R62" i="16"/>
  <c r="D63" i="16"/>
  <c r="K63" i="16" s="1"/>
  <c r="N63" i="16"/>
  <c r="R63" i="16"/>
  <c r="D64" i="16"/>
  <c r="M64" i="16" s="1"/>
  <c r="N64" i="16"/>
  <c r="R64" i="16"/>
  <c r="D65" i="16"/>
  <c r="K65" i="16" s="1"/>
  <c r="N65" i="16"/>
  <c r="R65" i="16"/>
  <c r="D66" i="16"/>
  <c r="K66" i="16" s="1"/>
  <c r="N66" i="16"/>
  <c r="R66" i="16"/>
  <c r="D67" i="16"/>
  <c r="F67" i="16" s="1"/>
  <c r="N67" i="16"/>
  <c r="R67" i="16"/>
  <c r="D68" i="16"/>
  <c r="N68" i="16"/>
  <c r="R68" i="16"/>
  <c r="D69" i="16"/>
  <c r="K69" i="16" s="1"/>
  <c r="N69" i="16"/>
  <c r="R69" i="16"/>
  <c r="D70" i="16"/>
  <c r="N70" i="16"/>
  <c r="R70" i="16"/>
  <c r="D71" i="16"/>
  <c r="F71" i="16" s="1"/>
  <c r="N71" i="16"/>
  <c r="R71" i="16"/>
  <c r="D72" i="16"/>
  <c r="N72" i="16"/>
  <c r="R72" i="16"/>
  <c r="D73" i="16"/>
  <c r="K73" i="16" s="1"/>
  <c r="N73" i="16"/>
  <c r="R73" i="16"/>
  <c r="D74" i="16"/>
  <c r="K74" i="16" s="1"/>
  <c r="N74" i="16"/>
  <c r="R74" i="16"/>
  <c r="D75" i="16"/>
  <c r="N75" i="16"/>
  <c r="R75" i="16"/>
  <c r="D76" i="16"/>
  <c r="N76" i="16"/>
  <c r="R76" i="16"/>
  <c r="D77" i="16"/>
  <c r="N77" i="16"/>
  <c r="R77" i="16"/>
  <c r="D78" i="16"/>
  <c r="F78" i="16" s="1"/>
  <c r="N78" i="16"/>
  <c r="R78" i="16"/>
  <c r="D79" i="16"/>
  <c r="K79" i="16" s="1"/>
  <c r="N79" i="16"/>
  <c r="R79" i="16"/>
  <c r="D80" i="16"/>
  <c r="N80" i="16"/>
  <c r="R80" i="16"/>
  <c r="D81" i="16"/>
  <c r="N81" i="16"/>
  <c r="R81" i="16"/>
  <c r="D82" i="16"/>
  <c r="N82" i="16"/>
  <c r="R82" i="16"/>
  <c r="D83" i="16"/>
  <c r="F83" i="16" s="1"/>
  <c r="N83" i="16"/>
  <c r="R83" i="16"/>
  <c r="D84" i="16"/>
  <c r="F84" i="16" s="1"/>
  <c r="N84" i="16"/>
  <c r="R84" i="16"/>
  <c r="D85" i="16"/>
  <c r="F85" i="16" s="1"/>
  <c r="E85" i="16"/>
  <c r="N85" i="16"/>
  <c r="R85" i="16"/>
  <c r="D86" i="16"/>
  <c r="F86" i="16" s="1"/>
  <c r="E86" i="16"/>
  <c r="N86" i="16"/>
  <c r="R86" i="16"/>
  <c r="D87" i="16"/>
  <c r="E87" i="16"/>
  <c r="N87" i="16"/>
  <c r="R87" i="16"/>
  <c r="D88" i="16"/>
  <c r="F88" i="16" s="1"/>
  <c r="E88" i="16"/>
  <c r="N88" i="16"/>
  <c r="R88" i="16"/>
  <c r="D89" i="16"/>
  <c r="E89" i="16"/>
  <c r="N89" i="16"/>
  <c r="R89" i="16"/>
  <c r="D90" i="16"/>
  <c r="E90" i="16"/>
  <c r="N90" i="16"/>
  <c r="R90" i="16"/>
  <c r="D91" i="16"/>
  <c r="E91" i="16"/>
  <c r="N91" i="16"/>
  <c r="R91" i="16"/>
  <c r="D92" i="16"/>
  <c r="E92" i="16"/>
  <c r="N92" i="16"/>
  <c r="R92" i="16"/>
  <c r="D93" i="16"/>
  <c r="M93" i="16" s="1"/>
  <c r="N93" i="16"/>
  <c r="R93" i="16"/>
  <c r="D94" i="16"/>
  <c r="M94" i="16" s="1"/>
  <c r="N94" i="16"/>
  <c r="R94" i="16"/>
  <c r="D95" i="16"/>
  <c r="M95" i="16" s="1"/>
  <c r="N95" i="16"/>
  <c r="R95" i="16"/>
  <c r="D96" i="16"/>
  <c r="M96" i="16" s="1"/>
  <c r="N96" i="16"/>
  <c r="R96" i="16"/>
  <c r="D97" i="16"/>
  <c r="F97" i="16" s="1"/>
  <c r="N97" i="16"/>
  <c r="R97" i="16"/>
  <c r="D98" i="16"/>
  <c r="N98" i="16"/>
  <c r="R98" i="16"/>
  <c r="D99" i="16"/>
  <c r="M99" i="16" s="1"/>
  <c r="N99" i="16"/>
  <c r="R99" i="16"/>
  <c r="D100" i="16"/>
  <c r="N100" i="16"/>
  <c r="R100" i="16"/>
  <c r="D101" i="16"/>
  <c r="F101" i="16" s="1"/>
  <c r="N101" i="16"/>
  <c r="R101" i="16"/>
  <c r="D102" i="16"/>
  <c r="F102" i="16" s="1"/>
  <c r="N102" i="16"/>
  <c r="R102" i="16"/>
  <c r="D103" i="16"/>
  <c r="N103" i="16"/>
  <c r="R103" i="16"/>
  <c r="D104" i="16"/>
  <c r="N104" i="16"/>
  <c r="R104" i="16"/>
  <c r="D105" i="16"/>
  <c r="M105" i="16" s="1"/>
  <c r="N105" i="16"/>
  <c r="R105" i="16"/>
  <c r="D106" i="16"/>
  <c r="N106" i="16"/>
  <c r="R106" i="16"/>
  <c r="D107" i="16"/>
  <c r="F107" i="16" s="1"/>
  <c r="N107" i="16"/>
  <c r="R107" i="16"/>
  <c r="D108" i="16"/>
  <c r="F108" i="16" s="1"/>
  <c r="N108" i="16"/>
  <c r="R108" i="16"/>
  <c r="D109" i="16"/>
  <c r="N109" i="16"/>
  <c r="R109" i="16"/>
  <c r="D110" i="16"/>
  <c r="N110" i="16"/>
  <c r="R110" i="16"/>
  <c r="D111" i="16"/>
  <c r="N111" i="16"/>
  <c r="R111" i="16"/>
  <c r="D112" i="16"/>
  <c r="N112" i="16"/>
  <c r="R112" i="16"/>
  <c r="D113" i="16"/>
  <c r="F113" i="16" s="1"/>
  <c r="N113" i="16"/>
  <c r="R113" i="16"/>
  <c r="D114" i="16"/>
  <c r="F114" i="16" s="1"/>
  <c r="N114" i="16"/>
  <c r="R114" i="16"/>
  <c r="D115" i="16"/>
  <c r="F115" i="16" s="1"/>
  <c r="E115" i="16"/>
  <c r="N115" i="16"/>
  <c r="R115" i="16"/>
  <c r="D116" i="16"/>
  <c r="F116" i="16" s="1"/>
  <c r="E116" i="16"/>
  <c r="N116" i="16"/>
  <c r="R116" i="16"/>
  <c r="D117" i="16"/>
  <c r="F117" i="16" s="1"/>
  <c r="E117" i="16"/>
  <c r="N117" i="16"/>
  <c r="R117" i="16"/>
  <c r="D118" i="16"/>
  <c r="F118" i="16" s="1"/>
  <c r="E118" i="16"/>
  <c r="N118" i="16"/>
  <c r="R118" i="16"/>
  <c r="D119" i="16"/>
  <c r="F119" i="16" s="1"/>
  <c r="E119" i="16"/>
  <c r="N119" i="16"/>
  <c r="R119" i="16"/>
  <c r="D120" i="16"/>
  <c r="F120" i="16" s="1"/>
  <c r="E120" i="16"/>
  <c r="N120" i="16"/>
  <c r="R120" i="16"/>
  <c r="D121" i="16"/>
  <c r="F121" i="16" s="1"/>
  <c r="E121" i="16"/>
  <c r="N121" i="16"/>
  <c r="R121" i="16"/>
  <c r="D122" i="16"/>
  <c r="F122" i="16" s="1"/>
  <c r="E122" i="16"/>
  <c r="N122" i="16"/>
  <c r="R122" i="16"/>
  <c r="D123" i="16"/>
  <c r="M123" i="16" s="1"/>
  <c r="N123" i="16"/>
  <c r="R123" i="16"/>
  <c r="D124" i="16"/>
  <c r="M124" i="16" s="1"/>
  <c r="N124" i="16"/>
  <c r="R124" i="16"/>
  <c r="D125" i="16"/>
  <c r="M125" i="16" s="1"/>
  <c r="N125" i="16"/>
  <c r="R125" i="16"/>
  <c r="D126" i="16"/>
  <c r="N126" i="16"/>
  <c r="R126" i="16"/>
  <c r="D127" i="16"/>
  <c r="F127" i="16" s="1"/>
  <c r="N127" i="16"/>
  <c r="R127" i="16"/>
  <c r="D128" i="16"/>
  <c r="F128" i="16" s="1"/>
  <c r="N128" i="16"/>
  <c r="R128" i="16"/>
  <c r="D129" i="16"/>
  <c r="N129" i="16"/>
  <c r="R129" i="16"/>
  <c r="D130" i="16"/>
  <c r="K130" i="16" s="1"/>
  <c r="N130" i="16"/>
  <c r="R130" i="16"/>
  <c r="D131" i="16"/>
  <c r="F131" i="16" s="1"/>
  <c r="N131" i="16"/>
  <c r="R131" i="16"/>
  <c r="D132" i="16"/>
  <c r="N132" i="16"/>
  <c r="R132" i="16"/>
  <c r="D133" i="16"/>
  <c r="K133" i="16" s="1"/>
  <c r="N133" i="16"/>
  <c r="R133" i="16"/>
  <c r="D134" i="16"/>
  <c r="N134" i="16"/>
  <c r="R134" i="16"/>
  <c r="D135" i="16"/>
  <c r="K135" i="16" s="1"/>
  <c r="N135" i="16"/>
  <c r="R135" i="16"/>
  <c r="D136" i="16"/>
  <c r="K136" i="16" s="1"/>
  <c r="N136" i="16"/>
  <c r="R136" i="16"/>
  <c r="D137" i="16"/>
  <c r="N137" i="16"/>
  <c r="R137" i="16"/>
  <c r="D138" i="16"/>
  <c r="N138" i="16"/>
  <c r="R138" i="16"/>
  <c r="D139" i="16"/>
  <c r="N139" i="16"/>
  <c r="R139" i="16"/>
  <c r="D140" i="16"/>
  <c r="K140" i="16" s="1"/>
  <c r="N140" i="16"/>
  <c r="R140" i="16"/>
  <c r="D141" i="16"/>
  <c r="K141" i="16" s="1"/>
  <c r="N141" i="16"/>
  <c r="R141" i="16"/>
  <c r="D142" i="16"/>
  <c r="N142" i="16"/>
  <c r="R142" i="16"/>
  <c r="D143" i="16"/>
  <c r="F143" i="16" s="1"/>
  <c r="N143" i="16"/>
  <c r="R143" i="16"/>
  <c r="D144" i="16"/>
  <c r="F144" i="16" s="1"/>
  <c r="N144" i="16"/>
  <c r="R144" i="16"/>
  <c r="D145" i="16"/>
  <c r="F145" i="16" s="1"/>
  <c r="E145" i="16"/>
  <c r="N145" i="16"/>
  <c r="R145" i="16"/>
  <c r="D146" i="16"/>
  <c r="F146" i="16" s="1"/>
  <c r="E146" i="16"/>
  <c r="N146" i="16"/>
  <c r="R146" i="16"/>
  <c r="D147" i="16"/>
  <c r="F147" i="16" s="1"/>
  <c r="E147" i="16"/>
  <c r="N147" i="16"/>
  <c r="R147" i="16"/>
  <c r="D148" i="16"/>
  <c r="F148" i="16" s="1"/>
  <c r="E148" i="16"/>
  <c r="N148" i="16"/>
  <c r="R148" i="16"/>
  <c r="D149" i="16"/>
  <c r="F149" i="16" s="1"/>
  <c r="E149" i="16"/>
  <c r="N149" i="16"/>
  <c r="R149" i="16"/>
  <c r="D150" i="16"/>
  <c r="E150" i="16"/>
  <c r="N150" i="16"/>
  <c r="R150" i="16"/>
  <c r="D151" i="16"/>
  <c r="F151" i="16" s="1"/>
  <c r="E151" i="16"/>
  <c r="N151" i="16"/>
  <c r="R151" i="16"/>
  <c r="D152" i="16"/>
  <c r="F152" i="16" s="1"/>
  <c r="E152" i="16"/>
  <c r="N152" i="16"/>
  <c r="R152" i="16"/>
  <c r="D153" i="16"/>
  <c r="K153" i="16" s="1"/>
  <c r="N153" i="16"/>
  <c r="R153" i="16"/>
  <c r="D154" i="16"/>
  <c r="M154" i="16" s="1"/>
  <c r="N154" i="16"/>
  <c r="R154" i="16"/>
  <c r="D155" i="16"/>
  <c r="N155" i="16"/>
  <c r="R155" i="16"/>
  <c r="D156" i="16"/>
  <c r="M156" i="16" s="1"/>
  <c r="N156" i="16"/>
  <c r="R156" i="16"/>
  <c r="D157" i="16"/>
  <c r="F157" i="16" s="1"/>
  <c r="N157" i="16"/>
  <c r="R157" i="16"/>
  <c r="D158" i="16"/>
  <c r="F158" i="16" s="1"/>
  <c r="N158" i="16"/>
  <c r="R158" i="16"/>
  <c r="D159" i="16"/>
  <c r="K159" i="16" s="1"/>
  <c r="N159" i="16"/>
  <c r="R159" i="16"/>
  <c r="D160" i="16"/>
  <c r="N160" i="16"/>
  <c r="R160" i="16"/>
  <c r="D161" i="16"/>
  <c r="F161" i="16" s="1"/>
  <c r="N161" i="16"/>
  <c r="R161" i="16"/>
  <c r="D162" i="16"/>
  <c r="F162" i="16" s="1"/>
  <c r="N162" i="16"/>
  <c r="R162" i="16"/>
  <c r="D163" i="16"/>
  <c r="M163" i="16" s="1"/>
  <c r="N163" i="16"/>
  <c r="R163" i="16"/>
  <c r="D164" i="16"/>
  <c r="N164" i="16"/>
  <c r="R164" i="16"/>
  <c r="D165" i="16"/>
  <c r="N165" i="16"/>
  <c r="R165" i="16"/>
  <c r="D166" i="16"/>
  <c r="N166" i="16"/>
  <c r="R166" i="16"/>
  <c r="D167" i="16"/>
  <c r="F167" i="16" s="1"/>
  <c r="N167" i="16"/>
  <c r="R167" i="16"/>
  <c r="D168" i="16"/>
  <c r="F168" i="16" s="1"/>
  <c r="N168" i="16"/>
  <c r="R168" i="16"/>
  <c r="D169" i="16"/>
  <c r="K169" i="16" s="1"/>
  <c r="N169" i="16"/>
  <c r="R169" i="16"/>
  <c r="D170" i="16"/>
  <c r="K170" i="16" s="1"/>
  <c r="N170" i="16"/>
  <c r="R170" i="16"/>
  <c r="D171" i="16"/>
  <c r="K171" i="16" s="1"/>
  <c r="N171" i="16"/>
  <c r="R171" i="16"/>
  <c r="D172" i="16"/>
  <c r="K172" i="16" s="1"/>
  <c r="N172" i="16"/>
  <c r="R172" i="16"/>
  <c r="D173" i="16"/>
  <c r="N173" i="16"/>
  <c r="R173" i="16"/>
  <c r="D174" i="16"/>
  <c r="N174" i="16"/>
  <c r="R174" i="16"/>
  <c r="D175" i="16"/>
  <c r="E175" i="16"/>
  <c r="N175" i="16"/>
  <c r="R175" i="16"/>
  <c r="D176" i="16"/>
  <c r="E176" i="16"/>
  <c r="N176" i="16"/>
  <c r="R176" i="16"/>
  <c r="D177" i="16"/>
  <c r="E177" i="16"/>
  <c r="N177" i="16"/>
  <c r="R177" i="16"/>
  <c r="D178" i="16"/>
  <c r="E178" i="16"/>
  <c r="N178" i="16"/>
  <c r="R178" i="16"/>
  <c r="D179" i="16"/>
  <c r="E179" i="16"/>
  <c r="N179" i="16"/>
  <c r="R179" i="16"/>
  <c r="D180" i="16"/>
  <c r="E180" i="16"/>
  <c r="N180" i="16"/>
  <c r="R180" i="16"/>
  <c r="D181" i="16"/>
  <c r="E181" i="16"/>
  <c r="N181" i="16"/>
  <c r="R181" i="16"/>
  <c r="D182" i="16"/>
  <c r="E182" i="16"/>
  <c r="N182" i="16"/>
  <c r="R182" i="16"/>
  <c r="D183" i="16"/>
  <c r="K183" i="16" s="1"/>
  <c r="N183" i="16"/>
  <c r="R183" i="16"/>
  <c r="D184" i="16"/>
  <c r="K184" i="16" s="1"/>
  <c r="N184" i="16"/>
  <c r="R184" i="16"/>
  <c r="D185" i="16"/>
  <c r="K185" i="16" s="1"/>
  <c r="N185" i="16"/>
  <c r="R185" i="16"/>
  <c r="D186" i="16"/>
  <c r="K186" i="16" s="1"/>
  <c r="N186" i="16"/>
  <c r="R186" i="16"/>
  <c r="D187" i="16"/>
  <c r="N187" i="16"/>
  <c r="R187" i="16"/>
  <c r="D188" i="16"/>
  <c r="N188" i="16"/>
  <c r="R188" i="16"/>
  <c r="D189" i="16"/>
  <c r="K189" i="16" s="1"/>
  <c r="N189" i="16"/>
  <c r="R189" i="16"/>
  <c r="D190" i="16"/>
  <c r="K190" i="16" s="1"/>
  <c r="N190" i="16"/>
  <c r="R190" i="16"/>
  <c r="D191" i="16"/>
  <c r="N191" i="16"/>
  <c r="R191" i="16"/>
  <c r="D192" i="16"/>
  <c r="N192" i="16"/>
  <c r="R192" i="16"/>
  <c r="D193" i="16"/>
  <c r="N193" i="16"/>
  <c r="R193" i="16"/>
  <c r="D194" i="16"/>
  <c r="M194" i="16" s="1"/>
  <c r="N194" i="16"/>
  <c r="R194" i="16"/>
  <c r="D195" i="16"/>
  <c r="N195" i="16"/>
  <c r="R195" i="16"/>
  <c r="D196" i="16"/>
  <c r="N196" i="16"/>
  <c r="R196" i="16"/>
  <c r="D197" i="16"/>
  <c r="F197" i="16" s="1"/>
  <c r="N197" i="16"/>
  <c r="R197" i="16"/>
  <c r="D198" i="16"/>
  <c r="F198" i="16" s="1"/>
  <c r="N198" i="16"/>
  <c r="R198" i="16"/>
  <c r="D199" i="16"/>
  <c r="N199" i="16"/>
  <c r="R199" i="16"/>
  <c r="D200" i="16"/>
  <c r="N200" i="16"/>
  <c r="R200" i="16"/>
  <c r="D201" i="16"/>
  <c r="N201" i="16"/>
  <c r="R201" i="16"/>
  <c r="D202" i="16"/>
  <c r="N202" i="16"/>
  <c r="R202" i="16"/>
  <c r="D203" i="16"/>
  <c r="F203" i="16" s="1"/>
  <c r="N203" i="16"/>
  <c r="R203" i="16"/>
  <c r="D204" i="16"/>
  <c r="F204" i="16" s="1"/>
  <c r="N204" i="16"/>
  <c r="R204" i="16"/>
  <c r="D205" i="16"/>
  <c r="F205" i="16" s="1"/>
  <c r="E205" i="16"/>
  <c r="N205" i="16"/>
  <c r="R205" i="16"/>
  <c r="D206" i="16"/>
  <c r="F206" i="16" s="1"/>
  <c r="E206" i="16"/>
  <c r="N206" i="16"/>
  <c r="R206" i="16"/>
  <c r="D207" i="16"/>
  <c r="F207" i="16" s="1"/>
  <c r="E207" i="16"/>
  <c r="N207" i="16"/>
  <c r="R207" i="16"/>
  <c r="D208" i="16"/>
  <c r="F208" i="16" s="1"/>
  <c r="E208" i="16"/>
  <c r="N208" i="16"/>
  <c r="R208" i="16"/>
  <c r="D209" i="16"/>
  <c r="F209" i="16" s="1"/>
  <c r="E209" i="16"/>
  <c r="N209" i="16"/>
  <c r="R209" i="16"/>
  <c r="D210" i="16"/>
  <c r="F210" i="16" s="1"/>
  <c r="E210" i="16"/>
  <c r="N210" i="16"/>
  <c r="R210" i="16"/>
  <c r="D211" i="16"/>
  <c r="F211" i="16" s="1"/>
  <c r="E211" i="16"/>
  <c r="N211" i="16"/>
  <c r="R211" i="16"/>
  <c r="D212" i="16"/>
  <c r="F212" i="16" s="1"/>
  <c r="E212" i="16"/>
  <c r="N212" i="16"/>
  <c r="R212" i="16"/>
  <c r="D213" i="16"/>
  <c r="N213" i="16"/>
  <c r="R213" i="16"/>
  <c r="D214" i="16"/>
  <c r="M214" i="16" s="1"/>
  <c r="N214" i="16"/>
  <c r="R214" i="16"/>
  <c r="D215" i="16"/>
  <c r="K215" i="16" s="1"/>
  <c r="N215" i="16"/>
  <c r="R215" i="16"/>
  <c r="D216" i="16"/>
  <c r="M216" i="16" s="1"/>
  <c r="N216" i="16"/>
  <c r="R216" i="16"/>
  <c r="D217" i="16"/>
  <c r="F217" i="16" s="1"/>
  <c r="N217" i="16"/>
  <c r="R217" i="16"/>
  <c r="D218" i="16"/>
  <c r="F218" i="16" s="1"/>
  <c r="N218" i="16"/>
  <c r="R218" i="16"/>
  <c r="D219" i="16"/>
  <c r="K219" i="16" s="1"/>
  <c r="N219" i="16"/>
  <c r="R219" i="16"/>
  <c r="D220" i="16"/>
  <c r="N220" i="16"/>
  <c r="R220" i="16"/>
  <c r="D221" i="16"/>
  <c r="F221" i="16" s="1"/>
  <c r="N221" i="16"/>
  <c r="R221" i="16"/>
  <c r="D222" i="16"/>
  <c r="F222" i="16" s="1"/>
  <c r="N222" i="16"/>
  <c r="R222" i="16"/>
  <c r="D223" i="16"/>
  <c r="K223" i="16" s="1"/>
  <c r="N223" i="16"/>
  <c r="R223" i="16"/>
  <c r="D224" i="16"/>
  <c r="M224" i="16" s="1"/>
  <c r="N224" i="16"/>
  <c r="R224" i="16"/>
  <c r="D225" i="16"/>
  <c r="K225" i="16" s="1"/>
  <c r="N225" i="16"/>
  <c r="R225" i="16"/>
  <c r="D226" i="16"/>
  <c r="N226" i="16"/>
  <c r="R226" i="16"/>
  <c r="D227" i="16"/>
  <c r="N227" i="16"/>
  <c r="R227" i="16"/>
  <c r="D228" i="16"/>
  <c r="F228" i="16" s="1"/>
  <c r="N228" i="16"/>
  <c r="R228" i="16"/>
  <c r="D229" i="16"/>
  <c r="N229" i="16"/>
  <c r="R229" i="16"/>
  <c r="D230" i="16"/>
  <c r="N230" i="16"/>
  <c r="R230" i="16"/>
  <c r="D231" i="16"/>
  <c r="N231" i="16"/>
  <c r="R231" i="16"/>
  <c r="D232" i="16"/>
  <c r="N232" i="16"/>
  <c r="R232" i="16"/>
  <c r="D233" i="16"/>
  <c r="F233" i="16" s="1"/>
  <c r="N233" i="16"/>
  <c r="R233" i="16"/>
  <c r="D234" i="16"/>
  <c r="N234" i="16"/>
  <c r="R234" i="16"/>
  <c r="D235" i="16"/>
  <c r="F235" i="16" s="1"/>
  <c r="E235" i="16"/>
  <c r="N235" i="16"/>
  <c r="R235" i="16"/>
  <c r="D236" i="16"/>
  <c r="F236" i="16" s="1"/>
  <c r="E236" i="16"/>
  <c r="N236" i="16"/>
  <c r="R236" i="16"/>
  <c r="D237" i="16"/>
  <c r="E237" i="16"/>
  <c r="N237" i="16"/>
  <c r="R237" i="16"/>
  <c r="D238" i="16"/>
  <c r="E238" i="16"/>
  <c r="N238" i="16"/>
  <c r="R238" i="16"/>
  <c r="D239" i="16"/>
  <c r="F239" i="16" s="1"/>
  <c r="E239" i="16"/>
  <c r="N239" i="16"/>
  <c r="R239" i="16"/>
  <c r="D240" i="16"/>
  <c r="E240" i="16"/>
  <c r="N240" i="16"/>
  <c r="R240" i="16"/>
  <c r="D241" i="16"/>
  <c r="F241" i="16" s="1"/>
  <c r="E241" i="16"/>
  <c r="N241" i="16"/>
  <c r="R241" i="16"/>
  <c r="D242" i="16"/>
  <c r="F242" i="16" s="1"/>
  <c r="E242" i="16"/>
  <c r="N242" i="16"/>
  <c r="R242" i="16"/>
  <c r="D243" i="16"/>
  <c r="K243" i="16" s="1"/>
  <c r="N243" i="16"/>
  <c r="R243" i="16"/>
  <c r="D244" i="16"/>
  <c r="K244" i="16" s="1"/>
  <c r="N244" i="16"/>
  <c r="R244" i="16"/>
  <c r="D245" i="16"/>
  <c r="M245" i="16" s="1"/>
  <c r="N245" i="16"/>
  <c r="R245" i="16"/>
  <c r="D246" i="16"/>
  <c r="N246" i="16"/>
  <c r="R246" i="16"/>
  <c r="D247" i="16"/>
  <c r="N247" i="16"/>
  <c r="R247" i="16"/>
  <c r="D248" i="16"/>
  <c r="F248" i="16" s="1"/>
  <c r="N248" i="16"/>
  <c r="R248" i="16"/>
  <c r="D249" i="16"/>
  <c r="K249" i="16" s="1"/>
  <c r="N249" i="16"/>
  <c r="R249" i="16"/>
  <c r="D250" i="16"/>
  <c r="N250" i="16"/>
  <c r="R250" i="16"/>
  <c r="D251" i="16"/>
  <c r="N251" i="16"/>
  <c r="R251" i="16"/>
  <c r="D252" i="16"/>
  <c r="F252" i="16" s="1"/>
  <c r="N252" i="16"/>
  <c r="R252" i="16"/>
  <c r="D253" i="16"/>
  <c r="N253" i="16"/>
  <c r="R253" i="16"/>
  <c r="D254" i="16"/>
  <c r="N254" i="16"/>
  <c r="R254" i="16"/>
  <c r="D255" i="16"/>
  <c r="N255" i="16"/>
  <c r="R255" i="16"/>
  <c r="D256" i="16"/>
  <c r="N256" i="16"/>
  <c r="R256" i="16"/>
  <c r="D257" i="16"/>
  <c r="F257" i="16" s="1"/>
  <c r="N257" i="16"/>
  <c r="R257" i="16"/>
  <c r="D258" i="16"/>
  <c r="N258" i="16"/>
  <c r="R258" i="16"/>
  <c r="D259" i="16"/>
  <c r="N259" i="16"/>
  <c r="R259" i="16"/>
  <c r="D260" i="16"/>
  <c r="N260" i="16"/>
  <c r="R260" i="16"/>
  <c r="D261" i="16"/>
  <c r="N261" i="16"/>
  <c r="R261" i="16"/>
  <c r="D262" i="16"/>
  <c r="K262" i="16" s="1"/>
  <c r="N262" i="16"/>
  <c r="R262" i="16"/>
  <c r="D263" i="16"/>
  <c r="N263" i="16"/>
  <c r="R263" i="16"/>
  <c r="D264" i="16"/>
  <c r="N264" i="16"/>
  <c r="R264" i="16"/>
  <c r="D265" i="16"/>
  <c r="E265" i="16"/>
  <c r="N265" i="16"/>
  <c r="R265" i="16"/>
  <c r="D266" i="16"/>
  <c r="E266" i="16"/>
  <c r="N266" i="16"/>
  <c r="R266" i="16"/>
  <c r="D267" i="16"/>
  <c r="F267" i="16" s="1"/>
  <c r="E267" i="16"/>
  <c r="N267" i="16"/>
  <c r="R267" i="16"/>
  <c r="D268" i="16"/>
  <c r="F268" i="16" s="1"/>
  <c r="E268" i="16"/>
  <c r="N268" i="16"/>
  <c r="R268" i="16"/>
  <c r="D269" i="16"/>
  <c r="F269" i="16" s="1"/>
  <c r="E269" i="16"/>
  <c r="N269" i="16"/>
  <c r="R269" i="16"/>
  <c r="D270" i="16"/>
  <c r="E270" i="16"/>
  <c r="N270" i="16"/>
  <c r="R270" i="16"/>
  <c r="D271" i="16"/>
  <c r="E271" i="16"/>
  <c r="N271" i="16"/>
  <c r="R271" i="16"/>
  <c r="D272" i="16"/>
  <c r="F272" i="16" s="1"/>
  <c r="E272" i="16"/>
  <c r="N272" i="16"/>
  <c r="R272" i="16"/>
  <c r="D273" i="16"/>
  <c r="K273" i="16" s="1"/>
  <c r="N273" i="16"/>
  <c r="R273" i="16"/>
  <c r="D274" i="16"/>
  <c r="K274" i="16" s="1"/>
  <c r="N274" i="16"/>
  <c r="R274" i="16"/>
  <c r="D275" i="16"/>
  <c r="N275" i="16"/>
  <c r="R275" i="16"/>
  <c r="D276" i="16"/>
  <c r="N276" i="16"/>
  <c r="R276" i="16"/>
  <c r="D277" i="16"/>
  <c r="F277" i="16" s="1"/>
  <c r="N277" i="16"/>
  <c r="R277" i="16"/>
  <c r="D278" i="16"/>
  <c r="N278" i="16"/>
  <c r="R278" i="16"/>
  <c r="D279" i="16"/>
  <c r="K279" i="16" s="1"/>
  <c r="N279" i="16"/>
  <c r="R279" i="16"/>
  <c r="D280" i="16"/>
  <c r="N280" i="16"/>
  <c r="R280" i="16"/>
  <c r="D281" i="16"/>
  <c r="F281" i="16" s="1"/>
  <c r="N281" i="16"/>
  <c r="R281" i="16"/>
  <c r="D282" i="16"/>
  <c r="F282" i="16" s="1"/>
  <c r="N282" i="16"/>
  <c r="R282" i="16"/>
  <c r="D283" i="16"/>
  <c r="K283" i="16" s="1"/>
  <c r="N283" i="16"/>
  <c r="R283" i="16"/>
  <c r="D284" i="16"/>
  <c r="N284" i="16"/>
  <c r="R284" i="16"/>
  <c r="D285" i="16"/>
  <c r="K285" i="16" s="1"/>
  <c r="N285" i="16"/>
  <c r="R285" i="16"/>
  <c r="D286" i="16"/>
  <c r="N286" i="16"/>
  <c r="R286" i="16"/>
  <c r="D287" i="16"/>
  <c r="N287" i="16"/>
  <c r="R287" i="16"/>
  <c r="D288" i="16"/>
  <c r="N288" i="16"/>
  <c r="R288" i="16"/>
  <c r="D289" i="16"/>
  <c r="K289" i="16" s="1"/>
  <c r="N289" i="16"/>
  <c r="R289" i="16"/>
  <c r="D290" i="16"/>
  <c r="N290" i="16"/>
  <c r="R290" i="16"/>
  <c r="D291" i="16"/>
  <c r="N291" i="16"/>
  <c r="R291" i="16"/>
  <c r="D292" i="16"/>
  <c r="K292" i="16" s="1"/>
  <c r="N292" i="16"/>
  <c r="R292" i="16"/>
  <c r="D293" i="16"/>
  <c r="N293" i="16"/>
  <c r="R293" i="16"/>
  <c r="D294" i="16"/>
  <c r="N294" i="16"/>
  <c r="R294" i="16"/>
  <c r="D295" i="16"/>
  <c r="F295" i="16" s="1"/>
  <c r="E295" i="16"/>
  <c r="N295" i="16"/>
  <c r="R295" i="16"/>
  <c r="D296" i="16"/>
  <c r="F296" i="16" s="1"/>
  <c r="E296" i="16"/>
  <c r="N296" i="16"/>
  <c r="R296" i="16"/>
  <c r="D297" i="16"/>
  <c r="F297" i="16" s="1"/>
  <c r="E297" i="16"/>
  <c r="N297" i="16"/>
  <c r="R297" i="16"/>
  <c r="D298" i="16"/>
  <c r="F298" i="16" s="1"/>
  <c r="E298" i="16"/>
  <c r="N298" i="16"/>
  <c r="R298" i="16"/>
  <c r="D299" i="16"/>
  <c r="F299" i="16" s="1"/>
  <c r="E299" i="16"/>
  <c r="N299" i="16"/>
  <c r="R299" i="16"/>
  <c r="D300" i="16"/>
  <c r="F300" i="16" s="1"/>
  <c r="E300" i="16"/>
  <c r="N300" i="16"/>
  <c r="R300" i="16"/>
  <c r="D301" i="16"/>
  <c r="E301" i="16"/>
  <c r="N301" i="16"/>
  <c r="R301" i="16"/>
  <c r="D302" i="16"/>
  <c r="E302" i="16"/>
  <c r="N302" i="16"/>
  <c r="R302" i="16"/>
  <c r="D303" i="16"/>
  <c r="M303" i="16" s="1"/>
  <c r="N303" i="16"/>
  <c r="R303" i="16"/>
  <c r="D304" i="16"/>
  <c r="N304" i="16"/>
  <c r="R304" i="16"/>
  <c r="D305" i="16"/>
  <c r="M305" i="16" s="1"/>
  <c r="N305" i="16"/>
  <c r="R305" i="16"/>
  <c r="D306" i="16"/>
  <c r="M306" i="16" s="1"/>
  <c r="N306" i="16"/>
  <c r="R306" i="16"/>
  <c r="D307" i="16"/>
  <c r="F307" i="16" s="1"/>
  <c r="N307" i="16"/>
  <c r="R307" i="16"/>
  <c r="D308" i="16"/>
  <c r="F308" i="16" s="1"/>
  <c r="N308" i="16"/>
  <c r="R308" i="16"/>
  <c r="D309" i="16"/>
  <c r="M309" i="16" s="1"/>
  <c r="N309" i="16"/>
  <c r="R309" i="16"/>
  <c r="D310" i="16"/>
  <c r="N310" i="16"/>
  <c r="R310" i="16"/>
  <c r="D311" i="16"/>
  <c r="F311" i="16" s="1"/>
  <c r="N311" i="16"/>
  <c r="R311" i="16"/>
  <c r="D312" i="16"/>
  <c r="F312" i="16" s="1"/>
  <c r="N312" i="16"/>
  <c r="R312" i="16"/>
  <c r="D313" i="16"/>
  <c r="M313" i="16" s="1"/>
  <c r="N313" i="16"/>
  <c r="R313" i="16"/>
  <c r="D314" i="16"/>
  <c r="M314" i="16" s="1"/>
  <c r="N314" i="16"/>
  <c r="R314" i="16"/>
  <c r="D315" i="16"/>
  <c r="M315" i="16" s="1"/>
  <c r="N315" i="16"/>
  <c r="R315" i="16"/>
  <c r="D316" i="16"/>
  <c r="K316" i="16" s="1"/>
  <c r="N316" i="16"/>
  <c r="R316" i="16"/>
  <c r="D317" i="16"/>
  <c r="F317" i="16" s="1"/>
  <c r="N317" i="16"/>
  <c r="R317" i="16"/>
  <c r="D318" i="16"/>
  <c r="F318" i="16" s="1"/>
  <c r="N318" i="16"/>
  <c r="R318" i="16"/>
  <c r="D319" i="16"/>
  <c r="N319" i="16"/>
  <c r="R319" i="16"/>
  <c r="D320" i="16"/>
  <c r="N320" i="16"/>
  <c r="R320" i="16"/>
  <c r="D321" i="16"/>
  <c r="N321" i="16"/>
  <c r="R321" i="16"/>
  <c r="D322" i="16"/>
  <c r="N322" i="16"/>
  <c r="R322" i="16"/>
  <c r="D323" i="16"/>
  <c r="F323" i="16" s="1"/>
  <c r="N323" i="16"/>
  <c r="R323" i="16"/>
  <c r="D324" i="16"/>
  <c r="F324" i="16" s="1"/>
  <c r="N324" i="16"/>
  <c r="R324" i="16"/>
  <c r="D325" i="16"/>
  <c r="E325" i="16"/>
  <c r="N325" i="16"/>
  <c r="R325" i="16"/>
  <c r="D326" i="16"/>
  <c r="F326" i="16" s="1"/>
  <c r="E326" i="16"/>
  <c r="N326" i="16"/>
  <c r="R326" i="16"/>
  <c r="D327" i="16"/>
  <c r="F327" i="16" s="1"/>
  <c r="E327" i="16"/>
  <c r="N327" i="16"/>
  <c r="R327" i="16"/>
  <c r="D328" i="16"/>
  <c r="F328" i="16" s="1"/>
  <c r="E328" i="16"/>
  <c r="N328" i="16"/>
  <c r="R328" i="16"/>
  <c r="D329" i="16"/>
  <c r="F329" i="16" s="1"/>
  <c r="E329" i="16"/>
  <c r="N329" i="16"/>
  <c r="R329" i="16"/>
  <c r="D330" i="16"/>
  <c r="F330" i="16" s="1"/>
  <c r="E330" i="16"/>
  <c r="N330" i="16"/>
  <c r="R330" i="16"/>
  <c r="D331" i="16"/>
  <c r="E331" i="16"/>
  <c r="N331" i="16"/>
  <c r="R331" i="16"/>
  <c r="D332" i="16"/>
  <c r="E332" i="16"/>
  <c r="N332" i="16"/>
  <c r="R332" i="16"/>
  <c r="D333" i="16"/>
  <c r="M333" i="16" s="1"/>
  <c r="N333" i="16"/>
  <c r="R333" i="16"/>
  <c r="D334" i="16"/>
  <c r="K334" i="16" s="1"/>
  <c r="N334" i="16"/>
  <c r="R334" i="16"/>
  <c r="D335" i="16"/>
  <c r="N335" i="16"/>
  <c r="R335" i="16"/>
  <c r="D336" i="16"/>
  <c r="N336" i="16"/>
  <c r="R336" i="16"/>
  <c r="D337" i="16"/>
  <c r="F337" i="16" s="1"/>
  <c r="N337" i="16"/>
  <c r="R337" i="16"/>
  <c r="D338" i="16"/>
  <c r="N338" i="16"/>
  <c r="R338" i="16"/>
  <c r="D339" i="16"/>
  <c r="N339" i="16"/>
  <c r="R339" i="16"/>
  <c r="D340" i="16"/>
  <c r="K340" i="16" s="1"/>
  <c r="N340" i="16"/>
  <c r="R340" i="16"/>
  <c r="D341" i="16"/>
  <c r="N341" i="16"/>
  <c r="R341" i="16"/>
  <c r="D342" i="16"/>
  <c r="F342" i="16" s="1"/>
  <c r="N342" i="16"/>
  <c r="R342" i="16"/>
  <c r="D343" i="16"/>
  <c r="N343" i="16"/>
  <c r="R343" i="16"/>
  <c r="D344" i="16"/>
  <c r="N344" i="16"/>
  <c r="R344" i="16"/>
  <c r="D345" i="16"/>
  <c r="N345" i="16"/>
  <c r="R345" i="16"/>
  <c r="D346" i="16"/>
  <c r="N346" i="16"/>
  <c r="R346" i="16"/>
  <c r="D347" i="16"/>
  <c r="N347" i="16"/>
  <c r="R347" i="16"/>
  <c r="D348" i="16"/>
  <c r="F348" i="16" s="1"/>
  <c r="N348" i="16"/>
  <c r="R348" i="16"/>
  <c r="D349" i="16"/>
  <c r="M349" i="16" s="1"/>
  <c r="N349" i="16"/>
  <c r="R349" i="16"/>
  <c r="D350" i="16"/>
  <c r="N350" i="16"/>
  <c r="R350" i="16"/>
  <c r="D351" i="16"/>
  <c r="K351" i="16" s="1"/>
  <c r="N351" i="16"/>
  <c r="R351" i="16"/>
  <c r="D352" i="16"/>
  <c r="N352" i="16"/>
  <c r="R352" i="16"/>
  <c r="D353" i="16"/>
  <c r="N353" i="16"/>
  <c r="R353" i="16"/>
  <c r="D354" i="16"/>
  <c r="N354" i="16"/>
  <c r="R354" i="16"/>
  <c r="D355" i="16"/>
  <c r="E355" i="16"/>
  <c r="N355" i="16"/>
  <c r="R355" i="16"/>
  <c r="D356" i="16"/>
  <c r="F356" i="16" s="1"/>
  <c r="E356" i="16"/>
  <c r="N356" i="16"/>
  <c r="R356" i="16"/>
  <c r="D357" i="16"/>
  <c r="E357" i="16"/>
  <c r="N357" i="16"/>
  <c r="R357" i="16"/>
  <c r="D358" i="16"/>
  <c r="E358" i="16"/>
  <c r="N358" i="16"/>
  <c r="R358" i="16"/>
  <c r="D359" i="16"/>
  <c r="E359" i="16"/>
  <c r="N359" i="16"/>
  <c r="R359" i="16"/>
  <c r="D360" i="16"/>
  <c r="F360" i="16" s="1"/>
  <c r="E360" i="16"/>
  <c r="N360" i="16"/>
  <c r="R360" i="16"/>
  <c r="D361" i="16"/>
  <c r="E361" i="16"/>
  <c r="N361" i="16"/>
  <c r="R361" i="16"/>
  <c r="D362" i="16"/>
  <c r="E362" i="16"/>
  <c r="N362" i="16"/>
  <c r="R362" i="16"/>
  <c r="D363" i="16"/>
  <c r="K363" i="16" s="1"/>
  <c r="N363" i="16"/>
  <c r="R363" i="16"/>
  <c r="D364" i="16"/>
  <c r="K364" i="16" s="1"/>
  <c r="N364" i="16"/>
  <c r="R364" i="16"/>
  <c r="D365" i="16"/>
  <c r="K365" i="16" s="1"/>
  <c r="N365" i="16"/>
  <c r="R365" i="16"/>
  <c r="D366" i="16"/>
  <c r="K366" i="16" s="1"/>
  <c r="N366" i="16"/>
  <c r="R366" i="16"/>
  <c r="D367" i="16"/>
  <c r="N367" i="16"/>
  <c r="R367" i="16"/>
  <c r="D368" i="16"/>
  <c r="N368" i="16"/>
  <c r="R368" i="16"/>
  <c r="D369" i="16"/>
  <c r="K369" i="16" s="1"/>
  <c r="N369" i="16"/>
  <c r="R369" i="16"/>
  <c r="D370" i="16"/>
  <c r="K370" i="16" s="1"/>
  <c r="N370" i="16"/>
  <c r="R370" i="16"/>
  <c r="D371" i="16"/>
  <c r="N371" i="16"/>
  <c r="R371" i="16"/>
  <c r="D372" i="16"/>
  <c r="N372" i="16"/>
  <c r="R372" i="16"/>
  <c r="D373" i="16"/>
  <c r="K373" i="16" s="1"/>
  <c r="N373" i="16"/>
  <c r="R373" i="16"/>
  <c r="D374" i="16"/>
  <c r="K374" i="16" s="1"/>
  <c r="N374" i="16"/>
  <c r="R374" i="16"/>
  <c r="D375" i="16"/>
  <c r="K375" i="16" s="1"/>
  <c r="N375" i="16"/>
  <c r="R375" i="16"/>
  <c r="D376" i="16"/>
  <c r="K376" i="16" s="1"/>
  <c r="N376" i="16"/>
  <c r="R376" i="16"/>
  <c r="D377" i="16"/>
  <c r="N377" i="16"/>
  <c r="R377" i="16"/>
  <c r="D378" i="16"/>
  <c r="N378" i="16"/>
  <c r="R378" i="16"/>
  <c r="D379" i="16"/>
  <c r="K379" i="16" s="1"/>
  <c r="N379" i="16"/>
  <c r="R379" i="16"/>
  <c r="D380" i="16"/>
  <c r="K380" i="16" s="1"/>
  <c r="N380" i="16"/>
  <c r="R380" i="16"/>
  <c r="D381" i="16"/>
  <c r="K381" i="16" s="1"/>
  <c r="N381" i="16"/>
  <c r="R381" i="16"/>
  <c r="D382" i="16"/>
  <c r="K382" i="16" s="1"/>
  <c r="N382" i="16"/>
  <c r="R382" i="16"/>
  <c r="D383" i="16"/>
  <c r="N383" i="16"/>
  <c r="R383" i="16"/>
  <c r="D384" i="16"/>
  <c r="N384" i="16"/>
  <c r="R384" i="16"/>
  <c r="D385" i="16"/>
  <c r="E385" i="16"/>
  <c r="N385" i="16"/>
  <c r="R385" i="16"/>
  <c r="D386" i="16"/>
  <c r="E386" i="16"/>
  <c r="N386" i="16"/>
  <c r="R386" i="16"/>
  <c r="D387" i="16"/>
  <c r="E387" i="16"/>
  <c r="N387" i="16"/>
  <c r="R387" i="16"/>
  <c r="D388" i="16"/>
  <c r="E388" i="16"/>
  <c r="N388" i="16"/>
  <c r="R388" i="16"/>
  <c r="D389" i="16"/>
  <c r="E389" i="16"/>
  <c r="N389" i="16"/>
  <c r="R389" i="16"/>
  <c r="D390" i="16"/>
  <c r="E390" i="16"/>
  <c r="N390" i="16"/>
  <c r="R390" i="16"/>
  <c r="D391" i="16"/>
  <c r="E391" i="16"/>
  <c r="N391" i="16"/>
  <c r="R391" i="16"/>
  <c r="D392" i="16"/>
  <c r="E392" i="16"/>
  <c r="N392" i="16"/>
  <c r="R392" i="16"/>
  <c r="D393" i="16"/>
  <c r="K393" i="16" s="1"/>
  <c r="N393" i="16"/>
  <c r="R393" i="16"/>
  <c r="D394" i="16"/>
  <c r="K394" i="16" s="1"/>
  <c r="N394" i="16"/>
  <c r="R394" i="16"/>
  <c r="D395" i="16"/>
  <c r="K395" i="16" s="1"/>
  <c r="N395" i="16"/>
  <c r="R395" i="16"/>
  <c r="D396" i="16"/>
  <c r="M396" i="16" s="1"/>
  <c r="N396" i="16"/>
  <c r="R396" i="16"/>
  <c r="D397" i="16"/>
  <c r="F397" i="16" s="1"/>
  <c r="N397" i="16"/>
  <c r="R397" i="16"/>
  <c r="D398" i="16"/>
  <c r="F398" i="16" s="1"/>
  <c r="N398" i="16"/>
  <c r="R398" i="16"/>
  <c r="D399" i="16"/>
  <c r="M399" i="16" s="1"/>
  <c r="N399" i="16"/>
  <c r="R399" i="16"/>
  <c r="D400" i="16"/>
  <c r="N400" i="16"/>
  <c r="R400" i="16"/>
  <c r="D401" i="16"/>
  <c r="F401" i="16" s="1"/>
  <c r="N401" i="16"/>
  <c r="R401" i="16"/>
  <c r="D402" i="16"/>
  <c r="F402" i="16" s="1"/>
  <c r="N402" i="16"/>
  <c r="R402" i="16"/>
  <c r="D403" i="16"/>
  <c r="N403" i="16"/>
  <c r="R403" i="16"/>
  <c r="D404" i="16"/>
  <c r="M404" i="16" s="1"/>
  <c r="N404" i="16"/>
  <c r="R404" i="16"/>
  <c r="D405" i="16"/>
  <c r="M405" i="16" s="1"/>
  <c r="N405" i="16"/>
  <c r="R405" i="16"/>
  <c r="D406" i="16"/>
  <c r="N406" i="16"/>
  <c r="R406" i="16"/>
  <c r="D407" i="16"/>
  <c r="F407" i="16" s="1"/>
  <c r="N407" i="16"/>
  <c r="R407" i="16"/>
  <c r="D408" i="16"/>
  <c r="F408" i="16" s="1"/>
  <c r="N408" i="16"/>
  <c r="R408" i="16"/>
  <c r="D409" i="16"/>
  <c r="M409" i="16" s="1"/>
  <c r="N409" i="16"/>
  <c r="R409" i="16"/>
  <c r="D410" i="16"/>
  <c r="N410" i="16"/>
  <c r="R410" i="16"/>
  <c r="D411" i="16"/>
  <c r="N411" i="16"/>
  <c r="R411" i="16"/>
  <c r="D412" i="16"/>
  <c r="N412" i="16"/>
  <c r="R412" i="16"/>
  <c r="D413" i="16"/>
  <c r="F413" i="16" s="1"/>
  <c r="N413" i="16"/>
  <c r="R413" i="16"/>
  <c r="D414" i="16"/>
  <c r="F414" i="16" s="1"/>
  <c r="N414" i="16"/>
  <c r="R414" i="16"/>
  <c r="D415" i="16"/>
  <c r="F415" i="16" s="1"/>
  <c r="E415" i="16"/>
  <c r="N415" i="16"/>
  <c r="R415" i="16"/>
  <c r="D416" i="16"/>
  <c r="F416" i="16" s="1"/>
  <c r="E416" i="16"/>
  <c r="N416" i="16"/>
  <c r="R416" i="16"/>
  <c r="D417" i="16"/>
  <c r="F417" i="16" s="1"/>
  <c r="E417" i="16"/>
  <c r="N417" i="16"/>
  <c r="R417" i="16"/>
  <c r="D418" i="16"/>
  <c r="F418" i="16" s="1"/>
  <c r="E418" i="16"/>
  <c r="N418" i="16"/>
  <c r="R418" i="16"/>
  <c r="D419" i="16"/>
  <c r="F419" i="16" s="1"/>
  <c r="E419" i="16"/>
  <c r="N419" i="16"/>
  <c r="R419" i="16"/>
  <c r="D420" i="16"/>
  <c r="F420" i="16" s="1"/>
  <c r="E420" i="16"/>
  <c r="N420" i="16"/>
  <c r="R420" i="16"/>
  <c r="D421" i="16"/>
  <c r="F421" i="16" s="1"/>
  <c r="E421" i="16"/>
  <c r="N421" i="16"/>
  <c r="R421" i="16"/>
  <c r="D422" i="16"/>
  <c r="F422" i="16" s="1"/>
  <c r="E422" i="16"/>
  <c r="N422" i="16"/>
  <c r="R422" i="16"/>
  <c r="D423" i="16"/>
  <c r="M423" i="16" s="1"/>
  <c r="N423" i="16"/>
  <c r="R423" i="16"/>
  <c r="D424" i="16"/>
  <c r="N424" i="16"/>
  <c r="R424" i="16"/>
  <c r="D425" i="16"/>
  <c r="M425" i="16" s="1"/>
  <c r="N425" i="16"/>
  <c r="R425" i="16"/>
  <c r="D426" i="16"/>
  <c r="N426" i="16"/>
  <c r="R426" i="16"/>
  <c r="D427" i="16"/>
  <c r="F427" i="16" s="1"/>
  <c r="N427" i="16"/>
  <c r="R427" i="16"/>
  <c r="D428" i="16"/>
  <c r="F428" i="16" s="1"/>
  <c r="N428" i="16"/>
  <c r="R428" i="16"/>
  <c r="D429" i="16"/>
  <c r="N429" i="16"/>
  <c r="R429" i="16"/>
  <c r="D430" i="16"/>
  <c r="N430" i="16"/>
  <c r="R430" i="16"/>
  <c r="D431" i="16"/>
  <c r="F431" i="16" s="1"/>
  <c r="N431" i="16"/>
  <c r="R431" i="16"/>
  <c r="D432" i="16"/>
  <c r="N432" i="16"/>
  <c r="R432" i="16"/>
  <c r="D433" i="16"/>
  <c r="K433" i="16" s="1"/>
  <c r="N433" i="16"/>
  <c r="R433" i="16"/>
  <c r="D434" i="16"/>
  <c r="N434" i="16"/>
  <c r="R434" i="16"/>
  <c r="D435" i="16"/>
  <c r="K435" i="16" s="1"/>
  <c r="N435" i="16"/>
  <c r="R435" i="16"/>
  <c r="D436" i="16"/>
  <c r="N436" i="16"/>
  <c r="R436" i="16"/>
  <c r="D437" i="16"/>
  <c r="F437" i="16" s="1"/>
  <c r="N437" i="16"/>
  <c r="R437" i="16"/>
  <c r="D438" i="16"/>
  <c r="F438" i="16" s="1"/>
  <c r="N438" i="16"/>
  <c r="R438" i="16"/>
  <c r="D439" i="16"/>
  <c r="N439" i="16"/>
  <c r="R439" i="16"/>
  <c r="D440" i="16"/>
  <c r="N440" i="16"/>
  <c r="R440" i="16"/>
  <c r="D441" i="16"/>
  <c r="N441" i="16"/>
  <c r="R441" i="16"/>
  <c r="D442" i="16"/>
  <c r="N442" i="16"/>
  <c r="R442" i="16"/>
  <c r="D443" i="16"/>
  <c r="F443" i="16" s="1"/>
  <c r="N443" i="16"/>
  <c r="R443" i="16"/>
  <c r="D444" i="16"/>
  <c r="F444" i="16" s="1"/>
  <c r="N444" i="16"/>
  <c r="R444" i="16"/>
  <c r="D445" i="16"/>
  <c r="F445" i="16" s="1"/>
  <c r="E445" i="16"/>
  <c r="N445" i="16"/>
  <c r="R445" i="16"/>
  <c r="D446" i="16"/>
  <c r="F446" i="16" s="1"/>
  <c r="E446" i="16"/>
  <c r="N446" i="16"/>
  <c r="R446" i="16"/>
  <c r="D447" i="16"/>
  <c r="F447" i="16" s="1"/>
  <c r="E447" i="16"/>
  <c r="N447" i="16"/>
  <c r="R447" i="16"/>
  <c r="D448" i="16"/>
  <c r="F448" i="16" s="1"/>
  <c r="E448" i="16"/>
  <c r="N448" i="16"/>
  <c r="R448" i="16"/>
  <c r="D449" i="16"/>
  <c r="F449" i="16" s="1"/>
  <c r="E449" i="16"/>
  <c r="N449" i="16"/>
  <c r="R449" i="16"/>
  <c r="D450" i="16"/>
  <c r="F450" i="16" s="1"/>
  <c r="E450" i="16"/>
  <c r="N450" i="16"/>
  <c r="R450" i="16"/>
  <c r="D451" i="16"/>
  <c r="F451" i="16" s="1"/>
  <c r="E451" i="16"/>
  <c r="N451" i="16"/>
  <c r="R451" i="16"/>
  <c r="D452" i="16"/>
  <c r="F452" i="16" s="1"/>
  <c r="E452" i="16"/>
  <c r="N452" i="16"/>
  <c r="R452" i="16"/>
  <c r="D453" i="16"/>
  <c r="N453" i="16"/>
  <c r="R453" i="16"/>
  <c r="D454" i="16"/>
  <c r="N454" i="16"/>
  <c r="R454" i="16"/>
  <c r="D455" i="16"/>
  <c r="N455" i="16"/>
  <c r="R455" i="16"/>
  <c r="D456" i="16"/>
  <c r="N456" i="16"/>
  <c r="R456" i="16"/>
  <c r="D457" i="16"/>
  <c r="F457" i="16" s="1"/>
  <c r="N457" i="16"/>
  <c r="R457" i="16"/>
  <c r="D458" i="16"/>
  <c r="F458" i="16" s="1"/>
  <c r="N458" i="16"/>
  <c r="R458" i="16"/>
  <c r="D459" i="16"/>
  <c r="M459" i="16" s="1"/>
  <c r="N459" i="16"/>
  <c r="R459" i="16"/>
  <c r="D460" i="16"/>
  <c r="N460" i="16"/>
  <c r="R460" i="16"/>
  <c r="D461" i="16"/>
  <c r="F461" i="16" s="1"/>
  <c r="N461" i="16"/>
  <c r="R461" i="16"/>
  <c r="D462" i="16"/>
  <c r="F462" i="16" s="1"/>
  <c r="N462" i="16"/>
  <c r="R462" i="16"/>
  <c r="D463" i="16"/>
  <c r="N463" i="16"/>
  <c r="R463" i="16"/>
  <c r="D464" i="16"/>
  <c r="M464" i="16" s="1"/>
  <c r="N464" i="16"/>
  <c r="R464" i="16"/>
  <c r="D465" i="16"/>
  <c r="M465" i="16" s="1"/>
  <c r="N465" i="16"/>
  <c r="R465" i="16"/>
  <c r="D466" i="16"/>
  <c r="N466" i="16"/>
  <c r="R466" i="16"/>
  <c r="D467" i="16"/>
  <c r="F467" i="16" s="1"/>
  <c r="N467" i="16"/>
  <c r="R467" i="16"/>
  <c r="D468" i="16"/>
  <c r="F468" i="16" s="1"/>
  <c r="N468" i="16"/>
  <c r="R468" i="16"/>
  <c r="D469" i="16"/>
  <c r="K469" i="16" s="1"/>
  <c r="N469" i="16"/>
  <c r="R469" i="16"/>
  <c r="D470" i="16"/>
  <c r="N470" i="16"/>
  <c r="R470" i="16"/>
  <c r="D471" i="16"/>
  <c r="N471" i="16"/>
  <c r="R471" i="16"/>
  <c r="D472" i="16"/>
  <c r="N472" i="16"/>
  <c r="R472" i="16"/>
  <c r="D473" i="16"/>
  <c r="F473" i="16" s="1"/>
  <c r="N473" i="16"/>
  <c r="R473" i="16"/>
  <c r="D474" i="16"/>
  <c r="F474" i="16" s="1"/>
  <c r="N474" i="16"/>
  <c r="R474" i="16"/>
  <c r="D475" i="16"/>
  <c r="F475" i="16" s="1"/>
  <c r="E475" i="16"/>
  <c r="N475" i="16"/>
  <c r="R475" i="16"/>
  <c r="D476" i="16"/>
  <c r="F476" i="16" s="1"/>
  <c r="E476" i="16"/>
  <c r="N476" i="16"/>
  <c r="R476" i="16"/>
  <c r="D477" i="16"/>
  <c r="F477" i="16" s="1"/>
  <c r="E477" i="16"/>
  <c r="N477" i="16"/>
  <c r="R477" i="16"/>
  <c r="D478" i="16"/>
  <c r="F478" i="16" s="1"/>
  <c r="E478" i="16"/>
  <c r="N478" i="16"/>
  <c r="R478" i="16"/>
  <c r="D479" i="16"/>
  <c r="F479" i="16" s="1"/>
  <c r="E479" i="16"/>
  <c r="N479" i="16"/>
  <c r="R479" i="16"/>
  <c r="D480" i="16"/>
  <c r="F480" i="16" s="1"/>
  <c r="E480" i="16"/>
  <c r="N480" i="16"/>
  <c r="R480" i="16"/>
  <c r="D481" i="16"/>
  <c r="F481" i="16" s="1"/>
  <c r="E481" i="16"/>
  <c r="N481" i="16"/>
  <c r="R481" i="16"/>
  <c r="D482" i="16"/>
  <c r="F482" i="16" s="1"/>
  <c r="E482" i="16"/>
  <c r="N482" i="16"/>
  <c r="R482" i="16"/>
  <c r="D483" i="16"/>
  <c r="M483" i="16" s="1"/>
  <c r="N483" i="16"/>
  <c r="R483" i="16"/>
  <c r="D484" i="16"/>
  <c r="M484" i="16" s="1"/>
  <c r="N484" i="16"/>
  <c r="R484" i="16"/>
  <c r="D485" i="16"/>
  <c r="M485" i="16" s="1"/>
  <c r="N485" i="16"/>
  <c r="R485" i="16"/>
  <c r="D486" i="16"/>
  <c r="M486" i="16" s="1"/>
  <c r="N486" i="16"/>
  <c r="R486" i="16"/>
  <c r="D487" i="16"/>
  <c r="F487" i="16" s="1"/>
  <c r="N487" i="16"/>
  <c r="R487" i="16"/>
  <c r="D488" i="16"/>
  <c r="F488" i="16" s="1"/>
  <c r="N488" i="16"/>
  <c r="R488" i="16"/>
  <c r="D489" i="16"/>
  <c r="M489" i="16" s="1"/>
  <c r="N489" i="16"/>
  <c r="R489" i="16"/>
  <c r="D490" i="16"/>
  <c r="N490" i="16"/>
  <c r="R490" i="16"/>
  <c r="D491" i="16"/>
  <c r="F491" i="16" s="1"/>
  <c r="N491" i="16"/>
  <c r="R491" i="16"/>
  <c r="D492" i="16"/>
  <c r="F492" i="16" s="1"/>
  <c r="N492" i="16"/>
  <c r="R492" i="16"/>
  <c r="D493" i="16"/>
  <c r="M493" i="16" s="1"/>
  <c r="N493" i="16"/>
  <c r="R493" i="16"/>
  <c r="D494" i="16"/>
  <c r="M494" i="16" s="1"/>
  <c r="N494" i="16"/>
  <c r="R494" i="16"/>
  <c r="D495" i="16"/>
  <c r="M495" i="16" s="1"/>
  <c r="N495" i="16"/>
  <c r="R495" i="16"/>
  <c r="D496" i="16"/>
  <c r="N496" i="16"/>
  <c r="R496" i="16"/>
  <c r="D497" i="16"/>
  <c r="F497" i="16" s="1"/>
  <c r="N497" i="16"/>
  <c r="R497" i="16"/>
  <c r="D498" i="16"/>
  <c r="F498" i="16" s="1"/>
  <c r="N498" i="16"/>
  <c r="R498" i="16"/>
  <c r="D499" i="16"/>
  <c r="M499" i="16" s="1"/>
  <c r="N499" i="16"/>
  <c r="R499" i="16"/>
  <c r="D500" i="16"/>
  <c r="N500" i="16"/>
  <c r="R500" i="16"/>
  <c r="D501" i="16"/>
  <c r="N501" i="16"/>
  <c r="R501" i="16"/>
  <c r="D502" i="16"/>
  <c r="N502" i="16"/>
  <c r="R502" i="16"/>
  <c r="D503" i="16"/>
  <c r="F503" i="16" s="1"/>
  <c r="N503" i="16"/>
  <c r="R503" i="16"/>
  <c r="D504" i="16"/>
  <c r="F504" i="16" s="1"/>
  <c r="N504" i="16"/>
  <c r="R504" i="16"/>
  <c r="D505" i="16"/>
  <c r="F505" i="16" s="1"/>
  <c r="E505" i="16"/>
  <c r="N505" i="16"/>
  <c r="R505" i="16"/>
  <c r="D506" i="16"/>
  <c r="F506" i="16" s="1"/>
  <c r="E506" i="16"/>
  <c r="N506" i="16"/>
  <c r="R506" i="16"/>
  <c r="D507" i="16"/>
  <c r="F507" i="16" s="1"/>
  <c r="E507" i="16"/>
  <c r="N507" i="16"/>
  <c r="R507" i="16"/>
  <c r="D508" i="16"/>
  <c r="F508" i="16" s="1"/>
  <c r="E508" i="16"/>
  <c r="N508" i="16"/>
  <c r="R508" i="16"/>
  <c r="D509" i="16"/>
  <c r="F509" i="16" s="1"/>
  <c r="E509" i="16"/>
  <c r="N509" i="16"/>
  <c r="R509" i="16"/>
  <c r="D510" i="16"/>
  <c r="F510" i="16" s="1"/>
  <c r="E510" i="16"/>
  <c r="N510" i="16"/>
  <c r="R510" i="16"/>
  <c r="D511" i="16"/>
  <c r="F511" i="16" s="1"/>
  <c r="E511" i="16"/>
  <c r="N511" i="16"/>
  <c r="R511" i="16"/>
  <c r="D512" i="16"/>
  <c r="F512" i="16" s="1"/>
  <c r="E512" i="16"/>
  <c r="N512" i="16"/>
  <c r="R512" i="16"/>
  <c r="D3" i="16"/>
  <c r="D475" i="9"/>
  <c r="F475" i="9" s="1"/>
  <c r="E475" i="9"/>
  <c r="N475" i="9"/>
  <c r="R475" i="9"/>
  <c r="D476" i="9"/>
  <c r="F476" i="9" s="1"/>
  <c r="E476" i="9"/>
  <c r="N476" i="9"/>
  <c r="R476" i="9"/>
  <c r="D477" i="9"/>
  <c r="F477" i="9" s="1"/>
  <c r="E477" i="9"/>
  <c r="N477" i="9"/>
  <c r="R477" i="9"/>
  <c r="D478" i="9"/>
  <c r="F478" i="9" s="1"/>
  <c r="E478" i="9"/>
  <c r="N478" i="9"/>
  <c r="R478" i="9"/>
  <c r="D479" i="9"/>
  <c r="F479" i="9" s="1"/>
  <c r="E479" i="9"/>
  <c r="N479" i="9"/>
  <c r="R479" i="9"/>
  <c r="D480" i="9"/>
  <c r="F480" i="9" s="1"/>
  <c r="E480" i="9"/>
  <c r="N480" i="9"/>
  <c r="R480" i="9"/>
  <c r="D481" i="9"/>
  <c r="F481" i="9" s="1"/>
  <c r="E481" i="9"/>
  <c r="N481" i="9"/>
  <c r="R481" i="9"/>
  <c r="D482" i="9"/>
  <c r="F482" i="9" s="1"/>
  <c r="E482" i="9"/>
  <c r="N482" i="9"/>
  <c r="R482" i="9"/>
  <c r="D445" i="9"/>
  <c r="F445" i="9" s="1"/>
  <c r="E445" i="9"/>
  <c r="N445" i="9"/>
  <c r="R445" i="9"/>
  <c r="D446" i="9"/>
  <c r="F446" i="9" s="1"/>
  <c r="E446" i="9"/>
  <c r="N446" i="9"/>
  <c r="R446" i="9"/>
  <c r="D447" i="9"/>
  <c r="F447" i="9" s="1"/>
  <c r="E447" i="9"/>
  <c r="N447" i="9"/>
  <c r="R447" i="9"/>
  <c r="D448" i="9"/>
  <c r="F448" i="9" s="1"/>
  <c r="E448" i="9"/>
  <c r="N448" i="9"/>
  <c r="R448" i="9"/>
  <c r="D449" i="9"/>
  <c r="F449" i="9" s="1"/>
  <c r="E449" i="9"/>
  <c r="N449" i="9"/>
  <c r="R449" i="9"/>
  <c r="D450" i="9"/>
  <c r="F450" i="9" s="1"/>
  <c r="E450" i="9"/>
  <c r="N450" i="9"/>
  <c r="R450" i="9"/>
  <c r="D451" i="9"/>
  <c r="F451" i="9" s="1"/>
  <c r="E451" i="9"/>
  <c r="N451" i="9"/>
  <c r="R451" i="9"/>
  <c r="D452" i="9"/>
  <c r="F452" i="9" s="1"/>
  <c r="E452" i="9"/>
  <c r="N452" i="9"/>
  <c r="R452" i="9"/>
  <c r="D415" i="9"/>
  <c r="F415" i="9" s="1"/>
  <c r="E415" i="9"/>
  <c r="N415" i="9"/>
  <c r="R415" i="9"/>
  <c r="D416" i="9"/>
  <c r="F416" i="9" s="1"/>
  <c r="E416" i="9"/>
  <c r="N416" i="9"/>
  <c r="R416" i="9"/>
  <c r="D417" i="9"/>
  <c r="F417" i="9" s="1"/>
  <c r="E417" i="9"/>
  <c r="N417" i="9"/>
  <c r="R417" i="9"/>
  <c r="D418" i="9"/>
  <c r="F418" i="9" s="1"/>
  <c r="E418" i="9"/>
  <c r="N418" i="9"/>
  <c r="R418" i="9"/>
  <c r="D419" i="9"/>
  <c r="F419" i="9" s="1"/>
  <c r="E419" i="9"/>
  <c r="N419" i="9"/>
  <c r="R419" i="9"/>
  <c r="D420" i="9"/>
  <c r="F420" i="9" s="1"/>
  <c r="E420" i="9"/>
  <c r="N420" i="9"/>
  <c r="R420" i="9"/>
  <c r="D421" i="9"/>
  <c r="F421" i="9" s="1"/>
  <c r="E421" i="9"/>
  <c r="N421" i="9"/>
  <c r="R421" i="9"/>
  <c r="D422" i="9"/>
  <c r="F422" i="9" s="1"/>
  <c r="E422" i="9"/>
  <c r="N422" i="9"/>
  <c r="R422" i="9"/>
  <c r="D385" i="9"/>
  <c r="F385" i="9" s="1"/>
  <c r="E385" i="9"/>
  <c r="N385" i="9"/>
  <c r="R385" i="9"/>
  <c r="D386" i="9"/>
  <c r="F386" i="9" s="1"/>
  <c r="E386" i="9"/>
  <c r="N386" i="9"/>
  <c r="R386" i="9"/>
  <c r="D387" i="9"/>
  <c r="F387" i="9" s="1"/>
  <c r="E387" i="9"/>
  <c r="N387" i="9"/>
  <c r="R387" i="9"/>
  <c r="D388" i="9"/>
  <c r="F388" i="9" s="1"/>
  <c r="E388" i="9"/>
  <c r="N388" i="9"/>
  <c r="R388" i="9"/>
  <c r="D389" i="9"/>
  <c r="F389" i="9" s="1"/>
  <c r="E389" i="9"/>
  <c r="N389" i="9"/>
  <c r="R389" i="9"/>
  <c r="D390" i="9"/>
  <c r="F390" i="9" s="1"/>
  <c r="E390" i="9"/>
  <c r="N390" i="9"/>
  <c r="R390" i="9"/>
  <c r="D391" i="9"/>
  <c r="F391" i="9" s="1"/>
  <c r="E391" i="9"/>
  <c r="N391" i="9"/>
  <c r="R391" i="9"/>
  <c r="D392" i="9"/>
  <c r="F392" i="9" s="1"/>
  <c r="E392" i="9"/>
  <c r="N392" i="9"/>
  <c r="R392" i="9"/>
  <c r="D355" i="9"/>
  <c r="F355" i="9" s="1"/>
  <c r="E355" i="9"/>
  <c r="N355" i="9"/>
  <c r="R355" i="9"/>
  <c r="D356" i="9"/>
  <c r="F356" i="9" s="1"/>
  <c r="E356" i="9"/>
  <c r="N356" i="9"/>
  <c r="R356" i="9"/>
  <c r="D357" i="9"/>
  <c r="F357" i="9" s="1"/>
  <c r="E357" i="9"/>
  <c r="N357" i="9"/>
  <c r="R357" i="9"/>
  <c r="D358" i="9"/>
  <c r="F358" i="9" s="1"/>
  <c r="E358" i="9"/>
  <c r="N358" i="9"/>
  <c r="R358" i="9"/>
  <c r="D359" i="9"/>
  <c r="F359" i="9" s="1"/>
  <c r="E359" i="9"/>
  <c r="N359" i="9"/>
  <c r="R359" i="9"/>
  <c r="D360" i="9"/>
  <c r="F360" i="9" s="1"/>
  <c r="E360" i="9"/>
  <c r="N360" i="9"/>
  <c r="R360" i="9"/>
  <c r="D361" i="9"/>
  <c r="F361" i="9" s="1"/>
  <c r="E361" i="9"/>
  <c r="N361" i="9"/>
  <c r="R361" i="9"/>
  <c r="D362" i="9"/>
  <c r="F362" i="9" s="1"/>
  <c r="E362" i="9"/>
  <c r="N362" i="9"/>
  <c r="R362" i="9"/>
  <c r="D325" i="9"/>
  <c r="F325" i="9" s="1"/>
  <c r="E325" i="9"/>
  <c r="N325" i="9"/>
  <c r="R325" i="9"/>
  <c r="D326" i="9"/>
  <c r="F326" i="9" s="1"/>
  <c r="E326" i="9"/>
  <c r="N326" i="9"/>
  <c r="R326" i="9"/>
  <c r="D327" i="9"/>
  <c r="F327" i="9" s="1"/>
  <c r="E327" i="9"/>
  <c r="N327" i="9"/>
  <c r="R327" i="9"/>
  <c r="D328" i="9"/>
  <c r="F328" i="9" s="1"/>
  <c r="E328" i="9"/>
  <c r="N328" i="9"/>
  <c r="R328" i="9"/>
  <c r="D329" i="9"/>
  <c r="F329" i="9" s="1"/>
  <c r="E329" i="9"/>
  <c r="N329" i="9"/>
  <c r="R329" i="9"/>
  <c r="D330" i="9"/>
  <c r="F330" i="9" s="1"/>
  <c r="E330" i="9"/>
  <c r="N330" i="9"/>
  <c r="R330" i="9"/>
  <c r="D331" i="9"/>
  <c r="F331" i="9" s="1"/>
  <c r="E331" i="9"/>
  <c r="N331" i="9"/>
  <c r="R331" i="9"/>
  <c r="D332" i="9"/>
  <c r="F332" i="9" s="1"/>
  <c r="E332" i="9"/>
  <c r="N332" i="9"/>
  <c r="R332" i="9"/>
  <c r="D295" i="9"/>
  <c r="F295" i="9" s="1"/>
  <c r="E295" i="9"/>
  <c r="N295" i="9"/>
  <c r="R295" i="9"/>
  <c r="D296" i="9"/>
  <c r="F296" i="9" s="1"/>
  <c r="E296" i="9"/>
  <c r="N296" i="9"/>
  <c r="R296" i="9"/>
  <c r="D297" i="9"/>
  <c r="F297" i="9" s="1"/>
  <c r="E297" i="9"/>
  <c r="N297" i="9"/>
  <c r="R297" i="9"/>
  <c r="D298" i="9"/>
  <c r="F298" i="9" s="1"/>
  <c r="E298" i="9"/>
  <c r="N298" i="9"/>
  <c r="R298" i="9"/>
  <c r="D299" i="9"/>
  <c r="F299" i="9" s="1"/>
  <c r="E299" i="9"/>
  <c r="N299" i="9"/>
  <c r="R299" i="9"/>
  <c r="D300" i="9"/>
  <c r="F300" i="9" s="1"/>
  <c r="E300" i="9"/>
  <c r="N300" i="9"/>
  <c r="R300" i="9"/>
  <c r="D301" i="9"/>
  <c r="F301" i="9" s="1"/>
  <c r="E301" i="9"/>
  <c r="N301" i="9"/>
  <c r="R301" i="9"/>
  <c r="D302" i="9"/>
  <c r="F302" i="9" s="1"/>
  <c r="E302" i="9"/>
  <c r="N302" i="9"/>
  <c r="R302" i="9"/>
  <c r="D265" i="9"/>
  <c r="F265" i="9" s="1"/>
  <c r="E265" i="9"/>
  <c r="N265" i="9"/>
  <c r="R265" i="9"/>
  <c r="D266" i="9"/>
  <c r="F266" i="9" s="1"/>
  <c r="E266" i="9"/>
  <c r="N266" i="9"/>
  <c r="R266" i="9"/>
  <c r="D267" i="9"/>
  <c r="F267" i="9" s="1"/>
  <c r="E267" i="9"/>
  <c r="N267" i="9"/>
  <c r="R267" i="9"/>
  <c r="D268" i="9"/>
  <c r="F268" i="9" s="1"/>
  <c r="E268" i="9"/>
  <c r="N268" i="9"/>
  <c r="R268" i="9"/>
  <c r="D269" i="9"/>
  <c r="F269" i="9" s="1"/>
  <c r="E269" i="9"/>
  <c r="N269" i="9"/>
  <c r="R269" i="9"/>
  <c r="D270" i="9"/>
  <c r="F270" i="9" s="1"/>
  <c r="E270" i="9"/>
  <c r="N270" i="9"/>
  <c r="R270" i="9"/>
  <c r="D271" i="9"/>
  <c r="F271" i="9" s="1"/>
  <c r="E271" i="9"/>
  <c r="N271" i="9"/>
  <c r="R271" i="9"/>
  <c r="D272" i="9"/>
  <c r="F272" i="9" s="1"/>
  <c r="E272" i="9"/>
  <c r="N272" i="9"/>
  <c r="R272" i="9"/>
  <c r="D235" i="9"/>
  <c r="F235" i="9" s="1"/>
  <c r="E235" i="9"/>
  <c r="N235" i="9"/>
  <c r="R235" i="9"/>
  <c r="D236" i="9"/>
  <c r="F236" i="9" s="1"/>
  <c r="E236" i="9"/>
  <c r="N236" i="9"/>
  <c r="R236" i="9"/>
  <c r="D237" i="9"/>
  <c r="F237" i="9" s="1"/>
  <c r="E237" i="9"/>
  <c r="N237" i="9"/>
  <c r="R237" i="9"/>
  <c r="D238" i="9"/>
  <c r="F238" i="9" s="1"/>
  <c r="E238" i="9"/>
  <c r="N238" i="9"/>
  <c r="R238" i="9"/>
  <c r="D239" i="9"/>
  <c r="F239" i="9" s="1"/>
  <c r="E239" i="9"/>
  <c r="N239" i="9"/>
  <c r="R239" i="9"/>
  <c r="D240" i="9"/>
  <c r="F240" i="9" s="1"/>
  <c r="E240" i="9"/>
  <c r="N240" i="9"/>
  <c r="R240" i="9"/>
  <c r="D241" i="9"/>
  <c r="F241" i="9" s="1"/>
  <c r="E241" i="9"/>
  <c r="N241" i="9"/>
  <c r="R241" i="9"/>
  <c r="D242" i="9"/>
  <c r="F242" i="9" s="1"/>
  <c r="E242" i="9"/>
  <c r="N242" i="9"/>
  <c r="R242" i="9"/>
  <c r="E25" i="9"/>
  <c r="E26" i="9"/>
  <c r="E27" i="9"/>
  <c r="E28" i="9"/>
  <c r="E29" i="9"/>
  <c r="E30" i="9"/>
  <c r="E31" i="9"/>
  <c r="E32" i="9"/>
  <c r="E55" i="9"/>
  <c r="E56" i="9"/>
  <c r="E57" i="9"/>
  <c r="E58" i="9"/>
  <c r="E59" i="9"/>
  <c r="E60" i="9"/>
  <c r="E61" i="9"/>
  <c r="E62" i="9"/>
  <c r="E85" i="9"/>
  <c r="E86" i="9"/>
  <c r="E87" i="9"/>
  <c r="E88" i="9"/>
  <c r="E89" i="9"/>
  <c r="E90" i="9"/>
  <c r="E91" i="9"/>
  <c r="E92" i="9"/>
  <c r="E115" i="9"/>
  <c r="E116" i="9"/>
  <c r="E117" i="9"/>
  <c r="E118" i="9"/>
  <c r="E119" i="9"/>
  <c r="E120" i="9"/>
  <c r="E121" i="9"/>
  <c r="E122" i="9"/>
  <c r="E145" i="9"/>
  <c r="E146" i="9"/>
  <c r="E147" i="9"/>
  <c r="E148" i="9"/>
  <c r="E149" i="9"/>
  <c r="E150" i="9"/>
  <c r="E151" i="9"/>
  <c r="E152" i="9"/>
  <c r="E175" i="9"/>
  <c r="E176" i="9"/>
  <c r="E177" i="9"/>
  <c r="E178" i="9"/>
  <c r="E179" i="9"/>
  <c r="E180" i="9"/>
  <c r="E181" i="9"/>
  <c r="E182" i="9"/>
  <c r="E205" i="9"/>
  <c r="E206" i="9"/>
  <c r="E207" i="9"/>
  <c r="E208" i="9"/>
  <c r="E209" i="9"/>
  <c r="E210" i="9"/>
  <c r="E211" i="9"/>
  <c r="E212" i="9"/>
  <c r="D4" i="9"/>
  <c r="D5" i="9"/>
  <c r="D6" i="9"/>
  <c r="D7" i="9"/>
  <c r="F7" i="9" s="1"/>
  <c r="D8" i="9"/>
  <c r="F8" i="9" s="1"/>
  <c r="D9" i="9"/>
  <c r="D10" i="9"/>
  <c r="D11" i="9"/>
  <c r="F11" i="9" s="1"/>
  <c r="D12" i="9"/>
  <c r="F12" i="9" s="1"/>
  <c r="D13" i="9"/>
  <c r="D14" i="9"/>
  <c r="D15" i="9"/>
  <c r="D16" i="9"/>
  <c r="D17" i="9"/>
  <c r="F17" i="9" s="1"/>
  <c r="D18" i="9"/>
  <c r="F18" i="9" s="1"/>
  <c r="D19" i="9"/>
  <c r="D20" i="9"/>
  <c r="D21" i="9"/>
  <c r="D22" i="9"/>
  <c r="D23" i="9"/>
  <c r="F23" i="9" s="1"/>
  <c r="D24" i="9"/>
  <c r="F24" i="9" s="1"/>
  <c r="D25" i="9"/>
  <c r="F25" i="9" s="1"/>
  <c r="D26" i="9"/>
  <c r="F26" i="9" s="1"/>
  <c r="D27" i="9"/>
  <c r="F27" i="9" s="1"/>
  <c r="D28" i="9"/>
  <c r="F28" i="9" s="1"/>
  <c r="D29" i="9"/>
  <c r="F29" i="9" s="1"/>
  <c r="D30" i="9"/>
  <c r="F30" i="9" s="1"/>
  <c r="D31" i="9"/>
  <c r="F31" i="9" s="1"/>
  <c r="D32" i="9"/>
  <c r="F32" i="9" s="1"/>
  <c r="D33" i="9"/>
  <c r="D34" i="9"/>
  <c r="D35" i="9"/>
  <c r="D36" i="9"/>
  <c r="D37" i="9"/>
  <c r="F37" i="9" s="1"/>
  <c r="D38" i="9"/>
  <c r="F38" i="9" s="1"/>
  <c r="D39" i="9"/>
  <c r="D40" i="9"/>
  <c r="D41" i="9"/>
  <c r="F41" i="9" s="1"/>
  <c r="D42" i="9"/>
  <c r="F42" i="9" s="1"/>
  <c r="D43" i="9"/>
  <c r="D44" i="9"/>
  <c r="D45" i="9"/>
  <c r="D46" i="9"/>
  <c r="D47" i="9"/>
  <c r="F47" i="9" s="1"/>
  <c r="D48" i="9"/>
  <c r="F48" i="9" s="1"/>
  <c r="D49" i="9"/>
  <c r="D50" i="9"/>
  <c r="D51" i="9"/>
  <c r="D52" i="9"/>
  <c r="D53" i="9"/>
  <c r="F53" i="9" s="1"/>
  <c r="D54" i="9"/>
  <c r="F54" i="9" s="1"/>
  <c r="D55" i="9"/>
  <c r="F55" i="9" s="1"/>
  <c r="D56" i="9"/>
  <c r="F56" i="9" s="1"/>
  <c r="D57" i="9"/>
  <c r="F57" i="9" s="1"/>
  <c r="D58" i="9"/>
  <c r="F58" i="9" s="1"/>
  <c r="D59" i="9"/>
  <c r="F59" i="9" s="1"/>
  <c r="D60" i="9"/>
  <c r="F60" i="9" s="1"/>
  <c r="D61" i="9"/>
  <c r="F61" i="9" s="1"/>
  <c r="D62" i="9"/>
  <c r="F62" i="9" s="1"/>
  <c r="D63" i="9"/>
  <c r="D64" i="9"/>
  <c r="D65" i="9"/>
  <c r="D66" i="9"/>
  <c r="D67" i="9"/>
  <c r="F67" i="9" s="1"/>
  <c r="D68" i="9"/>
  <c r="F68" i="9" s="1"/>
  <c r="D69" i="9"/>
  <c r="D70" i="9"/>
  <c r="D71" i="9"/>
  <c r="F71" i="9" s="1"/>
  <c r="D72" i="9"/>
  <c r="F72" i="9" s="1"/>
  <c r="D73" i="9"/>
  <c r="D74" i="9"/>
  <c r="D75" i="9"/>
  <c r="D76" i="9"/>
  <c r="D77" i="9"/>
  <c r="F77" i="9" s="1"/>
  <c r="D78" i="9"/>
  <c r="F78" i="9" s="1"/>
  <c r="D79" i="9"/>
  <c r="D80" i="9"/>
  <c r="D81" i="9"/>
  <c r="D82" i="9"/>
  <c r="D83" i="9"/>
  <c r="F83" i="9" s="1"/>
  <c r="D84" i="9"/>
  <c r="F84" i="9" s="1"/>
  <c r="D86" i="9"/>
  <c r="F86" i="9" s="1"/>
  <c r="D87" i="9"/>
  <c r="F87" i="9" s="1"/>
  <c r="D88" i="9"/>
  <c r="F88" i="9" s="1"/>
  <c r="D89" i="9"/>
  <c r="F89" i="9" s="1"/>
  <c r="D90" i="9"/>
  <c r="F90" i="9" s="1"/>
  <c r="D91" i="9"/>
  <c r="F91" i="9" s="1"/>
  <c r="D92" i="9"/>
  <c r="F92" i="9" s="1"/>
  <c r="D93" i="9"/>
  <c r="D94" i="9"/>
  <c r="D95" i="9"/>
  <c r="D96" i="9"/>
  <c r="D97" i="9"/>
  <c r="F97" i="9" s="1"/>
  <c r="D98" i="9"/>
  <c r="F98" i="9" s="1"/>
  <c r="D99" i="9"/>
  <c r="D100" i="9"/>
  <c r="D101" i="9"/>
  <c r="F101" i="9" s="1"/>
  <c r="D102" i="9"/>
  <c r="F102" i="9" s="1"/>
  <c r="D103" i="9"/>
  <c r="D104" i="9"/>
  <c r="D105" i="9"/>
  <c r="D106" i="9"/>
  <c r="D107" i="9"/>
  <c r="F107" i="9" s="1"/>
  <c r="D108" i="9"/>
  <c r="F108" i="9" s="1"/>
  <c r="D109" i="9"/>
  <c r="D110" i="9"/>
  <c r="D111" i="9"/>
  <c r="D112" i="9"/>
  <c r="D113" i="9"/>
  <c r="F113" i="9" s="1"/>
  <c r="D114" i="9"/>
  <c r="F114" i="9" s="1"/>
  <c r="D115" i="9"/>
  <c r="F115" i="9" s="1"/>
  <c r="D116" i="9"/>
  <c r="F116" i="9" s="1"/>
  <c r="D117" i="9"/>
  <c r="F117" i="9" s="1"/>
  <c r="D118" i="9"/>
  <c r="F118" i="9" s="1"/>
  <c r="D119" i="9"/>
  <c r="F119" i="9" s="1"/>
  <c r="D120" i="9"/>
  <c r="F120" i="9" s="1"/>
  <c r="D121" i="9"/>
  <c r="F121" i="9" s="1"/>
  <c r="D122" i="9"/>
  <c r="F122" i="9" s="1"/>
  <c r="D123" i="9"/>
  <c r="D124" i="9"/>
  <c r="D125" i="9"/>
  <c r="D126" i="9"/>
  <c r="D127" i="9"/>
  <c r="F127" i="9" s="1"/>
  <c r="D128" i="9"/>
  <c r="F128" i="9" s="1"/>
  <c r="D129" i="9"/>
  <c r="D130" i="9"/>
  <c r="D131" i="9"/>
  <c r="F131" i="9" s="1"/>
  <c r="D132" i="9"/>
  <c r="F132" i="9" s="1"/>
  <c r="D133" i="9"/>
  <c r="D134" i="9"/>
  <c r="D135" i="9"/>
  <c r="D136" i="9"/>
  <c r="D137" i="9"/>
  <c r="F137" i="9" s="1"/>
  <c r="D138" i="9"/>
  <c r="F138" i="9" s="1"/>
  <c r="D139" i="9"/>
  <c r="D140" i="9"/>
  <c r="D141" i="9"/>
  <c r="D142" i="9"/>
  <c r="D143" i="9"/>
  <c r="F143" i="9" s="1"/>
  <c r="D144" i="9"/>
  <c r="F144" i="9" s="1"/>
  <c r="D145" i="9"/>
  <c r="F145" i="9" s="1"/>
  <c r="D146" i="9"/>
  <c r="F146" i="9" s="1"/>
  <c r="D147" i="9"/>
  <c r="F147" i="9" s="1"/>
  <c r="D148" i="9"/>
  <c r="F148" i="9" s="1"/>
  <c r="D149" i="9"/>
  <c r="F149" i="9" s="1"/>
  <c r="D150" i="9"/>
  <c r="F150" i="9" s="1"/>
  <c r="D151" i="9"/>
  <c r="F151" i="9" s="1"/>
  <c r="D152" i="9"/>
  <c r="F152" i="9" s="1"/>
  <c r="D153" i="9"/>
  <c r="D154" i="9"/>
  <c r="D155" i="9"/>
  <c r="D156" i="9"/>
  <c r="D157" i="9"/>
  <c r="F157" i="9" s="1"/>
  <c r="D158" i="9"/>
  <c r="F158" i="9" s="1"/>
  <c r="D159" i="9"/>
  <c r="D160" i="9"/>
  <c r="D161" i="9"/>
  <c r="F161" i="9" s="1"/>
  <c r="D162" i="9"/>
  <c r="F162" i="9" s="1"/>
  <c r="D163" i="9"/>
  <c r="D164" i="9"/>
  <c r="D165" i="9"/>
  <c r="D166" i="9"/>
  <c r="D167" i="9"/>
  <c r="F167" i="9" s="1"/>
  <c r="D168" i="9"/>
  <c r="F168" i="9" s="1"/>
  <c r="D169" i="9"/>
  <c r="D170" i="9"/>
  <c r="D171" i="9"/>
  <c r="D172" i="9"/>
  <c r="D173" i="9"/>
  <c r="F173" i="9" s="1"/>
  <c r="D174" i="9"/>
  <c r="F174" i="9" s="1"/>
  <c r="D175" i="9"/>
  <c r="F175" i="9" s="1"/>
  <c r="D176" i="9"/>
  <c r="F176" i="9" s="1"/>
  <c r="D177" i="9"/>
  <c r="F177" i="9" s="1"/>
  <c r="D178" i="9"/>
  <c r="F178" i="9" s="1"/>
  <c r="D179" i="9"/>
  <c r="F179" i="9" s="1"/>
  <c r="D180" i="9"/>
  <c r="F180" i="9" s="1"/>
  <c r="D181" i="9"/>
  <c r="F181" i="9" s="1"/>
  <c r="D182" i="9"/>
  <c r="F182" i="9" s="1"/>
  <c r="D183" i="9"/>
  <c r="D184" i="9"/>
  <c r="D185" i="9"/>
  <c r="D186" i="9"/>
  <c r="D187" i="9"/>
  <c r="F187" i="9" s="1"/>
  <c r="D188" i="9"/>
  <c r="F188" i="9" s="1"/>
  <c r="D189" i="9"/>
  <c r="D190" i="9"/>
  <c r="D191" i="9"/>
  <c r="F191" i="9" s="1"/>
  <c r="D192" i="9"/>
  <c r="F192" i="9" s="1"/>
  <c r="D193" i="9"/>
  <c r="D194" i="9"/>
  <c r="D195" i="9"/>
  <c r="D196" i="9"/>
  <c r="D197" i="9"/>
  <c r="F197" i="9" s="1"/>
  <c r="D198" i="9"/>
  <c r="F198" i="9" s="1"/>
  <c r="D199" i="9"/>
  <c r="D200" i="9"/>
  <c r="D201" i="9"/>
  <c r="D202" i="9"/>
  <c r="D203" i="9"/>
  <c r="F203" i="9" s="1"/>
  <c r="D204" i="9"/>
  <c r="F204" i="9" s="1"/>
  <c r="D205" i="9"/>
  <c r="F205" i="9" s="1"/>
  <c r="D206" i="9"/>
  <c r="F206" i="9" s="1"/>
  <c r="D207" i="9"/>
  <c r="F207" i="9" s="1"/>
  <c r="D208" i="9"/>
  <c r="F208" i="9" s="1"/>
  <c r="D209" i="9"/>
  <c r="F209" i="9" s="1"/>
  <c r="D210" i="9"/>
  <c r="F210" i="9" s="1"/>
  <c r="D211" i="9"/>
  <c r="F211" i="9" s="1"/>
  <c r="D212" i="9"/>
  <c r="F212" i="9" s="1"/>
  <c r="D213" i="9"/>
  <c r="D214" i="9"/>
  <c r="D215" i="9"/>
  <c r="D216" i="9"/>
  <c r="D217" i="9"/>
  <c r="F217" i="9" s="1"/>
  <c r="D218" i="9"/>
  <c r="F218" i="9" s="1"/>
  <c r="D219" i="9"/>
  <c r="D220" i="9"/>
  <c r="D221" i="9"/>
  <c r="F221" i="9" s="1"/>
  <c r="D222" i="9"/>
  <c r="F222" i="9" s="1"/>
  <c r="D223" i="9"/>
  <c r="D224" i="9"/>
  <c r="D225" i="9"/>
  <c r="D226" i="9"/>
  <c r="D227" i="9"/>
  <c r="F227" i="9" s="1"/>
  <c r="D228" i="9"/>
  <c r="F228" i="9" s="1"/>
  <c r="D229" i="9"/>
  <c r="D230" i="9"/>
  <c r="D231" i="9"/>
  <c r="D232" i="9"/>
  <c r="D233" i="9"/>
  <c r="F233" i="9" s="1"/>
  <c r="D234" i="9"/>
  <c r="F234" i="9" s="1"/>
  <c r="D505" i="9"/>
  <c r="F505" i="9" s="1"/>
  <c r="N505" i="9"/>
  <c r="R505" i="9"/>
  <c r="D506" i="9"/>
  <c r="F506" i="9" s="1"/>
  <c r="N506" i="9"/>
  <c r="R506" i="9"/>
  <c r="D507" i="9"/>
  <c r="F507" i="9" s="1"/>
  <c r="N507" i="9"/>
  <c r="R507" i="9"/>
  <c r="D508" i="9"/>
  <c r="F508" i="9" s="1"/>
  <c r="N508" i="9"/>
  <c r="R508" i="9"/>
  <c r="D509" i="9"/>
  <c r="F509" i="9" s="1"/>
  <c r="N509" i="9"/>
  <c r="R509" i="9"/>
  <c r="D510" i="9"/>
  <c r="F510" i="9" s="1"/>
  <c r="N510" i="9"/>
  <c r="R510" i="9"/>
  <c r="D511" i="9"/>
  <c r="F511" i="9" s="1"/>
  <c r="N511" i="9"/>
  <c r="R511" i="9"/>
  <c r="D512" i="9"/>
  <c r="F512" i="9" s="1"/>
  <c r="N512" i="9"/>
  <c r="R512" i="9"/>
  <c r="N205" i="9"/>
  <c r="R205" i="9"/>
  <c r="N206" i="9"/>
  <c r="R206" i="9"/>
  <c r="N207" i="9"/>
  <c r="R207" i="9"/>
  <c r="N208" i="9"/>
  <c r="R208" i="9"/>
  <c r="N209" i="9"/>
  <c r="R209" i="9"/>
  <c r="N210" i="9"/>
  <c r="R210" i="9"/>
  <c r="N211" i="9"/>
  <c r="R211" i="9"/>
  <c r="N212" i="9"/>
  <c r="R212" i="9"/>
  <c r="N175" i="9"/>
  <c r="R175" i="9"/>
  <c r="N176" i="9"/>
  <c r="R176" i="9"/>
  <c r="N177" i="9"/>
  <c r="R177" i="9"/>
  <c r="N178" i="9"/>
  <c r="R178" i="9"/>
  <c r="N179" i="9"/>
  <c r="R179" i="9"/>
  <c r="N180" i="9"/>
  <c r="R180" i="9"/>
  <c r="N181" i="9"/>
  <c r="R181" i="9"/>
  <c r="N182" i="9"/>
  <c r="R182" i="9"/>
  <c r="N145" i="9"/>
  <c r="R145" i="9"/>
  <c r="N146" i="9"/>
  <c r="R146" i="9"/>
  <c r="N147" i="9"/>
  <c r="R147" i="9"/>
  <c r="N148" i="9"/>
  <c r="R148" i="9"/>
  <c r="N149" i="9"/>
  <c r="R149" i="9"/>
  <c r="N150" i="9"/>
  <c r="R150" i="9"/>
  <c r="N151" i="9"/>
  <c r="R151" i="9"/>
  <c r="N152" i="9"/>
  <c r="R152" i="9"/>
  <c r="N115" i="9"/>
  <c r="R115" i="9"/>
  <c r="N116" i="9"/>
  <c r="R116" i="9"/>
  <c r="N117" i="9"/>
  <c r="R117" i="9"/>
  <c r="N118" i="9"/>
  <c r="R118" i="9"/>
  <c r="N119" i="9"/>
  <c r="R119" i="9"/>
  <c r="N120" i="9"/>
  <c r="R120" i="9"/>
  <c r="N121" i="9"/>
  <c r="R121" i="9"/>
  <c r="N122" i="9"/>
  <c r="R122" i="9"/>
  <c r="N85" i="9"/>
  <c r="R85" i="9"/>
  <c r="N86" i="9"/>
  <c r="R86" i="9"/>
  <c r="N87" i="9"/>
  <c r="R87" i="9"/>
  <c r="N88" i="9"/>
  <c r="R88" i="9"/>
  <c r="N89" i="9"/>
  <c r="R89" i="9"/>
  <c r="N90" i="9"/>
  <c r="R90" i="9"/>
  <c r="N91" i="9"/>
  <c r="R91" i="9"/>
  <c r="N92" i="9"/>
  <c r="R92" i="9"/>
  <c r="N55" i="9"/>
  <c r="R55" i="9"/>
  <c r="N56" i="9"/>
  <c r="R56" i="9"/>
  <c r="N57" i="9"/>
  <c r="R57" i="9"/>
  <c r="N58" i="9"/>
  <c r="R58" i="9"/>
  <c r="N59" i="9"/>
  <c r="R59" i="9"/>
  <c r="N60" i="9"/>
  <c r="R60" i="9"/>
  <c r="N61" i="9"/>
  <c r="R61" i="9"/>
  <c r="N62" i="9"/>
  <c r="R62" i="9"/>
  <c r="N63" i="9"/>
  <c r="R63" i="9"/>
  <c r="D243" i="9"/>
  <c r="D244" i="9"/>
  <c r="D245" i="9"/>
  <c r="D246" i="9"/>
  <c r="D247" i="9"/>
  <c r="F247" i="9" s="1"/>
  <c r="D248" i="9"/>
  <c r="F248" i="9" s="1"/>
  <c r="D249" i="9"/>
  <c r="D250" i="9"/>
  <c r="D251" i="9"/>
  <c r="F251" i="9" s="1"/>
  <c r="D252" i="9"/>
  <c r="F252" i="9" s="1"/>
  <c r="D253" i="9"/>
  <c r="D254" i="9"/>
  <c r="D255" i="9"/>
  <c r="D256" i="9"/>
  <c r="D257" i="9"/>
  <c r="F257" i="9" s="1"/>
  <c r="D258" i="9"/>
  <c r="F258" i="9" s="1"/>
  <c r="D259" i="9"/>
  <c r="D260" i="9"/>
  <c r="D261" i="9"/>
  <c r="D262" i="9"/>
  <c r="D263" i="9"/>
  <c r="F263" i="9" s="1"/>
  <c r="D264" i="9"/>
  <c r="F264" i="9" s="1"/>
  <c r="D273" i="9"/>
  <c r="D274" i="9"/>
  <c r="D275" i="9"/>
  <c r="D276" i="9"/>
  <c r="D277" i="9"/>
  <c r="F277" i="9" s="1"/>
  <c r="D278" i="9"/>
  <c r="F278" i="9" s="1"/>
  <c r="D279" i="9"/>
  <c r="D280" i="9"/>
  <c r="D281" i="9"/>
  <c r="F281" i="9" s="1"/>
  <c r="D282" i="9"/>
  <c r="F282" i="9" s="1"/>
  <c r="D283" i="9"/>
  <c r="D284" i="9"/>
  <c r="D285" i="9"/>
  <c r="D286" i="9"/>
  <c r="D287" i="9"/>
  <c r="F287" i="9" s="1"/>
  <c r="D288" i="9"/>
  <c r="F288" i="9" s="1"/>
  <c r="D289" i="9"/>
  <c r="D290" i="9"/>
  <c r="D291" i="9"/>
  <c r="D292" i="9"/>
  <c r="D293" i="9"/>
  <c r="F293" i="9" s="1"/>
  <c r="D294" i="9"/>
  <c r="F294" i="9" s="1"/>
  <c r="D303" i="9"/>
  <c r="D304" i="9"/>
  <c r="D305" i="9"/>
  <c r="D306" i="9"/>
  <c r="D307" i="9"/>
  <c r="F307" i="9" s="1"/>
  <c r="D308" i="9"/>
  <c r="F308" i="9" s="1"/>
  <c r="D309" i="9"/>
  <c r="D310" i="9"/>
  <c r="D311" i="9"/>
  <c r="F311" i="9" s="1"/>
  <c r="D312" i="9"/>
  <c r="F312" i="9" s="1"/>
  <c r="D313" i="9"/>
  <c r="D314" i="9"/>
  <c r="D315" i="9"/>
  <c r="D316" i="9"/>
  <c r="D317" i="9"/>
  <c r="F317" i="9" s="1"/>
  <c r="D318" i="9"/>
  <c r="F318" i="9" s="1"/>
  <c r="D319" i="9"/>
  <c r="D320" i="9"/>
  <c r="D321" i="9"/>
  <c r="D322" i="9"/>
  <c r="D323" i="9"/>
  <c r="F323" i="9" s="1"/>
  <c r="D324" i="9"/>
  <c r="F324" i="9" s="1"/>
  <c r="D333" i="9"/>
  <c r="D334" i="9"/>
  <c r="D335" i="9"/>
  <c r="D336" i="9"/>
  <c r="D337" i="9"/>
  <c r="F337" i="9" s="1"/>
  <c r="D338" i="9"/>
  <c r="F338" i="9" s="1"/>
  <c r="D339" i="9"/>
  <c r="D340" i="9"/>
  <c r="D341" i="9"/>
  <c r="F341" i="9" s="1"/>
  <c r="D342" i="9"/>
  <c r="F342" i="9" s="1"/>
  <c r="D343" i="9"/>
  <c r="D344" i="9"/>
  <c r="D345" i="9"/>
  <c r="D346" i="9"/>
  <c r="D347" i="9"/>
  <c r="F347" i="9" s="1"/>
  <c r="D348" i="9"/>
  <c r="F348" i="9" s="1"/>
  <c r="D349" i="9"/>
  <c r="D350" i="9"/>
  <c r="D351" i="9"/>
  <c r="D352" i="9"/>
  <c r="D353" i="9"/>
  <c r="F353" i="9" s="1"/>
  <c r="D354" i="9"/>
  <c r="F354" i="9" s="1"/>
  <c r="D363" i="9"/>
  <c r="D364" i="9"/>
  <c r="D365" i="9"/>
  <c r="D366" i="9"/>
  <c r="D367" i="9"/>
  <c r="F367" i="9" s="1"/>
  <c r="D368" i="9"/>
  <c r="F368" i="9" s="1"/>
  <c r="D369" i="9"/>
  <c r="D370" i="9"/>
  <c r="D371" i="9"/>
  <c r="F371" i="9" s="1"/>
  <c r="D372" i="9"/>
  <c r="F372" i="9" s="1"/>
  <c r="D373" i="9"/>
  <c r="D374" i="9"/>
  <c r="D375" i="9"/>
  <c r="D376" i="9"/>
  <c r="D377" i="9"/>
  <c r="F377" i="9" s="1"/>
  <c r="D378" i="9"/>
  <c r="F378" i="9" s="1"/>
  <c r="D379" i="9"/>
  <c r="D380" i="9"/>
  <c r="D381" i="9"/>
  <c r="D382" i="9"/>
  <c r="D383" i="9"/>
  <c r="F383" i="9" s="1"/>
  <c r="D384" i="9"/>
  <c r="F384" i="9" s="1"/>
  <c r="D393" i="9"/>
  <c r="D394" i="9"/>
  <c r="D395" i="9"/>
  <c r="D396" i="9"/>
  <c r="D397" i="9"/>
  <c r="F397" i="9" s="1"/>
  <c r="D398" i="9"/>
  <c r="F398" i="9" s="1"/>
  <c r="D399" i="9"/>
  <c r="D400" i="9"/>
  <c r="D401" i="9"/>
  <c r="F401" i="9" s="1"/>
  <c r="D402" i="9"/>
  <c r="F402" i="9" s="1"/>
  <c r="D403" i="9"/>
  <c r="D404" i="9"/>
  <c r="D405" i="9"/>
  <c r="D406" i="9"/>
  <c r="D407" i="9"/>
  <c r="F407" i="9" s="1"/>
  <c r="D408" i="9"/>
  <c r="F408" i="9" s="1"/>
  <c r="D409" i="9"/>
  <c r="D410" i="9"/>
  <c r="D411" i="9"/>
  <c r="D412" i="9"/>
  <c r="D413" i="9"/>
  <c r="F413" i="9" s="1"/>
  <c r="D414" i="9"/>
  <c r="F414" i="9" s="1"/>
  <c r="D423" i="9"/>
  <c r="D424" i="9"/>
  <c r="D425" i="9"/>
  <c r="D426" i="9"/>
  <c r="D427" i="9"/>
  <c r="F427" i="9" s="1"/>
  <c r="D428" i="9"/>
  <c r="F428" i="9" s="1"/>
  <c r="D429" i="9"/>
  <c r="D430" i="9"/>
  <c r="D431" i="9"/>
  <c r="F431" i="9" s="1"/>
  <c r="D432" i="9"/>
  <c r="F432" i="9" s="1"/>
  <c r="D433" i="9"/>
  <c r="D434" i="9"/>
  <c r="D435" i="9"/>
  <c r="D436" i="9"/>
  <c r="D437" i="9"/>
  <c r="F437" i="9" s="1"/>
  <c r="D438" i="9"/>
  <c r="F438" i="9" s="1"/>
  <c r="D439" i="9"/>
  <c r="D440" i="9"/>
  <c r="D441" i="9"/>
  <c r="D442" i="9"/>
  <c r="D443" i="9"/>
  <c r="F443" i="9" s="1"/>
  <c r="D444" i="9"/>
  <c r="F444" i="9" s="1"/>
  <c r="D453" i="9"/>
  <c r="D454" i="9"/>
  <c r="D455" i="9"/>
  <c r="D456" i="9"/>
  <c r="D457" i="9"/>
  <c r="F457" i="9" s="1"/>
  <c r="D458" i="9"/>
  <c r="F458" i="9" s="1"/>
  <c r="D459" i="9"/>
  <c r="D460" i="9"/>
  <c r="D461" i="9"/>
  <c r="F461" i="9" s="1"/>
  <c r="D462" i="9"/>
  <c r="F462" i="9" s="1"/>
  <c r="D463" i="9"/>
  <c r="D464" i="9"/>
  <c r="D465" i="9"/>
  <c r="D466" i="9"/>
  <c r="D467" i="9"/>
  <c r="F467" i="9" s="1"/>
  <c r="D468" i="9"/>
  <c r="F468" i="9" s="1"/>
  <c r="D469" i="9"/>
  <c r="D470" i="9"/>
  <c r="D471" i="9"/>
  <c r="D472" i="9"/>
  <c r="D473" i="9"/>
  <c r="F473" i="9" s="1"/>
  <c r="D474" i="9"/>
  <c r="F474" i="9" s="1"/>
  <c r="D483" i="9"/>
  <c r="D484" i="9"/>
  <c r="D485" i="9"/>
  <c r="D486" i="9"/>
  <c r="D487" i="9"/>
  <c r="F487" i="9" s="1"/>
  <c r="D488" i="9"/>
  <c r="F488" i="9" s="1"/>
  <c r="D489" i="9"/>
  <c r="D490" i="9"/>
  <c r="D491" i="9"/>
  <c r="F491" i="9" s="1"/>
  <c r="D492" i="9"/>
  <c r="F492" i="9" s="1"/>
  <c r="D493" i="9"/>
  <c r="D494" i="9"/>
  <c r="D495" i="9"/>
  <c r="D496" i="9"/>
  <c r="D497" i="9"/>
  <c r="F497" i="9" s="1"/>
  <c r="D498" i="9"/>
  <c r="F498" i="9" s="1"/>
  <c r="D499" i="9"/>
  <c r="D500" i="9"/>
  <c r="D501" i="9"/>
  <c r="D502" i="9"/>
  <c r="D503" i="9"/>
  <c r="F503" i="9" s="1"/>
  <c r="D504" i="9"/>
  <c r="F504" i="9" s="1"/>
  <c r="D3" i="9"/>
  <c r="N25" i="9"/>
  <c r="R25" i="9"/>
  <c r="N26" i="9"/>
  <c r="R26" i="9"/>
  <c r="N27" i="9"/>
  <c r="R27" i="9"/>
  <c r="N28" i="9"/>
  <c r="R28" i="9"/>
  <c r="N29" i="9"/>
  <c r="R29" i="9"/>
  <c r="N30" i="9"/>
  <c r="R30" i="9"/>
  <c r="N31" i="9"/>
  <c r="R31" i="9"/>
  <c r="N32" i="9"/>
  <c r="R32" i="9"/>
  <c r="AI489" i="25" l="1"/>
  <c r="Y487" i="25"/>
  <c r="AA487" i="25" s="1"/>
  <c r="AI492" i="25"/>
  <c r="Y504" i="25"/>
  <c r="Y488" i="25"/>
  <c r="AA488" i="25" s="1"/>
  <c r="Y502" i="25"/>
  <c r="Y491" i="25"/>
  <c r="AA491" i="25" s="1"/>
  <c r="AB482" i="25"/>
  <c r="AB477" i="25"/>
  <c r="AA454" i="25"/>
  <c r="AB478" i="25"/>
  <c r="AB456" i="25"/>
  <c r="Y496" i="25"/>
  <c r="AB496" i="25" s="1"/>
  <c r="Y486" i="25"/>
  <c r="AB486" i="25" s="1"/>
  <c r="Y508" i="25"/>
  <c r="AA508" i="25" s="1"/>
  <c r="Y506" i="25"/>
  <c r="AA506" i="25" s="1"/>
  <c r="AA470" i="25"/>
  <c r="Y500" i="25"/>
  <c r="AA466" i="25"/>
  <c r="Y497" i="25"/>
  <c r="AA497" i="25" s="1"/>
  <c r="AA459" i="25"/>
  <c r="Y511" i="25"/>
  <c r="AB511" i="25" s="1"/>
  <c r="Y501" i="25"/>
  <c r="AB501" i="25" s="1"/>
  <c r="AA503" i="25"/>
  <c r="AI503" i="25"/>
  <c r="Y484" i="25"/>
  <c r="AA484" i="25" s="1"/>
  <c r="AA475" i="25"/>
  <c r="AI512" i="25"/>
  <c r="AA504" i="25"/>
  <c r="G468" i="9"/>
  <c r="H468" i="9"/>
  <c r="H432" i="9"/>
  <c r="G432" i="9"/>
  <c r="H384" i="9"/>
  <c r="G384" i="9"/>
  <c r="G312" i="9"/>
  <c r="H312" i="9"/>
  <c r="G288" i="9"/>
  <c r="H288" i="9"/>
  <c r="G264" i="9"/>
  <c r="H264" i="9"/>
  <c r="G248" i="9"/>
  <c r="H248" i="9"/>
  <c r="H510" i="9"/>
  <c r="G510" i="9"/>
  <c r="G234" i="9"/>
  <c r="H234" i="9"/>
  <c r="G218" i="9"/>
  <c r="H218" i="9"/>
  <c r="G210" i="9"/>
  <c r="H210" i="9"/>
  <c r="G178" i="9"/>
  <c r="H178" i="9"/>
  <c r="G162" i="9"/>
  <c r="H162" i="9"/>
  <c r="G146" i="9"/>
  <c r="H146" i="9"/>
  <c r="G138" i="9"/>
  <c r="H138" i="9"/>
  <c r="G122" i="9"/>
  <c r="H122" i="9"/>
  <c r="G114" i="9"/>
  <c r="H114" i="9"/>
  <c r="G98" i="9"/>
  <c r="H98" i="9"/>
  <c r="G90" i="9"/>
  <c r="H90" i="9"/>
  <c r="G57" i="9"/>
  <c r="H57" i="9"/>
  <c r="G41" i="9"/>
  <c r="H41" i="9"/>
  <c r="G25" i="9"/>
  <c r="H25" i="9"/>
  <c r="G17" i="9"/>
  <c r="H17" i="9"/>
  <c r="G491" i="16"/>
  <c r="H491" i="16"/>
  <c r="G481" i="16"/>
  <c r="H481" i="16"/>
  <c r="H479" i="16"/>
  <c r="G479" i="16"/>
  <c r="G477" i="16"/>
  <c r="H477" i="16"/>
  <c r="G475" i="16"/>
  <c r="H475" i="16"/>
  <c r="G467" i="16"/>
  <c r="H467" i="16"/>
  <c r="G443" i="16"/>
  <c r="H443" i="16"/>
  <c r="G427" i="16"/>
  <c r="H427" i="16"/>
  <c r="G422" i="16"/>
  <c r="H422" i="16"/>
  <c r="G420" i="16"/>
  <c r="H420" i="16"/>
  <c r="H418" i="16"/>
  <c r="G418" i="16"/>
  <c r="G416" i="16"/>
  <c r="H416" i="16"/>
  <c r="K371" i="16"/>
  <c r="F371" i="16"/>
  <c r="K361" i="16"/>
  <c r="F361" i="16"/>
  <c r="K359" i="16"/>
  <c r="F359" i="16"/>
  <c r="K357" i="16"/>
  <c r="F357" i="16"/>
  <c r="K355" i="16"/>
  <c r="F355" i="16"/>
  <c r="K347" i="16"/>
  <c r="F347" i="16"/>
  <c r="G323" i="16"/>
  <c r="H323" i="16"/>
  <c r="G307" i="16"/>
  <c r="H307" i="16"/>
  <c r="M302" i="16"/>
  <c r="F302" i="16"/>
  <c r="H300" i="16"/>
  <c r="G300" i="16"/>
  <c r="G298" i="16"/>
  <c r="H298" i="16"/>
  <c r="G296" i="16"/>
  <c r="H296" i="16"/>
  <c r="K251" i="16"/>
  <c r="F251" i="16"/>
  <c r="G241" i="16"/>
  <c r="H241" i="16"/>
  <c r="G239" i="16"/>
  <c r="H239" i="16"/>
  <c r="M237" i="16"/>
  <c r="F237" i="16"/>
  <c r="H235" i="16"/>
  <c r="G235" i="16"/>
  <c r="K227" i="16"/>
  <c r="F227" i="16"/>
  <c r="G203" i="16"/>
  <c r="H203" i="16"/>
  <c r="K187" i="16"/>
  <c r="F187" i="16"/>
  <c r="K182" i="16"/>
  <c r="F182" i="16"/>
  <c r="K180" i="16"/>
  <c r="F180" i="16"/>
  <c r="K178" i="16"/>
  <c r="F178" i="16"/>
  <c r="K176" i="16"/>
  <c r="F176" i="16"/>
  <c r="H131" i="16"/>
  <c r="G131" i="16"/>
  <c r="G121" i="16"/>
  <c r="H121" i="16"/>
  <c r="G119" i="16"/>
  <c r="H119" i="16"/>
  <c r="H117" i="16"/>
  <c r="G117" i="16"/>
  <c r="H115" i="16"/>
  <c r="G115" i="16"/>
  <c r="G107" i="16"/>
  <c r="H107" i="16"/>
  <c r="H83" i="16"/>
  <c r="G83" i="16"/>
  <c r="G67" i="16"/>
  <c r="H67" i="16"/>
  <c r="H62" i="16"/>
  <c r="G62" i="16"/>
  <c r="G60" i="16"/>
  <c r="H60" i="16"/>
  <c r="K58" i="16"/>
  <c r="F58" i="16"/>
  <c r="G56" i="16"/>
  <c r="H56" i="16"/>
  <c r="H11" i="16"/>
  <c r="G11" i="16"/>
  <c r="T68" i="19"/>
  <c r="J68" i="19"/>
  <c r="T128" i="19"/>
  <c r="J128" i="19"/>
  <c r="T152" i="19"/>
  <c r="J152" i="19"/>
  <c r="T248" i="19"/>
  <c r="J248" i="19"/>
  <c r="J308" i="19"/>
  <c r="T308" i="19"/>
  <c r="J368" i="19"/>
  <c r="T368" i="19"/>
  <c r="J392" i="19"/>
  <c r="T392" i="19"/>
  <c r="J428" i="19"/>
  <c r="T428" i="19"/>
  <c r="J452" i="19"/>
  <c r="T452" i="19"/>
  <c r="J512" i="19"/>
  <c r="T512" i="19"/>
  <c r="J115" i="17"/>
  <c r="T115" i="17"/>
  <c r="J235" i="17"/>
  <c r="T235" i="17"/>
  <c r="I355" i="17"/>
  <c r="S355" i="17"/>
  <c r="I427" i="17"/>
  <c r="S427" i="17"/>
  <c r="T475" i="17"/>
  <c r="J475" i="17"/>
  <c r="I48" i="19"/>
  <c r="S48" i="19"/>
  <c r="T54" i="17"/>
  <c r="J54" i="17"/>
  <c r="T102" i="17"/>
  <c r="J102" i="17"/>
  <c r="T174" i="17"/>
  <c r="J174" i="17"/>
  <c r="J222" i="17"/>
  <c r="T222" i="17"/>
  <c r="S294" i="17"/>
  <c r="I294" i="17"/>
  <c r="J342" i="17"/>
  <c r="T342" i="17"/>
  <c r="I414" i="17"/>
  <c r="S414" i="17"/>
  <c r="J462" i="17"/>
  <c r="T462" i="17"/>
  <c r="J449" i="17"/>
  <c r="T449" i="17"/>
  <c r="J38" i="19"/>
  <c r="T38" i="19"/>
  <c r="I68" i="17"/>
  <c r="S68" i="17"/>
  <c r="I180" i="17"/>
  <c r="S180" i="17"/>
  <c r="S428" i="17"/>
  <c r="I428" i="17"/>
  <c r="S508" i="17"/>
  <c r="I508" i="17"/>
  <c r="W508" i="17" s="1"/>
  <c r="I59" i="19"/>
  <c r="W59" i="19" s="1"/>
  <c r="S59" i="19"/>
  <c r="G97" i="19"/>
  <c r="H97" i="19"/>
  <c r="T121" i="19"/>
  <c r="J121" i="19"/>
  <c r="S157" i="19"/>
  <c r="I157" i="19"/>
  <c r="W157" i="19" s="1"/>
  <c r="I181" i="19"/>
  <c r="S181" i="19"/>
  <c r="H217" i="19"/>
  <c r="G217" i="19"/>
  <c r="I241" i="19"/>
  <c r="W241" i="19" s="1"/>
  <c r="S241" i="19"/>
  <c r="S277" i="19"/>
  <c r="I277" i="19"/>
  <c r="I301" i="19"/>
  <c r="S301" i="19"/>
  <c r="G337" i="19"/>
  <c r="H337" i="19"/>
  <c r="H361" i="19"/>
  <c r="G361" i="19"/>
  <c r="I397" i="19"/>
  <c r="S397" i="19"/>
  <c r="H421" i="19"/>
  <c r="G421" i="19"/>
  <c r="H457" i="19"/>
  <c r="G457" i="19"/>
  <c r="I481" i="19"/>
  <c r="W481" i="19" s="1"/>
  <c r="S481" i="19"/>
  <c r="T17" i="17"/>
  <c r="J17" i="17"/>
  <c r="G89" i="17"/>
  <c r="H89" i="17"/>
  <c r="T161" i="17"/>
  <c r="J161" i="17"/>
  <c r="G281" i="17"/>
  <c r="H281" i="17"/>
  <c r="I385" i="17"/>
  <c r="S385" i="17"/>
  <c r="G473" i="17"/>
  <c r="H473" i="17"/>
  <c r="J92" i="17"/>
  <c r="T92" i="17"/>
  <c r="J204" i="17"/>
  <c r="T204" i="17"/>
  <c r="I324" i="17"/>
  <c r="S324" i="17"/>
  <c r="T468" i="17"/>
  <c r="J468" i="17"/>
  <c r="T168" i="17"/>
  <c r="J168" i="17"/>
  <c r="J432" i="17"/>
  <c r="T432" i="17"/>
  <c r="I57" i="19"/>
  <c r="S57" i="19"/>
  <c r="J122" i="19"/>
  <c r="T122" i="19"/>
  <c r="J158" i="19"/>
  <c r="T158" i="19"/>
  <c r="J182" i="19"/>
  <c r="T182" i="19"/>
  <c r="J242" i="19"/>
  <c r="T242" i="19"/>
  <c r="J278" i="19"/>
  <c r="T278" i="19"/>
  <c r="T302" i="19"/>
  <c r="J302" i="19"/>
  <c r="S362" i="19"/>
  <c r="I362" i="19"/>
  <c r="T398" i="19"/>
  <c r="J398" i="19"/>
  <c r="S458" i="19"/>
  <c r="I458" i="19"/>
  <c r="T482" i="19"/>
  <c r="J482" i="19"/>
  <c r="I7" i="17"/>
  <c r="W7" i="17" s="1"/>
  <c r="S7" i="17"/>
  <c r="J55" i="17"/>
  <c r="T55" i="17"/>
  <c r="J175" i="17"/>
  <c r="T175" i="17"/>
  <c r="I247" i="17"/>
  <c r="W247" i="17" s="1"/>
  <c r="S247" i="17"/>
  <c r="J295" i="17"/>
  <c r="T295" i="17"/>
  <c r="I367" i="17"/>
  <c r="S367" i="17"/>
  <c r="I415" i="17"/>
  <c r="W415" i="17" s="1"/>
  <c r="S415" i="17"/>
  <c r="I487" i="17"/>
  <c r="S487" i="17"/>
  <c r="I72" i="17"/>
  <c r="S72" i="17"/>
  <c r="I416" i="17"/>
  <c r="W416" i="17" s="1"/>
  <c r="S416" i="17"/>
  <c r="J60" i="19"/>
  <c r="T60" i="19"/>
  <c r="J58" i="17"/>
  <c r="T58" i="17"/>
  <c r="G122" i="17"/>
  <c r="H122" i="17"/>
  <c r="J178" i="17"/>
  <c r="T178" i="17"/>
  <c r="T242" i="17"/>
  <c r="J242" i="17"/>
  <c r="G298" i="17"/>
  <c r="H298" i="17"/>
  <c r="J362" i="17"/>
  <c r="T362" i="17"/>
  <c r="J418" i="17"/>
  <c r="T418" i="17"/>
  <c r="I482" i="17"/>
  <c r="S482" i="17"/>
  <c r="J197" i="17"/>
  <c r="T197" i="17"/>
  <c r="S413" i="17"/>
  <c r="I413" i="17"/>
  <c r="I42" i="19"/>
  <c r="S42" i="19"/>
  <c r="J120" i="17"/>
  <c r="T120" i="17"/>
  <c r="S488" i="17"/>
  <c r="I488" i="17"/>
  <c r="J31" i="19"/>
  <c r="T31" i="19"/>
  <c r="S71" i="19"/>
  <c r="I71" i="19"/>
  <c r="W71" i="19" s="1"/>
  <c r="I107" i="19"/>
  <c r="S107" i="19"/>
  <c r="I131" i="19"/>
  <c r="W131" i="19" s="1"/>
  <c r="S131" i="19"/>
  <c r="I167" i="19"/>
  <c r="S167" i="19"/>
  <c r="H191" i="19"/>
  <c r="G191" i="19"/>
  <c r="I227" i="19"/>
  <c r="S227" i="19"/>
  <c r="S251" i="19"/>
  <c r="I251" i="19"/>
  <c r="W251" i="19" s="1"/>
  <c r="S287" i="19"/>
  <c r="I287" i="19"/>
  <c r="I311" i="19"/>
  <c r="S311" i="19"/>
  <c r="G347" i="19"/>
  <c r="H347" i="19"/>
  <c r="I371" i="19"/>
  <c r="S371" i="19"/>
  <c r="I407" i="19"/>
  <c r="S407" i="19"/>
  <c r="H431" i="19"/>
  <c r="G431" i="19"/>
  <c r="H467" i="19"/>
  <c r="G467" i="19"/>
  <c r="J491" i="19"/>
  <c r="T491" i="19"/>
  <c r="G29" i="17"/>
  <c r="H29" i="17"/>
  <c r="J77" i="17"/>
  <c r="T77" i="17"/>
  <c r="H157" i="17"/>
  <c r="G157" i="17"/>
  <c r="H221" i="17"/>
  <c r="G221" i="17"/>
  <c r="J293" i="17"/>
  <c r="T293" i="17"/>
  <c r="I397" i="17"/>
  <c r="W397" i="17" s="1"/>
  <c r="S397" i="17"/>
  <c r="I48" i="17"/>
  <c r="S48" i="17"/>
  <c r="J240" i="17"/>
  <c r="T240" i="17"/>
  <c r="H504" i="9"/>
  <c r="G504" i="9"/>
  <c r="G431" i="9"/>
  <c r="H431" i="9"/>
  <c r="H383" i="9"/>
  <c r="G383" i="9"/>
  <c r="H287" i="9"/>
  <c r="G287" i="9"/>
  <c r="G233" i="9"/>
  <c r="H233" i="9"/>
  <c r="G217" i="9"/>
  <c r="H217" i="9"/>
  <c r="G177" i="9"/>
  <c r="H177" i="9"/>
  <c r="G161" i="9"/>
  <c r="H161" i="9"/>
  <c r="G145" i="9"/>
  <c r="H145" i="9"/>
  <c r="G137" i="9"/>
  <c r="H137" i="9"/>
  <c r="G121" i="9"/>
  <c r="H121" i="9"/>
  <c r="G113" i="9"/>
  <c r="H113" i="9"/>
  <c r="G97" i="9"/>
  <c r="H97" i="9"/>
  <c r="G89" i="9"/>
  <c r="H89" i="9"/>
  <c r="G72" i="9"/>
  <c r="H72" i="9"/>
  <c r="G56" i="9"/>
  <c r="H56" i="9"/>
  <c r="G48" i="9"/>
  <c r="H48" i="9"/>
  <c r="G32" i="9"/>
  <c r="H32" i="9"/>
  <c r="G24" i="9"/>
  <c r="H24" i="9"/>
  <c r="G8" i="9"/>
  <c r="H8" i="9"/>
  <c r="G242" i="9"/>
  <c r="H242" i="9"/>
  <c r="G240" i="9"/>
  <c r="H240" i="9"/>
  <c r="H238" i="9"/>
  <c r="G238" i="9"/>
  <c r="G236" i="9"/>
  <c r="H236" i="9"/>
  <c r="G272" i="9"/>
  <c r="H272" i="9"/>
  <c r="H270" i="9"/>
  <c r="G270" i="9"/>
  <c r="H268" i="9"/>
  <c r="G268" i="9"/>
  <c r="G266" i="9"/>
  <c r="H266" i="9"/>
  <c r="H302" i="9"/>
  <c r="G302" i="9"/>
  <c r="H300" i="9"/>
  <c r="G300" i="9"/>
  <c r="G298" i="9"/>
  <c r="H298" i="9"/>
  <c r="G296" i="9"/>
  <c r="H296" i="9"/>
  <c r="G332" i="9"/>
  <c r="H332" i="9"/>
  <c r="H330" i="9"/>
  <c r="G330" i="9"/>
  <c r="G328" i="9"/>
  <c r="H328" i="9"/>
  <c r="H326" i="9"/>
  <c r="G326" i="9"/>
  <c r="G362" i="9"/>
  <c r="H362" i="9"/>
  <c r="G360" i="9"/>
  <c r="H360" i="9"/>
  <c r="G358" i="9"/>
  <c r="H358" i="9"/>
  <c r="G356" i="9"/>
  <c r="H356" i="9"/>
  <c r="G392" i="9"/>
  <c r="H392" i="9"/>
  <c r="G390" i="9"/>
  <c r="H390" i="9"/>
  <c r="G388" i="9"/>
  <c r="H388" i="9"/>
  <c r="G386" i="9"/>
  <c r="H386" i="9"/>
  <c r="H422" i="9"/>
  <c r="G422" i="9"/>
  <c r="G420" i="9"/>
  <c r="H420" i="9"/>
  <c r="G418" i="9"/>
  <c r="H418" i="9"/>
  <c r="H416" i="9"/>
  <c r="G416" i="9"/>
  <c r="G452" i="9"/>
  <c r="H452" i="9"/>
  <c r="G450" i="9"/>
  <c r="H450" i="9"/>
  <c r="H448" i="9"/>
  <c r="G448" i="9"/>
  <c r="H446" i="9"/>
  <c r="G446" i="9"/>
  <c r="G482" i="9"/>
  <c r="H482" i="9"/>
  <c r="H480" i="9"/>
  <c r="G480" i="9"/>
  <c r="G478" i="9"/>
  <c r="H478" i="9"/>
  <c r="G476" i="9"/>
  <c r="H476" i="9"/>
  <c r="G504" i="16"/>
  <c r="H504" i="16"/>
  <c r="G488" i="16"/>
  <c r="H488" i="16"/>
  <c r="K432" i="16"/>
  <c r="F432" i="16"/>
  <c r="G408" i="16"/>
  <c r="H408" i="16"/>
  <c r="K384" i="16"/>
  <c r="F384" i="16"/>
  <c r="K368" i="16"/>
  <c r="F368" i="16"/>
  <c r="G312" i="16"/>
  <c r="H312" i="16"/>
  <c r="K288" i="16"/>
  <c r="F288" i="16"/>
  <c r="K264" i="16"/>
  <c r="F264" i="16"/>
  <c r="G248" i="16"/>
  <c r="H248" i="16"/>
  <c r="K192" i="16"/>
  <c r="F192" i="16"/>
  <c r="G168" i="16"/>
  <c r="H168" i="16"/>
  <c r="G144" i="16"/>
  <c r="H144" i="16"/>
  <c r="G128" i="16"/>
  <c r="H128" i="16"/>
  <c r="K72" i="16"/>
  <c r="F72" i="16"/>
  <c r="G48" i="16"/>
  <c r="H48" i="16"/>
  <c r="K24" i="16"/>
  <c r="F24" i="16"/>
  <c r="G8" i="16"/>
  <c r="H8" i="16"/>
  <c r="H37" i="19"/>
  <c r="G37" i="19"/>
  <c r="S72" i="19"/>
  <c r="I72" i="19"/>
  <c r="J108" i="19"/>
  <c r="T108" i="19"/>
  <c r="H132" i="19"/>
  <c r="G132" i="19"/>
  <c r="I168" i="19"/>
  <c r="S168" i="19"/>
  <c r="H192" i="19"/>
  <c r="G192" i="19"/>
  <c r="H228" i="19"/>
  <c r="G228" i="19"/>
  <c r="I252" i="19"/>
  <c r="S252" i="19"/>
  <c r="S288" i="19"/>
  <c r="I288" i="19"/>
  <c r="T312" i="19"/>
  <c r="J312" i="19"/>
  <c r="I348" i="19"/>
  <c r="S348" i="19"/>
  <c r="I372" i="19"/>
  <c r="S372" i="19"/>
  <c r="I408" i="19"/>
  <c r="S408" i="19"/>
  <c r="S432" i="19"/>
  <c r="I432" i="19"/>
  <c r="I468" i="19"/>
  <c r="S468" i="19"/>
  <c r="H492" i="19"/>
  <c r="G492" i="19"/>
  <c r="S11" i="17"/>
  <c r="I11" i="17"/>
  <c r="I83" i="17"/>
  <c r="S83" i="17"/>
  <c r="H131" i="17"/>
  <c r="G131" i="17"/>
  <c r="S203" i="17"/>
  <c r="I203" i="17"/>
  <c r="T251" i="17"/>
  <c r="J251" i="17"/>
  <c r="J323" i="17"/>
  <c r="T323" i="17"/>
  <c r="J371" i="17"/>
  <c r="T371" i="17"/>
  <c r="J443" i="17"/>
  <c r="T443" i="17"/>
  <c r="G491" i="17"/>
  <c r="H491" i="17"/>
  <c r="T8" i="19"/>
  <c r="J8" i="19"/>
  <c r="I56" i="19"/>
  <c r="W56" i="19" s="1"/>
  <c r="S56" i="19"/>
  <c r="T62" i="17"/>
  <c r="J62" i="17"/>
  <c r="S118" i="17"/>
  <c r="I118" i="17"/>
  <c r="W118" i="17" s="1"/>
  <c r="S182" i="17"/>
  <c r="I182" i="17"/>
  <c r="S238" i="17"/>
  <c r="I238" i="17"/>
  <c r="I302" i="17"/>
  <c r="W302" i="17" s="1"/>
  <c r="S302" i="17"/>
  <c r="J358" i="17"/>
  <c r="T358" i="17"/>
  <c r="J422" i="17"/>
  <c r="T422" i="17"/>
  <c r="J478" i="17"/>
  <c r="T478" i="17"/>
  <c r="T217" i="17"/>
  <c r="J217" i="17"/>
  <c r="G329" i="17"/>
  <c r="H329" i="17"/>
  <c r="H481" i="17"/>
  <c r="G481" i="17"/>
  <c r="S54" i="19"/>
  <c r="I54" i="19"/>
  <c r="G84" i="17"/>
  <c r="H84" i="17"/>
  <c r="G212" i="17"/>
  <c r="H212" i="17"/>
  <c r="T356" i="17"/>
  <c r="J356" i="17"/>
  <c r="J444" i="17"/>
  <c r="T444" i="17"/>
  <c r="I18" i="19"/>
  <c r="S18" i="19"/>
  <c r="T59" i="19"/>
  <c r="J59" i="19"/>
  <c r="S121" i="19"/>
  <c r="I121" i="19"/>
  <c r="J157" i="19"/>
  <c r="T157" i="19"/>
  <c r="T181" i="19"/>
  <c r="J181" i="19"/>
  <c r="T241" i="19"/>
  <c r="J241" i="19"/>
  <c r="J277" i="19"/>
  <c r="L277" i="19" s="1"/>
  <c r="Y277" i="19" s="1"/>
  <c r="T277" i="19"/>
  <c r="J301" i="19"/>
  <c r="T301" i="19"/>
  <c r="J397" i="19"/>
  <c r="T397" i="19"/>
  <c r="J481" i="19"/>
  <c r="T481" i="19"/>
  <c r="I17" i="17"/>
  <c r="S17" i="17"/>
  <c r="I161" i="17"/>
  <c r="W161" i="17" s="1"/>
  <c r="S161" i="17"/>
  <c r="J385" i="17"/>
  <c r="T385" i="17"/>
  <c r="I92" i="17"/>
  <c r="W92" i="17" s="1"/>
  <c r="S92" i="17"/>
  <c r="S204" i="17"/>
  <c r="I204" i="17"/>
  <c r="J324" i="17"/>
  <c r="T324" i="17"/>
  <c r="I468" i="17"/>
  <c r="S468" i="17"/>
  <c r="S168" i="17"/>
  <c r="I168" i="17"/>
  <c r="I432" i="17"/>
  <c r="S432" i="17"/>
  <c r="G17" i="19"/>
  <c r="H17" i="19"/>
  <c r="S78" i="19"/>
  <c r="I78" i="19"/>
  <c r="I102" i="19"/>
  <c r="S102" i="19"/>
  <c r="I138" i="19"/>
  <c r="S138" i="19"/>
  <c r="I162" i="19"/>
  <c r="S162" i="19"/>
  <c r="I198" i="19"/>
  <c r="S198" i="19"/>
  <c r="H222" i="19"/>
  <c r="G222" i="19"/>
  <c r="S258" i="19"/>
  <c r="I258" i="19"/>
  <c r="I282" i="19"/>
  <c r="S282" i="19"/>
  <c r="S318" i="19"/>
  <c r="I318" i="19"/>
  <c r="G342" i="19"/>
  <c r="H342" i="19"/>
  <c r="S378" i="19"/>
  <c r="I378" i="19"/>
  <c r="S402" i="19"/>
  <c r="I402" i="19"/>
  <c r="H438" i="19"/>
  <c r="G438" i="19"/>
  <c r="H462" i="19"/>
  <c r="G462" i="19"/>
  <c r="G498" i="19"/>
  <c r="H498" i="19"/>
  <c r="J23" i="17"/>
  <c r="T23" i="17"/>
  <c r="I71" i="17"/>
  <c r="W71" i="17" s="1"/>
  <c r="S71" i="17"/>
  <c r="I143" i="17"/>
  <c r="S143" i="17"/>
  <c r="J191" i="17"/>
  <c r="T191" i="17"/>
  <c r="T263" i="17"/>
  <c r="J263" i="17"/>
  <c r="T311" i="17"/>
  <c r="J311" i="17"/>
  <c r="T383" i="17"/>
  <c r="J383" i="17"/>
  <c r="T431" i="17"/>
  <c r="J431" i="17"/>
  <c r="J503" i="17"/>
  <c r="T503" i="17"/>
  <c r="I192" i="17"/>
  <c r="S192" i="17"/>
  <c r="S512" i="17"/>
  <c r="I512" i="17"/>
  <c r="I60" i="19"/>
  <c r="W60" i="19" s="1"/>
  <c r="S60" i="19"/>
  <c r="I58" i="17"/>
  <c r="W58" i="17" s="1"/>
  <c r="S58" i="17"/>
  <c r="I178" i="17"/>
  <c r="S178" i="17"/>
  <c r="S242" i="17"/>
  <c r="I242" i="17"/>
  <c r="W242" i="17" s="1"/>
  <c r="I362" i="17"/>
  <c r="W362" i="17" s="1"/>
  <c r="S362" i="17"/>
  <c r="I418" i="17"/>
  <c r="S418" i="17"/>
  <c r="T482" i="17"/>
  <c r="J482" i="17"/>
  <c r="I197" i="17"/>
  <c r="S197" i="17"/>
  <c r="J413" i="17"/>
  <c r="T413" i="17"/>
  <c r="J42" i="19"/>
  <c r="T42" i="19"/>
  <c r="I120" i="17"/>
  <c r="S120" i="17"/>
  <c r="T488" i="17"/>
  <c r="J488" i="17"/>
  <c r="I31" i="19"/>
  <c r="W31" i="19" s="1"/>
  <c r="S31" i="19"/>
  <c r="T71" i="19"/>
  <c r="J71" i="19"/>
  <c r="J107" i="19"/>
  <c r="T107" i="19"/>
  <c r="T131" i="19"/>
  <c r="J131" i="19"/>
  <c r="T167" i="19"/>
  <c r="J167" i="19"/>
  <c r="T227" i="19"/>
  <c r="J227" i="19"/>
  <c r="T251" i="19"/>
  <c r="J251" i="19"/>
  <c r="T287" i="19"/>
  <c r="J287" i="19"/>
  <c r="J311" i="19"/>
  <c r="L311" i="19" s="1"/>
  <c r="Y311" i="19" s="1"/>
  <c r="T311" i="19"/>
  <c r="T371" i="19"/>
  <c r="J371" i="19"/>
  <c r="T407" i="19"/>
  <c r="J407" i="19"/>
  <c r="I491" i="19"/>
  <c r="W491" i="19" s="1"/>
  <c r="S491" i="19"/>
  <c r="I77" i="17"/>
  <c r="S77" i="17"/>
  <c r="I293" i="17"/>
  <c r="S293" i="17"/>
  <c r="T397" i="17"/>
  <c r="J397" i="17"/>
  <c r="J48" i="17"/>
  <c r="T48" i="17"/>
  <c r="I240" i="17"/>
  <c r="W240" i="17" s="1"/>
  <c r="S240" i="17"/>
  <c r="G488" i="9"/>
  <c r="H488" i="9"/>
  <c r="H408" i="9"/>
  <c r="G408" i="9"/>
  <c r="G487" i="9"/>
  <c r="H487" i="9"/>
  <c r="G367" i="9"/>
  <c r="H367" i="9"/>
  <c r="H247" i="9"/>
  <c r="G247" i="9"/>
  <c r="G209" i="9"/>
  <c r="H209" i="9"/>
  <c r="G462" i="9"/>
  <c r="H462" i="9"/>
  <c r="G438" i="9"/>
  <c r="H438" i="9"/>
  <c r="G414" i="9"/>
  <c r="H414" i="9"/>
  <c r="G398" i="9"/>
  <c r="H398" i="9"/>
  <c r="H342" i="9"/>
  <c r="G342" i="9"/>
  <c r="H318" i="9"/>
  <c r="G318" i="9"/>
  <c r="G294" i="9"/>
  <c r="H294" i="9"/>
  <c r="H278" i="9"/>
  <c r="G278" i="9"/>
  <c r="H512" i="9"/>
  <c r="G512" i="9"/>
  <c r="G208" i="9"/>
  <c r="H208" i="9"/>
  <c r="G192" i="9"/>
  <c r="H192" i="9"/>
  <c r="G176" i="9"/>
  <c r="H176" i="9"/>
  <c r="G168" i="9"/>
  <c r="H168" i="9"/>
  <c r="G152" i="9"/>
  <c r="H152" i="9"/>
  <c r="G144" i="9"/>
  <c r="H144" i="9"/>
  <c r="G128" i="9"/>
  <c r="H128" i="9"/>
  <c r="G120" i="9"/>
  <c r="H120" i="9"/>
  <c r="G88" i="9"/>
  <c r="H88" i="9"/>
  <c r="G71" i="9"/>
  <c r="H71" i="9"/>
  <c r="G55" i="9"/>
  <c r="H55" i="9"/>
  <c r="H47" i="9"/>
  <c r="G47" i="9"/>
  <c r="G31" i="9"/>
  <c r="H31" i="9"/>
  <c r="G23" i="9"/>
  <c r="H23" i="9"/>
  <c r="G7" i="9"/>
  <c r="H7" i="9"/>
  <c r="H512" i="16"/>
  <c r="G512" i="16"/>
  <c r="H510" i="16"/>
  <c r="G510" i="16"/>
  <c r="H508" i="16"/>
  <c r="G508" i="16"/>
  <c r="H506" i="16"/>
  <c r="G506" i="16"/>
  <c r="G461" i="16"/>
  <c r="H461" i="16"/>
  <c r="G451" i="16"/>
  <c r="H451" i="16"/>
  <c r="H449" i="16"/>
  <c r="G449" i="16"/>
  <c r="G447" i="16"/>
  <c r="H447" i="16"/>
  <c r="G445" i="16"/>
  <c r="H445" i="16"/>
  <c r="G437" i="16"/>
  <c r="H437" i="16"/>
  <c r="G413" i="16"/>
  <c r="H413" i="16"/>
  <c r="G397" i="16"/>
  <c r="H397" i="16"/>
  <c r="K392" i="16"/>
  <c r="F392" i="16"/>
  <c r="K390" i="16"/>
  <c r="F390" i="16"/>
  <c r="K388" i="16"/>
  <c r="F388" i="16"/>
  <c r="K386" i="16"/>
  <c r="F386" i="16"/>
  <c r="K341" i="16"/>
  <c r="F341" i="16"/>
  <c r="M331" i="16"/>
  <c r="F331" i="16"/>
  <c r="G329" i="16"/>
  <c r="H329" i="16"/>
  <c r="G327" i="16"/>
  <c r="H327" i="16"/>
  <c r="M325" i="16"/>
  <c r="F325" i="16"/>
  <c r="H317" i="16"/>
  <c r="G317" i="16"/>
  <c r="K293" i="16"/>
  <c r="F293" i="16"/>
  <c r="H277" i="16"/>
  <c r="G277" i="16"/>
  <c r="G272" i="16"/>
  <c r="H272" i="16"/>
  <c r="K270" i="16"/>
  <c r="F270" i="16"/>
  <c r="H268" i="16"/>
  <c r="G268" i="16"/>
  <c r="K266" i="16"/>
  <c r="F266" i="16"/>
  <c r="H221" i="16"/>
  <c r="G221" i="16"/>
  <c r="G211" i="16"/>
  <c r="H211" i="16"/>
  <c r="G209" i="16"/>
  <c r="H209" i="16"/>
  <c r="G207" i="16"/>
  <c r="H207" i="16"/>
  <c r="H205" i="16"/>
  <c r="G205" i="16"/>
  <c r="H197" i="16"/>
  <c r="G197" i="16"/>
  <c r="K173" i="16"/>
  <c r="F173" i="16"/>
  <c r="H157" i="16"/>
  <c r="G157" i="16"/>
  <c r="H152" i="16"/>
  <c r="G152" i="16"/>
  <c r="K150" i="16"/>
  <c r="F150" i="16"/>
  <c r="H148" i="16"/>
  <c r="G148" i="16"/>
  <c r="G146" i="16"/>
  <c r="H146" i="16"/>
  <c r="H101" i="16"/>
  <c r="G101" i="16"/>
  <c r="M91" i="16"/>
  <c r="F91" i="16"/>
  <c r="M89" i="16"/>
  <c r="F89" i="16"/>
  <c r="K87" i="16"/>
  <c r="F87" i="16"/>
  <c r="H85" i="16"/>
  <c r="G85" i="16"/>
  <c r="K77" i="16"/>
  <c r="F77" i="16"/>
  <c r="H53" i="16"/>
  <c r="G53" i="16"/>
  <c r="H37" i="16"/>
  <c r="G37" i="16"/>
  <c r="G32" i="16"/>
  <c r="H32" i="16"/>
  <c r="H30" i="16"/>
  <c r="G30" i="16"/>
  <c r="G28" i="16"/>
  <c r="H28" i="16"/>
  <c r="G26" i="16"/>
  <c r="H26" i="16"/>
  <c r="T72" i="19"/>
  <c r="J72" i="19"/>
  <c r="I108" i="19"/>
  <c r="S108" i="19"/>
  <c r="T168" i="19"/>
  <c r="J168" i="19"/>
  <c r="J252" i="19"/>
  <c r="T252" i="19"/>
  <c r="J288" i="19"/>
  <c r="T288" i="19"/>
  <c r="S312" i="19"/>
  <c r="I312" i="19"/>
  <c r="J348" i="19"/>
  <c r="T348" i="19"/>
  <c r="J372" i="19"/>
  <c r="T372" i="19"/>
  <c r="J408" i="19"/>
  <c r="T408" i="19"/>
  <c r="T432" i="19"/>
  <c r="J432" i="19"/>
  <c r="T468" i="19"/>
  <c r="J468" i="19"/>
  <c r="T11" i="17"/>
  <c r="J11" i="17"/>
  <c r="J83" i="17"/>
  <c r="T83" i="17"/>
  <c r="J203" i="17"/>
  <c r="T203" i="17"/>
  <c r="I251" i="17"/>
  <c r="W251" i="17" s="1"/>
  <c r="S251" i="17"/>
  <c r="I323" i="17"/>
  <c r="S323" i="17"/>
  <c r="I371" i="17"/>
  <c r="S371" i="17"/>
  <c r="S443" i="17"/>
  <c r="I443" i="17"/>
  <c r="I8" i="19"/>
  <c r="S8" i="19"/>
  <c r="T56" i="19"/>
  <c r="J56" i="19"/>
  <c r="I62" i="17"/>
  <c r="S62" i="17"/>
  <c r="T118" i="17"/>
  <c r="J118" i="17"/>
  <c r="T182" i="17"/>
  <c r="J182" i="17"/>
  <c r="T238" i="17"/>
  <c r="J238" i="17"/>
  <c r="J302" i="17"/>
  <c r="T302" i="17"/>
  <c r="I358" i="17"/>
  <c r="S358" i="17"/>
  <c r="I422" i="17"/>
  <c r="W422" i="17" s="1"/>
  <c r="S422" i="17"/>
  <c r="I478" i="17"/>
  <c r="S478" i="17"/>
  <c r="S217" i="17"/>
  <c r="I217" i="17"/>
  <c r="J54" i="19"/>
  <c r="T54" i="19"/>
  <c r="S356" i="17"/>
  <c r="I356" i="17"/>
  <c r="S444" i="17"/>
  <c r="I444" i="17"/>
  <c r="J18" i="19"/>
  <c r="T18" i="19"/>
  <c r="I77" i="19"/>
  <c r="S77" i="19"/>
  <c r="J101" i="19"/>
  <c r="T101" i="19"/>
  <c r="I137" i="19"/>
  <c r="S137" i="19"/>
  <c r="S161" i="19"/>
  <c r="I161" i="19"/>
  <c r="H197" i="19"/>
  <c r="G197" i="19"/>
  <c r="H221" i="19"/>
  <c r="G221" i="19"/>
  <c r="S257" i="19"/>
  <c r="I257" i="19"/>
  <c r="S281" i="19"/>
  <c r="I281" i="19"/>
  <c r="I317" i="19"/>
  <c r="S317" i="19"/>
  <c r="G341" i="19"/>
  <c r="H341" i="19"/>
  <c r="I377" i="19"/>
  <c r="S377" i="19"/>
  <c r="S401" i="19"/>
  <c r="I401" i="19"/>
  <c r="I437" i="19"/>
  <c r="S437" i="19"/>
  <c r="S461" i="19"/>
  <c r="I461" i="19"/>
  <c r="H497" i="19"/>
  <c r="G497" i="19"/>
  <c r="G25" i="17"/>
  <c r="H25" i="17"/>
  <c r="T97" i="17"/>
  <c r="J97" i="17"/>
  <c r="T177" i="17"/>
  <c r="J177" i="17"/>
  <c r="S297" i="17"/>
  <c r="I297" i="17"/>
  <c r="W297" i="17" s="1"/>
  <c r="S401" i="17"/>
  <c r="I401" i="17"/>
  <c r="W401" i="17" s="1"/>
  <c r="H505" i="17"/>
  <c r="G505" i="17"/>
  <c r="J108" i="17"/>
  <c r="T108" i="17"/>
  <c r="J236" i="17"/>
  <c r="T236" i="17"/>
  <c r="T348" i="17"/>
  <c r="J348" i="17"/>
  <c r="H26" i="19"/>
  <c r="G26" i="19"/>
  <c r="H248" i="17"/>
  <c r="G248" i="17"/>
  <c r="T448" i="17"/>
  <c r="J448" i="17"/>
  <c r="J78" i="19"/>
  <c r="T78" i="19"/>
  <c r="J102" i="19"/>
  <c r="T102" i="19"/>
  <c r="J138" i="19"/>
  <c r="T138" i="19"/>
  <c r="J162" i="19"/>
  <c r="T162" i="19"/>
  <c r="J198" i="19"/>
  <c r="T198" i="19"/>
  <c r="J258" i="19"/>
  <c r="T258" i="19"/>
  <c r="J282" i="19"/>
  <c r="T282" i="19"/>
  <c r="J318" i="19"/>
  <c r="T318" i="19"/>
  <c r="T378" i="19"/>
  <c r="J378" i="19"/>
  <c r="J402" i="19"/>
  <c r="T402" i="19"/>
  <c r="I23" i="17"/>
  <c r="S23" i="17"/>
  <c r="J71" i="17"/>
  <c r="T71" i="17"/>
  <c r="J143" i="17"/>
  <c r="T143" i="17"/>
  <c r="S191" i="17"/>
  <c r="I191" i="17"/>
  <c r="W191" i="17" s="1"/>
  <c r="I263" i="17"/>
  <c r="S263" i="17"/>
  <c r="I311" i="17"/>
  <c r="W311" i="17" s="1"/>
  <c r="S311" i="17"/>
  <c r="I383" i="17"/>
  <c r="S383" i="17"/>
  <c r="I431" i="17"/>
  <c r="S431" i="17"/>
  <c r="I503" i="17"/>
  <c r="S503" i="17"/>
  <c r="J192" i="17"/>
  <c r="T192" i="17"/>
  <c r="J512" i="17"/>
  <c r="T512" i="17"/>
  <c r="I18" i="17"/>
  <c r="S18" i="17"/>
  <c r="J90" i="17"/>
  <c r="T90" i="17"/>
  <c r="G138" i="17"/>
  <c r="H138" i="17"/>
  <c r="G210" i="17"/>
  <c r="H210" i="17"/>
  <c r="G258" i="17"/>
  <c r="H258" i="17"/>
  <c r="H330" i="17"/>
  <c r="G330" i="17"/>
  <c r="J378" i="17"/>
  <c r="T378" i="17"/>
  <c r="G450" i="17"/>
  <c r="H450" i="17"/>
  <c r="J498" i="17"/>
  <c r="T498" i="17"/>
  <c r="G301" i="17"/>
  <c r="H301" i="17"/>
  <c r="I445" i="17"/>
  <c r="W445" i="17" s="1"/>
  <c r="S445" i="17"/>
  <c r="H24" i="17"/>
  <c r="G24" i="17"/>
  <c r="J152" i="17"/>
  <c r="T152" i="17"/>
  <c r="J47" i="19"/>
  <c r="T47" i="19"/>
  <c r="I83" i="19"/>
  <c r="S83" i="19"/>
  <c r="S115" i="19"/>
  <c r="I115" i="19"/>
  <c r="W115" i="19" s="1"/>
  <c r="H143" i="19"/>
  <c r="G143" i="19"/>
  <c r="S175" i="19"/>
  <c r="I175" i="19"/>
  <c r="I203" i="19"/>
  <c r="S203" i="19"/>
  <c r="I235" i="19"/>
  <c r="S235" i="19"/>
  <c r="I263" i="19"/>
  <c r="S263" i="19"/>
  <c r="S295" i="19"/>
  <c r="I295" i="19"/>
  <c r="I323" i="19"/>
  <c r="S323" i="19"/>
  <c r="J355" i="19"/>
  <c r="T355" i="19"/>
  <c r="S383" i="19"/>
  <c r="I383" i="19"/>
  <c r="H415" i="19"/>
  <c r="G415" i="19"/>
  <c r="H443" i="19"/>
  <c r="G443" i="19"/>
  <c r="J475" i="19"/>
  <c r="T475" i="19"/>
  <c r="G503" i="19"/>
  <c r="H503" i="19"/>
  <c r="J37" i="17"/>
  <c r="T37" i="17"/>
  <c r="J85" i="17"/>
  <c r="T85" i="17"/>
  <c r="H173" i="17"/>
  <c r="G173" i="17"/>
  <c r="I237" i="17"/>
  <c r="S237" i="17"/>
  <c r="G325" i="17"/>
  <c r="H325" i="17"/>
  <c r="G421" i="17"/>
  <c r="H421" i="17"/>
  <c r="H128" i="17"/>
  <c r="G128" i="17"/>
  <c r="G272" i="17"/>
  <c r="H272" i="17"/>
  <c r="G444" i="9"/>
  <c r="H444" i="9"/>
  <c r="G372" i="9"/>
  <c r="H372" i="9"/>
  <c r="H368" i="9"/>
  <c r="G368" i="9"/>
  <c r="G503" i="9"/>
  <c r="H503" i="9"/>
  <c r="H407" i="9"/>
  <c r="G407" i="9"/>
  <c r="H311" i="9"/>
  <c r="G311" i="9"/>
  <c r="H263" i="9"/>
  <c r="G263" i="9"/>
  <c r="G507" i="9"/>
  <c r="H507" i="9"/>
  <c r="H461" i="9"/>
  <c r="G461" i="9"/>
  <c r="H437" i="9"/>
  <c r="G437" i="9"/>
  <c r="H413" i="9"/>
  <c r="G413" i="9"/>
  <c r="H397" i="9"/>
  <c r="G397" i="9"/>
  <c r="H341" i="9"/>
  <c r="G341" i="9"/>
  <c r="H317" i="9"/>
  <c r="G317" i="9"/>
  <c r="H293" i="9"/>
  <c r="G293" i="9"/>
  <c r="H277" i="9"/>
  <c r="G277" i="9"/>
  <c r="H509" i="9"/>
  <c r="G509" i="9"/>
  <c r="H207" i="9"/>
  <c r="G207" i="9"/>
  <c r="H191" i="9"/>
  <c r="G191" i="9"/>
  <c r="H175" i="9"/>
  <c r="G175" i="9"/>
  <c r="H167" i="9"/>
  <c r="G167" i="9"/>
  <c r="H151" i="9"/>
  <c r="G151" i="9"/>
  <c r="H143" i="9"/>
  <c r="G143" i="9"/>
  <c r="H127" i="9"/>
  <c r="G127" i="9"/>
  <c r="H119" i="9"/>
  <c r="G119" i="9"/>
  <c r="H87" i="9"/>
  <c r="G87" i="9"/>
  <c r="G78" i="9"/>
  <c r="H78" i="9"/>
  <c r="G62" i="9"/>
  <c r="H62" i="9"/>
  <c r="H54" i="9"/>
  <c r="G54" i="9"/>
  <c r="H38" i="9"/>
  <c r="G38" i="9"/>
  <c r="H30" i="9"/>
  <c r="G30" i="9"/>
  <c r="H498" i="16"/>
  <c r="G498" i="16"/>
  <c r="H474" i="16"/>
  <c r="G474" i="16"/>
  <c r="G458" i="16"/>
  <c r="H458" i="16"/>
  <c r="G402" i="16"/>
  <c r="H402" i="16"/>
  <c r="K378" i="16"/>
  <c r="F378" i="16"/>
  <c r="K354" i="16"/>
  <c r="F354" i="16"/>
  <c r="K338" i="16"/>
  <c r="F338" i="16"/>
  <c r="G282" i="16"/>
  <c r="H282" i="16"/>
  <c r="K258" i="16"/>
  <c r="F258" i="16"/>
  <c r="K234" i="16"/>
  <c r="F234" i="16"/>
  <c r="G218" i="16"/>
  <c r="H218" i="16"/>
  <c r="G162" i="16"/>
  <c r="H162" i="16"/>
  <c r="K138" i="16"/>
  <c r="F138" i="16"/>
  <c r="G114" i="16"/>
  <c r="H114" i="16"/>
  <c r="K98" i="16"/>
  <c r="F98" i="16"/>
  <c r="H42" i="16"/>
  <c r="G42" i="16"/>
  <c r="H18" i="16"/>
  <c r="G18" i="16"/>
  <c r="G53" i="19"/>
  <c r="H53" i="19"/>
  <c r="I84" i="19"/>
  <c r="S84" i="19"/>
  <c r="J116" i="19"/>
  <c r="T116" i="19"/>
  <c r="H144" i="19"/>
  <c r="G144" i="19"/>
  <c r="I176" i="19"/>
  <c r="S176" i="19"/>
  <c r="H204" i="19"/>
  <c r="G204" i="19"/>
  <c r="H236" i="19"/>
  <c r="G236" i="19"/>
  <c r="I264" i="19"/>
  <c r="S264" i="19"/>
  <c r="I296" i="19"/>
  <c r="S296" i="19"/>
  <c r="I324" i="19"/>
  <c r="S324" i="19"/>
  <c r="I356" i="19"/>
  <c r="W356" i="19" s="1"/>
  <c r="S356" i="19"/>
  <c r="I384" i="19"/>
  <c r="S384" i="19"/>
  <c r="H416" i="19"/>
  <c r="G416" i="19"/>
  <c r="I444" i="19"/>
  <c r="S444" i="19"/>
  <c r="T476" i="19"/>
  <c r="J476" i="19"/>
  <c r="H504" i="19"/>
  <c r="G504" i="19"/>
  <c r="S27" i="17"/>
  <c r="I27" i="17"/>
  <c r="W27" i="17" s="1"/>
  <c r="S91" i="17"/>
  <c r="I91" i="17"/>
  <c r="W91" i="17" s="1"/>
  <c r="I147" i="17"/>
  <c r="W147" i="17" s="1"/>
  <c r="S147" i="17"/>
  <c r="H211" i="17"/>
  <c r="G211" i="17"/>
  <c r="G267" i="17"/>
  <c r="H267" i="17"/>
  <c r="S331" i="17"/>
  <c r="I331" i="17"/>
  <c r="J387" i="17"/>
  <c r="T387" i="17"/>
  <c r="G451" i="17"/>
  <c r="H451" i="17"/>
  <c r="G507" i="17"/>
  <c r="H507" i="17"/>
  <c r="G24" i="19"/>
  <c r="H24" i="19"/>
  <c r="H30" i="17"/>
  <c r="G30" i="17"/>
  <c r="T78" i="17"/>
  <c r="J78" i="17"/>
  <c r="S150" i="17"/>
  <c r="I150" i="17"/>
  <c r="W150" i="17" s="1"/>
  <c r="I198" i="17"/>
  <c r="S198" i="17"/>
  <c r="H270" i="17"/>
  <c r="G270" i="17"/>
  <c r="I318" i="17"/>
  <c r="S318" i="17"/>
  <c r="G390" i="17"/>
  <c r="H390" i="17"/>
  <c r="G438" i="17"/>
  <c r="H438" i="17"/>
  <c r="G510" i="17"/>
  <c r="H510" i="17"/>
  <c r="G233" i="17"/>
  <c r="H233" i="17"/>
  <c r="I361" i="17"/>
  <c r="W361" i="17" s="1"/>
  <c r="S361" i="17"/>
  <c r="I497" i="17"/>
  <c r="S497" i="17"/>
  <c r="S62" i="19"/>
  <c r="I62" i="19"/>
  <c r="I116" i="17"/>
  <c r="W116" i="17" s="1"/>
  <c r="S116" i="17"/>
  <c r="J228" i="17"/>
  <c r="T228" i="17"/>
  <c r="T372" i="17"/>
  <c r="J372" i="17"/>
  <c r="T476" i="17"/>
  <c r="J476" i="17"/>
  <c r="G176" i="17"/>
  <c r="H176" i="17"/>
  <c r="J77" i="19"/>
  <c r="T77" i="19"/>
  <c r="S101" i="19"/>
  <c r="I101" i="19"/>
  <c r="J137" i="19"/>
  <c r="T137" i="19"/>
  <c r="T161" i="19"/>
  <c r="J161" i="19"/>
  <c r="T257" i="19"/>
  <c r="J257" i="19"/>
  <c r="T281" i="19"/>
  <c r="J281" i="19"/>
  <c r="J317" i="19"/>
  <c r="T317" i="19"/>
  <c r="J377" i="19"/>
  <c r="T377" i="19"/>
  <c r="J401" i="19"/>
  <c r="T401" i="19"/>
  <c r="T437" i="19"/>
  <c r="J437" i="19"/>
  <c r="J461" i="19"/>
  <c r="T461" i="19"/>
  <c r="I97" i="17"/>
  <c r="W97" i="17" s="1"/>
  <c r="S97" i="17"/>
  <c r="I177" i="17"/>
  <c r="S177" i="17"/>
  <c r="T297" i="17"/>
  <c r="J297" i="17"/>
  <c r="J401" i="17"/>
  <c r="T401" i="17"/>
  <c r="I108" i="17"/>
  <c r="S108" i="17"/>
  <c r="I236" i="17"/>
  <c r="S236" i="17"/>
  <c r="S348" i="17"/>
  <c r="I348" i="17"/>
  <c r="I448" i="17"/>
  <c r="S448" i="17"/>
  <c r="T25" i="19"/>
  <c r="J25" i="19"/>
  <c r="S86" i="19"/>
  <c r="I86" i="19"/>
  <c r="I114" i="19"/>
  <c r="S114" i="19"/>
  <c r="H146" i="19"/>
  <c r="G146" i="19"/>
  <c r="S174" i="19"/>
  <c r="I174" i="19"/>
  <c r="S206" i="19"/>
  <c r="I206" i="19"/>
  <c r="H234" i="19"/>
  <c r="G234" i="19"/>
  <c r="H266" i="19"/>
  <c r="G266" i="19"/>
  <c r="I294" i="19"/>
  <c r="S294" i="19"/>
  <c r="I326" i="19"/>
  <c r="S326" i="19"/>
  <c r="H354" i="19"/>
  <c r="G354" i="19"/>
  <c r="H386" i="19"/>
  <c r="G386" i="19"/>
  <c r="H414" i="19"/>
  <c r="G414" i="19"/>
  <c r="S446" i="19"/>
  <c r="I446" i="19"/>
  <c r="W446" i="19" s="1"/>
  <c r="H474" i="19"/>
  <c r="G474" i="19"/>
  <c r="T506" i="19"/>
  <c r="J506" i="19"/>
  <c r="T31" i="17"/>
  <c r="J31" i="17"/>
  <c r="I87" i="17"/>
  <c r="W87" i="17" s="1"/>
  <c r="S87" i="17"/>
  <c r="H151" i="17"/>
  <c r="G151" i="17"/>
  <c r="J207" i="17"/>
  <c r="T207" i="17"/>
  <c r="H271" i="17"/>
  <c r="G271" i="17"/>
  <c r="G327" i="17"/>
  <c r="H327" i="17"/>
  <c r="G391" i="17"/>
  <c r="H391" i="17"/>
  <c r="J447" i="17"/>
  <c r="T447" i="17"/>
  <c r="G511" i="17"/>
  <c r="H511" i="17"/>
  <c r="S264" i="17"/>
  <c r="I264" i="17"/>
  <c r="J18" i="17"/>
  <c r="T18" i="17"/>
  <c r="S90" i="17"/>
  <c r="I90" i="17"/>
  <c r="I378" i="17"/>
  <c r="S378" i="17"/>
  <c r="I498" i="17"/>
  <c r="S498" i="17"/>
  <c r="J445" i="17"/>
  <c r="T445" i="17"/>
  <c r="I152" i="17"/>
  <c r="W152" i="17" s="1"/>
  <c r="S152" i="17"/>
  <c r="S47" i="19"/>
  <c r="I47" i="19"/>
  <c r="T83" i="19"/>
  <c r="J83" i="19"/>
  <c r="J115" i="19"/>
  <c r="T115" i="19"/>
  <c r="T175" i="19"/>
  <c r="J175" i="19"/>
  <c r="L175" i="19" s="1"/>
  <c r="Y175" i="19" s="1"/>
  <c r="J203" i="19"/>
  <c r="T203" i="19"/>
  <c r="T235" i="19"/>
  <c r="J235" i="19"/>
  <c r="T263" i="19"/>
  <c r="J263" i="19"/>
  <c r="J295" i="19"/>
  <c r="T295" i="19"/>
  <c r="J323" i="19"/>
  <c r="T323" i="19"/>
  <c r="S355" i="19"/>
  <c r="I355" i="19"/>
  <c r="J383" i="19"/>
  <c r="T383" i="19"/>
  <c r="S475" i="19"/>
  <c r="I475" i="19"/>
  <c r="W475" i="19" s="1"/>
  <c r="I37" i="17"/>
  <c r="W37" i="17" s="1"/>
  <c r="S37" i="17"/>
  <c r="I85" i="17"/>
  <c r="W85" i="17" s="1"/>
  <c r="S85" i="17"/>
  <c r="J237" i="17"/>
  <c r="T237" i="17"/>
  <c r="G348" i="9"/>
  <c r="H348" i="9"/>
  <c r="H198" i="9"/>
  <c r="G198" i="9"/>
  <c r="H182" i="9"/>
  <c r="G182" i="9"/>
  <c r="H174" i="9"/>
  <c r="G174" i="9"/>
  <c r="H158" i="9"/>
  <c r="G158" i="9"/>
  <c r="H150" i="9"/>
  <c r="G150" i="9"/>
  <c r="H118" i="9"/>
  <c r="G118" i="9"/>
  <c r="H102" i="9"/>
  <c r="G102" i="9"/>
  <c r="H86" i="9"/>
  <c r="G86" i="9"/>
  <c r="G77" i="9"/>
  <c r="H77" i="9"/>
  <c r="G61" i="9"/>
  <c r="H61" i="9"/>
  <c r="G53" i="9"/>
  <c r="H53" i="9"/>
  <c r="G37" i="9"/>
  <c r="H37" i="9"/>
  <c r="G29" i="9"/>
  <c r="H29" i="9"/>
  <c r="H503" i="16"/>
  <c r="G503" i="16"/>
  <c r="G487" i="16"/>
  <c r="H487" i="16"/>
  <c r="G482" i="16"/>
  <c r="H482" i="16"/>
  <c r="G480" i="16"/>
  <c r="H480" i="16"/>
  <c r="G478" i="16"/>
  <c r="H478" i="16"/>
  <c r="H476" i="16"/>
  <c r="G476" i="16"/>
  <c r="G431" i="16"/>
  <c r="H431" i="16"/>
  <c r="G421" i="16"/>
  <c r="H421" i="16"/>
  <c r="G419" i="16"/>
  <c r="H419" i="16"/>
  <c r="H417" i="16"/>
  <c r="G417" i="16"/>
  <c r="G415" i="16"/>
  <c r="H415" i="16"/>
  <c r="G407" i="16"/>
  <c r="H407" i="16"/>
  <c r="K383" i="16"/>
  <c r="F383" i="16"/>
  <c r="K367" i="16"/>
  <c r="F367" i="16"/>
  <c r="K362" i="16"/>
  <c r="F362" i="16"/>
  <c r="G360" i="16"/>
  <c r="H360" i="16"/>
  <c r="K358" i="16"/>
  <c r="F358" i="16"/>
  <c r="G356" i="16"/>
  <c r="H356" i="16"/>
  <c r="G311" i="16"/>
  <c r="H311" i="16"/>
  <c r="M301" i="16"/>
  <c r="F301" i="16"/>
  <c r="G299" i="16"/>
  <c r="H299" i="16"/>
  <c r="G297" i="16"/>
  <c r="H297" i="16"/>
  <c r="G295" i="16"/>
  <c r="H295" i="16"/>
  <c r="K287" i="16"/>
  <c r="F287" i="16"/>
  <c r="K263" i="16"/>
  <c r="F263" i="16"/>
  <c r="K247" i="16"/>
  <c r="F247" i="16"/>
  <c r="G242" i="16"/>
  <c r="H242" i="16"/>
  <c r="M240" i="16"/>
  <c r="F240" i="16"/>
  <c r="K238" i="16"/>
  <c r="F238" i="16"/>
  <c r="G236" i="16"/>
  <c r="H236" i="16"/>
  <c r="K191" i="16"/>
  <c r="F191" i="16"/>
  <c r="K181" i="16"/>
  <c r="F181" i="16"/>
  <c r="K179" i="16"/>
  <c r="F179" i="16"/>
  <c r="K177" i="16"/>
  <c r="F177" i="16"/>
  <c r="K175" i="16"/>
  <c r="F175" i="16"/>
  <c r="G167" i="16"/>
  <c r="H167" i="16"/>
  <c r="G143" i="16"/>
  <c r="H143" i="16"/>
  <c r="G127" i="16"/>
  <c r="H127" i="16"/>
  <c r="G122" i="16"/>
  <c r="H122" i="16"/>
  <c r="G120" i="16"/>
  <c r="H120" i="16"/>
  <c r="H118" i="16"/>
  <c r="G118" i="16"/>
  <c r="H116" i="16"/>
  <c r="G116" i="16"/>
  <c r="G71" i="16"/>
  <c r="H71" i="16"/>
  <c r="G61" i="16"/>
  <c r="H61" i="16"/>
  <c r="H59" i="16"/>
  <c r="G59" i="16"/>
  <c r="G57" i="16"/>
  <c r="H57" i="16"/>
  <c r="G55" i="16"/>
  <c r="H55" i="16"/>
  <c r="H47" i="16"/>
  <c r="G47" i="16"/>
  <c r="G23" i="16"/>
  <c r="H23" i="16"/>
  <c r="G7" i="16"/>
  <c r="H7" i="16"/>
  <c r="T84" i="19"/>
  <c r="J84" i="19"/>
  <c r="I116" i="19"/>
  <c r="W116" i="19" s="1"/>
  <c r="S116" i="19"/>
  <c r="T176" i="19"/>
  <c r="J176" i="19"/>
  <c r="T264" i="19"/>
  <c r="J264" i="19"/>
  <c r="T296" i="19"/>
  <c r="J296" i="19"/>
  <c r="J324" i="19"/>
  <c r="T324" i="19"/>
  <c r="T356" i="19"/>
  <c r="J356" i="19"/>
  <c r="T384" i="19"/>
  <c r="J384" i="19"/>
  <c r="T444" i="19"/>
  <c r="J444" i="19"/>
  <c r="S476" i="19"/>
  <c r="I476" i="19"/>
  <c r="W476" i="19" s="1"/>
  <c r="T27" i="17"/>
  <c r="J27" i="17"/>
  <c r="J91" i="17"/>
  <c r="T91" i="17"/>
  <c r="J147" i="17"/>
  <c r="T147" i="17"/>
  <c r="T331" i="17"/>
  <c r="J331" i="17"/>
  <c r="I387" i="17"/>
  <c r="S387" i="17"/>
  <c r="S78" i="17"/>
  <c r="I78" i="17"/>
  <c r="T150" i="17"/>
  <c r="J150" i="17"/>
  <c r="T198" i="17"/>
  <c r="J198" i="17"/>
  <c r="J318" i="17"/>
  <c r="T318" i="17"/>
  <c r="J361" i="17"/>
  <c r="T361" i="17"/>
  <c r="J497" i="17"/>
  <c r="T497" i="17"/>
  <c r="J62" i="19"/>
  <c r="T62" i="19"/>
  <c r="J116" i="17"/>
  <c r="T116" i="17"/>
  <c r="I228" i="17"/>
  <c r="S228" i="17"/>
  <c r="S372" i="17"/>
  <c r="I372" i="17"/>
  <c r="S476" i="17"/>
  <c r="I476" i="17"/>
  <c r="I11" i="19"/>
  <c r="S11" i="19"/>
  <c r="I85" i="19"/>
  <c r="W85" i="19" s="1"/>
  <c r="S85" i="19"/>
  <c r="J113" i="19"/>
  <c r="T113" i="19"/>
  <c r="S145" i="19"/>
  <c r="I145" i="19"/>
  <c r="W145" i="19" s="1"/>
  <c r="S173" i="19"/>
  <c r="I173" i="19"/>
  <c r="I205" i="19"/>
  <c r="S205" i="19"/>
  <c r="S233" i="19"/>
  <c r="I233" i="19"/>
  <c r="H265" i="19"/>
  <c r="G265" i="19"/>
  <c r="I293" i="19"/>
  <c r="S293" i="19"/>
  <c r="G325" i="19"/>
  <c r="H325" i="19"/>
  <c r="S353" i="19"/>
  <c r="I353" i="19"/>
  <c r="I385" i="19"/>
  <c r="L385" i="19" s="1"/>
  <c r="Y385" i="19" s="1"/>
  <c r="S385" i="19"/>
  <c r="H413" i="19"/>
  <c r="G413" i="19"/>
  <c r="S445" i="19"/>
  <c r="I445" i="19"/>
  <c r="H473" i="19"/>
  <c r="G473" i="19"/>
  <c r="I505" i="19"/>
  <c r="W505" i="19" s="1"/>
  <c r="S505" i="19"/>
  <c r="T41" i="17"/>
  <c r="J41" i="17"/>
  <c r="T113" i="17"/>
  <c r="J113" i="17"/>
  <c r="G209" i="17"/>
  <c r="H209" i="17"/>
  <c r="T337" i="17"/>
  <c r="J337" i="17"/>
  <c r="S417" i="17"/>
  <c r="I417" i="17"/>
  <c r="W417" i="17" s="1"/>
  <c r="T12" i="17"/>
  <c r="J12" i="17"/>
  <c r="G132" i="17"/>
  <c r="H132" i="17"/>
  <c r="G252" i="17"/>
  <c r="H252" i="17"/>
  <c r="G420" i="17"/>
  <c r="H420" i="17"/>
  <c r="H58" i="19"/>
  <c r="G58" i="19"/>
  <c r="J288" i="17"/>
  <c r="T288" i="17"/>
  <c r="S480" i="17"/>
  <c r="I480" i="17"/>
  <c r="I25" i="19"/>
  <c r="W25" i="19" s="1"/>
  <c r="S25" i="19"/>
  <c r="J86" i="19"/>
  <c r="T86" i="19"/>
  <c r="J114" i="19"/>
  <c r="T114" i="19"/>
  <c r="T174" i="19"/>
  <c r="J174" i="19"/>
  <c r="J206" i="19"/>
  <c r="T206" i="19"/>
  <c r="J294" i="19"/>
  <c r="T294" i="19"/>
  <c r="J326" i="19"/>
  <c r="T326" i="19"/>
  <c r="T446" i="19"/>
  <c r="J446" i="19"/>
  <c r="S506" i="19"/>
  <c r="I506" i="19"/>
  <c r="I31" i="17"/>
  <c r="S31" i="17"/>
  <c r="J87" i="17"/>
  <c r="T87" i="17"/>
  <c r="I207" i="17"/>
  <c r="W207" i="17" s="1"/>
  <c r="S207" i="17"/>
  <c r="I447" i="17"/>
  <c r="W447" i="17" s="1"/>
  <c r="S447" i="17"/>
  <c r="J264" i="17"/>
  <c r="T264" i="17"/>
  <c r="H12" i="19"/>
  <c r="G12" i="19"/>
  <c r="G26" i="17"/>
  <c r="H26" i="17"/>
  <c r="J98" i="17"/>
  <c r="T98" i="17"/>
  <c r="G146" i="17"/>
  <c r="H146" i="17"/>
  <c r="T218" i="17"/>
  <c r="J218" i="17"/>
  <c r="J266" i="17"/>
  <c r="T266" i="17"/>
  <c r="I338" i="17"/>
  <c r="S338" i="17"/>
  <c r="J386" i="17"/>
  <c r="T386" i="17"/>
  <c r="J458" i="17"/>
  <c r="T458" i="17"/>
  <c r="G506" i="17"/>
  <c r="H506" i="17"/>
  <c r="T317" i="17"/>
  <c r="J317" i="17"/>
  <c r="I461" i="17"/>
  <c r="W461" i="17" s="1"/>
  <c r="S461" i="17"/>
  <c r="S56" i="17"/>
  <c r="I56" i="17"/>
  <c r="W56" i="17" s="1"/>
  <c r="J384" i="17"/>
  <c r="T384" i="17"/>
  <c r="H7" i="19"/>
  <c r="G7" i="19"/>
  <c r="G55" i="19"/>
  <c r="H55" i="19"/>
  <c r="H87" i="19"/>
  <c r="G87" i="19"/>
  <c r="T119" i="19"/>
  <c r="J119" i="19"/>
  <c r="H147" i="19"/>
  <c r="G147" i="19"/>
  <c r="I179" i="19"/>
  <c r="S179" i="19"/>
  <c r="S207" i="19"/>
  <c r="I207" i="19"/>
  <c r="I239" i="19"/>
  <c r="S239" i="19"/>
  <c r="S267" i="19"/>
  <c r="I267" i="19"/>
  <c r="S299" i="19"/>
  <c r="I299" i="19"/>
  <c r="H327" i="19"/>
  <c r="G327" i="19"/>
  <c r="T359" i="19"/>
  <c r="J359" i="19"/>
  <c r="I387" i="19"/>
  <c r="S387" i="19"/>
  <c r="I419" i="19"/>
  <c r="W419" i="19" s="1"/>
  <c r="S419" i="19"/>
  <c r="S447" i="19"/>
  <c r="I447" i="19"/>
  <c r="W447" i="19" s="1"/>
  <c r="J479" i="19"/>
  <c r="L479" i="19" s="1"/>
  <c r="Y479" i="19" s="1"/>
  <c r="T479" i="19"/>
  <c r="J507" i="19"/>
  <c r="T507" i="19"/>
  <c r="J53" i="17"/>
  <c r="T53" i="17"/>
  <c r="T101" i="17"/>
  <c r="J101" i="17"/>
  <c r="J181" i="17"/>
  <c r="T181" i="17"/>
  <c r="I269" i="17"/>
  <c r="S269" i="17"/>
  <c r="S341" i="17"/>
  <c r="I341" i="17"/>
  <c r="J437" i="17"/>
  <c r="T437" i="17"/>
  <c r="G144" i="17"/>
  <c r="H144" i="17"/>
  <c r="G328" i="17"/>
  <c r="H328" i="17"/>
  <c r="G428" i="9"/>
  <c r="H428" i="9"/>
  <c r="G252" i="9"/>
  <c r="H252" i="9"/>
  <c r="H222" i="9"/>
  <c r="G222" i="9"/>
  <c r="G467" i="9"/>
  <c r="H467" i="9"/>
  <c r="G347" i="9"/>
  <c r="H347" i="9"/>
  <c r="G323" i="9"/>
  <c r="H323" i="9"/>
  <c r="G307" i="9"/>
  <c r="H307" i="9"/>
  <c r="G181" i="9"/>
  <c r="H181" i="9"/>
  <c r="G157" i="9"/>
  <c r="H157" i="9"/>
  <c r="G117" i="9"/>
  <c r="H117" i="9"/>
  <c r="G101" i="9"/>
  <c r="H101" i="9"/>
  <c r="H84" i="9"/>
  <c r="G84" i="9"/>
  <c r="H60" i="9"/>
  <c r="G60" i="9"/>
  <c r="G12" i="9"/>
  <c r="H12" i="9"/>
  <c r="G241" i="9"/>
  <c r="H241" i="9"/>
  <c r="H239" i="9"/>
  <c r="G239" i="9"/>
  <c r="H237" i="9"/>
  <c r="G237" i="9"/>
  <c r="G235" i="9"/>
  <c r="H235" i="9"/>
  <c r="H271" i="9"/>
  <c r="G271" i="9"/>
  <c r="H269" i="9"/>
  <c r="G269" i="9"/>
  <c r="G267" i="9"/>
  <c r="H267" i="9"/>
  <c r="G265" i="9"/>
  <c r="H265" i="9"/>
  <c r="H301" i="9"/>
  <c r="G301" i="9"/>
  <c r="G299" i="9"/>
  <c r="H299" i="9"/>
  <c r="G297" i="9"/>
  <c r="H297" i="9"/>
  <c r="H295" i="9"/>
  <c r="G295" i="9"/>
  <c r="G331" i="9"/>
  <c r="H331" i="9"/>
  <c r="G329" i="9"/>
  <c r="H329" i="9"/>
  <c r="G327" i="9"/>
  <c r="H327" i="9"/>
  <c r="H325" i="9"/>
  <c r="G325" i="9"/>
  <c r="H361" i="9"/>
  <c r="G361" i="9"/>
  <c r="H359" i="9"/>
  <c r="G359" i="9"/>
  <c r="H357" i="9"/>
  <c r="G357" i="9"/>
  <c r="G355" i="9"/>
  <c r="H355" i="9"/>
  <c r="G391" i="9"/>
  <c r="H391" i="9"/>
  <c r="H389" i="9"/>
  <c r="G389" i="9"/>
  <c r="G387" i="9"/>
  <c r="H387" i="9"/>
  <c r="H385" i="9"/>
  <c r="G385" i="9"/>
  <c r="H421" i="9"/>
  <c r="G421" i="9"/>
  <c r="G419" i="9"/>
  <c r="H419" i="9"/>
  <c r="H417" i="9"/>
  <c r="G417" i="9"/>
  <c r="G415" i="9"/>
  <c r="H415" i="9"/>
  <c r="G451" i="9"/>
  <c r="H451" i="9"/>
  <c r="H449" i="9"/>
  <c r="G449" i="9"/>
  <c r="H447" i="9"/>
  <c r="G447" i="9"/>
  <c r="H445" i="9"/>
  <c r="G445" i="9"/>
  <c r="H481" i="9"/>
  <c r="G481" i="9"/>
  <c r="G479" i="9"/>
  <c r="H479" i="9"/>
  <c r="H477" i="9"/>
  <c r="G477" i="9"/>
  <c r="G475" i="9"/>
  <c r="H475" i="9"/>
  <c r="H492" i="16"/>
  <c r="G492" i="16"/>
  <c r="G468" i="16"/>
  <c r="H468" i="16"/>
  <c r="H444" i="16"/>
  <c r="G444" i="16"/>
  <c r="G428" i="16"/>
  <c r="H428" i="16"/>
  <c r="K372" i="16"/>
  <c r="F372" i="16"/>
  <c r="H348" i="16"/>
  <c r="G348" i="16"/>
  <c r="H324" i="16"/>
  <c r="G324" i="16"/>
  <c r="H308" i="16"/>
  <c r="G308" i="16"/>
  <c r="H252" i="16"/>
  <c r="G252" i="16"/>
  <c r="H228" i="16"/>
  <c r="G228" i="16"/>
  <c r="H204" i="16"/>
  <c r="G204" i="16"/>
  <c r="K188" i="16"/>
  <c r="F188" i="16"/>
  <c r="K132" i="16"/>
  <c r="F132" i="16"/>
  <c r="H108" i="16"/>
  <c r="G108" i="16"/>
  <c r="G84" i="16"/>
  <c r="H84" i="16"/>
  <c r="K68" i="16"/>
  <c r="F68" i="16"/>
  <c r="G12" i="16"/>
  <c r="H12" i="16"/>
  <c r="I61" i="19"/>
  <c r="S61" i="19"/>
  <c r="I88" i="19"/>
  <c r="S88" i="19"/>
  <c r="T120" i="19"/>
  <c r="J120" i="19"/>
  <c r="I148" i="19"/>
  <c r="W148" i="19" s="1"/>
  <c r="S148" i="19"/>
  <c r="I180" i="19"/>
  <c r="W180" i="19" s="1"/>
  <c r="S180" i="19"/>
  <c r="S208" i="19"/>
  <c r="I208" i="19"/>
  <c r="W208" i="19" s="1"/>
  <c r="I240" i="19"/>
  <c r="S240" i="19"/>
  <c r="H268" i="19"/>
  <c r="G268" i="19"/>
  <c r="S300" i="19"/>
  <c r="I300" i="19"/>
  <c r="S328" i="19"/>
  <c r="I328" i="19"/>
  <c r="G360" i="19"/>
  <c r="H360" i="19"/>
  <c r="H388" i="19"/>
  <c r="G388" i="19"/>
  <c r="H420" i="19"/>
  <c r="G420" i="19"/>
  <c r="I448" i="19"/>
  <c r="S448" i="19"/>
  <c r="I480" i="19"/>
  <c r="W480" i="19" s="1"/>
  <c r="S480" i="19"/>
  <c r="I508" i="19"/>
  <c r="W508" i="19" s="1"/>
  <c r="S508" i="19"/>
  <c r="I59" i="17"/>
  <c r="S59" i="17"/>
  <c r="S107" i="17"/>
  <c r="I107" i="17"/>
  <c r="J179" i="17"/>
  <c r="T179" i="17"/>
  <c r="I227" i="17"/>
  <c r="S227" i="17"/>
  <c r="J299" i="17"/>
  <c r="T299" i="17"/>
  <c r="J347" i="17"/>
  <c r="T347" i="17"/>
  <c r="G419" i="17"/>
  <c r="H419" i="17"/>
  <c r="J467" i="17"/>
  <c r="T467" i="17"/>
  <c r="G268" i="17"/>
  <c r="H268" i="17"/>
  <c r="T32" i="19"/>
  <c r="J32" i="19"/>
  <c r="H38" i="17"/>
  <c r="G38" i="17"/>
  <c r="T86" i="17"/>
  <c r="J86" i="17"/>
  <c r="I158" i="17"/>
  <c r="S158" i="17"/>
  <c r="I206" i="17"/>
  <c r="W206" i="17" s="1"/>
  <c r="S206" i="17"/>
  <c r="I278" i="17"/>
  <c r="S278" i="17"/>
  <c r="H326" i="17"/>
  <c r="G326" i="17"/>
  <c r="J398" i="17"/>
  <c r="T398" i="17"/>
  <c r="G446" i="17"/>
  <c r="H446" i="17"/>
  <c r="T121" i="17"/>
  <c r="J121" i="17"/>
  <c r="H257" i="17"/>
  <c r="G257" i="17"/>
  <c r="I377" i="17"/>
  <c r="S377" i="17"/>
  <c r="S30" i="19"/>
  <c r="I30" i="19"/>
  <c r="W30" i="19" s="1"/>
  <c r="T28" i="17"/>
  <c r="J28" i="17"/>
  <c r="J148" i="17"/>
  <c r="T148" i="17"/>
  <c r="T300" i="17"/>
  <c r="J300" i="17"/>
  <c r="G388" i="17"/>
  <c r="H388" i="17"/>
  <c r="J492" i="17"/>
  <c r="T492" i="17"/>
  <c r="I312" i="17"/>
  <c r="S312" i="17"/>
  <c r="J11" i="19"/>
  <c r="T11" i="19"/>
  <c r="J85" i="19"/>
  <c r="T85" i="19"/>
  <c r="S113" i="19"/>
  <c r="I113" i="19"/>
  <c r="J145" i="19"/>
  <c r="T145" i="19"/>
  <c r="J173" i="19"/>
  <c r="T173" i="19"/>
  <c r="J205" i="19"/>
  <c r="T205" i="19"/>
  <c r="T233" i="19"/>
  <c r="J233" i="19"/>
  <c r="J293" i="19"/>
  <c r="T293" i="19"/>
  <c r="J353" i="19"/>
  <c r="T353" i="19"/>
  <c r="J385" i="19"/>
  <c r="T385" i="19"/>
  <c r="T445" i="19"/>
  <c r="J445" i="19"/>
  <c r="J505" i="19"/>
  <c r="L505" i="19" s="1"/>
  <c r="Y505" i="19" s="1"/>
  <c r="T505" i="19"/>
  <c r="I41" i="17"/>
  <c r="W41" i="17" s="1"/>
  <c r="S41" i="17"/>
  <c r="I113" i="17"/>
  <c r="S113" i="17"/>
  <c r="I337" i="17"/>
  <c r="W337" i="17" s="1"/>
  <c r="S337" i="17"/>
  <c r="T417" i="17"/>
  <c r="J417" i="17"/>
  <c r="I12" i="17"/>
  <c r="S12" i="17"/>
  <c r="I288" i="17"/>
  <c r="S288" i="17"/>
  <c r="T480" i="17"/>
  <c r="J480" i="17"/>
  <c r="I41" i="19"/>
  <c r="S41" i="19"/>
  <c r="H90" i="19"/>
  <c r="G90" i="19"/>
  <c r="S118" i="19"/>
  <c r="I118" i="19"/>
  <c r="H150" i="19"/>
  <c r="G150" i="19"/>
  <c r="I178" i="19"/>
  <c r="W178" i="19" s="1"/>
  <c r="S178" i="19"/>
  <c r="I210" i="19"/>
  <c r="W210" i="19" s="1"/>
  <c r="S210" i="19"/>
  <c r="S238" i="19"/>
  <c r="I238" i="19"/>
  <c r="H270" i="19"/>
  <c r="G270" i="19"/>
  <c r="I298" i="19"/>
  <c r="W298" i="19" s="1"/>
  <c r="S298" i="19"/>
  <c r="H330" i="19"/>
  <c r="G330" i="19"/>
  <c r="G358" i="19"/>
  <c r="H358" i="19"/>
  <c r="I390" i="19"/>
  <c r="W390" i="19" s="1"/>
  <c r="S390" i="19"/>
  <c r="S418" i="19"/>
  <c r="I418" i="19"/>
  <c r="W418" i="19" s="1"/>
  <c r="S450" i="19"/>
  <c r="I450" i="19"/>
  <c r="S478" i="19"/>
  <c r="I478" i="19"/>
  <c r="T510" i="19"/>
  <c r="J510" i="19"/>
  <c r="J47" i="17"/>
  <c r="T47" i="17"/>
  <c r="H119" i="17"/>
  <c r="G119" i="17"/>
  <c r="I167" i="17"/>
  <c r="S167" i="17"/>
  <c r="H239" i="17"/>
  <c r="G239" i="17"/>
  <c r="H287" i="17"/>
  <c r="G287" i="17"/>
  <c r="T359" i="17"/>
  <c r="J359" i="17"/>
  <c r="T407" i="17"/>
  <c r="J407" i="17"/>
  <c r="J479" i="17"/>
  <c r="T479" i="17"/>
  <c r="I8" i="17"/>
  <c r="S8" i="17"/>
  <c r="T368" i="17"/>
  <c r="J368" i="17"/>
  <c r="I98" i="17"/>
  <c r="S98" i="17"/>
  <c r="I218" i="17"/>
  <c r="S218" i="17"/>
  <c r="I266" i="17"/>
  <c r="W266" i="17" s="1"/>
  <c r="S266" i="17"/>
  <c r="J338" i="17"/>
  <c r="T338" i="17"/>
  <c r="I386" i="17"/>
  <c r="S386" i="17"/>
  <c r="I458" i="17"/>
  <c r="S458" i="17"/>
  <c r="S317" i="17"/>
  <c r="I317" i="17"/>
  <c r="J461" i="17"/>
  <c r="T461" i="17"/>
  <c r="J56" i="17"/>
  <c r="T56" i="17"/>
  <c r="I384" i="17"/>
  <c r="S384" i="17"/>
  <c r="I119" i="19"/>
  <c r="W119" i="19" s="1"/>
  <c r="S119" i="19"/>
  <c r="J179" i="19"/>
  <c r="T179" i="19"/>
  <c r="T207" i="19"/>
  <c r="J207" i="19"/>
  <c r="T239" i="19"/>
  <c r="J239" i="19"/>
  <c r="T267" i="19"/>
  <c r="J267" i="19"/>
  <c r="J299" i="19"/>
  <c r="T299" i="19"/>
  <c r="I359" i="19"/>
  <c r="S359" i="19"/>
  <c r="J387" i="19"/>
  <c r="T387" i="19"/>
  <c r="T419" i="19"/>
  <c r="J419" i="19"/>
  <c r="T447" i="19"/>
  <c r="J447" i="19"/>
  <c r="I479" i="19"/>
  <c r="S479" i="19"/>
  <c r="S507" i="19"/>
  <c r="I507" i="19"/>
  <c r="I53" i="17"/>
  <c r="S53" i="17"/>
  <c r="I101" i="17"/>
  <c r="W101" i="17" s="1"/>
  <c r="S101" i="17"/>
  <c r="I181" i="17"/>
  <c r="W181" i="17" s="1"/>
  <c r="S181" i="17"/>
  <c r="J269" i="17"/>
  <c r="T269" i="17"/>
  <c r="J341" i="17"/>
  <c r="T341" i="17"/>
  <c r="I437" i="17"/>
  <c r="S437" i="17"/>
  <c r="G492" i="9"/>
  <c r="H492" i="9"/>
  <c r="H308" i="9"/>
  <c r="G308" i="9"/>
  <c r="H206" i="9"/>
  <c r="G206" i="9"/>
  <c r="G443" i="9"/>
  <c r="H443" i="9"/>
  <c r="G427" i="9"/>
  <c r="H427" i="9"/>
  <c r="G251" i="9"/>
  <c r="H251" i="9"/>
  <c r="G221" i="9"/>
  <c r="H221" i="9"/>
  <c r="G197" i="9"/>
  <c r="H197" i="9"/>
  <c r="G173" i="9"/>
  <c r="H173" i="9"/>
  <c r="G149" i="9"/>
  <c r="H149" i="9"/>
  <c r="G68" i="9"/>
  <c r="H68" i="9"/>
  <c r="G28" i="9"/>
  <c r="H28" i="9"/>
  <c r="H498" i="9"/>
  <c r="G498" i="9"/>
  <c r="G474" i="9"/>
  <c r="H474" i="9"/>
  <c r="H458" i="9"/>
  <c r="G458" i="9"/>
  <c r="G402" i="9"/>
  <c r="H402" i="9"/>
  <c r="G378" i="9"/>
  <c r="H378" i="9"/>
  <c r="G354" i="9"/>
  <c r="H354" i="9"/>
  <c r="G338" i="9"/>
  <c r="H338" i="9"/>
  <c r="G282" i="9"/>
  <c r="H282" i="9"/>
  <c r="G258" i="9"/>
  <c r="H258" i="9"/>
  <c r="G508" i="9"/>
  <c r="H508" i="9"/>
  <c r="G228" i="9"/>
  <c r="H228" i="9"/>
  <c r="G212" i="9"/>
  <c r="H212" i="9"/>
  <c r="G204" i="9"/>
  <c r="H204" i="9"/>
  <c r="G188" i="9"/>
  <c r="H188" i="9"/>
  <c r="G180" i="9"/>
  <c r="H180" i="9"/>
  <c r="H148" i="9"/>
  <c r="G148" i="9"/>
  <c r="G132" i="9"/>
  <c r="H132" i="9"/>
  <c r="G116" i="9"/>
  <c r="H116" i="9"/>
  <c r="G108" i="9"/>
  <c r="H108" i="9"/>
  <c r="G92" i="9"/>
  <c r="H92" i="9"/>
  <c r="G83" i="9"/>
  <c r="H83" i="9"/>
  <c r="G67" i="9"/>
  <c r="H67" i="9"/>
  <c r="H59" i="9"/>
  <c r="G59" i="9"/>
  <c r="G27" i="9"/>
  <c r="H27" i="9"/>
  <c r="G11" i="9"/>
  <c r="H11" i="9"/>
  <c r="G511" i="16"/>
  <c r="H511" i="16"/>
  <c r="G509" i="16"/>
  <c r="H509" i="16"/>
  <c r="H507" i="16"/>
  <c r="G507" i="16"/>
  <c r="H505" i="16"/>
  <c r="G505" i="16"/>
  <c r="G497" i="16"/>
  <c r="H497" i="16"/>
  <c r="H473" i="16"/>
  <c r="G473" i="16"/>
  <c r="H457" i="16"/>
  <c r="G457" i="16"/>
  <c r="G452" i="16"/>
  <c r="H452" i="16"/>
  <c r="G450" i="16"/>
  <c r="H450" i="16"/>
  <c r="G448" i="16"/>
  <c r="H448" i="16"/>
  <c r="H446" i="16"/>
  <c r="G446" i="16"/>
  <c r="G401" i="16"/>
  <c r="H401" i="16"/>
  <c r="K391" i="16"/>
  <c r="F391" i="16"/>
  <c r="K389" i="16"/>
  <c r="F389" i="16"/>
  <c r="K387" i="16"/>
  <c r="F387" i="16"/>
  <c r="K385" i="16"/>
  <c r="F385" i="16"/>
  <c r="K377" i="16"/>
  <c r="F377" i="16"/>
  <c r="K353" i="16"/>
  <c r="F353" i="16"/>
  <c r="G337" i="16"/>
  <c r="H337" i="16"/>
  <c r="M332" i="16"/>
  <c r="F332" i="16"/>
  <c r="H330" i="16"/>
  <c r="G330" i="16"/>
  <c r="G328" i="16"/>
  <c r="H328" i="16"/>
  <c r="H326" i="16"/>
  <c r="G326" i="16"/>
  <c r="G281" i="16"/>
  <c r="H281" i="16"/>
  <c r="K271" i="16"/>
  <c r="F271" i="16"/>
  <c r="H269" i="16"/>
  <c r="G269" i="16"/>
  <c r="H267" i="16"/>
  <c r="G267" i="16"/>
  <c r="K265" i="16"/>
  <c r="F265" i="16"/>
  <c r="G257" i="16"/>
  <c r="H257" i="16"/>
  <c r="G233" i="16"/>
  <c r="H233" i="16"/>
  <c r="H217" i="16"/>
  <c r="G217" i="16"/>
  <c r="H212" i="16"/>
  <c r="G212" i="16"/>
  <c r="G210" i="16"/>
  <c r="H210" i="16"/>
  <c r="H208" i="16"/>
  <c r="G208" i="16"/>
  <c r="H206" i="16"/>
  <c r="G206" i="16"/>
  <c r="G161" i="16"/>
  <c r="H161" i="16"/>
  <c r="G151" i="16"/>
  <c r="H151" i="16"/>
  <c r="H149" i="16"/>
  <c r="G149" i="16"/>
  <c r="G147" i="16"/>
  <c r="H147" i="16"/>
  <c r="H145" i="16"/>
  <c r="G145" i="16"/>
  <c r="K137" i="16"/>
  <c r="F137" i="16"/>
  <c r="G113" i="16"/>
  <c r="H113" i="16"/>
  <c r="G97" i="16"/>
  <c r="H97" i="16"/>
  <c r="M92" i="16"/>
  <c r="F92" i="16"/>
  <c r="M90" i="16"/>
  <c r="F90" i="16"/>
  <c r="G88" i="16"/>
  <c r="H88" i="16"/>
  <c r="G86" i="16"/>
  <c r="H86" i="16"/>
  <c r="K41" i="16"/>
  <c r="F41" i="16"/>
  <c r="G31" i="16"/>
  <c r="H31" i="16"/>
  <c r="H29" i="16"/>
  <c r="G29" i="16"/>
  <c r="G27" i="16"/>
  <c r="H27" i="16"/>
  <c r="G25" i="16"/>
  <c r="H25" i="16"/>
  <c r="K17" i="16"/>
  <c r="F17" i="16"/>
  <c r="T61" i="19"/>
  <c r="J61" i="19"/>
  <c r="J88" i="19"/>
  <c r="T88" i="19"/>
  <c r="S120" i="19"/>
  <c r="I120" i="19"/>
  <c r="J148" i="19"/>
  <c r="T148" i="19"/>
  <c r="J180" i="19"/>
  <c r="T180" i="19"/>
  <c r="T208" i="19"/>
  <c r="J208" i="19"/>
  <c r="L208" i="19" s="1"/>
  <c r="Y208" i="19" s="1"/>
  <c r="AA208" i="19" s="1"/>
  <c r="T240" i="19"/>
  <c r="J240" i="19"/>
  <c r="J300" i="19"/>
  <c r="T300" i="19"/>
  <c r="J328" i="19"/>
  <c r="T328" i="19"/>
  <c r="T448" i="19"/>
  <c r="J448" i="19"/>
  <c r="T480" i="19"/>
  <c r="J480" i="19"/>
  <c r="J508" i="19"/>
  <c r="T508" i="19"/>
  <c r="J59" i="17"/>
  <c r="T59" i="17"/>
  <c r="J107" i="17"/>
  <c r="T107" i="17"/>
  <c r="S179" i="17"/>
  <c r="I179" i="17"/>
  <c r="J227" i="17"/>
  <c r="T227" i="17"/>
  <c r="I299" i="17"/>
  <c r="W299" i="17" s="1"/>
  <c r="S299" i="17"/>
  <c r="I347" i="17"/>
  <c r="S347" i="17"/>
  <c r="I467" i="17"/>
  <c r="S467" i="17"/>
  <c r="I32" i="19"/>
  <c r="S32" i="19"/>
  <c r="S86" i="17"/>
  <c r="I86" i="17"/>
  <c r="L86" i="17" s="1"/>
  <c r="Y86" i="17" s="1"/>
  <c r="J158" i="17"/>
  <c r="T158" i="17"/>
  <c r="T206" i="17"/>
  <c r="J206" i="17"/>
  <c r="T278" i="17"/>
  <c r="J278" i="17"/>
  <c r="I398" i="17"/>
  <c r="S398" i="17"/>
  <c r="I121" i="17"/>
  <c r="W121" i="17" s="1"/>
  <c r="S121" i="17"/>
  <c r="J377" i="17"/>
  <c r="T377" i="17"/>
  <c r="J30" i="19"/>
  <c r="T30" i="19"/>
  <c r="I28" i="17"/>
  <c r="W28" i="17" s="1"/>
  <c r="S28" i="17"/>
  <c r="I148" i="17"/>
  <c r="S148" i="17"/>
  <c r="I300" i="17"/>
  <c r="W300" i="17" s="1"/>
  <c r="S300" i="17"/>
  <c r="I492" i="17"/>
  <c r="S492" i="17"/>
  <c r="J312" i="17"/>
  <c r="T312" i="17"/>
  <c r="G27" i="19"/>
  <c r="H27" i="19"/>
  <c r="H89" i="19"/>
  <c r="G89" i="19"/>
  <c r="T117" i="19"/>
  <c r="J117" i="19"/>
  <c r="I149" i="19"/>
  <c r="W149" i="19" s="1"/>
  <c r="S149" i="19"/>
  <c r="S177" i="19"/>
  <c r="I177" i="19"/>
  <c r="W177" i="19" s="1"/>
  <c r="S209" i="19"/>
  <c r="I209" i="19"/>
  <c r="I237" i="19"/>
  <c r="W237" i="19" s="1"/>
  <c r="S237" i="19"/>
  <c r="H269" i="19"/>
  <c r="G269" i="19"/>
  <c r="I297" i="19"/>
  <c r="S297" i="19"/>
  <c r="H329" i="19"/>
  <c r="G329" i="19"/>
  <c r="G357" i="19"/>
  <c r="H357" i="19"/>
  <c r="S389" i="19"/>
  <c r="I389" i="19"/>
  <c r="W389" i="19" s="1"/>
  <c r="I417" i="19"/>
  <c r="S417" i="19"/>
  <c r="H449" i="19"/>
  <c r="G449" i="19"/>
  <c r="S477" i="19"/>
  <c r="I477" i="19"/>
  <c r="W477" i="19" s="1"/>
  <c r="I509" i="19"/>
  <c r="W509" i="19" s="1"/>
  <c r="S509" i="19"/>
  <c r="T57" i="17"/>
  <c r="J57" i="17"/>
  <c r="G145" i="17"/>
  <c r="H145" i="17"/>
  <c r="G241" i="17"/>
  <c r="H241" i="17"/>
  <c r="I353" i="17"/>
  <c r="S353" i="17"/>
  <c r="I457" i="17"/>
  <c r="S457" i="17"/>
  <c r="J60" i="17"/>
  <c r="T60" i="17"/>
  <c r="S188" i="17"/>
  <c r="I188" i="17"/>
  <c r="I308" i="17"/>
  <c r="S308" i="17"/>
  <c r="G452" i="17"/>
  <c r="H452" i="17"/>
  <c r="I32" i="17"/>
  <c r="S32" i="17"/>
  <c r="J360" i="17"/>
  <c r="T360" i="17"/>
  <c r="I296" i="17"/>
  <c r="S296" i="17"/>
  <c r="J41" i="19"/>
  <c r="T41" i="19"/>
  <c r="J118" i="19"/>
  <c r="T118" i="19"/>
  <c r="T178" i="19"/>
  <c r="J178" i="19"/>
  <c r="J210" i="19"/>
  <c r="T210" i="19"/>
  <c r="T238" i="19"/>
  <c r="J238" i="19"/>
  <c r="J298" i="19"/>
  <c r="T298" i="19"/>
  <c r="J390" i="19"/>
  <c r="T390" i="19"/>
  <c r="T418" i="19"/>
  <c r="J418" i="19"/>
  <c r="T450" i="19"/>
  <c r="J450" i="19"/>
  <c r="J478" i="19"/>
  <c r="T478" i="19"/>
  <c r="S510" i="19"/>
  <c r="I510" i="19"/>
  <c r="L510" i="19" s="1"/>
  <c r="Y510" i="19" s="1"/>
  <c r="S47" i="17"/>
  <c r="I47" i="17"/>
  <c r="J167" i="17"/>
  <c r="T167" i="17"/>
  <c r="I359" i="17"/>
  <c r="S359" i="17"/>
  <c r="I407" i="17"/>
  <c r="S407" i="17"/>
  <c r="I479" i="17"/>
  <c r="S479" i="17"/>
  <c r="J8" i="17"/>
  <c r="T8" i="17"/>
  <c r="I368" i="17"/>
  <c r="S368" i="17"/>
  <c r="G28" i="19"/>
  <c r="H28" i="19"/>
  <c r="G42" i="17"/>
  <c r="H42" i="17"/>
  <c r="J114" i="17"/>
  <c r="T114" i="17"/>
  <c r="J162" i="17"/>
  <c r="T162" i="17"/>
  <c r="T234" i="17"/>
  <c r="J234" i="17"/>
  <c r="J282" i="17"/>
  <c r="T282" i="17"/>
  <c r="J354" i="17"/>
  <c r="T354" i="17"/>
  <c r="J402" i="17"/>
  <c r="T402" i="17"/>
  <c r="T474" i="17"/>
  <c r="J474" i="17"/>
  <c r="G149" i="17"/>
  <c r="H149" i="17"/>
  <c r="J389" i="17"/>
  <c r="T389" i="17"/>
  <c r="J477" i="17"/>
  <c r="T477" i="17"/>
  <c r="I88" i="17"/>
  <c r="S88" i="17"/>
  <c r="T408" i="17"/>
  <c r="J408" i="17"/>
  <c r="S23" i="19"/>
  <c r="I23" i="19"/>
  <c r="I67" i="19"/>
  <c r="W67" i="19" s="1"/>
  <c r="S67" i="19"/>
  <c r="H91" i="19"/>
  <c r="G91" i="19"/>
  <c r="H127" i="19"/>
  <c r="G127" i="19"/>
  <c r="H151" i="19"/>
  <c r="G151" i="19"/>
  <c r="I187" i="19"/>
  <c r="S187" i="19"/>
  <c r="I211" i="19"/>
  <c r="W211" i="19" s="1"/>
  <c r="S211" i="19"/>
  <c r="I247" i="19"/>
  <c r="S247" i="19"/>
  <c r="H271" i="19"/>
  <c r="G271" i="19"/>
  <c r="I307" i="19"/>
  <c r="S307" i="19"/>
  <c r="H331" i="19"/>
  <c r="G331" i="19"/>
  <c r="S367" i="19"/>
  <c r="I367" i="19"/>
  <c r="H391" i="19"/>
  <c r="G391" i="19"/>
  <c r="S427" i="19"/>
  <c r="I427" i="19"/>
  <c r="W427" i="19" s="1"/>
  <c r="H451" i="19"/>
  <c r="G451" i="19"/>
  <c r="S487" i="19"/>
  <c r="I487" i="19"/>
  <c r="W487" i="19" s="1"/>
  <c r="T511" i="19"/>
  <c r="J511" i="19"/>
  <c r="J61" i="17"/>
  <c r="T61" i="17"/>
  <c r="G117" i="17"/>
  <c r="H117" i="17"/>
  <c r="G205" i="17"/>
  <c r="H205" i="17"/>
  <c r="J277" i="17"/>
  <c r="T277" i="17"/>
  <c r="J357" i="17"/>
  <c r="T357" i="17"/>
  <c r="G509" i="17"/>
  <c r="H509" i="17"/>
  <c r="H208" i="17"/>
  <c r="G208" i="17"/>
  <c r="S504" i="17"/>
  <c r="I504" i="17"/>
  <c r="H324" i="9"/>
  <c r="G324" i="9"/>
  <c r="G506" i="9"/>
  <c r="H506" i="9"/>
  <c r="G491" i="9"/>
  <c r="H491" i="9"/>
  <c r="G371" i="9"/>
  <c r="H371" i="9"/>
  <c r="H511" i="9"/>
  <c r="G511" i="9"/>
  <c r="G205" i="9"/>
  <c r="H205" i="9"/>
  <c r="H497" i="9"/>
  <c r="G497" i="9"/>
  <c r="H473" i="9"/>
  <c r="G473" i="9"/>
  <c r="H457" i="9"/>
  <c r="G457" i="9"/>
  <c r="H401" i="9"/>
  <c r="G401" i="9"/>
  <c r="H377" i="9"/>
  <c r="G377" i="9"/>
  <c r="H353" i="9"/>
  <c r="G353" i="9"/>
  <c r="G337" i="9"/>
  <c r="H337" i="9"/>
  <c r="G281" i="9"/>
  <c r="H281" i="9"/>
  <c r="G257" i="9"/>
  <c r="H257" i="9"/>
  <c r="H505" i="9"/>
  <c r="G505" i="9"/>
  <c r="G227" i="9"/>
  <c r="H227" i="9"/>
  <c r="G211" i="9"/>
  <c r="H211" i="9"/>
  <c r="H203" i="9"/>
  <c r="G203" i="9"/>
  <c r="G187" i="9"/>
  <c r="H187" i="9"/>
  <c r="G179" i="9"/>
  <c r="H179" i="9"/>
  <c r="H147" i="9"/>
  <c r="G147" i="9"/>
  <c r="H131" i="9"/>
  <c r="G131" i="9"/>
  <c r="G115" i="9"/>
  <c r="H115" i="9"/>
  <c r="G107" i="9"/>
  <c r="H107" i="9"/>
  <c r="H91" i="9"/>
  <c r="G91" i="9"/>
  <c r="G58" i="9"/>
  <c r="H58" i="9"/>
  <c r="G42" i="9"/>
  <c r="H42" i="9"/>
  <c r="H26" i="9"/>
  <c r="G26" i="9"/>
  <c r="H18" i="9"/>
  <c r="G18" i="9"/>
  <c r="H462" i="16"/>
  <c r="G462" i="16"/>
  <c r="G438" i="16"/>
  <c r="H438" i="16"/>
  <c r="H414" i="16"/>
  <c r="G414" i="16"/>
  <c r="H398" i="16"/>
  <c r="G398" i="16"/>
  <c r="H342" i="16"/>
  <c r="G342" i="16"/>
  <c r="G318" i="16"/>
  <c r="H318" i="16"/>
  <c r="K294" i="16"/>
  <c r="F294" i="16"/>
  <c r="K278" i="16"/>
  <c r="F278" i="16"/>
  <c r="H222" i="16"/>
  <c r="G222" i="16"/>
  <c r="H198" i="16"/>
  <c r="G198" i="16"/>
  <c r="K174" i="16"/>
  <c r="F174" i="16"/>
  <c r="H158" i="16"/>
  <c r="G158" i="16"/>
  <c r="H102" i="16"/>
  <c r="G102" i="16"/>
  <c r="G78" i="16"/>
  <c r="H78" i="16"/>
  <c r="K54" i="16"/>
  <c r="F54" i="16"/>
  <c r="H38" i="16"/>
  <c r="G38" i="16"/>
  <c r="G29" i="19"/>
  <c r="H29" i="19"/>
  <c r="S68" i="19"/>
  <c r="I68" i="19"/>
  <c r="H92" i="19"/>
  <c r="G92" i="19"/>
  <c r="I128" i="19"/>
  <c r="S128" i="19"/>
  <c r="S152" i="19"/>
  <c r="I152" i="19"/>
  <c r="W152" i="19" s="1"/>
  <c r="H188" i="19"/>
  <c r="G188" i="19"/>
  <c r="H212" i="19"/>
  <c r="G212" i="19"/>
  <c r="I248" i="19"/>
  <c r="S248" i="19"/>
  <c r="H272" i="19"/>
  <c r="G272" i="19"/>
  <c r="I308" i="19"/>
  <c r="S308" i="19"/>
  <c r="G332" i="19"/>
  <c r="H332" i="19"/>
  <c r="S368" i="19"/>
  <c r="I368" i="19"/>
  <c r="S392" i="19"/>
  <c r="I392" i="19"/>
  <c r="I428" i="19"/>
  <c r="S428" i="19"/>
  <c r="S452" i="19"/>
  <c r="I452" i="19"/>
  <c r="W452" i="19" s="1"/>
  <c r="H488" i="19"/>
  <c r="G488" i="19"/>
  <c r="I512" i="19"/>
  <c r="W512" i="19" s="1"/>
  <c r="S512" i="19"/>
  <c r="H67" i="17"/>
  <c r="G67" i="17"/>
  <c r="I115" i="17"/>
  <c r="W115" i="17" s="1"/>
  <c r="S115" i="17"/>
  <c r="H187" i="17"/>
  <c r="G187" i="17"/>
  <c r="S235" i="17"/>
  <c r="I235" i="17"/>
  <c r="W235" i="17" s="1"/>
  <c r="H307" i="17"/>
  <c r="G307" i="17"/>
  <c r="J355" i="17"/>
  <c r="T355" i="17"/>
  <c r="J427" i="17"/>
  <c r="T427" i="17"/>
  <c r="I475" i="17"/>
  <c r="S475" i="17"/>
  <c r="T48" i="19"/>
  <c r="J48" i="19"/>
  <c r="S54" i="17"/>
  <c r="I54" i="17"/>
  <c r="S102" i="17"/>
  <c r="I102" i="17"/>
  <c r="S174" i="17"/>
  <c r="I174" i="17"/>
  <c r="I222" i="17"/>
  <c r="S222" i="17"/>
  <c r="T294" i="17"/>
  <c r="J294" i="17"/>
  <c r="S342" i="17"/>
  <c r="I342" i="17"/>
  <c r="J414" i="17"/>
  <c r="T414" i="17"/>
  <c r="I462" i="17"/>
  <c r="S462" i="17"/>
  <c r="G137" i="17"/>
  <c r="H137" i="17"/>
  <c r="H265" i="17"/>
  <c r="G265" i="17"/>
  <c r="S449" i="17"/>
  <c r="I449" i="17"/>
  <c r="I38" i="19"/>
  <c r="S38" i="19"/>
  <c r="J68" i="17"/>
  <c r="T68" i="17"/>
  <c r="J180" i="17"/>
  <c r="T180" i="17"/>
  <c r="G332" i="17"/>
  <c r="H332" i="17"/>
  <c r="T428" i="17"/>
  <c r="J428" i="17"/>
  <c r="T508" i="17"/>
  <c r="J508" i="17"/>
  <c r="L508" i="17" s="1"/>
  <c r="Y508" i="17" s="1"/>
  <c r="AA508" i="17" s="1"/>
  <c r="G392" i="17"/>
  <c r="H392" i="17"/>
  <c r="S117" i="19"/>
  <c r="I117" i="19"/>
  <c r="W117" i="19" s="1"/>
  <c r="J149" i="19"/>
  <c r="T149" i="19"/>
  <c r="J177" i="19"/>
  <c r="T177" i="19"/>
  <c r="T209" i="19"/>
  <c r="J209" i="19"/>
  <c r="J237" i="19"/>
  <c r="T237" i="19"/>
  <c r="T297" i="19"/>
  <c r="J297" i="19"/>
  <c r="T389" i="19"/>
  <c r="J389" i="19"/>
  <c r="J417" i="19"/>
  <c r="T417" i="19"/>
  <c r="T477" i="19"/>
  <c r="J477" i="19"/>
  <c r="J509" i="19"/>
  <c r="T509" i="19"/>
  <c r="I57" i="17"/>
  <c r="W57" i="17" s="1"/>
  <c r="S57" i="17"/>
  <c r="J353" i="17"/>
  <c r="T353" i="17"/>
  <c r="J457" i="17"/>
  <c r="T457" i="17"/>
  <c r="I60" i="17"/>
  <c r="S60" i="17"/>
  <c r="J188" i="17"/>
  <c r="T188" i="17"/>
  <c r="J308" i="17"/>
  <c r="T308" i="17"/>
  <c r="J32" i="17"/>
  <c r="T32" i="17"/>
  <c r="I360" i="17"/>
  <c r="W360" i="17" s="1"/>
  <c r="S360" i="17"/>
  <c r="J296" i="17"/>
  <c r="T296" i="17"/>
  <c r="T57" i="19"/>
  <c r="J57" i="19"/>
  <c r="H98" i="19"/>
  <c r="G98" i="19"/>
  <c r="I122" i="19"/>
  <c r="S122" i="19"/>
  <c r="I158" i="19"/>
  <c r="S158" i="19"/>
  <c r="S182" i="19"/>
  <c r="I182" i="19"/>
  <c r="W182" i="19" s="1"/>
  <c r="H218" i="19"/>
  <c r="G218" i="19"/>
  <c r="S242" i="19"/>
  <c r="I242" i="19"/>
  <c r="L242" i="19" s="1"/>
  <c r="Y242" i="19" s="1"/>
  <c r="I278" i="19"/>
  <c r="S278" i="19"/>
  <c r="I302" i="19"/>
  <c r="W302" i="19" s="1"/>
  <c r="S302" i="19"/>
  <c r="G338" i="19"/>
  <c r="H338" i="19"/>
  <c r="J362" i="19"/>
  <c r="T362" i="19"/>
  <c r="S398" i="19"/>
  <c r="I398" i="19"/>
  <c r="H422" i="19"/>
  <c r="G422" i="19"/>
  <c r="J458" i="19"/>
  <c r="T458" i="19"/>
  <c r="I482" i="19"/>
  <c r="W482" i="19" s="1"/>
  <c r="S482" i="19"/>
  <c r="J7" i="17"/>
  <c r="T7" i="17"/>
  <c r="I55" i="17"/>
  <c r="S55" i="17"/>
  <c r="H127" i="17"/>
  <c r="G127" i="17"/>
  <c r="I175" i="17"/>
  <c r="S175" i="17"/>
  <c r="J247" i="17"/>
  <c r="T247" i="17"/>
  <c r="I295" i="17"/>
  <c r="W295" i="17" s="1"/>
  <c r="S295" i="17"/>
  <c r="T367" i="17"/>
  <c r="J367" i="17"/>
  <c r="L367" i="17" s="1"/>
  <c r="Y367" i="17" s="1"/>
  <c r="T415" i="17"/>
  <c r="J415" i="17"/>
  <c r="T487" i="17"/>
  <c r="J487" i="17"/>
  <c r="J72" i="17"/>
  <c r="T72" i="17"/>
  <c r="J416" i="17"/>
  <c r="L416" i="17" s="1"/>
  <c r="Y416" i="17" s="1"/>
  <c r="T416" i="17"/>
  <c r="I114" i="17"/>
  <c r="S114" i="17"/>
  <c r="I162" i="17"/>
  <c r="S162" i="17"/>
  <c r="I234" i="17"/>
  <c r="S234" i="17"/>
  <c r="I282" i="17"/>
  <c r="S282" i="17"/>
  <c r="I354" i="17"/>
  <c r="S354" i="17"/>
  <c r="I402" i="17"/>
  <c r="S402" i="17"/>
  <c r="I474" i="17"/>
  <c r="S474" i="17"/>
  <c r="I389" i="17"/>
  <c r="W389" i="17" s="1"/>
  <c r="S389" i="17"/>
  <c r="I477" i="17"/>
  <c r="W477" i="17" s="1"/>
  <c r="S477" i="17"/>
  <c r="J88" i="17"/>
  <c r="T88" i="17"/>
  <c r="I408" i="17"/>
  <c r="S408" i="17"/>
  <c r="J23" i="19"/>
  <c r="T23" i="19"/>
  <c r="T67" i="19"/>
  <c r="J67" i="19"/>
  <c r="T187" i="19"/>
  <c r="J187" i="19"/>
  <c r="T211" i="19"/>
  <c r="J211" i="19"/>
  <c r="J247" i="19"/>
  <c r="T247" i="19"/>
  <c r="J307" i="19"/>
  <c r="T307" i="19"/>
  <c r="T367" i="19"/>
  <c r="J367" i="19"/>
  <c r="T427" i="19"/>
  <c r="J427" i="19"/>
  <c r="J487" i="19"/>
  <c r="T487" i="19"/>
  <c r="S511" i="19"/>
  <c r="I511" i="19"/>
  <c r="W511" i="19" s="1"/>
  <c r="I61" i="17"/>
  <c r="L61" i="17" s="1"/>
  <c r="Y61" i="17" s="1"/>
  <c r="S61" i="17"/>
  <c r="I277" i="17"/>
  <c r="W277" i="17" s="1"/>
  <c r="S277" i="17"/>
  <c r="I357" i="17"/>
  <c r="S357" i="17"/>
  <c r="J504" i="17"/>
  <c r="T504" i="17"/>
  <c r="AB480" i="25"/>
  <c r="AA492" i="25"/>
  <c r="AA480" i="25"/>
  <c r="AA485" i="25"/>
  <c r="AB485" i="25"/>
  <c r="AB502" i="25"/>
  <c r="AA502" i="25"/>
  <c r="AB483" i="25"/>
  <c r="AA483" i="25"/>
  <c r="AB512" i="25"/>
  <c r="AA512" i="25"/>
  <c r="AB505" i="25"/>
  <c r="AA505" i="25"/>
  <c r="AA489" i="25"/>
  <c r="AB489" i="25"/>
  <c r="AB509" i="25"/>
  <c r="AA509" i="25"/>
  <c r="AB490" i="25"/>
  <c r="AA490" i="25"/>
  <c r="AB499" i="25"/>
  <c r="AA499" i="25"/>
  <c r="AB507" i="25"/>
  <c r="AA507" i="25"/>
  <c r="AB500" i="25"/>
  <c r="AA500" i="25"/>
  <c r="AB510" i="25"/>
  <c r="AA510" i="25"/>
  <c r="AA494" i="25"/>
  <c r="AB494" i="25"/>
  <c r="AA496" i="25"/>
  <c r="K3" i="16"/>
  <c r="K465" i="9"/>
  <c r="K377" i="9"/>
  <c r="K313" i="9"/>
  <c r="M195" i="9"/>
  <c r="M163" i="9"/>
  <c r="M123" i="9"/>
  <c r="M75" i="9"/>
  <c r="K499" i="9"/>
  <c r="K483" i="9"/>
  <c r="K459" i="9"/>
  <c r="K435" i="9"/>
  <c r="K403" i="9"/>
  <c r="K498" i="9"/>
  <c r="K490" i="9"/>
  <c r="K474" i="9"/>
  <c r="K466" i="9"/>
  <c r="K458" i="9"/>
  <c r="K442" i="9"/>
  <c r="K434" i="9"/>
  <c r="K426" i="9"/>
  <c r="K410" i="9"/>
  <c r="K402" i="9"/>
  <c r="K394" i="9"/>
  <c r="K378" i="9"/>
  <c r="K370" i="9"/>
  <c r="K354" i="9"/>
  <c r="K346" i="9"/>
  <c r="K338" i="9"/>
  <c r="K322" i="9"/>
  <c r="K314" i="9"/>
  <c r="K306" i="9"/>
  <c r="K290" i="9"/>
  <c r="K282" i="9"/>
  <c r="K274" i="9"/>
  <c r="K258" i="9"/>
  <c r="K250" i="9"/>
  <c r="K132" i="9"/>
  <c r="M299" i="9"/>
  <c r="K441" i="9"/>
  <c r="K369" i="9"/>
  <c r="K305" i="9"/>
  <c r="K505" i="9"/>
  <c r="M59" i="9"/>
  <c r="M35" i="9"/>
  <c r="K504" i="9"/>
  <c r="K496" i="9"/>
  <c r="K488" i="9"/>
  <c r="K472" i="9"/>
  <c r="K464" i="9"/>
  <c r="K456" i="9"/>
  <c r="K440" i="9"/>
  <c r="K432" i="9"/>
  <c r="K424" i="9"/>
  <c r="K408" i="9"/>
  <c r="K400" i="9"/>
  <c r="K384" i="9"/>
  <c r="K376" i="9"/>
  <c r="K368" i="9"/>
  <c r="K352" i="9"/>
  <c r="K344" i="9"/>
  <c r="K336" i="9"/>
  <c r="K320" i="9"/>
  <c r="K312" i="9"/>
  <c r="K304" i="9"/>
  <c r="K288" i="9"/>
  <c r="K280" i="9"/>
  <c r="K264" i="9"/>
  <c r="K256" i="9"/>
  <c r="K248" i="9"/>
  <c r="K154" i="9"/>
  <c r="M146" i="9"/>
  <c r="K42" i="9"/>
  <c r="K473" i="9"/>
  <c r="K425" i="9"/>
  <c r="K345" i="9"/>
  <c r="K257" i="9"/>
  <c r="M139" i="9"/>
  <c r="K51" i="9"/>
  <c r="K471" i="9"/>
  <c r="K431" i="9"/>
  <c r="K407" i="9"/>
  <c r="K399" i="9"/>
  <c r="K383" i="9"/>
  <c r="K375" i="9"/>
  <c r="K367" i="9"/>
  <c r="K351" i="9"/>
  <c r="K343" i="9"/>
  <c r="K335" i="9"/>
  <c r="K319" i="9"/>
  <c r="K311" i="9"/>
  <c r="K303" i="9"/>
  <c r="K287" i="9"/>
  <c r="K279" i="9"/>
  <c r="K263" i="9"/>
  <c r="K255" i="9"/>
  <c r="K247" i="9"/>
  <c r="M121" i="9"/>
  <c r="M25" i="9"/>
  <c r="K497" i="9"/>
  <c r="K401" i="9"/>
  <c r="K281" i="9"/>
  <c r="K147" i="9"/>
  <c r="K495" i="9"/>
  <c r="K455" i="9"/>
  <c r="K502" i="9"/>
  <c r="K462" i="9"/>
  <c r="K414" i="9"/>
  <c r="K382" i="9"/>
  <c r="K366" i="9"/>
  <c r="K350" i="9"/>
  <c r="K342" i="9"/>
  <c r="K334" i="9"/>
  <c r="K318" i="9"/>
  <c r="K310" i="9"/>
  <c r="K294" i="9"/>
  <c r="K286" i="9"/>
  <c r="K278" i="9"/>
  <c r="K262" i="9"/>
  <c r="K254" i="9"/>
  <c r="K246" i="9"/>
  <c r="K200" i="9"/>
  <c r="K104" i="9"/>
  <c r="K64" i="9"/>
  <c r="M302" i="9"/>
  <c r="M392" i="9"/>
  <c r="M388" i="9"/>
  <c r="K3" i="9"/>
  <c r="K433" i="9"/>
  <c r="K353" i="9"/>
  <c r="K289" i="9"/>
  <c r="M219" i="9"/>
  <c r="K179" i="9"/>
  <c r="K487" i="9"/>
  <c r="K439" i="9"/>
  <c r="K494" i="9"/>
  <c r="K486" i="9"/>
  <c r="K438" i="9"/>
  <c r="K406" i="9"/>
  <c r="K374" i="9"/>
  <c r="K493" i="9"/>
  <c r="K469" i="9"/>
  <c r="K453" i="9"/>
  <c r="K429" i="9"/>
  <c r="K405" i="9"/>
  <c r="K397" i="9"/>
  <c r="K381" i="9"/>
  <c r="K373" i="9"/>
  <c r="K365" i="9"/>
  <c r="K349" i="9"/>
  <c r="K341" i="9"/>
  <c r="K333" i="9"/>
  <c r="K317" i="9"/>
  <c r="K309" i="9"/>
  <c r="K293" i="9"/>
  <c r="K285" i="9"/>
  <c r="K277" i="9"/>
  <c r="K261" i="9"/>
  <c r="K253" i="9"/>
  <c r="K245" i="9"/>
  <c r="K509" i="9"/>
  <c r="K183" i="9"/>
  <c r="K457" i="9"/>
  <c r="K393" i="9"/>
  <c r="K321" i="9"/>
  <c r="K249" i="9"/>
  <c r="M155" i="9"/>
  <c r="K503" i="9"/>
  <c r="K463" i="9"/>
  <c r="K423" i="9"/>
  <c r="K470" i="9"/>
  <c r="K454" i="9"/>
  <c r="K430" i="9"/>
  <c r="K398" i="9"/>
  <c r="K501" i="9"/>
  <c r="K485" i="9"/>
  <c r="K461" i="9"/>
  <c r="K437" i="9"/>
  <c r="K413" i="9"/>
  <c r="K500" i="9"/>
  <c r="K492" i="9"/>
  <c r="K484" i="9"/>
  <c r="K468" i="9"/>
  <c r="K460" i="9"/>
  <c r="K444" i="9"/>
  <c r="K436" i="9"/>
  <c r="K428" i="9"/>
  <c r="K412" i="9"/>
  <c r="K404" i="9"/>
  <c r="K396" i="9"/>
  <c r="K380" i="9"/>
  <c r="K372" i="9"/>
  <c r="K364" i="9"/>
  <c r="K348" i="9"/>
  <c r="K340" i="9"/>
  <c r="K324" i="9"/>
  <c r="K316" i="9"/>
  <c r="K308" i="9"/>
  <c r="K292" i="9"/>
  <c r="K284" i="9"/>
  <c r="K276" i="9"/>
  <c r="K260" i="9"/>
  <c r="K252" i="9"/>
  <c r="K244" i="9"/>
  <c r="K230" i="9"/>
  <c r="M214" i="9"/>
  <c r="K166" i="9"/>
  <c r="K150" i="9"/>
  <c r="M134" i="9"/>
  <c r="M126" i="9"/>
  <c r="K118" i="9"/>
  <c r="K110" i="9"/>
  <c r="M94" i="9"/>
  <c r="K70" i="9"/>
  <c r="K46" i="9"/>
  <c r="K14" i="9"/>
  <c r="K489" i="9"/>
  <c r="K409" i="9"/>
  <c r="K337" i="9"/>
  <c r="K273" i="9"/>
  <c r="M99" i="9"/>
  <c r="M43" i="9"/>
  <c r="K491" i="9"/>
  <c r="K467" i="9"/>
  <c r="K443" i="9"/>
  <c r="K427" i="9"/>
  <c r="K411" i="9"/>
  <c r="K395" i="9"/>
  <c r="K379" i="9"/>
  <c r="K371" i="9"/>
  <c r="K363" i="9"/>
  <c r="K347" i="9"/>
  <c r="K339" i="9"/>
  <c r="K323" i="9"/>
  <c r="K315" i="9"/>
  <c r="K307" i="9"/>
  <c r="K291" i="9"/>
  <c r="K283" i="9"/>
  <c r="K275" i="9"/>
  <c r="K259" i="9"/>
  <c r="K251" i="9"/>
  <c r="K243" i="9"/>
  <c r="K93" i="9"/>
  <c r="L397" i="17"/>
  <c r="Y397" i="17" s="1"/>
  <c r="AA397" i="17" s="1"/>
  <c r="X420" i="9"/>
  <c r="X418" i="9"/>
  <c r="X357" i="16"/>
  <c r="X447" i="16"/>
  <c r="X421" i="9"/>
  <c r="M511" i="9"/>
  <c r="X272" i="9"/>
  <c r="X505" i="16"/>
  <c r="AL21" i="23"/>
  <c r="L71" i="17"/>
  <c r="Y71" i="17" s="1"/>
  <c r="AA71" i="17" s="1"/>
  <c r="L297" i="17"/>
  <c r="Y297" i="17" s="1"/>
  <c r="AA297" i="17" s="1"/>
  <c r="L157" i="19"/>
  <c r="Y157" i="19" s="1"/>
  <c r="AA157" i="19" s="1"/>
  <c r="W238" i="19"/>
  <c r="X211" i="16"/>
  <c r="X121" i="16"/>
  <c r="X119" i="16"/>
  <c r="X450" i="16"/>
  <c r="X421" i="16"/>
  <c r="M390" i="16"/>
  <c r="M211" i="16"/>
  <c r="M186" i="16"/>
  <c r="X422" i="16"/>
  <c r="X391" i="16"/>
  <c r="X325" i="16"/>
  <c r="M507" i="16"/>
  <c r="X205" i="16"/>
  <c r="X118" i="16"/>
  <c r="X62" i="16"/>
  <c r="X27" i="16"/>
  <c r="K297" i="16"/>
  <c r="K156" i="16"/>
  <c r="K34" i="16"/>
  <c r="X511" i="16"/>
  <c r="X482" i="16"/>
  <c r="X476" i="16"/>
  <c r="X387" i="16"/>
  <c r="K308" i="16"/>
  <c r="X299" i="16"/>
  <c r="X180" i="16"/>
  <c r="X178" i="16"/>
  <c r="M149" i="16"/>
  <c r="M58" i="16"/>
  <c r="X385" i="16"/>
  <c r="M365" i="16"/>
  <c r="X361" i="16"/>
  <c r="X331" i="16"/>
  <c r="X212" i="16"/>
  <c r="K71" i="16"/>
  <c r="X58" i="16"/>
  <c r="M512" i="16"/>
  <c r="K317" i="16"/>
  <c r="K295" i="16"/>
  <c r="X512" i="16"/>
  <c r="M510" i="16"/>
  <c r="X481" i="16"/>
  <c r="X477" i="16"/>
  <c r="X295" i="16"/>
  <c r="X152" i="16"/>
  <c r="X61" i="16"/>
  <c r="X510" i="16"/>
  <c r="K470" i="16"/>
  <c r="M180" i="16"/>
  <c r="K333" i="16"/>
  <c r="X271" i="9"/>
  <c r="M387" i="9"/>
  <c r="X117" i="9"/>
  <c r="X27" i="9"/>
  <c r="K270" i="9"/>
  <c r="M512" i="9"/>
  <c r="X241" i="9"/>
  <c r="X298" i="9"/>
  <c r="X296" i="9"/>
  <c r="M390" i="9"/>
  <c r="M271" i="9"/>
  <c r="V308" i="16"/>
  <c r="M511" i="16"/>
  <c r="X506" i="16"/>
  <c r="X480" i="16"/>
  <c r="M391" i="16"/>
  <c r="X388" i="16"/>
  <c r="X332" i="16"/>
  <c r="K248" i="16"/>
  <c r="M235" i="16"/>
  <c r="X208" i="16"/>
  <c r="M206" i="16"/>
  <c r="M184" i="16"/>
  <c r="K154" i="16"/>
  <c r="K152" i="16"/>
  <c r="K143" i="16"/>
  <c r="X122" i="16"/>
  <c r="K96" i="16"/>
  <c r="K86" i="16"/>
  <c r="X85" i="16"/>
  <c r="X60" i="16"/>
  <c r="K10" i="16"/>
  <c r="E306" i="16"/>
  <c r="F306" i="16" s="1"/>
  <c r="V306" i="16"/>
  <c r="X91" i="16"/>
  <c r="E305" i="16"/>
  <c r="F305" i="16" s="1"/>
  <c r="V305" i="16"/>
  <c r="M421" i="16"/>
  <c r="M374" i="16"/>
  <c r="K272" i="16"/>
  <c r="K236" i="16"/>
  <c r="M148" i="16"/>
  <c r="E304" i="16"/>
  <c r="F304" i="16" s="1"/>
  <c r="V304" i="16"/>
  <c r="M505" i="16"/>
  <c r="X272" i="16"/>
  <c r="K217" i="16"/>
  <c r="K144" i="16"/>
  <c r="M116" i="16"/>
  <c r="K101" i="16"/>
  <c r="K95" i="16"/>
  <c r="X89" i="16"/>
  <c r="K76" i="16"/>
  <c r="M59" i="16"/>
  <c r="E303" i="16"/>
  <c r="F303" i="16" s="1"/>
  <c r="V303" i="16"/>
  <c r="M133" i="16"/>
  <c r="M62" i="16"/>
  <c r="K27" i="16"/>
  <c r="K16" i="16"/>
  <c r="E310" i="16"/>
  <c r="F310" i="16" s="1"/>
  <c r="V310" i="16"/>
  <c r="M208" i="16"/>
  <c r="M117" i="16"/>
  <c r="K90" i="16"/>
  <c r="M85" i="16"/>
  <c r="V307" i="16"/>
  <c r="E309" i="16"/>
  <c r="F309" i="16" s="1"/>
  <c r="V309" i="16"/>
  <c r="M506" i="16"/>
  <c r="M480" i="16"/>
  <c r="M388" i="16"/>
  <c r="K307" i="16"/>
  <c r="X297" i="16"/>
  <c r="K221" i="16"/>
  <c r="M152" i="16"/>
  <c r="X478" i="16"/>
  <c r="X451" i="16"/>
  <c r="X448" i="16"/>
  <c r="M363" i="16"/>
  <c r="X362" i="16"/>
  <c r="X355" i="16"/>
  <c r="K332" i="16"/>
  <c r="K331" i="16"/>
  <c r="K323" i="16"/>
  <c r="K302" i="16"/>
  <c r="M239" i="16"/>
  <c r="M215" i="16"/>
  <c r="M212" i="16"/>
  <c r="X177" i="16"/>
  <c r="M86" i="16"/>
  <c r="K64" i="16"/>
  <c r="M60" i="16"/>
  <c r="M30" i="16"/>
  <c r="K431" i="16"/>
  <c r="X356" i="16"/>
  <c r="X330" i="16"/>
  <c r="M243" i="16"/>
  <c r="X181" i="16"/>
  <c r="X176" i="16"/>
  <c r="K33" i="16"/>
  <c r="K30" i="16"/>
  <c r="K25" i="16"/>
  <c r="M14" i="16"/>
  <c r="X452" i="16"/>
  <c r="X449" i="16"/>
  <c r="M358" i="16"/>
  <c r="K349" i="16"/>
  <c r="K314" i="16"/>
  <c r="K281" i="16"/>
  <c r="X240" i="16"/>
  <c r="X239" i="16"/>
  <c r="X182" i="16"/>
  <c r="M169" i="16"/>
  <c r="X86" i="16"/>
  <c r="M65" i="16"/>
  <c r="K36" i="16"/>
  <c r="X26" i="16"/>
  <c r="K12" i="16"/>
  <c r="M481" i="16"/>
  <c r="M422" i="16"/>
  <c r="M394" i="16"/>
  <c r="M385" i="16"/>
  <c r="M379" i="16"/>
  <c r="M362" i="16"/>
  <c r="M359" i="16"/>
  <c r="K325" i="16"/>
  <c r="K296" i="16"/>
  <c r="M122" i="16"/>
  <c r="M66" i="16"/>
  <c r="M63" i="16"/>
  <c r="X508" i="16"/>
  <c r="M482" i="16"/>
  <c r="K427" i="16"/>
  <c r="M361" i="16"/>
  <c r="X359" i="16"/>
  <c r="X358" i="16"/>
  <c r="X296" i="16"/>
  <c r="K252" i="16"/>
  <c r="X206" i="16"/>
  <c r="M189" i="16"/>
  <c r="M178" i="16"/>
  <c r="M176" i="16"/>
  <c r="M175" i="16"/>
  <c r="M145" i="16"/>
  <c r="M57" i="16"/>
  <c r="K39" i="16"/>
  <c r="X28" i="16"/>
  <c r="M355" i="16"/>
  <c r="K330" i="16"/>
  <c r="M182" i="16"/>
  <c r="M179" i="16"/>
  <c r="K146" i="16"/>
  <c r="K145" i="16"/>
  <c r="M115" i="16"/>
  <c r="K91" i="16"/>
  <c r="K508" i="9"/>
  <c r="M270" i="9"/>
  <c r="K511" i="9"/>
  <c r="X270" i="9"/>
  <c r="X268" i="9"/>
  <c r="X356" i="9"/>
  <c r="X477" i="9"/>
  <c r="X236" i="9"/>
  <c r="M272" i="9"/>
  <c r="K10" i="9"/>
  <c r="K272" i="9"/>
  <c r="X269" i="9"/>
  <c r="X295" i="9"/>
  <c r="M391" i="9"/>
  <c r="X481" i="9"/>
  <c r="X479" i="9"/>
  <c r="X476" i="9"/>
  <c r="X178" i="9"/>
  <c r="X148" i="9"/>
  <c r="X88" i="9"/>
  <c r="M508" i="9"/>
  <c r="M507" i="9"/>
  <c r="K53" i="9"/>
  <c r="X146" i="9"/>
  <c r="X116" i="9"/>
  <c r="X361" i="9"/>
  <c r="K507" i="9"/>
  <c r="X205" i="9"/>
  <c r="K211" i="9"/>
  <c r="X328" i="9"/>
  <c r="X212" i="9"/>
  <c r="X122" i="9"/>
  <c r="M154" i="9"/>
  <c r="X181" i="9"/>
  <c r="X91" i="9"/>
  <c r="M300" i="9"/>
  <c r="K512" i="9"/>
  <c r="K225" i="9"/>
  <c r="M225" i="9"/>
  <c r="X210" i="9"/>
  <c r="X180" i="9"/>
  <c r="K115" i="9"/>
  <c r="X265" i="9"/>
  <c r="X149" i="9"/>
  <c r="X59" i="9"/>
  <c r="K83" i="9"/>
  <c r="X235" i="9"/>
  <c r="M301" i="9"/>
  <c r="X358" i="9"/>
  <c r="M386" i="9"/>
  <c r="K89" i="16"/>
  <c r="K60" i="16"/>
  <c r="K51" i="16"/>
  <c r="M509" i="16"/>
  <c r="M508" i="16"/>
  <c r="X507" i="16"/>
  <c r="M469" i="16"/>
  <c r="K430" i="16"/>
  <c r="M420" i="16"/>
  <c r="M395" i="16"/>
  <c r="X390" i="16"/>
  <c r="M387" i="16"/>
  <c r="M366" i="16"/>
  <c r="K348" i="16"/>
  <c r="K324" i="16"/>
  <c r="K315" i="16"/>
  <c r="K306" i="16"/>
  <c r="K303" i="16"/>
  <c r="X301" i="16"/>
  <c r="X271" i="16"/>
  <c r="M242" i="16"/>
  <c r="K240" i="16"/>
  <c r="K237" i="16"/>
  <c r="K216" i="16"/>
  <c r="M210" i="16"/>
  <c r="M183" i="16"/>
  <c r="M153" i="16"/>
  <c r="X117" i="16"/>
  <c r="X90" i="16"/>
  <c r="X419" i="9"/>
  <c r="X509" i="16"/>
  <c r="X446" i="16"/>
  <c r="M415" i="16"/>
  <c r="X389" i="16"/>
  <c r="M386" i="16"/>
  <c r="M375" i="16"/>
  <c r="X329" i="16"/>
  <c r="X302" i="16"/>
  <c r="X265" i="16"/>
  <c r="K242" i="16"/>
  <c r="X236" i="16"/>
  <c r="K235" i="16"/>
  <c r="X210" i="16"/>
  <c r="M181" i="16"/>
  <c r="X179" i="16"/>
  <c r="M177" i="16"/>
  <c r="X175" i="16"/>
  <c r="M151" i="16"/>
  <c r="X116" i="16"/>
  <c r="K93" i="16"/>
  <c r="K92" i="16"/>
  <c r="K70" i="16"/>
  <c r="K57" i="16"/>
  <c r="M433" i="16"/>
  <c r="X300" i="16"/>
  <c r="K151" i="16"/>
  <c r="M150" i="16"/>
  <c r="X416" i="9"/>
  <c r="M475" i="16"/>
  <c r="M417" i="16"/>
  <c r="M392" i="16"/>
  <c r="M369" i="16"/>
  <c r="K309" i="16"/>
  <c r="K298" i="16"/>
  <c r="X242" i="16"/>
  <c r="K226" i="16"/>
  <c r="M225" i="16"/>
  <c r="M159" i="16"/>
  <c r="K149" i="16"/>
  <c r="K148" i="16"/>
  <c r="M147" i="16"/>
  <c r="K94" i="16"/>
  <c r="K81" i="16"/>
  <c r="K67" i="16"/>
  <c r="K62" i="16"/>
  <c r="K61" i="16"/>
  <c r="M55" i="16"/>
  <c r="M49" i="16"/>
  <c r="X239" i="9"/>
  <c r="K271" i="9"/>
  <c r="X330" i="9"/>
  <c r="M478" i="16"/>
  <c r="M477" i="16"/>
  <c r="M476" i="16"/>
  <c r="X475" i="16"/>
  <c r="X416" i="16"/>
  <c r="X415" i="16"/>
  <c r="M393" i="16"/>
  <c r="X386" i="16"/>
  <c r="M364" i="16"/>
  <c r="K322" i="16"/>
  <c r="K299" i="16"/>
  <c r="X298" i="16"/>
  <c r="K291" i="16"/>
  <c r="K290" i="16"/>
  <c r="X266" i="16"/>
  <c r="X235" i="16"/>
  <c r="M185" i="16"/>
  <c r="X151" i="16"/>
  <c r="K147" i="16"/>
  <c r="M146" i="16"/>
  <c r="M135" i="16"/>
  <c r="K99" i="16"/>
  <c r="X92" i="16"/>
  <c r="X87" i="16"/>
  <c r="K59" i="16"/>
  <c r="K46" i="16"/>
  <c r="M479" i="16"/>
  <c r="M373" i="16"/>
  <c r="K346" i="16"/>
  <c r="K280" i="16"/>
  <c r="K228" i="16"/>
  <c r="X120" i="16"/>
  <c r="X360" i="9"/>
  <c r="X357" i="9"/>
  <c r="X422" i="9"/>
  <c r="X415" i="9"/>
  <c r="X482" i="9"/>
  <c r="X480" i="9"/>
  <c r="X479" i="16"/>
  <c r="X417" i="16"/>
  <c r="X392" i="16"/>
  <c r="M389" i="16"/>
  <c r="M61" i="16"/>
  <c r="K32" i="16"/>
  <c r="X57" i="16"/>
  <c r="M28" i="16"/>
  <c r="X25" i="16"/>
  <c r="X59" i="16"/>
  <c r="X55" i="16"/>
  <c r="X30" i="16"/>
  <c r="M25" i="16"/>
  <c r="X32" i="16"/>
  <c r="M205" i="9"/>
  <c r="K205" i="9"/>
  <c r="K173" i="9"/>
  <c r="M125" i="9"/>
  <c r="K125" i="9"/>
  <c r="M61" i="9"/>
  <c r="K61" i="9"/>
  <c r="M45" i="9"/>
  <c r="K45" i="9"/>
  <c r="M5" i="9"/>
  <c r="K5" i="9"/>
  <c r="K228" i="9"/>
  <c r="K220" i="9"/>
  <c r="M212" i="9"/>
  <c r="K212" i="9"/>
  <c r="K204" i="9"/>
  <c r="K196" i="9"/>
  <c r="K188" i="9"/>
  <c r="M180" i="9"/>
  <c r="K180" i="9"/>
  <c r="K172" i="9"/>
  <c r="M164" i="9"/>
  <c r="K164" i="9"/>
  <c r="M156" i="9"/>
  <c r="K156" i="9"/>
  <c r="M148" i="9"/>
  <c r="K148" i="9"/>
  <c r="K140" i="9"/>
  <c r="K124" i="9"/>
  <c r="M124" i="9"/>
  <c r="M116" i="9"/>
  <c r="K116" i="9"/>
  <c r="K108" i="9"/>
  <c r="K100" i="9"/>
  <c r="M92" i="9"/>
  <c r="K92" i="9"/>
  <c r="K84" i="9"/>
  <c r="K76" i="9"/>
  <c r="K68" i="9"/>
  <c r="M60" i="9"/>
  <c r="K60" i="9"/>
  <c r="K52" i="9"/>
  <c r="M44" i="9"/>
  <c r="K44" i="9"/>
  <c r="M36" i="9"/>
  <c r="K36" i="9"/>
  <c r="M28" i="9"/>
  <c r="K28" i="9"/>
  <c r="K20" i="9"/>
  <c r="K12" i="9"/>
  <c r="M4" i="9"/>
  <c r="K4" i="9"/>
  <c r="X211" i="9"/>
  <c r="X179" i="9"/>
  <c r="X147" i="9"/>
  <c r="X115" i="9"/>
  <c r="X89" i="9"/>
  <c r="X57" i="9"/>
  <c r="X25" i="9"/>
  <c r="K206" i="9"/>
  <c r="K174" i="9"/>
  <c r="K142" i="9"/>
  <c r="K78" i="9"/>
  <c r="M229" i="9"/>
  <c r="K229" i="9"/>
  <c r="M189" i="9"/>
  <c r="K189" i="9"/>
  <c r="M149" i="9"/>
  <c r="K149" i="9"/>
  <c r="M109" i="9"/>
  <c r="K109" i="9"/>
  <c r="M69" i="9"/>
  <c r="K69" i="9"/>
  <c r="M29" i="9"/>
  <c r="M179" i="9"/>
  <c r="M147" i="9"/>
  <c r="M115" i="9"/>
  <c r="M91" i="9"/>
  <c r="M27" i="9"/>
  <c r="K27" i="9"/>
  <c r="M19" i="9"/>
  <c r="K19" i="9"/>
  <c r="K11" i="9"/>
  <c r="K203" i="9"/>
  <c r="K171" i="9"/>
  <c r="K139" i="9"/>
  <c r="K107" i="9"/>
  <c r="K75" i="9"/>
  <c r="K43" i="9"/>
  <c r="M14" i="9"/>
  <c r="K214" i="9"/>
  <c r="K54" i="9"/>
  <c r="M165" i="9"/>
  <c r="K165" i="9"/>
  <c r="M13" i="9"/>
  <c r="K13" i="9"/>
  <c r="M510" i="9"/>
  <c r="M506" i="9"/>
  <c r="K234" i="9"/>
  <c r="K226" i="9"/>
  <c r="K218" i="9"/>
  <c r="M210" i="9"/>
  <c r="K210" i="9"/>
  <c r="K202" i="9"/>
  <c r="M194" i="9"/>
  <c r="K194" i="9"/>
  <c r="M186" i="9"/>
  <c r="K186" i="9"/>
  <c r="M178" i="9"/>
  <c r="K178" i="9"/>
  <c r="K170" i="9"/>
  <c r="K162" i="9"/>
  <c r="K146" i="9"/>
  <c r="K138" i="9"/>
  <c r="K130" i="9"/>
  <c r="M122" i="9"/>
  <c r="K122" i="9"/>
  <c r="K114" i="9"/>
  <c r="K106" i="9"/>
  <c r="K98" i="9"/>
  <c r="M90" i="9"/>
  <c r="K90" i="9"/>
  <c r="K82" i="9"/>
  <c r="K74" i="9"/>
  <c r="M74" i="9"/>
  <c r="M66" i="9"/>
  <c r="K66" i="9"/>
  <c r="M58" i="9"/>
  <c r="K58" i="9"/>
  <c r="K50" i="9"/>
  <c r="M34" i="9"/>
  <c r="K34" i="9"/>
  <c r="M26" i="9"/>
  <c r="K26" i="9"/>
  <c r="K18" i="9"/>
  <c r="X209" i="9"/>
  <c r="X177" i="9"/>
  <c r="X145" i="9"/>
  <c r="X121" i="9"/>
  <c r="X87" i="9"/>
  <c r="X55" i="9"/>
  <c r="X31" i="9"/>
  <c r="K198" i="9"/>
  <c r="K134" i="9"/>
  <c r="K102" i="9"/>
  <c r="K38" i="9"/>
  <c r="M211" i="9"/>
  <c r="M104" i="9"/>
  <c r="K30" i="9"/>
  <c r="M30" i="9"/>
  <c r="K221" i="9"/>
  <c r="K197" i="9"/>
  <c r="K157" i="9"/>
  <c r="M117" i="9"/>
  <c r="K117" i="9"/>
  <c r="M85" i="9"/>
  <c r="K85" i="9"/>
  <c r="K510" i="9"/>
  <c r="M509" i="9"/>
  <c r="K506" i="9"/>
  <c r="M505" i="9"/>
  <c r="K233" i="9"/>
  <c r="K217" i="9"/>
  <c r="M209" i="9"/>
  <c r="K209" i="9"/>
  <c r="K201" i="9"/>
  <c r="M193" i="9"/>
  <c r="K193" i="9"/>
  <c r="M185" i="9"/>
  <c r="K185" i="9"/>
  <c r="M177" i="9"/>
  <c r="K177" i="9"/>
  <c r="M169" i="9"/>
  <c r="K169" i="9"/>
  <c r="K161" i="9"/>
  <c r="K153" i="9"/>
  <c r="M153" i="9"/>
  <c r="K145" i="9"/>
  <c r="M145" i="9"/>
  <c r="K137" i="9"/>
  <c r="M129" i="9"/>
  <c r="K129" i="9"/>
  <c r="K121" i="9"/>
  <c r="K113" i="9"/>
  <c r="M105" i="9"/>
  <c r="K105" i="9"/>
  <c r="K97" i="9"/>
  <c r="M89" i="9"/>
  <c r="K89" i="9"/>
  <c r="K81" i="9"/>
  <c r="M73" i="9"/>
  <c r="K73" i="9"/>
  <c r="M65" i="9"/>
  <c r="K65" i="9"/>
  <c r="M57" i="9"/>
  <c r="K57" i="9"/>
  <c r="M49" i="9"/>
  <c r="K49" i="9"/>
  <c r="K41" i="9"/>
  <c r="M33" i="9"/>
  <c r="K33" i="9"/>
  <c r="K25" i="9"/>
  <c r="K17" i="9"/>
  <c r="M9" i="9"/>
  <c r="K9" i="9"/>
  <c r="X208" i="9"/>
  <c r="X176" i="9"/>
  <c r="X152" i="9"/>
  <c r="X120" i="9"/>
  <c r="X86" i="9"/>
  <c r="X62" i="9"/>
  <c r="X30" i="9"/>
  <c r="K227" i="9"/>
  <c r="K195" i="9"/>
  <c r="K163" i="9"/>
  <c r="K131" i="9"/>
  <c r="K99" i="9"/>
  <c r="K67" i="9"/>
  <c r="K35" i="9"/>
  <c r="M93" i="9"/>
  <c r="M206" i="9"/>
  <c r="M182" i="9"/>
  <c r="M150" i="9"/>
  <c r="M118" i="9"/>
  <c r="M86" i="9"/>
  <c r="M62" i="9"/>
  <c r="K6" i="9"/>
  <c r="M6" i="9"/>
  <c r="K182" i="9"/>
  <c r="K86" i="9"/>
  <c r="M213" i="9"/>
  <c r="K213" i="9"/>
  <c r="M181" i="9"/>
  <c r="K181" i="9"/>
  <c r="K141" i="9"/>
  <c r="K101" i="9"/>
  <c r="K77" i="9"/>
  <c r="K37" i="9"/>
  <c r="K232" i="9"/>
  <c r="K224" i="9"/>
  <c r="M224" i="9"/>
  <c r="M216" i="9"/>
  <c r="K216" i="9"/>
  <c r="M208" i="9"/>
  <c r="K208" i="9"/>
  <c r="K192" i="9"/>
  <c r="M184" i="9"/>
  <c r="K184" i="9"/>
  <c r="K176" i="9"/>
  <c r="M176" i="9"/>
  <c r="K168" i="9"/>
  <c r="K160" i="9"/>
  <c r="M152" i="9"/>
  <c r="K152" i="9"/>
  <c r="K144" i="9"/>
  <c r="K136" i="9"/>
  <c r="K128" i="9"/>
  <c r="M120" i="9"/>
  <c r="K120" i="9"/>
  <c r="K112" i="9"/>
  <c r="M96" i="9"/>
  <c r="K96" i="9"/>
  <c r="M88" i="9"/>
  <c r="K88" i="9"/>
  <c r="K80" i="9"/>
  <c r="K72" i="9"/>
  <c r="M56" i="9"/>
  <c r="K56" i="9"/>
  <c r="K48" i="9"/>
  <c r="K40" i="9"/>
  <c r="M32" i="9"/>
  <c r="K32" i="9"/>
  <c r="K24" i="9"/>
  <c r="K16" i="9"/>
  <c r="K8" i="9"/>
  <c r="X207" i="9"/>
  <c r="X175" i="9"/>
  <c r="X151" i="9"/>
  <c r="X119" i="9"/>
  <c r="K222" i="9"/>
  <c r="K190" i="9"/>
  <c r="K158" i="9"/>
  <c r="K126" i="9"/>
  <c r="K94" i="9"/>
  <c r="K62" i="9"/>
  <c r="K29" i="9"/>
  <c r="M183" i="9"/>
  <c r="K22" i="9"/>
  <c r="M133" i="9"/>
  <c r="K133" i="9"/>
  <c r="K231" i="9"/>
  <c r="M223" i="9"/>
  <c r="K223" i="9"/>
  <c r="M215" i="9"/>
  <c r="K215" i="9"/>
  <c r="M207" i="9"/>
  <c r="K207" i="9"/>
  <c r="M199" i="9"/>
  <c r="K199" i="9"/>
  <c r="K191" i="9"/>
  <c r="K175" i="9"/>
  <c r="K167" i="9"/>
  <c r="M159" i="9"/>
  <c r="K159" i="9"/>
  <c r="K151" i="9"/>
  <c r="M151" i="9"/>
  <c r="K143" i="9"/>
  <c r="K135" i="9"/>
  <c r="M135" i="9"/>
  <c r="K127" i="9"/>
  <c r="M119" i="9"/>
  <c r="K119" i="9"/>
  <c r="K111" i="9"/>
  <c r="M103" i="9"/>
  <c r="K103" i="9"/>
  <c r="M95" i="9"/>
  <c r="K95" i="9"/>
  <c r="M87" i="9"/>
  <c r="K87" i="9"/>
  <c r="M79" i="9"/>
  <c r="K79" i="9"/>
  <c r="K71" i="9"/>
  <c r="K63" i="9"/>
  <c r="M63" i="9"/>
  <c r="M55" i="9"/>
  <c r="K55" i="9"/>
  <c r="K47" i="9"/>
  <c r="M39" i="9"/>
  <c r="K39" i="9"/>
  <c r="K31" i="9"/>
  <c r="M31" i="9"/>
  <c r="K23" i="9"/>
  <c r="K15" i="9"/>
  <c r="M15" i="9"/>
  <c r="K7" i="9"/>
  <c r="X206" i="9"/>
  <c r="X182" i="9"/>
  <c r="X150" i="9"/>
  <c r="X118" i="9"/>
  <c r="X92" i="9"/>
  <c r="X60" i="9"/>
  <c r="X28" i="9"/>
  <c r="K219" i="9"/>
  <c r="K187" i="9"/>
  <c r="K155" i="9"/>
  <c r="K123" i="9"/>
  <c r="K91" i="9"/>
  <c r="K59" i="9"/>
  <c r="K21" i="9"/>
  <c r="M175" i="9"/>
  <c r="M64" i="9"/>
  <c r="K268" i="9"/>
  <c r="M268" i="9"/>
  <c r="K297" i="9"/>
  <c r="M297" i="9"/>
  <c r="M356" i="9"/>
  <c r="X85" i="9"/>
  <c r="X61" i="9"/>
  <c r="X29" i="9"/>
  <c r="K295" i="9"/>
  <c r="M295" i="9"/>
  <c r="M389" i="9"/>
  <c r="X90" i="9"/>
  <c r="X58" i="9"/>
  <c r="X26" i="9"/>
  <c r="K269" i="9"/>
  <c r="M269" i="9"/>
  <c r="K267" i="9"/>
  <c r="M267" i="9"/>
  <c r="K298" i="9"/>
  <c r="M298" i="9"/>
  <c r="M355" i="9"/>
  <c r="X238" i="9"/>
  <c r="K296" i="9"/>
  <c r="M296" i="9"/>
  <c r="X56" i="9"/>
  <c r="X32" i="9"/>
  <c r="M385" i="9"/>
  <c r="X240" i="9"/>
  <c r="X359" i="9"/>
  <c r="X448" i="9"/>
  <c r="M266" i="9"/>
  <c r="M265" i="9"/>
  <c r="X478" i="9"/>
  <c r="X242" i="9"/>
  <c r="X237" i="9"/>
  <c r="K266" i="9"/>
  <c r="K265" i="9"/>
  <c r="K302" i="9"/>
  <c r="K301" i="9"/>
  <c r="K300" i="9"/>
  <c r="K299" i="9"/>
  <c r="X266" i="9"/>
  <c r="X302" i="9"/>
  <c r="X301" i="9"/>
  <c r="X300" i="9"/>
  <c r="X299" i="9"/>
  <c r="X362" i="9"/>
  <c r="X417" i="9"/>
  <c r="X446" i="9"/>
  <c r="X267" i="9"/>
  <c r="X297" i="9"/>
  <c r="M358" i="9"/>
  <c r="M357" i="9"/>
  <c r="X355" i="9"/>
  <c r="X475" i="9"/>
  <c r="X447" i="9"/>
  <c r="X327" i="9"/>
  <c r="X450" i="9"/>
  <c r="X449" i="9"/>
  <c r="X267" i="16"/>
  <c r="X269" i="16"/>
  <c r="X326" i="9"/>
  <c r="X325" i="9"/>
  <c r="X392" i="9"/>
  <c r="X391" i="9"/>
  <c r="X390" i="9"/>
  <c r="X389" i="9"/>
  <c r="X388" i="9"/>
  <c r="X387" i="9"/>
  <c r="X386" i="9"/>
  <c r="X385" i="9"/>
  <c r="X445" i="9"/>
  <c r="X332" i="9"/>
  <c r="X452" i="9"/>
  <c r="X331" i="9"/>
  <c r="X451" i="9"/>
  <c r="X329" i="9"/>
  <c r="X207" i="16"/>
  <c r="X270" i="16"/>
  <c r="W311" i="19"/>
  <c r="W479" i="19"/>
  <c r="W175" i="19"/>
  <c r="L448" i="19"/>
  <c r="Y448" i="19" s="1"/>
  <c r="W448" i="19"/>
  <c r="W101" i="19"/>
  <c r="L118" i="19"/>
  <c r="Y118" i="19" s="1"/>
  <c r="W118" i="19"/>
  <c r="W209" i="19"/>
  <c r="W359" i="19"/>
  <c r="W355" i="19"/>
  <c r="W478" i="19"/>
  <c r="L478" i="19"/>
  <c r="Y478" i="19" s="1"/>
  <c r="W267" i="19"/>
  <c r="W295" i="19"/>
  <c r="W277" i="19"/>
  <c r="W328" i="19"/>
  <c r="L511" i="19"/>
  <c r="Y511" i="19" s="1"/>
  <c r="W120" i="19"/>
  <c r="W206" i="19"/>
  <c r="W506" i="19"/>
  <c r="L356" i="19"/>
  <c r="Y356" i="19" s="1"/>
  <c r="L397" i="19"/>
  <c r="Y397" i="19" s="1"/>
  <c r="W397" i="19"/>
  <c r="W179" i="19"/>
  <c r="W187" i="19"/>
  <c r="L187" i="19"/>
  <c r="Y187" i="19" s="1"/>
  <c r="L177" i="19"/>
  <c r="Y177" i="19" s="1"/>
  <c r="L450" i="19"/>
  <c r="Y450" i="19" s="1"/>
  <c r="W450" i="19"/>
  <c r="L311" i="17"/>
  <c r="Y311" i="17" s="1"/>
  <c r="W331" i="17"/>
  <c r="W31" i="17"/>
  <c r="L178" i="17"/>
  <c r="Y178" i="17" s="1"/>
  <c r="W178" i="17"/>
  <c r="W120" i="17"/>
  <c r="W367" i="17"/>
  <c r="W427" i="17"/>
  <c r="K462" i="16"/>
  <c r="K461" i="16"/>
  <c r="K456" i="16"/>
  <c r="M456" i="16"/>
  <c r="K452" i="16"/>
  <c r="M452" i="16"/>
  <c r="K448" i="16"/>
  <c r="M448" i="16"/>
  <c r="K445" i="16"/>
  <c r="M445" i="16"/>
  <c r="X445" i="16"/>
  <c r="K437" i="16"/>
  <c r="K440" i="16"/>
  <c r="K411" i="16"/>
  <c r="K471" i="16"/>
  <c r="K460" i="16"/>
  <c r="K442" i="16"/>
  <c r="K428" i="16"/>
  <c r="K360" i="16"/>
  <c r="M360" i="16"/>
  <c r="X360" i="16"/>
  <c r="K512" i="16"/>
  <c r="K511" i="16"/>
  <c r="K510" i="16"/>
  <c r="K509" i="16"/>
  <c r="K508" i="16"/>
  <c r="K507" i="16"/>
  <c r="K506" i="16"/>
  <c r="K505" i="16"/>
  <c r="K504" i="16"/>
  <c r="K503" i="16"/>
  <c r="K502" i="16"/>
  <c r="K501" i="16"/>
  <c r="K500" i="16"/>
  <c r="K499" i="16"/>
  <c r="K498" i="16"/>
  <c r="K497" i="16"/>
  <c r="K496" i="16"/>
  <c r="K495" i="16"/>
  <c r="K494" i="16"/>
  <c r="K493" i="16"/>
  <c r="K492" i="16"/>
  <c r="K491" i="16"/>
  <c r="K490" i="16"/>
  <c r="K489" i="16"/>
  <c r="K488" i="16"/>
  <c r="K487" i="16"/>
  <c r="K486" i="16"/>
  <c r="K485" i="16"/>
  <c r="K484" i="16"/>
  <c r="K483" i="16"/>
  <c r="K482" i="16"/>
  <c r="K481" i="16"/>
  <c r="K480" i="16"/>
  <c r="K479" i="16"/>
  <c r="K478" i="16"/>
  <c r="K477" i="16"/>
  <c r="K476" i="16"/>
  <c r="K475" i="16"/>
  <c r="K474" i="16"/>
  <c r="K473" i="16"/>
  <c r="K472" i="16"/>
  <c r="M463" i="16"/>
  <c r="K459" i="16"/>
  <c r="K457" i="16"/>
  <c r="K453" i="16"/>
  <c r="M453" i="16"/>
  <c r="K449" i="16"/>
  <c r="M449" i="16"/>
  <c r="K439" i="16"/>
  <c r="M439" i="16"/>
  <c r="K468" i="16"/>
  <c r="K466" i="16"/>
  <c r="K458" i="16"/>
  <c r="K444" i="16"/>
  <c r="K436" i="16"/>
  <c r="K465" i="16"/>
  <c r="K454" i="16"/>
  <c r="M454" i="16"/>
  <c r="K450" i="16"/>
  <c r="M450" i="16"/>
  <c r="K446" i="16"/>
  <c r="M446" i="16"/>
  <c r="K441" i="16"/>
  <c r="K419" i="16"/>
  <c r="M419" i="16"/>
  <c r="X419" i="16"/>
  <c r="K464" i="16"/>
  <c r="K438" i="16"/>
  <c r="K467" i="16"/>
  <c r="K463" i="16"/>
  <c r="K455" i="16"/>
  <c r="M455" i="16"/>
  <c r="K451" i="16"/>
  <c r="M451" i="16"/>
  <c r="K447" i="16"/>
  <c r="M447" i="16"/>
  <c r="K443" i="16"/>
  <c r="K403" i="16"/>
  <c r="M403" i="16"/>
  <c r="M335" i="16"/>
  <c r="K335" i="16"/>
  <c r="M435" i="16"/>
  <c r="K429" i="16"/>
  <c r="K422" i="16"/>
  <c r="X420" i="16"/>
  <c r="K414" i="16"/>
  <c r="K406" i="16"/>
  <c r="K424" i="16"/>
  <c r="K416" i="16"/>
  <c r="K408" i="16"/>
  <c r="K400" i="16"/>
  <c r="K356" i="16"/>
  <c r="M356" i="16"/>
  <c r="K421" i="16"/>
  <c r="K413" i="16"/>
  <c r="K405" i="16"/>
  <c r="K352" i="16"/>
  <c r="K418" i="16"/>
  <c r="K410" i="16"/>
  <c r="K402" i="16"/>
  <c r="M434" i="16"/>
  <c r="M426" i="16"/>
  <c r="M424" i="16"/>
  <c r="K423" i="16"/>
  <c r="M416" i="16"/>
  <c r="K415" i="16"/>
  <c r="K407" i="16"/>
  <c r="K399" i="16"/>
  <c r="K398" i="16"/>
  <c r="K397" i="16"/>
  <c r="K396" i="16"/>
  <c r="K312" i="16"/>
  <c r="M429" i="16"/>
  <c r="K420" i="16"/>
  <c r="X418" i="16"/>
  <c r="K412" i="16"/>
  <c r="K404" i="16"/>
  <c r="K434" i="16"/>
  <c r="K426" i="16"/>
  <c r="K425" i="16"/>
  <c r="M418" i="16"/>
  <c r="K417" i="16"/>
  <c r="K409" i="16"/>
  <c r="K401" i="16"/>
  <c r="K339" i="16"/>
  <c r="M334" i="16"/>
  <c r="M328" i="16"/>
  <c r="K328" i="16"/>
  <c r="X328" i="16"/>
  <c r="X326" i="16"/>
  <c r="M319" i="16"/>
  <c r="K319" i="16"/>
  <c r="K311" i="16"/>
  <c r="K260" i="16"/>
  <c r="K343" i="16"/>
  <c r="K350" i="16"/>
  <c r="M345" i="16"/>
  <c r="K345" i="16"/>
  <c r="M329" i="16"/>
  <c r="K329" i="16"/>
  <c r="M326" i="16"/>
  <c r="K326" i="16"/>
  <c r="K321" i="16"/>
  <c r="M357" i="16"/>
  <c r="M344" i="16"/>
  <c r="K344" i="16"/>
  <c r="K342" i="16"/>
  <c r="M339" i="16"/>
  <c r="M276" i="16"/>
  <c r="K276" i="16"/>
  <c r="K337" i="16"/>
  <c r="M330" i="16"/>
  <c r="M304" i="16"/>
  <c r="K304" i="16"/>
  <c r="M300" i="16"/>
  <c r="K300" i="16"/>
  <c r="M343" i="16"/>
  <c r="M336" i="16"/>
  <c r="K336" i="16"/>
  <c r="M327" i="16"/>
  <c r="X327" i="16"/>
  <c r="K327" i="16"/>
  <c r="K320" i="16"/>
  <c r="M268" i="16"/>
  <c r="K268" i="16"/>
  <c r="X268" i="16"/>
  <c r="K257" i="16"/>
  <c r="K313" i="16"/>
  <c r="K305" i="16"/>
  <c r="K301" i="16"/>
  <c r="M284" i="16"/>
  <c r="M279" i="16"/>
  <c r="M271" i="16"/>
  <c r="K233" i="16"/>
  <c r="K209" i="16"/>
  <c r="M209" i="16"/>
  <c r="X209" i="16"/>
  <c r="K275" i="16"/>
  <c r="M273" i="16"/>
  <c r="K267" i="16"/>
  <c r="M265" i="16"/>
  <c r="K259" i="16"/>
  <c r="K256" i="16"/>
  <c r="K286" i="16"/>
  <c r="M285" i="16"/>
  <c r="M270" i="16"/>
  <c r="K255" i="16"/>
  <c r="M255" i="16"/>
  <c r="K254" i="16"/>
  <c r="M254" i="16"/>
  <c r="K253" i="16"/>
  <c r="M253" i="16"/>
  <c r="K241" i="16"/>
  <c r="M241" i="16"/>
  <c r="X241" i="16"/>
  <c r="K277" i="16"/>
  <c r="M275" i="16"/>
  <c r="K269" i="16"/>
  <c r="M267" i="16"/>
  <c r="K261" i="16"/>
  <c r="M259" i="16"/>
  <c r="K284" i="16"/>
  <c r="M283" i="16"/>
  <c r="M272" i="16"/>
  <c r="M269" i="16"/>
  <c r="K318" i="16"/>
  <c r="K310" i="16"/>
  <c r="M299" i="16"/>
  <c r="M298" i="16"/>
  <c r="M297" i="16"/>
  <c r="M296" i="16"/>
  <c r="M295" i="16"/>
  <c r="M289" i="16"/>
  <c r="K282" i="16"/>
  <c r="M274" i="16"/>
  <c r="M266" i="16"/>
  <c r="M246" i="16"/>
  <c r="K239" i="16"/>
  <c r="K229" i="16"/>
  <c r="K214" i="16"/>
  <c r="K250" i="16"/>
  <c r="K246" i="16"/>
  <c r="M244" i="16"/>
  <c r="K230" i="16"/>
  <c r="M229" i="16"/>
  <c r="X238" i="16"/>
  <c r="M238" i="16"/>
  <c r="M236" i="16"/>
  <c r="K231" i="16"/>
  <c r="M249" i="16"/>
  <c r="K245" i="16"/>
  <c r="K232" i="16"/>
  <c r="X237" i="16"/>
  <c r="K102" i="16"/>
  <c r="K213" i="16"/>
  <c r="M213" i="16"/>
  <c r="K211" i="16"/>
  <c r="K203" i="16"/>
  <c r="K224" i="16"/>
  <c r="K222" i="16"/>
  <c r="K220" i="16"/>
  <c r="K218" i="16"/>
  <c r="M223" i="16"/>
  <c r="M219" i="16"/>
  <c r="K199" i="16"/>
  <c r="M199" i="16"/>
  <c r="K207" i="16"/>
  <c r="M207" i="16"/>
  <c r="K210" i="16"/>
  <c r="K212" i="16"/>
  <c r="M205" i="16"/>
  <c r="K204" i="16"/>
  <c r="K196" i="16"/>
  <c r="K160" i="16"/>
  <c r="K201" i="16"/>
  <c r="K193" i="16"/>
  <c r="K168" i="16"/>
  <c r="K164" i="16"/>
  <c r="M164" i="16"/>
  <c r="K206" i="16"/>
  <c r="K198" i="16"/>
  <c r="K163" i="16"/>
  <c r="K195" i="16"/>
  <c r="K155" i="16"/>
  <c r="M155" i="16"/>
  <c r="K126" i="16"/>
  <c r="M126" i="16"/>
  <c r="K208" i="16"/>
  <c r="K200" i="16"/>
  <c r="M193" i="16"/>
  <c r="K205" i="16"/>
  <c r="K197" i="16"/>
  <c r="K167" i="16"/>
  <c r="K202" i="16"/>
  <c r="M195" i="16"/>
  <c r="K194" i="16"/>
  <c r="K166" i="16"/>
  <c r="K162" i="16"/>
  <c r="X149" i="16"/>
  <c r="K134" i="16"/>
  <c r="M134" i="16"/>
  <c r="M165" i="16"/>
  <c r="K158" i="16"/>
  <c r="X150" i="16"/>
  <c r="K118" i="16"/>
  <c r="M118" i="16"/>
  <c r="K110" i="16"/>
  <c r="K165" i="16"/>
  <c r="K161" i="16"/>
  <c r="K157" i="16"/>
  <c r="K139" i="16"/>
  <c r="M139" i="16"/>
  <c r="K131" i="16"/>
  <c r="M129" i="16"/>
  <c r="K125" i="16"/>
  <c r="M121" i="16"/>
  <c r="K117" i="16"/>
  <c r="K109" i="16"/>
  <c r="X148" i="16"/>
  <c r="X147" i="16"/>
  <c r="X146" i="16"/>
  <c r="X145" i="16"/>
  <c r="K142" i="16"/>
  <c r="K124" i="16"/>
  <c r="M120" i="16"/>
  <c r="K116" i="16"/>
  <c r="K108" i="16"/>
  <c r="M104" i="16"/>
  <c r="K80" i="16"/>
  <c r="M79" i="16"/>
  <c r="K123" i="16"/>
  <c r="M119" i="16"/>
  <c r="K115" i="16"/>
  <c r="K107" i="16"/>
  <c r="M103" i="16"/>
  <c r="M75" i="16"/>
  <c r="K75" i="16"/>
  <c r="K122" i="16"/>
  <c r="K114" i="16"/>
  <c r="K106" i="16"/>
  <c r="K129" i="16"/>
  <c r="K121" i="16"/>
  <c r="K113" i="16"/>
  <c r="M109" i="16"/>
  <c r="K105" i="16"/>
  <c r="X88" i="16"/>
  <c r="K128" i="16"/>
  <c r="K120" i="16"/>
  <c r="X115" i="16"/>
  <c r="K112" i="16"/>
  <c r="K104" i="16"/>
  <c r="K100" i="16"/>
  <c r="M88" i="16"/>
  <c r="K88" i="16"/>
  <c r="K127" i="16"/>
  <c r="K119" i="16"/>
  <c r="K111" i="16"/>
  <c r="K103" i="16"/>
  <c r="K97" i="16"/>
  <c r="K84" i="16"/>
  <c r="K83" i="16"/>
  <c r="K85" i="16"/>
  <c r="M74" i="16"/>
  <c r="M87" i="16"/>
  <c r="K78" i="16"/>
  <c r="K82" i="16"/>
  <c r="X56" i="16"/>
  <c r="K37" i="16"/>
  <c r="K29" i="16"/>
  <c r="M29" i="16"/>
  <c r="K56" i="16"/>
  <c r="M56" i="16"/>
  <c r="M73" i="16"/>
  <c r="K53" i="16"/>
  <c r="K42" i="16"/>
  <c r="M43" i="16"/>
  <c r="K43" i="16"/>
  <c r="K5" i="16"/>
  <c r="M5" i="16"/>
  <c r="K55" i="16"/>
  <c r="K47" i="16"/>
  <c r="K6" i="16"/>
  <c r="M6" i="16"/>
  <c r="M69" i="16"/>
  <c r="K48" i="16"/>
  <c r="M44" i="16"/>
  <c r="K38" i="16"/>
  <c r="X31" i="16"/>
  <c r="M45" i="16"/>
  <c r="K31" i="16"/>
  <c r="M31" i="16"/>
  <c r="K40" i="16"/>
  <c r="K21" i="16"/>
  <c r="K18" i="16"/>
  <c r="K13" i="16"/>
  <c r="M13" i="16"/>
  <c r="K26" i="16"/>
  <c r="M26" i="16"/>
  <c r="K35" i="16"/>
  <c r="X29" i="16"/>
  <c r="K11" i="16"/>
  <c r="K28" i="16"/>
  <c r="K20" i="16"/>
  <c r="K23" i="16"/>
  <c r="K15" i="16"/>
  <c r="M32" i="16"/>
  <c r="M27" i="16"/>
  <c r="M19" i="16"/>
  <c r="K9" i="16"/>
  <c r="K8" i="16"/>
  <c r="K7" i="16"/>
  <c r="K4" i="16"/>
  <c r="M482" i="9"/>
  <c r="M481" i="9"/>
  <c r="M480" i="9"/>
  <c r="M479" i="9"/>
  <c r="M478" i="9"/>
  <c r="M477" i="9"/>
  <c r="M476" i="9"/>
  <c r="M475" i="9"/>
  <c r="K482" i="9"/>
  <c r="K481" i="9"/>
  <c r="K480" i="9"/>
  <c r="K479" i="9"/>
  <c r="K478" i="9"/>
  <c r="K477" i="9"/>
  <c r="K476" i="9"/>
  <c r="K475" i="9"/>
  <c r="M452" i="9"/>
  <c r="M451" i="9"/>
  <c r="M450" i="9"/>
  <c r="M449" i="9"/>
  <c r="M448" i="9"/>
  <c r="M447" i="9"/>
  <c r="M446" i="9"/>
  <c r="M445" i="9"/>
  <c r="K452" i="9"/>
  <c r="K451" i="9"/>
  <c r="K450" i="9"/>
  <c r="K449" i="9"/>
  <c r="K448" i="9"/>
  <c r="K447" i="9"/>
  <c r="K446" i="9"/>
  <c r="K445" i="9"/>
  <c r="M422" i="9"/>
  <c r="M421" i="9"/>
  <c r="M420" i="9"/>
  <c r="M419" i="9"/>
  <c r="M418" i="9"/>
  <c r="M417" i="9"/>
  <c r="M416" i="9"/>
  <c r="M415" i="9"/>
  <c r="K422" i="9"/>
  <c r="K421" i="9"/>
  <c r="K420" i="9"/>
  <c r="K419" i="9"/>
  <c r="K418" i="9"/>
  <c r="K417" i="9"/>
  <c r="K416" i="9"/>
  <c r="K415" i="9"/>
  <c r="K392" i="9"/>
  <c r="K391" i="9"/>
  <c r="K390" i="9"/>
  <c r="K389" i="9"/>
  <c r="K388" i="9"/>
  <c r="K387" i="9"/>
  <c r="K386" i="9"/>
  <c r="K385" i="9"/>
  <c r="M362" i="9"/>
  <c r="M361" i="9"/>
  <c r="M360" i="9"/>
  <c r="M359" i="9"/>
  <c r="K362" i="9"/>
  <c r="K361" i="9"/>
  <c r="K360" i="9"/>
  <c r="K359" i="9"/>
  <c r="K358" i="9"/>
  <c r="K357" i="9"/>
  <c r="K356" i="9"/>
  <c r="K355" i="9"/>
  <c r="M332" i="9"/>
  <c r="M331" i="9"/>
  <c r="M330" i="9"/>
  <c r="M329" i="9"/>
  <c r="M328" i="9"/>
  <c r="M327" i="9"/>
  <c r="M326" i="9"/>
  <c r="M325" i="9"/>
  <c r="K332" i="9"/>
  <c r="K331" i="9"/>
  <c r="K330" i="9"/>
  <c r="K329" i="9"/>
  <c r="K328" i="9"/>
  <c r="K327" i="9"/>
  <c r="K326" i="9"/>
  <c r="K325" i="9"/>
  <c r="M242" i="9"/>
  <c r="M241" i="9"/>
  <c r="M240" i="9"/>
  <c r="M239" i="9"/>
  <c r="M238" i="9"/>
  <c r="M237" i="9"/>
  <c r="M236" i="9"/>
  <c r="M235" i="9"/>
  <c r="K242" i="9"/>
  <c r="K241" i="9"/>
  <c r="K240" i="9"/>
  <c r="K239" i="9"/>
  <c r="K238" i="9"/>
  <c r="K237" i="9"/>
  <c r="K236" i="9"/>
  <c r="K235" i="9"/>
  <c r="AB508" i="25" l="1"/>
  <c r="AB506" i="25"/>
  <c r="W61" i="17"/>
  <c r="L55" i="17"/>
  <c r="Y55" i="17" s="1"/>
  <c r="L427" i="17"/>
  <c r="Y427" i="17" s="1"/>
  <c r="L445" i="17"/>
  <c r="Y445" i="17" s="1"/>
  <c r="AA445" i="17" s="1"/>
  <c r="L300" i="17"/>
  <c r="Y300" i="17" s="1"/>
  <c r="L27" i="17"/>
  <c r="Y27" i="17" s="1"/>
  <c r="AA27" i="17" s="1"/>
  <c r="L371" i="19"/>
  <c r="Y371" i="19" s="1"/>
  <c r="AA371" i="19" s="1"/>
  <c r="L295" i="19"/>
  <c r="Y295" i="19" s="1"/>
  <c r="W371" i="19"/>
  <c r="L178" i="19"/>
  <c r="Y178" i="19" s="1"/>
  <c r="W385" i="19"/>
  <c r="AA486" i="25"/>
  <c r="AB484" i="25"/>
  <c r="L206" i="19"/>
  <c r="Y206" i="19" s="1"/>
  <c r="L267" i="19"/>
  <c r="Y267" i="19" s="1"/>
  <c r="AA267" i="19" s="1"/>
  <c r="L30" i="19"/>
  <c r="Y30" i="19" s="1"/>
  <c r="AA30" i="19" s="1"/>
  <c r="L328" i="19"/>
  <c r="Y328" i="19" s="1"/>
  <c r="L427" i="19"/>
  <c r="Y427" i="19" s="1"/>
  <c r="AA427" i="19" s="1"/>
  <c r="L209" i="19"/>
  <c r="Y209" i="19" s="1"/>
  <c r="L240" i="19"/>
  <c r="Y240" i="19" s="1"/>
  <c r="L116" i="19"/>
  <c r="Y116" i="19" s="1"/>
  <c r="AA116" i="19" s="1"/>
  <c r="L355" i="19"/>
  <c r="Y355" i="19" s="1"/>
  <c r="L120" i="17"/>
  <c r="Y120" i="17" s="1"/>
  <c r="AA120" i="17" s="1"/>
  <c r="L60" i="19"/>
  <c r="Y60" i="19" s="1"/>
  <c r="AA60" i="19" s="1"/>
  <c r="L181" i="19"/>
  <c r="Y181" i="19" s="1"/>
  <c r="L418" i="17"/>
  <c r="Y418" i="17" s="1"/>
  <c r="L491" i="19"/>
  <c r="Y491" i="19" s="1"/>
  <c r="L390" i="19"/>
  <c r="Y390" i="19" s="1"/>
  <c r="AA390" i="19" s="1"/>
  <c r="L415" i="17"/>
  <c r="Y415" i="17" s="1"/>
  <c r="W181" i="19"/>
  <c r="L92" i="17"/>
  <c r="Y92" i="17" s="1"/>
  <c r="AA92" i="17" s="1"/>
  <c r="L175" i="17"/>
  <c r="Y175" i="17" s="1"/>
  <c r="L122" i="19"/>
  <c r="Y122" i="19" s="1"/>
  <c r="L480" i="19"/>
  <c r="Y480" i="19" s="1"/>
  <c r="L392" i="19"/>
  <c r="Y392" i="19" s="1"/>
  <c r="W240" i="19"/>
  <c r="L237" i="19"/>
  <c r="Y237" i="19" s="1"/>
  <c r="AA237" i="19" s="1"/>
  <c r="L401" i="19"/>
  <c r="Y401" i="19" s="1"/>
  <c r="L11" i="17"/>
  <c r="Y11" i="17" s="1"/>
  <c r="L508" i="19"/>
  <c r="Y508" i="19" s="1"/>
  <c r="AA508" i="19" s="1"/>
  <c r="W11" i="17"/>
  <c r="W401" i="19"/>
  <c r="L512" i="19"/>
  <c r="Y512" i="19" s="1"/>
  <c r="L359" i="19"/>
  <c r="Y359" i="19" s="1"/>
  <c r="AA359" i="19" s="1"/>
  <c r="L302" i="19"/>
  <c r="Y302" i="19" s="1"/>
  <c r="AA302" i="19" s="1"/>
  <c r="L389" i="19"/>
  <c r="Y389" i="19" s="1"/>
  <c r="L101" i="19"/>
  <c r="Y101" i="19" s="1"/>
  <c r="AA511" i="25"/>
  <c r="L145" i="19"/>
  <c r="Y145" i="19" s="1"/>
  <c r="AA145" i="19" s="1"/>
  <c r="L251" i="19"/>
  <c r="Y251" i="19" s="1"/>
  <c r="AA251" i="19" s="1"/>
  <c r="L211" i="19"/>
  <c r="Y211" i="19" s="1"/>
  <c r="AA211" i="19" s="1"/>
  <c r="L131" i="19"/>
  <c r="Y131" i="19" s="1"/>
  <c r="AA131" i="19" s="1"/>
  <c r="L59" i="19"/>
  <c r="Y59" i="19" s="1"/>
  <c r="L148" i="19"/>
  <c r="Y148" i="19" s="1"/>
  <c r="AA148" i="19" s="1"/>
  <c r="W392" i="19"/>
  <c r="L418" i="19"/>
  <c r="Y418" i="19" s="1"/>
  <c r="AA418" i="19" s="1"/>
  <c r="L119" i="19"/>
  <c r="Y119" i="19" s="1"/>
  <c r="AA119" i="19" s="1"/>
  <c r="L509" i="19"/>
  <c r="Y509" i="19" s="1"/>
  <c r="L61" i="19"/>
  <c r="Y61" i="19" s="1"/>
  <c r="L387" i="19"/>
  <c r="Y387" i="19" s="1"/>
  <c r="L11" i="19"/>
  <c r="Y11" i="19" s="1"/>
  <c r="L326" i="19"/>
  <c r="Y326" i="19" s="1"/>
  <c r="L176" i="19"/>
  <c r="Y176" i="19" s="1"/>
  <c r="L31" i="19"/>
  <c r="Y31" i="19" s="1"/>
  <c r="AA31" i="19" s="1"/>
  <c r="L362" i="17"/>
  <c r="Y362" i="17" s="1"/>
  <c r="AA362" i="17" s="1"/>
  <c r="L182" i="19"/>
  <c r="Y182" i="19" s="1"/>
  <c r="L452" i="19"/>
  <c r="Y452" i="19" s="1"/>
  <c r="AA452" i="19" s="1"/>
  <c r="AA501" i="25"/>
  <c r="W418" i="17"/>
  <c r="L507" i="19"/>
  <c r="Y507" i="19" s="1"/>
  <c r="L241" i="19"/>
  <c r="Y241" i="19" s="1"/>
  <c r="AA241" i="19" s="1"/>
  <c r="W176" i="19"/>
  <c r="W326" i="19"/>
  <c r="L482" i="19"/>
  <c r="Y482" i="19" s="1"/>
  <c r="L481" i="19"/>
  <c r="Y481" i="19" s="1"/>
  <c r="AA481" i="19" s="1"/>
  <c r="W61" i="19"/>
  <c r="L56" i="19"/>
  <c r="Y56" i="19" s="1"/>
  <c r="AA56" i="19" s="1"/>
  <c r="W11" i="19"/>
  <c r="L25" i="19"/>
  <c r="Y25" i="19" s="1"/>
  <c r="AA25" i="19" s="1"/>
  <c r="W387" i="19"/>
  <c r="L180" i="19"/>
  <c r="Y180" i="19" s="1"/>
  <c r="L298" i="19"/>
  <c r="Y298" i="19" s="1"/>
  <c r="AA298" i="19" s="1"/>
  <c r="L7" i="17"/>
  <c r="Y7" i="17" s="1"/>
  <c r="L67" i="19"/>
  <c r="Y67" i="19" s="1"/>
  <c r="AA67" i="19" s="1"/>
  <c r="L179" i="19"/>
  <c r="Y179" i="19" s="1"/>
  <c r="L85" i="19"/>
  <c r="Y85" i="19" s="1"/>
  <c r="AA85" i="19" s="1"/>
  <c r="L302" i="17"/>
  <c r="Y302" i="17" s="1"/>
  <c r="AA302" i="17" s="1"/>
  <c r="L62" i="17"/>
  <c r="Y62" i="17" s="1"/>
  <c r="L71" i="19"/>
  <c r="Y71" i="19" s="1"/>
  <c r="AA71" i="19" s="1"/>
  <c r="W242" i="19"/>
  <c r="AA242" i="19" s="1"/>
  <c r="L417" i="19"/>
  <c r="Y417" i="19" s="1"/>
  <c r="L210" i="19"/>
  <c r="Y210" i="19" s="1"/>
  <c r="AA210" i="19" s="1"/>
  <c r="L419" i="19"/>
  <c r="Y419" i="19" s="1"/>
  <c r="AA419" i="19" s="1"/>
  <c r="W122" i="19"/>
  <c r="W417" i="19"/>
  <c r="L177" i="17"/>
  <c r="Y177" i="17" s="1"/>
  <c r="L487" i="19"/>
  <c r="Y487" i="19" s="1"/>
  <c r="L152" i="19"/>
  <c r="Y152" i="19" s="1"/>
  <c r="AA152" i="19" s="1"/>
  <c r="L117" i="19"/>
  <c r="Y117" i="19" s="1"/>
  <c r="AA117" i="19" s="1"/>
  <c r="L120" i="19"/>
  <c r="Y120" i="19" s="1"/>
  <c r="AA120" i="19" s="1"/>
  <c r="L207" i="19"/>
  <c r="Y207" i="19" s="1"/>
  <c r="L506" i="19"/>
  <c r="Y506" i="19" s="1"/>
  <c r="L62" i="19"/>
  <c r="Y62" i="19" s="1"/>
  <c r="L476" i="19"/>
  <c r="Y476" i="19" s="1"/>
  <c r="AA476" i="19" s="1"/>
  <c r="L281" i="19"/>
  <c r="Y281" i="19" s="1"/>
  <c r="L161" i="19"/>
  <c r="Y161" i="19" s="1"/>
  <c r="L331" i="17"/>
  <c r="Y331" i="17" s="1"/>
  <c r="AA331" i="17" s="1"/>
  <c r="L91" i="17"/>
  <c r="Y91" i="17" s="1"/>
  <c r="AA91" i="17" s="1"/>
  <c r="L56" i="17"/>
  <c r="Y56" i="17" s="1"/>
  <c r="L150" i="17"/>
  <c r="Y150" i="17" s="1"/>
  <c r="AA150" i="17" s="1"/>
  <c r="L57" i="17"/>
  <c r="Y57" i="17" s="1"/>
  <c r="AA57" i="17" s="1"/>
  <c r="L32" i="17"/>
  <c r="Y32" i="17" s="1"/>
  <c r="W32" i="17"/>
  <c r="L115" i="17"/>
  <c r="Y115" i="17" s="1"/>
  <c r="AA115" i="17" s="1"/>
  <c r="L337" i="17"/>
  <c r="Y337" i="17" s="1"/>
  <c r="AA337" i="17" s="1"/>
  <c r="L422" i="17"/>
  <c r="Y422" i="17" s="1"/>
  <c r="AA422" i="17" s="1"/>
  <c r="L191" i="17"/>
  <c r="Y191" i="17" s="1"/>
  <c r="AA191" i="17" s="1"/>
  <c r="L461" i="17"/>
  <c r="Y461" i="17" s="1"/>
  <c r="AA461" i="17" s="1"/>
  <c r="L182" i="17"/>
  <c r="Y182" i="17" s="1"/>
  <c r="L31" i="17"/>
  <c r="Y31" i="17" s="1"/>
  <c r="AA31" i="17" s="1"/>
  <c r="L161" i="17"/>
  <c r="Y161" i="17" s="1"/>
  <c r="AA161" i="17" s="1"/>
  <c r="L296" i="17"/>
  <c r="Y296" i="17" s="1"/>
  <c r="L181" i="17"/>
  <c r="Y181" i="17" s="1"/>
  <c r="AA181" i="17" s="1"/>
  <c r="L431" i="17"/>
  <c r="Y431" i="17" s="1"/>
  <c r="L247" i="17"/>
  <c r="Y247" i="17" s="1"/>
  <c r="AA247" i="17" s="1"/>
  <c r="L240" i="17"/>
  <c r="Y240" i="17" s="1"/>
  <c r="AA240" i="17" s="1"/>
  <c r="L116" i="17"/>
  <c r="Y116" i="17" s="1"/>
  <c r="AA116" i="17" s="1"/>
  <c r="L58" i="17"/>
  <c r="Y58" i="17" s="1"/>
  <c r="AA58" i="17" s="1"/>
  <c r="W431" i="17"/>
  <c r="L97" i="17"/>
  <c r="Y97" i="17" s="1"/>
  <c r="AA97" i="17" s="1"/>
  <c r="L152" i="17"/>
  <c r="Y152" i="17" s="1"/>
  <c r="AA152" i="17" s="1"/>
  <c r="W296" i="17"/>
  <c r="L37" i="17"/>
  <c r="Y37" i="17" s="1"/>
  <c r="AA37" i="17" s="1"/>
  <c r="W182" i="17"/>
  <c r="W55" i="17"/>
  <c r="L371" i="17"/>
  <c r="Y371" i="17" s="1"/>
  <c r="L417" i="17"/>
  <c r="Y417" i="17" s="1"/>
  <c r="AA417" i="17" s="1"/>
  <c r="L60" i="17"/>
  <c r="Y60" i="17" s="1"/>
  <c r="L207" i="17"/>
  <c r="Y207" i="17" s="1"/>
  <c r="AA207" i="17" s="1"/>
  <c r="L147" i="17"/>
  <c r="Y147" i="17" s="1"/>
  <c r="AA147" i="17" s="1"/>
  <c r="W62" i="17"/>
  <c r="L447" i="17"/>
  <c r="Y447" i="17" s="1"/>
  <c r="AA447" i="17" s="1"/>
  <c r="L387" i="17"/>
  <c r="Y387" i="17" s="1"/>
  <c r="L295" i="17"/>
  <c r="Y295" i="17" s="1"/>
  <c r="AA295" i="17" s="1"/>
  <c r="W371" i="17"/>
  <c r="L266" i="17"/>
  <c r="Y266" i="17" s="1"/>
  <c r="AA266" i="17" s="1"/>
  <c r="L235" i="17"/>
  <c r="Y235" i="17" s="1"/>
  <c r="AA235" i="17" s="1"/>
  <c r="W86" i="17"/>
  <c r="AA86" i="17" s="1"/>
  <c r="L277" i="17"/>
  <c r="Y277" i="17" s="1"/>
  <c r="AA277" i="17" s="1"/>
  <c r="L389" i="17"/>
  <c r="Y389" i="17" s="1"/>
  <c r="AA389" i="17" s="1"/>
  <c r="L299" i="17"/>
  <c r="Y299" i="17" s="1"/>
  <c r="AA299" i="17" s="1"/>
  <c r="L269" i="17"/>
  <c r="Y269" i="17" s="1"/>
  <c r="L41" i="17"/>
  <c r="Y41" i="17" s="1"/>
  <c r="AA41" i="17" s="1"/>
  <c r="W60" i="17"/>
  <c r="W269" i="17"/>
  <c r="W177" i="17"/>
  <c r="W387" i="17"/>
  <c r="L28" i="17"/>
  <c r="Y28" i="17" s="1"/>
  <c r="AA28" i="17" s="1"/>
  <c r="L512" i="17"/>
  <c r="Y512" i="17" s="1"/>
  <c r="L360" i="17"/>
  <c r="Y360" i="17" s="1"/>
  <c r="AA360" i="17" s="1"/>
  <c r="W175" i="17"/>
  <c r="L121" i="17"/>
  <c r="Y121" i="17" s="1"/>
  <c r="AA121" i="17" s="1"/>
  <c r="L101" i="17"/>
  <c r="Y101" i="17" s="1"/>
  <c r="AA101" i="17" s="1"/>
  <c r="L251" i="17"/>
  <c r="Y251" i="17" s="1"/>
  <c r="AA251" i="17" s="1"/>
  <c r="L85" i="17"/>
  <c r="Y85" i="17" s="1"/>
  <c r="AA85" i="17" s="1"/>
  <c r="L477" i="17"/>
  <c r="Y477" i="17" s="1"/>
  <c r="AA477" i="17" s="1"/>
  <c r="L87" i="17"/>
  <c r="Y87" i="17" s="1"/>
  <c r="AA87" i="17" s="1"/>
  <c r="W207" i="19"/>
  <c r="W512" i="17"/>
  <c r="L149" i="19"/>
  <c r="Y149" i="19" s="1"/>
  <c r="AA149" i="19" s="1"/>
  <c r="W62" i="19"/>
  <c r="L401" i="17"/>
  <c r="Y401" i="17" s="1"/>
  <c r="AA401" i="17" s="1"/>
  <c r="W507" i="19"/>
  <c r="W281" i="19"/>
  <c r="L475" i="19"/>
  <c r="Y475" i="19" s="1"/>
  <c r="AA475" i="19" s="1"/>
  <c r="W161" i="19"/>
  <c r="L115" i="19"/>
  <c r="Y115" i="19" s="1"/>
  <c r="AA115" i="19" s="1"/>
  <c r="L447" i="19"/>
  <c r="Y447" i="19" s="1"/>
  <c r="AA447" i="19" s="1"/>
  <c r="L118" i="17"/>
  <c r="Y118" i="17" s="1"/>
  <c r="AA118" i="17" s="1"/>
  <c r="L477" i="19"/>
  <c r="Y477" i="19" s="1"/>
  <c r="AA477" i="19" s="1"/>
  <c r="W510" i="19"/>
  <c r="L242" i="17"/>
  <c r="Y242" i="17" s="1"/>
  <c r="AA242" i="17" s="1"/>
  <c r="I137" i="17"/>
  <c r="S137" i="17"/>
  <c r="I332" i="19"/>
  <c r="S332" i="19"/>
  <c r="J212" i="19"/>
  <c r="T212" i="19"/>
  <c r="T92" i="19"/>
  <c r="J92" i="19"/>
  <c r="J414" i="16"/>
  <c r="AH414" i="16" s="1"/>
  <c r="T414" i="16"/>
  <c r="J509" i="17"/>
  <c r="T509" i="17"/>
  <c r="J117" i="17"/>
  <c r="T117" i="17"/>
  <c r="S451" i="19"/>
  <c r="I451" i="19"/>
  <c r="S331" i="19"/>
  <c r="I331" i="19"/>
  <c r="I91" i="19"/>
  <c r="S91" i="19"/>
  <c r="J28" i="19"/>
  <c r="T28" i="19"/>
  <c r="T241" i="17"/>
  <c r="J241" i="17"/>
  <c r="J357" i="19"/>
  <c r="T357" i="19"/>
  <c r="H17" i="16"/>
  <c r="G17" i="16"/>
  <c r="J31" i="16"/>
  <c r="AH31" i="16" s="1"/>
  <c r="T31" i="16"/>
  <c r="G90" i="16"/>
  <c r="H90" i="16"/>
  <c r="G137" i="16"/>
  <c r="H137" i="16"/>
  <c r="T151" i="16"/>
  <c r="J151" i="16"/>
  <c r="AH151" i="16" s="1"/>
  <c r="T210" i="16"/>
  <c r="J210" i="16"/>
  <c r="AH210" i="16" s="1"/>
  <c r="J257" i="16"/>
  <c r="AH257" i="16" s="1"/>
  <c r="T257" i="16"/>
  <c r="G271" i="16"/>
  <c r="H271" i="16"/>
  <c r="I330" i="16"/>
  <c r="AG330" i="16" s="1"/>
  <c r="S330" i="16"/>
  <c r="H377" i="16"/>
  <c r="G377" i="16"/>
  <c r="G391" i="16"/>
  <c r="H391" i="16"/>
  <c r="J450" i="16"/>
  <c r="AH450" i="16" s="1"/>
  <c r="T450" i="16"/>
  <c r="J497" i="16"/>
  <c r="AH497" i="16" s="1"/>
  <c r="T497" i="16"/>
  <c r="T511" i="16"/>
  <c r="J511" i="16"/>
  <c r="AH511" i="16" s="1"/>
  <c r="I239" i="17"/>
  <c r="S239" i="17"/>
  <c r="I270" i="19"/>
  <c r="S270" i="19"/>
  <c r="I150" i="19"/>
  <c r="S150" i="19"/>
  <c r="S38" i="17"/>
  <c r="I38" i="17"/>
  <c r="J419" i="17"/>
  <c r="T419" i="17"/>
  <c r="J360" i="19"/>
  <c r="T360" i="19"/>
  <c r="G68" i="16"/>
  <c r="H68" i="16"/>
  <c r="H188" i="16"/>
  <c r="G188" i="16"/>
  <c r="S308" i="16"/>
  <c r="I308" i="16"/>
  <c r="AG308" i="16" s="1"/>
  <c r="T428" i="16"/>
  <c r="J428" i="16"/>
  <c r="AH428" i="16" s="1"/>
  <c r="L341" i="17"/>
  <c r="Y341" i="17" s="1"/>
  <c r="W341" i="17"/>
  <c r="W299" i="19"/>
  <c r="L299" i="19"/>
  <c r="Y299" i="19" s="1"/>
  <c r="T55" i="19"/>
  <c r="J55" i="19"/>
  <c r="J146" i="17"/>
  <c r="T146" i="17"/>
  <c r="I58" i="19"/>
  <c r="S58" i="19"/>
  <c r="L445" i="19"/>
  <c r="Y445" i="19" s="1"/>
  <c r="W445" i="19"/>
  <c r="T325" i="19"/>
  <c r="J325" i="19"/>
  <c r="J7" i="16"/>
  <c r="AH7" i="16" s="1"/>
  <c r="T7" i="16"/>
  <c r="T57" i="16"/>
  <c r="J57" i="16"/>
  <c r="AH57" i="16" s="1"/>
  <c r="I116" i="16"/>
  <c r="S116" i="16"/>
  <c r="T127" i="16"/>
  <c r="J127" i="16"/>
  <c r="AH127" i="16" s="1"/>
  <c r="G177" i="16"/>
  <c r="H177" i="16"/>
  <c r="J236" i="16"/>
  <c r="AH236" i="16" s="1"/>
  <c r="T236" i="16"/>
  <c r="G247" i="16"/>
  <c r="H247" i="16"/>
  <c r="J297" i="16"/>
  <c r="AH297" i="16" s="1"/>
  <c r="T297" i="16"/>
  <c r="T356" i="16"/>
  <c r="J356" i="16"/>
  <c r="AH356" i="16" s="1"/>
  <c r="G367" i="16"/>
  <c r="H367" i="16"/>
  <c r="S417" i="16"/>
  <c r="I417" i="16"/>
  <c r="L417" i="16" s="1"/>
  <c r="AI417" i="16" s="1"/>
  <c r="S476" i="16"/>
  <c r="I476" i="16"/>
  <c r="T487" i="16"/>
  <c r="J487" i="16"/>
  <c r="AH487" i="16" s="1"/>
  <c r="J391" i="17"/>
  <c r="T391" i="17"/>
  <c r="S151" i="17"/>
  <c r="I151" i="17"/>
  <c r="I474" i="19"/>
  <c r="S474" i="19"/>
  <c r="S354" i="19"/>
  <c r="I354" i="19"/>
  <c r="I234" i="19"/>
  <c r="S234" i="19"/>
  <c r="J438" i="17"/>
  <c r="T438" i="17"/>
  <c r="T24" i="19"/>
  <c r="J24" i="19"/>
  <c r="I204" i="19"/>
  <c r="S204" i="19"/>
  <c r="G98" i="16"/>
  <c r="H98" i="16"/>
  <c r="T218" i="16"/>
  <c r="J218" i="16"/>
  <c r="AH218" i="16" s="1"/>
  <c r="H338" i="16"/>
  <c r="G338" i="16"/>
  <c r="J458" i="16"/>
  <c r="AH458" i="16" s="1"/>
  <c r="T458" i="16"/>
  <c r="J128" i="17"/>
  <c r="T128" i="17"/>
  <c r="J173" i="17"/>
  <c r="T173" i="17"/>
  <c r="L235" i="19"/>
  <c r="Y235" i="19" s="1"/>
  <c r="W235" i="19"/>
  <c r="J24" i="17"/>
  <c r="T24" i="17"/>
  <c r="S450" i="17"/>
  <c r="I450" i="17"/>
  <c r="I210" i="17"/>
  <c r="S210" i="17"/>
  <c r="I25" i="17"/>
  <c r="S25" i="17"/>
  <c r="I32" i="16"/>
  <c r="AG32" i="16" s="1"/>
  <c r="S32" i="16"/>
  <c r="J85" i="16"/>
  <c r="AH85" i="16" s="1"/>
  <c r="T85" i="16"/>
  <c r="J101" i="16"/>
  <c r="AH101" i="16" s="1"/>
  <c r="T101" i="16"/>
  <c r="T152" i="16"/>
  <c r="J152" i="16"/>
  <c r="AH152" i="16" s="1"/>
  <c r="J205" i="16"/>
  <c r="AH205" i="16" s="1"/>
  <c r="T205" i="16"/>
  <c r="J221" i="16"/>
  <c r="AH221" i="16" s="1"/>
  <c r="T221" i="16"/>
  <c r="S272" i="16"/>
  <c r="I272" i="16"/>
  <c r="AG272" i="16" s="1"/>
  <c r="S445" i="16"/>
  <c r="I445" i="16"/>
  <c r="AG445" i="16" s="1"/>
  <c r="I461" i="16"/>
  <c r="AG461" i="16" s="1"/>
  <c r="S461" i="16"/>
  <c r="T512" i="16"/>
  <c r="J512" i="16"/>
  <c r="AH512" i="16" s="1"/>
  <c r="J498" i="19"/>
  <c r="T498" i="19"/>
  <c r="W121" i="19"/>
  <c r="L121" i="19"/>
  <c r="Y121" i="19" s="1"/>
  <c r="I481" i="17"/>
  <c r="S481" i="17"/>
  <c r="I192" i="19"/>
  <c r="S192" i="19"/>
  <c r="T48" i="16"/>
  <c r="J48" i="16"/>
  <c r="AH48" i="16" s="1"/>
  <c r="T168" i="16"/>
  <c r="J168" i="16"/>
  <c r="AH168" i="16" s="1"/>
  <c r="H288" i="16"/>
  <c r="G288" i="16"/>
  <c r="J408" i="16"/>
  <c r="AH408" i="16" s="1"/>
  <c r="T408" i="16"/>
  <c r="J157" i="17"/>
  <c r="T157" i="17"/>
  <c r="T467" i="19"/>
  <c r="J467" i="19"/>
  <c r="I347" i="19"/>
  <c r="S347" i="19"/>
  <c r="L482" i="17"/>
  <c r="Y482" i="17" s="1"/>
  <c r="W482" i="17"/>
  <c r="S473" i="17"/>
  <c r="I473" i="17"/>
  <c r="I89" i="17"/>
  <c r="S89" i="17"/>
  <c r="T421" i="19"/>
  <c r="J421" i="19"/>
  <c r="W301" i="19"/>
  <c r="L301" i="19"/>
  <c r="Y301" i="19" s="1"/>
  <c r="I56" i="16"/>
  <c r="AG56" i="16" s="1"/>
  <c r="S56" i="16"/>
  <c r="I67" i="16"/>
  <c r="AG67" i="16" s="1"/>
  <c r="S67" i="16"/>
  <c r="J117" i="16"/>
  <c r="AH117" i="16" s="1"/>
  <c r="T117" i="16"/>
  <c r="S296" i="16"/>
  <c r="I296" i="16"/>
  <c r="I307" i="16"/>
  <c r="S307" i="16"/>
  <c r="I416" i="16"/>
  <c r="S416" i="16"/>
  <c r="I427" i="16"/>
  <c r="AG427" i="16" s="1"/>
  <c r="S427" i="16"/>
  <c r="S477" i="16"/>
  <c r="I477" i="16"/>
  <c r="S307" i="17"/>
  <c r="I307" i="17"/>
  <c r="S67" i="17"/>
  <c r="I67" i="17"/>
  <c r="I188" i="19"/>
  <c r="S188" i="19"/>
  <c r="J78" i="16"/>
  <c r="AH78" i="16" s="1"/>
  <c r="T78" i="16"/>
  <c r="I198" i="16"/>
  <c r="AG198" i="16" s="1"/>
  <c r="S198" i="16"/>
  <c r="T318" i="16"/>
  <c r="J318" i="16"/>
  <c r="AH318" i="16" s="1"/>
  <c r="J438" i="16"/>
  <c r="AH438" i="16" s="1"/>
  <c r="T438" i="16"/>
  <c r="S509" i="17"/>
  <c r="I509" i="17"/>
  <c r="I117" i="17"/>
  <c r="S117" i="17"/>
  <c r="J451" i="19"/>
  <c r="T451" i="19"/>
  <c r="J331" i="19"/>
  <c r="T331" i="19"/>
  <c r="J91" i="19"/>
  <c r="T91" i="19"/>
  <c r="W88" i="17"/>
  <c r="L88" i="17"/>
  <c r="Y88" i="17" s="1"/>
  <c r="S28" i="19"/>
  <c r="I28" i="19"/>
  <c r="S241" i="17"/>
  <c r="I241" i="17"/>
  <c r="S357" i="19"/>
  <c r="I357" i="19"/>
  <c r="L32" i="19"/>
  <c r="Y32" i="19" s="1"/>
  <c r="W32" i="19"/>
  <c r="I31" i="16"/>
  <c r="AG31" i="16" s="1"/>
  <c r="S31" i="16"/>
  <c r="I151" i="16"/>
  <c r="AG151" i="16" s="1"/>
  <c r="S151" i="16"/>
  <c r="I210" i="16"/>
  <c r="AG210" i="16" s="1"/>
  <c r="S210" i="16"/>
  <c r="I257" i="16"/>
  <c r="AG257" i="16" s="1"/>
  <c r="S257" i="16"/>
  <c r="J330" i="16"/>
  <c r="AH330" i="16" s="1"/>
  <c r="T330" i="16"/>
  <c r="I450" i="16"/>
  <c r="AG450" i="16" s="1"/>
  <c r="S450" i="16"/>
  <c r="I497" i="16"/>
  <c r="AG497" i="16" s="1"/>
  <c r="S497" i="16"/>
  <c r="I511" i="16"/>
  <c r="S511" i="16"/>
  <c r="J239" i="17"/>
  <c r="T239" i="17"/>
  <c r="J270" i="19"/>
  <c r="T270" i="19"/>
  <c r="J150" i="19"/>
  <c r="T150" i="19"/>
  <c r="T38" i="17"/>
  <c r="J38" i="17"/>
  <c r="I419" i="17"/>
  <c r="S419" i="17"/>
  <c r="I360" i="19"/>
  <c r="S360" i="19"/>
  <c r="J308" i="16"/>
  <c r="AH308" i="16" s="1"/>
  <c r="T308" i="16"/>
  <c r="S428" i="16"/>
  <c r="I428" i="16"/>
  <c r="AG428" i="16" s="1"/>
  <c r="I55" i="19"/>
  <c r="S55" i="19"/>
  <c r="I146" i="17"/>
  <c r="S146" i="17"/>
  <c r="J58" i="19"/>
  <c r="T58" i="19"/>
  <c r="S325" i="19"/>
  <c r="I325" i="19"/>
  <c r="L205" i="19"/>
  <c r="Y205" i="19" s="1"/>
  <c r="W205" i="19"/>
  <c r="S7" i="16"/>
  <c r="I7" i="16"/>
  <c r="AG7" i="16" s="1"/>
  <c r="S57" i="16"/>
  <c r="I57" i="16"/>
  <c r="J116" i="16"/>
  <c r="AH116" i="16" s="1"/>
  <c r="T116" i="16"/>
  <c r="I127" i="16"/>
  <c r="S127" i="16"/>
  <c r="I236" i="16"/>
  <c r="AG236" i="16" s="1"/>
  <c r="S236" i="16"/>
  <c r="I297" i="16"/>
  <c r="S297" i="16"/>
  <c r="S356" i="16"/>
  <c r="I356" i="16"/>
  <c r="AG356" i="16" s="1"/>
  <c r="J417" i="16"/>
  <c r="AH417" i="16" s="1"/>
  <c r="T417" i="16"/>
  <c r="J476" i="16"/>
  <c r="AH476" i="16" s="1"/>
  <c r="T476" i="16"/>
  <c r="I487" i="16"/>
  <c r="S487" i="16"/>
  <c r="I391" i="17"/>
  <c r="S391" i="17"/>
  <c r="T151" i="17"/>
  <c r="J151" i="17"/>
  <c r="J474" i="19"/>
  <c r="T474" i="19"/>
  <c r="J354" i="19"/>
  <c r="T354" i="19"/>
  <c r="T234" i="19"/>
  <c r="J234" i="19"/>
  <c r="S438" i="17"/>
  <c r="I438" i="17"/>
  <c r="S24" i="19"/>
  <c r="I24" i="19"/>
  <c r="T204" i="19"/>
  <c r="J204" i="19"/>
  <c r="I218" i="16"/>
  <c r="AG218" i="16" s="1"/>
  <c r="S218" i="16"/>
  <c r="I458" i="16"/>
  <c r="AG458" i="16" s="1"/>
  <c r="S458" i="16"/>
  <c r="J421" i="17"/>
  <c r="T421" i="17"/>
  <c r="S443" i="19"/>
  <c r="I443" i="19"/>
  <c r="J138" i="17"/>
  <c r="T138" i="17"/>
  <c r="I497" i="19"/>
  <c r="S497" i="19"/>
  <c r="J26" i="16"/>
  <c r="AH26" i="16" s="1"/>
  <c r="T26" i="16"/>
  <c r="I37" i="16"/>
  <c r="AG37" i="16" s="1"/>
  <c r="S37" i="16"/>
  <c r="G87" i="16"/>
  <c r="H87" i="16"/>
  <c r="T146" i="16"/>
  <c r="J146" i="16"/>
  <c r="AH146" i="16" s="1"/>
  <c r="I157" i="16"/>
  <c r="AG157" i="16" s="1"/>
  <c r="S157" i="16"/>
  <c r="J207" i="16"/>
  <c r="AH207" i="16" s="1"/>
  <c r="T207" i="16"/>
  <c r="H266" i="16"/>
  <c r="G266" i="16"/>
  <c r="I277" i="16"/>
  <c r="AG277" i="16" s="1"/>
  <c r="S277" i="16"/>
  <c r="J327" i="16"/>
  <c r="AH327" i="16" s="1"/>
  <c r="T327" i="16"/>
  <c r="H386" i="16"/>
  <c r="G386" i="16"/>
  <c r="T397" i="16"/>
  <c r="J397" i="16"/>
  <c r="AH397" i="16" s="1"/>
  <c r="T447" i="16"/>
  <c r="J447" i="16"/>
  <c r="AH447" i="16" s="1"/>
  <c r="S506" i="16"/>
  <c r="I506" i="16"/>
  <c r="S498" i="19"/>
  <c r="I498" i="19"/>
  <c r="J481" i="17"/>
  <c r="T481" i="17"/>
  <c r="T192" i="19"/>
  <c r="J192" i="19"/>
  <c r="I48" i="16"/>
  <c r="AG48" i="16" s="1"/>
  <c r="S48" i="16"/>
  <c r="S168" i="16"/>
  <c r="I168" i="16"/>
  <c r="AG168" i="16" s="1"/>
  <c r="I408" i="16"/>
  <c r="AG408" i="16" s="1"/>
  <c r="S408" i="16"/>
  <c r="I431" i="19"/>
  <c r="S431" i="19"/>
  <c r="I191" i="19"/>
  <c r="S191" i="19"/>
  <c r="G58" i="16"/>
  <c r="H58" i="16"/>
  <c r="I83" i="16"/>
  <c r="AG83" i="16" s="1"/>
  <c r="S83" i="16"/>
  <c r="T119" i="16"/>
  <c r="J119" i="16"/>
  <c r="AH119" i="16" s="1"/>
  <c r="G178" i="16"/>
  <c r="H178" i="16"/>
  <c r="J203" i="16"/>
  <c r="AH203" i="16" s="1"/>
  <c r="T203" i="16"/>
  <c r="J239" i="16"/>
  <c r="AH239" i="16" s="1"/>
  <c r="T239" i="16"/>
  <c r="J298" i="16"/>
  <c r="AH298" i="16" s="1"/>
  <c r="T298" i="16"/>
  <c r="J323" i="16"/>
  <c r="AH323" i="16" s="1"/>
  <c r="T323" i="16"/>
  <c r="G359" i="16"/>
  <c r="H359" i="16"/>
  <c r="I418" i="16"/>
  <c r="S418" i="16"/>
  <c r="J443" i="16"/>
  <c r="AH443" i="16" s="1"/>
  <c r="T443" i="16"/>
  <c r="S479" i="16"/>
  <c r="I479" i="16"/>
  <c r="J307" i="17"/>
  <c r="T307" i="17"/>
  <c r="J67" i="17"/>
  <c r="T67" i="17"/>
  <c r="J188" i="19"/>
  <c r="T188" i="19"/>
  <c r="I78" i="16"/>
  <c r="AG78" i="16" s="1"/>
  <c r="S78" i="16"/>
  <c r="J198" i="16"/>
  <c r="AH198" i="16" s="1"/>
  <c r="T198" i="16"/>
  <c r="I318" i="16"/>
  <c r="AG318" i="16" s="1"/>
  <c r="S318" i="16"/>
  <c r="I438" i="16"/>
  <c r="AG438" i="16" s="1"/>
  <c r="S438" i="16"/>
  <c r="T145" i="17"/>
  <c r="J145" i="17"/>
  <c r="I449" i="19"/>
  <c r="S449" i="19"/>
  <c r="S329" i="19"/>
  <c r="I329" i="19"/>
  <c r="S89" i="19"/>
  <c r="I89" i="19"/>
  <c r="L179" i="17"/>
  <c r="Y179" i="17" s="1"/>
  <c r="W179" i="17"/>
  <c r="T25" i="16"/>
  <c r="J25" i="16"/>
  <c r="AH25" i="16" s="1"/>
  <c r="G41" i="16"/>
  <c r="H41" i="16"/>
  <c r="G92" i="16"/>
  <c r="H92" i="16"/>
  <c r="S145" i="16"/>
  <c r="I145" i="16"/>
  <c r="AG145" i="16" s="1"/>
  <c r="T161" i="16"/>
  <c r="J161" i="16"/>
  <c r="AH161" i="16" s="1"/>
  <c r="I212" i="16"/>
  <c r="S212" i="16"/>
  <c r="G265" i="16"/>
  <c r="H265" i="16"/>
  <c r="J281" i="16"/>
  <c r="AH281" i="16" s="1"/>
  <c r="T281" i="16"/>
  <c r="H332" i="16"/>
  <c r="G332" i="16"/>
  <c r="H385" i="16"/>
  <c r="G385" i="16"/>
  <c r="T401" i="16"/>
  <c r="J401" i="16"/>
  <c r="AH401" i="16" s="1"/>
  <c r="J452" i="16"/>
  <c r="AH452" i="16" s="1"/>
  <c r="T452" i="16"/>
  <c r="I505" i="16"/>
  <c r="S505" i="16"/>
  <c r="T358" i="19"/>
  <c r="J358" i="19"/>
  <c r="L238" i="19"/>
  <c r="Y238" i="19" s="1"/>
  <c r="T388" i="17"/>
  <c r="J388" i="17"/>
  <c r="T446" i="17"/>
  <c r="J446" i="17"/>
  <c r="T84" i="16"/>
  <c r="J84" i="16"/>
  <c r="AH84" i="16" s="1"/>
  <c r="I204" i="16"/>
  <c r="AG204" i="16" s="1"/>
  <c r="S204" i="16"/>
  <c r="S324" i="16"/>
  <c r="I324" i="16"/>
  <c r="AG324" i="16" s="1"/>
  <c r="S444" i="16"/>
  <c r="I444" i="16"/>
  <c r="AG444" i="16" s="1"/>
  <c r="T328" i="17"/>
  <c r="J328" i="17"/>
  <c r="I147" i="19"/>
  <c r="S147" i="19"/>
  <c r="S7" i="19"/>
  <c r="I7" i="19"/>
  <c r="T420" i="17"/>
  <c r="J420" i="17"/>
  <c r="I413" i="19"/>
  <c r="S413" i="19"/>
  <c r="J23" i="16"/>
  <c r="AH23" i="16" s="1"/>
  <c r="T23" i="16"/>
  <c r="I59" i="16"/>
  <c r="AG59" i="16" s="1"/>
  <c r="S59" i="16"/>
  <c r="S118" i="16"/>
  <c r="I118" i="16"/>
  <c r="AG118" i="16" s="1"/>
  <c r="T143" i="16"/>
  <c r="J143" i="16"/>
  <c r="AH143" i="16" s="1"/>
  <c r="G179" i="16"/>
  <c r="H179" i="16"/>
  <c r="H238" i="16"/>
  <c r="G238" i="16"/>
  <c r="G263" i="16"/>
  <c r="H263" i="16"/>
  <c r="J299" i="16"/>
  <c r="AH299" i="16" s="1"/>
  <c r="T299" i="16"/>
  <c r="H358" i="16"/>
  <c r="G358" i="16"/>
  <c r="G383" i="16"/>
  <c r="H383" i="16"/>
  <c r="J419" i="16"/>
  <c r="AH419" i="16" s="1"/>
  <c r="T419" i="16"/>
  <c r="J478" i="16"/>
  <c r="AH478" i="16" s="1"/>
  <c r="T478" i="16"/>
  <c r="S503" i="16"/>
  <c r="I503" i="16"/>
  <c r="AG503" i="16" s="1"/>
  <c r="J327" i="17"/>
  <c r="T327" i="17"/>
  <c r="L446" i="19"/>
  <c r="Y446" i="19" s="1"/>
  <c r="L86" i="19"/>
  <c r="Y86" i="19" s="1"/>
  <c r="W86" i="19"/>
  <c r="J390" i="17"/>
  <c r="T390" i="17"/>
  <c r="J507" i="17"/>
  <c r="T507" i="17"/>
  <c r="J267" i="17"/>
  <c r="T267" i="17"/>
  <c r="I416" i="19"/>
  <c r="S416" i="19"/>
  <c r="J53" i="19"/>
  <c r="T53" i="19"/>
  <c r="J114" i="16"/>
  <c r="AH114" i="16" s="1"/>
  <c r="T114" i="16"/>
  <c r="G234" i="16"/>
  <c r="H234" i="16"/>
  <c r="G354" i="16"/>
  <c r="H354" i="16"/>
  <c r="I474" i="16"/>
  <c r="AG474" i="16" s="1"/>
  <c r="S474" i="16"/>
  <c r="I421" i="17"/>
  <c r="S421" i="17"/>
  <c r="T443" i="19"/>
  <c r="J443" i="19"/>
  <c r="I138" i="17"/>
  <c r="S138" i="17"/>
  <c r="J497" i="19"/>
  <c r="T497" i="19"/>
  <c r="L478" i="17"/>
  <c r="Y478" i="17" s="1"/>
  <c r="W478" i="17"/>
  <c r="I26" i="16"/>
  <c r="AG26" i="16" s="1"/>
  <c r="S26" i="16"/>
  <c r="J37" i="16"/>
  <c r="AH37" i="16" s="1"/>
  <c r="T37" i="16"/>
  <c r="I146" i="16"/>
  <c r="AG146" i="16" s="1"/>
  <c r="S146" i="16"/>
  <c r="J157" i="16"/>
  <c r="AH157" i="16" s="1"/>
  <c r="T157" i="16"/>
  <c r="I207" i="16"/>
  <c r="AG207" i="16" s="1"/>
  <c r="S207" i="16"/>
  <c r="J277" i="16"/>
  <c r="AH277" i="16" s="1"/>
  <c r="T277" i="16"/>
  <c r="I327" i="16"/>
  <c r="S327" i="16"/>
  <c r="I397" i="16"/>
  <c r="S397" i="16"/>
  <c r="I447" i="16"/>
  <c r="AG447" i="16" s="1"/>
  <c r="S447" i="16"/>
  <c r="J506" i="16"/>
  <c r="AH506" i="16" s="1"/>
  <c r="T506" i="16"/>
  <c r="I462" i="19"/>
  <c r="S462" i="19"/>
  <c r="J342" i="19"/>
  <c r="T342" i="19"/>
  <c r="S222" i="19"/>
  <c r="I222" i="19"/>
  <c r="J212" i="17"/>
  <c r="T212" i="17"/>
  <c r="J329" i="17"/>
  <c r="T329" i="17"/>
  <c r="J491" i="17"/>
  <c r="T491" i="17"/>
  <c r="I37" i="19"/>
  <c r="S37" i="19"/>
  <c r="G72" i="16"/>
  <c r="H72" i="16"/>
  <c r="G192" i="16"/>
  <c r="H192" i="16"/>
  <c r="T312" i="16"/>
  <c r="J312" i="16"/>
  <c r="AH312" i="16" s="1"/>
  <c r="G432" i="16"/>
  <c r="H432" i="16"/>
  <c r="T431" i="19"/>
  <c r="J431" i="19"/>
  <c r="T191" i="19"/>
  <c r="J191" i="19"/>
  <c r="L57" i="19"/>
  <c r="Y57" i="19" s="1"/>
  <c r="W57" i="19"/>
  <c r="L385" i="17"/>
  <c r="Y385" i="17" s="1"/>
  <c r="W385" i="17"/>
  <c r="J83" i="16"/>
  <c r="AH83" i="16" s="1"/>
  <c r="T83" i="16"/>
  <c r="I119" i="16"/>
  <c r="S119" i="16"/>
  <c r="S203" i="16"/>
  <c r="I203" i="16"/>
  <c r="AG203" i="16" s="1"/>
  <c r="I239" i="16"/>
  <c r="S239" i="16"/>
  <c r="I298" i="16"/>
  <c r="S298" i="16"/>
  <c r="I323" i="16"/>
  <c r="AG323" i="16" s="1"/>
  <c r="S323" i="16"/>
  <c r="J418" i="16"/>
  <c r="AH418" i="16" s="1"/>
  <c r="T418" i="16"/>
  <c r="S443" i="16"/>
  <c r="I443" i="16"/>
  <c r="AG443" i="16" s="1"/>
  <c r="T479" i="16"/>
  <c r="J479" i="16"/>
  <c r="AH479" i="16" s="1"/>
  <c r="I127" i="17"/>
  <c r="S127" i="17"/>
  <c r="J338" i="19"/>
  <c r="T338" i="19"/>
  <c r="I218" i="19"/>
  <c r="S218" i="19"/>
  <c r="I98" i="19"/>
  <c r="S98" i="19"/>
  <c r="T332" i="17"/>
  <c r="J332" i="17"/>
  <c r="W449" i="17"/>
  <c r="L449" i="17"/>
  <c r="Y449" i="17" s="1"/>
  <c r="S272" i="19"/>
  <c r="I272" i="19"/>
  <c r="J29" i="19"/>
  <c r="T29" i="19"/>
  <c r="I102" i="16"/>
  <c r="AG102" i="16" s="1"/>
  <c r="S102" i="16"/>
  <c r="S222" i="16"/>
  <c r="I222" i="16"/>
  <c r="AG222" i="16" s="1"/>
  <c r="I342" i="16"/>
  <c r="AG342" i="16" s="1"/>
  <c r="S342" i="16"/>
  <c r="I462" i="16"/>
  <c r="AG462" i="16" s="1"/>
  <c r="S462" i="16"/>
  <c r="L307" i="19"/>
  <c r="Y307" i="19" s="1"/>
  <c r="W307" i="19"/>
  <c r="W359" i="17"/>
  <c r="L359" i="17"/>
  <c r="Y359" i="17" s="1"/>
  <c r="I145" i="17"/>
  <c r="S145" i="17"/>
  <c r="J449" i="19"/>
  <c r="T449" i="19"/>
  <c r="J329" i="19"/>
  <c r="T329" i="19"/>
  <c r="T89" i="19"/>
  <c r="J89" i="19"/>
  <c r="I25" i="16"/>
  <c r="AG25" i="16" s="1"/>
  <c r="S25" i="16"/>
  <c r="T145" i="16"/>
  <c r="J145" i="16"/>
  <c r="AH145" i="16" s="1"/>
  <c r="I161" i="16"/>
  <c r="S161" i="16"/>
  <c r="J212" i="16"/>
  <c r="AH212" i="16" s="1"/>
  <c r="T212" i="16"/>
  <c r="S281" i="16"/>
  <c r="I281" i="16"/>
  <c r="I401" i="16"/>
  <c r="AG401" i="16" s="1"/>
  <c r="S401" i="16"/>
  <c r="S452" i="16"/>
  <c r="I452" i="16"/>
  <c r="AG452" i="16" s="1"/>
  <c r="T505" i="16"/>
  <c r="J505" i="16"/>
  <c r="AH505" i="16" s="1"/>
  <c r="L386" i="17"/>
  <c r="Y386" i="17" s="1"/>
  <c r="W386" i="17"/>
  <c r="S358" i="19"/>
  <c r="I358" i="19"/>
  <c r="S388" i="17"/>
  <c r="I388" i="17"/>
  <c r="I446" i="17"/>
  <c r="S446" i="17"/>
  <c r="L206" i="17"/>
  <c r="Y206" i="17" s="1"/>
  <c r="AA206" i="17" s="1"/>
  <c r="L88" i="19"/>
  <c r="Y88" i="19" s="1"/>
  <c r="W88" i="19"/>
  <c r="I84" i="16"/>
  <c r="AG84" i="16" s="1"/>
  <c r="S84" i="16"/>
  <c r="J204" i="16"/>
  <c r="AH204" i="16" s="1"/>
  <c r="T204" i="16"/>
  <c r="J324" i="16"/>
  <c r="AH324" i="16" s="1"/>
  <c r="T324" i="16"/>
  <c r="T444" i="16"/>
  <c r="J444" i="16"/>
  <c r="AH444" i="16" s="1"/>
  <c r="S328" i="17"/>
  <c r="I328" i="17"/>
  <c r="T147" i="19"/>
  <c r="J147" i="19"/>
  <c r="J7" i="19"/>
  <c r="T7" i="19"/>
  <c r="I420" i="17"/>
  <c r="S420" i="17"/>
  <c r="J413" i="19"/>
  <c r="T413" i="19"/>
  <c r="I23" i="16"/>
  <c r="AG23" i="16" s="1"/>
  <c r="S23" i="16"/>
  <c r="T59" i="16"/>
  <c r="J59" i="16"/>
  <c r="AH59" i="16" s="1"/>
  <c r="J118" i="16"/>
  <c r="AH118" i="16" s="1"/>
  <c r="T118" i="16"/>
  <c r="I143" i="16"/>
  <c r="AG143" i="16" s="1"/>
  <c r="S143" i="16"/>
  <c r="I299" i="16"/>
  <c r="S299" i="16"/>
  <c r="I419" i="16"/>
  <c r="AG419" i="16" s="1"/>
  <c r="S419" i="16"/>
  <c r="I478" i="16"/>
  <c r="S478" i="16"/>
  <c r="T503" i="16"/>
  <c r="J503" i="16"/>
  <c r="AH503" i="16" s="1"/>
  <c r="I327" i="17"/>
  <c r="S327" i="17"/>
  <c r="W236" i="17"/>
  <c r="L236" i="17"/>
  <c r="Y236" i="17" s="1"/>
  <c r="L361" i="17"/>
  <c r="Y361" i="17" s="1"/>
  <c r="AA361" i="17" s="1"/>
  <c r="I390" i="17"/>
  <c r="S390" i="17"/>
  <c r="I507" i="17"/>
  <c r="S507" i="17"/>
  <c r="I267" i="17"/>
  <c r="S267" i="17"/>
  <c r="T416" i="19"/>
  <c r="J416" i="19"/>
  <c r="W296" i="19"/>
  <c r="L296" i="19"/>
  <c r="Y296" i="19" s="1"/>
  <c r="I53" i="19"/>
  <c r="S53" i="19"/>
  <c r="I114" i="16"/>
  <c r="AG114" i="16" s="1"/>
  <c r="S114" i="16"/>
  <c r="J474" i="16"/>
  <c r="AH474" i="16" s="1"/>
  <c r="T474" i="16"/>
  <c r="T325" i="17"/>
  <c r="J325" i="17"/>
  <c r="S415" i="19"/>
  <c r="I415" i="19"/>
  <c r="J301" i="17"/>
  <c r="T301" i="17"/>
  <c r="I330" i="17"/>
  <c r="S330" i="17"/>
  <c r="S248" i="17"/>
  <c r="I248" i="17"/>
  <c r="W461" i="19"/>
  <c r="L461" i="19"/>
  <c r="Y461" i="19" s="1"/>
  <c r="T341" i="19"/>
  <c r="J341" i="19"/>
  <c r="S221" i="19"/>
  <c r="I221" i="19"/>
  <c r="L356" i="17"/>
  <c r="Y356" i="17" s="1"/>
  <c r="W356" i="17"/>
  <c r="T28" i="16"/>
  <c r="J28" i="16"/>
  <c r="AH28" i="16" s="1"/>
  <c r="I53" i="16"/>
  <c r="AG53" i="16" s="1"/>
  <c r="S53" i="16"/>
  <c r="H89" i="16"/>
  <c r="G89" i="16"/>
  <c r="I148" i="16"/>
  <c r="AG148" i="16" s="1"/>
  <c r="S148" i="16"/>
  <c r="H173" i="16"/>
  <c r="G173" i="16"/>
  <c r="T209" i="16"/>
  <c r="J209" i="16"/>
  <c r="AH209" i="16" s="1"/>
  <c r="S268" i="16"/>
  <c r="I268" i="16"/>
  <c r="AG268" i="16" s="1"/>
  <c r="H293" i="16"/>
  <c r="G293" i="16"/>
  <c r="J329" i="16"/>
  <c r="AH329" i="16" s="1"/>
  <c r="T329" i="16"/>
  <c r="G388" i="16"/>
  <c r="H388" i="16"/>
  <c r="T413" i="16"/>
  <c r="J413" i="16"/>
  <c r="AH413" i="16" s="1"/>
  <c r="S449" i="16"/>
  <c r="I449" i="16"/>
  <c r="AG449" i="16" s="1"/>
  <c r="I508" i="16"/>
  <c r="S508" i="16"/>
  <c r="T462" i="19"/>
  <c r="J462" i="19"/>
  <c r="I342" i="19"/>
  <c r="S342" i="19"/>
  <c r="J222" i="19"/>
  <c r="T222" i="19"/>
  <c r="I212" i="17"/>
  <c r="S212" i="17"/>
  <c r="S329" i="17"/>
  <c r="I329" i="17"/>
  <c r="I491" i="17"/>
  <c r="S491" i="17"/>
  <c r="J37" i="19"/>
  <c r="T37" i="19"/>
  <c r="I312" i="16"/>
  <c r="AG312" i="16" s="1"/>
  <c r="S312" i="16"/>
  <c r="J29" i="17"/>
  <c r="T29" i="17"/>
  <c r="J122" i="17"/>
  <c r="T122" i="17"/>
  <c r="L362" i="19"/>
  <c r="Y362" i="19" s="1"/>
  <c r="W362" i="19"/>
  <c r="T281" i="17"/>
  <c r="J281" i="17"/>
  <c r="I361" i="19"/>
  <c r="S361" i="19"/>
  <c r="T60" i="16"/>
  <c r="J60" i="16"/>
  <c r="AH60" i="16" s="1"/>
  <c r="J107" i="16"/>
  <c r="AH107" i="16" s="1"/>
  <c r="T107" i="16"/>
  <c r="T121" i="16"/>
  <c r="J121" i="16"/>
  <c r="AH121" i="16" s="1"/>
  <c r="H180" i="16"/>
  <c r="G180" i="16"/>
  <c r="G227" i="16"/>
  <c r="H227" i="16"/>
  <c r="J241" i="16"/>
  <c r="AH241" i="16" s="1"/>
  <c r="T241" i="16"/>
  <c r="S300" i="16"/>
  <c r="I300" i="16"/>
  <c r="AG300" i="16" s="1"/>
  <c r="G347" i="16"/>
  <c r="H347" i="16"/>
  <c r="H361" i="16"/>
  <c r="G361" i="16"/>
  <c r="T420" i="16"/>
  <c r="J420" i="16"/>
  <c r="AH420" i="16" s="1"/>
  <c r="J467" i="16"/>
  <c r="AH467" i="16" s="1"/>
  <c r="T467" i="16"/>
  <c r="T481" i="16"/>
  <c r="J481" i="16"/>
  <c r="AH481" i="16" s="1"/>
  <c r="L357" i="17"/>
  <c r="Y357" i="17" s="1"/>
  <c r="W357" i="17"/>
  <c r="J127" i="17"/>
  <c r="T127" i="17"/>
  <c r="I338" i="19"/>
  <c r="S338" i="19"/>
  <c r="J218" i="19"/>
  <c r="T218" i="19"/>
  <c r="T98" i="19"/>
  <c r="J98" i="19"/>
  <c r="I332" i="17"/>
  <c r="S332" i="17"/>
  <c r="L475" i="17"/>
  <c r="Y475" i="17" s="1"/>
  <c r="W475" i="17"/>
  <c r="T272" i="19"/>
  <c r="J272" i="19"/>
  <c r="I29" i="19"/>
  <c r="S29" i="19"/>
  <c r="J102" i="16"/>
  <c r="AH102" i="16" s="1"/>
  <c r="T102" i="16"/>
  <c r="J222" i="16"/>
  <c r="AH222" i="16" s="1"/>
  <c r="T222" i="16"/>
  <c r="J342" i="16"/>
  <c r="AH342" i="16" s="1"/>
  <c r="T342" i="16"/>
  <c r="J462" i="16"/>
  <c r="AH462" i="16" s="1"/>
  <c r="T462" i="16"/>
  <c r="I391" i="19"/>
  <c r="S391" i="19"/>
  <c r="I271" i="19"/>
  <c r="S271" i="19"/>
  <c r="S151" i="19"/>
  <c r="I151" i="19"/>
  <c r="J452" i="17"/>
  <c r="T452" i="17"/>
  <c r="T27" i="19"/>
  <c r="J27" i="19"/>
  <c r="J27" i="16"/>
  <c r="AH27" i="16" s="1"/>
  <c r="T27" i="16"/>
  <c r="J86" i="16"/>
  <c r="AH86" i="16" s="1"/>
  <c r="T86" i="16"/>
  <c r="T97" i="16"/>
  <c r="J97" i="16"/>
  <c r="AH97" i="16" s="1"/>
  <c r="T147" i="16"/>
  <c r="J147" i="16"/>
  <c r="AH147" i="16" s="1"/>
  <c r="S206" i="16"/>
  <c r="I206" i="16"/>
  <c r="S217" i="16"/>
  <c r="I217" i="16"/>
  <c r="AG217" i="16" s="1"/>
  <c r="I267" i="16"/>
  <c r="AG267" i="16" s="1"/>
  <c r="S267" i="16"/>
  <c r="S326" i="16"/>
  <c r="I326" i="16"/>
  <c r="J337" i="16"/>
  <c r="AH337" i="16" s="1"/>
  <c r="T337" i="16"/>
  <c r="G387" i="16"/>
  <c r="H387" i="16"/>
  <c r="I446" i="16"/>
  <c r="AG446" i="16" s="1"/>
  <c r="S446" i="16"/>
  <c r="I457" i="16"/>
  <c r="AG457" i="16" s="1"/>
  <c r="S457" i="16"/>
  <c r="S507" i="16"/>
  <c r="I507" i="16"/>
  <c r="S119" i="17"/>
  <c r="I119" i="17"/>
  <c r="S330" i="19"/>
  <c r="I330" i="19"/>
  <c r="I90" i="19"/>
  <c r="S90" i="19"/>
  <c r="J268" i="17"/>
  <c r="T268" i="17"/>
  <c r="S420" i="19"/>
  <c r="I420" i="19"/>
  <c r="L300" i="19"/>
  <c r="Y300" i="19" s="1"/>
  <c r="W300" i="19"/>
  <c r="I108" i="16"/>
  <c r="AG108" i="16" s="1"/>
  <c r="S108" i="16"/>
  <c r="I228" i="16"/>
  <c r="AG228" i="16" s="1"/>
  <c r="S228" i="16"/>
  <c r="S348" i="16"/>
  <c r="I348" i="16"/>
  <c r="AG348" i="16" s="1"/>
  <c r="J468" i="16"/>
  <c r="AH468" i="16" s="1"/>
  <c r="T468" i="16"/>
  <c r="J144" i="17"/>
  <c r="T144" i="17"/>
  <c r="J506" i="17"/>
  <c r="T506" i="17"/>
  <c r="T26" i="17"/>
  <c r="J26" i="17"/>
  <c r="W480" i="17"/>
  <c r="L480" i="17"/>
  <c r="Y480" i="17" s="1"/>
  <c r="J252" i="17"/>
  <c r="T252" i="17"/>
  <c r="S265" i="19"/>
  <c r="I265" i="19"/>
  <c r="L476" i="17"/>
  <c r="Y476" i="17" s="1"/>
  <c r="W476" i="17"/>
  <c r="I47" i="16"/>
  <c r="AG47" i="16" s="1"/>
  <c r="S47" i="16"/>
  <c r="J61" i="16"/>
  <c r="AH61" i="16" s="1"/>
  <c r="T61" i="16"/>
  <c r="T120" i="16"/>
  <c r="J120" i="16"/>
  <c r="AH120" i="16" s="1"/>
  <c r="J167" i="16"/>
  <c r="AH167" i="16" s="1"/>
  <c r="T167" i="16"/>
  <c r="H181" i="16"/>
  <c r="G181" i="16"/>
  <c r="G240" i="16"/>
  <c r="H240" i="16"/>
  <c r="H287" i="16"/>
  <c r="G287" i="16"/>
  <c r="H301" i="16"/>
  <c r="G301" i="16"/>
  <c r="T360" i="16"/>
  <c r="J360" i="16"/>
  <c r="AH360" i="16" s="1"/>
  <c r="J407" i="16"/>
  <c r="AH407" i="16" s="1"/>
  <c r="T407" i="16"/>
  <c r="T421" i="16"/>
  <c r="J421" i="16"/>
  <c r="AH421" i="16" s="1"/>
  <c r="J480" i="16"/>
  <c r="AH480" i="16" s="1"/>
  <c r="T480" i="16"/>
  <c r="T511" i="17"/>
  <c r="J511" i="17"/>
  <c r="I271" i="17"/>
  <c r="S271" i="17"/>
  <c r="S414" i="19"/>
  <c r="I414" i="19"/>
  <c r="J176" i="17"/>
  <c r="T176" i="17"/>
  <c r="T233" i="17"/>
  <c r="J233" i="17"/>
  <c r="T451" i="17"/>
  <c r="J451" i="17"/>
  <c r="I211" i="17"/>
  <c r="S211" i="17"/>
  <c r="S504" i="19"/>
  <c r="I504" i="19"/>
  <c r="S144" i="19"/>
  <c r="I144" i="19"/>
  <c r="I18" i="16"/>
  <c r="AG18" i="16" s="1"/>
  <c r="S18" i="16"/>
  <c r="H138" i="16"/>
  <c r="G138" i="16"/>
  <c r="H258" i="16"/>
  <c r="G258" i="16"/>
  <c r="G378" i="16"/>
  <c r="H378" i="16"/>
  <c r="S498" i="16"/>
  <c r="I498" i="16"/>
  <c r="AG498" i="16" s="1"/>
  <c r="S325" i="17"/>
  <c r="I325" i="17"/>
  <c r="J415" i="19"/>
  <c r="T415" i="19"/>
  <c r="I301" i="17"/>
  <c r="S301" i="17"/>
  <c r="J330" i="17"/>
  <c r="T330" i="17"/>
  <c r="J248" i="17"/>
  <c r="T248" i="17"/>
  <c r="I341" i="19"/>
  <c r="S341" i="19"/>
  <c r="J221" i="19"/>
  <c r="T221" i="19"/>
  <c r="I28" i="16"/>
  <c r="AG28" i="16" s="1"/>
  <c r="S28" i="16"/>
  <c r="T53" i="16"/>
  <c r="J53" i="16"/>
  <c r="AH53" i="16" s="1"/>
  <c r="J148" i="16"/>
  <c r="AH148" i="16" s="1"/>
  <c r="T148" i="16"/>
  <c r="S209" i="16"/>
  <c r="I209" i="16"/>
  <c r="AG209" i="16" s="1"/>
  <c r="J268" i="16"/>
  <c r="AH268" i="16" s="1"/>
  <c r="T268" i="16"/>
  <c r="I329" i="16"/>
  <c r="AG329" i="16" s="1"/>
  <c r="S329" i="16"/>
  <c r="I413" i="16"/>
  <c r="AG413" i="16" s="1"/>
  <c r="S413" i="16"/>
  <c r="T449" i="16"/>
  <c r="J449" i="16"/>
  <c r="AH449" i="16" s="1"/>
  <c r="J508" i="16"/>
  <c r="AH508" i="16" s="1"/>
  <c r="T508" i="16"/>
  <c r="S438" i="19"/>
  <c r="I438" i="19"/>
  <c r="J84" i="17"/>
  <c r="T84" i="17"/>
  <c r="I492" i="19"/>
  <c r="S492" i="19"/>
  <c r="I132" i="19"/>
  <c r="S132" i="19"/>
  <c r="J8" i="16"/>
  <c r="AH8" i="16" s="1"/>
  <c r="T8" i="16"/>
  <c r="T128" i="16"/>
  <c r="J128" i="16"/>
  <c r="AH128" i="16" s="1"/>
  <c r="T248" i="16"/>
  <c r="J248" i="16"/>
  <c r="AH248" i="16" s="1"/>
  <c r="G368" i="16"/>
  <c r="H368" i="16"/>
  <c r="T488" i="16"/>
  <c r="J488" i="16"/>
  <c r="AH488" i="16" s="1"/>
  <c r="I29" i="17"/>
  <c r="S29" i="17"/>
  <c r="I122" i="17"/>
  <c r="S122" i="17"/>
  <c r="S281" i="17"/>
  <c r="I281" i="17"/>
  <c r="J361" i="19"/>
  <c r="T361" i="19"/>
  <c r="W355" i="17"/>
  <c r="L355" i="17"/>
  <c r="Y355" i="17" s="1"/>
  <c r="S60" i="16"/>
  <c r="I60" i="16"/>
  <c r="AG60" i="16" s="1"/>
  <c r="I107" i="16"/>
  <c r="AG107" i="16" s="1"/>
  <c r="S107" i="16"/>
  <c r="S121" i="16"/>
  <c r="I121" i="16"/>
  <c r="AG121" i="16" s="1"/>
  <c r="I241" i="16"/>
  <c r="AG241" i="16" s="1"/>
  <c r="S241" i="16"/>
  <c r="T300" i="16"/>
  <c r="J300" i="16"/>
  <c r="AH300" i="16" s="1"/>
  <c r="S420" i="16"/>
  <c r="I420" i="16"/>
  <c r="AG420" i="16" s="1"/>
  <c r="I467" i="16"/>
  <c r="AG467" i="16" s="1"/>
  <c r="S467" i="16"/>
  <c r="S481" i="16"/>
  <c r="I481" i="16"/>
  <c r="L481" i="16" s="1"/>
  <c r="AI481" i="16" s="1"/>
  <c r="S422" i="19"/>
  <c r="I422" i="19"/>
  <c r="T392" i="17"/>
  <c r="J392" i="17"/>
  <c r="S265" i="17"/>
  <c r="I265" i="17"/>
  <c r="S187" i="17"/>
  <c r="I187" i="17"/>
  <c r="I488" i="19"/>
  <c r="S488" i="19"/>
  <c r="I38" i="16"/>
  <c r="AG38" i="16" s="1"/>
  <c r="S38" i="16"/>
  <c r="I158" i="16"/>
  <c r="AG158" i="16" s="1"/>
  <c r="S158" i="16"/>
  <c r="G278" i="16"/>
  <c r="H278" i="16"/>
  <c r="I398" i="16"/>
  <c r="AG398" i="16" s="1"/>
  <c r="S398" i="16"/>
  <c r="T391" i="19"/>
  <c r="J391" i="19"/>
  <c r="T271" i="19"/>
  <c r="J271" i="19"/>
  <c r="T151" i="19"/>
  <c r="J151" i="19"/>
  <c r="S452" i="17"/>
  <c r="I452" i="17"/>
  <c r="W457" i="17"/>
  <c r="L457" i="17"/>
  <c r="Y457" i="17" s="1"/>
  <c r="L297" i="19"/>
  <c r="Y297" i="19" s="1"/>
  <c r="W297" i="19"/>
  <c r="S27" i="19"/>
  <c r="I27" i="19"/>
  <c r="L148" i="17"/>
  <c r="Y148" i="17" s="1"/>
  <c r="W148" i="17"/>
  <c r="I27" i="16"/>
  <c r="AG27" i="16" s="1"/>
  <c r="S27" i="16"/>
  <c r="I86" i="16"/>
  <c r="AG86" i="16" s="1"/>
  <c r="S86" i="16"/>
  <c r="S97" i="16"/>
  <c r="I97" i="16"/>
  <c r="I147" i="16"/>
  <c r="AG147" i="16" s="1"/>
  <c r="S147" i="16"/>
  <c r="J206" i="16"/>
  <c r="AH206" i="16" s="1"/>
  <c r="T206" i="16"/>
  <c r="J217" i="16"/>
  <c r="AH217" i="16" s="1"/>
  <c r="T217" i="16"/>
  <c r="J267" i="16"/>
  <c r="AH267" i="16" s="1"/>
  <c r="T267" i="16"/>
  <c r="T326" i="16"/>
  <c r="J326" i="16"/>
  <c r="AH326" i="16" s="1"/>
  <c r="I337" i="16"/>
  <c r="AG337" i="16" s="1"/>
  <c r="S337" i="16"/>
  <c r="J446" i="16"/>
  <c r="AH446" i="16" s="1"/>
  <c r="T446" i="16"/>
  <c r="J457" i="16"/>
  <c r="AH457" i="16" s="1"/>
  <c r="T457" i="16"/>
  <c r="J507" i="16"/>
  <c r="AH507" i="16" s="1"/>
  <c r="T507" i="16"/>
  <c r="T119" i="17"/>
  <c r="J119" i="17"/>
  <c r="J330" i="19"/>
  <c r="T330" i="19"/>
  <c r="J90" i="19"/>
  <c r="T90" i="19"/>
  <c r="I268" i="17"/>
  <c r="S268" i="17"/>
  <c r="L59" i="17"/>
  <c r="Y59" i="17" s="1"/>
  <c r="W59" i="17"/>
  <c r="J420" i="19"/>
  <c r="T420" i="19"/>
  <c r="J108" i="16"/>
  <c r="AH108" i="16" s="1"/>
  <c r="T108" i="16"/>
  <c r="J228" i="16"/>
  <c r="AH228" i="16" s="1"/>
  <c r="T228" i="16"/>
  <c r="J348" i="16"/>
  <c r="AH348" i="16" s="1"/>
  <c r="T348" i="16"/>
  <c r="S468" i="16"/>
  <c r="I468" i="16"/>
  <c r="AG468" i="16" s="1"/>
  <c r="I144" i="17"/>
  <c r="S144" i="17"/>
  <c r="W239" i="19"/>
  <c r="L239" i="19"/>
  <c r="Y239" i="19" s="1"/>
  <c r="I506" i="17"/>
  <c r="S506" i="17"/>
  <c r="S26" i="17"/>
  <c r="I26" i="17"/>
  <c r="I252" i="17"/>
  <c r="S252" i="17"/>
  <c r="T265" i="19"/>
  <c r="J265" i="19"/>
  <c r="J47" i="16"/>
  <c r="AH47" i="16" s="1"/>
  <c r="T47" i="16"/>
  <c r="I61" i="16"/>
  <c r="AG61" i="16" s="1"/>
  <c r="S61" i="16"/>
  <c r="I120" i="16"/>
  <c r="AG120" i="16" s="1"/>
  <c r="S120" i="16"/>
  <c r="I167" i="16"/>
  <c r="AG167" i="16" s="1"/>
  <c r="S167" i="16"/>
  <c r="I360" i="16"/>
  <c r="AG360" i="16" s="1"/>
  <c r="S360" i="16"/>
  <c r="I407" i="16"/>
  <c r="AG407" i="16" s="1"/>
  <c r="S407" i="16"/>
  <c r="I421" i="16"/>
  <c r="AG421" i="16" s="1"/>
  <c r="S421" i="16"/>
  <c r="I480" i="16"/>
  <c r="S480" i="16"/>
  <c r="I511" i="17"/>
  <c r="S511" i="17"/>
  <c r="J271" i="17"/>
  <c r="T271" i="17"/>
  <c r="T414" i="19"/>
  <c r="J414" i="19"/>
  <c r="I176" i="17"/>
  <c r="S176" i="17"/>
  <c r="S233" i="17"/>
  <c r="I233" i="17"/>
  <c r="I451" i="17"/>
  <c r="S451" i="17"/>
  <c r="J211" i="17"/>
  <c r="T211" i="17"/>
  <c r="J504" i="19"/>
  <c r="T504" i="19"/>
  <c r="J144" i="19"/>
  <c r="T144" i="19"/>
  <c r="J18" i="16"/>
  <c r="AH18" i="16" s="1"/>
  <c r="T18" i="16"/>
  <c r="J498" i="16"/>
  <c r="AH498" i="16" s="1"/>
  <c r="T498" i="16"/>
  <c r="J272" i="17"/>
  <c r="T272" i="17"/>
  <c r="T503" i="19"/>
  <c r="J503" i="19"/>
  <c r="I143" i="19"/>
  <c r="S143" i="19"/>
  <c r="T258" i="17"/>
  <c r="J258" i="17"/>
  <c r="S26" i="19"/>
  <c r="I26" i="19"/>
  <c r="I505" i="17"/>
  <c r="S505" i="17"/>
  <c r="I197" i="19"/>
  <c r="S197" i="19"/>
  <c r="I30" i="16"/>
  <c r="AG30" i="16" s="1"/>
  <c r="S30" i="16"/>
  <c r="H77" i="16"/>
  <c r="G77" i="16"/>
  <c r="G91" i="16"/>
  <c r="H91" i="16"/>
  <c r="H150" i="16"/>
  <c r="G150" i="16"/>
  <c r="I197" i="16"/>
  <c r="AG197" i="16" s="1"/>
  <c r="S197" i="16"/>
  <c r="T211" i="16"/>
  <c r="J211" i="16"/>
  <c r="AH211" i="16" s="1"/>
  <c r="G270" i="16"/>
  <c r="H270" i="16"/>
  <c r="I317" i="16"/>
  <c r="AG317" i="16" s="1"/>
  <c r="S317" i="16"/>
  <c r="G331" i="16"/>
  <c r="H331" i="16"/>
  <c r="H390" i="16"/>
  <c r="G390" i="16"/>
  <c r="T437" i="16"/>
  <c r="J437" i="16"/>
  <c r="AH437" i="16" s="1"/>
  <c r="T451" i="16"/>
  <c r="J451" i="16"/>
  <c r="AH451" i="16" s="1"/>
  <c r="I510" i="16"/>
  <c r="S510" i="16"/>
  <c r="J438" i="19"/>
  <c r="T438" i="19"/>
  <c r="I84" i="17"/>
  <c r="S84" i="17"/>
  <c r="J492" i="19"/>
  <c r="T492" i="19"/>
  <c r="J132" i="19"/>
  <c r="T132" i="19"/>
  <c r="I8" i="16"/>
  <c r="AG8" i="16" s="1"/>
  <c r="S8" i="16"/>
  <c r="S128" i="16"/>
  <c r="I128" i="16"/>
  <c r="AG128" i="16" s="1"/>
  <c r="S248" i="16"/>
  <c r="I248" i="16"/>
  <c r="AG248" i="16" s="1"/>
  <c r="S488" i="16"/>
  <c r="I488" i="16"/>
  <c r="AG488" i="16" s="1"/>
  <c r="I221" i="17"/>
  <c r="S221" i="17"/>
  <c r="J298" i="17"/>
  <c r="T298" i="17"/>
  <c r="I457" i="19"/>
  <c r="S457" i="19"/>
  <c r="J337" i="19"/>
  <c r="T337" i="19"/>
  <c r="S217" i="19"/>
  <c r="I217" i="19"/>
  <c r="T97" i="19"/>
  <c r="J97" i="19"/>
  <c r="I11" i="16"/>
  <c r="AG11" i="16" s="1"/>
  <c r="S11" i="16"/>
  <c r="I62" i="16"/>
  <c r="AG62" i="16" s="1"/>
  <c r="S62" i="16"/>
  <c r="I115" i="16"/>
  <c r="S115" i="16"/>
  <c r="I131" i="16"/>
  <c r="AG131" i="16" s="1"/>
  <c r="S131" i="16"/>
  <c r="H182" i="16"/>
  <c r="G182" i="16"/>
  <c r="I235" i="16"/>
  <c r="AG235" i="16" s="1"/>
  <c r="S235" i="16"/>
  <c r="G251" i="16"/>
  <c r="H251" i="16"/>
  <c r="G302" i="16"/>
  <c r="H302" i="16"/>
  <c r="G355" i="16"/>
  <c r="H355" i="16"/>
  <c r="G371" i="16"/>
  <c r="H371" i="16"/>
  <c r="J422" i="16"/>
  <c r="AH422" i="16" s="1"/>
  <c r="T422" i="16"/>
  <c r="T475" i="16"/>
  <c r="J475" i="16"/>
  <c r="AH475" i="16" s="1"/>
  <c r="T491" i="16"/>
  <c r="J491" i="16"/>
  <c r="AH491" i="16" s="1"/>
  <c r="AA238" i="19"/>
  <c r="AA446" i="19"/>
  <c r="J422" i="19"/>
  <c r="T422" i="19"/>
  <c r="I392" i="17"/>
  <c r="S392" i="17"/>
  <c r="T265" i="17"/>
  <c r="J265" i="17"/>
  <c r="J187" i="17"/>
  <c r="T187" i="17"/>
  <c r="J488" i="19"/>
  <c r="T488" i="19"/>
  <c r="J38" i="16"/>
  <c r="AH38" i="16" s="1"/>
  <c r="T38" i="16"/>
  <c r="J158" i="16"/>
  <c r="AH158" i="16" s="1"/>
  <c r="T158" i="16"/>
  <c r="J398" i="16"/>
  <c r="AH398" i="16" s="1"/>
  <c r="T398" i="16"/>
  <c r="I208" i="17"/>
  <c r="S208" i="17"/>
  <c r="J205" i="17"/>
  <c r="T205" i="17"/>
  <c r="W367" i="19"/>
  <c r="L367" i="19"/>
  <c r="Y367" i="19" s="1"/>
  <c r="S127" i="19"/>
  <c r="I127" i="19"/>
  <c r="J149" i="17"/>
  <c r="T149" i="17"/>
  <c r="J42" i="17"/>
  <c r="T42" i="17"/>
  <c r="I269" i="19"/>
  <c r="S269" i="19"/>
  <c r="I29" i="16"/>
  <c r="AG29" i="16" s="1"/>
  <c r="S29" i="16"/>
  <c r="J88" i="16"/>
  <c r="AH88" i="16" s="1"/>
  <c r="T88" i="16"/>
  <c r="T113" i="16"/>
  <c r="J113" i="16"/>
  <c r="AH113" i="16" s="1"/>
  <c r="I149" i="16"/>
  <c r="AG149" i="16" s="1"/>
  <c r="S149" i="16"/>
  <c r="S208" i="16"/>
  <c r="I208" i="16"/>
  <c r="AG208" i="16" s="1"/>
  <c r="J233" i="16"/>
  <c r="AH233" i="16" s="1"/>
  <c r="T233" i="16"/>
  <c r="I269" i="16"/>
  <c r="AG269" i="16" s="1"/>
  <c r="S269" i="16"/>
  <c r="J328" i="16"/>
  <c r="AH328" i="16" s="1"/>
  <c r="T328" i="16"/>
  <c r="H353" i="16"/>
  <c r="G353" i="16"/>
  <c r="G389" i="16"/>
  <c r="H389" i="16"/>
  <c r="T448" i="16"/>
  <c r="J448" i="16"/>
  <c r="AH448" i="16" s="1"/>
  <c r="S473" i="16"/>
  <c r="I473" i="16"/>
  <c r="AG473" i="16" s="1"/>
  <c r="T509" i="16"/>
  <c r="J509" i="16"/>
  <c r="AH509" i="16" s="1"/>
  <c r="I287" i="17"/>
  <c r="S287" i="17"/>
  <c r="S257" i="17"/>
  <c r="I257" i="17"/>
  <c r="I326" i="17"/>
  <c r="S326" i="17"/>
  <c r="S388" i="19"/>
  <c r="I388" i="19"/>
  <c r="I268" i="19"/>
  <c r="S268" i="19"/>
  <c r="T12" i="16"/>
  <c r="J12" i="16"/>
  <c r="AH12" i="16" s="1"/>
  <c r="H132" i="16"/>
  <c r="G132" i="16"/>
  <c r="I252" i="16"/>
  <c r="AG252" i="16" s="1"/>
  <c r="S252" i="16"/>
  <c r="G372" i="16"/>
  <c r="H372" i="16"/>
  <c r="S492" i="16"/>
  <c r="I492" i="16"/>
  <c r="AG492" i="16" s="1"/>
  <c r="S327" i="19"/>
  <c r="I327" i="19"/>
  <c r="I87" i="19"/>
  <c r="S87" i="19"/>
  <c r="S12" i="19"/>
  <c r="I12" i="19"/>
  <c r="J132" i="17"/>
  <c r="T132" i="17"/>
  <c r="J209" i="17"/>
  <c r="T209" i="17"/>
  <c r="S473" i="19"/>
  <c r="I473" i="19"/>
  <c r="J55" i="16"/>
  <c r="AH55" i="16" s="1"/>
  <c r="T55" i="16"/>
  <c r="J71" i="16"/>
  <c r="AH71" i="16" s="1"/>
  <c r="T71" i="16"/>
  <c r="T122" i="16"/>
  <c r="J122" i="16"/>
  <c r="AH122" i="16" s="1"/>
  <c r="G175" i="16"/>
  <c r="H175" i="16"/>
  <c r="G191" i="16"/>
  <c r="H191" i="16"/>
  <c r="J242" i="16"/>
  <c r="AH242" i="16" s="1"/>
  <c r="T242" i="16"/>
  <c r="T295" i="16"/>
  <c r="J295" i="16"/>
  <c r="AH295" i="16" s="1"/>
  <c r="T311" i="16"/>
  <c r="J311" i="16"/>
  <c r="AH311" i="16" s="1"/>
  <c r="H362" i="16"/>
  <c r="G362" i="16"/>
  <c r="J415" i="16"/>
  <c r="AH415" i="16" s="1"/>
  <c r="T415" i="16"/>
  <c r="J431" i="16"/>
  <c r="AH431" i="16" s="1"/>
  <c r="T431" i="16"/>
  <c r="J482" i="16"/>
  <c r="AH482" i="16" s="1"/>
  <c r="T482" i="16"/>
  <c r="W90" i="17"/>
  <c r="L90" i="17"/>
  <c r="Y90" i="17" s="1"/>
  <c r="S386" i="19"/>
  <c r="I386" i="19"/>
  <c r="I266" i="19"/>
  <c r="S266" i="19"/>
  <c r="I146" i="19"/>
  <c r="S146" i="19"/>
  <c r="J510" i="17"/>
  <c r="T510" i="17"/>
  <c r="I270" i="17"/>
  <c r="S270" i="17"/>
  <c r="S30" i="17"/>
  <c r="I30" i="17"/>
  <c r="I236" i="19"/>
  <c r="S236" i="19"/>
  <c r="I42" i="16"/>
  <c r="AG42" i="16" s="1"/>
  <c r="S42" i="16"/>
  <c r="T162" i="16"/>
  <c r="J162" i="16"/>
  <c r="AH162" i="16" s="1"/>
  <c r="J282" i="16"/>
  <c r="AH282" i="16" s="1"/>
  <c r="T282" i="16"/>
  <c r="J402" i="16"/>
  <c r="AH402" i="16" s="1"/>
  <c r="T402" i="16"/>
  <c r="S272" i="17"/>
  <c r="I272" i="17"/>
  <c r="L237" i="17"/>
  <c r="Y237" i="17" s="1"/>
  <c r="W237" i="17"/>
  <c r="S503" i="19"/>
  <c r="I503" i="19"/>
  <c r="T143" i="19"/>
  <c r="J143" i="19"/>
  <c r="I258" i="17"/>
  <c r="S258" i="17"/>
  <c r="T26" i="19"/>
  <c r="J26" i="19"/>
  <c r="J505" i="17"/>
  <c r="T505" i="17"/>
  <c r="J197" i="19"/>
  <c r="T197" i="19"/>
  <c r="W358" i="17"/>
  <c r="L358" i="17"/>
  <c r="Y358" i="17" s="1"/>
  <c r="J30" i="16"/>
  <c r="AH30" i="16" s="1"/>
  <c r="T30" i="16"/>
  <c r="J197" i="16"/>
  <c r="AH197" i="16" s="1"/>
  <c r="T197" i="16"/>
  <c r="S211" i="16"/>
  <c r="I211" i="16"/>
  <c r="T317" i="16"/>
  <c r="J317" i="16"/>
  <c r="AH317" i="16" s="1"/>
  <c r="S437" i="16"/>
  <c r="I437" i="16"/>
  <c r="AG437" i="16" s="1"/>
  <c r="I451" i="16"/>
  <c r="AG451" i="16" s="1"/>
  <c r="S451" i="16"/>
  <c r="T510" i="16"/>
  <c r="J510" i="16"/>
  <c r="AH510" i="16" s="1"/>
  <c r="T17" i="19"/>
  <c r="J17" i="19"/>
  <c r="L238" i="17"/>
  <c r="Y238" i="17" s="1"/>
  <c r="W238" i="17"/>
  <c r="I131" i="17"/>
  <c r="S131" i="17"/>
  <c r="I228" i="19"/>
  <c r="S228" i="19"/>
  <c r="G24" i="16"/>
  <c r="H24" i="16"/>
  <c r="T144" i="16"/>
  <c r="J144" i="16"/>
  <c r="AH144" i="16" s="1"/>
  <c r="G264" i="16"/>
  <c r="H264" i="16"/>
  <c r="G384" i="16"/>
  <c r="H384" i="16"/>
  <c r="T504" i="16"/>
  <c r="J504" i="16"/>
  <c r="AH504" i="16" s="1"/>
  <c r="J221" i="17"/>
  <c r="T221" i="17"/>
  <c r="S298" i="17"/>
  <c r="I298" i="17"/>
  <c r="W487" i="17"/>
  <c r="L487" i="17"/>
  <c r="Y487" i="17" s="1"/>
  <c r="T457" i="19"/>
  <c r="J457" i="19"/>
  <c r="I337" i="19"/>
  <c r="S337" i="19"/>
  <c r="T217" i="19"/>
  <c r="J217" i="19"/>
  <c r="S97" i="19"/>
  <c r="I97" i="19"/>
  <c r="W180" i="17"/>
  <c r="L180" i="17"/>
  <c r="Y180" i="17" s="1"/>
  <c r="J11" i="16"/>
  <c r="AH11" i="16" s="1"/>
  <c r="T11" i="16"/>
  <c r="J62" i="16"/>
  <c r="AH62" i="16" s="1"/>
  <c r="T62" i="16"/>
  <c r="J115" i="16"/>
  <c r="AH115" i="16" s="1"/>
  <c r="T115" i="16"/>
  <c r="J131" i="16"/>
  <c r="AH131" i="16" s="1"/>
  <c r="T131" i="16"/>
  <c r="J235" i="16"/>
  <c r="AH235" i="16" s="1"/>
  <c r="T235" i="16"/>
  <c r="I422" i="16"/>
  <c r="S422" i="16"/>
  <c r="I475" i="16"/>
  <c r="S475" i="16"/>
  <c r="S491" i="16"/>
  <c r="I491" i="16"/>
  <c r="T137" i="17"/>
  <c r="J137" i="17"/>
  <c r="J332" i="19"/>
  <c r="T332" i="19"/>
  <c r="I212" i="19"/>
  <c r="S212" i="19"/>
  <c r="I92" i="19"/>
  <c r="S92" i="19"/>
  <c r="G54" i="16"/>
  <c r="H54" i="16"/>
  <c r="G174" i="16"/>
  <c r="H174" i="16"/>
  <c r="G294" i="16"/>
  <c r="H294" i="16"/>
  <c r="I414" i="16"/>
  <c r="AG414" i="16" s="1"/>
  <c r="S414" i="16"/>
  <c r="T208" i="17"/>
  <c r="J208" i="17"/>
  <c r="I205" i="17"/>
  <c r="S205" i="17"/>
  <c r="L247" i="19"/>
  <c r="Y247" i="19" s="1"/>
  <c r="W247" i="19"/>
  <c r="J127" i="19"/>
  <c r="T127" i="19"/>
  <c r="I149" i="17"/>
  <c r="S149" i="17"/>
  <c r="I42" i="17"/>
  <c r="S42" i="17"/>
  <c r="W479" i="17"/>
  <c r="L479" i="17"/>
  <c r="Y479" i="17" s="1"/>
  <c r="J269" i="19"/>
  <c r="T269" i="19"/>
  <c r="J29" i="16"/>
  <c r="AH29" i="16" s="1"/>
  <c r="T29" i="16"/>
  <c r="I88" i="16"/>
  <c r="AG88" i="16" s="1"/>
  <c r="S88" i="16"/>
  <c r="I113" i="16"/>
  <c r="AG113" i="16" s="1"/>
  <c r="S113" i="16"/>
  <c r="J149" i="16"/>
  <c r="AH149" i="16" s="1"/>
  <c r="T149" i="16"/>
  <c r="T208" i="16"/>
  <c r="J208" i="16"/>
  <c r="AH208" i="16" s="1"/>
  <c r="S233" i="16"/>
  <c r="I233" i="16"/>
  <c r="AG233" i="16" s="1"/>
  <c r="J269" i="16"/>
  <c r="AH269" i="16" s="1"/>
  <c r="T269" i="16"/>
  <c r="I328" i="16"/>
  <c r="AG328" i="16" s="1"/>
  <c r="S328" i="16"/>
  <c r="I448" i="16"/>
  <c r="AG448" i="16" s="1"/>
  <c r="S448" i="16"/>
  <c r="J473" i="16"/>
  <c r="AH473" i="16" s="1"/>
  <c r="T473" i="16"/>
  <c r="I509" i="16"/>
  <c r="S509" i="16"/>
  <c r="J287" i="17"/>
  <c r="T287" i="17"/>
  <c r="L41" i="19"/>
  <c r="Y41" i="19" s="1"/>
  <c r="W41" i="19"/>
  <c r="T257" i="17"/>
  <c r="J257" i="17"/>
  <c r="J326" i="17"/>
  <c r="T326" i="17"/>
  <c r="J388" i="19"/>
  <c r="T388" i="19"/>
  <c r="T268" i="19"/>
  <c r="J268" i="19"/>
  <c r="I12" i="16"/>
  <c r="AG12" i="16" s="1"/>
  <c r="S12" i="16"/>
  <c r="J252" i="16"/>
  <c r="AH252" i="16" s="1"/>
  <c r="T252" i="16"/>
  <c r="J492" i="16"/>
  <c r="AH492" i="16" s="1"/>
  <c r="T492" i="16"/>
  <c r="T327" i="19"/>
  <c r="J327" i="19"/>
  <c r="T87" i="19"/>
  <c r="J87" i="19"/>
  <c r="T12" i="19"/>
  <c r="J12" i="19"/>
  <c r="I132" i="17"/>
  <c r="S132" i="17"/>
  <c r="I209" i="17"/>
  <c r="S209" i="17"/>
  <c r="J473" i="19"/>
  <c r="T473" i="19"/>
  <c r="S55" i="16"/>
  <c r="I55" i="16"/>
  <c r="AG55" i="16" s="1"/>
  <c r="I71" i="16"/>
  <c r="AG71" i="16" s="1"/>
  <c r="S71" i="16"/>
  <c r="I122" i="16"/>
  <c r="S122" i="16"/>
  <c r="I242" i="16"/>
  <c r="AG242" i="16" s="1"/>
  <c r="S242" i="16"/>
  <c r="I295" i="16"/>
  <c r="S295" i="16"/>
  <c r="I311" i="16"/>
  <c r="AG311" i="16" s="1"/>
  <c r="S311" i="16"/>
  <c r="I415" i="16"/>
  <c r="S415" i="16"/>
  <c r="I431" i="16"/>
  <c r="AG431" i="16" s="1"/>
  <c r="S431" i="16"/>
  <c r="I482" i="16"/>
  <c r="L482" i="16" s="1"/>
  <c r="AI482" i="16" s="1"/>
  <c r="S482" i="16"/>
  <c r="T386" i="19"/>
  <c r="J386" i="19"/>
  <c r="J266" i="19"/>
  <c r="T266" i="19"/>
  <c r="T146" i="19"/>
  <c r="J146" i="19"/>
  <c r="W448" i="17"/>
  <c r="L448" i="17"/>
  <c r="Y448" i="17" s="1"/>
  <c r="I510" i="17"/>
  <c r="S510" i="17"/>
  <c r="J270" i="17"/>
  <c r="T270" i="17"/>
  <c r="J30" i="17"/>
  <c r="T30" i="17"/>
  <c r="T236" i="19"/>
  <c r="J236" i="19"/>
  <c r="J42" i="16"/>
  <c r="AH42" i="16" s="1"/>
  <c r="T42" i="16"/>
  <c r="I162" i="16"/>
  <c r="AG162" i="16" s="1"/>
  <c r="S162" i="16"/>
  <c r="I282" i="16"/>
  <c r="AG282" i="16" s="1"/>
  <c r="S282" i="16"/>
  <c r="I402" i="16"/>
  <c r="AG402" i="16" s="1"/>
  <c r="S402" i="16"/>
  <c r="S128" i="17"/>
  <c r="I128" i="17"/>
  <c r="I173" i="17"/>
  <c r="S173" i="17"/>
  <c r="I24" i="17"/>
  <c r="S24" i="17"/>
  <c r="T450" i="17"/>
  <c r="J450" i="17"/>
  <c r="J210" i="17"/>
  <c r="T210" i="17"/>
  <c r="T25" i="17"/>
  <c r="J25" i="17"/>
  <c r="L217" i="17"/>
  <c r="Y217" i="17" s="1"/>
  <c r="W217" i="17"/>
  <c r="T32" i="16"/>
  <c r="J32" i="16"/>
  <c r="AH32" i="16" s="1"/>
  <c r="I85" i="16"/>
  <c r="L85" i="16" s="1"/>
  <c r="AI85" i="16" s="1"/>
  <c r="S85" i="16"/>
  <c r="I101" i="16"/>
  <c r="S101" i="16"/>
  <c r="S152" i="16"/>
  <c r="I152" i="16"/>
  <c r="AG152" i="16" s="1"/>
  <c r="I205" i="16"/>
  <c r="AG205" i="16" s="1"/>
  <c r="S205" i="16"/>
  <c r="I221" i="16"/>
  <c r="L221" i="16" s="1"/>
  <c r="AI221" i="16" s="1"/>
  <c r="S221" i="16"/>
  <c r="T272" i="16"/>
  <c r="J272" i="16"/>
  <c r="AH272" i="16" s="1"/>
  <c r="H325" i="16"/>
  <c r="G325" i="16"/>
  <c r="H341" i="16"/>
  <c r="G341" i="16"/>
  <c r="G392" i="16"/>
  <c r="H392" i="16"/>
  <c r="T445" i="16"/>
  <c r="J445" i="16"/>
  <c r="AH445" i="16" s="1"/>
  <c r="T461" i="16"/>
  <c r="J461" i="16"/>
  <c r="AH461" i="16" s="1"/>
  <c r="S512" i="16"/>
  <c r="I512" i="16"/>
  <c r="S17" i="19"/>
  <c r="I17" i="19"/>
  <c r="J131" i="17"/>
  <c r="T131" i="17"/>
  <c r="J228" i="19"/>
  <c r="T228" i="19"/>
  <c r="S144" i="16"/>
  <c r="I144" i="16"/>
  <c r="AG144" i="16" s="1"/>
  <c r="I504" i="16"/>
  <c r="AG504" i="16" s="1"/>
  <c r="S504" i="16"/>
  <c r="I157" i="17"/>
  <c r="S157" i="17"/>
  <c r="S467" i="19"/>
  <c r="I467" i="19"/>
  <c r="J347" i="19"/>
  <c r="T347" i="19"/>
  <c r="T473" i="17"/>
  <c r="J473" i="17"/>
  <c r="T89" i="17"/>
  <c r="J89" i="17"/>
  <c r="I421" i="19"/>
  <c r="S421" i="19"/>
  <c r="T56" i="16"/>
  <c r="J56" i="16"/>
  <c r="AH56" i="16" s="1"/>
  <c r="T67" i="16"/>
  <c r="J67" i="16"/>
  <c r="AH67" i="16" s="1"/>
  <c r="I117" i="16"/>
  <c r="AG117" i="16" s="1"/>
  <c r="S117" i="16"/>
  <c r="G176" i="16"/>
  <c r="H176" i="16"/>
  <c r="G187" i="16"/>
  <c r="H187" i="16"/>
  <c r="H237" i="16"/>
  <c r="G237" i="16"/>
  <c r="J296" i="16"/>
  <c r="AH296" i="16" s="1"/>
  <c r="T296" i="16"/>
  <c r="J307" i="16"/>
  <c r="AH307" i="16" s="1"/>
  <c r="T307" i="16"/>
  <c r="G357" i="16"/>
  <c r="H357" i="16"/>
  <c r="T416" i="16"/>
  <c r="J416" i="16"/>
  <c r="AH416" i="16" s="1"/>
  <c r="J427" i="16"/>
  <c r="AH427" i="16" s="1"/>
  <c r="T427" i="16"/>
  <c r="T477" i="16"/>
  <c r="J477" i="16"/>
  <c r="AH477" i="16" s="1"/>
  <c r="G303" i="16"/>
  <c r="H303" i="16"/>
  <c r="H309" i="16"/>
  <c r="G309" i="16"/>
  <c r="H305" i="16"/>
  <c r="G305" i="16"/>
  <c r="H304" i="16"/>
  <c r="G304" i="16"/>
  <c r="H310" i="16"/>
  <c r="G310" i="16"/>
  <c r="G306" i="16"/>
  <c r="H306" i="16"/>
  <c r="J77" i="9"/>
  <c r="T77" i="9"/>
  <c r="J174" i="9"/>
  <c r="T174" i="9"/>
  <c r="J234" i="9"/>
  <c r="T234" i="9"/>
  <c r="I29" i="9"/>
  <c r="W29" i="9" s="1"/>
  <c r="S29" i="9"/>
  <c r="I77" i="9"/>
  <c r="S77" i="9"/>
  <c r="I149" i="9"/>
  <c r="W149" i="9" s="1"/>
  <c r="S149" i="9"/>
  <c r="J205" i="9"/>
  <c r="T205" i="9"/>
  <c r="I38" i="9"/>
  <c r="S38" i="9"/>
  <c r="J203" i="9"/>
  <c r="T203" i="9"/>
  <c r="J23" i="9"/>
  <c r="T23" i="9"/>
  <c r="J71" i="9"/>
  <c r="T71" i="9"/>
  <c r="I143" i="9"/>
  <c r="S143" i="9"/>
  <c r="J191" i="9"/>
  <c r="T191" i="9"/>
  <c r="I362" i="9"/>
  <c r="W362" i="9" s="1"/>
  <c r="S362" i="9"/>
  <c r="I240" i="9"/>
  <c r="W240" i="9" s="1"/>
  <c r="S240" i="9"/>
  <c r="J48" i="9"/>
  <c r="T48" i="9"/>
  <c r="I88" i="9"/>
  <c r="W88" i="9" s="1"/>
  <c r="S88" i="9"/>
  <c r="J152" i="9"/>
  <c r="T152" i="9"/>
  <c r="J227" i="9"/>
  <c r="T227" i="9"/>
  <c r="J17" i="9"/>
  <c r="T17" i="9"/>
  <c r="J89" i="9"/>
  <c r="T89" i="9"/>
  <c r="J137" i="9"/>
  <c r="T137" i="9"/>
  <c r="J217" i="9"/>
  <c r="T217" i="9"/>
  <c r="I58" i="9"/>
  <c r="W58" i="9" s="1"/>
  <c r="S58" i="9"/>
  <c r="I178" i="9"/>
  <c r="W178" i="9" s="1"/>
  <c r="S178" i="9"/>
  <c r="I107" i="9"/>
  <c r="S107" i="9"/>
  <c r="J451" i="9"/>
  <c r="T451" i="9"/>
  <c r="I385" i="9"/>
  <c r="W385" i="9" s="1"/>
  <c r="S385" i="9"/>
  <c r="I329" i="9"/>
  <c r="W329" i="9" s="1"/>
  <c r="S329" i="9"/>
  <c r="J12" i="9"/>
  <c r="T12" i="9"/>
  <c r="J84" i="9"/>
  <c r="T84" i="9"/>
  <c r="J204" i="9"/>
  <c r="T204" i="9"/>
  <c r="J29" i="9"/>
  <c r="T29" i="9"/>
  <c r="I78" i="9"/>
  <c r="S78" i="9"/>
  <c r="J418" i="9"/>
  <c r="T418" i="9"/>
  <c r="J107" i="9"/>
  <c r="T107" i="9"/>
  <c r="J329" i="9"/>
  <c r="T329" i="9"/>
  <c r="I269" i="9"/>
  <c r="W269" i="9" s="1"/>
  <c r="S269" i="9"/>
  <c r="I68" i="9"/>
  <c r="S68" i="9"/>
  <c r="I37" i="9"/>
  <c r="W37" i="9" s="1"/>
  <c r="S37" i="9"/>
  <c r="J85" i="9"/>
  <c r="T85" i="9"/>
  <c r="J157" i="9"/>
  <c r="T157" i="9"/>
  <c r="I205" i="9"/>
  <c r="W205" i="9" s="1"/>
  <c r="S205" i="9"/>
  <c r="I198" i="9"/>
  <c r="S198" i="9"/>
  <c r="I203" i="9"/>
  <c r="S203" i="9"/>
  <c r="I23" i="9"/>
  <c r="S23" i="9"/>
  <c r="I71" i="9"/>
  <c r="W71" i="9" s="1"/>
  <c r="S71" i="9"/>
  <c r="J151" i="9"/>
  <c r="T151" i="9"/>
  <c r="I191" i="9"/>
  <c r="W191" i="9" s="1"/>
  <c r="S191" i="9"/>
  <c r="I422" i="9"/>
  <c r="W422" i="9" s="1"/>
  <c r="S422" i="9"/>
  <c r="J362" i="9"/>
  <c r="T362" i="9"/>
  <c r="I296" i="9"/>
  <c r="W296" i="9" s="1"/>
  <c r="S296" i="9"/>
  <c r="J268" i="9"/>
  <c r="T268" i="9"/>
  <c r="J240" i="9"/>
  <c r="T240" i="9"/>
  <c r="I48" i="9"/>
  <c r="S48" i="9"/>
  <c r="I152" i="9"/>
  <c r="W152" i="9" s="1"/>
  <c r="S152" i="9"/>
  <c r="J208" i="9"/>
  <c r="T208" i="9"/>
  <c r="I227" i="9"/>
  <c r="S227" i="9"/>
  <c r="I17" i="9"/>
  <c r="S17" i="9"/>
  <c r="I89" i="9"/>
  <c r="W89" i="9" s="1"/>
  <c r="S89" i="9"/>
  <c r="J145" i="9"/>
  <c r="T145" i="9"/>
  <c r="I217" i="9"/>
  <c r="W217" i="9" s="1"/>
  <c r="S217" i="9"/>
  <c r="J58" i="9"/>
  <c r="T58" i="9"/>
  <c r="I138" i="9"/>
  <c r="S138" i="9"/>
  <c r="J178" i="9"/>
  <c r="T178" i="9"/>
  <c r="I451" i="9"/>
  <c r="W451" i="9" s="1"/>
  <c r="S451" i="9"/>
  <c r="J385" i="9"/>
  <c r="T385" i="9"/>
  <c r="J301" i="9"/>
  <c r="T301" i="9"/>
  <c r="I235" i="9"/>
  <c r="W235" i="9" s="1"/>
  <c r="S235" i="9"/>
  <c r="I12" i="9"/>
  <c r="S12" i="9"/>
  <c r="I84" i="9"/>
  <c r="S84" i="9"/>
  <c r="I204" i="9"/>
  <c r="S204" i="9"/>
  <c r="J38" i="9"/>
  <c r="T38" i="9"/>
  <c r="I55" i="9"/>
  <c r="W55" i="9" s="1"/>
  <c r="S55" i="9"/>
  <c r="I137" i="9"/>
  <c r="S137" i="9"/>
  <c r="J37" i="9"/>
  <c r="T37" i="9"/>
  <c r="I85" i="9"/>
  <c r="W85" i="9" s="1"/>
  <c r="S85" i="9"/>
  <c r="I157" i="9"/>
  <c r="W157" i="9" s="1"/>
  <c r="S157" i="9"/>
  <c r="J221" i="9"/>
  <c r="T221" i="9"/>
  <c r="J54" i="9"/>
  <c r="T54" i="9"/>
  <c r="J102" i="9"/>
  <c r="T102" i="9"/>
  <c r="J198" i="9"/>
  <c r="T198" i="9"/>
  <c r="J31" i="9"/>
  <c r="T31" i="9"/>
  <c r="J87" i="9"/>
  <c r="T87" i="9"/>
  <c r="I151" i="9"/>
  <c r="W151" i="9" s="1"/>
  <c r="S151" i="9"/>
  <c r="J207" i="9"/>
  <c r="T207" i="9"/>
  <c r="J422" i="9"/>
  <c r="T422" i="9"/>
  <c r="J356" i="9"/>
  <c r="T356" i="9"/>
  <c r="J296" i="9"/>
  <c r="T296" i="9"/>
  <c r="I268" i="9"/>
  <c r="W268" i="9" s="1"/>
  <c r="S268" i="9"/>
  <c r="J56" i="9"/>
  <c r="T56" i="9"/>
  <c r="I120" i="9"/>
  <c r="W120" i="9" s="1"/>
  <c r="S120" i="9"/>
  <c r="I168" i="9"/>
  <c r="S168" i="9"/>
  <c r="I208" i="9"/>
  <c r="W208" i="9" s="1"/>
  <c r="S208" i="9"/>
  <c r="I145" i="9"/>
  <c r="W145" i="9" s="1"/>
  <c r="S145" i="9"/>
  <c r="I233" i="9"/>
  <c r="S233" i="9"/>
  <c r="J187" i="9"/>
  <c r="T187" i="9"/>
  <c r="I18" i="9"/>
  <c r="S18" i="9"/>
  <c r="I90" i="9"/>
  <c r="W90" i="9" s="1"/>
  <c r="S90" i="9"/>
  <c r="J138" i="9"/>
  <c r="T138" i="9"/>
  <c r="I210" i="9"/>
  <c r="W210" i="9" s="1"/>
  <c r="S210" i="9"/>
  <c r="J481" i="9"/>
  <c r="T481" i="9"/>
  <c r="J415" i="9"/>
  <c r="T415" i="9"/>
  <c r="I301" i="9"/>
  <c r="W301" i="9" s="1"/>
  <c r="S301" i="9"/>
  <c r="J235" i="9"/>
  <c r="T235" i="9"/>
  <c r="J28" i="9"/>
  <c r="T28" i="9"/>
  <c r="J92" i="9"/>
  <c r="T92" i="9"/>
  <c r="J148" i="9"/>
  <c r="T148" i="9"/>
  <c r="J212" i="9"/>
  <c r="T212" i="9"/>
  <c r="J192" i="9"/>
  <c r="T192" i="9"/>
  <c r="I209" i="9"/>
  <c r="W209" i="9" s="1"/>
  <c r="S209" i="9"/>
  <c r="J188" i="9"/>
  <c r="T188" i="9"/>
  <c r="I53" i="9"/>
  <c r="S53" i="9"/>
  <c r="I173" i="9"/>
  <c r="S173" i="9"/>
  <c r="I221" i="9"/>
  <c r="W221" i="9" s="1"/>
  <c r="S221" i="9"/>
  <c r="I54" i="9"/>
  <c r="S54" i="9"/>
  <c r="I102" i="9"/>
  <c r="S102" i="9"/>
  <c r="J158" i="9"/>
  <c r="T158" i="9"/>
  <c r="I31" i="9"/>
  <c r="W31" i="9" s="1"/>
  <c r="S31" i="9"/>
  <c r="I87" i="9"/>
  <c r="W87" i="9" s="1"/>
  <c r="S87" i="9"/>
  <c r="I167" i="9"/>
  <c r="S167" i="9"/>
  <c r="I207" i="9"/>
  <c r="W207" i="9" s="1"/>
  <c r="S207" i="9"/>
  <c r="J480" i="9"/>
  <c r="T480" i="9"/>
  <c r="I386" i="9"/>
  <c r="W386" i="9" s="1"/>
  <c r="S386" i="9"/>
  <c r="I356" i="9"/>
  <c r="W356" i="9" s="1"/>
  <c r="S356" i="9"/>
  <c r="I328" i="9"/>
  <c r="W328" i="9" s="1"/>
  <c r="S328" i="9"/>
  <c r="I298" i="9"/>
  <c r="W298" i="9" s="1"/>
  <c r="S298" i="9"/>
  <c r="J8" i="9"/>
  <c r="T8" i="9"/>
  <c r="I56" i="9"/>
  <c r="W56" i="9" s="1"/>
  <c r="S56" i="9"/>
  <c r="J120" i="9"/>
  <c r="T120" i="9"/>
  <c r="J168" i="9"/>
  <c r="T168" i="9"/>
  <c r="I113" i="9"/>
  <c r="S113" i="9"/>
  <c r="J233" i="9"/>
  <c r="T233" i="9"/>
  <c r="I187" i="9"/>
  <c r="W187" i="9" s="1"/>
  <c r="S187" i="9"/>
  <c r="J18" i="9"/>
  <c r="T18" i="9"/>
  <c r="J90" i="9"/>
  <c r="T90" i="9"/>
  <c r="J210" i="9"/>
  <c r="L210" i="9" s="1"/>
  <c r="Y210" i="9" s="1"/>
  <c r="T210" i="9"/>
  <c r="I481" i="9"/>
  <c r="W481" i="9" s="1"/>
  <c r="S481" i="9"/>
  <c r="I415" i="9"/>
  <c r="W415" i="9" s="1"/>
  <c r="S415" i="9"/>
  <c r="J389" i="9"/>
  <c r="T389" i="9"/>
  <c r="J295" i="9"/>
  <c r="T295" i="9"/>
  <c r="I28" i="9"/>
  <c r="W28" i="9" s="1"/>
  <c r="S28" i="9"/>
  <c r="I92" i="9"/>
  <c r="W92" i="9" s="1"/>
  <c r="S92" i="9"/>
  <c r="I148" i="9"/>
  <c r="W148" i="9" s="1"/>
  <c r="S148" i="9"/>
  <c r="I212" i="9"/>
  <c r="W212" i="9" s="1"/>
  <c r="S212" i="9"/>
  <c r="J149" i="9"/>
  <c r="T149" i="9"/>
  <c r="I144" i="9"/>
  <c r="S144" i="9"/>
  <c r="I475" i="9"/>
  <c r="W475" i="9" s="1"/>
  <c r="S475" i="9"/>
  <c r="J53" i="9"/>
  <c r="T53" i="9"/>
  <c r="I101" i="9"/>
  <c r="W101" i="9" s="1"/>
  <c r="S101" i="9"/>
  <c r="J173" i="9"/>
  <c r="T173" i="9"/>
  <c r="I131" i="9"/>
  <c r="W131" i="9" s="1"/>
  <c r="S131" i="9"/>
  <c r="I158" i="9"/>
  <c r="S158" i="9"/>
  <c r="I47" i="9"/>
  <c r="S47" i="9"/>
  <c r="I119" i="9"/>
  <c r="W119" i="9" s="1"/>
  <c r="S119" i="9"/>
  <c r="J167" i="9"/>
  <c r="T167" i="9"/>
  <c r="I480" i="9"/>
  <c r="W480" i="9" s="1"/>
  <c r="S480" i="9"/>
  <c r="J386" i="9"/>
  <c r="T386" i="9"/>
  <c r="J358" i="9"/>
  <c r="T358" i="9"/>
  <c r="J328" i="9"/>
  <c r="T328" i="9"/>
  <c r="J298" i="9"/>
  <c r="T298" i="9"/>
  <c r="I8" i="9"/>
  <c r="S8" i="9"/>
  <c r="J128" i="9"/>
  <c r="T128" i="9"/>
  <c r="I176" i="9"/>
  <c r="W176" i="9" s="1"/>
  <c r="S176" i="9"/>
  <c r="I67" i="9"/>
  <c r="W67" i="9" s="1"/>
  <c r="S67" i="9"/>
  <c r="J113" i="9"/>
  <c r="T113" i="9"/>
  <c r="I177" i="9"/>
  <c r="W177" i="9" s="1"/>
  <c r="S177" i="9"/>
  <c r="I26" i="9"/>
  <c r="W26" i="9" s="1"/>
  <c r="S26" i="9"/>
  <c r="I98" i="9"/>
  <c r="S98" i="9"/>
  <c r="I218" i="9"/>
  <c r="S218" i="9"/>
  <c r="I389" i="9"/>
  <c r="W389" i="9" s="1"/>
  <c r="S389" i="9"/>
  <c r="J325" i="9"/>
  <c r="T325" i="9"/>
  <c r="I295" i="9"/>
  <c r="W295" i="9" s="1"/>
  <c r="S295" i="9"/>
  <c r="J267" i="9"/>
  <c r="T267" i="9"/>
  <c r="I239" i="9"/>
  <c r="W239" i="9" s="1"/>
  <c r="S239" i="9"/>
  <c r="J60" i="9"/>
  <c r="T60" i="9"/>
  <c r="J108" i="9"/>
  <c r="T108" i="9"/>
  <c r="I180" i="9"/>
  <c r="W180" i="9" s="1"/>
  <c r="S180" i="9"/>
  <c r="I228" i="9"/>
  <c r="S228" i="9"/>
  <c r="J88" i="9"/>
  <c r="T88" i="9"/>
  <c r="J57" i="9"/>
  <c r="T57" i="9"/>
  <c r="J114" i="9"/>
  <c r="T114" i="9"/>
  <c r="J61" i="9"/>
  <c r="T61" i="9"/>
  <c r="J101" i="9"/>
  <c r="T101" i="9"/>
  <c r="J131" i="9"/>
  <c r="T131" i="9"/>
  <c r="J222" i="9"/>
  <c r="T222" i="9"/>
  <c r="J83" i="9"/>
  <c r="T83" i="9"/>
  <c r="J47" i="9"/>
  <c r="T47" i="9"/>
  <c r="J119" i="9"/>
  <c r="T119" i="9"/>
  <c r="J175" i="9"/>
  <c r="T175" i="9"/>
  <c r="I482" i="9"/>
  <c r="W482" i="9" s="1"/>
  <c r="S482" i="9"/>
  <c r="I358" i="9"/>
  <c r="W358" i="9" s="1"/>
  <c r="S358" i="9"/>
  <c r="J24" i="9"/>
  <c r="T24" i="9"/>
  <c r="I72" i="9"/>
  <c r="S72" i="9"/>
  <c r="I128" i="9"/>
  <c r="S128" i="9"/>
  <c r="J176" i="9"/>
  <c r="T176" i="9"/>
  <c r="J67" i="9"/>
  <c r="T67" i="9"/>
  <c r="J177" i="9"/>
  <c r="T177" i="9"/>
  <c r="J26" i="9"/>
  <c r="T26" i="9"/>
  <c r="J98" i="9"/>
  <c r="T98" i="9"/>
  <c r="J218" i="9"/>
  <c r="T218" i="9"/>
  <c r="J447" i="9"/>
  <c r="T447" i="9"/>
  <c r="J419" i="9"/>
  <c r="T419" i="9"/>
  <c r="I325" i="9"/>
  <c r="W325" i="9" s="1"/>
  <c r="S325" i="9"/>
  <c r="I297" i="9"/>
  <c r="W297" i="9" s="1"/>
  <c r="S297" i="9"/>
  <c r="I267" i="9"/>
  <c r="W267" i="9" s="1"/>
  <c r="S267" i="9"/>
  <c r="J239" i="9"/>
  <c r="T239" i="9"/>
  <c r="I60" i="9"/>
  <c r="L60" i="9" s="1"/>
  <c r="Y60" i="9" s="1"/>
  <c r="S60" i="9"/>
  <c r="I108" i="9"/>
  <c r="S108" i="9"/>
  <c r="J180" i="9"/>
  <c r="T180" i="9"/>
  <c r="J228" i="9"/>
  <c r="T228" i="9"/>
  <c r="J11" i="9"/>
  <c r="T11" i="9"/>
  <c r="I197" i="9"/>
  <c r="S197" i="9"/>
  <c r="J143" i="9"/>
  <c r="T143" i="9"/>
  <c r="I238" i="9"/>
  <c r="W238" i="9" s="1"/>
  <c r="S238" i="9"/>
  <c r="J162" i="9"/>
  <c r="T162" i="9"/>
  <c r="I355" i="9"/>
  <c r="W355" i="9" s="1"/>
  <c r="S355" i="9"/>
  <c r="J116" i="9"/>
  <c r="T116" i="9"/>
  <c r="I61" i="9"/>
  <c r="W61" i="9" s="1"/>
  <c r="S61" i="9"/>
  <c r="J197" i="9"/>
  <c r="T197" i="9"/>
  <c r="J78" i="9"/>
  <c r="T78" i="9"/>
  <c r="I174" i="9"/>
  <c r="S174" i="9"/>
  <c r="I222" i="9"/>
  <c r="S222" i="9"/>
  <c r="I83" i="9"/>
  <c r="S83" i="9"/>
  <c r="J55" i="9"/>
  <c r="T55" i="9"/>
  <c r="I175" i="9"/>
  <c r="W175" i="9" s="1"/>
  <c r="S175" i="9"/>
  <c r="J482" i="9"/>
  <c r="T482" i="9"/>
  <c r="I418" i="9"/>
  <c r="W418" i="9" s="1"/>
  <c r="S418" i="9"/>
  <c r="J238" i="9"/>
  <c r="T238" i="9"/>
  <c r="I24" i="9"/>
  <c r="S24" i="9"/>
  <c r="J72" i="9"/>
  <c r="T72" i="9"/>
  <c r="J144" i="9"/>
  <c r="T144" i="9"/>
  <c r="I192" i="9"/>
  <c r="S192" i="9"/>
  <c r="I57" i="9"/>
  <c r="W57" i="9" s="1"/>
  <c r="S57" i="9"/>
  <c r="J209" i="9"/>
  <c r="T209" i="9"/>
  <c r="I114" i="9"/>
  <c r="S114" i="9"/>
  <c r="I162" i="9"/>
  <c r="S162" i="9"/>
  <c r="I234" i="9"/>
  <c r="S234" i="9"/>
  <c r="J475" i="9"/>
  <c r="T475" i="9"/>
  <c r="I447" i="9"/>
  <c r="S447" i="9"/>
  <c r="I419" i="9"/>
  <c r="W419" i="9" s="1"/>
  <c r="S419" i="9"/>
  <c r="J355" i="9"/>
  <c r="T355" i="9"/>
  <c r="J297" i="9"/>
  <c r="T297" i="9"/>
  <c r="J269" i="9"/>
  <c r="T269" i="9"/>
  <c r="J68" i="9"/>
  <c r="T68" i="9"/>
  <c r="I116" i="9"/>
  <c r="W116" i="9" s="1"/>
  <c r="S116" i="9"/>
  <c r="I188" i="9"/>
  <c r="S188" i="9"/>
  <c r="I11" i="9"/>
  <c r="W11" i="9" s="1"/>
  <c r="S11" i="9"/>
  <c r="L487" i="16"/>
  <c r="AI487" i="16" s="1"/>
  <c r="W60" i="16"/>
  <c r="W27" i="16"/>
  <c r="L415" i="16"/>
  <c r="AI415" i="16" s="1"/>
  <c r="L236" i="16"/>
  <c r="AI236" i="16" s="1"/>
  <c r="W337" i="16"/>
  <c r="M310" i="16"/>
  <c r="AA416" i="17"/>
  <c r="AA311" i="19"/>
  <c r="AA181" i="19"/>
  <c r="AA209" i="19"/>
  <c r="AA505" i="19"/>
  <c r="AA122" i="19"/>
  <c r="AA326" i="19"/>
  <c r="AA450" i="19"/>
  <c r="AA480" i="19"/>
  <c r="AA510" i="19"/>
  <c r="AA478" i="19"/>
  <c r="AA355" i="19"/>
  <c r="AA59" i="19"/>
  <c r="AA448" i="19"/>
  <c r="AA487" i="19"/>
  <c r="AA180" i="19"/>
  <c r="AA179" i="19"/>
  <c r="AA509" i="19"/>
  <c r="AA389" i="19"/>
  <c r="AA178" i="19"/>
  <c r="AA295" i="19"/>
  <c r="AA385" i="19"/>
  <c r="AA511" i="19"/>
  <c r="AA177" i="19"/>
  <c r="AA397" i="19"/>
  <c r="AA401" i="19"/>
  <c r="AA118" i="19"/>
  <c r="AA175" i="19"/>
  <c r="AA479" i="19"/>
  <c r="AA491" i="19"/>
  <c r="AA512" i="19"/>
  <c r="AA356" i="19"/>
  <c r="AA506" i="19"/>
  <c r="AA482" i="19"/>
  <c r="AA206" i="19"/>
  <c r="AA277" i="19"/>
  <c r="AA182" i="19"/>
  <c r="AA101" i="19"/>
  <c r="AA507" i="19"/>
  <c r="AA187" i="19"/>
  <c r="AA328" i="19"/>
  <c r="AA367" i="17"/>
  <c r="AA427" i="17"/>
  <c r="AA415" i="17"/>
  <c r="AA61" i="17"/>
  <c r="AA56" i="17"/>
  <c r="AA300" i="17"/>
  <c r="AA311" i="17"/>
  <c r="AA7" i="17"/>
  <c r="AA178" i="17"/>
  <c r="L268" i="16"/>
  <c r="AI268" i="16" s="1"/>
  <c r="W145" i="16"/>
  <c r="W272" i="16"/>
  <c r="W300" i="16"/>
  <c r="W7" i="16"/>
  <c r="W31" i="16"/>
  <c r="W277" i="16"/>
  <c r="L330" i="16"/>
  <c r="AI330" i="16" s="1"/>
  <c r="W330" i="16"/>
  <c r="L118" i="16"/>
  <c r="AI118" i="16" s="1"/>
  <c r="W37" i="16"/>
  <c r="W210" i="16"/>
  <c r="W457" i="16"/>
  <c r="AA176" i="19" l="1"/>
  <c r="AA11" i="19"/>
  <c r="AA55" i="17"/>
  <c r="AA11" i="17"/>
  <c r="AA418" i="17"/>
  <c r="L511" i="16"/>
  <c r="AI511" i="16" s="1"/>
  <c r="W269" i="16"/>
  <c r="L122" i="16"/>
  <c r="AI122" i="16" s="1"/>
  <c r="W152" i="16"/>
  <c r="L121" i="16"/>
  <c r="AI121" i="16" s="1"/>
  <c r="L210" i="16"/>
  <c r="AI210" i="16" s="1"/>
  <c r="L277" i="16"/>
  <c r="AI277" i="16" s="1"/>
  <c r="L120" i="16"/>
  <c r="AI120" i="16" s="1"/>
  <c r="W421" i="16"/>
  <c r="AA177" i="17"/>
  <c r="W241" i="16"/>
  <c r="W427" i="16"/>
  <c r="L157" i="16"/>
  <c r="AI157" i="16" s="1"/>
  <c r="W25" i="16"/>
  <c r="AA175" i="17"/>
  <c r="AA210" i="9"/>
  <c r="AA61" i="19"/>
  <c r="AA240" i="19"/>
  <c r="W56" i="16"/>
  <c r="L298" i="16"/>
  <c r="AI298" i="16" s="1"/>
  <c r="W235" i="16"/>
  <c r="W30" i="16"/>
  <c r="W29" i="16"/>
  <c r="L235" i="16"/>
  <c r="AI235" i="16" s="1"/>
  <c r="W62" i="16"/>
  <c r="W120" i="16"/>
  <c r="L212" i="16"/>
  <c r="AI212" i="16" s="1"/>
  <c r="L418" i="16"/>
  <c r="AI418" i="16" s="1"/>
  <c r="AA387" i="19"/>
  <c r="L101" i="16"/>
  <c r="AI101" i="16" s="1"/>
  <c r="AA207" i="19"/>
  <c r="W61" i="16"/>
  <c r="L480" i="16"/>
  <c r="AI480" i="16" s="1"/>
  <c r="AA392" i="19"/>
  <c r="L145" i="16"/>
  <c r="AI145" i="16" s="1"/>
  <c r="L57" i="16"/>
  <c r="AI57" i="16" s="1"/>
  <c r="AA62" i="19"/>
  <c r="W445" i="16"/>
  <c r="W55" i="16"/>
  <c r="W311" i="16"/>
  <c r="L119" i="16"/>
  <c r="AI119" i="16" s="1"/>
  <c r="L326" i="16"/>
  <c r="AI326" i="16" s="1"/>
  <c r="L477" i="16"/>
  <c r="AI477" i="16" s="1"/>
  <c r="AA417" i="19"/>
  <c r="L131" i="16"/>
  <c r="AI131" i="16" s="1"/>
  <c r="L479" i="16"/>
  <c r="AI479" i="16" s="1"/>
  <c r="L491" i="16"/>
  <c r="AI491" i="16" s="1"/>
  <c r="L478" i="16"/>
  <c r="AI478" i="16" s="1"/>
  <c r="L445" i="16"/>
  <c r="AI445" i="16" s="1"/>
  <c r="W449" i="16"/>
  <c r="L512" i="16"/>
  <c r="AI512" i="16" s="1"/>
  <c r="L475" i="16"/>
  <c r="AI475" i="16" s="1"/>
  <c r="L299" i="16"/>
  <c r="AI299" i="16" s="1"/>
  <c r="L161" i="16"/>
  <c r="AI161" i="16" s="1"/>
  <c r="L420" i="16"/>
  <c r="AI420" i="16" s="1"/>
  <c r="W420" i="16"/>
  <c r="AA62" i="17"/>
  <c r="W328" i="16"/>
  <c r="L116" i="16"/>
  <c r="AI116" i="16" s="1"/>
  <c r="W131" i="16"/>
  <c r="L31" i="16"/>
  <c r="AI31" i="16" s="1"/>
  <c r="W209" i="16"/>
  <c r="L11" i="16"/>
  <c r="AI11" i="16" s="1"/>
  <c r="L30" i="16"/>
  <c r="AI30" i="16" s="1"/>
  <c r="W217" i="16"/>
  <c r="L61" i="16"/>
  <c r="AI61" i="16" s="1"/>
  <c r="W28" i="16"/>
  <c r="W329" i="16"/>
  <c r="AA431" i="17"/>
  <c r="W86" i="16"/>
  <c r="W148" i="16"/>
  <c r="L56" i="16"/>
  <c r="AI56" i="16" s="1"/>
  <c r="L178" i="9"/>
  <c r="Y178" i="9" s="1"/>
  <c r="AA178" i="9" s="1"/>
  <c r="L401" i="16"/>
  <c r="AI401" i="16" s="1"/>
  <c r="L85" i="9"/>
  <c r="Y85" i="9" s="1"/>
  <c r="AA85" i="9" s="1"/>
  <c r="L206" i="16"/>
  <c r="AI206" i="16" s="1"/>
  <c r="L239" i="16"/>
  <c r="AI239" i="16" s="1"/>
  <c r="L448" i="16"/>
  <c r="AI448" i="16" s="1"/>
  <c r="L27" i="16"/>
  <c r="AI27" i="16" s="1"/>
  <c r="L241" i="16"/>
  <c r="AI241" i="16" s="1"/>
  <c r="L28" i="9"/>
  <c r="Y28" i="9" s="1"/>
  <c r="AA28" i="9" s="1"/>
  <c r="L37" i="16"/>
  <c r="AI37" i="16" s="1"/>
  <c r="L148" i="16"/>
  <c r="AI148" i="16" s="1"/>
  <c r="W360" i="16"/>
  <c r="L296" i="16"/>
  <c r="AI296" i="16" s="1"/>
  <c r="W451" i="16"/>
  <c r="L360" i="16"/>
  <c r="AI360" i="16" s="1"/>
  <c r="L146" i="16"/>
  <c r="AI146" i="16" s="1"/>
  <c r="W448" i="16"/>
  <c r="L60" i="16"/>
  <c r="AI60" i="16" s="1"/>
  <c r="W401" i="16"/>
  <c r="L506" i="16"/>
  <c r="AI506" i="16" s="1"/>
  <c r="L422" i="9"/>
  <c r="Y422" i="9" s="1"/>
  <c r="AB422" i="9" s="1"/>
  <c r="L362" i="9"/>
  <c r="Y362" i="9" s="1"/>
  <c r="AB362" i="9" s="1"/>
  <c r="L509" i="16"/>
  <c r="AI509" i="16" s="1"/>
  <c r="L180" i="9"/>
  <c r="Y180" i="9" s="1"/>
  <c r="AB180" i="9" s="1"/>
  <c r="W146" i="16"/>
  <c r="L457" i="16"/>
  <c r="AI457" i="16" s="1"/>
  <c r="W118" i="16"/>
  <c r="L449" i="16"/>
  <c r="AI449" i="16" s="1"/>
  <c r="L29" i="16"/>
  <c r="AI29" i="16" s="1"/>
  <c r="W268" i="16"/>
  <c r="L208" i="16"/>
  <c r="AI208" i="16" s="1"/>
  <c r="L87" i="9"/>
  <c r="Y87" i="9" s="1"/>
  <c r="AA87" i="9" s="1"/>
  <c r="L115" i="16"/>
  <c r="AI115" i="16" s="1"/>
  <c r="L325" i="9"/>
  <c r="Y325" i="9" s="1"/>
  <c r="AA325" i="9" s="1"/>
  <c r="L11" i="9"/>
  <c r="Y11" i="9" s="1"/>
  <c r="AA11" i="9" s="1"/>
  <c r="L207" i="9"/>
  <c r="Y207" i="9" s="1"/>
  <c r="AA207" i="9" s="1"/>
  <c r="L117" i="16"/>
  <c r="AI117" i="16" s="1"/>
  <c r="W117" i="16"/>
  <c r="L175" i="9"/>
  <c r="Y175" i="9" s="1"/>
  <c r="AA175" i="9" s="1"/>
  <c r="AA161" i="19"/>
  <c r="AA281" i="19"/>
  <c r="L211" i="16"/>
  <c r="AI211" i="16" s="1"/>
  <c r="L97" i="16"/>
  <c r="AI97" i="16" s="1"/>
  <c r="AA205" i="19"/>
  <c r="L55" i="16"/>
  <c r="AI55" i="16" s="1"/>
  <c r="L450" i="16"/>
  <c r="AI450" i="16" s="1"/>
  <c r="L25" i="16"/>
  <c r="AI25" i="16" s="1"/>
  <c r="W446" i="16"/>
  <c r="W447" i="16"/>
  <c r="L32" i="16"/>
  <c r="AI32" i="16" s="1"/>
  <c r="AA32" i="19"/>
  <c r="W147" i="16"/>
  <c r="W450" i="16"/>
  <c r="L267" i="16"/>
  <c r="AI267" i="16" s="1"/>
  <c r="L281" i="16"/>
  <c r="AI281" i="16" s="1"/>
  <c r="L7" i="16"/>
  <c r="AI7" i="16" s="1"/>
  <c r="W236" i="16"/>
  <c r="L386" i="9"/>
  <c r="Y386" i="9" s="1"/>
  <c r="AA386" i="9" s="1"/>
  <c r="L120" i="9"/>
  <c r="Y120" i="9" s="1"/>
  <c r="AB120" i="9" s="1"/>
  <c r="L422" i="16"/>
  <c r="AI422" i="16" s="1"/>
  <c r="L148" i="9"/>
  <c r="Y148" i="9" s="1"/>
  <c r="AA148" i="9" s="1"/>
  <c r="L427" i="16"/>
  <c r="AI427" i="16" s="1"/>
  <c r="L385" i="9"/>
  <c r="Y385" i="9" s="1"/>
  <c r="AA385" i="9" s="1"/>
  <c r="W207" i="16"/>
  <c r="L26" i="16"/>
  <c r="AI26" i="16" s="1"/>
  <c r="L452" i="16"/>
  <c r="AI452" i="16" s="1"/>
  <c r="W461" i="16"/>
  <c r="W151" i="16"/>
  <c r="L37" i="9"/>
  <c r="Y37" i="9" s="1"/>
  <c r="AA37" i="9" s="1"/>
  <c r="AA41" i="19"/>
  <c r="L446" i="16"/>
  <c r="AI446" i="16" s="1"/>
  <c r="L147" i="16"/>
  <c r="AI147" i="16" s="1"/>
  <c r="W267" i="16"/>
  <c r="L327" i="16"/>
  <c r="AI327" i="16" s="1"/>
  <c r="L58" i="9"/>
  <c r="Y58" i="9" s="1"/>
  <c r="AA58" i="9" s="1"/>
  <c r="L207" i="16"/>
  <c r="AI207" i="16" s="1"/>
  <c r="W26" i="16"/>
  <c r="L461" i="16"/>
  <c r="AI461" i="16" s="1"/>
  <c r="L151" i="16"/>
  <c r="AI151" i="16" s="1"/>
  <c r="W157" i="16"/>
  <c r="W32" i="16"/>
  <c r="L59" i="16"/>
  <c r="AI59" i="16" s="1"/>
  <c r="L296" i="9"/>
  <c r="Y296" i="9" s="1"/>
  <c r="AB296" i="9" s="1"/>
  <c r="L451" i="9"/>
  <c r="Y451" i="9" s="1"/>
  <c r="L217" i="9"/>
  <c r="Y217" i="9" s="1"/>
  <c r="AA217" i="9" s="1"/>
  <c r="L152" i="9"/>
  <c r="Y152" i="9" s="1"/>
  <c r="AA152" i="9" s="1"/>
  <c r="L507" i="16"/>
  <c r="AI507" i="16" s="1"/>
  <c r="L508" i="16"/>
  <c r="AI508" i="16" s="1"/>
  <c r="AA296" i="19"/>
  <c r="L476" i="16"/>
  <c r="AI476" i="16" s="1"/>
  <c r="AA296" i="17"/>
  <c r="AA269" i="17"/>
  <c r="AA32" i="17"/>
  <c r="AA387" i="17"/>
  <c r="AA182" i="17"/>
  <c r="AA371" i="17"/>
  <c r="AA60" i="17"/>
  <c r="AA512" i="17"/>
  <c r="AA476" i="17"/>
  <c r="AA478" i="17"/>
  <c r="AA341" i="17"/>
  <c r="AA457" i="17"/>
  <c r="L152" i="16"/>
  <c r="AI152" i="16" s="1"/>
  <c r="W11" i="16"/>
  <c r="L481" i="9"/>
  <c r="Y481" i="9" s="1"/>
  <c r="AB481" i="9" s="1"/>
  <c r="L205" i="16"/>
  <c r="AI205" i="16" s="1"/>
  <c r="L242" i="16"/>
  <c r="AI242" i="16" s="1"/>
  <c r="L116" i="9"/>
  <c r="Y116" i="9" s="1"/>
  <c r="AB116" i="9" s="1"/>
  <c r="W205" i="16"/>
  <c r="AA487" i="17"/>
  <c r="AA121" i="19"/>
  <c r="AA297" i="19"/>
  <c r="AA475" i="17"/>
  <c r="AA307" i="19"/>
  <c r="AA299" i="19"/>
  <c r="L328" i="16"/>
  <c r="AI328" i="16" s="1"/>
  <c r="L90" i="9"/>
  <c r="Y90" i="9" s="1"/>
  <c r="AA90" i="9" s="1"/>
  <c r="L149" i="9"/>
  <c r="Y149" i="9" s="1"/>
  <c r="AA149" i="9" s="1"/>
  <c r="L337" i="16"/>
  <c r="AI337" i="16" s="1"/>
  <c r="L217" i="16"/>
  <c r="AI217" i="16" s="1"/>
  <c r="L62" i="16"/>
  <c r="AI62" i="16" s="1"/>
  <c r="L267" i="9"/>
  <c r="Y267" i="9" s="1"/>
  <c r="AA267" i="9" s="1"/>
  <c r="L510" i="16"/>
  <c r="AI510" i="16" s="1"/>
  <c r="L55" i="9"/>
  <c r="Y55" i="9" s="1"/>
  <c r="AA55" i="9" s="1"/>
  <c r="L57" i="9"/>
  <c r="Y57" i="9" s="1"/>
  <c r="AB57" i="9" s="1"/>
  <c r="L187" i="9"/>
  <c r="Y187" i="9" s="1"/>
  <c r="AA187" i="9" s="1"/>
  <c r="L208" i="9"/>
  <c r="Y208" i="9" s="1"/>
  <c r="AA208" i="9" s="1"/>
  <c r="L268" i="9"/>
  <c r="Y268" i="9" s="1"/>
  <c r="AA268" i="9" s="1"/>
  <c r="L29" i="9"/>
  <c r="Y29" i="9" s="1"/>
  <c r="AB29" i="9" s="1"/>
  <c r="L89" i="9"/>
  <c r="Y89" i="9" s="1"/>
  <c r="AA89" i="9" s="1"/>
  <c r="L269" i="16"/>
  <c r="AI269" i="16" s="1"/>
  <c r="L328" i="9"/>
  <c r="Y328" i="9" s="1"/>
  <c r="W419" i="16"/>
  <c r="L447" i="16"/>
  <c r="AI447" i="16" s="1"/>
  <c r="W149" i="16"/>
  <c r="L157" i="9"/>
  <c r="Y157" i="9" s="1"/>
  <c r="AA157" i="9" s="1"/>
  <c r="L238" i="9"/>
  <c r="Y238" i="9" s="1"/>
  <c r="AA238" i="9" s="1"/>
  <c r="L86" i="16"/>
  <c r="AI86" i="16" s="1"/>
  <c r="AA301" i="19"/>
  <c r="W208" i="16"/>
  <c r="L419" i="16"/>
  <c r="AI419" i="16" s="1"/>
  <c r="L329" i="16"/>
  <c r="AI329" i="16" s="1"/>
  <c r="L311" i="16"/>
  <c r="AI311" i="16" s="1"/>
  <c r="L272" i="16"/>
  <c r="AI272" i="16" s="1"/>
  <c r="L149" i="16"/>
  <c r="AI149" i="16" s="1"/>
  <c r="L127" i="16"/>
  <c r="AI127" i="16" s="1"/>
  <c r="L269" i="9"/>
  <c r="Y269" i="9" s="1"/>
  <c r="AA269" i="9" s="1"/>
  <c r="L447" i="9"/>
  <c r="Y447" i="9" s="1"/>
  <c r="L101" i="9"/>
  <c r="Y101" i="9" s="1"/>
  <c r="AA101" i="9" s="1"/>
  <c r="AA148" i="17"/>
  <c r="AA300" i="19"/>
  <c r="AA357" i="17"/>
  <c r="AA386" i="17"/>
  <c r="AA385" i="17"/>
  <c r="AA179" i="17"/>
  <c r="L209" i="16"/>
  <c r="AI209" i="16" s="1"/>
  <c r="L451" i="16"/>
  <c r="AI451" i="16" s="1"/>
  <c r="W59" i="16"/>
  <c r="L505" i="16"/>
  <c r="AI505" i="16" s="1"/>
  <c r="AA247" i="19"/>
  <c r="S174" i="16"/>
  <c r="I174" i="16"/>
  <c r="AG174" i="16" s="1"/>
  <c r="J264" i="16"/>
  <c r="AH264" i="16" s="1"/>
  <c r="T264" i="16"/>
  <c r="J355" i="16"/>
  <c r="AH355" i="16" s="1"/>
  <c r="T355" i="16"/>
  <c r="L295" i="16"/>
  <c r="AI295" i="16" s="1"/>
  <c r="L307" i="16"/>
  <c r="AI307" i="16" s="1"/>
  <c r="L56" i="9"/>
  <c r="Y56" i="9" s="1"/>
  <c r="AB56" i="9" s="1"/>
  <c r="L28" i="16"/>
  <c r="AI28" i="16" s="1"/>
  <c r="L356" i="16"/>
  <c r="AI356" i="16" s="1"/>
  <c r="W67" i="16"/>
  <c r="J176" i="16"/>
  <c r="AH176" i="16" s="1"/>
  <c r="T176" i="16"/>
  <c r="S325" i="16"/>
  <c r="I325" i="16"/>
  <c r="AA217" i="17"/>
  <c r="J174" i="16"/>
  <c r="AH174" i="16" s="1"/>
  <c r="T174" i="16"/>
  <c r="AG475" i="16"/>
  <c r="W475" i="16"/>
  <c r="I384" i="16"/>
  <c r="AG384" i="16" s="1"/>
  <c r="S384" i="16"/>
  <c r="L236" i="19"/>
  <c r="Y236" i="19" s="1"/>
  <c r="W236" i="19"/>
  <c r="L146" i="19"/>
  <c r="Y146" i="19" s="1"/>
  <c r="W146" i="19"/>
  <c r="I175" i="16"/>
  <c r="S175" i="16"/>
  <c r="W87" i="19"/>
  <c r="L87" i="19"/>
  <c r="Y87" i="19" s="1"/>
  <c r="J353" i="16"/>
  <c r="AH353" i="16" s="1"/>
  <c r="T353" i="16"/>
  <c r="I371" i="16"/>
  <c r="S371" i="16"/>
  <c r="AG510" i="16"/>
  <c r="W510" i="16"/>
  <c r="I331" i="16"/>
  <c r="S331" i="16"/>
  <c r="I278" i="16"/>
  <c r="AG278" i="16" s="1"/>
  <c r="S278" i="16"/>
  <c r="AA355" i="17"/>
  <c r="W29" i="17"/>
  <c r="L29" i="17"/>
  <c r="Y29" i="17" s="1"/>
  <c r="W341" i="19"/>
  <c r="L341" i="19"/>
  <c r="Y341" i="19" s="1"/>
  <c r="J258" i="16"/>
  <c r="AH258" i="16" s="1"/>
  <c r="T258" i="16"/>
  <c r="J301" i="16"/>
  <c r="AH301" i="16" s="1"/>
  <c r="T301" i="16"/>
  <c r="I387" i="16"/>
  <c r="S387" i="16"/>
  <c r="I347" i="16"/>
  <c r="AG347" i="16" s="1"/>
  <c r="S347" i="16"/>
  <c r="J180" i="16"/>
  <c r="AH180" i="16" s="1"/>
  <c r="T180" i="16"/>
  <c r="W361" i="19"/>
  <c r="L361" i="19"/>
  <c r="Y361" i="19" s="1"/>
  <c r="I388" i="16"/>
  <c r="S388" i="16"/>
  <c r="W267" i="17"/>
  <c r="L267" i="17"/>
  <c r="Y267" i="17" s="1"/>
  <c r="W446" i="17"/>
  <c r="L446" i="17"/>
  <c r="Y446" i="17" s="1"/>
  <c r="AA359" i="17"/>
  <c r="AA449" i="17"/>
  <c r="AG397" i="16"/>
  <c r="W397" i="16"/>
  <c r="W421" i="17"/>
  <c r="L421" i="17"/>
  <c r="Y421" i="17" s="1"/>
  <c r="S358" i="16"/>
  <c r="I358" i="16"/>
  <c r="J179" i="16"/>
  <c r="AH179" i="16" s="1"/>
  <c r="T179" i="16"/>
  <c r="I265" i="16"/>
  <c r="S265" i="16"/>
  <c r="I92" i="16"/>
  <c r="S92" i="16"/>
  <c r="W431" i="19"/>
  <c r="L431" i="19"/>
  <c r="Y431" i="19" s="1"/>
  <c r="AG127" i="16"/>
  <c r="W127" i="16"/>
  <c r="W55" i="19"/>
  <c r="L55" i="19"/>
  <c r="Y55" i="19" s="1"/>
  <c r="L419" i="17"/>
  <c r="Y419" i="17" s="1"/>
  <c r="W419" i="17"/>
  <c r="AA235" i="19"/>
  <c r="I338" i="16"/>
  <c r="AG338" i="16" s="1"/>
  <c r="S338" i="16"/>
  <c r="AG476" i="16"/>
  <c r="W476" i="16"/>
  <c r="J391" i="16"/>
  <c r="AH391" i="16" s="1"/>
  <c r="T391" i="16"/>
  <c r="J90" i="16"/>
  <c r="AH90" i="16" s="1"/>
  <c r="T90" i="16"/>
  <c r="W451" i="19"/>
  <c r="L451" i="19"/>
  <c r="Y451" i="19" s="1"/>
  <c r="W30" i="17"/>
  <c r="L30" i="17"/>
  <c r="Y30" i="17" s="1"/>
  <c r="W327" i="19"/>
  <c r="L327" i="19"/>
  <c r="Y327" i="19" s="1"/>
  <c r="I150" i="16"/>
  <c r="S150" i="16"/>
  <c r="W325" i="17"/>
  <c r="L325" i="17"/>
  <c r="Y325" i="17" s="1"/>
  <c r="I138" i="16"/>
  <c r="AG138" i="16" s="1"/>
  <c r="S138" i="16"/>
  <c r="S287" i="16"/>
  <c r="I287" i="16"/>
  <c r="AG287" i="16" s="1"/>
  <c r="AG507" i="16"/>
  <c r="W507" i="16"/>
  <c r="AG206" i="16"/>
  <c r="W206" i="16"/>
  <c r="W388" i="17"/>
  <c r="L388" i="17"/>
  <c r="Y388" i="17" s="1"/>
  <c r="J358" i="16"/>
  <c r="AH358" i="16" s="1"/>
  <c r="T358" i="16"/>
  <c r="I179" i="16"/>
  <c r="S179" i="16"/>
  <c r="W147" i="19"/>
  <c r="L147" i="19"/>
  <c r="Y147" i="19" s="1"/>
  <c r="S385" i="16"/>
  <c r="I385" i="16"/>
  <c r="J41" i="16"/>
  <c r="AH41" i="16" s="1"/>
  <c r="T41" i="16"/>
  <c r="J87" i="16"/>
  <c r="AH87" i="16" s="1"/>
  <c r="T87" i="16"/>
  <c r="W325" i="19"/>
  <c r="L325" i="19"/>
  <c r="Y325" i="19" s="1"/>
  <c r="W25" i="17"/>
  <c r="L25" i="17"/>
  <c r="Y25" i="17" s="1"/>
  <c r="J338" i="16"/>
  <c r="AH338" i="16" s="1"/>
  <c r="T338" i="16"/>
  <c r="I391" i="16"/>
  <c r="S391" i="16"/>
  <c r="W452" i="16"/>
  <c r="L300" i="16"/>
  <c r="AI300" i="16" s="1"/>
  <c r="L177" i="9"/>
  <c r="Y177" i="9" s="1"/>
  <c r="AB177" i="9" s="1"/>
  <c r="L235" i="9"/>
  <c r="Y235" i="9" s="1"/>
  <c r="AA235" i="9" s="1"/>
  <c r="J54" i="16"/>
  <c r="AH54" i="16" s="1"/>
  <c r="T54" i="16"/>
  <c r="AG422" i="16"/>
  <c r="W422" i="16"/>
  <c r="S264" i="16"/>
  <c r="I264" i="16"/>
  <c r="AG264" i="16" s="1"/>
  <c r="W131" i="17"/>
  <c r="L131" i="17"/>
  <c r="Y131" i="17" s="1"/>
  <c r="W266" i="19"/>
  <c r="L266" i="19"/>
  <c r="Y266" i="19" s="1"/>
  <c r="J132" i="16"/>
  <c r="AH132" i="16" s="1"/>
  <c r="T132" i="16"/>
  <c r="L326" i="17"/>
  <c r="Y326" i="17" s="1"/>
  <c r="W326" i="17"/>
  <c r="L269" i="19"/>
  <c r="Y269" i="19" s="1"/>
  <c r="W269" i="19"/>
  <c r="AA367" i="19"/>
  <c r="I355" i="16"/>
  <c r="S355" i="16"/>
  <c r="J182" i="16"/>
  <c r="AH182" i="16" s="1"/>
  <c r="T182" i="16"/>
  <c r="L457" i="19"/>
  <c r="Y457" i="19" s="1"/>
  <c r="W457" i="19"/>
  <c r="J150" i="16"/>
  <c r="AH150" i="16" s="1"/>
  <c r="T150" i="16"/>
  <c r="W451" i="17"/>
  <c r="L451" i="17"/>
  <c r="Y451" i="17" s="1"/>
  <c r="T138" i="16"/>
  <c r="J138" i="16"/>
  <c r="AH138" i="16" s="1"/>
  <c r="W211" i="17"/>
  <c r="L211" i="17"/>
  <c r="Y211" i="17" s="1"/>
  <c r="J287" i="16"/>
  <c r="AH287" i="16" s="1"/>
  <c r="T287" i="16"/>
  <c r="W271" i="19"/>
  <c r="L271" i="19"/>
  <c r="Y271" i="19" s="1"/>
  <c r="W212" i="17"/>
  <c r="L212" i="17"/>
  <c r="Y212" i="17" s="1"/>
  <c r="AG508" i="16"/>
  <c r="W508" i="16"/>
  <c r="J173" i="16"/>
  <c r="AH173" i="16" s="1"/>
  <c r="T173" i="16"/>
  <c r="AA461" i="19"/>
  <c r="W507" i="17"/>
  <c r="L507" i="17"/>
  <c r="Y507" i="17" s="1"/>
  <c r="W328" i="17"/>
  <c r="L328" i="17"/>
  <c r="Y328" i="17" s="1"/>
  <c r="AG161" i="16"/>
  <c r="W161" i="16"/>
  <c r="L127" i="17"/>
  <c r="Y127" i="17" s="1"/>
  <c r="W127" i="17"/>
  <c r="AG119" i="16"/>
  <c r="W119" i="16"/>
  <c r="S192" i="16"/>
  <c r="I192" i="16"/>
  <c r="AG192" i="16" s="1"/>
  <c r="AG327" i="16"/>
  <c r="W327" i="16"/>
  <c r="J385" i="16"/>
  <c r="AH385" i="16" s="1"/>
  <c r="T385" i="16"/>
  <c r="AG212" i="16"/>
  <c r="W212" i="16"/>
  <c r="S41" i="16"/>
  <c r="I41" i="16"/>
  <c r="AG418" i="16"/>
  <c r="W418" i="16"/>
  <c r="J266" i="16"/>
  <c r="AH266" i="16" s="1"/>
  <c r="T266" i="16"/>
  <c r="I87" i="16"/>
  <c r="S87" i="16"/>
  <c r="L391" i="17"/>
  <c r="Y391" i="17" s="1"/>
  <c r="W391" i="17"/>
  <c r="AG511" i="16"/>
  <c r="W511" i="16"/>
  <c r="AA88" i="17"/>
  <c r="W117" i="17"/>
  <c r="L117" i="17"/>
  <c r="Y117" i="17" s="1"/>
  <c r="W151" i="17"/>
  <c r="L151" i="17"/>
  <c r="Y151" i="17" s="1"/>
  <c r="AG417" i="16"/>
  <c r="W417" i="16"/>
  <c r="T247" i="16"/>
  <c r="J247" i="16"/>
  <c r="AH247" i="16" s="1"/>
  <c r="AA445" i="19"/>
  <c r="I188" i="16"/>
  <c r="AG188" i="16" s="1"/>
  <c r="S188" i="16"/>
  <c r="I377" i="16"/>
  <c r="AG377" i="16" s="1"/>
  <c r="S377" i="16"/>
  <c r="W205" i="17"/>
  <c r="L205" i="17"/>
  <c r="Y205" i="17" s="1"/>
  <c r="W26" i="17"/>
  <c r="L26" i="17"/>
  <c r="Y26" i="17" s="1"/>
  <c r="W265" i="19"/>
  <c r="L265" i="19"/>
  <c r="Y265" i="19" s="1"/>
  <c r="AG299" i="16"/>
  <c r="W299" i="16"/>
  <c r="L307" i="17"/>
  <c r="Y307" i="17" s="1"/>
  <c r="W307" i="17"/>
  <c r="AG416" i="16"/>
  <c r="W416" i="16"/>
  <c r="W431" i="16"/>
  <c r="W88" i="16"/>
  <c r="L67" i="9"/>
  <c r="Y67" i="9" s="1"/>
  <c r="AA67" i="9" s="1"/>
  <c r="L151" i="9"/>
  <c r="Y151" i="9" s="1"/>
  <c r="AB151" i="9" s="1"/>
  <c r="W121" i="16"/>
  <c r="L297" i="16"/>
  <c r="AI297" i="16" s="1"/>
  <c r="W71" i="16"/>
  <c r="L88" i="9"/>
  <c r="Y88" i="9" s="1"/>
  <c r="AB88" i="9" s="1"/>
  <c r="W157" i="17"/>
  <c r="L157" i="17"/>
  <c r="Y157" i="17" s="1"/>
  <c r="AG101" i="16"/>
  <c r="W101" i="16"/>
  <c r="AG415" i="16"/>
  <c r="W415" i="16"/>
  <c r="AG122" i="16"/>
  <c r="W122" i="16"/>
  <c r="L209" i="17"/>
  <c r="Y209" i="17" s="1"/>
  <c r="W209" i="17"/>
  <c r="W149" i="17"/>
  <c r="L149" i="17"/>
  <c r="Y149" i="17" s="1"/>
  <c r="I54" i="16"/>
  <c r="AG54" i="16" s="1"/>
  <c r="S54" i="16"/>
  <c r="AA238" i="17"/>
  <c r="AA237" i="17"/>
  <c r="W386" i="19"/>
  <c r="L386" i="19"/>
  <c r="Y386" i="19" s="1"/>
  <c r="J302" i="16"/>
  <c r="AH302" i="16" s="1"/>
  <c r="T302" i="16"/>
  <c r="J270" i="16"/>
  <c r="AH270" i="16" s="1"/>
  <c r="T270" i="16"/>
  <c r="J91" i="16"/>
  <c r="AH91" i="16" s="1"/>
  <c r="T91" i="16"/>
  <c r="AA59" i="17"/>
  <c r="W281" i="17"/>
  <c r="L281" i="17"/>
  <c r="Y281" i="17" s="1"/>
  <c r="T368" i="16"/>
  <c r="J368" i="16"/>
  <c r="AH368" i="16" s="1"/>
  <c r="T240" i="16"/>
  <c r="J240" i="16"/>
  <c r="AH240" i="16" s="1"/>
  <c r="AG326" i="16"/>
  <c r="W326" i="16"/>
  <c r="AA362" i="19"/>
  <c r="S293" i="16"/>
  <c r="I293" i="16"/>
  <c r="AG293" i="16" s="1"/>
  <c r="AA356" i="17"/>
  <c r="W358" i="19"/>
  <c r="L358" i="19"/>
  <c r="Y358" i="19" s="1"/>
  <c r="T72" i="16"/>
  <c r="J72" i="16"/>
  <c r="AH72" i="16" s="1"/>
  <c r="J354" i="16"/>
  <c r="AH354" i="16" s="1"/>
  <c r="T354" i="16"/>
  <c r="AA86" i="19"/>
  <c r="S332" i="16"/>
  <c r="I332" i="16"/>
  <c r="J359" i="16"/>
  <c r="AH359" i="16" s="1"/>
  <c r="T359" i="16"/>
  <c r="J58" i="16"/>
  <c r="AH58" i="16" s="1"/>
  <c r="T58" i="16"/>
  <c r="I386" i="16"/>
  <c r="S386" i="16"/>
  <c r="AG57" i="16"/>
  <c r="W57" i="16"/>
  <c r="W357" i="19"/>
  <c r="L357" i="19"/>
  <c r="Y357" i="19" s="1"/>
  <c r="W509" i="17"/>
  <c r="L509" i="17"/>
  <c r="Y509" i="17" s="1"/>
  <c r="AG307" i="16"/>
  <c r="W307" i="16"/>
  <c r="L210" i="17"/>
  <c r="Y210" i="17" s="1"/>
  <c r="W210" i="17"/>
  <c r="S247" i="16"/>
  <c r="I247" i="16"/>
  <c r="AG116" i="16"/>
  <c r="W116" i="16"/>
  <c r="J188" i="16"/>
  <c r="AH188" i="16" s="1"/>
  <c r="T188" i="16"/>
  <c r="J377" i="16"/>
  <c r="AH377" i="16" s="1"/>
  <c r="T377" i="16"/>
  <c r="W421" i="19"/>
  <c r="L421" i="19"/>
  <c r="Y421" i="19" s="1"/>
  <c r="J325" i="16"/>
  <c r="AH325" i="16" s="1"/>
  <c r="T325" i="16"/>
  <c r="L298" i="17"/>
  <c r="Y298" i="17" s="1"/>
  <c r="W298" i="17"/>
  <c r="S182" i="16"/>
  <c r="I182" i="16"/>
  <c r="I173" i="16"/>
  <c r="AG173" i="16" s="1"/>
  <c r="S173" i="16"/>
  <c r="L415" i="19"/>
  <c r="Y415" i="19" s="1"/>
  <c r="W415" i="19"/>
  <c r="L327" i="17"/>
  <c r="Y327" i="17" s="1"/>
  <c r="W327" i="17"/>
  <c r="T192" i="16"/>
  <c r="J192" i="16"/>
  <c r="AH192" i="16" s="1"/>
  <c r="W329" i="19"/>
  <c r="L329" i="19"/>
  <c r="Y329" i="19" s="1"/>
  <c r="S266" i="16"/>
  <c r="I266" i="16"/>
  <c r="W89" i="17"/>
  <c r="L89" i="17"/>
  <c r="Y89" i="17" s="1"/>
  <c r="W239" i="17"/>
  <c r="L239" i="17"/>
  <c r="Y239" i="17" s="1"/>
  <c r="I90" i="16"/>
  <c r="S90" i="16"/>
  <c r="L431" i="16"/>
  <c r="AI431" i="16" s="1"/>
  <c r="L88" i="16"/>
  <c r="AI88" i="16" s="1"/>
  <c r="L397" i="16"/>
  <c r="AI397" i="16" s="1"/>
  <c r="L67" i="16"/>
  <c r="AI67" i="16" s="1"/>
  <c r="L295" i="9"/>
  <c r="Y295" i="9" s="1"/>
  <c r="AB295" i="9" s="1"/>
  <c r="I237" i="16"/>
  <c r="S237" i="16"/>
  <c r="T392" i="16"/>
  <c r="J392" i="16"/>
  <c r="AH392" i="16" s="1"/>
  <c r="W337" i="19"/>
  <c r="L337" i="19"/>
  <c r="Y337" i="19" s="1"/>
  <c r="W270" i="17"/>
  <c r="L270" i="17"/>
  <c r="Y270" i="17" s="1"/>
  <c r="W392" i="17"/>
  <c r="L392" i="17"/>
  <c r="Y392" i="17" s="1"/>
  <c r="I302" i="16"/>
  <c r="S302" i="16"/>
  <c r="I270" i="16"/>
  <c r="S270" i="16"/>
  <c r="I91" i="16"/>
  <c r="S91" i="16"/>
  <c r="L505" i="17"/>
  <c r="Y505" i="17" s="1"/>
  <c r="W505" i="17"/>
  <c r="W511" i="17"/>
  <c r="L511" i="17"/>
  <c r="Y511" i="17" s="1"/>
  <c r="W506" i="17"/>
  <c r="L506" i="17"/>
  <c r="Y506" i="17" s="1"/>
  <c r="I368" i="16"/>
  <c r="AG368" i="16" s="1"/>
  <c r="S368" i="16"/>
  <c r="L271" i="17"/>
  <c r="Y271" i="17" s="1"/>
  <c r="W271" i="17"/>
  <c r="I240" i="16"/>
  <c r="S240" i="16"/>
  <c r="W90" i="19"/>
  <c r="L90" i="19"/>
  <c r="Y90" i="19" s="1"/>
  <c r="W391" i="19"/>
  <c r="L391" i="19"/>
  <c r="Y391" i="19" s="1"/>
  <c r="W332" i="17"/>
  <c r="L332" i="17"/>
  <c r="Y332" i="17" s="1"/>
  <c r="J293" i="16"/>
  <c r="AH293" i="16" s="1"/>
  <c r="T293" i="16"/>
  <c r="W390" i="17"/>
  <c r="L390" i="17"/>
  <c r="Y390" i="17" s="1"/>
  <c r="AA88" i="19"/>
  <c r="AG298" i="16"/>
  <c r="W298" i="16"/>
  <c r="I72" i="16"/>
  <c r="AG72" i="16" s="1"/>
  <c r="S72" i="16"/>
  <c r="I354" i="16"/>
  <c r="AG354" i="16" s="1"/>
  <c r="S354" i="16"/>
  <c r="W416" i="19"/>
  <c r="L416" i="19"/>
  <c r="Y416" i="19" s="1"/>
  <c r="T263" i="16"/>
  <c r="J263" i="16"/>
  <c r="AH263" i="16" s="1"/>
  <c r="AG505" i="16"/>
  <c r="W505" i="16"/>
  <c r="J332" i="16"/>
  <c r="AH332" i="16" s="1"/>
  <c r="T332" i="16"/>
  <c r="W449" i="19"/>
  <c r="L449" i="19"/>
  <c r="Y449" i="19" s="1"/>
  <c r="I359" i="16"/>
  <c r="S359" i="16"/>
  <c r="I58" i="16"/>
  <c r="S58" i="16"/>
  <c r="J386" i="16"/>
  <c r="AH386" i="16" s="1"/>
  <c r="T386" i="16"/>
  <c r="AG487" i="16"/>
  <c r="W487" i="16"/>
  <c r="AG297" i="16"/>
  <c r="W297" i="16"/>
  <c r="AG477" i="16"/>
  <c r="W477" i="16"/>
  <c r="AG296" i="16"/>
  <c r="W296" i="16"/>
  <c r="AA482" i="17"/>
  <c r="W450" i="17"/>
  <c r="L450" i="17"/>
  <c r="Y450" i="17" s="1"/>
  <c r="J98" i="16"/>
  <c r="AH98" i="16" s="1"/>
  <c r="T98" i="16"/>
  <c r="J367" i="16"/>
  <c r="AH367" i="16" s="1"/>
  <c r="T367" i="16"/>
  <c r="T68" i="16"/>
  <c r="J68" i="16"/>
  <c r="AH68" i="16" s="1"/>
  <c r="S17" i="16"/>
  <c r="I17" i="16"/>
  <c r="AG17" i="16" s="1"/>
  <c r="L212" i="9"/>
  <c r="Y212" i="9" s="1"/>
  <c r="AA212" i="9" s="1"/>
  <c r="L297" i="9"/>
  <c r="Y297" i="9" s="1"/>
  <c r="AA297" i="9" s="1"/>
  <c r="L419" i="9"/>
  <c r="Y419" i="9" s="1"/>
  <c r="AA419" i="9" s="1"/>
  <c r="L480" i="9"/>
  <c r="Y480" i="9" s="1"/>
  <c r="AB480" i="9" s="1"/>
  <c r="J237" i="16"/>
  <c r="AH237" i="16" s="1"/>
  <c r="T237" i="16"/>
  <c r="I392" i="16"/>
  <c r="S392" i="16"/>
  <c r="AG221" i="16"/>
  <c r="W221" i="16"/>
  <c r="AG85" i="16"/>
  <c r="W85" i="16"/>
  <c r="W510" i="17"/>
  <c r="L510" i="17"/>
  <c r="Y510" i="17" s="1"/>
  <c r="W92" i="19"/>
  <c r="L92" i="19"/>
  <c r="Y92" i="19" s="1"/>
  <c r="AG491" i="16"/>
  <c r="W491" i="16"/>
  <c r="T24" i="16"/>
  <c r="J24" i="16"/>
  <c r="AH24" i="16" s="1"/>
  <c r="L272" i="17"/>
  <c r="Y272" i="17" s="1"/>
  <c r="W272" i="17"/>
  <c r="I362" i="16"/>
  <c r="S362" i="16"/>
  <c r="J191" i="16"/>
  <c r="AH191" i="16" s="1"/>
  <c r="T191" i="16"/>
  <c r="T372" i="16"/>
  <c r="J372" i="16"/>
  <c r="AH372" i="16" s="1"/>
  <c r="T389" i="16"/>
  <c r="J389" i="16"/>
  <c r="AH389" i="16" s="1"/>
  <c r="J251" i="16"/>
  <c r="AH251" i="16" s="1"/>
  <c r="T251" i="16"/>
  <c r="L217" i="19"/>
  <c r="Y217" i="19" s="1"/>
  <c r="W217" i="19"/>
  <c r="I390" i="16"/>
  <c r="S390" i="16"/>
  <c r="I77" i="16"/>
  <c r="AG77" i="16" s="1"/>
  <c r="S77" i="16"/>
  <c r="L26" i="19"/>
  <c r="Y26" i="19" s="1"/>
  <c r="W26" i="19"/>
  <c r="W452" i="17"/>
  <c r="L452" i="17"/>
  <c r="Y452" i="17" s="1"/>
  <c r="L422" i="19"/>
  <c r="Y422" i="19" s="1"/>
  <c r="W422" i="19"/>
  <c r="J378" i="16"/>
  <c r="AH378" i="16" s="1"/>
  <c r="T378" i="16"/>
  <c r="I181" i="16"/>
  <c r="S181" i="16"/>
  <c r="W330" i="19"/>
  <c r="L330" i="19"/>
  <c r="Y330" i="19" s="1"/>
  <c r="S361" i="16"/>
  <c r="I361" i="16"/>
  <c r="J227" i="16"/>
  <c r="AH227" i="16" s="1"/>
  <c r="T227" i="16"/>
  <c r="S89" i="16"/>
  <c r="I89" i="16"/>
  <c r="L221" i="19"/>
  <c r="Y221" i="19" s="1"/>
  <c r="W221" i="19"/>
  <c r="AG478" i="16"/>
  <c r="W478" i="16"/>
  <c r="W420" i="17"/>
  <c r="L420" i="17"/>
  <c r="Y420" i="17" s="1"/>
  <c r="AG281" i="16"/>
  <c r="W281" i="16"/>
  <c r="L272" i="19"/>
  <c r="Y272" i="19" s="1"/>
  <c r="W272" i="19"/>
  <c r="T432" i="16"/>
  <c r="J432" i="16"/>
  <c r="AH432" i="16" s="1"/>
  <c r="T234" i="16"/>
  <c r="J234" i="16"/>
  <c r="AH234" i="16" s="1"/>
  <c r="I263" i="16"/>
  <c r="AG263" i="16" s="1"/>
  <c r="S263" i="16"/>
  <c r="AG479" i="16"/>
  <c r="W479" i="16"/>
  <c r="J178" i="16"/>
  <c r="AH178" i="16" s="1"/>
  <c r="T178" i="16"/>
  <c r="AG506" i="16"/>
  <c r="W506" i="16"/>
  <c r="W241" i="17"/>
  <c r="L241" i="17"/>
  <c r="Y241" i="17" s="1"/>
  <c r="I98" i="16"/>
  <c r="AG98" i="16" s="1"/>
  <c r="S98" i="16"/>
  <c r="I367" i="16"/>
  <c r="S367" i="16"/>
  <c r="W58" i="19"/>
  <c r="L58" i="19"/>
  <c r="Y58" i="19" s="1"/>
  <c r="I68" i="16"/>
  <c r="AG68" i="16" s="1"/>
  <c r="S68" i="16"/>
  <c r="W150" i="19"/>
  <c r="L150" i="19"/>
  <c r="Y150" i="19" s="1"/>
  <c r="T17" i="16"/>
  <c r="J17" i="16"/>
  <c r="AH17" i="16" s="1"/>
  <c r="W91" i="19"/>
  <c r="L91" i="19"/>
  <c r="Y91" i="19" s="1"/>
  <c r="W332" i="19"/>
  <c r="L332" i="19"/>
  <c r="Y332" i="19" s="1"/>
  <c r="S176" i="16"/>
  <c r="I176" i="16"/>
  <c r="I132" i="16"/>
  <c r="AG132" i="16" s="1"/>
  <c r="S132" i="16"/>
  <c r="W265" i="17"/>
  <c r="L265" i="17"/>
  <c r="Y265" i="17" s="1"/>
  <c r="L71" i="16"/>
  <c r="AI71" i="16" s="1"/>
  <c r="L191" i="9"/>
  <c r="Y191" i="9" s="1"/>
  <c r="AA191" i="9" s="1"/>
  <c r="W242" i="16"/>
  <c r="J357" i="16"/>
  <c r="AH357" i="16" s="1"/>
  <c r="T357" i="16"/>
  <c r="J187" i="16"/>
  <c r="AH187" i="16" s="1"/>
  <c r="T187" i="16"/>
  <c r="AG512" i="16"/>
  <c r="W512" i="16"/>
  <c r="S341" i="16"/>
  <c r="I341" i="16"/>
  <c r="J294" i="16"/>
  <c r="AH294" i="16" s="1"/>
  <c r="T294" i="16"/>
  <c r="AA180" i="17"/>
  <c r="I24" i="16"/>
  <c r="AG24" i="16" s="1"/>
  <c r="S24" i="16"/>
  <c r="AA358" i="17"/>
  <c r="AA90" i="17"/>
  <c r="T362" i="16"/>
  <c r="J362" i="16"/>
  <c r="AH362" i="16" s="1"/>
  <c r="I191" i="16"/>
  <c r="S191" i="16"/>
  <c r="I372" i="16"/>
  <c r="AG372" i="16" s="1"/>
  <c r="S372" i="16"/>
  <c r="L268" i="19"/>
  <c r="Y268" i="19" s="1"/>
  <c r="W268" i="19"/>
  <c r="S389" i="16"/>
  <c r="I389" i="16"/>
  <c r="L208" i="17"/>
  <c r="Y208" i="17" s="1"/>
  <c r="W208" i="17"/>
  <c r="I251" i="16"/>
  <c r="S251" i="16"/>
  <c r="AG115" i="16"/>
  <c r="W115" i="16"/>
  <c r="W221" i="17"/>
  <c r="L221" i="17"/>
  <c r="Y221" i="17" s="1"/>
  <c r="J390" i="16"/>
  <c r="AH390" i="16" s="1"/>
  <c r="T390" i="16"/>
  <c r="J77" i="16"/>
  <c r="AH77" i="16" s="1"/>
  <c r="T77" i="16"/>
  <c r="W176" i="17"/>
  <c r="L176" i="17"/>
  <c r="Y176" i="17" s="1"/>
  <c r="AG480" i="16"/>
  <c r="W480" i="16"/>
  <c r="AA239" i="19"/>
  <c r="W268" i="17"/>
  <c r="L268" i="17"/>
  <c r="Y268" i="17" s="1"/>
  <c r="W122" i="17"/>
  <c r="L122" i="17"/>
  <c r="Y122" i="17" s="1"/>
  <c r="L301" i="17"/>
  <c r="Y301" i="17" s="1"/>
  <c r="W301" i="17"/>
  <c r="I378" i="16"/>
  <c r="AG378" i="16" s="1"/>
  <c r="S378" i="16"/>
  <c r="J181" i="16"/>
  <c r="AH181" i="16" s="1"/>
  <c r="T181" i="16"/>
  <c r="AA480" i="17"/>
  <c r="W29" i="19"/>
  <c r="L29" i="19"/>
  <c r="Y29" i="19" s="1"/>
  <c r="J361" i="16"/>
  <c r="AH361" i="16" s="1"/>
  <c r="T361" i="16"/>
  <c r="I227" i="16"/>
  <c r="AG227" i="16" s="1"/>
  <c r="S227" i="16"/>
  <c r="W491" i="17"/>
  <c r="L491" i="17"/>
  <c r="Y491" i="17" s="1"/>
  <c r="T89" i="16"/>
  <c r="J89" i="16"/>
  <c r="AH89" i="16" s="1"/>
  <c r="L330" i="17"/>
  <c r="Y330" i="17" s="1"/>
  <c r="W330" i="17"/>
  <c r="L145" i="17"/>
  <c r="Y145" i="17" s="1"/>
  <c r="W145" i="17"/>
  <c r="AG239" i="16"/>
  <c r="W239" i="16"/>
  <c r="I432" i="16"/>
  <c r="AG432" i="16" s="1"/>
  <c r="S432" i="16"/>
  <c r="W37" i="19"/>
  <c r="L37" i="19"/>
  <c r="Y37" i="19" s="1"/>
  <c r="I234" i="16"/>
  <c r="AG234" i="16" s="1"/>
  <c r="S234" i="16"/>
  <c r="J383" i="16"/>
  <c r="AH383" i="16" s="1"/>
  <c r="T383" i="16"/>
  <c r="I238" i="16"/>
  <c r="S238" i="16"/>
  <c r="W7" i="19"/>
  <c r="L7" i="19"/>
  <c r="Y7" i="19" s="1"/>
  <c r="I178" i="16"/>
  <c r="S178" i="16"/>
  <c r="W191" i="19"/>
  <c r="L191" i="19"/>
  <c r="Y191" i="19" s="1"/>
  <c r="W146" i="17"/>
  <c r="L146" i="17"/>
  <c r="Y146" i="17" s="1"/>
  <c r="L360" i="19"/>
  <c r="Y360" i="19" s="1"/>
  <c r="W360" i="19"/>
  <c r="S288" i="16"/>
  <c r="I288" i="16"/>
  <c r="AG288" i="16" s="1"/>
  <c r="T177" i="16"/>
  <c r="J177" i="16"/>
  <c r="AH177" i="16" s="1"/>
  <c r="T271" i="16"/>
  <c r="J271" i="16"/>
  <c r="AH271" i="16" s="1"/>
  <c r="T137" i="16"/>
  <c r="J137" i="16"/>
  <c r="AH137" i="16" s="1"/>
  <c r="L331" i="19"/>
  <c r="Y331" i="19" s="1"/>
  <c r="W331" i="19"/>
  <c r="L329" i="9"/>
  <c r="Y329" i="9" s="1"/>
  <c r="AA329" i="9" s="1"/>
  <c r="W356" i="16"/>
  <c r="L421" i="16"/>
  <c r="AI421" i="16" s="1"/>
  <c r="L416" i="16"/>
  <c r="AI416" i="16" s="1"/>
  <c r="I357" i="16"/>
  <c r="S357" i="16"/>
  <c r="I187" i="16"/>
  <c r="S187" i="16"/>
  <c r="J341" i="16"/>
  <c r="AH341" i="16" s="1"/>
  <c r="T341" i="16"/>
  <c r="AA448" i="17"/>
  <c r="AG482" i="16"/>
  <c r="W482" i="16"/>
  <c r="AG295" i="16"/>
  <c r="W295" i="16"/>
  <c r="AG509" i="16"/>
  <c r="W509" i="16"/>
  <c r="AA479" i="17"/>
  <c r="I294" i="16"/>
  <c r="AG294" i="16" s="1"/>
  <c r="S294" i="16"/>
  <c r="W212" i="19"/>
  <c r="L212" i="19"/>
  <c r="Y212" i="19" s="1"/>
  <c r="W97" i="19"/>
  <c r="L97" i="19"/>
  <c r="Y97" i="19" s="1"/>
  <c r="J384" i="16"/>
  <c r="AH384" i="16" s="1"/>
  <c r="T384" i="16"/>
  <c r="AG211" i="16"/>
  <c r="W211" i="16"/>
  <c r="T175" i="16"/>
  <c r="J175" i="16"/>
  <c r="AH175" i="16" s="1"/>
  <c r="L388" i="19"/>
  <c r="Y388" i="19" s="1"/>
  <c r="W388" i="19"/>
  <c r="S353" i="16"/>
  <c r="I353" i="16"/>
  <c r="AG353" i="16" s="1"/>
  <c r="L127" i="19"/>
  <c r="Y127" i="19" s="1"/>
  <c r="W127" i="19"/>
  <c r="T371" i="16"/>
  <c r="J371" i="16"/>
  <c r="AH371" i="16" s="1"/>
  <c r="J331" i="16"/>
  <c r="AH331" i="16" s="1"/>
  <c r="T331" i="16"/>
  <c r="AG97" i="16"/>
  <c r="W97" i="16"/>
  <c r="W27" i="19"/>
  <c r="L27" i="19"/>
  <c r="Y27" i="19" s="1"/>
  <c r="J278" i="16"/>
  <c r="AH278" i="16" s="1"/>
  <c r="T278" i="16"/>
  <c r="W187" i="17"/>
  <c r="L187" i="17"/>
  <c r="Y187" i="17" s="1"/>
  <c r="AG481" i="16"/>
  <c r="W481" i="16"/>
  <c r="I258" i="16"/>
  <c r="AG258" i="16" s="1"/>
  <c r="S258" i="16"/>
  <c r="I301" i="16"/>
  <c r="S301" i="16"/>
  <c r="L420" i="19"/>
  <c r="Y420" i="19" s="1"/>
  <c r="W420" i="19"/>
  <c r="W119" i="17"/>
  <c r="L119" i="17"/>
  <c r="Y119" i="17" s="1"/>
  <c r="J387" i="16"/>
  <c r="AH387" i="16" s="1"/>
  <c r="T387" i="16"/>
  <c r="W151" i="19"/>
  <c r="L151" i="19"/>
  <c r="Y151" i="19" s="1"/>
  <c r="J347" i="16"/>
  <c r="AH347" i="16" s="1"/>
  <c r="T347" i="16"/>
  <c r="I180" i="16"/>
  <c r="S180" i="16"/>
  <c r="L329" i="17"/>
  <c r="Y329" i="17" s="1"/>
  <c r="W329" i="17"/>
  <c r="J388" i="16"/>
  <c r="AH388" i="16" s="1"/>
  <c r="T388" i="16"/>
  <c r="AA236" i="17"/>
  <c r="AA57" i="19"/>
  <c r="I383" i="16"/>
  <c r="AG383" i="16" s="1"/>
  <c r="S383" i="16"/>
  <c r="J238" i="16"/>
  <c r="AH238" i="16" s="1"/>
  <c r="T238" i="16"/>
  <c r="J265" i="16"/>
  <c r="AH265" i="16" s="1"/>
  <c r="T265" i="16"/>
  <c r="T92" i="16"/>
  <c r="J92" i="16"/>
  <c r="AH92" i="16" s="1"/>
  <c r="W89" i="19"/>
  <c r="L89" i="19"/>
  <c r="Y89" i="19" s="1"/>
  <c r="L28" i="19"/>
  <c r="Y28" i="19" s="1"/>
  <c r="W28" i="19"/>
  <c r="W67" i="17"/>
  <c r="L67" i="17"/>
  <c r="Y67" i="17" s="1"/>
  <c r="T288" i="16"/>
  <c r="J288" i="16"/>
  <c r="AH288" i="16" s="1"/>
  <c r="W481" i="17"/>
  <c r="L481" i="17"/>
  <c r="Y481" i="17" s="1"/>
  <c r="S177" i="16"/>
  <c r="I177" i="16"/>
  <c r="W270" i="19"/>
  <c r="L270" i="19"/>
  <c r="Y270" i="19" s="1"/>
  <c r="S271" i="16"/>
  <c r="I271" i="16"/>
  <c r="S137" i="16"/>
  <c r="I137" i="16"/>
  <c r="AG137" i="16" s="1"/>
  <c r="T304" i="16"/>
  <c r="J304" i="16"/>
  <c r="AH304" i="16" s="1"/>
  <c r="S304" i="16"/>
  <c r="I304" i="16"/>
  <c r="I305" i="16"/>
  <c r="AG305" i="16" s="1"/>
  <c r="S305" i="16"/>
  <c r="J305" i="16"/>
  <c r="AH305" i="16" s="1"/>
  <c r="T305" i="16"/>
  <c r="J306" i="16"/>
  <c r="AH306" i="16" s="1"/>
  <c r="T306" i="16"/>
  <c r="S309" i="16"/>
  <c r="I309" i="16"/>
  <c r="AG309" i="16" s="1"/>
  <c r="I306" i="16"/>
  <c r="AG306" i="16" s="1"/>
  <c r="S306" i="16"/>
  <c r="J309" i="16"/>
  <c r="AH309" i="16" s="1"/>
  <c r="T309" i="16"/>
  <c r="I310" i="16"/>
  <c r="AG310" i="16" s="1"/>
  <c r="S310" i="16"/>
  <c r="J303" i="16"/>
  <c r="AH303" i="16" s="1"/>
  <c r="T303" i="16"/>
  <c r="J310" i="16"/>
  <c r="AH310" i="16" s="1"/>
  <c r="T310" i="16"/>
  <c r="I303" i="16"/>
  <c r="AG303" i="16" s="1"/>
  <c r="S303" i="16"/>
  <c r="L415" i="9"/>
  <c r="Y415" i="9" s="1"/>
  <c r="AA415" i="9" s="1"/>
  <c r="L205" i="9"/>
  <c r="Y205" i="9" s="1"/>
  <c r="AB205" i="9" s="1"/>
  <c r="L71" i="9"/>
  <c r="Y71" i="9" s="1"/>
  <c r="AA71" i="9" s="1"/>
  <c r="L389" i="9"/>
  <c r="Y389" i="9" s="1"/>
  <c r="AA389" i="9" s="1"/>
  <c r="L119" i="9"/>
  <c r="Y119" i="9" s="1"/>
  <c r="AA119" i="9" s="1"/>
  <c r="L298" i="9"/>
  <c r="Y298" i="9" s="1"/>
  <c r="AA298" i="9" s="1"/>
  <c r="L209" i="9"/>
  <c r="Y209" i="9" s="1"/>
  <c r="AB209" i="9" s="1"/>
  <c r="L31" i="9"/>
  <c r="Y31" i="9" s="1"/>
  <c r="AA31" i="9" s="1"/>
  <c r="L61" i="9"/>
  <c r="Y61" i="9" s="1"/>
  <c r="AB61" i="9" s="1"/>
  <c r="L482" i="9"/>
  <c r="Y482" i="9" s="1"/>
  <c r="AA482" i="9" s="1"/>
  <c r="L221" i="9"/>
  <c r="Y221" i="9" s="1"/>
  <c r="AA221" i="9" s="1"/>
  <c r="L92" i="9"/>
  <c r="Y92" i="9" s="1"/>
  <c r="AB92" i="9" s="1"/>
  <c r="L145" i="9"/>
  <c r="Y145" i="9" s="1"/>
  <c r="AB145" i="9" s="1"/>
  <c r="L239" i="9"/>
  <c r="Y239" i="9" s="1"/>
  <c r="AA239" i="9" s="1"/>
  <c r="L240" i="9"/>
  <c r="Y240" i="9" s="1"/>
  <c r="AA240" i="9" s="1"/>
  <c r="L356" i="9"/>
  <c r="Y356" i="9" s="1"/>
  <c r="AB356" i="9" s="1"/>
  <c r="L355" i="9"/>
  <c r="Y355" i="9" s="1"/>
  <c r="AB355" i="9" s="1"/>
  <c r="J383" i="9"/>
  <c r="T383" i="9"/>
  <c r="W447" i="9"/>
  <c r="AA447" i="9" s="1"/>
  <c r="L475" i="9"/>
  <c r="Y475" i="9" s="1"/>
  <c r="AA475" i="9" s="1"/>
  <c r="W60" i="9"/>
  <c r="AA60" i="9" s="1"/>
  <c r="I504" i="9"/>
  <c r="S504" i="9"/>
  <c r="I448" i="9"/>
  <c r="S448" i="9"/>
  <c r="I457" i="9"/>
  <c r="S457" i="9"/>
  <c r="I427" i="9"/>
  <c r="S427" i="9"/>
  <c r="J338" i="9"/>
  <c r="T338" i="9"/>
  <c r="J361" i="9"/>
  <c r="T361" i="9"/>
  <c r="I473" i="9"/>
  <c r="S473" i="9"/>
  <c r="I277" i="9"/>
  <c r="S277" i="9"/>
  <c r="I368" i="9"/>
  <c r="S368" i="9"/>
  <c r="J266" i="9"/>
  <c r="T266" i="9"/>
  <c r="I476" i="9"/>
  <c r="S476" i="9"/>
  <c r="J506" i="9"/>
  <c r="T506" i="9"/>
  <c r="I511" i="9"/>
  <c r="W511" i="9" s="1"/>
  <c r="S511" i="9"/>
  <c r="J282" i="9"/>
  <c r="T282" i="9"/>
  <c r="I449" i="9"/>
  <c r="S449" i="9"/>
  <c r="J247" i="9"/>
  <c r="T247" i="9"/>
  <c r="J318" i="9"/>
  <c r="T318" i="9"/>
  <c r="I438" i="9"/>
  <c r="S438" i="9"/>
  <c r="J312" i="9"/>
  <c r="T312" i="9"/>
  <c r="J242" i="9"/>
  <c r="T242" i="9"/>
  <c r="J392" i="9"/>
  <c r="T392" i="9"/>
  <c r="I348" i="9"/>
  <c r="S348" i="9"/>
  <c r="I467" i="9"/>
  <c r="S467" i="9"/>
  <c r="J354" i="9"/>
  <c r="T354" i="9"/>
  <c r="I387" i="9"/>
  <c r="S387" i="9"/>
  <c r="J91" i="9"/>
  <c r="T91" i="9"/>
  <c r="I401" i="9"/>
  <c r="S401" i="9"/>
  <c r="J293" i="9"/>
  <c r="T293" i="9"/>
  <c r="J25" i="9"/>
  <c r="T25" i="9"/>
  <c r="I360" i="9"/>
  <c r="S360" i="9"/>
  <c r="J179" i="9"/>
  <c r="T179" i="9"/>
  <c r="I468" i="9"/>
  <c r="S468" i="9"/>
  <c r="I86" i="9"/>
  <c r="W86" i="9" s="1"/>
  <c r="S86" i="9"/>
  <c r="J474" i="9"/>
  <c r="T474" i="9"/>
  <c r="I445" i="9"/>
  <c r="S445" i="9"/>
  <c r="J263" i="9"/>
  <c r="T263" i="9"/>
  <c r="J294" i="9"/>
  <c r="T294" i="9"/>
  <c r="I391" i="9"/>
  <c r="S391" i="9"/>
  <c r="J479" i="9"/>
  <c r="T479" i="9"/>
  <c r="J272" i="9"/>
  <c r="T272" i="9"/>
  <c r="I237" i="9"/>
  <c r="S237" i="9"/>
  <c r="J407" i="9"/>
  <c r="T407" i="9"/>
  <c r="J181" i="9"/>
  <c r="T181" i="9"/>
  <c r="J390" i="9"/>
  <c r="T390" i="9"/>
  <c r="J7" i="9"/>
  <c r="T7" i="9"/>
  <c r="J428" i="9"/>
  <c r="T428" i="9"/>
  <c r="I337" i="9"/>
  <c r="S337" i="9"/>
  <c r="I258" i="9"/>
  <c r="S258" i="9"/>
  <c r="J505" i="9"/>
  <c r="T505" i="9"/>
  <c r="J281" i="9"/>
  <c r="T281" i="9"/>
  <c r="I127" i="9"/>
  <c r="S127" i="9"/>
  <c r="J288" i="9"/>
  <c r="T288" i="9"/>
  <c r="I371" i="9"/>
  <c r="S371" i="9"/>
  <c r="J509" i="9"/>
  <c r="T509" i="9"/>
  <c r="J461" i="9"/>
  <c r="T461" i="9"/>
  <c r="J377" i="9"/>
  <c r="T377" i="9"/>
  <c r="I41" i="9"/>
  <c r="S41" i="9"/>
  <c r="J397" i="9"/>
  <c r="T397" i="9"/>
  <c r="I308" i="9"/>
  <c r="S308" i="9"/>
  <c r="J462" i="9"/>
  <c r="T462" i="9"/>
  <c r="I288" i="9"/>
  <c r="S288" i="9"/>
  <c r="I478" i="9"/>
  <c r="W478" i="9" s="1"/>
  <c r="S478" i="9"/>
  <c r="I503" i="9"/>
  <c r="S503" i="9"/>
  <c r="J371" i="9"/>
  <c r="T371" i="9"/>
  <c r="J241" i="9"/>
  <c r="T241" i="9"/>
  <c r="J391" i="9"/>
  <c r="T391" i="9"/>
  <c r="I383" i="9"/>
  <c r="S383" i="9"/>
  <c r="I509" i="9"/>
  <c r="S509" i="9"/>
  <c r="I510" i="9"/>
  <c r="W510" i="9" s="1"/>
  <c r="S510" i="9"/>
  <c r="I326" i="9"/>
  <c r="S326" i="9"/>
  <c r="I461" i="9"/>
  <c r="S461" i="9"/>
  <c r="I206" i="9"/>
  <c r="S206" i="9"/>
  <c r="I377" i="9"/>
  <c r="S377" i="9"/>
  <c r="I508" i="9"/>
  <c r="S508" i="9"/>
  <c r="I479" i="9"/>
  <c r="W479" i="9" s="1"/>
  <c r="S479" i="9"/>
  <c r="J41" i="9"/>
  <c r="T41" i="9"/>
  <c r="I278" i="9"/>
  <c r="S278" i="9"/>
  <c r="I397" i="9"/>
  <c r="S397" i="9"/>
  <c r="I264" i="9"/>
  <c r="S264" i="9"/>
  <c r="I272" i="9"/>
  <c r="L272" i="9" s="1"/>
  <c r="Y272" i="9" s="1"/>
  <c r="S272" i="9"/>
  <c r="J452" i="9"/>
  <c r="T452" i="9"/>
  <c r="J308" i="9"/>
  <c r="T308" i="9"/>
  <c r="J347" i="9"/>
  <c r="T347" i="9"/>
  <c r="J237" i="9"/>
  <c r="T237" i="9"/>
  <c r="I417" i="9"/>
  <c r="W417" i="9" s="1"/>
  <c r="S417" i="9"/>
  <c r="I407" i="9"/>
  <c r="S407" i="9"/>
  <c r="I462" i="9"/>
  <c r="S462" i="9"/>
  <c r="I181" i="9"/>
  <c r="W181" i="9" s="1"/>
  <c r="S181" i="9"/>
  <c r="I270" i="9"/>
  <c r="W270" i="9" s="1"/>
  <c r="S270" i="9"/>
  <c r="I390" i="9"/>
  <c r="S390" i="9"/>
  <c r="I7" i="9"/>
  <c r="W7" i="9" s="1"/>
  <c r="S7" i="9"/>
  <c r="I428" i="9"/>
  <c r="S428" i="9"/>
  <c r="J337" i="9"/>
  <c r="T337" i="9"/>
  <c r="J258" i="9"/>
  <c r="T258" i="9"/>
  <c r="I505" i="9"/>
  <c r="S505" i="9"/>
  <c r="I281" i="9"/>
  <c r="S281" i="9"/>
  <c r="J127" i="9"/>
  <c r="T127" i="9"/>
  <c r="J326" i="9"/>
  <c r="T326" i="9"/>
  <c r="L176" i="9"/>
  <c r="Y176" i="9" s="1"/>
  <c r="AA176" i="9" s="1"/>
  <c r="J248" i="9"/>
  <c r="T248" i="9"/>
  <c r="J353" i="9"/>
  <c r="T353" i="9"/>
  <c r="J372" i="9"/>
  <c r="T372" i="9"/>
  <c r="J323" i="9"/>
  <c r="T323" i="9"/>
  <c r="J271" i="9"/>
  <c r="T271" i="9"/>
  <c r="I421" i="9"/>
  <c r="W421" i="9" s="1"/>
  <c r="S421" i="9"/>
  <c r="J97" i="9"/>
  <c r="T97" i="9"/>
  <c r="I117" i="9"/>
  <c r="W117" i="9" s="1"/>
  <c r="S117" i="9"/>
  <c r="I122" i="9"/>
  <c r="S122" i="9"/>
  <c r="J416" i="9"/>
  <c r="T416" i="9"/>
  <c r="J492" i="9"/>
  <c r="T492" i="9"/>
  <c r="J211" i="9"/>
  <c r="T211" i="9"/>
  <c r="I498" i="9"/>
  <c r="S498" i="9"/>
  <c r="J299" i="9"/>
  <c r="T299" i="9"/>
  <c r="J431" i="9"/>
  <c r="T431" i="9"/>
  <c r="J497" i="9"/>
  <c r="T497" i="9"/>
  <c r="J512" i="9"/>
  <c r="T512" i="9"/>
  <c r="J59" i="9"/>
  <c r="T59" i="9"/>
  <c r="J161" i="9"/>
  <c r="T161" i="9"/>
  <c r="I302" i="9"/>
  <c r="S302" i="9"/>
  <c r="I398" i="9"/>
  <c r="S398" i="9"/>
  <c r="J62" i="9"/>
  <c r="T62" i="9"/>
  <c r="J307" i="9"/>
  <c r="T307" i="9"/>
  <c r="J327" i="9"/>
  <c r="T327" i="9"/>
  <c r="I477" i="9"/>
  <c r="W477" i="9" s="1"/>
  <c r="S477" i="9"/>
  <c r="J367" i="9"/>
  <c r="T367" i="9"/>
  <c r="J32" i="9"/>
  <c r="T32" i="9"/>
  <c r="J432" i="9"/>
  <c r="T432" i="9"/>
  <c r="J300" i="9"/>
  <c r="T300" i="9"/>
  <c r="J420" i="9"/>
  <c r="T420" i="9"/>
  <c r="J27" i="9"/>
  <c r="T27" i="9"/>
  <c r="I252" i="9"/>
  <c r="S252" i="9"/>
  <c r="J443" i="9"/>
  <c r="T443" i="9"/>
  <c r="I132" i="9"/>
  <c r="S132" i="9"/>
  <c r="I257" i="9"/>
  <c r="S257" i="9"/>
  <c r="J414" i="9"/>
  <c r="T414" i="9"/>
  <c r="I182" i="9"/>
  <c r="W182" i="9" s="1"/>
  <c r="S182" i="9"/>
  <c r="J478" i="9"/>
  <c r="T478" i="9"/>
  <c r="I241" i="9"/>
  <c r="S241" i="9"/>
  <c r="J510" i="9"/>
  <c r="T510" i="9"/>
  <c r="J206" i="9"/>
  <c r="T206" i="9"/>
  <c r="J508" i="9"/>
  <c r="T508" i="9"/>
  <c r="J278" i="9"/>
  <c r="T278" i="9"/>
  <c r="J264" i="9"/>
  <c r="T264" i="9"/>
  <c r="I452" i="9"/>
  <c r="S452" i="9"/>
  <c r="I347" i="9"/>
  <c r="S347" i="9"/>
  <c r="J417" i="9"/>
  <c r="T417" i="9"/>
  <c r="J270" i="9"/>
  <c r="T270" i="9"/>
  <c r="I248" i="9"/>
  <c r="S248" i="9"/>
  <c r="I353" i="9"/>
  <c r="S353" i="9"/>
  <c r="I372" i="9"/>
  <c r="S372" i="9"/>
  <c r="I323" i="9"/>
  <c r="S323" i="9"/>
  <c r="I271" i="9"/>
  <c r="L271" i="9" s="1"/>
  <c r="Y271" i="9" s="1"/>
  <c r="S271" i="9"/>
  <c r="J421" i="9"/>
  <c r="T421" i="9"/>
  <c r="I97" i="9"/>
  <c r="W97" i="9" s="1"/>
  <c r="S97" i="9"/>
  <c r="J117" i="9"/>
  <c r="T117" i="9"/>
  <c r="J122" i="9"/>
  <c r="T122" i="9"/>
  <c r="I416" i="9"/>
  <c r="L416" i="9" s="1"/>
  <c r="Y416" i="9" s="1"/>
  <c r="S416" i="9"/>
  <c r="I492" i="9"/>
  <c r="S492" i="9"/>
  <c r="I211" i="9"/>
  <c r="S211" i="9"/>
  <c r="J498" i="9"/>
  <c r="T498" i="9"/>
  <c r="I299" i="9"/>
  <c r="S299" i="9"/>
  <c r="I431" i="9"/>
  <c r="S431" i="9"/>
  <c r="I497" i="9"/>
  <c r="S497" i="9"/>
  <c r="I512" i="9"/>
  <c r="S512" i="9"/>
  <c r="I59" i="9"/>
  <c r="S59" i="9"/>
  <c r="I161" i="9"/>
  <c r="W161" i="9" s="1"/>
  <c r="S161" i="9"/>
  <c r="J302" i="9"/>
  <c r="T302" i="9"/>
  <c r="J398" i="9"/>
  <c r="T398" i="9"/>
  <c r="I62" i="9"/>
  <c r="S62" i="9"/>
  <c r="I307" i="9"/>
  <c r="S307" i="9"/>
  <c r="I327" i="9"/>
  <c r="S327" i="9"/>
  <c r="J477" i="9"/>
  <c r="T477" i="9"/>
  <c r="I367" i="9"/>
  <c r="S367" i="9"/>
  <c r="I32" i="9"/>
  <c r="S32" i="9"/>
  <c r="I432" i="9"/>
  <c r="S432" i="9"/>
  <c r="I300" i="9"/>
  <c r="W300" i="9" s="1"/>
  <c r="S300" i="9"/>
  <c r="I420" i="9"/>
  <c r="L420" i="9" s="1"/>
  <c r="Y420" i="9" s="1"/>
  <c r="S420" i="9"/>
  <c r="I27" i="9"/>
  <c r="S27" i="9"/>
  <c r="J252" i="9"/>
  <c r="T252" i="9"/>
  <c r="I443" i="9"/>
  <c r="S443" i="9"/>
  <c r="J132" i="9"/>
  <c r="T132" i="9"/>
  <c r="J257" i="9"/>
  <c r="T257" i="9"/>
  <c r="I414" i="9"/>
  <c r="S414" i="9"/>
  <c r="J182" i="9"/>
  <c r="T182" i="9"/>
  <c r="L358" i="9"/>
  <c r="Y358" i="9" s="1"/>
  <c r="AA358" i="9" s="1"/>
  <c r="J388" i="9"/>
  <c r="T388" i="9"/>
  <c r="J115" i="9"/>
  <c r="T115" i="9"/>
  <c r="I324" i="9"/>
  <c r="S324" i="9"/>
  <c r="I378" i="9"/>
  <c r="S378" i="9"/>
  <c r="J331" i="9"/>
  <c r="T331" i="9"/>
  <c r="I42" i="9"/>
  <c r="S42" i="9"/>
  <c r="J317" i="9"/>
  <c r="T317" i="9"/>
  <c r="I408" i="9"/>
  <c r="S408" i="9"/>
  <c r="I236" i="9"/>
  <c r="S236" i="9"/>
  <c r="J446" i="9"/>
  <c r="T446" i="9"/>
  <c r="J444" i="9"/>
  <c r="T444" i="9"/>
  <c r="J491" i="9"/>
  <c r="T491" i="9"/>
  <c r="I458" i="9"/>
  <c r="S458" i="9"/>
  <c r="I359" i="9"/>
  <c r="S359" i="9"/>
  <c r="J287" i="9"/>
  <c r="T287" i="9"/>
  <c r="I147" i="9"/>
  <c r="S147" i="9"/>
  <c r="J487" i="9"/>
  <c r="T487" i="9"/>
  <c r="J488" i="9"/>
  <c r="T488" i="9"/>
  <c r="I121" i="9"/>
  <c r="S121" i="9"/>
  <c r="J332" i="9"/>
  <c r="T332" i="9"/>
  <c r="J437" i="9"/>
  <c r="T437" i="9"/>
  <c r="J30" i="9"/>
  <c r="T30" i="9"/>
  <c r="I402" i="9"/>
  <c r="S402" i="9"/>
  <c r="J357" i="9"/>
  <c r="T357" i="9"/>
  <c r="I146" i="9"/>
  <c r="S146" i="9"/>
  <c r="J507" i="9"/>
  <c r="T507" i="9"/>
  <c r="J341" i="9"/>
  <c r="T341" i="9"/>
  <c r="J384" i="9"/>
  <c r="T384" i="9"/>
  <c r="I330" i="9"/>
  <c r="S330" i="9"/>
  <c r="I450" i="9"/>
  <c r="S450" i="9"/>
  <c r="J413" i="9"/>
  <c r="T413" i="9"/>
  <c r="J118" i="9"/>
  <c r="T118" i="9"/>
  <c r="J251" i="9"/>
  <c r="T251" i="9"/>
  <c r="I265" i="9"/>
  <c r="S265" i="9"/>
  <c r="J311" i="9"/>
  <c r="T311" i="9"/>
  <c r="J342" i="9"/>
  <c r="T342" i="9"/>
  <c r="I150" i="9"/>
  <c r="S150" i="9"/>
  <c r="L301" i="9"/>
  <c r="Y301" i="9" s="1"/>
  <c r="AB301" i="9" s="1"/>
  <c r="L131" i="9"/>
  <c r="Y131" i="9" s="1"/>
  <c r="AA131" i="9" s="1"/>
  <c r="L26" i="9"/>
  <c r="Y26" i="9" s="1"/>
  <c r="AA26" i="9" s="1"/>
  <c r="I388" i="9"/>
  <c r="S388" i="9"/>
  <c r="I115" i="9"/>
  <c r="S115" i="9"/>
  <c r="J324" i="9"/>
  <c r="T324" i="9"/>
  <c r="J378" i="9"/>
  <c r="T378" i="9"/>
  <c r="I331" i="9"/>
  <c r="S331" i="9"/>
  <c r="J42" i="9"/>
  <c r="T42" i="9"/>
  <c r="I317" i="9"/>
  <c r="S317" i="9"/>
  <c r="J408" i="9"/>
  <c r="T408" i="9"/>
  <c r="J236" i="9"/>
  <c r="T236" i="9"/>
  <c r="I446" i="9"/>
  <c r="S446" i="9"/>
  <c r="I444" i="9"/>
  <c r="S444" i="9"/>
  <c r="I491" i="9"/>
  <c r="S491" i="9"/>
  <c r="J458" i="9"/>
  <c r="T458" i="9"/>
  <c r="J359" i="9"/>
  <c r="T359" i="9"/>
  <c r="I287" i="9"/>
  <c r="S287" i="9"/>
  <c r="J147" i="9"/>
  <c r="T147" i="9"/>
  <c r="I487" i="9"/>
  <c r="S487" i="9"/>
  <c r="I488" i="9"/>
  <c r="S488" i="9"/>
  <c r="J121" i="9"/>
  <c r="T121" i="9"/>
  <c r="I332" i="9"/>
  <c r="S332" i="9"/>
  <c r="I437" i="9"/>
  <c r="S437" i="9"/>
  <c r="I30" i="9"/>
  <c r="S30" i="9"/>
  <c r="J402" i="9"/>
  <c r="T402" i="9"/>
  <c r="I357" i="9"/>
  <c r="S357" i="9"/>
  <c r="J146" i="9"/>
  <c r="T146" i="9"/>
  <c r="I507" i="9"/>
  <c r="S507" i="9"/>
  <c r="I341" i="9"/>
  <c r="S341" i="9"/>
  <c r="I384" i="9"/>
  <c r="S384" i="9"/>
  <c r="J330" i="9"/>
  <c r="T330" i="9"/>
  <c r="J450" i="9"/>
  <c r="T450" i="9"/>
  <c r="I413" i="9"/>
  <c r="S413" i="9"/>
  <c r="I118" i="9"/>
  <c r="S118" i="9"/>
  <c r="I251" i="9"/>
  <c r="S251" i="9"/>
  <c r="J265" i="9"/>
  <c r="T265" i="9"/>
  <c r="I311" i="9"/>
  <c r="S311" i="9"/>
  <c r="I342" i="9"/>
  <c r="S342" i="9"/>
  <c r="J150" i="9"/>
  <c r="T150" i="9"/>
  <c r="J503" i="9"/>
  <c r="T503" i="9"/>
  <c r="L418" i="9"/>
  <c r="Y418" i="9" s="1"/>
  <c r="AA418" i="9" s="1"/>
  <c r="J504" i="9"/>
  <c r="T504" i="9"/>
  <c r="J448" i="9"/>
  <c r="T448" i="9"/>
  <c r="J457" i="9"/>
  <c r="T457" i="9"/>
  <c r="J427" i="9"/>
  <c r="T427" i="9"/>
  <c r="I338" i="9"/>
  <c r="S338" i="9"/>
  <c r="I361" i="9"/>
  <c r="S361" i="9"/>
  <c r="J473" i="9"/>
  <c r="T473" i="9"/>
  <c r="J277" i="9"/>
  <c r="T277" i="9"/>
  <c r="J368" i="9"/>
  <c r="T368" i="9"/>
  <c r="I266" i="9"/>
  <c r="W266" i="9" s="1"/>
  <c r="S266" i="9"/>
  <c r="J476" i="9"/>
  <c r="T476" i="9"/>
  <c r="I506" i="9"/>
  <c r="W506" i="9" s="1"/>
  <c r="S506" i="9"/>
  <c r="J511" i="9"/>
  <c r="T511" i="9"/>
  <c r="I282" i="9"/>
  <c r="S282" i="9"/>
  <c r="J449" i="9"/>
  <c r="T449" i="9"/>
  <c r="I247" i="9"/>
  <c r="S247" i="9"/>
  <c r="I318" i="9"/>
  <c r="S318" i="9"/>
  <c r="J438" i="9"/>
  <c r="T438" i="9"/>
  <c r="I312" i="9"/>
  <c r="S312" i="9"/>
  <c r="I242" i="9"/>
  <c r="S242" i="9"/>
  <c r="I392" i="9"/>
  <c r="S392" i="9"/>
  <c r="J348" i="9"/>
  <c r="T348" i="9"/>
  <c r="J467" i="9"/>
  <c r="T467" i="9"/>
  <c r="I354" i="9"/>
  <c r="S354" i="9"/>
  <c r="J387" i="9"/>
  <c r="T387" i="9"/>
  <c r="I91" i="9"/>
  <c r="S91" i="9"/>
  <c r="J401" i="9"/>
  <c r="T401" i="9"/>
  <c r="I293" i="9"/>
  <c r="S293" i="9"/>
  <c r="I25" i="9"/>
  <c r="S25" i="9"/>
  <c r="J360" i="9"/>
  <c r="T360" i="9"/>
  <c r="I179" i="9"/>
  <c r="S179" i="9"/>
  <c r="J468" i="9"/>
  <c r="T468" i="9"/>
  <c r="J86" i="9"/>
  <c r="T86" i="9"/>
  <c r="I474" i="9"/>
  <c r="S474" i="9"/>
  <c r="J445" i="9"/>
  <c r="T445" i="9"/>
  <c r="I263" i="9"/>
  <c r="S263" i="9"/>
  <c r="I294" i="9"/>
  <c r="S294" i="9"/>
  <c r="W476" i="9"/>
  <c r="AB210" i="9"/>
  <c r="Y212" i="16"/>
  <c r="Y121" i="16"/>
  <c r="Y477" i="16"/>
  <c r="Y330" i="16"/>
  <c r="AA330" i="16" s="1"/>
  <c r="Y209" i="16"/>
  <c r="Y206" i="16"/>
  <c r="Y482" i="16"/>
  <c r="Y481" i="16"/>
  <c r="Y127" i="16"/>
  <c r="AA127" i="16" s="1"/>
  <c r="Y85" i="16"/>
  <c r="Y221" i="16"/>
  <c r="AA221" i="16" s="1"/>
  <c r="Y118" i="16"/>
  <c r="Y57" i="16"/>
  <c r="Y417" i="16"/>
  <c r="Y236" i="16"/>
  <c r="Y427" i="16"/>
  <c r="AA427" i="16" s="1"/>
  <c r="Y161" i="16"/>
  <c r="Y205" i="16"/>
  <c r="Y418" i="16"/>
  <c r="Y116" i="16"/>
  <c r="Y211" i="16"/>
  <c r="Y512" i="16"/>
  <c r="Y268" i="16"/>
  <c r="Y242" i="16"/>
  <c r="Y235" i="16"/>
  <c r="AB235" i="16" s="1"/>
  <c r="Y422" i="16"/>
  <c r="Y479" i="16"/>
  <c r="Y487" i="16"/>
  <c r="Y37" i="16"/>
  <c r="AA37" i="16" s="1"/>
  <c r="Y328" i="16"/>
  <c r="Y210" i="16"/>
  <c r="AA210" i="16" s="1"/>
  <c r="Y329" i="16"/>
  <c r="AB329" i="16" s="1"/>
  <c r="Y145" i="16"/>
  <c r="AA145" i="16" s="1"/>
  <c r="Y120" i="16"/>
  <c r="AB120" i="16" s="1"/>
  <c r="Y506" i="16"/>
  <c r="Y207" i="16"/>
  <c r="AB207" i="16" s="1"/>
  <c r="Y449" i="16"/>
  <c r="Y511" i="16"/>
  <c r="Y510" i="16"/>
  <c r="Y298" i="16"/>
  <c r="Y122" i="16"/>
  <c r="Y415" i="16"/>
  <c r="Y475" i="16"/>
  <c r="AB297" i="9"/>
  <c r="AA116" i="9"/>
  <c r="AB55" i="9"/>
  <c r="AB207" i="9"/>
  <c r="AA451" i="9"/>
  <c r="AB451" i="9"/>
  <c r="AB389" i="9"/>
  <c r="AA328" i="9"/>
  <c r="AB328" i="9"/>
  <c r="Y360" i="16" l="1"/>
  <c r="AA360" i="16" s="1"/>
  <c r="Y507" i="16"/>
  <c r="AB208" i="9"/>
  <c r="Y446" i="16"/>
  <c r="Y311" i="16"/>
  <c r="Y208" i="16"/>
  <c r="AB208" i="16" s="1"/>
  <c r="Y509" i="16"/>
  <c r="AB509" i="16" s="1"/>
  <c r="Y491" i="16"/>
  <c r="AA491" i="16" s="1"/>
  <c r="Y152" i="16"/>
  <c r="AA152" i="16" s="1"/>
  <c r="Y420" i="16"/>
  <c r="AB385" i="9"/>
  <c r="Y25" i="16"/>
  <c r="Y295" i="16"/>
  <c r="Y505" i="16"/>
  <c r="Y277" i="16"/>
  <c r="AA277" i="16" s="1"/>
  <c r="Y151" i="16"/>
  <c r="AA151" i="16" s="1"/>
  <c r="AB175" i="9"/>
  <c r="Y337" i="16"/>
  <c r="AA337" i="16" s="1"/>
  <c r="Y11" i="16"/>
  <c r="Y88" i="16"/>
  <c r="AB88" i="16" s="1"/>
  <c r="Y281" i="16"/>
  <c r="Y27" i="16"/>
  <c r="AB27" i="16" s="1"/>
  <c r="Y101" i="16"/>
  <c r="AA101" i="16" s="1"/>
  <c r="AA362" i="9"/>
  <c r="AB152" i="9"/>
  <c r="Y239" i="16"/>
  <c r="AB209" i="16"/>
  <c r="AB329" i="9"/>
  <c r="Y461" i="16"/>
  <c r="Y267" i="16"/>
  <c r="AB267" i="16" s="1"/>
  <c r="Y157" i="16"/>
  <c r="AA157" i="16" s="1"/>
  <c r="Y448" i="16"/>
  <c r="AB268" i="16"/>
  <c r="Y450" i="16"/>
  <c r="AA25" i="16"/>
  <c r="AB149" i="9"/>
  <c r="Y447" i="16"/>
  <c r="AA448" i="16"/>
  <c r="Y119" i="16"/>
  <c r="AB119" i="16" s="1"/>
  <c r="Y146" i="16"/>
  <c r="Y30" i="16"/>
  <c r="AB30" i="16" s="1"/>
  <c r="AB87" i="9"/>
  <c r="Y241" i="16"/>
  <c r="AA241" i="16" s="1"/>
  <c r="AA420" i="16"/>
  <c r="AA11" i="16"/>
  <c r="AA180" i="9"/>
  <c r="AA311" i="16"/>
  <c r="Y56" i="16"/>
  <c r="AA56" i="16" s="1"/>
  <c r="Y480" i="16"/>
  <c r="Y478" i="16"/>
  <c r="AA57" i="9"/>
  <c r="Y296" i="16"/>
  <c r="AA296" i="16" s="1"/>
  <c r="Y31" i="16"/>
  <c r="AB31" i="16" s="1"/>
  <c r="Y131" i="16"/>
  <c r="AA131" i="16" s="1"/>
  <c r="Y299" i="16"/>
  <c r="AB299" i="16" s="1"/>
  <c r="AA242" i="16"/>
  <c r="AB28" i="9"/>
  <c r="Y67" i="16"/>
  <c r="AA67" i="16" s="1"/>
  <c r="AA281" i="16"/>
  <c r="AB146" i="16"/>
  <c r="Y452" i="16"/>
  <c r="AA452" i="16" s="1"/>
  <c r="Y60" i="16"/>
  <c r="AB60" i="16" s="1"/>
  <c r="AB178" i="9"/>
  <c r="AA449" i="16"/>
  <c r="Y115" i="16"/>
  <c r="Y445" i="16"/>
  <c r="AA445" i="16" s="1"/>
  <c r="Y326" i="16"/>
  <c r="AB89" i="9"/>
  <c r="Y476" i="16"/>
  <c r="AA476" i="16" s="1"/>
  <c r="AB325" i="9"/>
  <c r="AB386" i="9"/>
  <c r="AB267" i="9"/>
  <c r="Y32" i="16"/>
  <c r="AA32" i="16" s="1"/>
  <c r="Y28" i="16"/>
  <c r="AA28" i="16" s="1"/>
  <c r="Y62" i="16"/>
  <c r="AA62" i="16" s="1"/>
  <c r="Y61" i="16"/>
  <c r="AB61" i="16" s="1"/>
  <c r="Y59" i="16"/>
  <c r="AA59" i="16" s="1"/>
  <c r="Y327" i="16"/>
  <c r="AA327" i="16" s="1"/>
  <c r="Y457" i="16"/>
  <c r="AA457" i="16" s="1"/>
  <c r="Y421" i="16"/>
  <c r="AA421" i="16" s="1"/>
  <c r="Y401" i="16"/>
  <c r="AA401" i="16" s="1"/>
  <c r="AA177" i="9"/>
  <c r="AB328" i="16"/>
  <c r="Y86" i="16"/>
  <c r="AA86" i="16" s="1"/>
  <c r="AA205" i="9"/>
  <c r="AA295" i="9"/>
  <c r="Y416" i="16"/>
  <c r="AA416" i="16" s="1"/>
  <c r="AB482" i="9"/>
  <c r="Y451" i="16"/>
  <c r="AA451" i="16" s="1"/>
  <c r="Y419" i="16"/>
  <c r="AB419" i="16" s="1"/>
  <c r="W272" i="9"/>
  <c r="AB272" i="9" s="1"/>
  <c r="AA88" i="9"/>
  <c r="AB90" i="9"/>
  <c r="Y29" i="16"/>
  <c r="AA29" i="16" s="1"/>
  <c r="AB148" i="9"/>
  <c r="AB119" i="9"/>
  <c r="AB475" i="9"/>
  <c r="L305" i="16"/>
  <c r="AI305" i="16" s="1"/>
  <c r="AB205" i="16"/>
  <c r="Y117" i="16"/>
  <c r="AA117" i="16" s="1"/>
  <c r="Y55" i="16"/>
  <c r="AA55" i="16" s="1"/>
  <c r="AA450" i="16"/>
  <c r="AA422" i="9"/>
  <c r="AB419" i="9"/>
  <c r="AA145" i="9"/>
  <c r="L117" i="9"/>
  <c r="Y117" i="9" s="1"/>
  <c r="L242" i="9"/>
  <c r="Y242" i="9" s="1"/>
  <c r="AA89" i="19"/>
  <c r="AA91" i="19"/>
  <c r="AA58" i="19"/>
  <c r="AA337" i="19"/>
  <c r="L181" i="9"/>
  <c r="Y181" i="9" s="1"/>
  <c r="AB181" i="9" s="1"/>
  <c r="L476" i="9"/>
  <c r="Y476" i="9" s="1"/>
  <c r="AB476" i="9" s="1"/>
  <c r="AA118" i="16"/>
  <c r="L357" i="9"/>
  <c r="Y357" i="9" s="1"/>
  <c r="AB176" i="9"/>
  <c r="L303" i="16"/>
  <c r="AI303" i="16" s="1"/>
  <c r="Y148" i="16"/>
  <c r="AA148" i="16" s="1"/>
  <c r="AB58" i="9"/>
  <c r="AA461" i="16"/>
  <c r="AB269" i="9"/>
  <c r="AA161" i="16"/>
  <c r="AB85" i="9"/>
  <c r="Y297" i="16"/>
  <c r="AB297" i="16" s="1"/>
  <c r="AB26" i="9"/>
  <c r="L479" i="9"/>
  <c r="Y479" i="9" s="1"/>
  <c r="AA479" i="9" s="1"/>
  <c r="AA388" i="19"/>
  <c r="AA97" i="19"/>
  <c r="AA331" i="19"/>
  <c r="AA271" i="19"/>
  <c r="AA341" i="19"/>
  <c r="Y356" i="16"/>
  <c r="AA356" i="16" s="1"/>
  <c r="AA120" i="9"/>
  <c r="AA296" i="9"/>
  <c r="AB212" i="9"/>
  <c r="Y269" i="16"/>
  <c r="AB269" i="16" s="1"/>
  <c r="Y97" i="16"/>
  <c r="AA97" i="16" s="1"/>
  <c r="AA270" i="19"/>
  <c r="AA151" i="19"/>
  <c r="AA212" i="19"/>
  <c r="AA360" i="19"/>
  <c r="AA37" i="19"/>
  <c r="AA55" i="19"/>
  <c r="L477" i="9"/>
  <c r="Y477" i="9" s="1"/>
  <c r="AA477" i="9" s="1"/>
  <c r="W271" i="9"/>
  <c r="AA271" i="9" s="1"/>
  <c r="AA325" i="19"/>
  <c r="AA147" i="19"/>
  <c r="L182" i="9"/>
  <c r="Y182" i="9" s="1"/>
  <c r="AA182" i="9" s="1"/>
  <c r="L309" i="16"/>
  <c r="AI309" i="16" s="1"/>
  <c r="Y71" i="16"/>
  <c r="AA71" i="16" s="1"/>
  <c r="AB447" i="9"/>
  <c r="AB31" i="9"/>
  <c r="AA92" i="9"/>
  <c r="Y272" i="16"/>
  <c r="AB272" i="16" s="1"/>
  <c r="AA447" i="16"/>
  <c r="L507" i="9"/>
  <c r="Y507" i="9" s="1"/>
  <c r="L115" i="9"/>
  <c r="Y115" i="9" s="1"/>
  <c r="L478" i="9"/>
  <c r="Y478" i="9" s="1"/>
  <c r="AA478" i="9" s="1"/>
  <c r="L310" i="16"/>
  <c r="AI310" i="16" s="1"/>
  <c r="Y508" i="16"/>
  <c r="AA508" i="16" s="1"/>
  <c r="AA356" i="9"/>
  <c r="AA355" i="9"/>
  <c r="L300" i="9"/>
  <c r="Y300" i="9" s="1"/>
  <c r="AA300" i="9" s="1"/>
  <c r="L306" i="16"/>
  <c r="AI306" i="16" s="1"/>
  <c r="AA151" i="9"/>
  <c r="Y147" i="16"/>
  <c r="AB147" i="16" s="1"/>
  <c r="AA487" i="16"/>
  <c r="Y307" i="16"/>
  <c r="AA307" i="16" s="1"/>
  <c r="Y300" i="16"/>
  <c r="AB300" i="16" s="1"/>
  <c r="AA301" i="9"/>
  <c r="AB268" i="9"/>
  <c r="Y26" i="16"/>
  <c r="AA26" i="16" s="1"/>
  <c r="Y149" i="16"/>
  <c r="AB149" i="16" s="1"/>
  <c r="Y217" i="16"/>
  <c r="AA217" i="16" s="1"/>
  <c r="AA481" i="9"/>
  <c r="AA56" i="9"/>
  <c r="AB415" i="9"/>
  <c r="AB238" i="9"/>
  <c r="Y397" i="16"/>
  <c r="AA397" i="16" s="1"/>
  <c r="AA29" i="9"/>
  <c r="AA61" i="9"/>
  <c r="AA446" i="16"/>
  <c r="Y7" i="16"/>
  <c r="AA7" i="16" s="1"/>
  <c r="AA28" i="19"/>
  <c r="AA27" i="19"/>
  <c r="AA127" i="19"/>
  <c r="AA268" i="19"/>
  <c r="AA332" i="19"/>
  <c r="AA26" i="19"/>
  <c r="AA391" i="19"/>
  <c r="AA457" i="19"/>
  <c r="AA361" i="19"/>
  <c r="AA327" i="19"/>
  <c r="AA87" i="19"/>
  <c r="AA481" i="17"/>
  <c r="AA491" i="17"/>
  <c r="AA265" i="17"/>
  <c r="AA420" i="17"/>
  <c r="AA272" i="17"/>
  <c r="AA510" i="17"/>
  <c r="AA281" i="17"/>
  <c r="AA212" i="17"/>
  <c r="AA507" i="17"/>
  <c r="AA29" i="17"/>
  <c r="AA149" i="17"/>
  <c r="AA391" i="17"/>
  <c r="AA326" i="17"/>
  <c r="AA122" i="17"/>
  <c r="AA187" i="17"/>
  <c r="AA145" i="17"/>
  <c r="AA208" i="17"/>
  <c r="AA511" i="17"/>
  <c r="AA117" i="17"/>
  <c r="AA451" i="17"/>
  <c r="AA419" i="17"/>
  <c r="AA267" i="17"/>
  <c r="AA67" i="17"/>
  <c r="AA330" i="17"/>
  <c r="AA221" i="17"/>
  <c r="AA332" i="17"/>
  <c r="AA505" i="17"/>
  <c r="AA392" i="17"/>
  <c r="AA329" i="17"/>
  <c r="AA241" i="17"/>
  <c r="AA211" i="17"/>
  <c r="AA150" i="19"/>
  <c r="AA272" i="19"/>
  <c r="AA271" i="17"/>
  <c r="AA358" i="19"/>
  <c r="AA131" i="17"/>
  <c r="L266" i="9"/>
  <c r="Y266" i="9" s="1"/>
  <c r="AA266" i="9" s="1"/>
  <c r="AA449" i="19"/>
  <c r="AA416" i="19"/>
  <c r="AA298" i="17"/>
  <c r="W357" i="9"/>
  <c r="L236" i="9"/>
  <c r="Y236" i="9" s="1"/>
  <c r="L7" i="9"/>
  <c r="Y7" i="9" s="1"/>
  <c r="AA7" i="9" s="1"/>
  <c r="L237" i="9"/>
  <c r="Y237" i="9" s="1"/>
  <c r="AG271" i="16"/>
  <c r="L271" i="16"/>
  <c r="W271" i="16"/>
  <c r="AB60" i="9"/>
  <c r="L270" i="9"/>
  <c r="Y270" i="9" s="1"/>
  <c r="AA270" i="9" s="1"/>
  <c r="AG180" i="16"/>
  <c r="L180" i="16"/>
  <c r="W180" i="16"/>
  <c r="AA119" i="17"/>
  <c r="AA191" i="19"/>
  <c r="AA268" i="17"/>
  <c r="AG251" i="16"/>
  <c r="L251" i="16"/>
  <c r="W251" i="16"/>
  <c r="AA390" i="17"/>
  <c r="AA90" i="19"/>
  <c r="AA506" i="17"/>
  <c r="AG270" i="16"/>
  <c r="W270" i="16"/>
  <c r="L270" i="16"/>
  <c r="AG266" i="16"/>
  <c r="L266" i="16"/>
  <c r="W266" i="16"/>
  <c r="AA415" i="19"/>
  <c r="AA509" i="17"/>
  <c r="AA386" i="19"/>
  <c r="AA209" i="17"/>
  <c r="AA157" i="17"/>
  <c r="AA265" i="19"/>
  <c r="AA151" i="17"/>
  <c r="AG361" i="16"/>
  <c r="W361" i="16"/>
  <c r="L361" i="16"/>
  <c r="AG87" i="16"/>
  <c r="W87" i="16"/>
  <c r="L87" i="16"/>
  <c r="AG179" i="16"/>
  <c r="W179" i="16"/>
  <c r="L179" i="16"/>
  <c r="AG331" i="16"/>
  <c r="W331" i="16"/>
  <c r="L331" i="16"/>
  <c r="AA209" i="16"/>
  <c r="Y431" i="16"/>
  <c r="AA431" i="16" s="1"/>
  <c r="W416" i="9"/>
  <c r="AA416" i="9" s="1"/>
  <c r="AA420" i="19"/>
  <c r="AG187" i="16"/>
  <c r="W187" i="16"/>
  <c r="L187" i="16"/>
  <c r="AG178" i="16"/>
  <c r="W178" i="16"/>
  <c r="L178" i="16"/>
  <c r="AG191" i="16"/>
  <c r="W191" i="16"/>
  <c r="L191" i="16"/>
  <c r="AG367" i="16"/>
  <c r="L367" i="16"/>
  <c r="W367" i="16"/>
  <c r="AA422" i="19"/>
  <c r="AG390" i="16"/>
  <c r="W390" i="16"/>
  <c r="L390" i="16"/>
  <c r="AG240" i="16"/>
  <c r="L240" i="16"/>
  <c r="W240" i="16"/>
  <c r="AG302" i="16"/>
  <c r="W302" i="16"/>
  <c r="L302" i="16"/>
  <c r="AA329" i="19"/>
  <c r="AA421" i="19"/>
  <c r="AG247" i="16"/>
  <c r="L247" i="16"/>
  <c r="W247" i="16"/>
  <c r="AA357" i="19"/>
  <c r="AA26" i="17"/>
  <c r="AA127" i="17"/>
  <c r="AG355" i="16"/>
  <c r="L355" i="16"/>
  <c r="W355" i="16"/>
  <c r="AA266" i="19"/>
  <c r="AG92" i="16"/>
  <c r="W92" i="16"/>
  <c r="L92" i="16"/>
  <c r="AA421" i="17"/>
  <c r="AG389" i="16"/>
  <c r="L389" i="16"/>
  <c r="W389" i="16"/>
  <c r="AG176" i="16"/>
  <c r="W176" i="16"/>
  <c r="L176" i="16"/>
  <c r="AG58" i="16"/>
  <c r="L58" i="16"/>
  <c r="W58" i="16"/>
  <c r="AG90" i="16"/>
  <c r="L90" i="16"/>
  <c r="W90" i="16"/>
  <c r="AG175" i="16"/>
  <c r="L175" i="16"/>
  <c r="W175" i="16"/>
  <c r="AG391" i="16"/>
  <c r="W391" i="16"/>
  <c r="L391" i="16"/>
  <c r="AG150" i="16"/>
  <c r="W150" i="16"/>
  <c r="L150" i="16"/>
  <c r="AA480" i="9"/>
  <c r="AG301" i="16"/>
  <c r="L301" i="16"/>
  <c r="W301" i="16"/>
  <c r="AG357" i="16"/>
  <c r="W357" i="16"/>
  <c r="L357" i="16"/>
  <c r="AA7" i="19"/>
  <c r="AA301" i="17"/>
  <c r="AG341" i="16"/>
  <c r="W341" i="16"/>
  <c r="L341" i="16"/>
  <c r="AA221" i="19"/>
  <c r="AA330" i="19"/>
  <c r="AA452" i="17"/>
  <c r="AA217" i="19"/>
  <c r="AG237" i="16"/>
  <c r="L237" i="16"/>
  <c r="W237" i="16"/>
  <c r="AA239" i="17"/>
  <c r="AG182" i="16"/>
  <c r="W182" i="16"/>
  <c r="L182" i="16"/>
  <c r="AA210" i="17"/>
  <c r="AG332" i="16"/>
  <c r="L332" i="16"/>
  <c r="W332" i="16"/>
  <c r="AA307" i="17"/>
  <c r="AA205" i="17"/>
  <c r="AA269" i="19"/>
  <c r="AA25" i="17"/>
  <c r="AG385" i="16"/>
  <c r="W385" i="16"/>
  <c r="L385" i="16"/>
  <c r="AA388" i="17"/>
  <c r="AA30" i="17"/>
  <c r="AG265" i="16"/>
  <c r="L265" i="16"/>
  <c r="W265" i="16"/>
  <c r="AG388" i="16"/>
  <c r="L388" i="16"/>
  <c r="W388" i="16"/>
  <c r="AG387" i="16"/>
  <c r="W387" i="16"/>
  <c r="L387" i="16"/>
  <c r="AA146" i="19"/>
  <c r="AG177" i="16"/>
  <c r="W177" i="16"/>
  <c r="L177" i="16"/>
  <c r="AG89" i="16"/>
  <c r="W89" i="16"/>
  <c r="L89" i="16"/>
  <c r="AG359" i="16"/>
  <c r="L359" i="16"/>
  <c r="W359" i="16"/>
  <c r="AG371" i="16"/>
  <c r="L371" i="16"/>
  <c r="W371" i="16"/>
  <c r="AA146" i="17"/>
  <c r="AG238" i="16"/>
  <c r="W238" i="16"/>
  <c r="L238" i="16"/>
  <c r="AA29" i="19"/>
  <c r="AA176" i="17"/>
  <c r="AG181" i="16"/>
  <c r="W181" i="16"/>
  <c r="L181" i="16"/>
  <c r="AG362" i="16"/>
  <c r="W362" i="16"/>
  <c r="L362" i="16"/>
  <c r="AA92" i="19"/>
  <c r="AG392" i="16"/>
  <c r="L392" i="16"/>
  <c r="W392" i="16"/>
  <c r="AA450" i="17"/>
  <c r="AG91" i="16"/>
  <c r="L91" i="16"/>
  <c r="W91" i="16"/>
  <c r="AA270" i="17"/>
  <c r="AA89" i="17"/>
  <c r="AA327" i="17"/>
  <c r="AG41" i="16"/>
  <c r="W41" i="16"/>
  <c r="L41" i="16"/>
  <c r="AA325" i="17"/>
  <c r="AA451" i="19"/>
  <c r="AA236" i="19"/>
  <c r="W115" i="9"/>
  <c r="AG386" i="16"/>
  <c r="L386" i="16"/>
  <c r="W386" i="16"/>
  <c r="AA328" i="17"/>
  <c r="AA431" i="19"/>
  <c r="AG358" i="16"/>
  <c r="W358" i="16"/>
  <c r="L358" i="16"/>
  <c r="AA446" i="17"/>
  <c r="AG325" i="16"/>
  <c r="W325" i="16"/>
  <c r="L325" i="16"/>
  <c r="AB235" i="9"/>
  <c r="AG304" i="16"/>
  <c r="L304" i="16"/>
  <c r="L506" i="9"/>
  <c r="Y506" i="9" s="1"/>
  <c r="AA506" i="9" s="1"/>
  <c r="AB239" i="9"/>
  <c r="L421" i="9"/>
  <c r="Y421" i="9" s="1"/>
  <c r="AB421" i="9" s="1"/>
  <c r="L417" i="9"/>
  <c r="Y417" i="9" s="1"/>
  <c r="AB417" i="9" s="1"/>
  <c r="L510" i="9"/>
  <c r="Y510" i="9" s="1"/>
  <c r="W242" i="9"/>
  <c r="AA209" i="9"/>
  <c r="AB298" i="9"/>
  <c r="W237" i="9"/>
  <c r="W236" i="9"/>
  <c r="AA236" i="9" s="1"/>
  <c r="AB240" i="9"/>
  <c r="W507" i="9"/>
  <c r="W420" i="9"/>
  <c r="AB420" i="9" s="1"/>
  <c r="AB358" i="9"/>
  <c r="L86" i="9"/>
  <c r="Y86" i="9" s="1"/>
  <c r="AB86" i="9" s="1"/>
  <c r="L511" i="9"/>
  <c r="Y511" i="9" s="1"/>
  <c r="AA511" i="9" s="1"/>
  <c r="AB151" i="16"/>
  <c r="W25" i="9"/>
  <c r="L25" i="9"/>
  <c r="Y25" i="9" s="1"/>
  <c r="W392" i="9"/>
  <c r="L392" i="9"/>
  <c r="Y392" i="9" s="1"/>
  <c r="W265" i="9"/>
  <c r="L265" i="9"/>
  <c r="Y265" i="9" s="1"/>
  <c r="L450" i="9"/>
  <c r="Y450" i="9" s="1"/>
  <c r="W450" i="9"/>
  <c r="W359" i="9"/>
  <c r="L359" i="9"/>
  <c r="Y359" i="9" s="1"/>
  <c r="L390" i="9"/>
  <c r="Y390" i="9" s="1"/>
  <c r="W390" i="9"/>
  <c r="W508" i="9"/>
  <c r="L508" i="9"/>
  <c r="Y508" i="9" s="1"/>
  <c r="W326" i="9"/>
  <c r="L326" i="9"/>
  <c r="Y326" i="9" s="1"/>
  <c r="L391" i="9"/>
  <c r="Y391" i="9" s="1"/>
  <c r="W391" i="9"/>
  <c r="W360" i="9"/>
  <c r="L360" i="9"/>
  <c r="Y360" i="9" s="1"/>
  <c r="L448" i="9"/>
  <c r="Y448" i="9" s="1"/>
  <c r="W448" i="9"/>
  <c r="W150" i="9"/>
  <c r="L150" i="9"/>
  <c r="Y150" i="9" s="1"/>
  <c r="W330" i="9"/>
  <c r="L330" i="9"/>
  <c r="Y330" i="9" s="1"/>
  <c r="W146" i="9"/>
  <c r="L146" i="9"/>
  <c r="Y146" i="9" s="1"/>
  <c r="W41" i="9"/>
  <c r="L41" i="9"/>
  <c r="Y41" i="9" s="1"/>
  <c r="W387" i="9"/>
  <c r="L387" i="9"/>
  <c r="Y387" i="9" s="1"/>
  <c r="AB418" i="9"/>
  <c r="L161" i="9"/>
  <c r="Y161" i="9" s="1"/>
  <c r="AA161" i="9" s="1"/>
  <c r="L97" i="9"/>
  <c r="Y97" i="9" s="1"/>
  <c r="AA97" i="9" s="1"/>
  <c r="W30" i="9"/>
  <c r="L30" i="9"/>
  <c r="Y30" i="9" s="1"/>
  <c r="L446" i="9"/>
  <c r="Y446" i="9" s="1"/>
  <c r="W446" i="9"/>
  <c r="W62" i="9"/>
  <c r="L62" i="9"/>
  <c r="Y62" i="9" s="1"/>
  <c r="W59" i="9"/>
  <c r="L59" i="9"/>
  <c r="Y59" i="9" s="1"/>
  <c r="W299" i="9"/>
  <c r="L299" i="9"/>
  <c r="Y299" i="9" s="1"/>
  <c r="W179" i="9"/>
  <c r="L179" i="9"/>
  <c r="Y179" i="9" s="1"/>
  <c r="W147" i="9"/>
  <c r="L147" i="9"/>
  <c r="Y147" i="9" s="1"/>
  <c r="W206" i="9"/>
  <c r="L206" i="9"/>
  <c r="Y206" i="9" s="1"/>
  <c r="W509" i="9"/>
  <c r="L509" i="9"/>
  <c r="Y509" i="9" s="1"/>
  <c r="W32" i="9"/>
  <c r="L32" i="9"/>
  <c r="Y32" i="9" s="1"/>
  <c r="L331" i="9"/>
  <c r="Y331" i="9" s="1"/>
  <c r="W331" i="9"/>
  <c r="W388" i="9"/>
  <c r="L388" i="9"/>
  <c r="Y388" i="9" s="1"/>
  <c r="W512" i="9"/>
  <c r="L512" i="9"/>
  <c r="Y512" i="9" s="1"/>
  <c r="W452" i="9"/>
  <c r="L452" i="9"/>
  <c r="Y452" i="9" s="1"/>
  <c r="W122" i="9"/>
  <c r="L122" i="9"/>
  <c r="Y122" i="9" s="1"/>
  <c r="W27" i="9"/>
  <c r="L27" i="9"/>
  <c r="Y27" i="9" s="1"/>
  <c r="W241" i="9"/>
  <c r="L241" i="9"/>
  <c r="Y241" i="9" s="1"/>
  <c r="W91" i="9"/>
  <c r="L91" i="9"/>
  <c r="Y91" i="9" s="1"/>
  <c r="W361" i="9"/>
  <c r="L361" i="9"/>
  <c r="Y361" i="9" s="1"/>
  <c r="W121" i="9"/>
  <c r="L121" i="9"/>
  <c r="Y121" i="9" s="1"/>
  <c r="W505" i="9"/>
  <c r="L505" i="9"/>
  <c r="Y505" i="9" s="1"/>
  <c r="W127" i="9"/>
  <c r="L127" i="9"/>
  <c r="Y127" i="9" s="1"/>
  <c r="W445" i="9"/>
  <c r="L445" i="9"/>
  <c r="Y445" i="9" s="1"/>
  <c r="W449" i="9"/>
  <c r="L449" i="9"/>
  <c r="Y449" i="9" s="1"/>
  <c r="AA510" i="9"/>
  <c r="L118" i="9"/>
  <c r="Y118" i="9" s="1"/>
  <c r="W118" i="9"/>
  <c r="W332" i="9"/>
  <c r="L332" i="9"/>
  <c r="Y332" i="9" s="1"/>
  <c r="W327" i="9"/>
  <c r="L327" i="9"/>
  <c r="Y327" i="9" s="1"/>
  <c r="W211" i="9"/>
  <c r="L211" i="9"/>
  <c r="Y211" i="9" s="1"/>
  <c r="W302" i="9"/>
  <c r="L302" i="9"/>
  <c r="Y302" i="9" s="1"/>
  <c r="AA117" i="9"/>
  <c r="AB117" i="9"/>
  <c r="AA272" i="9"/>
  <c r="AB477" i="9"/>
  <c r="AA476" i="9"/>
  <c r="AB450" i="16"/>
  <c r="AB360" i="16"/>
  <c r="AB56" i="16"/>
  <c r="AB28" i="16"/>
  <c r="AA329" i="16"/>
  <c r="AB241" i="16"/>
  <c r="AA205" i="16"/>
  <c r="AB242" i="16"/>
  <c r="AB446" i="16"/>
  <c r="AB152" i="16"/>
  <c r="AB145" i="16"/>
  <c r="AB448" i="16"/>
  <c r="AB32" i="16"/>
  <c r="AB447" i="16"/>
  <c r="AB25" i="16"/>
  <c r="AA30" i="16"/>
  <c r="AB118" i="16"/>
  <c r="AA235" i="16"/>
  <c r="AA120" i="16"/>
  <c r="AA268" i="16"/>
  <c r="AA207" i="16"/>
  <c r="AB210" i="16"/>
  <c r="AA60" i="16"/>
  <c r="AA88" i="16"/>
  <c r="AA27" i="16"/>
  <c r="AB212" i="16"/>
  <c r="AA212" i="16"/>
  <c r="AB449" i="16"/>
  <c r="AA267" i="16"/>
  <c r="AA419" i="16"/>
  <c r="AB420" i="16"/>
  <c r="AA328" i="16"/>
  <c r="AB62" i="16"/>
  <c r="AB451" i="16"/>
  <c r="AA300" i="16"/>
  <c r="AB421" i="16"/>
  <c r="AB330" i="16"/>
  <c r="AA269" i="16"/>
  <c r="AA146" i="16"/>
  <c r="AA208" i="16"/>
  <c r="AB298" i="16"/>
  <c r="AA298" i="16"/>
  <c r="AB295" i="16"/>
  <c r="AA295" i="16"/>
  <c r="AB122" i="16"/>
  <c r="AA122" i="16"/>
  <c r="AA505" i="16"/>
  <c r="AB505" i="16"/>
  <c r="AB418" i="16"/>
  <c r="AA418" i="16"/>
  <c r="AA326" i="16"/>
  <c r="AB326" i="16"/>
  <c r="AB511" i="16"/>
  <c r="AA511" i="16"/>
  <c r="AA299" i="16"/>
  <c r="AA236" i="16"/>
  <c r="AB236" i="16"/>
  <c r="AB327" i="16"/>
  <c r="AB115" i="16"/>
  <c r="AA115" i="16"/>
  <c r="AB479" i="16"/>
  <c r="AA479" i="16"/>
  <c r="AA116" i="16"/>
  <c r="AB116" i="16"/>
  <c r="AB482" i="16"/>
  <c r="AA482" i="16"/>
  <c r="AA477" i="16"/>
  <c r="AB477" i="16"/>
  <c r="Y305" i="16"/>
  <c r="AA239" i="16"/>
  <c r="AB239" i="16"/>
  <c r="AA512" i="16"/>
  <c r="AB512" i="16"/>
  <c r="AB417" i="16"/>
  <c r="AA417" i="16"/>
  <c r="AB510" i="16"/>
  <c r="AA510" i="16"/>
  <c r="AA422" i="16"/>
  <c r="AB422" i="16"/>
  <c r="AA507" i="16"/>
  <c r="AB507" i="16"/>
  <c r="AA57" i="16"/>
  <c r="AB57" i="16"/>
  <c r="AA85" i="16"/>
  <c r="AB85" i="16"/>
  <c r="AA480" i="16"/>
  <c r="AB480" i="16"/>
  <c r="AB121" i="16"/>
  <c r="AA121" i="16"/>
  <c r="AB296" i="16"/>
  <c r="AA206" i="16"/>
  <c r="AB206" i="16"/>
  <c r="AA478" i="16"/>
  <c r="AB478" i="16"/>
  <c r="Y310" i="16"/>
  <c r="AA475" i="16"/>
  <c r="AB475" i="16"/>
  <c r="AA415" i="16"/>
  <c r="AB415" i="16"/>
  <c r="AA506" i="16"/>
  <c r="AB506" i="16"/>
  <c r="AB211" i="16"/>
  <c r="AA211" i="16"/>
  <c r="AA481" i="16"/>
  <c r="AB481" i="16"/>
  <c r="G27" i="20"/>
  <c r="D50" i="4" s="1"/>
  <c r="F27" i="20"/>
  <c r="D49" i="4" s="1"/>
  <c r="E27" i="20"/>
  <c r="D48" i="4" s="1"/>
  <c r="D27" i="20"/>
  <c r="D47" i="4" s="1"/>
  <c r="C27" i="20"/>
  <c r="D46" i="4" s="1"/>
  <c r="B27" i="20"/>
  <c r="D45" i="4" s="1"/>
  <c r="C12" i="20"/>
  <c r="D44" i="4" s="1"/>
  <c r="B12" i="20"/>
  <c r="D42" i="4" s="1"/>
  <c r="AA509" i="16" l="1"/>
  <c r="AA119" i="16"/>
  <c r="AB476" i="16"/>
  <c r="AA61" i="16"/>
  <c r="AB452" i="16"/>
  <c r="AB356" i="16"/>
  <c r="AB117" i="16"/>
  <c r="AA242" i="9"/>
  <c r="AA31" i="16"/>
  <c r="AB300" i="9"/>
  <c r="AB59" i="16"/>
  <c r="AB86" i="16"/>
  <c r="AB445" i="16"/>
  <c r="AB271" i="9"/>
  <c r="AB508" i="16"/>
  <c r="AB29" i="16"/>
  <c r="AA507" i="9"/>
  <c r="AB236" i="9"/>
  <c r="AB115" i="9"/>
  <c r="AB182" i="9"/>
  <c r="AA297" i="16"/>
  <c r="AB416" i="16"/>
  <c r="AB55" i="16"/>
  <c r="AA357" i="9"/>
  <c r="AA181" i="9"/>
  <c r="AB416" i="9"/>
  <c r="AA147" i="16"/>
  <c r="AB478" i="9"/>
  <c r="Y303" i="16"/>
  <c r="AA417" i="9"/>
  <c r="Y309" i="16"/>
  <c r="AA115" i="9"/>
  <c r="AB148" i="16"/>
  <c r="AB479" i="9"/>
  <c r="AB26" i="16"/>
  <c r="Y306" i="16"/>
  <c r="AB357" i="9"/>
  <c r="AB237" i="9"/>
  <c r="AA421" i="9"/>
  <c r="AA420" i="9"/>
  <c r="AB270" i="9"/>
  <c r="AA149" i="16"/>
  <c r="AB121" i="9"/>
  <c r="AA27" i="9"/>
  <c r="AA237" i="9"/>
  <c r="AB266" i="9"/>
  <c r="AA272" i="16"/>
  <c r="AI359" i="16"/>
  <c r="Y359" i="16"/>
  <c r="AI182" i="16"/>
  <c r="Y182" i="16"/>
  <c r="AA182" i="16" s="1"/>
  <c r="AI357" i="16"/>
  <c r="Y357" i="16"/>
  <c r="AB357" i="16" s="1"/>
  <c r="AI247" i="16"/>
  <c r="Y247" i="16"/>
  <c r="AA247" i="16" s="1"/>
  <c r="AI240" i="16"/>
  <c r="Y240" i="16"/>
  <c r="AI90" i="16"/>
  <c r="Y90" i="16"/>
  <c r="AI191" i="16"/>
  <c r="Y191" i="16"/>
  <c r="AA191" i="16" s="1"/>
  <c r="AI180" i="16"/>
  <c r="Y180" i="16"/>
  <c r="AI91" i="16"/>
  <c r="Y91" i="16"/>
  <c r="AA91" i="16" s="1"/>
  <c r="AI387" i="16"/>
  <c r="Y387" i="16"/>
  <c r="AI391" i="16"/>
  <c r="Y391" i="16"/>
  <c r="AI389" i="16"/>
  <c r="Y389" i="16"/>
  <c r="AA389" i="16" s="1"/>
  <c r="AI355" i="16"/>
  <c r="Y355" i="16"/>
  <c r="AA355" i="16" s="1"/>
  <c r="AI390" i="16"/>
  <c r="Y390" i="16"/>
  <c r="AI266" i="16"/>
  <c r="Y266" i="16"/>
  <c r="AI265" i="16"/>
  <c r="Y265" i="16"/>
  <c r="AI325" i="16"/>
  <c r="Y325" i="16"/>
  <c r="AI41" i="16"/>
  <c r="Y41" i="16"/>
  <c r="AA41" i="16" s="1"/>
  <c r="AI89" i="16"/>
  <c r="Y89" i="16"/>
  <c r="AI341" i="16"/>
  <c r="Y341" i="16"/>
  <c r="AA341" i="16" s="1"/>
  <c r="AI251" i="16"/>
  <c r="Y251" i="16"/>
  <c r="AA251" i="16" s="1"/>
  <c r="AI181" i="16"/>
  <c r="Y181" i="16"/>
  <c r="AI301" i="16"/>
  <c r="Y301" i="16"/>
  <c r="AI58" i="16"/>
  <c r="Y58" i="16"/>
  <c r="AI302" i="16"/>
  <c r="Y302" i="16"/>
  <c r="AI178" i="16"/>
  <c r="Y178" i="16"/>
  <c r="AI87" i="16"/>
  <c r="Y87" i="16"/>
  <c r="AI270" i="16"/>
  <c r="Y270" i="16"/>
  <c r="AI238" i="16"/>
  <c r="Y238" i="16"/>
  <c r="AA150" i="9"/>
  <c r="AI386" i="16"/>
  <c r="Y386" i="16"/>
  <c r="AI385" i="16"/>
  <c r="Y385" i="16"/>
  <c r="AI332" i="16"/>
  <c r="Y332" i="16"/>
  <c r="AI237" i="16"/>
  <c r="Y237" i="16"/>
  <c r="AI92" i="16"/>
  <c r="Y92" i="16"/>
  <c r="AI392" i="16"/>
  <c r="Y392" i="16"/>
  <c r="AI371" i="16"/>
  <c r="Y371" i="16"/>
  <c r="AA371" i="16" s="1"/>
  <c r="AI177" i="16"/>
  <c r="Y177" i="16"/>
  <c r="AI388" i="16"/>
  <c r="Y388" i="16"/>
  <c r="AI175" i="16"/>
  <c r="Y175" i="16"/>
  <c r="AI176" i="16"/>
  <c r="Y176" i="16"/>
  <c r="AI331" i="16"/>
  <c r="Y331" i="16"/>
  <c r="AI271" i="16"/>
  <c r="Y271" i="16"/>
  <c r="AI362" i="16"/>
  <c r="Y362" i="16"/>
  <c r="AI179" i="16"/>
  <c r="Y179" i="16"/>
  <c r="AB179" i="9"/>
  <c r="AI358" i="16"/>
  <c r="Y358" i="16"/>
  <c r="AI150" i="16"/>
  <c r="Y150" i="16"/>
  <c r="AI367" i="16"/>
  <c r="Y367" i="16"/>
  <c r="AA367" i="16" s="1"/>
  <c r="AI187" i="16"/>
  <c r="Y187" i="16"/>
  <c r="AA187" i="16" s="1"/>
  <c r="AI361" i="16"/>
  <c r="Y361" i="16"/>
  <c r="AI304" i="16"/>
  <c r="Y304" i="16"/>
  <c r="AA86" i="9"/>
  <c r="AB242" i="9"/>
  <c r="AB122" i="9"/>
  <c r="AB62" i="9"/>
  <c r="AA127" i="9"/>
  <c r="AB91" i="9"/>
  <c r="AA32" i="9"/>
  <c r="AA302" i="9"/>
  <c r="AA241" i="9"/>
  <c r="AA512" i="9"/>
  <c r="AA509" i="9"/>
  <c r="AB299" i="9"/>
  <c r="AA30" i="9"/>
  <c r="AA508" i="9"/>
  <c r="AA211" i="9"/>
  <c r="AA206" i="9"/>
  <c r="AB59" i="9"/>
  <c r="AB146" i="9"/>
  <c r="AB360" i="9"/>
  <c r="AB361" i="9"/>
  <c r="AA147" i="9"/>
  <c r="AA359" i="9"/>
  <c r="AA332" i="9"/>
  <c r="AB332" i="9"/>
  <c r="AA179" i="9"/>
  <c r="AA446" i="9"/>
  <c r="AB446" i="9"/>
  <c r="AB387" i="9"/>
  <c r="AA387" i="9"/>
  <c r="AB150" i="9"/>
  <c r="AB450" i="9"/>
  <c r="AA450" i="9"/>
  <c r="AB302" i="9"/>
  <c r="AA118" i="9"/>
  <c r="AB118" i="9"/>
  <c r="AA91" i="9"/>
  <c r="AA452" i="9"/>
  <c r="AB452" i="9"/>
  <c r="AB32" i="9"/>
  <c r="AA41" i="9"/>
  <c r="AA326" i="9"/>
  <c r="AB326" i="9"/>
  <c r="AA448" i="9"/>
  <c r="AB448" i="9"/>
  <c r="AB211" i="9"/>
  <c r="AA505" i="9"/>
  <c r="AB241" i="9"/>
  <c r="AA299" i="9"/>
  <c r="AB30" i="9"/>
  <c r="AA146" i="9"/>
  <c r="AA265" i="9"/>
  <c r="AB265" i="9"/>
  <c r="AA390" i="9"/>
  <c r="AB390" i="9"/>
  <c r="AB449" i="9"/>
  <c r="AA449" i="9"/>
  <c r="AA121" i="9"/>
  <c r="AB27" i="9"/>
  <c r="AA388" i="9"/>
  <c r="AB388" i="9"/>
  <c r="AB206" i="9"/>
  <c r="AA59" i="9"/>
  <c r="AA360" i="9"/>
  <c r="AA392" i="9"/>
  <c r="AB392" i="9"/>
  <c r="AA327" i="9"/>
  <c r="AB327" i="9"/>
  <c r="AA122" i="9"/>
  <c r="AA331" i="9"/>
  <c r="AB331" i="9"/>
  <c r="AA62" i="9"/>
  <c r="AA330" i="9"/>
  <c r="AB330" i="9"/>
  <c r="AA391" i="9"/>
  <c r="AB391" i="9"/>
  <c r="AA445" i="9"/>
  <c r="AB445" i="9"/>
  <c r="AA361" i="9"/>
  <c r="AB147" i="9"/>
  <c r="AB359" i="9"/>
  <c r="AB25" i="9"/>
  <c r="AA25" i="9"/>
  <c r="AJ170" i="25"/>
  <c r="AK170" i="25" s="1"/>
  <c r="AL170" i="25" s="1"/>
  <c r="AJ355" i="25"/>
  <c r="AK355" i="25" s="1"/>
  <c r="AL355" i="25" s="1"/>
  <c r="AJ19" i="25"/>
  <c r="AK19" i="25" s="1"/>
  <c r="AL19" i="25" s="1"/>
  <c r="AJ14" i="25"/>
  <c r="AK14" i="25" s="1"/>
  <c r="AL14" i="25" s="1"/>
  <c r="AJ325" i="25"/>
  <c r="AK325" i="25" s="1"/>
  <c r="AL325" i="25" s="1"/>
  <c r="AJ109" i="25"/>
  <c r="AK109" i="25" s="1"/>
  <c r="AL109" i="25" s="1"/>
  <c r="AJ36" i="25"/>
  <c r="AK36" i="25" s="1"/>
  <c r="AL36" i="25" s="1"/>
  <c r="AJ306" i="25"/>
  <c r="AK306" i="25" s="1"/>
  <c r="AL306" i="25" s="1"/>
  <c r="AJ186" i="25"/>
  <c r="AK186" i="25" s="1"/>
  <c r="AL186" i="25" s="1"/>
  <c r="AJ369" i="25"/>
  <c r="AK369" i="25" s="1"/>
  <c r="AL369" i="25" s="1"/>
  <c r="AJ215" i="25"/>
  <c r="AK215" i="25" s="1"/>
  <c r="AL215" i="25" s="1"/>
  <c r="AJ46" i="25"/>
  <c r="AK46" i="25" s="1"/>
  <c r="AL46" i="25" s="1"/>
  <c r="AJ379" i="25"/>
  <c r="AK379" i="25" s="1"/>
  <c r="AL379" i="25" s="1"/>
  <c r="AJ213" i="25"/>
  <c r="AK213" i="25" s="1"/>
  <c r="AL213" i="25" s="1"/>
  <c r="AJ44" i="25"/>
  <c r="AK44" i="25" s="1"/>
  <c r="AL44" i="25" s="1"/>
  <c r="AJ396" i="25"/>
  <c r="AK396" i="25" s="1"/>
  <c r="AL396" i="25" s="1"/>
  <c r="AJ5" i="25"/>
  <c r="AK5" i="25" s="1"/>
  <c r="AL5" i="25" s="1"/>
  <c r="AJ490" i="25"/>
  <c r="AK490" i="25" s="1"/>
  <c r="AL490" i="25" s="1"/>
  <c r="AJ322" i="25"/>
  <c r="AK322" i="25" s="1"/>
  <c r="AL322" i="25" s="1"/>
  <c r="AJ94" i="25"/>
  <c r="AK94" i="25" s="1"/>
  <c r="AL94" i="25" s="1"/>
  <c r="AJ441" i="25"/>
  <c r="AK441" i="25" s="1"/>
  <c r="AL441" i="25" s="1"/>
  <c r="AJ244" i="25"/>
  <c r="AK244" i="25" s="1"/>
  <c r="AL244" i="25" s="1"/>
  <c r="AJ52" i="25"/>
  <c r="AK52" i="25" s="1"/>
  <c r="AL52" i="25" s="1"/>
  <c r="AJ298" i="25"/>
  <c r="AK298" i="25" s="1"/>
  <c r="AL298" i="25" s="1"/>
  <c r="AJ13" i="25"/>
  <c r="AJ10" i="25"/>
  <c r="AK10" i="25" s="1"/>
  <c r="AL10" i="25" s="1"/>
  <c r="AJ412" i="25"/>
  <c r="AK412" i="25" s="1"/>
  <c r="AL412" i="25" s="1"/>
  <c r="AJ130" i="25"/>
  <c r="AK130" i="25" s="1"/>
  <c r="AL130" i="25" s="1"/>
  <c r="AJ64" i="25"/>
  <c r="AK64" i="25" s="1"/>
  <c r="AL64" i="25" s="1"/>
  <c r="AJ292" i="25"/>
  <c r="AK292" i="25" s="1"/>
  <c r="AL292" i="25" s="1"/>
  <c r="AJ15" i="25"/>
  <c r="AJ352" i="25"/>
  <c r="AK352" i="25" s="1"/>
  <c r="AL352" i="25" s="1"/>
  <c r="AJ156" i="25"/>
  <c r="AK156" i="25" s="1"/>
  <c r="AL156" i="25" s="1"/>
  <c r="AJ96" i="25"/>
  <c r="AK96" i="25" s="1"/>
  <c r="AL96" i="25" s="1"/>
  <c r="AJ435" i="25"/>
  <c r="AJ196" i="25"/>
  <c r="AK196" i="25" s="1"/>
  <c r="AL196" i="25" s="1"/>
  <c r="AJ35" i="25"/>
  <c r="AK35" i="25" s="1"/>
  <c r="AL35" i="25" s="1"/>
  <c r="AJ340" i="25"/>
  <c r="AK340" i="25" s="1"/>
  <c r="AL340" i="25" s="1"/>
  <c r="AJ112" i="25"/>
  <c r="AK112" i="25" s="1"/>
  <c r="AL112" i="25" s="1"/>
  <c r="AJ481" i="25"/>
  <c r="AK481" i="25" s="1"/>
  <c r="AL481" i="25" s="1"/>
  <c r="AJ273" i="25"/>
  <c r="AK273" i="25" s="1"/>
  <c r="AL273" i="25" s="1"/>
  <c r="AJ135" i="25"/>
  <c r="AJ43" i="25"/>
  <c r="AJ199" i="25"/>
  <c r="AK199" i="25" s="1"/>
  <c r="AL199" i="25" s="1"/>
  <c r="AJ289" i="25"/>
  <c r="AK289" i="25" s="1"/>
  <c r="AL289" i="25" s="1"/>
  <c r="AJ393" i="25"/>
  <c r="AK393" i="25" s="1"/>
  <c r="AL393" i="25" s="1"/>
  <c r="AJ134" i="25"/>
  <c r="AK134" i="25" s="1"/>
  <c r="AL134" i="25" s="1"/>
  <c r="AJ310" i="25"/>
  <c r="AK310" i="25" s="1"/>
  <c r="AL310" i="25" s="1"/>
  <c r="AJ176" i="25"/>
  <c r="AK176" i="25" s="1"/>
  <c r="AL176" i="25" s="1"/>
  <c r="AJ59" i="25"/>
  <c r="AK59" i="25" s="1"/>
  <c r="AL59" i="25" s="1"/>
  <c r="AJ283" i="25"/>
  <c r="AJ472" i="25"/>
  <c r="AK472" i="25" s="1"/>
  <c r="AL472" i="25" s="1"/>
  <c r="AJ433" i="25"/>
  <c r="AJ208" i="25"/>
  <c r="AK208" i="25" s="1"/>
  <c r="AL208" i="25" s="1"/>
  <c r="AJ332" i="25"/>
  <c r="AK332" i="25" s="1"/>
  <c r="AL332" i="25" s="1"/>
  <c r="AJ327" i="25"/>
  <c r="AK327" i="25" s="1"/>
  <c r="AL327" i="25" s="1"/>
  <c r="AJ124" i="25"/>
  <c r="AK124" i="25" s="1"/>
  <c r="AL124" i="25" s="1"/>
  <c r="AJ302" i="25"/>
  <c r="AK302" i="25" s="1"/>
  <c r="AL302" i="25" s="1"/>
  <c r="AJ80" i="25"/>
  <c r="AK80" i="25" s="1"/>
  <c r="AL80" i="25" s="1"/>
  <c r="AJ26" i="25"/>
  <c r="AK26" i="25" s="1"/>
  <c r="AL26" i="25" s="1"/>
  <c r="AJ284" i="25"/>
  <c r="AK284" i="25" s="1"/>
  <c r="AL284" i="25" s="1"/>
  <c r="AJ183" i="25"/>
  <c r="AK183" i="25" s="1"/>
  <c r="AL183" i="25" s="1"/>
  <c r="AJ494" i="25"/>
  <c r="AK494" i="25" s="1"/>
  <c r="AL494" i="25" s="1"/>
  <c r="AJ260" i="25"/>
  <c r="AK260" i="25" s="1"/>
  <c r="AL260" i="25" s="1"/>
  <c r="AJ119" i="25"/>
  <c r="AK119" i="25" s="1"/>
  <c r="AL119" i="25" s="1"/>
  <c r="AJ485" i="25"/>
  <c r="AK485" i="25" s="1"/>
  <c r="AL485" i="25" s="1"/>
  <c r="AJ254" i="25"/>
  <c r="AK254" i="25" s="1"/>
  <c r="AL254" i="25" s="1"/>
  <c r="AJ405" i="25"/>
  <c r="AJ253" i="25"/>
  <c r="AJ150" i="25"/>
  <c r="AK150" i="25" s="1"/>
  <c r="AL150" i="25" s="1"/>
  <c r="AJ50" i="25"/>
  <c r="AK50" i="25" s="1"/>
  <c r="AL50" i="25" s="1"/>
  <c r="AJ122" i="25"/>
  <c r="AK122" i="25" s="1"/>
  <c r="AL122" i="25" s="1"/>
  <c r="AJ500" i="25"/>
  <c r="AK500" i="25" s="1"/>
  <c r="AL500" i="25" s="1"/>
  <c r="AJ511" i="25"/>
  <c r="AK511" i="25" s="1"/>
  <c r="AL511" i="25" s="1"/>
  <c r="AJ387" i="25"/>
  <c r="AK387" i="25" s="1"/>
  <c r="AL387" i="25" s="1"/>
  <c r="AJ149" i="25"/>
  <c r="AK149" i="25" s="1"/>
  <c r="AL149" i="25" s="1"/>
  <c r="AJ344" i="25"/>
  <c r="AK344" i="25" s="1"/>
  <c r="AL344" i="25" s="1"/>
  <c r="AJ421" i="25"/>
  <c r="AK421" i="25" s="1"/>
  <c r="AL421" i="25" s="1"/>
  <c r="AJ279" i="25"/>
  <c r="AK279" i="25" s="1"/>
  <c r="AL279" i="25" s="1"/>
  <c r="AJ25" i="25"/>
  <c r="AK25" i="25" s="1"/>
  <c r="AL25" i="25" s="1"/>
  <c r="AJ148" i="25"/>
  <c r="AK148" i="25" s="1"/>
  <c r="AL148" i="25" s="1"/>
  <c r="AJ56" i="25"/>
  <c r="AK56" i="25" s="1"/>
  <c r="AL56" i="25" s="1"/>
  <c r="AJ499" i="25"/>
  <c r="AK499" i="25" s="1"/>
  <c r="AL499" i="25" s="1"/>
  <c r="AJ440" i="25"/>
  <c r="AK440" i="25" s="1"/>
  <c r="AL440" i="25" s="1"/>
  <c r="AJ195" i="25"/>
  <c r="AJ91" i="25"/>
  <c r="AK91" i="25" s="1"/>
  <c r="AL91" i="25" s="1"/>
  <c r="AJ211" i="25"/>
  <c r="AK211" i="25" s="1"/>
  <c r="AL211" i="25" s="1"/>
  <c r="AJ454" i="25"/>
  <c r="AK454" i="25" s="1"/>
  <c r="AL454" i="25" s="1"/>
  <c r="AJ445" i="25"/>
  <c r="AK445" i="25" s="1"/>
  <c r="AL445" i="25" s="1"/>
  <c r="AJ489" i="25"/>
  <c r="AK489" i="25" s="1"/>
  <c r="AL489" i="25" s="1"/>
  <c r="AJ299" i="25"/>
  <c r="AK299" i="25" s="1"/>
  <c r="AL299" i="25" s="1"/>
  <c r="AJ200" i="25"/>
  <c r="AK200" i="25" s="1"/>
  <c r="AL200" i="25" s="1"/>
  <c r="AJ239" i="25"/>
  <c r="AK239" i="25" s="1"/>
  <c r="AL239" i="25" s="1"/>
  <c r="AJ178" i="25"/>
  <c r="AK178" i="25" s="1"/>
  <c r="AL178" i="25" s="1"/>
  <c r="AJ63" i="25"/>
  <c r="AK63" i="25" s="1"/>
  <c r="AL63" i="25" s="1"/>
  <c r="AJ256" i="25"/>
  <c r="AK256" i="25" s="1"/>
  <c r="AL256" i="25" s="1"/>
  <c r="AJ202" i="25"/>
  <c r="AK202" i="25" s="1"/>
  <c r="AL202" i="25" s="1"/>
  <c r="AJ125" i="25"/>
  <c r="AK125" i="25" s="1"/>
  <c r="AL125" i="25" s="1"/>
  <c r="AJ300" i="25"/>
  <c r="AK300" i="25" s="1"/>
  <c r="AL300" i="25" s="1"/>
  <c r="AJ76" i="25"/>
  <c r="AK76" i="25" s="1"/>
  <c r="AL76" i="25" s="1"/>
  <c r="AJ476" i="25"/>
  <c r="AK476" i="25" s="1"/>
  <c r="AL476" i="25" s="1"/>
  <c r="AJ469" i="25"/>
  <c r="AK469" i="25" s="1"/>
  <c r="AL469" i="25" s="1"/>
  <c r="AJ240" i="25"/>
  <c r="AK240" i="25" s="1"/>
  <c r="AL240" i="25" s="1"/>
  <c r="AJ104" i="25"/>
  <c r="AK104" i="25" s="1"/>
  <c r="AL104" i="25" s="1"/>
  <c r="AJ206" i="25"/>
  <c r="AK206" i="25" s="1"/>
  <c r="AL206" i="25" s="1"/>
  <c r="AJ110" i="25"/>
  <c r="AK110" i="25" s="1"/>
  <c r="AL110" i="25" s="1"/>
  <c r="AJ297" i="25"/>
  <c r="AK297" i="25" s="1"/>
  <c r="AL297" i="25" s="1"/>
  <c r="AJ181" i="25"/>
  <c r="AK181" i="25" s="1"/>
  <c r="AL181" i="25" s="1"/>
  <c r="AJ55" i="25"/>
  <c r="AK55" i="25" s="1"/>
  <c r="AL55" i="25" s="1"/>
  <c r="AJ31" i="25"/>
  <c r="AK31" i="25" s="1"/>
  <c r="AL31" i="25" s="1"/>
  <c r="AJ351" i="25"/>
  <c r="AK351" i="25" s="1"/>
  <c r="AL351" i="25" s="1"/>
  <c r="AJ505" i="25"/>
  <c r="AK505" i="25" s="1"/>
  <c r="AL505" i="25" s="1"/>
  <c r="AJ509" i="25"/>
  <c r="AK509" i="25" s="1"/>
  <c r="AL509" i="25" s="1"/>
  <c r="AJ399" i="25"/>
  <c r="AK399" i="25" s="1"/>
  <c r="AL399" i="25" s="1"/>
  <c r="AJ117" i="25"/>
  <c r="AK117" i="25" s="1"/>
  <c r="AL117" i="25" s="1"/>
  <c r="AJ61" i="25"/>
  <c r="AK61" i="25" s="1"/>
  <c r="AL61" i="25" s="1"/>
  <c r="AJ75" i="25"/>
  <c r="AJ212" i="25"/>
  <c r="AK212" i="25" s="1"/>
  <c r="AL212" i="25" s="1"/>
  <c r="AJ6" i="25"/>
  <c r="AK6" i="25" s="1"/>
  <c r="AL6" i="25" s="1"/>
  <c r="AJ330" i="25"/>
  <c r="AK330" i="25" s="1"/>
  <c r="AL330" i="25" s="1"/>
  <c r="AJ482" i="25"/>
  <c r="AK482" i="25" s="1"/>
  <c r="AL482" i="25" s="1"/>
  <c r="AJ389" i="25"/>
  <c r="AK389" i="25" s="1"/>
  <c r="AL389" i="25" s="1"/>
  <c r="AJ436" i="25"/>
  <c r="AK436" i="25" s="1"/>
  <c r="AL436" i="25" s="1"/>
  <c r="AJ210" i="25"/>
  <c r="AK210" i="25" s="1"/>
  <c r="AL210" i="25" s="1"/>
  <c r="AJ45" i="25"/>
  <c r="AJ92" i="25"/>
  <c r="AK92" i="25" s="1"/>
  <c r="AL92" i="25" s="1"/>
  <c r="AJ81" i="25"/>
  <c r="AK81" i="25" s="1"/>
  <c r="AL81" i="25" s="1"/>
  <c r="AJ321" i="25"/>
  <c r="AK321" i="25" s="1"/>
  <c r="AL321" i="25" s="1"/>
  <c r="AJ471" i="25"/>
  <c r="AK471" i="25" s="1"/>
  <c r="AL471" i="25" s="1"/>
  <c r="AJ305" i="25"/>
  <c r="AK305" i="25" s="1"/>
  <c r="AL305" i="25" s="1"/>
  <c r="AJ163" i="25"/>
  <c r="AJ388" i="25"/>
  <c r="AK388" i="25" s="1"/>
  <c r="AL388" i="25" s="1"/>
  <c r="AJ32" i="25"/>
  <c r="AK32" i="25" s="1"/>
  <c r="AL32" i="25" s="1"/>
  <c r="AJ442" i="25"/>
  <c r="AK442" i="25" s="1"/>
  <c r="AL442" i="25" s="1"/>
  <c r="AJ123" i="25"/>
  <c r="AK123" i="25" s="1"/>
  <c r="AL123" i="25" s="1"/>
  <c r="AJ496" i="25"/>
  <c r="AK496" i="25" s="1"/>
  <c r="AL496" i="25" s="1"/>
  <c r="AJ95" i="25"/>
  <c r="AK95" i="25" s="1"/>
  <c r="AL95" i="25" s="1"/>
  <c r="AJ422" i="25"/>
  <c r="AK422" i="25" s="1"/>
  <c r="AL422" i="25" s="1"/>
  <c r="AJ430" i="25"/>
  <c r="AK430" i="25" s="1"/>
  <c r="AL430" i="25" s="1"/>
  <c r="AJ423" i="25"/>
  <c r="AK423" i="25" s="1"/>
  <c r="AL423" i="25" s="1"/>
  <c r="AJ466" i="25"/>
  <c r="AK466" i="25" s="1"/>
  <c r="AL466" i="25" s="1"/>
  <c r="AJ266" i="25"/>
  <c r="AK266" i="25" s="1"/>
  <c r="AL266" i="25" s="1"/>
  <c r="AJ111" i="25"/>
  <c r="AK111" i="25" s="1"/>
  <c r="AL111" i="25" s="1"/>
  <c r="AJ235" i="25"/>
  <c r="AK235" i="25" s="1"/>
  <c r="AL235" i="25" s="1"/>
  <c r="AJ269" i="25"/>
  <c r="AK269" i="25" s="1"/>
  <c r="AL269" i="25" s="1"/>
  <c r="AJ276" i="25"/>
  <c r="AK276" i="25" s="1"/>
  <c r="AL276" i="25" s="1"/>
  <c r="AJ179" i="25"/>
  <c r="AK179" i="25" s="1"/>
  <c r="AL179" i="25" s="1"/>
  <c r="AJ416" i="25"/>
  <c r="AK416" i="25" s="1"/>
  <c r="AL416" i="25" s="1"/>
  <c r="AJ409" i="25"/>
  <c r="AK409" i="25" s="1"/>
  <c r="AL409" i="25" s="1"/>
  <c r="AJ507" i="25"/>
  <c r="AK507" i="25" s="1"/>
  <c r="AL507" i="25" s="1"/>
  <c r="AJ456" i="25"/>
  <c r="AK456" i="25" s="1"/>
  <c r="AL456" i="25" s="1"/>
  <c r="AJ470" i="25"/>
  <c r="AK470" i="25" s="1"/>
  <c r="AL470" i="25" s="1"/>
  <c r="AJ331" i="25"/>
  <c r="AK331" i="25" s="1"/>
  <c r="AL331" i="25" s="1"/>
  <c r="AJ105" i="25"/>
  <c r="AJ390" i="25"/>
  <c r="AK390" i="25" s="1"/>
  <c r="AL390" i="25" s="1"/>
  <c r="AJ22" i="25"/>
  <c r="AK22" i="25" s="1"/>
  <c r="AL22" i="25" s="1"/>
  <c r="AJ141" i="25"/>
  <c r="AK141" i="25" s="1"/>
  <c r="AL141" i="25" s="1"/>
  <c r="AJ480" i="25"/>
  <c r="AK480" i="25" s="1"/>
  <c r="AL480" i="25" s="1"/>
  <c r="AJ478" i="25"/>
  <c r="AK478" i="25" s="1"/>
  <c r="AL478" i="25" s="1"/>
  <c r="AJ151" i="25"/>
  <c r="AK151" i="25" s="1"/>
  <c r="AL151" i="25" s="1"/>
  <c r="AJ501" i="25"/>
  <c r="AK501" i="25" s="1"/>
  <c r="AL501" i="25" s="1"/>
  <c r="AJ411" i="25"/>
  <c r="AK411" i="25" s="1"/>
  <c r="AL411" i="25" s="1"/>
  <c r="AJ165" i="25"/>
  <c r="AJ129" i="25"/>
  <c r="AK129" i="25" s="1"/>
  <c r="AL129" i="25" s="1"/>
  <c r="AJ465" i="25"/>
  <c r="AJ452" i="25"/>
  <c r="AK452" i="25" s="1"/>
  <c r="AL452" i="25" s="1"/>
  <c r="AJ495" i="25"/>
  <c r="AJ418" i="25"/>
  <c r="AK418" i="25" s="1"/>
  <c r="AL418" i="25" s="1"/>
  <c r="AJ286" i="25"/>
  <c r="AK286" i="25" s="1"/>
  <c r="AL286" i="25" s="1"/>
  <c r="AJ155" i="25"/>
  <c r="AK155" i="25" s="1"/>
  <c r="AL155" i="25" s="1"/>
  <c r="AJ73" i="25"/>
  <c r="AJ86" i="25"/>
  <c r="AK86" i="25" s="1"/>
  <c r="AL86" i="25" s="1"/>
  <c r="AJ420" i="25"/>
  <c r="AK420" i="25" s="1"/>
  <c r="AL420" i="25" s="1"/>
  <c r="AJ180" i="25"/>
  <c r="AK180" i="25" s="1"/>
  <c r="AL180" i="25" s="1"/>
  <c r="AJ272" i="25"/>
  <c r="AK272" i="25" s="1"/>
  <c r="AL272" i="25" s="1"/>
  <c r="AJ85" i="25"/>
  <c r="AK85" i="25" s="1"/>
  <c r="AL85" i="25" s="1"/>
  <c r="AJ373" i="25"/>
  <c r="AJ370" i="25"/>
  <c r="AK370" i="25" s="1"/>
  <c r="AL370" i="25" s="1"/>
  <c r="AJ350" i="25"/>
  <c r="AK350" i="25" s="1"/>
  <c r="AL350" i="25" s="1"/>
  <c r="AJ410" i="25"/>
  <c r="AK410" i="25" s="1"/>
  <c r="AL410" i="25" s="1"/>
  <c r="AJ194" i="25"/>
  <c r="AK194" i="25" s="1"/>
  <c r="AL194" i="25" s="1"/>
  <c r="AJ364" i="25"/>
  <c r="AK364" i="25" s="1"/>
  <c r="AL364" i="25" s="1"/>
  <c r="AJ116" i="25"/>
  <c r="AK116" i="25" s="1"/>
  <c r="AL116" i="25" s="1"/>
  <c r="AJ164" i="25"/>
  <c r="AK164" i="25" s="1"/>
  <c r="AL164" i="25" s="1"/>
  <c r="AJ335" i="25"/>
  <c r="AK335" i="25" s="1"/>
  <c r="AL335" i="25" s="1"/>
  <c r="AJ139" i="25"/>
  <c r="AK139" i="25" s="1"/>
  <c r="AL139" i="25" s="1"/>
  <c r="AJ145" i="25"/>
  <c r="AK145" i="25" s="1"/>
  <c r="AL145" i="25" s="1"/>
  <c r="AJ290" i="25"/>
  <c r="AK290" i="25" s="1"/>
  <c r="AL290" i="25" s="1"/>
  <c r="AJ463" i="25"/>
  <c r="AJ415" i="25"/>
  <c r="AK415" i="25" s="1"/>
  <c r="AL415" i="25" s="1"/>
  <c r="AJ486" i="25"/>
  <c r="AK486" i="25" s="1"/>
  <c r="AL486" i="25" s="1"/>
  <c r="AJ303" i="25"/>
  <c r="AK303" i="25" s="1"/>
  <c r="AL303" i="25" s="1"/>
  <c r="AJ58" i="25"/>
  <c r="AK58" i="25" s="1"/>
  <c r="AL58" i="25" s="1"/>
  <c r="AJ231" i="25"/>
  <c r="AK231" i="25" s="1"/>
  <c r="AL231" i="25" s="1"/>
  <c r="AJ57" i="25"/>
  <c r="AK57" i="25" s="1"/>
  <c r="AL57" i="25" s="1"/>
  <c r="AJ152" i="25"/>
  <c r="AK152" i="25" s="1"/>
  <c r="AL152" i="25" s="1"/>
  <c r="AJ357" i="25"/>
  <c r="AK357" i="25" s="1"/>
  <c r="AL357" i="25" s="1"/>
  <c r="AJ404" i="25"/>
  <c r="AK404" i="25" s="1"/>
  <c r="AL404" i="25" s="1"/>
  <c r="AJ88" i="25"/>
  <c r="AK88" i="25" s="1"/>
  <c r="AL88" i="25" s="1"/>
  <c r="AJ429" i="25"/>
  <c r="AK429" i="25" s="1"/>
  <c r="AL429" i="25" s="1"/>
  <c r="AJ425" i="25"/>
  <c r="AK425" i="25" s="1"/>
  <c r="AL425" i="25" s="1"/>
  <c r="AJ136" i="25"/>
  <c r="AK136" i="25" s="1"/>
  <c r="AL136" i="25" s="1"/>
  <c r="AJ360" i="25"/>
  <c r="AK360" i="25" s="1"/>
  <c r="AL360" i="25" s="1"/>
  <c r="AJ314" i="25"/>
  <c r="AK314" i="25" s="1"/>
  <c r="AL314" i="25" s="1"/>
  <c r="AJ295" i="25"/>
  <c r="AK295" i="25" s="1"/>
  <c r="AL295" i="25" s="1"/>
  <c r="AJ493" i="25"/>
  <c r="AJ424" i="25"/>
  <c r="AK424" i="25" s="1"/>
  <c r="AL424" i="25" s="1"/>
  <c r="AJ224" i="25"/>
  <c r="AK224" i="25" s="1"/>
  <c r="AL224" i="25" s="1"/>
  <c r="AJ82" i="25"/>
  <c r="AK82" i="25" s="1"/>
  <c r="AL82" i="25" s="1"/>
  <c r="AJ40" i="25"/>
  <c r="AK40" i="25" s="1"/>
  <c r="AL40" i="25" s="1"/>
  <c r="AJ403" i="25"/>
  <c r="AJ185" i="25"/>
  <c r="AK185" i="25" s="1"/>
  <c r="AL185" i="25" s="1"/>
  <c r="AJ51" i="25"/>
  <c r="AK51" i="25" s="1"/>
  <c r="AL51" i="25" s="1"/>
  <c r="AJ334" i="25"/>
  <c r="AK334" i="25" s="1"/>
  <c r="AL334" i="25" s="1"/>
  <c r="AJ115" i="25"/>
  <c r="AK115" i="25" s="1"/>
  <c r="AL115" i="25" s="1"/>
  <c r="AJ376" i="25"/>
  <c r="AK376" i="25" s="1"/>
  <c r="AL376" i="25" s="1"/>
  <c r="AJ214" i="25"/>
  <c r="AK214" i="25" s="1"/>
  <c r="AL214" i="25" s="1"/>
  <c r="AJ285" i="25"/>
  <c r="AJ375" i="25"/>
  <c r="AJ245" i="25"/>
  <c r="AK245" i="25" s="1"/>
  <c r="AL245" i="25" s="1"/>
  <c r="AJ333" i="25"/>
  <c r="AK333" i="25" s="1"/>
  <c r="AL333" i="25" s="1"/>
  <c r="AJ219" i="25"/>
  <c r="AK219" i="25" s="1"/>
  <c r="AL219" i="25" s="1"/>
  <c r="AJ270" i="25"/>
  <c r="AK270" i="25" s="1"/>
  <c r="AL270" i="25" s="1"/>
  <c r="AJ512" i="25"/>
  <c r="AK512" i="25" s="1"/>
  <c r="AL512" i="25" s="1"/>
  <c r="AJ133" i="25"/>
  <c r="AJ426" i="25"/>
  <c r="AK426" i="25" s="1"/>
  <c r="AL426" i="25" s="1"/>
  <c r="AJ316" i="25"/>
  <c r="AK316" i="25" s="1"/>
  <c r="AL316" i="25" s="1"/>
  <c r="AJ358" i="25"/>
  <c r="AK358" i="25" s="1"/>
  <c r="AL358" i="25" s="1"/>
  <c r="AJ391" i="25"/>
  <c r="AK391" i="25" s="1"/>
  <c r="AL391" i="25" s="1"/>
  <c r="AJ459" i="25"/>
  <c r="AK459" i="25" s="1"/>
  <c r="AL459" i="25" s="1"/>
  <c r="AJ339" i="25"/>
  <c r="AK339" i="25" s="1"/>
  <c r="AL339" i="25" s="1"/>
  <c r="AJ74" i="25"/>
  <c r="AK74" i="25" s="1"/>
  <c r="AL74" i="25" s="1"/>
  <c r="AJ140" i="25"/>
  <c r="AK140" i="25" s="1"/>
  <c r="AL140" i="25" s="1"/>
  <c r="AJ319" i="25"/>
  <c r="AK319" i="25" s="1"/>
  <c r="AL319" i="25" s="1"/>
  <c r="AJ103" i="25"/>
  <c r="AJ464" i="25"/>
  <c r="AK464" i="25" s="1"/>
  <c r="AL464" i="25" s="1"/>
  <c r="AJ406" i="25"/>
  <c r="AK406" i="25" s="1"/>
  <c r="AL406" i="25" s="1"/>
  <c r="AJ4" i="25"/>
  <c r="AK4" i="25" s="1"/>
  <c r="AL4" i="25" s="1"/>
  <c r="AJ386" i="25"/>
  <c r="AK386" i="25" s="1"/>
  <c r="AL386" i="25" s="1"/>
  <c r="AJ374" i="25"/>
  <c r="AK374" i="25" s="1"/>
  <c r="AL374" i="25" s="1"/>
  <c r="AJ146" i="25"/>
  <c r="AK146" i="25" s="1"/>
  <c r="AL146" i="25" s="1"/>
  <c r="AJ207" i="25"/>
  <c r="AK207" i="25" s="1"/>
  <c r="AL207" i="25" s="1"/>
  <c r="AJ60" i="25"/>
  <c r="AK60" i="25" s="1"/>
  <c r="AL60" i="25" s="1"/>
  <c r="AJ502" i="25"/>
  <c r="AK502" i="25" s="1"/>
  <c r="AL502" i="25" s="1"/>
  <c r="AJ510" i="25"/>
  <c r="AK510" i="25" s="1"/>
  <c r="AL510" i="25" s="1"/>
  <c r="AJ395" i="25"/>
  <c r="AK395" i="25" s="1"/>
  <c r="AL395" i="25" s="1"/>
  <c r="AJ237" i="25"/>
  <c r="AK237" i="25" s="1"/>
  <c r="AL237" i="25" s="1"/>
  <c r="AJ451" i="25"/>
  <c r="AK451" i="25" s="1"/>
  <c r="AL451" i="25" s="1"/>
  <c r="AJ177" i="25"/>
  <c r="AK177" i="25" s="1"/>
  <c r="AL177" i="25" s="1"/>
  <c r="AJ315" i="25"/>
  <c r="AJ118" i="25"/>
  <c r="AK118" i="25" s="1"/>
  <c r="AL118" i="25" s="1"/>
  <c r="AJ147" i="25"/>
  <c r="AK147" i="25" s="1"/>
  <c r="AL147" i="25" s="1"/>
  <c r="AJ216" i="25"/>
  <c r="AK216" i="25" s="1"/>
  <c r="AL216" i="25" s="1"/>
  <c r="AJ90" i="25"/>
  <c r="AK90" i="25" s="1"/>
  <c r="AL90" i="25" s="1"/>
  <c r="AJ304" i="25"/>
  <c r="AK304" i="25" s="1"/>
  <c r="AL304" i="25" s="1"/>
  <c r="AJ16" i="25"/>
  <c r="AK16" i="25" s="1"/>
  <c r="AL16" i="25" s="1"/>
  <c r="AJ274" i="25"/>
  <c r="AK274" i="25" s="1"/>
  <c r="AL274" i="25" s="1"/>
  <c r="AJ326" i="25"/>
  <c r="AK326" i="25" s="1"/>
  <c r="AL326" i="25" s="1"/>
  <c r="AJ229" i="25"/>
  <c r="AK229" i="25" s="1"/>
  <c r="AL229" i="25" s="1"/>
  <c r="AJ362" i="25"/>
  <c r="AK362" i="25" s="1"/>
  <c r="AL362" i="25" s="1"/>
  <c r="AJ320" i="25"/>
  <c r="AK320" i="25" s="1"/>
  <c r="AL320" i="25" s="1"/>
  <c r="AJ328" i="25"/>
  <c r="AK328" i="25" s="1"/>
  <c r="AL328" i="25" s="1"/>
  <c r="AJ439" i="25"/>
  <c r="AK439" i="25" s="1"/>
  <c r="AL439" i="25" s="1"/>
  <c r="AJ87" i="25"/>
  <c r="AK87" i="25" s="1"/>
  <c r="AL87" i="25" s="1"/>
  <c r="AJ230" i="25"/>
  <c r="AK230" i="25" s="1"/>
  <c r="AL230" i="25" s="1"/>
  <c r="AJ28" i="25"/>
  <c r="AK28" i="25" s="1"/>
  <c r="AL28" i="25" s="1"/>
  <c r="AJ171" i="25"/>
  <c r="AK171" i="25" s="1"/>
  <c r="AL171" i="25" s="1"/>
  <c r="AJ356" i="25"/>
  <c r="AK356" i="25" s="1"/>
  <c r="AL356" i="25" s="1"/>
  <c r="AJ419" i="25"/>
  <c r="AK419" i="25" s="1"/>
  <c r="AL419" i="25" s="1"/>
  <c r="AJ301" i="25"/>
  <c r="AK301" i="25" s="1"/>
  <c r="AL301" i="25" s="1"/>
  <c r="AJ49" i="25"/>
  <c r="AK49" i="25" s="1"/>
  <c r="AL49" i="25" s="1"/>
  <c r="AJ126" i="25"/>
  <c r="AK126" i="25" s="1"/>
  <c r="AL126" i="25" s="1"/>
  <c r="AJ400" i="25"/>
  <c r="AK400" i="25" s="1"/>
  <c r="AL400" i="25" s="1"/>
  <c r="AJ39" i="25"/>
  <c r="AK39" i="25" s="1"/>
  <c r="AL39" i="25" s="1"/>
  <c r="AJ475" i="25"/>
  <c r="AK475" i="25" s="1"/>
  <c r="AL475" i="25" s="1"/>
  <c r="AJ65" i="25"/>
  <c r="AK65" i="25" s="1"/>
  <c r="AL65" i="25" s="1"/>
  <c r="AJ361" i="25"/>
  <c r="AK361" i="25" s="1"/>
  <c r="AL361" i="25" s="1"/>
  <c r="AJ381" i="25"/>
  <c r="AK381" i="25" s="1"/>
  <c r="AL381" i="25" s="1"/>
  <c r="AJ275" i="25"/>
  <c r="AK275" i="25" s="1"/>
  <c r="AL275" i="25" s="1"/>
  <c r="AJ121" i="25"/>
  <c r="AK121" i="25" s="1"/>
  <c r="AL121" i="25" s="1"/>
  <c r="AJ262" i="25"/>
  <c r="AK262" i="25" s="1"/>
  <c r="AL262" i="25" s="1"/>
  <c r="AJ120" i="25"/>
  <c r="AK120" i="25" s="1"/>
  <c r="AL120" i="25" s="1"/>
  <c r="AJ477" i="25"/>
  <c r="AK477" i="25" s="1"/>
  <c r="AL477" i="25" s="1"/>
  <c r="AJ483" i="25"/>
  <c r="AK483" i="25" s="1"/>
  <c r="AL483" i="25" s="1"/>
  <c r="AJ345" i="25"/>
  <c r="AJ250" i="25"/>
  <c r="AK250" i="25" s="1"/>
  <c r="AL250" i="25" s="1"/>
  <c r="AJ385" i="25"/>
  <c r="AK385" i="25" s="1"/>
  <c r="AL385" i="25" s="1"/>
  <c r="AJ106" i="25"/>
  <c r="AK106" i="25" s="1"/>
  <c r="AL106" i="25" s="1"/>
  <c r="AJ184" i="25"/>
  <c r="AK184" i="25" s="1"/>
  <c r="AL184" i="25" s="1"/>
  <c r="AJ226" i="25"/>
  <c r="AK226" i="25" s="1"/>
  <c r="AL226" i="25" s="1"/>
  <c r="AJ267" i="25"/>
  <c r="AK267" i="25" s="1"/>
  <c r="AL267" i="25" s="1"/>
  <c r="AJ220" i="25"/>
  <c r="AK220" i="25" s="1"/>
  <c r="AL220" i="25" s="1"/>
  <c r="AJ34" i="25"/>
  <c r="AK34" i="25" s="1"/>
  <c r="AL34" i="25" s="1"/>
  <c r="AJ62" i="25"/>
  <c r="AK62" i="25" s="1"/>
  <c r="AL62" i="25" s="1"/>
  <c r="AJ446" i="25"/>
  <c r="AK446" i="25" s="1"/>
  <c r="AL446" i="25" s="1"/>
  <c r="AJ189" i="25"/>
  <c r="AK189" i="25" s="1"/>
  <c r="AL189" i="25" s="1"/>
  <c r="AJ271" i="25"/>
  <c r="AK271" i="25" s="1"/>
  <c r="AL271" i="25" s="1"/>
  <c r="AJ153" i="25"/>
  <c r="AK153" i="25" s="1"/>
  <c r="AL153" i="25" s="1"/>
  <c r="AJ296" i="25"/>
  <c r="AK296" i="25" s="1"/>
  <c r="AL296" i="25" s="1"/>
  <c r="AJ336" i="25"/>
  <c r="AK336" i="25" s="1"/>
  <c r="AL336" i="25" s="1"/>
  <c r="AJ380" i="25"/>
  <c r="AK380" i="25" s="1"/>
  <c r="AL380" i="25" s="1"/>
  <c r="AJ359" i="25"/>
  <c r="AK359" i="25" s="1"/>
  <c r="AL359" i="25" s="1"/>
  <c r="AJ100" i="25"/>
  <c r="AK100" i="25" s="1"/>
  <c r="AL100" i="25" s="1"/>
  <c r="AJ169" i="25"/>
  <c r="AK169" i="25" s="1"/>
  <c r="AL169" i="25" s="1"/>
  <c r="AJ154" i="25"/>
  <c r="AK154" i="25" s="1"/>
  <c r="AL154" i="25" s="1"/>
  <c r="AJ484" i="25"/>
  <c r="AK484" i="25" s="1"/>
  <c r="AL484" i="25" s="1"/>
  <c r="AJ255" i="25"/>
  <c r="AJ394" i="25"/>
  <c r="AK394" i="25" s="1"/>
  <c r="AL394" i="25" s="1"/>
  <c r="AJ225" i="25"/>
  <c r="AJ346" i="25"/>
  <c r="AK346" i="25" s="1"/>
  <c r="AL346" i="25" s="1"/>
  <c r="AJ193" i="25"/>
  <c r="AJ309" i="25"/>
  <c r="AK309" i="25" s="1"/>
  <c r="AL309" i="25" s="1"/>
  <c r="AJ9" i="25"/>
  <c r="AK9" i="25" s="1"/>
  <c r="AL9" i="25" s="1"/>
  <c r="AJ343" i="25"/>
  <c r="AJ506" i="25"/>
  <c r="AK506" i="25" s="1"/>
  <c r="AL506" i="25" s="1"/>
  <c r="AJ190" i="25"/>
  <c r="AK190" i="25" s="1"/>
  <c r="AL190" i="25" s="1"/>
  <c r="AJ392" i="25"/>
  <c r="AK392" i="25" s="1"/>
  <c r="AL392" i="25" s="1"/>
  <c r="AJ268" i="25"/>
  <c r="AK268" i="25" s="1"/>
  <c r="AL268" i="25" s="1"/>
  <c r="AJ93" i="25"/>
  <c r="AK93" i="25" s="1"/>
  <c r="AL93" i="25" s="1"/>
  <c r="AJ280" i="25"/>
  <c r="AK280" i="25" s="1"/>
  <c r="AL280" i="25" s="1"/>
  <c r="AJ20" i="25"/>
  <c r="AK20" i="25" s="1"/>
  <c r="AL20" i="25" s="1"/>
  <c r="AJ449" i="25"/>
  <c r="AK449" i="25" s="1"/>
  <c r="AL449" i="25" s="1"/>
  <c r="AJ479" i="25"/>
  <c r="AK479" i="25" s="1"/>
  <c r="AL479" i="25" s="1"/>
  <c r="AJ363" i="25"/>
  <c r="AK363" i="25" s="1"/>
  <c r="AL363" i="25" s="1"/>
  <c r="AJ259" i="25"/>
  <c r="AK259" i="25" s="1"/>
  <c r="AL259" i="25" s="1"/>
  <c r="AJ243" i="25"/>
  <c r="AK243" i="25" s="1"/>
  <c r="AL243" i="25" s="1"/>
  <c r="AJ246" i="25"/>
  <c r="AK246" i="25" s="1"/>
  <c r="AL246" i="25" s="1"/>
  <c r="AJ66" i="25"/>
  <c r="AK66" i="25" s="1"/>
  <c r="AL66" i="25" s="1"/>
  <c r="AJ238" i="25"/>
  <c r="AK238" i="25" s="1"/>
  <c r="AL238" i="25" s="1"/>
  <c r="AJ175" i="25"/>
  <c r="AK175" i="25" s="1"/>
  <c r="AL175" i="25" s="1"/>
  <c r="AJ205" i="25"/>
  <c r="AK205" i="25" s="1"/>
  <c r="AL205" i="25" s="1"/>
  <c r="AJ33" i="25"/>
  <c r="AK33" i="25" s="1"/>
  <c r="AL33" i="25" s="1"/>
  <c r="AJ382" i="25"/>
  <c r="AK382" i="25" s="1"/>
  <c r="AL382" i="25" s="1"/>
  <c r="AJ159" i="25"/>
  <c r="AK159" i="25" s="1"/>
  <c r="AL159" i="25" s="1"/>
  <c r="AJ166" i="25"/>
  <c r="AK166" i="25" s="1"/>
  <c r="AL166" i="25" s="1"/>
  <c r="AJ313" i="25"/>
  <c r="AJ160" i="25"/>
  <c r="AK160" i="25" s="1"/>
  <c r="AL160" i="25" s="1"/>
  <c r="AJ242" i="25"/>
  <c r="AK242" i="25" s="1"/>
  <c r="AL242" i="25" s="1"/>
  <c r="AJ460" i="25"/>
  <c r="AK460" i="25" s="1"/>
  <c r="AL460" i="25" s="1"/>
  <c r="AJ450" i="25"/>
  <c r="AK450" i="25" s="1"/>
  <c r="AL450" i="25" s="1"/>
  <c r="AJ329" i="25"/>
  <c r="AK329" i="25" s="1"/>
  <c r="AL329" i="25" s="1"/>
  <c r="AJ79" i="25"/>
  <c r="AK79" i="25" s="1"/>
  <c r="AL79" i="25" s="1"/>
  <c r="AJ70" i="25"/>
  <c r="AK70" i="25" s="1"/>
  <c r="AL70" i="25" s="1"/>
  <c r="AJ27" i="25"/>
  <c r="AK27" i="25" s="1"/>
  <c r="AL27" i="25" s="1"/>
  <c r="AJ434" i="25"/>
  <c r="AK434" i="25" s="1"/>
  <c r="AL434" i="25" s="1"/>
  <c r="AJ241" i="25"/>
  <c r="AK241" i="25" s="1"/>
  <c r="AL241" i="25" s="1"/>
  <c r="AJ417" i="25"/>
  <c r="AK417" i="25" s="1"/>
  <c r="AL417" i="25" s="1"/>
  <c r="AJ142" i="25"/>
  <c r="AK142" i="25" s="1"/>
  <c r="AL142" i="25" s="1"/>
  <c r="AJ291" i="25"/>
  <c r="AK291" i="25" s="1"/>
  <c r="AL291" i="25" s="1"/>
  <c r="AJ201" i="25"/>
  <c r="AK201" i="25" s="1"/>
  <c r="AL201" i="25" s="1"/>
  <c r="AJ232" i="25"/>
  <c r="AK232" i="25" s="1"/>
  <c r="AL232" i="25" s="1"/>
  <c r="AJ21" i="25"/>
  <c r="AK21" i="25" s="1"/>
  <c r="AL21" i="25" s="1"/>
  <c r="AJ453" i="25"/>
  <c r="AK453" i="25" s="1"/>
  <c r="AL453" i="25" s="1"/>
  <c r="AJ365" i="25"/>
  <c r="AK365" i="25" s="1"/>
  <c r="AL365" i="25" s="1"/>
  <c r="AJ508" i="25"/>
  <c r="AK508" i="25" s="1"/>
  <c r="AL508" i="25" s="1"/>
  <c r="AJ455" i="25"/>
  <c r="AK455" i="25" s="1"/>
  <c r="AL455" i="25" s="1"/>
  <c r="AJ236" i="25"/>
  <c r="AK236" i="25" s="1"/>
  <c r="AL236" i="25" s="1"/>
  <c r="AJ99" i="25"/>
  <c r="AK99" i="25" s="1"/>
  <c r="AL99" i="25" s="1"/>
  <c r="AJ89" i="25"/>
  <c r="AK89" i="25" s="1"/>
  <c r="AL89" i="25" s="1"/>
  <c r="AJ30" i="25"/>
  <c r="AK30" i="25" s="1"/>
  <c r="AL30" i="25" s="1"/>
  <c r="AJ448" i="25"/>
  <c r="AK448" i="25" s="1"/>
  <c r="AL448" i="25" s="1"/>
  <c r="AJ447" i="25"/>
  <c r="AK447" i="25" s="1"/>
  <c r="AL447" i="25" s="1"/>
  <c r="AJ366" i="25"/>
  <c r="AK366" i="25" s="1"/>
  <c r="AL366" i="25" s="1"/>
  <c r="AJ172" i="25"/>
  <c r="AK172" i="25" s="1"/>
  <c r="AL172" i="25" s="1"/>
  <c r="AJ223" i="25"/>
  <c r="AJ349" i="25"/>
  <c r="AK349" i="25" s="1"/>
  <c r="AL349" i="25" s="1"/>
  <c r="AJ69" i="25"/>
  <c r="AK69" i="25" s="1"/>
  <c r="AL69" i="25" s="1"/>
  <c r="AJ209" i="25"/>
  <c r="AK209" i="25" s="1"/>
  <c r="AL209" i="25" s="1"/>
  <c r="AJ249" i="25"/>
  <c r="AK249" i="25" s="1"/>
  <c r="AL249" i="25" s="1"/>
  <c r="AJ182" i="25"/>
  <c r="AK182" i="25" s="1"/>
  <c r="AL182" i="25" s="1"/>
  <c r="AJ29" i="25"/>
  <c r="AK29" i="25" s="1"/>
  <c r="AL29" i="25" s="1"/>
  <c r="AJ261" i="25"/>
  <c r="AK261" i="25" s="1"/>
  <c r="AL261" i="25" s="1"/>
  <c r="AJ265" i="25"/>
  <c r="AK265" i="25" s="1"/>
  <c r="AL265" i="25" s="1"/>
  <c r="AJ495" i="16"/>
  <c r="AJ313" i="16"/>
  <c r="AJ486" i="16"/>
  <c r="AJ302" i="16"/>
  <c r="AK302" i="16" s="1"/>
  <c r="AL302" i="16" s="1"/>
  <c r="AJ224" i="16"/>
  <c r="AJ485" i="16"/>
  <c r="AJ125" i="16"/>
  <c r="AJ154" i="16"/>
  <c r="AJ15" i="16"/>
  <c r="AJ396" i="16"/>
  <c r="AJ305" i="16"/>
  <c r="AK305" i="16" s="1"/>
  <c r="AL305" i="16" s="1"/>
  <c r="AJ214" i="16"/>
  <c r="AJ237" i="16"/>
  <c r="AK237" i="16" s="1"/>
  <c r="AL237" i="16" s="1"/>
  <c r="AJ216" i="16"/>
  <c r="AJ405" i="16"/>
  <c r="AJ93" i="16"/>
  <c r="AJ34" i="16"/>
  <c r="AJ484" i="16"/>
  <c r="AJ105" i="16"/>
  <c r="AJ94" i="16"/>
  <c r="AJ163" i="16"/>
  <c r="AJ96" i="16"/>
  <c r="AJ349" i="16"/>
  <c r="AJ91" i="16"/>
  <c r="AJ399" i="16"/>
  <c r="AJ489" i="16"/>
  <c r="AJ92" i="16"/>
  <c r="AJ494" i="16"/>
  <c r="AJ123" i="16"/>
  <c r="AJ64" i="16"/>
  <c r="AJ333" i="16"/>
  <c r="AJ89" i="16"/>
  <c r="AK89" i="16" s="1"/>
  <c r="AL89" i="16" s="1"/>
  <c r="AJ303" i="16"/>
  <c r="AK303" i="16" s="1"/>
  <c r="AL303" i="16" s="1"/>
  <c r="AJ465" i="16"/>
  <c r="AJ90" i="16"/>
  <c r="AJ499" i="16"/>
  <c r="AJ99" i="16"/>
  <c r="AJ404" i="16"/>
  <c r="AJ331" i="16"/>
  <c r="AJ156" i="16"/>
  <c r="AJ301" i="16"/>
  <c r="AJ425" i="16"/>
  <c r="AJ33" i="16"/>
  <c r="AJ483" i="16"/>
  <c r="AJ35" i="16"/>
  <c r="AJ124" i="16"/>
  <c r="AJ325" i="16"/>
  <c r="AJ314" i="16"/>
  <c r="AJ240" i="16"/>
  <c r="AJ409" i="16"/>
  <c r="AJ9" i="16"/>
  <c r="AJ459" i="16"/>
  <c r="AJ4" i="16"/>
  <c r="AJ36" i="16"/>
  <c r="AJ309" i="16"/>
  <c r="AK309" i="16" s="1"/>
  <c r="AL309" i="16" s="1"/>
  <c r="AJ306" i="16"/>
  <c r="AK306" i="16" s="1"/>
  <c r="AL306" i="16" s="1"/>
  <c r="AJ95" i="16"/>
  <c r="AJ332" i="16"/>
  <c r="AJ423" i="16"/>
  <c r="AJ315" i="16"/>
  <c r="AJ464" i="16"/>
  <c r="AJ493" i="16"/>
  <c r="AJ245" i="16"/>
  <c r="AJ194" i="16"/>
  <c r="AJ39" i="16"/>
  <c r="AJ207" i="16"/>
  <c r="AK207" i="16" s="1"/>
  <c r="AL207" i="16" s="1"/>
  <c r="AJ265" i="16"/>
  <c r="AJ478" i="16"/>
  <c r="AK478" i="16" s="1"/>
  <c r="AL478" i="16" s="1"/>
  <c r="AJ62" i="16"/>
  <c r="AK62" i="16" s="1"/>
  <c r="AL62" i="16" s="1"/>
  <c r="AJ284" i="16"/>
  <c r="AJ373" i="16"/>
  <c r="AJ394" i="16"/>
  <c r="AJ343" i="16"/>
  <c r="AJ133" i="16"/>
  <c r="AJ164" i="16"/>
  <c r="AJ335" i="16"/>
  <c r="AJ178" i="16"/>
  <c r="AJ186" i="16"/>
  <c r="AJ193" i="16"/>
  <c r="AJ328" i="16"/>
  <c r="AK328" i="16" s="1"/>
  <c r="AL328" i="16" s="1"/>
  <c r="AJ469" i="16"/>
  <c r="AJ182" i="16"/>
  <c r="AJ273" i="16"/>
  <c r="AJ177" i="16"/>
  <c r="AJ254" i="16"/>
  <c r="AJ238" i="16"/>
  <c r="AJ446" i="16"/>
  <c r="AK446" i="16" s="1"/>
  <c r="AL446" i="16" s="1"/>
  <c r="AJ355" i="16"/>
  <c r="AJ235" i="16"/>
  <c r="AK235" i="16" s="1"/>
  <c r="AL235" i="16" s="1"/>
  <c r="AJ88" i="16"/>
  <c r="AK88" i="16" s="1"/>
  <c r="AL88" i="16" s="1"/>
  <c r="AJ270" i="16"/>
  <c r="AJ28" i="16"/>
  <c r="AK28" i="16" s="1"/>
  <c r="AL28" i="16" s="1"/>
  <c r="AJ361" i="16"/>
  <c r="AJ241" i="16"/>
  <c r="AK241" i="16" s="1"/>
  <c r="AL241" i="16" s="1"/>
  <c r="AJ329" i="16"/>
  <c r="AK329" i="16" s="1"/>
  <c r="AL329" i="16" s="1"/>
  <c r="AJ356" i="16"/>
  <c r="AK356" i="16" s="1"/>
  <c r="AL356" i="16" s="1"/>
  <c r="AJ32" i="16"/>
  <c r="AK32" i="16" s="1"/>
  <c r="AL32" i="16" s="1"/>
  <c r="AJ279" i="16"/>
  <c r="AJ49" i="16"/>
  <c r="AJ73" i="16"/>
  <c r="AJ336" i="16"/>
  <c r="AJ364" i="16"/>
  <c r="AJ65" i="16"/>
  <c r="AJ450" i="16"/>
  <c r="AK450" i="16" s="1"/>
  <c r="AL450" i="16" s="1"/>
  <c r="AJ116" i="16"/>
  <c r="AK116" i="16" s="1"/>
  <c r="AL116" i="16" s="1"/>
  <c r="AJ205" i="16"/>
  <c r="AK205" i="16" s="1"/>
  <c r="AL205" i="16" s="1"/>
  <c r="AJ451" i="16"/>
  <c r="AK451" i="16" s="1"/>
  <c r="AL451" i="16" s="1"/>
  <c r="AJ362" i="16"/>
  <c r="AJ87" i="16"/>
  <c r="AJ266" i="16"/>
  <c r="AJ403" i="16"/>
  <c r="AJ57" i="16"/>
  <c r="AK57" i="16" s="1"/>
  <c r="AL57" i="16" s="1"/>
  <c r="AJ27" i="16"/>
  <c r="AK27" i="16" s="1"/>
  <c r="AL27" i="16" s="1"/>
  <c r="AJ334" i="16"/>
  <c r="AJ153" i="16"/>
  <c r="AJ360" i="16"/>
  <c r="AK360" i="16" s="1"/>
  <c r="AL360" i="16" s="1"/>
  <c r="AJ272" i="16"/>
  <c r="AK272" i="16" s="1"/>
  <c r="AL272" i="16" s="1"/>
  <c r="AJ454" i="16"/>
  <c r="AJ189" i="16"/>
  <c r="AJ511" i="16"/>
  <c r="AK511" i="16" s="1"/>
  <c r="AL511" i="16" s="1"/>
  <c r="AJ75" i="16"/>
  <c r="AJ209" i="16"/>
  <c r="AK209" i="16" s="1"/>
  <c r="AL209" i="16" s="1"/>
  <c r="AJ61" i="16"/>
  <c r="AK61" i="16" s="1"/>
  <c r="AL61" i="16" s="1"/>
  <c r="AJ122" i="16"/>
  <c r="AK122" i="16" s="1"/>
  <c r="AL122" i="16" s="1"/>
  <c r="AJ183" i="16"/>
  <c r="AJ43" i="16"/>
  <c r="AJ199" i="16"/>
  <c r="AJ29" i="16"/>
  <c r="AK29" i="16" s="1"/>
  <c r="AL29" i="16" s="1"/>
  <c r="AJ345" i="16"/>
  <c r="AJ475" i="16"/>
  <c r="AK475" i="16" s="1"/>
  <c r="AL475" i="16" s="1"/>
  <c r="AJ121" i="16"/>
  <c r="AK121" i="16" s="1"/>
  <c r="AL121" i="16" s="1"/>
  <c r="AJ344" i="16"/>
  <c r="AJ55" i="16"/>
  <c r="AK55" i="16" s="1"/>
  <c r="AL55" i="16" s="1"/>
  <c r="AJ363" i="16"/>
  <c r="AJ225" i="16"/>
  <c r="AJ148" i="16"/>
  <c r="AK148" i="16" s="1"/>
  <c r="AL148" i="16" s="1"/>
  <c r="AJ223" i="16"/>
  <c r="AJ449" i="16"/>
  <c r="AK449" i="16" s="1"/>
  <c r="AL449" i="16" s="1"/>
  <c r="AJ169" i="16"/>
  <c r="AJ19" i="16"/>
  <c r="AJ289" i="16"/>
  <c r="AJ25" i="16"/>
  <c r="AK25" i="16" s="1"/>
  <c r="AL25" i="16" s="1"/>
  <c r="AJ481" i="16"/>
  <c r="AK481" i="16" s="1"/>
  <c r="AL481" i="16" s="1"/>
  <c r="AJ120" i="16"/>
  <c r="AK120" i="16" s="1"/>
  <c r="AL120" i="16" s="1"/>
  <c r="AJ429" i="16"/>
  <c r="AJ242" i="16"/>
  <c r="AK242" i="16" s="1"/>
  <c r="AL242" i="16" s="1"/>
  <c r="AJ275" i="16"/>
  <c r="AJ463" i="16"/>
  <c r="AJ66" i="16"/>
  <c r="AJ211" i="16"/>
  <c r="AK211" i="16" s="1"/>
  <c r="AL211" i="16" s="1"/>
  <c r="AJ139" i="16"/>
  <c r="AJ327" i="16"/>
  <c r="AK327" i="16" s="1"/>
  <c r="AL327" i="16" s="1"/>
  <c r="AJ393" i="16"/>
  <c r="AJ14" i="16"/>
  <c r="AJ421" i="16"/>
  <c r="AK421" i="16" s="1"/>
  <c r="AL421" i="16" s="1"/>
  <c r="AJ456" i="16"/>
  <c r="AJ417" i="16"/>
  <c r="AK417" i="16" s="1"/>
  <c r="AL417" i="16" s="1"/>
  <c r="AJ395" i="16"/>
  <c r="AJ103" i="16"/>
  <c r="AJ419" i="16"/>
  <c r="AK419" i="16" s="1"/>
  <c r="AL419" i="16" s="1"/>
  <c r="AJ375" i="16"/>
  <c r="AJ126" i="16"/>
  <c r="AJ326" i="16"/>
  <c r="AK326" i="16" s="1"/>
  <c r="AL326" i="16" s="1"/>
  <c r="AJ147" i="16"/>
  <c r="AK147" i="16" s="1"/>
  <c r="AL147" i="16" s="1"/>
  <c r="AJ374" i="16"/>
  <c r="AJ369" i="16"/>
  <c r="AJ507" i="16"/>
  <c r="AK507" i="16" s="1"/>
  <c r="AL507" i="16" s="1"/>
  <c r="AJ229" i="16"/>
  <c r="AJ150" i="16"/>
  <c r="AJ358" i="16"/>
  <c r="AJ13" i="16"/>
  <c r="AJ269" i="16"/>
  <c r="AK269" i="16" s="1"/>
  <c r="AL269" i="16" s="1"/>
  <c r="AJ389" i="16"/>
  <c r="AJ388" i="16"/>
  <c r="AJ213" i="16"/>
  <c r="AJ424" i="16"/>
  <c r="AJ63" i="16"/>
  <c r="AJ26" i="16"/>
  <c r="AK26" i="16" s="1"/>
  <c r="AL26" i="16" s="1"/>
  <c r="AJ330" i="16"/>
  <c r="AK330" i="16" s="1"/>
  <c r="AL330" i="16" s="1"/>
  <c r="AJ146" i="16"/>
  <c r="AK146" i="16" s="1"/>
  <c r="AL146" i="16" s="1"/>
  <c r="AJ385" i="16"/>
  <c r="AJ31" i="16"/>
  <c r="AK31" i="16" s="1"/>
  <c r="AL31" i="16" s="1"/>
  <c r="AJ118" i="16"/>
  <c r="AK118" i="16" s="1"/>
  <c r="AL118" i="16" s="1"/>
  <c r="AJ300" i="16"/>
  <c r="AK300" i="16" s="1"/>
  <c r="AL300" i="16" s="1"/>
  <c r="AJ477" i="16"/>
  <c r="AK477" i="16" s="1"/>
  <c r="AL477" i="16" s="1"/>
  <c r="AJ506" i="16"/>
  <c r="AK506" i="16" s="1"/>
  <c r="AL506" i="16" s="1"/>
  <c r="AJ74" i="16"/>
  <c r="AJ244" i="16"/>
  <c r="AJ239" i="16"/>
  <c r="AK239" i="16" s="1"/>
  <c r="AL239" i="16" s="1"/>
  <c r="AJ505" i="16"/>
  <c r="AK505" i="16" s="1"/>
  <c r="AL505" i="16" s="1"/>
  <c r="AJ104" i="16"/>
  <c r="AJ439" i="16"/>
  <c r="AJ366" i="16"/>
  <c r="AJ249" i="16"/>
  <c r="AJ418" i="16"/>
  <c r="AK418" i="16" s="1"/>
  <c r="AL418" i="16" s="1"/>
  <c r="AJ386" i="16"/>
  <c r="AJ180" i="16"/>
  <c r="AJ422" i="16"/>
  <c r="AK422" i="16" s="1"/>
  <c r="AL422" i="16" s="1"/>
  <c r="AJ5" i="16"/>
  <c r="AJ298" i="16"/>
  <c r="AK298" i="16" s="1"/>
  <c r="AL298" i="16" s="1"/>
  <c r="AJ151" i="16"/>
  <c r="AK151" i="16" s="1"/>
  <c r="AL151" i="16" s="1"/>
  <c r="AJ215" i="16"/>
  <c r="AJ44" i="16"/>
  <c r="AJ255" i="16"/>
  <c r="AJ135" i="16"/>
  <c r="AJ85" i="16"/>
  <c r="AK85" i="16" s="1"/>
  <c r="AL85" i="16" s="1"/>
  <c r="AJ236" i="16"/>
  <c r="AK236" i="16" s="1"/>
  <c r="AL236" i="16" s="1"/>
  <c r="AJ448" i="16"/>
  <c r="AK448" i="16" s="1"/>
  <c r="AL448" i="16" s="1"/>
  <c r="AJ379" i="16"/>
  <c r="AJ69" i="16"/>
  <c r="AJ339" i="16"/>
  <c r="AJ476" i="16"/>
  <c r="AK476" i="16" s="1"/>
  <c r="AL476" i="16" s="1"/>
  <c r="AJ60" i="16"/>
  <c r="AK60" i="16" s="1"/>
  <c r="AL60" i="16" s="1"/>
  <c r="AJ304" i="16"/>
  <c r="AJ165" i="16"/>
  <c r="AJ434" i="16"/>
  <c r="AJ181" i="16"/>
  <c r="AJ208" i="16"/>
  <c r="AK208" i="16" s="1"/>
  <c r="AL208" i="16" s="1"/>
  <c r="AJ285" i="16"/>
  <c r="AJ392" i="16"/>
  <c r="AJ206" i="16"/>
  <c r="AK206" i="16" s="1"/>
  <c r="AL206" i="16" s="1"/>
  <c r="AJ30" i="16"/>
  <c r="AK30" i="16" s="1"/>
  <c r="AL30" i="16" s="1"/>
  <c r="AJ176" i="16"/>
  <c r="AJ134" i="16"/>
  <c r="AJ453" i="16"/>
  <c r="AJ420" i="16"/>
  <c r="AK420" i="16" s="1"/>
  <c r="AL420" i="16" s="1"/>
  <c r="AJ246" i="16"/>
  <c r="AJ416" i="16"/>
  <c r="AK416" i="16" s="1"/>
  <c r="AL416" i="16" s="1"/>
  <c r="AJ179" i="16"/>
  <c r="AJ149" i="16"/>
  <c r="AK149" i="16" s="1"/>
  <c r="AL149" i="16" s="1"/>
  <c r="AJ86" i="16"/>
  <c r="AK86" i="16" s="1"/>
  <c r="AL86" i="16" s="1"/>
  <c r="AJ56" i="16"/>
  <c r="AK56" i="16" s="1"/>
  <c r="AL56" i="16" s="1"/>
  <c r="AJ274" i="16"/>
  <c r="AJ445" i="16"/>
  <c r="AK445" i="16" s="1"/>
  <c r="AL445" i="16" s="1"/>
  <c r="AJ482" i="16"/>
  <c r="AK482" i="16" s="1"/>
  <c r="AL482" i="16" s="1"/>
  <c r="AJ297" i="16"/>
  <c r="AK297" i="16" s="1"/>
  <c r="AL297" i="16" s="1"/>
  <c r="AJ435" i="16"/>
  <c r="AJ175" i="16"/>
  <c r="AJ219" i="16"/>
  <c r="AJ212" i="16"/>
  <c r="AK212" i="16" s="1"/>
  <c r="AL212" i="16" s="1"/>
  <c r="AJ109" i="16"/>
  <c r="AJ268" i="16"/>
  <c r="AK268" i="16" s="1"/>
  <c r="AL268" i="16" s="1"/>
  <c r="AJ387" i="16"/>
  <c r="AJ184" i="16"/>
  <c r="AJ119" i="16"/>
  <c r="AK119" i="16" s="1"/>
  <c r="AL119" i="16" s="1"/>
  <c r="AJ271" i="16"/>
  <c r="AJ433" i="16"/>
  <c r="AJ510" i="16"/>
  <c r="AK510" i="16" s="1"/>
  <c r="AL510" i="16" s="1"/>
  <c r="AJ295" i="16"/>
  <c r="AK295" i="16" s="1"/>
  <c r="AL295" i="16" s="1"/>
  <c r="AJ479" i="16"/>
  <c r="AK479" i="16" s="1"/>
  <c r="AL479" i="16" s="1"/>
  <c r="AJ59" i="16"/>
  <c r="AK59" i="16" s="1"/>
  <c r="AL59" i="16" s="1"/>
  <c r="AJ79" i="16"/>
  <c r="AJ319" i="16"/>
  <c r="AJ210" i="16"/>
  <c r="AK210" i="16" s="1"/>
  <c r="AL210" i="16" s="1"/>
  <c r="AJ480" i="16"/>
  <c r="AK480" i="16" s="1"/>
  <c r="AL480" i="16" s="1"/>
  <c r="AJ45" i="16"/>
  <c r="AJ296" i="16"/>
  <c r="AK296" i="16" s="1"/>
  <c r="AL296" i="16" s="1"/>
  <c r="AJ447" i="16"/>
  <c r="AK447" i="16" s="1"/>
  <c r="AL447" i="16" s="1"/>
  <c r="AJ509" i="16"/>
  <c r="AK509" i="16" s="1"/>
  <c r="AL509" i="16" s="1"/>
  <c r="AJ58" i="16"/>
  <c r="AJ253" i="16"/>
  <c r="AJ185" i="16"/>
  <c r="AJ243" i="16"/>
  <c r="AJ267" i="16"/>
  <c r="AK267" i="16" s="1"/>
  <c r="AL267" i="16" s="1"/>
  <c r="AJ452" i="16"/>
  <c r="AK452" i="16" s="1"/>
  <c r="AL452" i="16" s="1"/>
  <c r="AJ359" i="16"/>
  <c r="AJ283" i="16"/>
  <c r="AJ152" i="16"/>
  <c r="AK152" i="16" s="1"/>
  <c r="AL152" i="16" s="1"/>
  <c r="AJ155" i="16"/>
  <c r="AJ357" i="16"/>
  <c r="AJ115" i="16"/>
  <c r="AK115" i="16" s="1"/>
  <c r="AL115" i="16" s="1"/>
  <c r="AJ391" i="16"/>
  <c r="AK391" i="16" s="1"/>
  <c r="AL391" i="16" s="1"/>
  <c r="AJ129" i="16"/>
  <c r="AJ276" i="16"/>
  <c r="AJ415" i="16"/>
  <c r="AK415" i="16" s="1"/>
  <c r="AL415" i="16" s="1"/>
  <c r="AJ512" i="16"/>
  <c r="AK512" i="16" s="1"/>
  <c r="AL512" i="16" s="1"/>
  <c r="AJ299" i="16"/>
  <c r="AK299" i="16" s="1"/>
  <c r="AL299" i="16" s="1"/>
  <c r="AJ159" i="16"/>
  <c r="AJ365" i="16"/>
  <c r="AJ195" i="16"/>
  <c r="AJ426" i="16"/>
  <c r="AJ508" i="16"/>
  <c r="AK508" i="16" s="1"/>
  <c r="AL508" i="16" s="1"/>
  <c r="AJ117" i="16"/>
  <c r="AK117" i="16" s="1"/>
  <c r="AL117" i="16" s="1"/>
  <c r="AJ6" i="16"/>
  <c r="AJ259" i="16"/>
  <c r="AJ455" i="16"/>
  <c r="AJ145" i="16"/>
  <c r="AK145" i="16" s="1"/>
  <c r="AL145" i="16" s="1"/>
  <c r="AJ390" i="16"/>
  <c r="AJ310" i="16"/>
  <c r="AK310" i="16" s="1"/>
  <c r="AL310" i="16" s="1"/>
  <c r="D24" i="23"/>
  <c r="AO9" i="23" s="1"/>
  <c r="AP9" i="23" s="1"/>
  <c r="AJ3" i="25"/>
  <c r="AK3" i="25" s="1"/>
  <c r="AL3" i="25" s="1"/>
  <c r="R3" i="19"/>
  <c r="AG23" i="19"/>
  <c r="AH23" i="19" s="1"/>
  <c r="N3" i="19"/>
  <c r="AK361" i="16" l="1"/>
  <c r="AL361" i="16" s="1"/>
  <c r="AK178" i="16"/>
  <c r="AL178" i="16" s="1"/>
  <c r="AK387" i="16"/>
  <c r="AL387" i="16" s="1"/>
  <c r="AK90" i="16"/>
  <c r="AL90" i="16" s="1"/>
  <c r="AK358" i="16"/>
  <c r="AL358" i="16" s="1"/>
  <c r="AK182" i="16"/>
  <c r="AL182" i="16" s="1"/>
  <c r="AK181" i="16"/>
  <c r="AL181" i="16" s="1"/>
  <c r="AK390" i="16"/>
  <c r="AL390" i="16" s="1"/>
  <c r="AK386" i="16"/>
  <c r="AL386" i="16" s="1"/>
  <c r="AK332" i="16"/>
  <c r="AL332" i="16" s="1"/>
  <c r="AK176" i="16"/>
  <c r="AL176" i="16" s="1"/>
  <c r="AK179" i="16"/>
  <c r="AL179" i="16" s="1"/>
  <c r="AK359" i="16"/>
  <c r="AL359" i="16" s="1"/>
  <c r="AK240" i="16"/>
  <c r="AL240" i="16" s="1"/>
  <c r="AK355" i="16"/>
  <c r="AL355" i="16" s="1"/>
  <c r="AK91" i="16"/>
  <c r="AL91" i="16" s="1"/>
  <c r="AK325" i="16"/>
  <c r="AL325" i="16" s="1"/>
  <c r="AK238" i="16"/>
  <c r="AL238" i="16" s="1"/>
  <c r="AK357" i="16"/>
  <c r="AL357" i="16" s="1"/>
  <c r="AK271" i="16"/>
  <c r="AL271" i="16" s="1"/>
  <c r="AK304" i="16"/>
  <c r="AL304" i="16" s="1"/>
  <c r="AK388" i="16"/>
  <c r="AL388" i="16" s="1"/>
  <c r="AK92" i="16"/>
  <c r="AL92" i="16" s="1"/>
  <c r="AK266" i="16"/>
  <c r="AL266" i="16" s="1"/>
  <c r="AK175" i="16"/>
  <c r="AL175" i="16" s="1"/>
  <c r="AK392" i="16"/>
  <c r="AL392" i="16" s="1"/>
  <c r="AK87" i="16"/>
  <c r="AL87" i="16" s="1"/>
  <c r="AK150" i="16"/>
  <c r="AL150" i="16" s="1"/>
  <c r="AK301" i="16"/>
  <c r="AL301" i="16" s="1"/>
  <c r="AK270" i="16"/>
  <c r="AL270" i="16" s="1"/>
  <c r="AK265" i="16"/>
  <c r="AL265" i="16" s="1"/>
  <c r="AK180" i="16"/>
  <c r="AL180" i="16" s="1"/>
  <c r="AK385" i="16"/>
  <c r="AL385" i="16" s="1"/>
  <c r="AK389" i="16"/>
  <c r="AL389" i="16" s="1"/>
  <c r="AK58" i="16"/>
  <c r="AL58" i="16" s="1"/>
  <c r="AK362" i="16"/>
  <c r="AL362" i="16" s="1"/>
  <c r="AB325" i="16"/>
  <c r="AA325" i="16"/>
  <c r="AA331" i="16"/>
  <c r="AB331" i="16"/>
  <c r="AA177" i="16"/>
  <c r="AB177" i="16"/>
  <c r="AA237" i="16"/>
  <c r="AB237" i="16"/>
  <c r="AA359" i="16"/>
  <c r="AB359" i="16"/>
  <c r="AK177" i="16"/>
  <c r="AL177" i="16" s="1"/>
  <c r="AA179" i="16"/>
  <c r="AB179" i="16"/>
  <c r="AA176" i="16"/>
  <c r="AB176" i="16"/>
  <c r="AB332" i="16"/>
  <c r="AA332" i="16"/>
  <c r="AB270" i="16"/>
  <c r="AA270" i="16"/>
  <c r="AA58" i="16"/>
  <c r="AB58" i="16"/>
  <c r="AA265" i="16"/>
  <c r="AB265" i="16"/>
  <c r="AA180" i="16"/>
  <c r="AB180" i="16"/>
  <c r="AB355" i="16"/>
  <c r="AB240" i="16"/>
  <c r="AA240" i="16"/>
  <c r="AA362" i="16"/>
  <c r="AB362" i="16"/>
  <c r="AB175" i="16"/>
  <c r="AA175" i="16"/>
  <c r="AA392" i="16"/>
  <c r="AB392" i="16"/>
  <c r="AA385" i="16"/>
  <c r="AB385" i="16"/>
  <c r="AB389" i="16"/>
  <c r="AA150" i="16"/>
  <c r="AB150" i="16"/>
  <c r="AA87" i="16"/>
  <c r="AB87" i="16"/>
  <c r="AA301" i="16"/>
  <c r="AB301" i="16"/>
  <c r="AA89" i="16"/>
  <c r="AB89" i="16"/>
  <c r="AB266" i="16"/>
  <c r="AA266" i="16"/>
  <c r="AA391" i="16"/>
  <c r="AB391" i="16"/>
  <c r="AA357" i="16"/>
  <c r="AB271" i="16"/>
  <c r="AA271" i="16"/>
  <c r="AB388" i="16"/>
  <c r="AA388" i="16"/>
  <c r="AA92" i="16"/>
  <c r="AB92" i="16"/>
  <c r="AB386" i="16"/>
  <c r="AA386" i="16"/>
  <c r="AB182" i="16"/>
  <c r="AB238" i="16"/>
  <c r="AA238" i="16"/>
  <c r="AB302" i="16"/>
  <c r="AA302" i="16"/>
  <c r="AK331" i="16"/>
  <c r="AL331" i="16" s="1"/>
  <c r="AA361" i="16"/>
  <c r="AB361" i="16"/>
  <c r="AB358" i="16"/>
  <c r="AA358" i="16"/>
  <c r="AB178" i="16"/>
  <c r="AA178" i="16"/>
  <c r="AB181" i="16"/>
  <c r="AA181" i="16"/>
  <c r="AB390" i="16"/>
  <c r="AA390" i="16"/>
  <c r="AB387" i="16"/>
  <c r="AA387" i="16"/>
  <c r="AA90" i="16"/>
  <c r="AB90" i="16"/>
  <c r="AB91" i="16"/>
  <c r="AO16" i="23"/>
  <c r="AP16" i="23" s="1"/>
  <c r="AS16" i="23" s="1"/>
  <c r="J47" i="23" s="1"/>
  <c r="AO6" i="23"/>
  <c r="AP6" i="23" s="1"/>
  <c r="AS6" i="23" s="1"/>
  <c r="J38" i="23" s="1"/>
  <c r="AO4" i="23"/>
  <c r="AP4" i="23" s="1"/>
  <c r="AS4" i="23" s="1"/>
  <c r="AO3" i="23"/>
  <c r="AP3" i="23" s="1"/>
  <c r="AS3" i="23" s="1"/>
  <c r="J35" i="23" s="1"/>
  <c r="AO13" i="23"/>
  <c r="AP13" i="23" s="1"/>
  <c r="H45" i="23" s="1"/>
  <c r="AO7" i="23"/>
  <c r="AP7" i="23" s="1"/>
  <c r="AS7" i="23" s="1"/>
  <c r="AO18" i="23"/>
  <c r="AP18" i="23" s="1"/>
  <c r="AS18" i="23" s="1"/>
  <c r="J50" i="23" s="1"/>
  <c r="AO19" i="23"/>
  <c r="AP19" i="23" s="1"/>
  <c r="AO11" i="23"/>
  <c r="AP11" i="23" s="1"/>
  <c r="H42" i="23" s="1"/>
  <c r="AO14" i="23"/>
  <c r="AP14" i="23" s="1"/>
  <c r="AS14" i="23" s="1"/>
  <c r="AS9" i="23"/>
  <c r="J40" i="23" s="1"/>
  <c r="H40" i="23"/>
  <c r="R476" i="19"/>
  <c r="R387" i="19"/>
  <c r="R395" i="19"/>
  <c r="V17" i="19"/>
  <c r="V73" i="19"/>
  <c r="E153" i="19"/>
  <c r="F153" i="19" s="1"/>
  <c r="V153" i="19"/>
  <c r="V201" i="19"/>
  <c r="E273" i="19"/>
  <c r="F273" i="19" s="1"/>
  <c r="V273" i="19"/>
  <c r="V337" i="19"/>
  <c r="E393" i="19"/>
  <c r="F393" i="19" s="1"/>
  <c r="V393" i="19"/>
  <c r="V457" i="19"/>
  <c r="E5" i="19"/>
  <c r="F5" i="19" s="1"/>
  <c r="V5" i="19"/>
  <c r="V45" i="19"/>
  <c r="V77" i="19"/>
  <c r="E125" i="19"/>
  <c r="F125" i="19" s="1"/>
  <c r="V125" i="19"/>
  <c r="V7" i="19"/>
  <c r="V23" i="19"/>
  <c r="E39" i="19"/>
  <c r="F39" i="19" s="1"/>
  <c r="V39" i="19"/>
  <c r="V8" i="19"/>
  <c r="V16" i="19"/>
  <c r="V24" i="19"/>
  <c r="E40" i="19"/>
  <c r="F40" i="19" s="1"/>
  <c r="V40" i="19"/>
  <c r="V48" i="19"/>
  <c r="E64" i="19"/>
  <c r="F64" i="19" s="1"/>
  <c r="V64" i="19"/>
  <c r="V72" i="19"/>
  <c r="V80" i="19"/>
  <c r="E96" i="19"/>
  <c r="F96" i="19" s="1"/>
  <c r="V96" i="19"/>
  <c r="E104" i="19"/>
  <c r="F104" i="19" s="1"/>
  <c r="V104" i="19"/>
  <c r="E112" i="19"/>
  <c r="V112" i="19"/>
  <c r="V128" i="19"/>
  <c r="V136" i="19"/>
  <c r="V144" i="19"/>
  <c r="E160" i="19"/>
  <c r="F160" i="19" s="1"/>
  <c r="V160" i="19"/>
  <c r="V168" i="19"/>
  <c r="E184" i="19"/>
  <c r="F184" i="19" s="1"/>
  <c r="V184" i="19"/>
  <c r="V192" i="19"/>
  <c r="V200" i="19"/>
  <c r="E216" i="19"/>
  <c r="F216" i="19" s="1"/>
  <c r="V216" i="19"/>
  <c r="E224" i="19"/>
  <c r="F224" i="19" s="1"/>
  <c r="V224" i="19"/>
  <c r="E232" i="19"/>
  <c r="V232" i="19"/>
  <c r="V248" i="19"/>
  <c r="V256" i="19"/>
  <c r="V264" i="19"/>
  <c r="E280" i="19"/>
  <c r="F280" i="19" s="1"/>
  <c r="V280" i="19"/>
  <c r="V288" i="19"/>
  <c r="E304" i="19"/>
  <c r="F304" i="19" s="1"/>
  <c r="V304" i="19"/>
  <c r="V312" i="19"/>
  <c r="V320" i="19"/>
  <c r="E336" i="19"/>
  <c r="F336" i="19" s="1"/>
  <c r="V336" i="19"/>
  <c r="E344" i="19"/>
  <c r="F344" i="19" s="1"/>
  <c r="V344" i="19"/>
  <c r="E352" i="19"/>
  <c r="V352" i="19"/>
  <c r="V368" i="19"/>
  <c r="V376" i="19"/>
  <c r="V384" i="19"/>
  <c r="E400" i="19"/>
  <c r="F400" i="19" s="1"/>
  <c r="V400" i="19"/>
  <c r="V408" i="19"/>
  <c r="E424" i="19"/>
  <c r="F424" i="19" s="1"/>
  <c r="V424" i="19"/>
  <c r="V432" i="19"/>
  <c r="V440" i="19"/>
  <c r="E456" i="19"/>
  <c r="F456" i="19" s="1"/>
  <c r="V456" i="19"/>
  <c r="E464" i="19"/>
  <c r="F464" i="19" s="1"/>
  <c r="V464" i="19"/>
  <c r="E472" i="19"/>
  <c r="V472" i="19"/>
  <c r="V488" i="19"/>
  <c r="V496" i="19"/>
  <c r="V504" i="19"/>
  <c r="E9" i="19"/>
  <c r="F9" i="19" s="1"/>
  <c r="V9" i="19"/>
  <c r="V81" i="19"/>
  <c r="E169" i="19"/>
  <c r="F169" i="19" s="1"/>
  <c r="V169" i="19"/>
  <c r="V225" i="19"/>
  <c r="E289" i="19"/>
  <c r="F289" i="19" s="1"/>
  <c r="V289" i="19"/>
  <c r="V353" i="19"/>
  <c r="V433" i="19"/>
  <c r="E3" i="19"/>
  <c r="F3" i="19" s="1"/>
  <c r="V3" i="19"/>
  <c r="E10" i="19"/>
  <c r="F10" i="19" s="1"/>
  <c r="V10" i="19"/>
  <c r="V18" i="19"/>
  <c r="E34" i="19"/>
  <c r="F34" i="19" s="1"/>
  <c r="V34" i="19"/>
  <c r="V42" i="19"/>
  <c r="V50" i="19"/>
  <c r="E66" i="19"/>
  <c r="F66" i="19" s="1"/>
  <c r="V66" i="19"/>
  <c r="E74" i="19"/>
  <c r="F74" i="19" s="1"/>
  <c r="V74" i="19"/>
  <c r="E82" i="19"/>
  <c r="V82" i="19"/>
  <c r="V98" i="19"/>
  <c r="V106" i="19"/>
  <c r="V114" i="19"/>
  <c r="E130" i="19"/>
  <c r="F130" i="19" s="1"/>
  <c r="V130" i="19"/>
  <c r="V138" i="19"/>
  <c r="E154" i="19"/>
  <c r="F154" i="19" s="1"/>
  <c r="V154" i="19"/>
  <c r="V162" i="19"/>
  <c r="V170" i="19"/>
  <c r="E186" i="19"/>
  <c r="F186" i="19" s="1"/>
  <c r="V186" i="19"/>
  <c r="E194" i="19"/>
  <c r="F194" i="19" s="1"/>
  <c r="V194" i="19"/>
  <c r="E202" i="19"/>
  <c r="V202" i="19"/>
  <c r="V218" i="19"/>
  <c r="V226" i="19"/>
  <c r="V234" i="19"/>
  <c r="E250" i="19"/>
  <c r="F250" i="19" s="1"/>
  <c r="V250" i="19"/>
  <c r="V258" i="19"/>
  <c r="E274" i="19"/>
  <c r="F274" i="19" s="1"/>
  <c r="V274" i="19"/>
  <c r="V282" i="19"/>
  <c r="V290" i="19"/>
  <c r="E306" i="19"/>
  <c r="F306" i="19" s="1"/>
  <c r="V306" i="19"/>
  <c r="E314" i="19"/>
  <c r="F314" i="19" s="1"/>
  <c r="V314" i="19"/>
  <c r="E322" i="19"/>
  <c r="V322" i="19"/>
  <c r="V338" i="19"/>
  <c r="V346" i="19"/>
  <c r="V354" i="19"/>
  <c r="E370" i="19"/>
  <c r="F370" i="19" s="1"/>
  <c r="V370" i="19"/>
  <c r="V378" i="19"/>
  <c r="E394" i="19"/>
  <c r="F394" i="19" s="1"/>
  <c r="V394" i="19"/>
  <c r="V402" i="19"/>
  <c r="V410" i="19"/>
  <c r="E426" i="19"/>
  <c r="F426" i="19" s="1"/>
  <c r="V426" i="19"/>
  <c r="E434" i="19"/>
  <c r="F434" i="19" s="1"/>
  <c r="V434" i="19"/>
  <c r="E442" i="19"/>
  <c r="V442" i="19"/>
  <c r="V458" i="19"/>
  <c r="V466" i="19"/>
  <c r="V474" i="19"/>
  <c r="E490" i="19"/>
  <c r="F490" i="19" s="1"/>
  <c r="V490" i="19"/>
  <c r="V498" i="19"/>
  <c r="V41" i="19"/>
  <c r="V113" i="19"/>
  <c r="E185" i="19"/>
  <c r="F185" i="19" s="1"/>
  <c r="V185" i="19"/>
  <c r="V257" i="19"/>
  <c r="V321" i="19"/>
  <c r="E369" i="19"/>
  <c r="F369" i="19" s="1"/>
  <c r="V369" i="19"/>
  <c r="V441" i="19"/>
  <c r="V473" i="19"/>
  <c r="V11" i="19"/>
  <c r="E19" i="19"/>
  <c r="F19" i="19" s="1"/>
  <c r="V19" i="19"/>
  <c r="E35" i="19"/>
  <c r="F35" i="19" s="1"/>
  <c r="V35" i="19"/>
  <c r="V43" i="19"/>
  <c r="V51" i="19"/>
  <c r="V67" i="19"/>
  <c r="V75" i="19"/>
  <c r="V83" i="19"/>
  <c r="E99" i="19"/>
  <c r="F99" i="19" s="1"/>
  <c r="V99" i="19"/>
  <c r="V107" i="19"/>
  <c r="E123" i="19"/>
  <c r="F123" i="19" s="1"/>
  <c r="V123" i="19"/>
  <c r="V131" i="19"/>
  <c r="E139" i="19"/>
  <c r="F139" i="19" s="1"/>
  <c r="V139" i="19"/>
  <c r="E155" i="19"/>
  <c r="F155" i="19" s="1"/>
  <c r="V155" i="19"/>
  <c r="V163" i="19"/>
  <c r="V171" i="19"/>
  <c r="V187" i="19"/>
  <c r="V195" i="19"/>
  <c r="V203" i="19"/>
  <c r="E219" i="19"/>
  <c r="F219" i="19" s="1"/>
  <c r="V219" i="19"/>
  <c r="V227" i="19"/>
  <c r="E243" i="19"/>
  <c r="F243" i="19" s="1"/>
  <c r="V243" i="19"/>
  <c r="V251" i="19"/>
  <c r="E259" i="19"/>
  <c r="F259" i="19" s="1"/>
  <c r="V259" i="19"/>
  <c r="E275" i="19"/>
  <c r="F275" i="19" s="1"/>
  <c r="V275" i="19"/>
  <c r="V283" i="19"/>
  <c r="V291" i="19"/>
  <c r="V307" i="19"/>
  <c r="V315" i="19"/>
  <c r="V323" i="19"/>
  <c r="E339" i="19"/>
  <c r="F339" i="19" s="1"/>
  <c r="V339" i="19"/>
  <c r="V347" i="19"/>
  <c r="E363" i="19"/>
  <c r="F363" i="19" s="1"/>
  <c r="V363" i="19"/>
  <c r="V371" i="19"/>
  <c r="E379" i="19"/>
  <c r="F379" i="19" s="1"/>
  <c r="V379" i="19"/>
  <c r="E395" i="19"/>
  <c r="F395" i="19" s="1"/>
  <c r="V395" i="19"/>
  <c r="V403" i="19"/>
  <c r="V411" i="19"/>
  <c r="V427" i="19"/>
  <c r="V435" i="19"/>
  <c r="V443" i="19"/>
  <c r="E459" i="19"/>
  <c r="F459" i="19" s="1"/>
  <c r="V459" i="19"/>
  <c r="V467" i="19"/>
  <c r="E483" i="19"/>
  <c r="F483" i="19" s="1"/>
  <c r="V483" i="19"/>
  <c r="V491" i="19"/>
  <c r="E499" i="19"/>
  <c r="F499" i="19" s="1"/>
  <c r="V499" i="19"/>
  <c r="E65" i="19"/>
  <c r="F65" i="19" s="1"/>
  <c r="V65" i="19"/>
  <c r="E129" i="19"/>
  <c r="F129" i="19" s="1"/>
  <c r="V129" i="19"/>
  <c r="V193" i="19"/>
  <c r="V281" i="19"/>
  <c r="V345" i="19"/>
  <c r="E409" i="19"/>
  <c r="F409" i="19" s="1"/>
  <c r="V409" i="19"/>
  <c r="V497" i="19"/>
  <c r="E4" i="19"/>
  <c r="F4" i="19" s="1"/>
  <c r="V4" i="19"/>
  <c r="V12" i="19"/>
  <c r="V20" i="19"/>
  <c r="E36" i="19"/>
  <c r="F36" i="19" s="1"/>
  <c r="V36" i="19"/>
  <c r="E44" i="19"/>
  <c r="F44" i="19" s="1"/>
  <c r="V44" i="19"/>
  <c r="E52" i="19"/>
  <c r="V52" i="19"/>
  <c r="V68" i="19"/>
  <c r="V76" i="19"/>
  <c r="V84" i="19"/>
  <c r="E100" i="19"/>
  <c r="F100" i="19" s="1"/>
  <c r="V100" i="19"/>
  <c r="V108" i="19"/>
  <c r="E124" i="19"/>
  <c r="F124" i="19" s="1"/>
  <c r="V124" i="19"/>
  <c r="V132" i="19"/>
  <c r="V140" i="19"/>
  <c r="E156" i="19"/>
  <c r="F156" i="19" s="1"/>
  <c r="V156" i="19"/>
  <c r="E164" i="19"/>
  <c r="F164" i="19" s="1"/>
  <c r="V164" i="19"/>
  <c r="E172" i="19"/>
  <c r="V172" i="19"/>
  <c r="V188" i="19"/>
  <c r="V196" i="19"/>
  <c r="V204" i="19"/>
  <c r="E220" i="19"/>
  <c r="F220" i="19" s="1"/>
  <c r="V220" i="19"/>
  <c r="V228" i="19"/>
  <c r="E244" i="19"/>
  <c r="F244" i="19" s="1"/>
  <c r="V244" i="19"/>
  <c r="V252" i="19"/>
  <c r="V260" i="19"/>
  <c r="E276" i="19"/>
  <c r="F276" i="19" s="1"/>
  <c r="V276" i="19"/>
  <c r="E284" i="19"/>
  <c r="F284" i="19" s="1"/>
  <c r="V284" i="19"/>
  <c r="E292" i="19"/>
  <c r="V292" i="19"/>
  <c r="V308" i="19"/>
  <c r="V316" i="19"/>
  <c r="V324" i="19"/>
  <c r="E340" i="19"/>
  <c r="F340" i="19" s="1"/>
  <c r="V340" i="19"/>
  <c r="V348" i="19"/>
  <c r="E364" i="19"/>
  <c r="F364" i="19" s="1"/>
  <c r="V364" i="19"/>
  <c r="V372" i="19"/>
  <c r="V380" i="19"/>
  <c r="E396" i="19"/>
  <c r="F396" i="19" s="1"/>
  <c r="V396" i="19"/>
  <c r="E404" i="19"/>
  <c r="F404" i="19" s="1"/>
  <c r="V404" i="19"/>
  <c r="E412" i="19"/>
  <c r="V412" i="19"/>
  <c r="V428" i="19"/>
  <c r="V436" i="19"/>
  <c r="V444" i="19"/>
  <c r="E460" i="19"/>
  <c r="F460" i="19" s="1"/>
  <c r="V460" i="19"/>
  <c r="V468" i="19"/>
  <c r="E484" i="19"/>
  <c r="F484" i="19" s="1"/>
  <c r="V484" i="19"/>
  <c r="V492" i="19"/>
  <c r="V500" i="19"/>
  <c r="V105" i="19"/>
  <c r="E249" i="19"/>
  <c r="F249" i="19" s="1"/>
  <c r="V249" i="19"/>
  <c r="E425" i="19"/>
  <c r="F425" i="19" s="1"/>
  <c r="V425" i="19"/>
  <c r="V13" i="19"/>
  <c r="E93" i="19"/>
  <c r="F93" i="19" s="1"/>
  <c r="V93" i="19"/>
  <c r="V141" i="19"/>
  <c r="V157" i="19"/>
  <c r="V173" i="19"/>
  <c r="E189" i="19"/>
  <c r="F189" i="19" s="1"/>
  <c r="V189" i="19"/>
  <c r="V197" i="19"/>
  <c r="E213" i="19"/>
  <c r="F213" i="19" s="1"/>
  <c r="V213" i="19"/>
  <c r="V221" i="19"/>
  <c r="E229" i="19"/>
  <c r="F229" i="19" s="1"/>
  <c r="V229" i="19"/>
  <c r="E245" i="19"/>
  <c r="F245" i="19" s="1"/>
  <c r="V245" i="19"/>
  <c r="V253" i="19"/>
  <c r="V261" i="19"/>
  <c r="V277" i="19"/>
  <c r="V285" i="19"/>
  <c r="V293" i="19"/>
  <c r="E309" i="19"/>
  <c r="F309" i="19" s="1"/>
  <c r="V309" i="19"/>
  <c r="V317" i="19"/>
  <c r="E333" i="19"/>
  <c r="F333" i="19" s="1"/>
  <c r="V333" i="19"/>
  <c r="V341" i="19"/>
  <c r="E349" i="19"/>
  <c r="F349" i="19" s="1"/>
  <c r="V349" i="19"/>
  <c r="E365" i="19"/>
  <c r="F365" i="19" s="1"/>
  <c r="V365" i="19"/>
  <c r="V373" i="19"/>
  <c r="V381" i="19"/>
  <c r="V397" i="19"/>
  <c r="V405" i="19"/>
  <c r="V413" i="19"/>
  <c r="E429" i="19"/>
  <c r="F429" i="19" s="1"/>
  <c r="V429" i="19"/>
  <c r="V437" i="19"/>
  <c r="E453" i="19"/>
  <c r="F453" i="19" s="1"/>
  <c r="V453" i="19"/>
  <c r="V461" i="19"/>
  <c r="E469" i="19"/>
  <c r="F469" i="19" s="1"/>
  <c r="V469" i="19"/>
  <c r="E485" i="19"/>
  <c r="F485" i="19" s="1"/>
  <c r="V485" i="19"/>
  <c r="V493" i="19"/>
  <c r="V501" i="19"/>
  <c r="E33" i="19"/>
  <c r="F33" i="19" s="1"/>
  <c r="V33" i="19"/>
  <c r="V97" i="19"/>
  <c r="V161" i="19"/>
  <c r="V233" i="19"/>
  <c r="V313" i="19"/>
  <c r="V401" i="19"/>
  <c r="E489" i="19"/>
  <c r="F489" i="19" s="1"/>
  <c r="V489" i="19"/>
  <c r="V37" i="19"/>
  <c r="E69" i="19"/>
  <c r="F69" i="19" s="1"/>
  <c r="V69" i="19"/>
  <c r="V101" i="19"/>
  <c r="V133" i="19"/>
  <c r="V165" i="19"/>
  <c r="E6" i="19"/>
  <c r="F6" i="19" s="1"/>
  <c r="V6" i="19"/>
  <c r="E14" i="19"/>
  <c r="F14" i="19" s="1"/>
  <c r="V14" i="19"/>
  <c r="E22" i="19"/>
  <c r="F22" i="19" s="1"/>
  <c r="V22" i="19"/>
  <c r="V38" i="19"/>
  <c r="V46" i="19"/>
  <c r="V54" i="19"/>
  <c r="E70" i="19"/>
  <c r="F70" i="19" s="1"/>
  <c r="V70" i="19"/>
  <c r="V78" i="19"/>
  <c r="E94" i="19"/>
  <c r="F94" i="19" s="1"/>
  <c r="V94" i="19"/>
  <c r="V102" i="19"/>
  <c r="V110" i="19"/>
  <c r="E126" i="19"/>
  <c r="F126" i="19" s="1"/>
  <c r="V126" i="19"/>
  <c r="E134" i="19"/>
  <c r="F134" i="19" s="1"/>
  <c r="V134" i="19"/>
  <c r="E142" i="19"/>
  <c r="V142" i="19"/>
  <c r="V158" i="19"/>
  <c r="V166" i="19"/>
  <c r="V174" i="19"/>
  <c r="E190" i="19"/>
  <c r="F190" i="19" s="1"/>
  <c r="V190" i="19"/>
  <c r="V198" i="19"/>
  <c r="E214" i="19"/>
  <c r="F214" i="19" s="1"/>
  <c r="V214" i="19"/>
  <c r="V222" i="19"/>
  <c r="V230" i="19"/>
  <c r="E246" i="19"/>
  <c r="F246" i="19" s="1"/>
  <c r="V246" i="19"/>
  <c r="E254" i="19"/>
  <c r="F254" i="19" s="1"/>
  <c r="V254" i="19"/>
  <c r="E262" i="19"/>
  <c r="V262" i="19"/>
  <c r="V278" i="19"/>
  <c r="V286" i="19"/>
  <c r="V294" i="19"/>
  <c r="E310" i="19"/>
  <c r="F310" i="19" s="1"/>
  <c r="V310" i="19"/>
  <c r="V318" i="19"/>
  <c r="E334" i="19"/>
  <c r="F334" i="19" s="1"/>
  <c r="V334" i="19"/>
  <c r="V342" i="19"/>
  <c r="V350" i="19"/>
  <c r="E366" i="19"/>
  <c r="F366" i="19" s="1"/>
  <c r="V366" i="19"/>
  <c r="E374" i="19"/>
  <c r="F374" i="19" s="1"/>
  <c r="V374" i="19"/>
  <c r="E382" i="19"/>
  <c r="V382" i="19"/>
  <c r="V398" i="19"/>
  <c r="V406" i="19"/>
  <c r="V414" i="19"/>
  <c r="E430" i="19"/>
  <c r="F430" i="19" s="1"/>
  <c r="V430" i="19"/>
  <c r="V438" i="19"/>
  <c r="E454" i="19"/>
  <c r="F454" i="19" s="1"/>
  <c r="V454" i="19"/>
  <c r="V462" i="19"/>
  <c r="V470" i="19"/>
  <c r="E486" i="19"/>
  <c r="F486" i="19" s="1"/>
  <c r="V486" i="19"/>
  <c r="E494" i="19"/>
  <c r="F494" i="19" s="1"/>
  <c r="V494" i="19"/>
  <c r="E502" i="19"/>
  <c r="V502" i="19"/>
  <c r="E49" i="19"/>
  <c r="F49" i="19" s="1"/>
  <c r="V49" i="19"/>
  <c r="V137" i="19"/>
  <c r="V217" i="19"/>
  <c r="E305" i="19"/>
  <c r="F305" i="19" s="1"/>
  <c r="V305" i="19"/>
  <c r="V377" i="19"/>
  <c r="V465" i="19"/>
  <c r="V21" i="19"/>
  <c r="V53" i="19"/>
  <c r="E109" i="19"/>
  <c r="F109" i="19" s="1"/>
  <c r="V109" i="19"/>
  <c r="V15" i="19"/>
  <c r="V47" i="19"/>
  <c r="E63" i="19"/>
  <c r="F63" i="19" s="1"/>
  <c r="V63" i="19"/>
  <c r="V71" i="19"/>
  <c r="E79" i="19"/>
  <c r="F79" i="19" s="1"/>
  <c r="V79" i="19"/>
  <c r="E95" i="19"/>
  <c r="F95" i="19" s="1"/>
  <c r="V95" i="19"/>
  <c r="V103" i="19"/>
  <c r="V111" i="19"/>
  <c r="V127" i="19"/>
  <c r="V135" i="19"/>
  <c r="V143" i="19"/>
  <c r="E159" i="19"/>
  <c r="F159" i="19" s="1"/>
  <c r="V159" i="19"/>
  <c r="V167" i="19"/>
  <c r="E183" i="19"/>
  <c r="F183" i="19" s="1"/>
  <c r="V183" i="19"/>
  <c r="V191" i="19"/>
  <c r="E199" i="19"/>
  <c r="F199" i="19" s="1"/>
  <c r="V199" i="19"/>
  <c r="E215" i="19"/>
  <c r="F215" i="19" s="1"/>
  <c r="V215" i="19"/>
  <c r="V223" i="19"/>
  <c r="V231" i="19"/>
  <c r="V247" i="19"/>
  <c r="V255" i="19"/>
  <c r="V263" i="19"/>
  <c r="E279" i="19"/>
  <c r="F279" i="19" s="1"/>
  <c r="V279" i="19"/>
  <c r="V287" i="19"/>
  <c r="E303" i="19"/>
  <c r="F303" i="19" s="1"/>
  <c r="V303" i="19"/>
  <c r="V311" i="19"/>
  <c r="E319" i="19"/>
  <c r="F319" i="19" s="1"/>
  <c r="V319" i="19"/>
  <c r="E335" i="19"/>
  <c r="F335" i="19" s="1"/>
  <c r="V335" i="19"/>
  <c r="V343" i="19"/>
  <c r="V351" i="19"/>
  <c r="V367" i="19"/>
  <c r="V375" i="19"/>
  <c r="V383" i="19"/>
  <c r="E399" i="19"/>
  <c r="F399" i="19" s="1"/>
  <c r="V399" i="19"/>
  <c r="V407" i="19"/>
  <c r="E423" i="19"/>
  <c r="F423" i="19" s="1"/>
  <c r="V423" i="19"/>
  <c r="V431" i="19"/>
  <c r="E439" i="19"/>
  <c r="F439" i="19" s="1"/>
  <c r="V439" i="19"/>
  <c r="E455" i="19"/>
  <c r="F455" i="19" s="1"/>
  <c r="V455" i="19"/>
  <c r="V463" i="19"/>
  <c r="V471" i="19"/>
  <c r="V487" i="19"/>
  <c r="V495" i="19"/>
  <c r="V503" i="19"/>
  <c r="E56" i="19"/>
  <c r="X56" i="19" s="1"/>
  <c r="AB56" i="19" s="1"/>
  <c r="E61" i="19"/>
  <c r="X61" i="19" s="1"/>
  <c r="AB61" i="19" s="1"/>
  <c r="E91" i="19"/>
  <c r="X91" i="19" s="1"/>
  <c r="AB91" i="19" s="1"/>
  <c r="E116" i="19"/>
  <c r="X116" i="19" s="1"/>
  <c r="AB116" i="19" s="1"/>
  <c r="E148" i="19"/>
  <c r="X148" i="19" s="1"/>
  <c r="AB148" i="19" s="1"/>
  <c r="E175" i="19"/>
  <c r="X175" i="19" s="1"/>
  <c r="AB175" i="19" s="1"/>
  <c r="E177" i="19"/>
  <c r="X177" i="19" s="1"/>
  <c r="AB177" i="19" s="1"/>
  <c r="E205" i="19"/>
  <c r="X205" i="19" s="1"/>
  <c r="AB205" i="19" s="1"/>
  <c r="E209" i="19"/>
  <c r="X209" i="19" s="1"/>
  <c r="AB209" i="19" s="1"/>
  <c r="E211" i="19"/>
  <c r="X211" i="19" s="1"/>
  <c r="AB211" i="19" s="1"/>
  <c r="E238" i="19"/>
  <c r="X238" i="19" s="1"/>
  <c r="AB238" i="19" s="1"/>
  <c r="E265" i="19"/>
  <c r="X265" i="19" s="1"/>
  <c r="AB265" i="19" s="1"/>
  <c r="E271" i="19"/>
  <c r="X271" i="19" s="1"/>
  <c r="AB271" i="19" s="1"/>
  <c r="E359" i="19"/>
  <c r="X359" i="19" s="1"/>
  <c r="AB359" i="19" s="1"/>
  <c r="E385" i="19"/>
  <c r="X385" i="19" s="1"/>
  <c r="AB385" i="19" s="1"/>
  <c r="E392" i="19"/>
  <c r="X392" i="19" s="1"/>
  <c r="AB392" i="19" s="1"/>
  <c r="E450" i="19"/>
  <c r="X450" i="19" s="1"/>
  <c r="AB450" i="19" s="1"/>
  <c r="E476" i="19"/>
  <c r="X476" i="19" s="1"/>
  <c r="AB476" i="19" s="1"/>
  <c r="E482" i="19"/>
  <c r="X482" i="19" s="1"/>
  <c r="AB482" i="19" s="1"/>
  <c r="E146" i="19"/>
  <c r="X146" i="19" s="1"/>
  <c r="AB146" i="19" s="1"/>
  <c r="E356" i="19"/>
  <c r="X356" i="19" s="1"/>
  <c r="AB356" i="19" s="1"/>
  <c r="E509" i="19"/>
  <c r="X509" i="19" s="1"/>
  <c r="AB509" i="19" s="1"/>
  <c r="E419" i="19"/>
  <c r="X419" i="19" s="1"/>
  <c r="AB419" i="19" s="1"/>
  <c r="E447" i="19"/>
  <c r="X447" i="19" s="1"/>
  <c r="AB447" i="19" s="1"/>
  <c r="E29" i="19"/>
  <c r="X29" i="19" s="1"/>
  <c r="AB29" i="19" s="1"/>
  <c r="E207" i="19"/>
  <c r="X207" i="19" s="1"/>
  <c r="AB207" i="19" s="1"/>
  <c r="E390" i="19"/>
  <c r="X390" i="19" s="1"/>
  <c r="AB390" i="19" s="1"/>
  <c r="E416" i="19"/>
  <c r="X416" i="19" s="1"/>
  <c r="AB416" i="19" s="1"/>
  <c r="E28" i="19"/>
  <c r="X28" i="19" s="1"/>
  <c r="AB28" i="19" s="1"/>
  <c r="E55" i="19"/>
  <c r="X55" i="19" s="1"/>
  <c r="AB55" i="19" s="1"/>
  <c r="E87" i="19"/>
  <c r="X87" i="19" s="1"/>
  <c r="AB87" i="19" s="1"/>
  <c r="E115" i="19"/>
  <c r="X115" i="19" s="1"/>
  <c r="AB115" i="19" s="1"/>
  <c r="E118" i="19"/>
  <c r="X118" i="19" s="1"/>
  <c r="AB118" i="19" s="1"/>
  <c r="E121" i="19"/>
  <c r="X121" i="19" s="1"/>
  <c r="AB121" i="19" s="1"/>
  <c r="E147" i="19"/>
  <c r="X147" i="19" s="1"/>
  <c r="AB147" i="19" s="1"/>
  <c r="E179" i="19"/>
  <c r="X179" i="19" s="1"/>
  <c r="AB179" i="19" s="1"/>
  <c r="E181" i="19"/>
  <c r="X181" i="19" s="1"/>
  <c r="AB181" i="19" s="1"/>
  <c r="E235" i="19"/>
  <c r="X235" i="19" s="1"/>
  <c r="AB235" i="19" s="1"/>
  <c r="E240" i="19"/>
  <c r="X240" i="19" s="1"/>
  <c r="AB240" i="19" s="1"/>
  <c r="E242" i="19"/>
  <c r="X242" i="19" s="1"/>
  <c r="AB242" i="19" s="1"/>
  <c r="E296" i="19"/>
  <c r="X296" i="19" s="1"/>
  <c r="AB296" i="19" s="1"/>
  <c r="E298" i="19"/>
  <c r="X298" i="19" s="1"/>
  <c r="AB298" i="19" s="1"/>
  <c r="E301" i="19"/>
  <c r="X301" i="19" s="1"/>
  <c r="AB301" i="19" s="1"/>
  <c r="E326" i="19"/>
  <c r="X326" i="19" s="1"/>
  <c r="AB326" i="19" s="1"/>
  <c r="E387" i="19"/>
  <c r="X387" i="19" s="1"/>
  <c r="AB387" i="19" s="1"/>
  <c r="E449" i="19"/>
  <c r="X449" i="19" s="1"/>
  <c r="AB449" i="19" s="1"/>
  <c r="E268" i="19"/>
  <c r="X268" i="19" s="1"/>
  <c r="AB268" i="19" s="1"/>
  <c r="E389" i="19"/>
  <c r="X389" i="19" s="1"/>
  <c r="AB389" i="19" s="1"/>
  <c r="E479" i="19"/>
  <c r="X479" i="19" s="1"/>
  <c r="AB479" i="19" s="1"/>
  <c r="E506" i="19"/>
  <c r="X506" i="19" s="1"/>
  <c r="AB506" i="19" s="1"/>
  <c r="E330" i="19"/>
  <c r="X330" i="19" s="1"/>
  <c r="AB330" i="19" s="1"/>
  <c r="E355" i="19"/>
  <c r="X355" i="19" s="1"/>
  <c r="AB355" i="19" s="1"/>
  <c r="E505" i="19"/>
  <c r="X505" i="19" s="1"/>
  <c r="AB505" i="19" s="1"/>
  <c r="E415" i="19"/>
  <c r="X415" i="19" s="1"/>
  <c r="AB415" i="19" s="1"/>
  <c r="E270" i="19"/>
  <c r="X270" i="19" s="1"/>
  <c r="AB270" i="19" s="1"/>
  <c r="E358" i="19"/>
  <c r="X358" i="19" s="1"/>
  <c r="AB358" i="19" s="1"/>
  <c r="E31" i="19"/>
  <c r="X31" i="19" s="1"/>
  <c r="AB31" i="19" s="1"/>
  <c r="E58" i="19"/>
  <c r="X58" i="19" s="1"/>
  <c r="AB58" i="19" s="1"/>
  <c r="E60" i="19"/>
  <c r="X60" i="19" s="1"/>
  <c r="AB60" i="19" s="1"/>
  <c r="E86" i="19"/>
  <c r="X86" i="19" s="1"/>
  <c r="AB86" i="19" s="1"/>
  <c r="E90" i="19"/>
  <c r="X90" i="19" s="1"/>
  <c r="AB90" i="19" s="1"/>
  <c r="E120" i="19"/>
  <c r="X120" i="19" s="1"/>
  <c r="AB120" i="19" s="1"/>
  <c r="E145" i="19"/>
  <c r="X145" i="19" s="1"/>
  <c r="AB145" i="19" s="1"/>
  <c r="E328" i="19"/>
  <c r="X328" i="19" s="1"/>
  <c r="AB328" i="19" s="1"/>
  <c r="E26" i="19"/>
  <c r="X26" i="19" s="1"/>
  <c r="AB26" i="19" s="1"/>
  <c r="E59" i="19"/>
  <c r="X59" i="19" s="1"/>
  <c r="AB59" i="19" s="1"/>
  <c r="E92" i="19"/>
  <c r="X92" i="19" s="1"/>
  <c r="AB92" i="19" s="1"/>
  <c r="E267" i="19"/>
  <c r="X267" i="19" s="1"/>
  <c r="AB267" i="19" s="1"/>
  <c r="E477" i="19"/>
  <c r="X477" i="19" s="1"/>
  <c r="AB477" i="19" s="1"/>
  <c r="E507" i="19"/>
  <c r="X507" i="19" s="1"/>
  <c r="AB507" i="19" s="1"/>
  <c r="E27" i="19"/>
  <c r="X27" i="19" s="1"/>
  <c r="AB27" i="19" s="1"/>
  <c r="E30" i="19"/>
  <c r="X30" i="19" s="1"/>
  <c r="AB30" i="19" s="1"/>
  <c r="E32" i="19"/>
  <c r="X32" i="19" s="1"/>
  <c r="AB32" i="19" s="1"/>
  <c r="E89" i="19"/>
  <c r="X89" i="19" s="1"/>
  <c r="AB89" i="19" s="1"/>
  <c r="E151" i="19"/>
  <c r="X151" i="19" s="1"/>
  <c r="AB151" i="19" s="1"/>
  <c r="E152" i="19"/>
  <c r="X152" i="19" s="1"/>
  <c r="AB152" i="19" s="1"/>
  <c r="E176" i="19"/>
  <c r="X176" i="19" s="1"/>
  <c r="AB176" i="19" s="1"/>
  <c r="E210" i="19"/>
  <c r="X210" i="19" s="1"/>
  <c r="AB210" i="19" s="1"/>
  <c r="E237" i="19"/>
  <c r="X237" i="19" s="1"/>
  <c r="AB237" i="19" s="1"/>
  <c r="E272" i="19"/>
  <c r="X272" i="19" s="1"/>
  <c r="AB272" i="19" s="1"/>
  <c r="E300" i="19"/>
  <c r="X300" i="19" s="1"/>
  <c r="AB300" i="19" s="1"/>
  <c r="E325" i="19"/>
  <c r="X325" i="19" s="1"/>
  <c r="AB325" i="19" s="1"/>
  <c r="E332" i="19"/>
  <c r="X332" i="19" s="1"/>
  <c r="AB332" i="19" s="1"/>
  <c r="E386" i="19"/>
  <c r="X386" i="19" s="1"/>
  <c r="AB386" i="19" s="1"/>
  <c r="E421" i="19"/>
  <c r="X421" i="19" s="1"/>
  <c r="AB421" i="19" s="1"/>
  <c r="E422" i="19"/>
  <c r="X422" i="19" s="1"/>
  <c r="AB422" i="19" s="1"/>
  <c r="E452" i="19"/>
  <c r="X452" i="19" s="1"/>
  <c r="AB452" i="19" s="1"/>
  <c r="E478" i="19"/>
  <c r="X478" i="19" s="1"/>
  <c r="AB478" i="19" s="1"/>
  <c r="E481" i="19"/>
  <c r="X481" i="19" s="1"/>
  <c r="AB481" i="19" s="1"/>
  <c r="E508" i="19"/>
  <c r="X508" i="19" s="1"/>
  <c r="AB508" i="19" s="1"/>
  <c r="E360" i="19"/>
  <c r="X360" i="19" s="1"/>
  <c r="AB360" i="19" s="1"/>
  <c r="E57" i="19"/>
  <c r="X57" i="19" s="1"/>
  <c r="AB57" i="19" s="1"/>
  <c r="E85" i="19"/>
  <c r="X85" i="19" s="1"/>
  <c r="AB85" i="19" s="1"/>
  <c r="E117" i="19"/>
  <c r="X117" i="19" s="1"/>
  <c r="AB117" i="19" s="1"/>
  <c r="E119" i="19"/>
  <c r="X119" i="19" s="1"/>
  <c r="AB119" i="19" s="1"/>
  <c r="E149" i="19"/>
  <c r="X149" i="19" s="1"/>
  <c r="AB149" i="19" s="1"/>
  <c r="E150" i="19"/>
  <c r="X150" i="19" s="1"/>
  <c r="AB150" i="19" s="1"/>
  <c r="E178" i="19"/>
  <c r="X178" i="19" s="1"/>
  <c r="AB178" i="19" s="1"/>
  <c r="E180" i="19"/>
  <c r="X180" i="19" s="1"/>
  <c r="AB180" i="19" s="1"/>
  <c r="E182" i="19"/>
  <c r="X182" i="19" s="1"/>
  <c r="AB182" i="19" s="1"/>
  <c r="E212" i="19"/>
  <c r="X212" i="19" s="1"/>
  <c r="AB212" i="19" s="1"/>
  <c r="E239" i="19"/>
  <c r="X239" i="19" s="1"/>
  <c r="AB239" i="19" s="1"/>
  <c r="E241" i="19"/>
  <c r="X241" i="19" s="1"/>
  <c r="AB241" i="19" s="1"/>
  <c r="E295" i="19"/>
  <c r="X295" i="19" s="1"/>
  <c r="AB295" i="19" s="1"/>
  <c r="E297" i="19"/>
  <c r="X297" i="19" s="1"/>
  <c r="AB297" i="19" s="1"/>
  <c r="E302" i="19"/>
  <c r="X302" i="19" s="1"/>
  <c r="AB302" i="19" s="1"/>
  <c r="E327" i="19"/>
  <c r="X327" i="19" s="1"/>
  <c r="AB327" i="19" s="1"/>
  <c r="E388" i="19"/>
  <c r="X388" i="19" s="1"/>
  <c r="AB388" i="19" s="1"/>
  <c r="E446" i="19"/>
  <c r="X446" i="19" s="1"/>
  <c r="AB446" i="19" s="1"/>
  <c r="E448" i="19"/>
  <c r="X448" i="19" s="1"/>
  <c r="AB448" i="19" s="1"/>
  <c r="E451" i="19"/>
  <c r="X451" i="19" s="1"/>
  <c r="AB451" i="19" s="1"/>
  <c r="E25" i="19"/>
  <c r="X25" i="19" s="1"/>
  <c r="AB25" i="19" s="1"/>
  <c r="E62" i="19"/>
  <c r="X62" i="19" s="1"/>
  <c r="AB62" i="19" s="1"/>
  <c r="E88" i="19"/>
  <c r="X88" i="19" s="1"/>
  <c r="AB88" i="19" s="1"/>
  <c r="E206" i="19"/>
  <c r="X206" i="19" s="1"/>
  <c r="AB206" i="19" s="1"/>
  <c r="E236" i="19"/>
  <c r="X236" i="19" s="1"/>
  <c r="AB236" i="19" s="1"/>
  <c r="E266" i="19"/>
  <c r="X266" i="19" s="1"/>
  <c r="AB266" i="19" s="1"/>
  <c r="E299" i="19"/>
  <c r="X299" i="19" s="1"/>
  <c r="AB299" i="19" s="1"/>
  <c r="E329" i="19"/>
  <c r="X329" i="19" s="1"/>
  <c r="AB329" i="19" s="1"/>
  <c r="E331" i="19"/>
  <c r="X331" i="19" s="1"/>
  <c r="AB331" i="19" s="1"/>
  <c r="E362" i="19"/>
  <c r="X362" i="19" s="1"/>
  <c r="AB362" i="19" s="1"/>
  <c r="E418" i="19"/>
  <c r="X418" i="19" s="1"/>
  <c r="AB418" i="19" s="1"/>
  <c r="E420" i="19"/>
  <c r="X420" i="19" s="1"/>
  <c r="AB420" i="19" s="1"/>
  <c r="E445" i="19"/>
  <c r="X445" i="19" s="1"/>
  <c r="AB445" i="19" s="1"/>
  <c r="E480" i="19"/>
  <c r="X480" i="19" s="1"/>
  <c r="AB480" i="19" s="1"/>
  <c r="E510" i="19"/>
  <c r="X510" i="19" s="1"/>
  <c r="AB510" i="19" s="1"/>
  <c r="E512" i="19"/>
  <c r="X512" i="19" s="1"/>
  <c r="AB512" i="19" s="1"/>
  <c r="E391" i="19"/>
  <c r="X391" i="19" s="1"/>
  <c r="AB391" i="19" s="1"/>
  <c r="E475" i="19"/>
  <c r="X475" i="19" s="1"/>
  <c r="AB475" i="19" s="1"/>
  <c r="E361" i="19"/>
  <c r="X361" i="19" s="1"/>
  <c r="AB361" i="19" s="1"/>
  <c r="E417" i="19"/>
  <c r="X417" i="19" s="1"/>
  <c r="AB417" i="19" s="1"/>
  <c r="E511" i="19"/>
  <c r="X511" i="19" s="1"/>
  <c r="AB511" i="19" s="1"/>
  <c r="E122" i="19"/>
  <c r="X122" i="19" s="1"/>
  <c r="AB122" i="19" s="1"/>
  <c r="E208" i="19"/>
  <c r="X208" i="19" s="1"/>
  <c r="AB208" i="19" s="1"/>
  <c r="E269" i="19"/>
  <c r="X269" i="19" s="1"/>
  <c r="AB269" i="19" s="1"/>
  <c r="E357" i="19"/>
  <c r="X357" i="19" s="1"/>
  <c r="AB357" i="19" s="1"/>
  <c r="M16" i="19"/>
  <c r="M40" i="19"/>
  <c r="M80" i="19"/>
  <c r="M256" i="19"/>
  <c r="M441" i="19"/>
  <c r="M10" i="19"/>
  <c r="M50" i="19"/>
  <c r="M226" i="19"/>
  <c r="M290" i="19"/>
  <c r="M490" i="19"/>
  <c r="M291" i="19"/>
  <c r="M100" i="19"/>
  <c r="M140" i="19"/>
  <c r="M316" i="19"/>
  <c r="M340" i="19"/>
  <c r="M381" i="19"/>
  <c r="M46" i="19"/>
  <c r="M350" i="19"/>
  <c r="R484" i="19"/>
  <c r="R487" i="19"/>
  <c r="R488" i="19"/>
  <c r="R490" i="19"/>
  <c r="R495" i="19"/>
  <c r="R496" i="19"/>
  <c r="R483" i="19"/>
  <c r="R494" i="19"/>
  <c r="R491" i="19"/>
  <c r="R492" i="19"/>
  <c r="R493" i="19"/>
  <c r="R504" i="19"/>
  <c r="R505" i="19"/>
  <c r="R506" i="19"/>
  <c r="R507" i="19"/>
  <c r="R503" i="19"/>
  <c r="R508" i="19"/>
  <c r="R509" i="19"/>
  <c r="R510" i="19"/>
  <c r="R511" i="19"/>
  <c r="R498" i="19"/>
  <c r="R501" i="19"/>
  <c r="R512" i="19"/>
  <c r="R486" i="19"/>
  <c r="R497" i="19"/>
  <c r="R502" i="19"/>
  <c r="R485" i="19"/>
  <c r="R500" i="19"/>
  <c r="R499" i="19"/>
  <c r="R489" i="19"/>
  <c r="R438" i="19"/>
  <c r="R439" i="19"/>
  <c r="R426" i="19"/>
  <c r="R429" i="19"/>
  <c r="R430" i="19"/>
  <c r="R435" i="19"/>
  <c r="R437" i="19"/>
  <c r="R424" i="19"/>
  <c r="R425" i="19"/>
  <c r="R434" i="19"/>
  <c r="R436" i="19"/>
  <c r="R447" i="19"/>
  <c r="R448" i="19"/>
  <c r="R450" i="19"/>
  <c r="R423" i="19"/>
  <c r="R427" i="19"/>
  <c r="R428" i="19"/>
  <c r="R433" i="19"/>
  <c r="R449" i="19"/>
  <c r="R431" i="19"/>
  <c r="R432" i="19"/>
  <c r="R440" i="19"/>
  <c r="R442" i="19"/>
  <c r="R446" i="19"/>
  <c r="R441" i="19"/>
  <c r="R451" i="19"/>
  <c r="R452" i="19"/>
  <c r="R445" i="19"/>
  <c r="R444" i="19"/>
  <c r="R443" i="19"/>
  <c r="R400" i="19"/>
  <c r="R415" i="19"/>
  <c r="R409" i="19"/>
  <c r="R413" i="19"/>
  <c r="R416" i="19"/>
  <c r="R399" i="19"/>
  <c r="R405" i="19"/>
  <c r="R407" i="19"/>
  <c r="R410" i="19"/>
  <c r="R411" i="19"/>
  <c r="R401" i="19"/>
  <c r="R422" i="19"/>
  <c r="R412" i="19"/>
  <c r="R418" i="19"/>
  <c r="R129" i="19"/>
  <c r="R133" i="19"/>
  <c r="R134" i="19"/>
  <c r="R149" i="19"/>
  <c r="R125" i="19"/>
  <c r="R127" i="19"/>
  <c r="R130" i="19"/>
  <c r="R132" i="19"/>
  <c r="R126" i="19"/>
  <c r="R143" i="19"/>
  <c r="R144" i="19"/>
  <c r="R124" i="19"/>
  <c r="R131" i="19"/>
  <c r="R142" i="19"/>
  <c r="R146" i="19"/>
  <c r="R151" i="19"/>
  <c r="R123" i="19"/>
  <c r="R148" i="19"/>
  <c r="R138" i="19"/>
  <c r="R139" i="19"/>
  <c r="R141" i="19"/>
  <c r="R136" i="19"/>
  <c r="R137" i="19"/>
  <c r="R145" i="19"/>
  <c r="R150" i="19"/>
  <c r="R128" i="19"/>
  <c r="R135" i="19"/>
  <c r="R140" i="19"/>
  <c r="R147" i="19"/>
  <c r="R152" i="19"/>
  <c r="M3" i="19"/>
  <c r="AG2" i="17"/>
  <c r="AH2" i="17"/>
  <c r="AI2" i="17"/>
  <c r="AJ2" i="17"/>
  <c r="AG22" i="17"/>
  <c r="AK6" i="17"/>
  <c r="AM6" i="17" s="1"/>
  <c r="AK5" i="17"/>
  <c r="AM5" i="17" s="1"/>
  <c r="AK3" i="17"/>
  <c r="AM3" i="17" s="1"/>
  <c r="AK4" i="17"/>
  <c r="AM4" i="17" s="1"/>
  <c r="AJ3" i="17"/>
  <c r="AI3" i="17"/>
  <c r="AL5" i="17" s="1"/>
  <c r="AL6" i="17" s="1"/>
  <c r="AH3" i="17"/>
  <c r="AG3" i="17"/>
  <c r="AL4" i="17" s="1"/>
  <c r="R3" i="17"/>
  <c r="N3" i="17"/>
  <c r="G455" i="19" l="1"/>
  <c r="H455" i="19"/>
  <c r="H399" i="19"/>
  <c r="G399" i="19"/>
  <c r="H199" i="19"/>
  <c r="G199" i="19"/>
  <c r="G319" i="19"/>
  <c r="H319" i="19"/>
  <c r="H485" i="19"/>
  <c r="G485" i="19"/>
  <c r="H429" i="19"/>
  <c r="G429" i="19"/>
  <c r="H229" i="19"/>
  <c r="G229" i="19"/>
  <c r="H249" i="19"/>
  <c r="G249" i="19"/>
  <c r="H460" i="19"/>
  <c r="G460" i="19"/>
  <c r="G340" i="19"/>
  <c r="H340" i="19"/>
  <c r="H220" i="19"/>
  <c r="G220" i="19"/>
  <c r="H100" i="19"/>
  <c r="G100" i="19"/>
  <c r="H409" i="19"/>
  <c r="G409" i="19"/>
  <c r="H379" i="19"/>
  <c r="G379" i="19"/>
  <c r="M442" i="19"/>
  <c r="F442" i="19"/>
  <c r="H394" i="19"/>
  <c r="G394" i="19"/>
  <c r="M322" i="19"/>
  <c r="F322" i="19"/>
  <c r="H274" i="19"/>
  <c r="G274" i="19"/>
  <c r="M202" i="19"/>
  <c r="F202" i="19"/>
  <c r="H154" i="19"/>
  <c r="G154" i="19"/>
  <c r="M82" i="19"/>
  <c r="F82" i="19"/>
  <c r="H34" i="19"/>
  <c r="G34" i="19"/>
  <c r="H456" i="19"/>
  <c r="G456" i="19"/>
  <c r="G336" i="19"/>
  <c r="H336" i="19"/>
  <c r="H216" i="19"/>
  <c r="G216" i="19"/>
  <c r="G96" i="19"/>
  <c r="H96" i="19"/>
  <c r="H125" i="19"/>
  <c r="G125" i="19"/>
  <c r="G36" i="19"/>
  <c r="H36" i="19"/>
  <c r="G499" i="19"/>
  <c r="H499" i="19"/>
  <c r="H123" i="19"/>
  <c r="G123" i="19"/>
  <c r="H289" i="19"/>
  <c r="G289" i="19"/>
  <c r="H439" i="19"/>
  <c r="G439" i="19"/>
  <c r="M382" i="19"/>
  <c r="F382" i="19"/>
  <c r="H94" i="19"/>
  <c r="G94" i="19"/>
  <c r="H183" i="19"/>
  <c r="G183" i="19"/>
  <c r="H69" i="19"/>
  <c r="G69" i="19"/>
  <c r="H469" i="19"/>
  <c r="G469" i="19"/>
  <c r="H243" i="19"/>
  <c r="G243" i="19"/>
  <c r="H369" i="19"/>
  <c r="G369" i="19"/>
  <c r="H434" i="19"/>
  <c r="G434" i="19"/>
  <c r="H314" i="19"/>
  <c r="G314" i="19"/>
  <c r="H194" i="19"/>
  <c r="G194" i="19"/>
  <c r="H74" i="19"/>
  <c r="G74" i="19"/>
  <c r="H273" i="19"/>
  <c r="G273" i="19"/>
  <c r="H63" i="19"/>
  <c r="G63" i="19"/>
  <c r="M262" i="19"/>
  <c r="F262" i="19"/>
  <c r="H276" i="19"/>
  <c r="G276" i="19"/>
  <c r="H303" i="19"/>
  <c r="G303" i="19"/>
  <c r="H305" i="19"/>
  <c r="G305" i="19"/>
  <c r="H494" i="19"/>
  <c r="G494" i="19"/>
  <c r="H374" i="19"/>
  <c r="G374" i="19"/>
  <c r="H254" i="19"/>
  <c r="G254" i="19"/>
  <c r="H134" i="19"/>
  <c r="G134" i="19"/>
  <c r="H14" i="19"/>
  <c r="G14" i="19"/>
  <c r="H213" i="19"/>
  <c r="G213" i="19"/>
  <c r="G93" i="19"/>
  <c r="H93" i="19"/>
  <c r="H363" i="19"/>
  <c r="G363" i="19"/>
  <c r="H35" i="19"/>
  <c r="G35" i="19"/>
  <c r="G490" i="19"/>
  <c r="H490" i="19"/>
  <c r="H370" i="19"/>
  <c r="G370" i="19"/>
  <c r="H250" i="19"/>
  <c r="G250" i="19"/>
  <c r="H130" i="19"/>
  <c r="G130" i="19"/>
  <c r="H10" i="19"/>
  <c r="G10" i="19"/>
  <c r="H334" i="19"/>
  <c r="G334" i="19"/>
  <c r="M142" i="19"/>
  <c r="F142" i="19"/>
  <c r="H396" i="19"/>
  <c r="G396" i="19"/>
  <c r="H423" i="19"/>
  <c r="G423" i="19"/>
  <c r="H95" i="19"/>
  <c r="G95" i="19"/>
  <c r="H430" i="19"/>
  <c r="G430" i="19"/>
  <c r="H310" i="19"/>
  <c r="G310" i="19"/>
  <c r="H190" i="19"/>
  <c r="G190" i="19"/>
  <c r="H70" i="19"/>
  <c r="G70" i="19"/>
  <c r="G33" i="19"/>
  <c r="H33" i="19"/>
  <c r="G333" i="19"/>
  <c r="H333" i="19"/>
  <c r="G483" i="19"/>
  <c r="H483" i="19"/>
  <c r="H155" i="19"/>
  <c r="G155" i="19"/>
  <c r="H99" i="19"/>
  <c r="G99" i="19"/>
  <c r="H426" i="19"/>
  <c r="G426" i="19"/>
  <c r="H306" i="19"/>
  <c r="G306" i="19"/>
  <c r="H186" i="19"/>
  <c r="G186" i="19"/>
  <c r="H66" i="19"/>
  <c r="G66" i="19"/>
  <c r="H169" i="19"/>
  <c r="G169" i="19"/>
  <c r="M472" i="19"/>
  <c r="F472" i="19"/>
  <c r="H424" i="19"/>
  <c r="G424" i="19"/>
  <c r="M352" i="19"/>
  <c r="F352" i="19"/>
  <c r="H304" i="19"/>
  <c r="G304" i="19"/>
  <c r="M232" i="19"/>
  <c r="F232" i="19"/>
  <c r="H184" i="19"/>
  <c r="G184" i="19"/>
  <c r="M112" i="19"/>
  <c r="F112" i="19"/>
  <c r="H64" i="19"/>
  <c r="G64" i="19"/>
  <c r="G39" i="19"/>
  <c r="H39" i="19"/>
  <c r="G5" i="19"/>
  <c r="H5" i="19"/>
  <c r="M502" i="19"/>
  <c r="F502" i="19"/>
  <c r="H214" i="19"/>
  <c r="G214" i="19"/>
  <c r="H349" i="19"/>
  <c r="G349" i="19"/>
  <c r="H156" i="19"/>
  <c r="G156" i="19"/>
  <c r="H215" i="19"/>
  <c r="G215" i="19"/>
  <c r="H159" i="19"/>
  <c r="G159" i="19"/>
  <c r="G109" i="19"/>
  <c r="H109" i="19"/>
  <c r="G486" i="19"/>
  <c r="H486" i="19"/>
  <c r="H366" i="19"/>
  <c r="G366" i="19"/>
  <c r="H246" i="19"/>
  <c r="G246" i="19"/>
  <c r="H126" i="19"/>
  <c r="G126" i="19"/>
  <c r="H6" i="19"/>
  <c r="G6" i="19"/>
  <c r="H489" i="19"/>
  <c r="G489" i="19"/>
  <c r="H453" i="19"/>
  <c r="G453" i="19"/>
  <c r="H484" i="19"/>
  <c r="G484" i="19"/>
  <c r="M412" i="19"/>
  <c r="F412" i="19"/>
  <c r="H364" i="19"/>
  <c r="G364" i="19"/>
  <c r="M292" i="19"/>
  <c r="F292" i="19"/>
  <c r="H244" i="19"/>
  <c r="G244" i="19"/>
  <c r="M172" i="19"/>
  <c r="F172" i="19"/>
  <c r="H124" i="19"/>
  <c r="G124" i="19"/>
  <c r="M52" i="19"/>
  <c r="F52" i="19"/>
  <c r="G4" i="19"/>
  <c r="H4" i="19"/>
  <c r="H129" i="19"/>
  <c r="G129" i="19"/>
  <c r="H275" i="19"/>
  <c r="G275" i="19"/>
  <c r="H219" i="19"/>
  <c r="G219" i="19"/>
  <c r="H19" i="19"/>
  <c r="G19" i="19"/>
  <c r="H3" i="19"/>
  <c r="G3" i="19"/>
  <c r="H153" i="19"/>
  <c r="G153" i="19"/>
  <c r="G454" i="19"/>
  <c r="H454" i="19"/>
  <c r="H22" i="19"/>
  <c r="G22" i="19"/>
  <c r="H335" i="19"/>
  <c r="G335" i="19"/>
  <c r="H279" i="19"/>
  <c r="G279" i="19"/>
  <c r="H79" i="19"/>
  <c r="G79" i="19"/>
  <c r="H245" i="19"/>
  <c r="G245" i="19"/>
  <c r="H189" i="19"/>
  <c r="G189" i="19"/>
  <c r="H425" i="19"/>
  <c r="G425" i="19"/>
  <c r="H395" i="19"/>
  <c r="G395" i="19"/>
  <c r="G339" i="19"/>
  <c r="H339" i="19"/>
  <c r="H139" i="19"/>
  <c r="G139" i="19"/>
  <c r="H185" i="19"/>
  <c r="G185" i="19"/>
  <c r="H464" i="19"/>
  <c r="G464" i="19"/>
  <c r="H344" i="19"/>
  <c r="G344" i="19"/>
  <c r="H224" i="19"/>
  <c r="G224" i="19"/>
  <c r="G104" i="19"/>
  <c r="H104" i="19"/>
  <c r="G49" i="19"/>
  <c r="H49" i="19"/>
  <c r="H365" i="19"/>
  <c r="G365" i="19"/>
  <c r="H309" i="19"/>
  <c r="G309" i="19"/>
  <c r="H404" i="19"/>
  <c r="G404" i="19"/>
  <c r="H284" i="19"/>
  <c r="G284" i="19"/>
  <c r="H164" i="19"/>
  <c r="G164" i="19"/>
  <c r="G44" i="19"/>
  <c r="H44" i="19"/>
  <c r="H65" i="19"/>
  <c r="G65" i="19"/>
  <c r="G459" i="19"/>
  <c r="H459" i="19"/>
  <c r="H259" i="19"/>
  <c r="G259" i="19"/>
  <c r="G9" i="19"/>
  <c r="H9" i="19"/>
  <c r="H400" i="19"/>
  <c r="G400" i="19"/>
  <c r="H280" i="19"/>
  <c r="G280" i="19"/>
  <c r="H160" i="19"/>
  <c r="G160" i="19"/>
  <c r="H40" i="19"/>
  <c r="G40" i="19"/>
  <c r="H393" i="19"/>
  <c r="G393" i="19"/>
  <c r="H50" i="23"/>
  <c r="R371" i="19"/>
  <c r="R365" i="19"/>
  <c r="R367" i="19"/>
  <c r="H33" i="23"/>
  <c r="H38" i="23"/>
  <c r="H47" i="23"/>
  <c r="H48" i="23"/>
  <c r="AS13" i="23"/>
  <c r="J45" i="23" s="1"/>
  <c r="H35" i="23"/>
  <c r="H43" i="23"/>
  <c r="AS19" i="23"/>
  <c r="J48" i="23" s="1"/>
  <c r="AS11" i="23"/>
  <c r="J42" i="23" s="1"/>
  <c r="H36" i="23"/>
  <c r="R366" i="19"/>
  <c r="R381" i="19"/>
  <c r="R363" i="19"/>
  <c r="R380" i="19"/>
  <c r="R384" i="19"/>
  <c r="R392" i="19"/>
  <c r="R383" i="19"/>
  <c r="R389" i="19"/>
  <c r="R375" i="19"/>
  <c r="R376" i="19"/>
  <c r="R382" i="19"/>
  <c r="R386" i="19"/>
  <c r="R374" i="19"/>
  <c r="R390" i="19"/>
  <c r="R378" i="19"/>
  <c r="R379" i="19"/>
  <c r="R377" i="19"/>
  <c r="R372" i="19"/>
  <c r="R373" i="19"/>
  <c r="R391" i="19"/>
  <c r="R370" i="19"/>
  <c r="R369" i="19"/>
  <c r="R388" i="19"/>
  <c r="R385" i="19"/>
  <c r="R368" i="19"/>
  <c r="R364" i="19"/>
  <c r="R480" i="19"/>
  <c r="R472" i="19"/>
  <c r="R467" i="19"/>
  <c r="R457" i="19"/>
  <c r="R454" i="19"/>
  <c r="R482" i="19"/>
  <c r="R464" i="19"/>
  <c r="R475" i="19"/>
  <c r="R460" i="19"/>
  <c r="R456" i="19"/>
  <c r="R473" i="19"/>
  <c r="R468" i="19"/>
  <c r="R455" i="19"/>
  <c r="R477" i="19"/>
  <c r="R459" i="19"/>
  <c r="R474" i="19"/>
  <c r="R471" i="19"/>
  <c r="R470" i="19"/>
  <c r="R463" i="19"/>
  <c r="R481" i="19"/>
  <c r="R479" i="19"/>
  <c r="R466" i="19"/>
  <c r="R469" i="19"/>
  <c r="R462" i="19"/>
  <c r="R465" i="19"/>
  <c r="R478" i="19"/>
  <c r="R453" i="19"/>
  <c r="R461" i="19"/>
  <c r="R458" i="19"/>
  <c r="J36" i="23"/>
  <c r="J33" i="23"/>
  <c r="E78" i="11"/>
  <c r="E74" i="11"/>
  <c r="E79" i="11"/>
  <c r="E70" i="11"/>
  <c r="E66" i="11"/>
  <c r="E64" i="11"/>
  <c r="E69" i="11"/>
  <c r="E77" i="11"/>
  <c r="E80" i="11"/>
  <c r="E76" i="11"/>
  <c r="E72" i="11"/>
  <c r="E68" i="11"/>
  <c r="E65" i="11"/>
  <c r="E73" i="11"/>
  <c r="E75" i="11"/>
  <c r="E71" i="11"/>
  <c r="E67" i="11"/>
  <c r="L23" i="19"/>
  <c r="Y23" i="19" s="1"/>
  <c r="L8" i="19"/>
  <c r="Y8" i="19" s="1"/>
  <c r="M430" i="19"/>
  <c r="M220" i="19"/>
  <c r="M130" i="19"/>
  <c r="M70" i="19"/>
  <c r="M22" i="19"/>
  <c r="M250" i="19"/>
  <c r="M190" i="19"/>
  <c r="M460" i="19"/>
  <c r="M370" i="19"/>
  <c r="M400" i="19"/>
  <c r="M310" i="19"/>
  <c r="M346" i="19"/>
  <c r="M160" i="19"/>
  <c r="M170" i="19"/>
  <c r="M470" i="19"/>
  <c r="M200" i="19"/>
  <c r="M166" i="19"/>
  <c r="M471" i="19"/>
  <c r="M321" i="19"/>
  <c r="M110" i="19"/>
  <c r="R417" i="19"/>
  <c r="R408" i="19"/>
  <c r="R414" i="19"/>
  <c r="R396" i="19"/>
  <c r="R404" i="19"/>
  <c r="M231" i="19"/>
  <c r="M466" i="19"/>
  <c r="R420" i="19"/>
  <c r="R398" i="19"/>
  <c r="R421" i="19"/>
  <c r="R403" i="19"/>
  <c r="M501" i="19"/>
  <c r="M380" i="19"/>
  <c r="M51" i="19"/>
  <c r="R393" i="19"/>
  <c r="M286" i="19"/>
  <c r="M280" i="19"/>
  <c r="R406" i="19"/>
  <c r="R397" i="19"/>
  <c r="R419" i="19"/>
  <c r="R402" i="19"/>
  <c r="R394" i="19"/>
  <c r="E17" i="17"/>
  <c r="E9" i="17"/>
  <c r="E24" i="17"/>
  <c r="E16" i="17"/>
  <c r="E8" i="17"/>
  <c r="E23" i="17"/>
  <c r="E15" i="17"/>
  <c r="E7" i="17"/>
  <c r="E22" i="17"/>
  <c r="E14" i="17"/>
  <c r="E6" i="17"/>
  <c r="E21" i="17"/>
  <c r="E13" i="17"/>
  <c r="E5" i="17"/>
  <c r="E20" i="17"/>
  <c r="E12" i="17"/>
  <c r="E4" i="17"/>
  <c r="E43" i="17"/>
  <c r="E19" i="17"/>
  <c r="E11" i="17"/>
  <c r="E18" i="17"/>
  <c r="E10" i="17"/>
  <c r="E34" i="17"/>
  <c r="M171" i="19"/>
  <c r="M21" i="19"/>
  <c r="M230" i="19"/>
  <c r="M406" i="19"/>
  <c r="M440" i="19"/>
  <c r="M136" i="19"/>
  <c r="M201" i="19"/>
  <c r="M500" i="19"/>
  <c r="M196" i="19"/>
  <c r="M351" i="19"/>
  <c r="L12" i="19"/>
  <c r="Y12" i="19" s="1"/>
  <c r="R183" i="19"/>
  <c r="R192" i="19"/>
  <c r="R198" i="19"/>
  <c r="R201" i="19"/>
  <c r="R207" i="19"/>
  <c r="R186" i="19"/>
  <c r="R195" i="19"/>
  <c r="R185" i="19"/>
  <c r="R187" i="19"/>
  <c r="R194" i="19"/>
  <c r="R196" i="19"/>
  <c r="R197" i="19"/>
  <c r="R200" i="19"/>
  <c r="R209" i="19"/>
  <c r="R193" i="19"/>
  <c r="R204" i="19"/>
  <c r="R208" i="19"/>
  <c r="R184" i="19"/>
  <c r="R189" i="19"/>
  <c r="R205" i="19"/>
  <c r="R206" i="19"/>
  <c r="R211" i="19"/>
  <c r="R188" i="19"/>
  <c r="R190" i="19"/>
  <c r="R203" i="19"/>
  <c r="R191" i="19"/>
  <c r="R202" i="19"/>
  <c r="R212" i="19"/>
  <c r="R210" i="19"/>
  <c r="R199" i="19"/>
  <c r="R333" i="19"/>
  <c r="R342" i="19"/>
  <c r="R347" i="19"/>
  <c r="R348" i="19"/>
  <c r="R355" i="19"/>
  <c r="R357" i="19"/>
  <c r="R358" i="19"/>
  <c r="R359" i="19"/>
  <c r="R341" i="19"/>
  <c r="R360" i="19"/>
  <c r="R336" i="19"/>
  <c r="R346" i="19"/>
  <c r="R354" i="19"/>
  <c r="R362" i="19"/>
  <c r="R345" i="19"/>
  <c r="R353" i="19"/>
  <c r="R335" i="19"/>
  <c r="R339" i="19"/>
  <c r="R344" i="19"/>
  <c r="R352" i="19"/>
  <c r="R361" i="19"/>
  <c r="R337" i="19"/>
  <c r="R338" i="19"/>
  <c r="R351" i="19"/>
  <c r="R334" i="19"/>
  <c r="R343" i="19"/>
  <c r="R356" i="19"/>
  <c r="R350" i="19"/>
  <c r="R340" i="19"/>
  <c r="R349" i="19"/>
  <c r="R244" i="19"/>
  <c r="R248" i="19"/>
  <c r="R252" i="19"/>
  <c r="R260" i="19"/>
  <c r="R268" i="19"/>
  <c r="R271" i="19"/>
  <c r="R272" i="19"/>
  <c r="R247" i="19"/>
  <c r="R251" i="19"/>
  <c r="R259" i="19"/>
  <c r="R263" i="19"/>
  <c r="R265" i="19"/>
  <c r="R267" i="19"/>
  <c r="R243" i="19"/>
  <c r="R261" i="19"/>
  <c r="R262" i="19"/>
  <c r="R269" i="19"/>
  <c r="R258" i="19"/>
  <c r="R266" i="19"/>
  <c r="R257" i="19"/>
  <c r="R255" i="19"/>
  <c r="R256" i="19"/>
  <c r="R270" i="19"/>
  <c r="R246" i="19"/>
  <c r="R254" i="19"/>
  <c r="R245" i="19"/>
  <c r="R250" i="19"/>
  <c r="R249" i="19"/>
  <c r="R264" i="19"/>
  <c r="R253" i="19"/>
  <c r="R312" i="19"/>
  <c r="R316" i="19"/>
  <c r="R320" i="19"/>
  <c r="R324" i="19"/>
  <c r="R328" i="19"/>
  <c r="R310" i="19"/>
  <c r="R311" i="19"/>
  <c r="R319" i="19"/>
  <c r="R323" i="19"/>
  <c r="R326" i="19"/>
  <c r="R327" i="19"/>
  <c r="R332" i="19"/>
  <c r="R306" i="19"/>
  <c r="R322" i="19"/>
  <c r="R325" i="19"/>
  <c r="R305" i="19"/>
  <c r="R307" i="19"/>
  <c r="R309" i="19"/>
  <c r="R318" i="19"/>
  <c r="R321" i="19"/>
  <c r="R329" i="19"/>
  <c r="R330" i="19"/>
  <c r="R304" i="19"/>
  <c r="R308" i="19"/>
  <c r="R315" i="19"/>
  <c r="R314" i="19"/>
  <c r="R317" i="19"/>
  <c r="R331" i="19"/>
  <c r="R303" i="19"/>
  <c r="R313" i="19"/>
  <c r="R93" i="19"/>
  <c r="R96" i="19"/>
  <c r="R97" i="19"/>
  <c r="R98" i="19"/>
  <c r="R101" i="19"/>
  <c r="R105" i="19"/>
  <c r="R109" i="19"/>
  <c r="R114" i="19"/>
  <c r="R94" i="19"/>
  <c r="R95" i="19"/>
  <c r="R100" i="19"/>
  <c r="R104" i="19"/>
  <c r="R108" i="19"/>
  <c r="R113" i="19"/>
  <c r="R116" i="19"/>
  <c r="R112" i="19"/>
  <c r="R115" i="19"/>
  <c r="R117" i="19"/>
  <c r="R118" i="19"/>
  <c r="R103" i="19"/>
  <c r="R107" i="19"/>
  <c r="R111" i="19"/>
  <c r="R102" i="19"/>
  <c r="R106" i="19"/>
  <c r="R110" i="19"/>
  <c r="R119" i="19"/>
  <c r="R120" i="19"/>
  <c r="R122" i="19"/>
  <c r="R99" i="19"/>
  <c r="R121" i="19"/>
  <c r="R157" i="19"/>
  <c r="R158" i="19"/>
  <c r="R163" i="19"/>
  <c r="R175" i="19"/>
  <c r="R173" i="19"/>
  <c r="R161" i="19"/>
  <c r="R167" i="19"/>
  <c r="R156" i="19"/>
  <c r="R172" i="19"/>
  <c r="R179" i="19"/>
  <c r="R155" i="19"/>
  <c r="R160" i="19"/>
  <c r="R165" i="19"/>
  <c r="R166" i="19"/>
  <c r="R153" i="19"/>
  <c r="R154" i="19"/>
  <c r="R159" i="19"/>
  <c r="R171" i="19"/>
  <c r="R162" i="19"/>
  <c r="R176" i="19"/>
  <c r="R180" i="19"/>
  <c r="R181" i="19"/>
  <c r="R182" i="19"/>
  <c r="R170" i="19"/>
  <c r="R164" i="19"/>
  <c r="R169" i="19"/>
  <c r="R174" i="19"/>
  <c r="R168" i="19"/>
  <c r="R178" i="19"/>
  <c r="R177" i="19"/>
  <c r="R216" i="19"/>
  <c r="R226" i="19"/>
  <c r="R237" i="19"/>
  <c r="R238" i="19"/>
  <c r="R241" i="19"/>
  <c r="R217" i="19"/>
  <c r="R232" i="19"/>
  <c r="R221" i="19"/>
  <c r="R222" i="19"/>
  <c r="R223" i="19"/>
  <c r="R224" i="19"/>
  <c r="R225" i="19"/>
  <c r="R233" i="19"/>
  <c r="R220" i="19"/>
  <c r="R229" i="19"/>
  <c r="R240" i="19"/>
  <c r="R228" i="19"/>
  <c r="R242" i="19"/>
  <c r="R227" i="19"/>
  <c r="R231" i="19"/>
  <c r="R235" i="19"/>
  <c r="R239" i="19"/>
  <c r="R213" i="19"/>
  <c r="R214" i="19"/>
  <c r="R215" i="19"/>
  <c r="R219" i="19"/>
  <c r="R230" i="19"/>
  <c r="R234" i="19"/>
  <c r="R236" i="19"/>
  <c r="R218" i="19"/>
  <c r="R289" i="19"/>
  <c r="R290" i="19"/>
  <c r="R279" i="19"/>
  <c r="R284" i="19"/>
  <c r="R294" i="19"/>
  <c r="R288" i="19"/>
  <c r="R276" i="19"/>
  <c r="R278" i="19"/>
  <c r="R283" i="19"/>
  <c r="R293" i="19"/>
  <c r="R297" i="19"/>
  <c r="R298" i="19"/>
  <c r="R299" i="19"/>
  <c r="R300" i="19"/>
  <c r="R287" i="19"/>
  <c r="R275" i="19"/>
  <c r="R277" i="19"/>
  <c r="R282" i="19"/>
  <c r="R292" i="19"/>
  <c r="R296" i="19"/>
  <c r="R301" i="19"/>
  <c r="R274" i="19"/>
  <c r="R281" i="19"/>
  <c r="R286" i="19"/>
  <c r="R273" i="19"/>
  <c r="R291" i="19"/>
  <c r="R285" i="19"/>
  <c r="R295" i="19"/>
  <c r="R280" i="19"/>
  <c r="R302" i="19"/>
  <c r="R74" i="19"/>
  <c r="R78" i="19"/>
  <c r="R89" i="19"/>
  <c r="R90" i="19"/>
  <c r="R82" i="19"/>
  <c r="R85" i="19"/>
  <c r="R92" i="19"/>
  <c r="R73" i="19"/>
  <c r="R77" i="19"/>
  <c r="R86" i="19"/>
  <c r="R91" i="19"/>
  <c r="R66" i="19"/>
  <c r="R69" i="19"/>
  <c r="R72" i="19"/>
  <c r="R81" i="19"/>
  <c r="R65" i="19"/>
  <c r="R67" i="19"/>
  <c r="R68" i="19"/>
  <c r="R70" i="19"/>
  <c r="R71" i="19"/>
  <c r="R76" i="19"/>
  <c r="R87" i="19"/>
  <c r="R88" i="19"/>
  <c r="R64" i="19"/>
  <c r="R80" i="19"/>
  <c r="R63" i="19"/>
  <c r="R75" i="19"/>
  <c r="R84" i="19"/>
  <c r="R79" i="19"/>
  <c r="R83" i="19"/>
  <c r="AI4" i="17"/>
  <c r="AG4" i="17"/>
  <c r="E49" i="17" s="1"/>
  <c r="M3" i="17"/>
  <c r="V452" i="17" l="1"/>
  <c r="E452" i="17"/>
  <c r="V445" i="17"/>
  <c r="E445" i="17"/>
  <c r="V386" i="17"/>
  <c r="E386" i="17"/>
  <c r="V327" i="17"/>
  <c r="E327" i="17"/>
  <c r="X327" i="17" s="1"/>
  <c r="AB327" i="17" s="1"/>
  <c r="V147" i="17"/>
  <c r="E147" i="17"/>
  <c r="V387" i="17"/>
  <c r="E387" i="17"/>
  <c r="V28" i="17"/>
  <c r="E28" i="17"/>
  <c r="V268" i="17"/>
  <c r="E268" i="17"/>
  <c r="X268" i="17" s="1"/>
  <c r="AB268" i="17" s="1"/>
  <c r="V508" i="17"/>
  <c r="E508" i="17"/>
  <c r="V29" i="17"/>
  <c r="E29" i="17"/>
  <c r="V269" i="17"/>
  <c r="E269" i="17"/>
  <c r="V509" i="17"/>
  <c r="E509" i="17"/>
  <c r="X509" i="17" s="1"/>
  <c r="AB509" i="17" s="1"/>
  <c r="V150" i="17"/>
  <c r="E150" i="17"/>
  <c r="V390" i="17"/>
  <c r="E390" i="17"/>
  <c r="V450" i="17"/>
  <c r="E450" i="17"/>
  <c r="V151" i="17"/>
  <c r="E151" i="17"/>
  <c r="X151" i="17" s="1"/>
  <c r="AB151" i="17" s="1"/>
  <c r="V391" i="17"/>
  <c r="E391" i="17"/>
  <c r="V482" i="17"/>
  <c r="E482" i="17"/>
  <c r="V120" i="17"/>
  <c r="E120" i="17"/>
  <c r="V360" i="17"/>
  <c r="E360" i="17"/>
  <c r="X360" i="17" s="1"/>
  <c r="AB360" i="17" s="1"/>
  <c r="V241" i="17"/>
  <c r="E241" i="17"/>
  <c r="V481" i="17"/>
  <c r="E481" i="17"/>
  <c r="V392" i="17"/>
  <c r="E392" i="17"/>
  <c r="V26" i="17"/>
  <c r="E26" i="17"/>
  <c r="X26" i="17" s="1"/>
  <c r="AB26" i="17" s="1"/>
  <c r="V27" i="17"/>
  <c r="E27" i="17"/>
  <c r="V235" i="17"/>
  <c r="E235" i="17"/>
  <c r="V475" i="17"/>
  <c r="E475" i="17"/>
  <c r="V116" i="17"/>
  <c r="E116" i="17"/>
  <c r="X116" i="17" s="1"/>
  <c r="AB116" i="17" s="1"/>
  <c r="V356" i="17"/>
  <c r="E356" i="17"/>
  <c r="V210" i="17"/>
  <c r="E210" i="17"/>
  <c r="V117" i="17"/>
  <c r="E117" i="17"/>
  <c r="V357" i="17"/>
  <c r="E357" i="17"/>
  <c r="X357" i="17" s="1"/>
  <c r="AB357" i="17" s="1"/>
  <c r="V238" i="17"/>
  <c r="E238" i="17"/>
  <c r="V478" i="17"/>
  <c r="E478" i="17"/>
  <c r="V239" i="17"/>
  <c r="E239" i="17"/>
  <c r="V479" i="17"/>
  <c r="E479" i="17"/>
  <c r="X479" i="17" s="1"/>
  <c r="AB479" i="17" s="1"/>
  <c r="V208" i="17"/>
  <c r="E208" i="17"/>
  <c r="V448" i="17"/>
  <c r="E448" i="17"/>
  <c r="V89" i="17"/>
  <c r="E89" i="17"/>
  <c r="V329" i="17"/>
  <c r="E329" i="17"/>
  <c r="X329" i="17" s="1"/>
  <c r="AB329" i="17" s="1"/>
  <c r="V211" i="17"/>
  <c r="E211" i="17"/>
  <c r="V332" i="17"/>
  <c r="E332" i="17"/>
  <c r="V206" i="17"/>
  <c r="E206" i="17"/>
  <c r="V446" i="17"/>
  <c r="E446" i="17"/>
  <c r="X446" i="17" s="1"/>
  <c r="AB446" i="17" s="1"/>
  <c r="V176" i="17"/>
  <c r="E176" i="17"/>
  <c r="V57" i="17"/>
  <c r="E57" i="17"/>
  <c r="V90" i="17"/>
  <c r="E90" i="17"/>
  <c r="V267" i="17"/>
  <c r="E267" i="17"/>
  <c r="X267" i="17" s="1"/>
  <c r="AB267" i="17" s="1"/>
  <c r="V507" i="17"/>
  <c r="E507" i="17"/>
  <c r="V148" i="17"/>
  <c r="E148" i="17"/>
  <c r="V388" i="17"/>
  <c r="E388" i="17"/>
  <c r="V242" i="17"/>
  <c r="E242" i="17"/>
  <c r="X242" i="17" s="1"/>
  <c r="AB242" i="17" s="1"/>
  <c r="V149" i="17"/>
  <c r="E149" i="17"/>
  <c r="V389" i="17"/>
  <c r="E389" i="17"/>
  <c r="V30" i="17"/>
  <c r="E30" i="17"/>
  <c r="V270" i="17"/>
  <c r="E270" i="17"/>
  <c r="X270" i="17" s="1"/>
  <c r="AB270" i="17" s="1"/>
  <c r="V510" i="17"/>
  <c r="E510" i="17"/>
  <c r="V31" i="17"/>
  <c r="E31" i="17"/>
  <c r="V271" i="17"/>
  <c r="E271" i="17"/>
  <c r="V511" i="17"/>
  <c r="E511" i="17"/>
  <c r="X511" i="17" s="1"/>
  <c r="AB511" i="17" s="1"/>
  <c r="V240" i="17"/>
  <c r="E240" i="17"/>
  <c r="V480" i="17"/>
  <c r="E480" i="17"/>
  <c r="V121" i="17"/>
  <c r="E121" i="17"/>
  <c r="V361" i="17"/>
  <c r="E361" i="17"/>
  <c r="X361" i="17" s="1"/>
  <c r="AB361" i="17" s="1"/>
  <c r="V179" i="17"/>
  <c r="E179" i="17"/>
  <c r="V60" i="17"/>
  <c r="E60" i="17"/>
  <c r="V146" i="17"/>
  <c r="E146" i="17"/>
  <c r="V301" i="17"/>
  <c r="E301" i="17"/>
  <c r="X301" i="17" s="1"/>
  <c r="AB301" i="17" s="1"/>
  <c r="V182" i="17"/>
  <c r="E182" i="17"/>
  <c r="V422" i="17"/>
  <c r="E422" i="17"/>
  <c r="V175" i="17"/>
  <c r="E175" i="17"/>
  <c r="V506" i="17"/>
  <c r="E506" i="17"/>
  <c r="V265" i="17"/>
  <c r="E265" i="17"/>
  <c r="V451" i="17"/>
  <c r="E451" i="17"/>
  <c r="V92" i="17"/>
  <c r="E92" i="17"/>
  <c r="V178" i="17"/>
  <c r="E178" i="17"/>
  <c r="X178" i="17" s="1"/>
  <c r="AB178" i="17" s="1"/>
  <c r="V85" i="17"/>
  <c r="E85" i="17"/>
  <c r="V325" i="17"/>
  <c r="E325" i="17"/>
  <c r="V207" i="17"/>
  <c r="E207" i="17"/>
  <c r="V447" i="17"/>
  <c r="E447" i="17"/>
  <c r="X447" i="17" s="1"/>
  <c r="AB447" i="17" s="1"/>
  <c r="V416" i="17"/>
  <c r="E416" i="17"/>
  <c r="V297" i="17"/>
  <c r="E297" i="17"/>
  <c r="V59" i="17"/>
  <c r="E59" i="17"/>
  <c r="V299" i="17"/>
  <c r="E299" i="17"/>
  <c r="X299" i="17" s="1"/>
  <c r="AB299" i="17" s="1"/>
  <c r="V180" i="17"/>
  <c r="E180" i="17"/>
  <c r="V420" i="17"/>
  <c r="E420" i="17"/>
  <c r="V181" i="17"/>
  <c r="E181" i="17"/>
  <c r="V421" i="17"/>
  <c r="E421" i="17"/>
  <c r="X421" i="17" s="1"/>
  <c r="AB421" i="17" s="1"/>
  <c r="V62" i="17"/>
  <c r="E62" i="17"/>
  <c r="V302" i="17"/>
  <c r="E302" i="17"/>
  <c r="V122" i="17"/>
  <c r="E122" i="17"/>
  <c r="V55" i="17"/>
  <c r="E55" i="17"/>
  <c r="X55" i="17" s="1"/>
  <c r="AB55" i="17" s="1"/>
  <c r="V295" i="17"/>
  <c r="E295" i="17"/>
  <c r="V266" i="17"/>
  <c r="E266" i="17"/>
  <c r="V32" i="17"/>
  <c r="E32" i="17"/>
  <c r="V272" i="17"/>
  <c r="E272" i="17"/>
  <c r="X272" i="17" s="1"/>
  <c r="AB272" i="17" s="1"/>
  <c r="V512" i="17"/>
  <c r="E512" i="17"/>
  <c r="V145" i="17"/>
  <c r="E145" i="17"/>
  <c r="V385" i="17"/>
  <c r="E385" i="17"/>
  <c r="V419" i="17"/>
  <c r="E419" i="17"/>
  <c r="X419" i="17" s="1"/>
  <c r="AB419" i="17" s="1"/>
  <c r="V61" i="17"/>
  <c r="E61" i="17"/>
  <c r="V415" i="17"/>
  <c r="E415" i="17"/>
  <c r="V326" i="17"/>
  <c r="E326" i="17"/>
  <c r="V87" i="17"/>
  <c r="E87" i="17"/>
  <c r="X87" i="17" s="1"/>
  <c r="AB87" i="17" s="1"/>
  <c r="V56" i="17"/>
  <c r="E56" i="17"/>
  <c r="V296" i="17"/>
  <c r="E296" i="17"/>
  <c r="V330" i="17"/>
  <c r="E330" i="17"/>
  <c r="V177" i="17"/>
  <c r="E177" i="17"/>
  <c r="X177" i="17" s="1"/>
  <c r="AB177" i="17" s="1"/>
  <c r="V417" i="17"/>
  <c r="E417" i="17"/>
  <c r="V300" i="17"/>
  <c r="E300" i="17"/>
  <c r="V152" i="17"/>
  <c r="E152" i="17"/>
  <c r="V25" i="17"/>
  <c r="E25" i="17"/>
  <c r="X25" i="17" s="1"/>
  <c r="AB25" i="17" s="1"/>
  <c r="V505" i="17"/>
  <c r="E505" i="17"/>
  <c r="V58" i="17"/>
  <c r="E58" i="17"/>
  <c r="V91" i="17"/>
  <c r="E91" i="17"/>
  <c r="V331" i="17"/>
  <c r="E331" i="17"/>
  <c r="X331" i="17" s="1"/>
  <c r="AB331" i="17" s="1"/>
  <c r="V212" i="17"/>
  <c r="E212" i="17"/>
  <c r="V205" i="17"/>
  <c r="E205" i="17"/>
  <c r="V86" i="17"/>
  <c r="E86" i="17"/>
  <c r="V298" i="17"/>
  <c r="E298" i="17"/>
  <c r="X298" i="17" s="1"/>
  <c r="AB298" i="17" s="1"/>
  <c r="V115" i="17"/>
  <c r="E115" i="17"/>
  <c r="V355" i="17"/>
  <c r="E355" i="17"/>
  <c r="V236" i="17"/>
  <c r="E236" i="17"/>
  <c r="V476" i="17"/>
  <c r="E476" i="17"/>
  <c r="X476" i="17" s="1"/>
  <c r="AB476" i="17" s="1"/>
  <c r="V237" i="17"/>
  <c r="E237" i="17"/>
  <c r="V477" i="17"/>
  <c r="E477" i="17"/>
  <c r="V118" i="17"/>
  <c r="E118" i="17"/>
  <c r="V358" i="17"/>
  <c r="E358" i="17"/>
  <c r="X358" i="17" s="1"/>
  <c r="AB358" i="17" s="1"/>
  <c r="V418" i="17"/>
  <c r="E418" i="17"/>
  <c r="V119" i="17"/>
  <c r="E119" i="17"/>
  <c r="V359" i="17"/>
  <c r="E359" i="17"/>
  <c r="X359" i="17" s="1"/>
  <c r="AB359" i="17" s="1"/>
  <c r="V362" i="17"/>
  <c r="E362" i="17"/>
  <c r="X362" i="17" s="1"/>
  <c r="AB362" i="17" s="1"/>
  <c r="V88" i="17"/>
  <c r="E88" i="17"/>
  <c r="V328" i="17"/>
  <c r="E328" i="17"/>
  <c r="V209" i="17"/>
  <c r="E209" i="17"/>
  <c r="X209" i="17" s="1"/>
  <c r="AB209" i="17" s="1"/>
  <c r="V449" i="17"/>
  <c r="E449" i="17"/>
  <c r="X449" i="17" s="1"/>
  <c r="AB449" i="17" s="1"/>
  <c r="E44" i="17"/>
  <c r="F44" i="17" s="1"/>
  <c r="X481" i="17"/>
  <c r="AB481" i="17" s="1"/>
  <c r="X145" i="17"/>
  <c r="AB145" i="17" s="1"/>
  <c r="X57" i="17"/>
  <c r="AB57" i="17" s="1"/>
  <c r="X92" i="17"/>
  <c r="AB92" i="17" s="1"/>
  <c r="X512" i="17"/>
  <c r="AB512" i="17" s="1"/>
  <c r="X390" i="17"/>
  <c r="AB390" i="17" s="1"/>
  <c r="X508" i="17"/>
  <c r="AB508" i="17" s="1"/>
  <c r="X206" i="17"/>
  <c r="AB206" i="17" s="1"/>
  <c r="X302" i="17"/>
  <c r="AB302" i="17" s="1"/>
  <c r="X56" i="17"/>
  <c r="AB56" i="17" s="1"/>
  <c r="I40" i="19"/>
  <c r="S40" i="19"/>
  <c r="T9" i="19"/>
  <c r="J9" i="19"/>
  <c r="J44" i="19"/>
  <c r="T44" i="19"/>
  <c r="I309" i="19"/>
  <c r="S309" i="19"/>
  <c r="I224" i="19"/>
  <c r="S224" i="19"/>
  <c r="I139" i="19"/>
  <c r="S139" i="19"/>
  <c r="S189" i="19"/>
  <c r="I189" i="19"/>
  <c r="I335" i="19"/>
  <c r="S335" i="19"/>
  <c r="S3" i="19"/>
  <c r="I3" i="19"/>
  <c r="L3" i="19" s="1"/>
  <c r="S129" i="19"/>
  <c r="I129" i="19"/>
  <c r="H172" i="19"/>
  <c r="G172" i="19"/>
  <c r="H412" i="19"/>
  <c r="G412" i="19"/>
  <c r="I6" i="19"/>
  <c r="S6" i="19"/>
  <c r="T486" i="19"/>
  <c r="J486" i="19"/>
  <c r="I156" i="19"/>
  <c r="S156" i="19"/>
  <c r="J5" i="19"/>
  <c r="T5" i="19"/>
  <c r="I184" i="19"/>
  <c r="S184" i="19"/>
  <c r="I424" i="19"/>
  <c r="S424" i="19"/>
  <c r="I186" i="19"/>
  <c r="S186" i="19"/>
  <c r="S155" i="19"/>
  <c r="I155" i="19"/>
  <c r="I70" i="19"/>
  <c r="S70" i="19"/>
  <c r="I95" i="19"/>
  <c r="S95" i="19"/>
  <c r="I334" i="19"/>
  <c r="S334" i="19"/>
  <c r="S370" i="19"/>
  <c r="I370" i="19"/>
  <c r="J93" i="19"/>
  <c r="T93" i="19"/>
  <c r="I254" i="19"/>
  <c r="S254" i="19"/>
  <c r="S303" i="19"/>
  <c r="I303" i="19"/>
  <c r="S273" i="19"/>
  <c r="I273" i="19"/>
  <c r="S434" i="19"/>
  <c r="I434" i="19"/>
  <c r="I69" i="19"/>
  <c r="S69" i="19"/>
  <c r="S439" i="19"/>
  <c r="I439" i="19"/>
  <c r="T36" i="19"/>
  <c r="J36" i="19"/>
  <c r="J336" i="19"/>
  <c r="T336" i="19"/>
  <c r="I154" i="19"/>
  <c r="S154" i="19"/>
  <c r="S394" i="19"/>
  <c r="I394" i="19"/>
  <c r="L394" i="19" s="1"/>
  <c r="Y394" i="19" s="1"/>
  <c r="I100" i="19"/>
  <c r="S100" i="19"/>
  <c r="S249" i="19"/>
  <c r="I249" i="19"/>
  <c r="J319" i="19"/>
  <c r="T319" i="19"/>
  <c r="J40" i="19"/>
  <c r="T40" i="19"/>
  <c r="S9" i="19"/>
  <c r="I9" i="19"/>
  <c r="I44" i="19"/>
  <c r="S44" i="19"/>
  <c r="J309" i="19"/>
  <c r="T309" i="19"/>
  <c r="T224" i="19"/>
  <c r="J224" i="19"/>
  <c r="J139" i="19"/>
  <c r="T139" i="19"/>
  <c r="T189" i="19"/>
  <c r="J189" i="19"/>
  <c r="J335" i="19"/>
  <c r="T335" i="19"/>
  <c r="J3" i="19"/>
  <c r="T3" i="19"/>
  <c r="T129" i="19"/>
  <c r="J129" i="19"/>
  <c r="T6" i="19"/>
  <c r="J6" i="19"/>
  <c r="I486" i="19"/>
  <c r="S486" i="19"/>
  <c r="J156" i="19"/>
  <c r="T156" i="19"/>
  <c r="I5" i="19"/>
  <c r="L5" i="19" s="1"/>
  <c r="Y5" i="19" s="1"/>
  <c r="S5" i="19"/>
  <c r="T184" i="19"/>
  <c r="J184" i="19"/>
  <c r="J424" i="19"/>
  <c r="T424" i="19"/>
  <c r="J186" i="19"/>
  <c r="T186" i="19"/>
  <c r="T155" i="19"/>
  <c r="J155" i="19"/>
  <c r="J70" i="19"/>
  <c r="T70" i="19"/>
  <c r="T95" i="19"/>
  <c r="J95" i="19"/>
  <c r="J334" i="19"/>
  <c r="T334" i="19"/>
  <c r="T370" i="19"/>
  <c r="J370" i="19"/>
  <c r="L370" i="19" s="1"/>
  <c r="Y370" i="19" s="1"/>
  <c r="I93" i="19"/>
  <c r="S93" i="19"/>
  <c r="J254" i="19"/>
  <c r="T254" i="19"/>
  <c r="T303" i="19"/>
  <c r="J303" i="19"/>
  <c r="T273" i="19"/>
  <c r="J273" i="19"/>
  <c r="T434" i="19"/>
  <c r="J434" i="19"/>
  <c r="J69" i="19"/>
  <c r="T69" i="19"/>
  <c r="T439" i="19"/>
  <c r="J439" i="19"/>
  <c r="I36" i="19"/>
  <c r="S36" i="19"/>
  <c r="S336" i="19"/>
  <c r="I336" i="19"/>
  <c r="J154" i="19"/>
  <c r="T154" i="19"/>
  <c r="T394" i="19"/>
  <c r="J394" i="19"/>
  <c r="J100" i="19"/>
  <c r="T100" i="19"/>
  <c r="T249" i="19"/>
  <c r="J249" i="19"/>
  <c r="I319" i="19"/>
  <c r="S319" i="19"/>
  <c r="I160" i="19"/>
  <c r="S160" i="19"/>
  <c r="I259" i="19"/>
  <c r="S259" i="19"/>
  <c r="I164" i="19"/>
  <c r="S164" i="19"/>
  <c r="I365" i="19"/>
  <c r="S365" i="19"/>
  <c r="I344" i="19"/>
  <c r="S344" i="19"/>
  <c r="T339" i="19"/>
  <c r="J339" i="19"/>
  <c r="I245" i="19"/>
  <c r="S245" i="19"/>
  <c r="I22" i="19"/>
  <c r="S22" i="19"/>
  <c r="I19" i="19"/>
  <c r="S19" i="19"/>
  <c r="T4" i="19"/>
  <c r="J4" i="19"/>
  <c r="I244" i="19"/>
  <c r="S244" i="19"/>
  <c r="I484" i="19"/>
  <c r="S484" i="19"/>
  <c r="S126" i="19"/>
  <c r="I126" i="19"/>
  <c r="L126" i="19" s="1"/>
  <c r="Y126" i="19" s="1"/>
  <c r="J109" i="19"/>
  <c r="T109" i="19"/>
  <c r="S349" i="19"/>
  <c r="I349" i="19"/>
  <c r="T39" i="19"/>
  <c r="J39" i="19"/>
  <c r="H232" i="19"/>
  <c r="G232" i="19"/>
  <c r="H472" i="19"/>
  <c r="G472" i="19"/>
  <c r="S306" i="19"/>
  <c r="I306" i="19"/>
  <c r="J483" i="19"/>
  <c r="T483" i="19"/>
  <c r="I190" i="19"/>
  <c r="S190" i="19"/>
  <c r="S423" i="19"/>
  <c r="I423" i="19"/>
  <c r="I10" i="19"/>
  <c r="S10" i="19"/>
  <c r="J490" i="19"/>
  <c r="T490" i="19"/>
  <c r="I213" i="19"/>
  <c r="S213" i="19"/>
  <c r="I374" i="19"/>
  <c r="S374" i="19"/>
  <c r="S276" i="19"/>
  <c r="I276" i="19"/>
  <c r="I74" i="19"/>
  <c r="S74" i="19"/>
  <c r="I369" i="19"/>
  <c r="S369" i="19"/>
  <c r="I183" i="19"/>
  <c r="S183" i="19"/>
  <c r="S289" i="19"/>
  <c r="I289" i="19"/>
  <c r="I125" i="19"/>
  <c r="S125" i="19"/>
  <c r="I456" i="19"/>
  <c r="L456" i="19" s="1"/>
  <c r="Y456" i="19" s="1"/>
  <c r="S456" i="19"/>
  <c r="H202" i="19"/>
  <c r="G202" i="19"/>
  <c r="H442" i="19"/>
  <c r="G442" i="19"/>
  <c r="I220" i="19"/>
  <c r="S220" i="19"/>
  <c r="I229" i="19"/>
  <c r="S229" i="19"/>
  <c r="S199" i="19"/>
  <c r="I199" i="19"/>
  <c r="X175" i="17"/>
  <c r="AB175" i="17" s="1"/>
  <c r="J160" i="19"/>
  <c r="T160" i="19"/>
  <c r="T259" i="19"/>
  <c r="J259" i="19"/>
  <c r="J164" i="19"/>
  <c r="T164" i="19"/>
  <c r="T365" i="19"/>
  <c r="J365" i="19"/>
  <c r="J344" i="19"/>
  <c r="T344" i="19"/>
  <c r="I339" i="19"/>
  <c r="S339" i="19"/>
  <c r="J245" i="19"/>
  <c r="T245" i="19"/>
  <c r="J22" i="19"/>
  <c r="T22" i="19"/>
  <c r="J19" i="19"/>
  <c r="T19" i="19"/>
  <c r="I4" i="19"/>
  <c r="S4" i="19"/>
  <c r="J244" i="19"/>
  <c r="T244" i="19"/>
  <c r="J484" i="19"/>
  <c r="T484" i="19"/>
  <c r="J126" i="19"/>
  <c r="T126" i="19"/>
  <c r="I109" i="19"/>
  <c r="S109" i="19"/>
  <c r="T349" i="19"/>
  <c r="J349" i="19"/>
  <c r="S39" i="19"/>
  <c r="I39" i="19"/>
  <c r="T306" i="19"/>
  <c r="J306" i="19"/>
  <c r="I483" i="19"/>
  <c r="L483" i="19" s="1"/>
  <c r="S483" i="19"/>
  <c r="J190" i="19"/>
  <c r="T190" i="19"/>
  <c r="T423" i="19"/>
  <c r="J423" i="19"/>
  <c r="J10" i="19"/>
  <c r="T10" i="19"/>
  <c r="S490" i="19"/>
  <c r="I490" i="19"/>
  <c r="J213" i="19"/>
  <c r="T213" i="19"/>
  <c r="J374" i="19"/>
  <c r="T374" i="19"/>
  <c r="J276" i="19"/>
  <c r="T276" i="19"/>
  <c r="J74" i="19"/>
  <c r="T74" i="19"/>
  <c r="J369" i="19"/>
  <c r="T369" i="19"/>
  <c r="T183" i="19"/>
  <c r="J183" i="19"/>
  <c r="T289" i="19"/>
  <c r="J289" i="19"/>
  <c r="J125" i="19"/>
  <c r="L125" i="19" s="1"/>
  <c r="Y125" i="19" s="1"/>
  <c r="T125" i="19"/>
  <c r="J456" i="19"/>
  <c r="T456" i="19"/>
  <c r="J220" i="19"/>
  <c r="T220" i="19"/>
  <c r="J229" i="19"/>
  <c r="T229" i="19"/>
  <c r="T199" i="19"/>
  <c r="J199" i="19"/>
  <c r="X88" i="17"/>
  <c r="AB88" i="17" s="1"/>
  <c r="S280" i="19"/>
  <c r="I280" i="19"/>
  <c r="J459" i="19"/>
  <c r="T459" i="19"/>
  <c r="I284" i="19"/>
  <c r="S284" i="19"/>
  <c r="T49" i="19"/>
  <c r="J49" i="19"/>
  <c r="S464" i="19"/>
  <c r="I464" i="19"/>
  <c r="I395" i="19"/>
  <c r="S395" i="19"/>
  <c r="I79" i="19"/>
  <c r="S79" i="19"/>
  <c r="T454" i="19"/>
  <c r="J454" i="19"/>
  <c r="L454" i="19" s="1"/>
  <c r="Y454" i="19" s="1"/>
  <c r="I219" i="19"/>
  <c r="S219" i="19"/>
  <c r="G52" i="19"/>
  <c r="H52" i="19"/>
  <c r="H292" i="19"/>
  <c r="G292" i="19"/>
  <c r="S453" i="19"/>
  <c r="I453" i="19"/>
  <c r="S246" i="19"/>
  <c r="I246" i="19"/>
  <c r="I159" i="19"/>
  <c r="S159" i="19"/>
  <c r="I214" i="19"/>
  <c r="S214" i="19"/>
  <c r="I64" i="19"/>
  <c r="S64" i="19"/>
  <c r="S304" i="19"/>
  <c r="I304" i="19"/>
  <c r="S169" i="19"/>
  <c r="I169" i="19"/>
  <c r="S426" i="19"/>
  <c r="I426" i="19"/>
  <c r="T333" i="19"/>
  <c r="J333" i="19"/>
  <c r="S310" i="19"/>
  <c r="I310" i="19"/>
  <c r="S396" i="19"/>
  <c r="I396" i="19"/>
  <c r="L396" i="19" s="1"/>
  <c r="Y396" i="19" s="1"/>
  <c r="I130" i="19"/>
  <c r="S130" i="19"/>
  <c r="I35" i="19"/>
  <c r="S35" i="19"/>
  <c r="I14" i="19"/>
  <c r="S14" i="19"/>
  <c r="S494" i="19"/>
  <c r="I494" i="19"/>
  <c r="H262" i="19"/>
  <c r="G262" i="19"/>
  <c r="I194" i="19"/>
  <c r="S194" i="19"/>
  <c r="S243" i="19"/>
  <c r="I243" i="19"/>
  <c r="I94" i="19"/>
  <c r="S94" i="19"/>
  <c r="S123" i="19"/>
  <c r="I123" i="19"/>
  <c r="L123" i="19" s="1"/>
  <c r="T96" i="19"/>
  <c r="J96" i="19"/>
  <c r="I34" i="19"/>
  <c r="S34" i="19"/>
  <c r="I274" i="19"/>
  <c r="S274" i="19"/>
  <c r="I379" i="19"/>
  <c r="S379" i="19"/>
  <c r="J340" i="19"/>
  <c r="T340" i="19"/>
  <c r="S429" i="19"/>
  <c r="I429" i="19"/>
  <c r="I399" i="19"/>
  <c r="S399" i="19"/>
  <c r="X122" i="17"/>
  <c r="AB122" i="17" s="1"/>
  <c r="T280" i="19"/>
  <c r="J280" i="19"/>
  <c r="I459" i="19"/>
  <c r="S459" i="19"/>
  <c r="J284" i="19"/>
  <c r="T284" i="19"/>
  <c r="S49" i="19"/>
  <c r="I49" i="19"/>
  <c r="J464" i="19"/>
  <c r="T464" i="19"/>
  <c r="J395" i="19"/>
  <c r="T395" i="19"/>
  <c r="T79" i="19"/>
  <c r="J79" i="19"/>
  <c r="I454" i="19"/>
  <c r="S454" i="19"/>
  <c r="J219" i="19"/>
  <c r="T219" i="19"/>
  <c r="T453" i="19"/>
  <c r="J453" i="19"/>
  <c r="J246" i="19"/>
  <c r="T246" i="19"/>
  <c r="T159" i="19"/>
  <c r="J159" i="19"/>
  <c r="J214" i="19"/>
  <c r="T214" i="19"/>
  <c r="T64" i="19"/>
  <c r="J64" i="19"/>
  <c r="T304" i="19"/>
  <c r="J304" i="19"/>
  <c r="T169" i="19"/>
  <c r="J169" i="19"/>
  <c r="T426" i="19"/>
  <c r="J426" i="19"/>
  <c r="L426" i="19" s="1"/>
  <c r="Y426" i="19" s="1"/>
  <c r="I333" i="19"/>
  <c r="S333" i="19"/>
  <c r="J310" i="19"/>
  <c r="T310" i="19"/>
  <c r="J396" i="19"/>
  <c r="T396" i="19"/>
  <c r="J130" i="19"/>
  <c r="T130" i="19"/>
  <c r="J35" i="19"/>
  <c r="T35" i="19"/>
  <c r="J14" i="19"/>
  <c r="T14" i="19"/>
  <c r="T494" i="19"/>
  <c r="J494" i="19"/>
  <c r="J194" i="19"/>
  <c r="T194" i="19"/>
  <c r="J243" i="19"/>
  <c r="T243" i="19"/>
  <c r="J94" i="19"/>
  <c r="T94" i="19"/>
  <c r="T123" i="19"/>
  <c r="J123" i="19"/>
  <c r="I96" i="19"/>
  <c r="S96" i="19"/>
  <c r="J34" i="19"/>
  <c r="T34" i="19"/>
  <c r="T274" i="19"/>
  <c r="J274" i="19"/>
  <c r="J379" i="19"/>
  <c r="T379" i="19"/>
  <c r="I340" i="19"/>
  <c r="S340" i="19"/>
  <c r="T429" i="19"/>
  <c r="J429" i="19"/>
  <c r="T399" i="19"/>
  <c r="J399" i="19"/>
  <c r="L399" i="19" s="1"/>
  <c r="Y399" i="19" s="1"/>
  <c r="I393" i="19"/>
  <c r="S393" i="19"/>
  <c r="I400" i="19"/>
  <c r="S400" i="19"/>
  <c r="S65" i="19"/>
  <c r="I65" i="19"/>
  <c r="S404" i="19"/>
  <c r="I404" i="19"/>
  <c r="J104" i="19"/>
  <c r="T104" i="19"/>
  <c r="I185" i="19"/>
  <c r="S185" i="19"/>
  <c r="I425" i="19"/>
  <c r="S425" i="19"/>
  <c r="I279" i="19"/>
  <c r="S279" i="19"/>
  <c r="S153" i="19"/>
  <c r="I153" i="19"/>
  <c r="I275" i="19"/>
  <c r="S275" i="19"/>
  <c r="I124" i="19"/>
  <c r="L124" i="19" s="1"/>
  <c r="Y124" i="19" s="1"/>
  <c r="S124" i="19"/>
  <c r="I364" i="19"/>
  <c r="S364" i="19"/>
  <c r="I489" i="19"/>
  <c r="S489" i="19"/>
  <c r="I366" i="19"/>
  <c r="S366" i="19"/>
  <c r="I215" i="19"/>
  <c r="S215" i="19"/>
  <c r="G502" i="19"/>
  <c r="H502" i="19"/>
  <c r="G112" i="19"/>
  <c r="H112" i="19"/>
  <c r="H352" i="19"/>
  <c r="G352" i="19"/>
  <c r="I66" i="19"/>
  <c r="S66" i="19"/>
  <c r="I99" i="19"/>
  <c r="S99" i="19"/>
  <c r="T33" i="19"/>
  <c r="J33" i="19"/>
  <c r="I430" i="19"/>
  <c r="S430" i="19"/>
  <c r="H142" i="19"/>
  <c r="G142" i="19"/>
  <c r="I250" i="19"/>
  <c r="S250" i="19"/>
  <c r="I363" i="19"/>
  <c r="S363" i="19"/>
  <c r="I134" i="19"/>
  <c r="S134" i="19"/>
  <c r="S305" i="19"/>
  <c r="I305" i="19"/>
  <c r="S63" i="19"/>
  <c r="I63" i="19"/>
  <c r="S314" i="19"/>
  <c r="I314" i="19"/>
  <c r="S469" i="19"/>
  <c r="I469" i="19"/>
  <c r="H382" i="19"/>
  <c r="G382" i="19"/>
  <c r="T499" i="19"/>
  <c r="J499" i="19"/>
  <c r="I216" i="19"/>
  <c r="S216" i="19"/>
  <c r="H82" i="19"/>
  <c r="G82" i="19"/>
  <c r="H322" i="19"/>
  <c r="G322" i="19"/>
  <c r="I409" i="19"/>
  <c r="S409" i="19"/>
  <c r="S460" i="19"/>
  <c r="I460" i="19"/>
  <c r="S485" i="19"/>
  <c r="I485" i="19"/>
  <c r="T455" i="19"/>
  <c r="J455" i="19"/>
  <c r="J393" i="19"/>
  <c r="T393" i="19"/>
  <c r="J400" i="19"/>
  <c r="T400" i="19"/>
  <c r="T65" i="19"/>
  <c r="J65" i="19"/>
  <c r="T404" i="19"/>
  <c r="J404" i="19"/>
  <c r="S104" i="19"/>
  <c r="I104" i="19"/>
  <c r="T185" i="19"/>
  <c r="J185" i="19"/>
  <c r="T425" i="19"/>
  <c r="J425" i="19"/>
  <c r="J279" i="19"/>
  <c r="T279" i="19"/>
  <c r="T153" i="19"/>
  <c r="J153" i="19"/>
  <c r="J275" i="19"/>
  <c r="T275" i="19"/>
  <c r="J124" i="19"/>
  <c r="T124" i="19"/>
  <c r="J364" i="19"/>
  <c r="T364" i="19"/>
  <c r="T489" i="19"/>
  <c r="J489" i="19"/>
  <c r="T366" i="19"/>
  <c r="J366" i="19"/>
  <c r="T215" i="19"/>
  <c r="J215" i="19"/>
  <c r="J66" i="19"/>
  <c r="T66" i="19"/>
  <c r="J99" i="19"/>
  <c r="T99" i="19"/>
  <c r="S33" i="19"/>
  <c r="I33" i="19"/>
  <c r="L33" i="19" s="1"/>
  <c r="Y33" i="19" s="1"/>
  <c r="T430" i="19"/>
  <c r="J430" i="19"/>
  <c r="T250" i="19"/>
  <c r="J250" i="19"/>
  <c r="T363" i="19"/>
  <c r="J363" i="19"/>
  <c r="J134" i="19"/>
  <c r="T134" i="19"/>
  <c r="J305" i="19"/>
  <c r="T305" i="19"/>
  <c r="T63" i="19"/>
  <c r="J63" i="19"/>
  <c r="T314" i="19"/>
  <c r="J314" i="19"/>
  <c r="J469" i="19"/>
  <c r="T469" i="19"/>
  <c r="S499" i="19"/>
  <c r="I499" i="19"/>
  <c r="T216" i="19"/>
  <c r="J216" i="19"/>
  <c r="J409" i="19"/>
  <c r="T409" i="19"/>
  <c r="T460" i="19"/>
  <c r="J460" i="19"/>
  <c r="T485" i="19"/>
  <c r="J485" i="19"/>
  <c r="S455" i="19"/>
  <c r="I455" i="19"/>
  <c r="L455" i="19" s="1"/>
  <c r="Y455" i="19" s="1"/>
  <c r="X385" i="17"/>
  <c r="AB385" i="17" s="1"/>
  <c r="X297" i="17"/>
  <c r="AB297" i="17" s="1"/>
  <c r="X119" i="17"/>
  <c r="AB119" i="17" s="1"/>
  <c r="X207" i="17"/>
  <c r="AB207" i="17" s="1"/>
  <c r="X478" i="17"/>
  <c r="AB478" i="17" s="1"/>
  <c r="X271" i="17"/>
  <c r="AB271" i="17" s="1"/>
  <c r="X149" i="17"/>
  <c r="AB149" i="17" s="1"/>
  <c r="X296" i="17"/>
  <c r="AB296" i="17" s="1"/>
  <c r="L54" i="19"/>
  <c r="Y54" i="19" s="1"/>
  <c r="J43" i="23"/>
  <c r="X240" i="17"/>
  <c r="AB240" i="17" s="1"/>
  <c r="X180" i="17"/>
  <c r="AB180" i="17" s="1"/>
  <c r="X355" i="17"/>
  <c r="AB355" i="17" s="1"/>
  <c r="X238" i="17"/>
  <c r="AB238" i="17" s="1"/>
  <c r="X332" i="17"/>
  <c r="AB332" i="17" s="1"/>
  <c r="X415" i="17"/>
  <c r="AB415" i="17" s="1"/>
  <c r="X115" i="17"/>
  <c r="AB115" i="17" s="1"/>
  <c r="L24" i="19"/>
  <c r="Y24" i="19" s="1"/>
  <c r="L38" i="19"/>
  <c r="Y38" i="19" s="1"/>
  <c r="X150" i="17"/>
  <c r="AB150" i="17" s="1"/>
  <c r="X506" i="17"/>
  <c r="AB506" i="17" s="1"/>
  <c r="X507" i="17"/>
  <c r="AB507" i="17" s="1"/>
  <c r="X60" i="17"/>
  <c r="AB60" i="17" s="1"/>
  <c r="X356" i="17"/>
  <c r="AB356" i="17" s="1"/>
  <c r="X152" i="17"/>
  <c r="AB152" i="17" s="1"/>
  <c r="X450" i="17"/>
  <c r="AB450" i="17" s="1"/>
  <c r="X265" i="17"/>
  <c r="AB265" i="17" s="1"/>
  <c r="X90" i="17"/>
  <c r="AB90" i="17" s="1"/>
  <c r="X86" i="17"/>
  <c r="AB86" i="17" s="1"/>
  <c r="X32" i="17"/>
  <c r="AB32" i="17" s="1"/>
  <c r="L53" i="19"/>
  <c r="Y53" i="19" s="1"/>
  <c r="X418" i="17"/>
  <c r="AB418" i="17" s="1"/>
  <c r="X389" i="17"/>
  <c r="AB389" i="17" s="1"/>
  <c r="X416" i="17"/>
  <c r="AB416" i="17" s="1"/>
  <c r="X117" i="17"/>
  <c r="AB117" i="17" s="1"/>
  <c r="X29" i="17"/>
  <c r="AB29" i="17" s="1"/>
  <c r="X30" i="17"/>
  <c r="AB30" i="17" s="1"/>
  <c r="X386" i="17"/>
  <c r="AB386" i="17" s="1"/>
  <c r="X205" i="17"/>
  <c r="AB205" i="17" s="1"/>
  <c r="X31" i="17"/>
  <c r="AB31" i="17" s="1"/>
  <c r="X448" i="17"/>
  <c r="AB448" i="17" s="1"/>
  <c r="X120" i="17"/>
  <c r="AB120" i="17" s="1"/>
  <c r="X330" i="17"/>
  <c r="AB330" i="17" s="1"/>
  <c r="X326" i="17"/>
  <c r="AB326" i="17" s="1"/>
  <c r="X445" i="17"/>
  <c r="AB445" i="17" s="1"/>
  <c r="X211" i="17"/>
  <c r="AB211" i="17" s="1"/>
  <c r="X422" i="17"/>
  <c r="AB422" i="17" s="1"/>
  <c r="X147" i="17"/>
  <c r="AB147" i="17" s="1"/>
  <c r="X239" i="17"/>
  <c r="AB239" i="17" s="1"/>
  <c r="X266" i="17"/>
  <c r="AB266" i="17" s="1"/>
  <c r="X89" i="17"/>
  <c r="AB89" i="17" s="1"/>
  <c r="X420" i="17"/>
  <c r="AB420" i="17" s="1"/>
  <c r="X85" i="17"/>
  <c r="AB85" i="17" s="1"/>
  <c r="X391" i="17"/>
  <c r="AB391" i="17" s="1"/>
  <c r="X179" i="17"/>
  <c r="AB179" i="17" s="1"/>
  <c r="X241" i="17"/>
  <c r="AB241" i="17" s="1"/>
  <c r="X482" i="17"/>
  <c r="AB482" i="17" s="1"/>
  <c r="X237" i="17"/>
  <c r="AB237" i="17" s="1"/>
  <c r="E39" i="17"/>
  <c r="X212" i="17"/>
  <c r="AB212" i="17" s="1"/>
  <c r="X148" i="17"/>
  <c r="AB148" i="17" s="1"/>
  <c r="X325" i="17"/>
  <c r="AB325" i="17" s="1"/>
  <c r="X59" i="17"/>
  <c r="AB59" i="17" s="1"/>
  <c r="X146" i="17"/>
  <c r="AB146" i="17" s="1"/>
  <c r="X235" i="17"/>
  <c r="AB235" i="17" s="1"/>
  <c r="X300" i="17"/>
  <c r="AB300" i="17" s="1"/>
  <c r="X451" i="17"/>
  <c r="AB451" i="17" s="1"/>
  <c r="X505" i="17"/>
  <c r="AB505" i="17" s="1"/>
  <c r="X392" i="17"/>
  <c r="AB392" i="17" s="1"/>
  <c r="X62" i="17"/>
  <c r="AB62" i="17" s="1"/>
  <c r="X477" i="17"/>
  <c r="AB477" i="17" s="1"/>
  <c r="X210" i="17"/>
  <c r="AB210" i="17" s="1"/>
  <c r="X269" i="17"/>
  <c r="AB269" i="17" s="1"/>
  <c r="X61" i="17"/>
  <c r="AB61" i="17" s="1"/>
  <c r="X28" i="17"/>
  <c r="AB28" i="17" s="1"/>
  <c r="X58" i="17"/>
  <c r="AB58" i="17" s="1"/>
  <c r="X510" i="17"/>
  <c r="AB510" i="17" s="1"/>
  <c r="X388" i="17"/>
  <c r="AB388" i="17" s="1"/>
  <c r="X91" i="17"/>
  <c r="AB91" i="17" s="1"/>
  <c r="X475" i="17"/>
  <c r="AB475" i="17" s="1"/>
  <c r="X236" i="17"/>
  <c r="AB236" i="17" s="1"/>
  <c r="X328" i="17"/>
  <c r="AB328" i="17" s="1"/>
  <c r="X181" i="17"/>
  <c r="AB181" i="17" s="1"/>
  <c r="X208" i="17"/>
  <c r="AB208" i="17" s="1"/>
  <c r="X27" i="17"/>
  <c r="AB27" i="17" s="1"/>
  <c r="X480" i="17"/>
  <c r="AB480" i="17" s="1"/>
  <c r="X452" i="17"/>
  <c r="AB452" i="17" s="1"/>
  <c r="X118" i="17"/>
  <c r="AB118" i="17" s="1"/>
  <c r="X121" i="17"/>
  <c r="AB121" i="17" s="1"/>
  <c r="X295" i="17"/>
  <c r="AB295" i="17" s="1"/>
  <c r="X176" i="17"/>
  <c r="AB176" i="17" s="1"/>
  <c r="X182" i="17"/>
  <c r="AB182" i="17" s="1"/>
  <c r="X387" i="17"/>
  <c r="AB387" i="17" s="1"/>
  <c r="X417" i="17"/>
  <c r="AB417" i="17" s="1"/>
  <c r="L48" i="19"/>
  <c r="Y48" i="19" s="1"/>
  <c r="L18" i="19"/>
  <c r="Y18" i="19" s="1"/>
  <c r="V11" i="17"/>
  <c r="F4" i="17"/>
  <c r="V4" i="17"/>
  <c r="F3" i="17"/>
  <c r="V3" i="17"/>
  <c r="V8" i="17"/>
  <c r="V16" i="17"/>
  <c r="F14" i="17"/>
  <c r="V14" i="17"/>
  <c r="V15" i="17"/>
  <c r="V24" i="17"/>
  <c r="F22" i="17"/>
  <c r="V22" i="17"/>
  <c r="V7" i="17"/>
  <c r="V12" i="17"/>
  <c r="V20" i="17"/>
  <c r="V23" i="17"/>
  <c r="V21" i="17"/>
  <c r="V18" i="17"/>
  <c r="V43" i="17"/>
  <c r="F34" i="17"/>
  <c r="V34" i="17"/>
  <c r="F19" i="17"/>
  <c r="V19" i="17"/>
  <c r="F49" i="17"/>
  <c r="V49" i="17"/>
  <c r="F6" i="17"/>
  <c r="V6" i="17"/>
  <c r="F10" i="17"/>
  <c r="V10" i="17"/>
  <c r="F9" i="17"/>
  <c r="V9" i="17"/>
  <c r="F5" i="17"/>
  <c r="V5" i="17"/>
  <c r="V17" i="17"/>
  <c r="V13" i="17"/>
  <c r="M46" i="17"/>
  <c r="M20" i="17"/>
  <c r="L383" i="19"/>
  <c r="Y383" i="19" s="1"/>
  <c r="L407" i="19"/>
  <c r="Y407" i="19" s="1"/>
  <c r="L467" i="19"/>
  <c r="Y467" i="19" s="1"/>
  <c r="L504" i="19"/>
  <c r="Y504" i="19" s="1"/>
  <c r="L428" i="19"/>
  <c r="Y428" i="19" s="1"/>
  <c r="L485" i="19"/>
  <c r="Y485" i="19" s="1"/>
  <c r="L414" i="19"/>
  <c r="Y414" i="19" s="1"/>
  <c r="L137" i="19"/>
  <c r="Y137" i="19" s="1"/>
  <c r="L132" i="19"/>
  <c r="Y132" i="19" s="1"/>
  <c r="L377" i="19"/>
  <c r="Y377" i="19" s="1"/>
  <c r="L366" i="19"/>
  <c r="Y366" i="19" s="1"/>
  <c r="L444" i="19"/>
  <c r="Y444" i="19" s="1"/>
  <c r="L144" i="19"/>
  <c r="Y144" i="19" s="1"/>
  <c r="L437" i="19"/>
  <c r="Y437" i="19" s="1"/>
  <c r="L439" i="19"/>
  <c r="Y439" i="19" s="1"/>
  <c r="L398" i="19"/>
  <c r="Y398" i="19" s="1"/>
  <c r="L378" i="19"/>
  <c r="Y378" i="19" s="1"/>
  <c r="L443" i="19"/>
  <c r="Y443" i="19" s="1"/>
  <c r="L497" i="19"/>
  <c r="Y497" i="19" s="1"/>
  <c r="L138" i="19"/>
  <c r="Y138" i="19" s="1"/>
  <c r="L474" i="19"/>
  <c r="Y474" i="19" s="1"/>
  <c r="L494" i="19"/>
  <c r="Y494" i="19" s="1"/>
  <c r="L462" i="19"/>
  <c r="Y462" i="19" s="1"/>
  <c r="L458" i="19"/>
  <c r="Y458" i="19" s="1"/>
  <c r="L486" i="19"/>
  <c r="Y486" i="19" s="1"/>
  <c r="L408" i="19"/>
  <c r="Y408" i="19" s="1"/>
  <c r="L402" i="19"/>
  <c r="Y402" i="19" s="1"/>
  <c r="L468" i="19"/>
  <c r="Y468" i="19" s="1"/>
  <c r="L384" i="19"/>
  <c r="Y384" i="19" s="1"/>
  <c r="L438" i="19"/>
  <c r="Y438" i="19" s="1"/>
  <c r="L424" i="19"/>
  <c r="Y424" i="19" s="1"/>
  <c r="L128" i="19"/>
  <c r="Y128" i="19" s="1"/>
  <c r="L492" i="19"/>
  <c r="Y492" i="19" s="1"/>
  <c r="L488" i="19"/>
  <c r="Y488" i="19" s="1"/>
  <c r="L473" i="19"/>
  <c r="Y473" i="19" s="1"/>
  <c r="L498" i="19"/>
  <c r="Y498" i="19" s="1"/>
  <c r="L503" i="19"/>
  <c r="Y503" i="19" s="1"/>
  <c r="L143" i="19"/>
  <c r="Y143" i="19" s="1"/>
  <c r="L134" i="19"/>
  <c r="Y134" i="19" s="1"/>
  <c r="L432" i="19"/>
  <c r="Y432" i="19" s="1"/>
  <c r="L413" i="19"/>
  <c r="Y413" i="19" s="1"/>
  <c r="L372" i="19"/>
  <c r="Y372" i="19" s="1"/>
  <c r="L368" i="19"/>
  <c r="Y368" i="19" s="1"/>
  <c r="AI5" i="17"/>
  <c r="AJ4" i="17"/>
  <c r="AG5" i="17"/>
  <c r="AH4" i="17"/>
  <c r="L129" i="19" l="1"/>
  <c r="Y129" i="19" s="1"/>
  <c r="L425" i="19"/>
  <c r="Y425" i="19" s="1"/>
  <c r="V44" i="17"/>
  <c r="E33" i="17"/>
  <c r="F33" i="17" s="1"/>
  <c r="V54" i="17"/>
  <c r="E54" i="17"/>
  <c r="V79" i="17"/>
  <c r="E79" i="17"/>
  <c r="F79" i="17" s="1"/>
  <c r="G79" i="17" s="1"/>
  <c r="L139" i="19"/>
  <c r="Y139" i="19" s="1"/>
  <c r="L9" i="19"/>
  <c r="Y9" i="19" s="1"/>
  <c r="L393" i="19"/>
  <c r="Y393" i="19" s="1"/>
  <c r="L365" i="19"/>
  <c r="Y365" i="19" s="1"/>
  <c r="L484" i="19"/>
  <c r="Y484" i="19" s="1"/>
  <c r="L374" i="19"/>
  <c r="Y374" i="19" s="1"/>
  <c r="L364" i="19"/>
  <c r="Y364" i="19" s="1"/>
  <c r="L369" i="19"/>
  <c r="Y369" i="19" s="1"/>
  <c r="L460" i="19"/>
  <c r="Y460" i="19" s="1"/>
  <c r="L409" i="19"/>
  <c r="Y409" i="19" s="1"/>
  <c r="L429" i="19"/>
  <c r="Y429" i="19" s="1"/>
  <c r="L423" i="19"/>
  <c r="Y423" i="19" s="1"/>
  <c r="L39" i="19"/>
  <c r="Y39" i="19" s="1"/>
  <c r="L340" i="19"/>
  <c r="Y340" i="19" s="1"/>
  <c r="L130" i="19"/>
  <c r="Y130" i="19" s="1"/>
  <c r="L453" i="19"/>
  <c r="Y453" i="19" s="1"/>
  <c r="L22" i="19"/>
  <c r="Y22" i="19" s="1"/>
  <c r="L490" i="19"/>
  <c r="Y490" i="19" s="1"/>
  <c r="L49" i="19"/>
  <c r="Y49" i="19" s="1"/>
  <c r="L363" i="19"/>
  <c r="Y363" i="19" s="1"/>
  <c r="L489" i="19"/>
  <c r="Y489" i="19" s="1"/>
  <c r="V33" i="17"/>
  <c r="E52" i="17"/>
  <c r="E74" i="17"/>
  <c r="E36" i="17"/>
  <c r="V64" i="17"/>
  <c r="L36" i="19"/>
  <c r="Y36" i="19" s="1"/>
  <c r="L400" i="19"/>
  <c r="Y400" i="19" s="1"/>
  <c r="L464" i="19"/>
  <c r="Y464" i="19" s="1"/>
  <c r="L40" i="19"/>
  <c r="Y40" i="19" s="1"/>
  <c r="L44" i="19"/>
  <c r="Y44" i="19" s="1"/>
  <c r="L4" i="19"/>
  <c r="Y4" i="19" s="1"/>
  <c r="L499" i="19"/>
  <c r="Y499" i="19" s="1"/>
  <c r="L404" i="19"/>
  <c r="Y404" i="19" s="1"/>
  <c r="L10" i="19"/>
  <c r="Y10" i="19" s="1"/>
  <c r="L430" i="19"/>
  <c r="Y430" i="19" s="1"/>
  <c r="L35" i="19"/>
  <c r="Y35" i="19" s="1"/>
  <c r="L395" i="19"/>
  <c r="Y395" i="19" s="1"/>
  <c r="L19" i="19"/>
  <c r="Y19" i="19" s="1"/>
  <c r="L434" i="19"/>
  <c r="Y434" i="19" s="1"/>
  <c r="G4" i="17"/>
  <c r="H4" i="17"/>
  <c r="I322" i="19"/>
  <c r="S322" i="19"/>
  <c r="I382" i="19"/>
  <c r="S382" i="19"/>
  <c r="I142" i="19"/>
  <c r="S142" i="19"/>
  <c r="L34" i="19"/>
  <c r="Y34" i="19" s="1"/>
  <c r="L14" i="19"/>
  <c r="Y14" i="19" s="1"/>
  <c r="I202" i="19"/>
  <c r="S202" i="19"/>
  <c r="I472" i="19"/>
  <c r="S472" i="19"/>
  <c r="I412" i="19"/>
  <c r="S412" i="19"/>
  <c r="J322" i="19"/>
  <c r="T322" i="19"/>
  <c r="J382" i="19"/>
  <c r="T382" i="19"/>
  <c r="J142" i="19"/>
  <c r="T142" i="19"/>
  <c r="T202" i="19"/>
  <c r="J202" i="19"/>
  <c r="T472" i="19"/>
  <c r="J472" i="19"/>
  <c r="J412" i="19"/>
  <c r="T412" i="19"/>
  <c r="G10" i="17"/>
  <c r="H10" i="17"/>
  <c r="G44" i="17"/>
  <c r="H44" i="17"/>
  <c r="G3" i="17"/>
  <c r="H3" i="17"/>
  <c r="M382" i="17"/>
  <c r="I82" i="19"/>
  <c r="S82" i="19"/>
  <c r="S352" i="19"/>
  <c r="I352" i="19"/>
  <c r="I232" i="19"/>
  <c r="S232" i="19"/>
  <c r="I172" i="19"/>
  <c r="S172" i="19"/>
  <c r="H22" i="17"/>
  <c r="G22" i="17"/>
  <c r="J82" i="19"/>
  <c r="T82" i="19"/>
  <c r="T352" i="19"/>
  <c r="J352" i="19"/>
  <c r="I262" i="19"/>
  <c r="S262" i="19"/>
  <c r="I292" i="19"/>
  <c r="S292" i="19"/>
  <c r="T232" i="19"/>
  <c r="J232" i="19"/>
  <c r="J172" i="19"/>
  <c r="T172" i="19"/>
  <c r="H6" i="17"/>
  <c r="G6" i="17"/>
  <c r="G9" i="17"/>
  <c r="H9" i="17"/>
  <c r="G5" i="17"/>
  <c r="H5" i="17"/>
  <c r="G34" i="17"/>
  <c r="H34" i="17"/>
  <c r="T112" i="19"/>
  <c r="J112" i="19"/>
  <c r="J262" i="19"/>
  <c r="T262" i="19"/>
  <c r="J292" i="19"/>
  <c r="T292" i="19"/>
  <c r="G49" i="17"/>
  <c r="H49" i="17"/>
  <c r="H14" i="17"/>
  <c r="G14" i="17"/>
  <c r="I112" i="19"/>
  <c r="S112" i="19"/>
  <c r="J52" i="19"/>
  <c r="T52" i="19"/>
  <c r="G19" i="17"/>
  <c r="H19" i="17"/>
  <c r="J502" i="19"/>
  <c r="T502" i="19"/>
  <c r="S52" i="19"/>
  <c r="I52" i="19"/>
  <c r="S442" i="19"/>
  <c r="I442" i="19"/>
  <c r="S502" i="19"/>
  <c r="I502" i="19"/>
  <c r="J442" i="19"/>
  <c r="T442" i="19"/>
  <c r="L6" i="19"/>
  <c r="Y6" i="19" s="1"/>
  <c r="L469" i="19"/>
  <c r="Y469" i="19" s="1"/>
  <c r="L459" i="19"/>
  <c r="Y459" i="19" s="1"/>
  <c r="L379" i="19"/>
  <c r="Y379" i="19" s="1"/>
  <c r="L310" i="19"/>
  <c r="Y310" i="19" s="1"/>
  <c r="L160" i="19"/>
  <c r="Y160" i="19" s="1"/>
  <c r="L220" i="19"/>
  <c r="Y220" i="19" s="1"/>
  <c r="Y123" i="19"/>
  <c r="Y483" i="19"/>
  <c r="Y3" i="19"/>
  <c r="L280" i="19"/>
  <c r="Y280" i="19" s="1"/>
  <c r="E44" i="11"/>
  <c r="L250" i="19"/>
  <c r="Y250" i="19" s="1"/>
  <c r="L70" i="19"/>
  <c r="Y70" i="19" s="1"/>
  <c r="L100" i="19"/>
  <c r="Y100" i="19" s="1"/>
  <c r="L190" i="19"/>
  <c r="Y190" i="19" s="1"/>
  <c r="L24" i="17"/>
  <c r="Y24" i="17" s="1"/>
  <c r="M202" i="17"/>
  <c r="M352" i="17"/>
  <c r="M82" i="17"/>
  <c r="M412" i="17"/>
  <c r="M502" i="17"/>
  <c r="M322" i="17"/>
  <c r="M232" i="17"/>
  <c r="M172" i="17"/>
  <c r="M112" i="17"/>
  <c r="M262" i="17"/>
  <c r="M472" i="17"/>
  <c r="M52" i="17"/>
  <c r="M22" i="17"/>
  <c r="M292" i="17"/>
  <c r="M142" i="17"/>
  <c r="M442" i="17"/>
  <c r="M196" i="17"/>
  <c r="E40" i="17"/>
  <c r="M21" i="17"/>
  <c r="E41" i="17"/>
  <c r="M436" i="17"/>
  <c r="M496" i="17"/>
  <c r="E69" i="17"/>
  <c r="M286" i="17"/>
  <c r="M136" i="17"/>
  <c r="L203" i="17"/>
  <c r="Y203" i="17" s="1"/>
  <c r="L432" i="17"/>
  <c r="Y432" i="17" s="1"/>
  <c r="L8" i="17"/>
  <c r="Y8" i="17" s="1"/>
  <c r="M16" i="17"/>
  <c r="L132" i="17"/>
  <c r="Y132" i="17" s="1"/>
  <c r="M10" i="17"/>
  <c r="M466" i="17"/>
  <c r="M376" i="17"/>
  <c r="F39" i="17"/>
  <c r="V39" i="17"/>
  <c r="L473" i="17"/>
  <c r="Y473" i="17" s="1"/>
  <c r="L414" i="17"/>
  <c r="Y414" i="17" s="1"/>
  <c r="L114" i="17"/>
  <c r="Y114" i="17" s="1"/>
  <c r="L215" i="19"/>
  <c r="Y215" i="19" s="1"/>
  <c r="L64" i="19"/>
  <c r="Y64" i="19" s="1"/>
  <c r="L189" i="19"/>
  <c r="Y189" i="19" s="1"/>
  <c r="L224" i="19"/>
  <c r="Y224" i="19" s="1"/>
  <c r="L186" i="19"/>
  <c r="Y186" i="19" s="1"/>
  <c r="L314" i="19"/>
  <c r="Y314" i="19" s="1"/>
  <c r="L284" i="19"/>
  <c r="Y284" i="19" s="1"/>
  <c r="L335" i="19"/>
  <c r="Y335" i="19" s="1"/>
  <c r="L336" i="19"/>
  <c r="Y336" i="19" s="1"/>
  <c r="L334" i="19"/>
  <c r="Y334" i="19" s="1"/>
  <c r="L164" i="19"/>
  <c r="Y164" i="19" s="1"/>
  <c r="L204" i="19"/>
  <c r="Y204" i="19" s="1"/>
  <c r="L104" i="19"/>
  <c r="Y104" i="19" s="1"/>
  <c r="L168" i="19"/>
  <c r="Y168" i="19" s="1"/>
  <c r="L153" i="19"/>
  <c r="L273" i="19"/>
  <c r="L197" i="19"/>
  <c r="Y197" i="19" s="1"/>
  <c r="L319" i="19"/>
  <c r="Y319" i="19" s="1"/>
  <c r="L114" i="19"/>
  <c r="Y114" i="19" s="1"/>
  <c r="L234" i="19"/>
  <c r="Y234" i="19" s="1"/>
  <c r="L248" i="19"/>
  <c r="Y248" i="19" s="1"/>
  <c r="L96" i="19"/>
  <c r="Y96" i="19" s="1"/>
  <c r="L158" i="19"/>
  <c r="Y158" i="19" s="1"/>
  <c r="L263" i="19"/>
  <c r="Y263" i="19" s="1"/>
  <c r="L294" i="19"/>
  <c r="Y294" i="19" s="1"/>
  <c r="L257" i="19"/>
  <c r="Y257" i="19" s="1"/>
  <c r="L303" i="19"/>
  <c r="L188" i="19"/>
  <c r="Y188" i="19" s="1"/>
  <c r="L72" i="19"/>
  <c r="Y72" i="19" s="1"/>
  <c r="L183" i="19"/>
  <c r="L344" i="19"/>
  <c r="Y344" i="19" s="1"/>
  <c r="L108" i="19"/>
  <c r="Y108" i="19" s="1"/>
  <c r="L216" i="19"/>
  <c r="Y216" i="19" s="1"/>
  <c r="L192" i="19"/>
  <c r="Y192" i="19" s="1"/>
  <c r="L227" i="19"/>
  <c r="Y227" i="19" s="1"/>
  <c r="L349" i="19"/>
  <c r="Y349" i="19" s="1"/>
  <c r="L68" i="19"/>
  <c r="Y68" i="19" s="1"/>
  <c r="L199" i="19"/>
  <c r="Y199" i="19" s="1"/>
  <c r="L169" i="19"/>
  <c r="Y169" i="19" s="1"/>
  <c r="L66" i="19"/>
  <c r="Y66" i="19" s="1"/>
  <c r="L229" i="19"/>
  <c r="Y229" i="19" s="1"/>
  <c r="L249" i="19"/>
  <c r="Y249" i="19" s="1"/>
  <c r="L214" i="19"/>
  <c r="Y214" i="19" s="1"/>
  <c r="L276" i="19"/>
  <c r="Y276" i="19" s="1"/>
  <c r="L254" i="19"/>
  <c r="Y254" i="19" s="1"/>
  <c r="L194" i="19"/>
  <c r="Y194" i="19" s="1"/>
  <c r="L278" i="19"/>
  <c r="Y278" i="19" s="1"/>
  <c r="L323" i="19"/>
  <c r="Y323" i="19" s="1"/>
  <c r="L246" i="19"/>
  <c r="Y246" i="19" s="1"/>
  <c r="L305" i="19"/>
  <c r="Y305" i="19" s="1"/>
  <c r="L156" i="19"/>
  <c r="Y156" i="19" s="1"/>
  <c r="L293" i="19"/>
  <c r="Y293" i="19" s="1"/>
  <c r="L259" i="19"/>
  <c r="Y259" i="19" s="1"/>
  <c r="L233" i="19"/>
  <c r="Y233" i="19" s="1"/>
  <c r="L342" i="19"/>
  <c r="Y342" i="19" s="1"/>
  <c r="L318" i="19"/>
  <c r="Y318" i="19" s="1"/>
  <c r="L69" i="19"/>
  <c r="Y69" i="19" s="1"/>
  <c r="L94" i="19"/>
  <c r="Y94" i="19" s="1"/>
  <c r="L203" i="19"/>
  <c r="Y203" i="19" s="1"/>
  <c r="L107" i="19"/>
  <c r="Y107" i="19" s="1"/>
  <c r="L222" i="19"/>
  <c r="Y222" i="19" s="1"/>
  <c r="L354" i="19"/>
  <c r="Y354" i="19" s="1"/>
  <c r="L304" i="19"/>
  <c r="Y304" i="19" s="1"/>
  <c r="L289" i="19"/>
  <c r="Y289" i="19" s="1"/>
  <c r="L63" i="19"/>
  <c r="L95" i="19"/>
  <c r="Y95" i="19" s="1"/>
  <c r="L84" i="19"/>
  <c r="Y84" i="19" s="1"/>
  <c r="L155" i="19"/>
  <c r="Y155" i="19" s="1"/>
  <c r="L83" i="19"/>
  <c r="Y83" i="19" s="1"/>
  <c r="L333" i="19"/>
  <c r="L252" i="19"/>
  <c r="Y252" i="19" s="1"/>
  <c r="L317" i="19"/>
  <c r="Y317" i="19" s="1"/>
  <c r="L162" i="19"/>
  <c r="Y162" i="19" s="1"/>
  <c r="L213" i="19"/>
  <c r="L79" i="19"/>
  <c r="Y79" i="19" s="1"/>
  <c r="L339" i="19"/>
  <c r="Y339" i="19" s="1"/>
  <c r="L324" i="19"/>
  <c r="Y324" i="19" s="1"/>
  <c r="L287" i="19"/>
  <c r="Y287" i="19" s="1"/>
  <c r="L93" i="19"/>
  <c r="L184" i="19"/>
  <c r="Y184" i="19" s="1"/>
  <c r="L109" i="19"/>
  <c r="Y109" i="19" s="1"/>
  <c r="L74" i="19"/>
  <c r="Y74" i="19" s="1"/>
  <c r="L308" i="19"/>
  <c r="Y308" i="19" s="1"/>
  <c r="L159" i="19"/>
  <c r="Y159" i="19" s="1"/>
  <c r="L353" i="19"/>
  <c r="Y353" i="19" s="1"/>
  <c r="L258" i="19"/>
  <c r="Y258" i="19" s="1"/>
  <c r="L218" i="19"/>
  <c r="Y218" i="19" s="1"/>
  <c r="L264" i="19"/>
  <c r="Y264" i="19" s="1"/>
  <c r="L228" i="19"/>
  <c r="Y228" i="19" s="1"/>
  <c r="L243" i="19"/>
  <c r="L113" i="19"/>
  <c r="Y113" i="19" s="1"/>
  <c r="L275" i="19"/>
  <c r="Y275" i="19" s="1"/>
  <c r="L65" i="19"/>
  <c r="Y65" i="19" s="1"/>
  <c r="L338" i="19"/>
  <c r="Y338" i="19" s="1"/>
  <c r="L198" i="19"/>
  <c r="Y198" i="19" s="1"/>
  <c r="L167" i="19"/>
  <c r="Y167" i="19" s="1"/>
  <c r="L154" i="19"/>
  <c r="Y154" i="19" s="1"/>
  <c r="L282" i="19"/>
  <c r="Y282" i="19" s="1"/>
  <c r="L309" i="19"/>
  <c r="Y309" i="19" s="1"/>
  <c r="L288" i="19"/>
  <c r="Y288" i="19" s="1"/>
  <c r="L347" i="19"/>
  <c r="Y347" i="19" s="1"/>
  <c r="L174" i="19"/>
  <c r="Y174" i="19" s="1"/>
  <c r="L312" i="19"/>
  <c r="Y312" i="19" s="1"/>
  <c r="L185" i="19"/>
  <c r="Y185" i="19" s="1"/>
  <c r="L98" i="19"/>
  <c r="Y98" i="19" s="1"/>
  <c r="L274" i="19"/>
  <c r="Y274" i="19" s="1"/>
  <c r="L306" i="19"/>
  <c r="Y306" i="19" s="1"/>
  <c r="L99" i="19"/>
  <c r="Y99" i="19" s="1"/>
  <c r="L173" i="19"/>
  <c r="Y173" i="19" s="1"/>
  <c r="L348" i="19"/>
  <c r="Y348" i="19" s="1"/>
  <c r="L219" i="19"/>
  <c r="Y219" i="19" s="1"/>
  <c r="L244" i="19"/>
  <c r="Y244" i="19" s="1"/>
  <c r="L279" i="19"/>
  <c r="Y279" i="19" s="1"/>
  <c r="L102" i="19"/>
  <c r="Y102" i="19" s="1"/>
  <c r="L77" i="19"/>
  <c r="Y77" i="19" s="1"/>
  <c r="L78" i="19"/>
  <c r="Y78" i="19" s="1"/>
  <c r="L245" i="19"/>
  <c r="Y245" i="19" s="1"/>
  <c r="AJ5" i="17"/>
  <c r="AH5" i="17"/>
  <c r="AG6" i="17"/>
  <c r="E109" i="17" s="1"/>
  <c r="AI6" i="17"/>
  <c r="G33" i="17" l="1"/>
  <c r="H33" i="17"/>
  <c r="V84" i="17"/>
  <c r="E84" i="17"/>
  <c r="V73" i="17"/>
  <c r="E73" i="17"/>
  <c r="E63" i="17"/>
  <c r="F63" i="17" s="1"/>
  <c r="V48" i="17"/>
  <c r="E48" i="17"/>
  <c r="V50" i="17"/>
  <c r="E50" i="17"/>
  <c r="V53" i="17"/>
  <c r="E53" i="17"/>
  <c r="E64" i="17"/>
  <c r="F64" i="17" s="1"/>
  <c r="H64" i="17" s="1"/>
  <c r="V45" i="17"/>
  <c r="E45" i="17"/>
  <c r="V46" i="17"/>
  <c r="E46" i="17"/>
  <c r="V51" i="17"/>
  <c r="E51" i="17"/>
  <c r="V42" i="17"/>
  <c r="E42" i="17"/>
  <c r="V38" i="17"/>
  <c r="E38" i="17"/>
  <c r="V37" i="17"/>
  <c r="E37" i="17"/>
  <c r="V47" i="17"/>
  <c r="E47" i="17"/>
  <c r="V35" i="17"/>
  <c r="E35" i="17"/>
  <c r="F35" i="17" s="1"/>
  <c r="H35" i="17" s="1"/>
  <c r="J35" i="17" s="1"/>
  <c r="L322" i="19"/>
  <c r="Y322" i="19" s="1"/>
  <c r="L232" i="19"/>
  <c r="Y232" i="19" s="1"/>
  <c r="L292" i="19"/>
  <c r="Y292" i="19" s="1"/>
  <c r="L172" i="19"/>
  <c r="Y172" i="19" s="1"/>
  <c r="L82" i="19"/>
  <c r="Y82" i="19" s="1"/>
  <c r="L112" i="19"/>
  <c r="Y112" i="19" s="1"/>
  <c r="L202" i="19"/>
  <c r="Y202" i="19" s="1"/>
  <c r="H79" i="17"/>
  <c r="J79" i="17" s="1"/>
  <c r="L352" i="19"/>
  <c r="Y352" i="19" s="1"/>
  <c r="E82" i="17"/>
  <c r="V52" i="17"/>
  <c r="F52" i="17"/>
  <c r="F109" i="17"/>
  <c r="V109" i="17"/>
  <c r="E104" i="17"/>
  <c r="F74" i="17"/>
  <c r="V74" i="17"/>
  <c r="V63" i="17"/>
  <c r="E66" i="17"/>
  <c r="F36" i="17"/>
  <c r="V36" i="17"/>
  <c r="L502" i="19"/>
  <c r="Y502" i="19" s="1"/>
  <c r="L412" i="19"/>
  <c r="Y412" i="19" s="1"/>
  <c r="L142" i="19"/>
  <c r="Y142" i="19" s="1"/>
  <c r="L262" i="19"/>
  <c r="Y262" i="19" s="1"/>
  <c r="L472" i="19"/>
  <c r="Y472" i="19" s="1"/>
  <c r="L382" i="19"/>
  <c r="Y382" i="19" s="1"/>
  <c r="L52" i="19"/>
  <c r="Y52" i="19" s="1"/>
  <c r="J44" i="17"/>
  <c r="T44" i="17"/>
  <c r="I79" i="17"/>
  <c r="S79" i="17"/>
  <c r="I44" i="17"/>
  <c r="S44" i="17"/>
  <c r="S14" i="17"/>
  <c r="I14" i="17"/>
  <c r="J5" i="17"/>
  <c r="T5" i="17"/>
  <c r="S22" i="17"/>
  <c r="I22" i="17"/>
  <c r="J10" i="17"/>
  <c r="T10" i="17"/>
  <c r="T14" i="17"/>
  <c r="J14" i="17"/>
  <c r="I5" i="17"/>
  <c r="S5" i="17"/>
  <c r="T22" i="17"/>
  <c r="J22" i="17"/>
  <c r="I10" i="17"/>
  <c r="S10" i="17"/>
  <c r="T19" i="17"/>
  <c r="J19" i="17"/>
  <c r="T49" i="17"/>
  <c r="J49" i="17"/>
  <c r="J34" i="17"/>
  <c r="T34" i="17"/>
  <c r="T9" i="17"/>
  <c r="J9" i="17"/>
  <c r="T4" i="17"/>
  <c r="J4" i="17"/>
  <c r="S19" i="17"/>
  <c r="I19" i="17"/>
  <c r="I49" i="17"/>
  <c r="S49" i="17"/>
  <c r="I34" i="17"/>
  <c r="S34" i="17"/>
  <c r="I9" i="17"/>
  <c r="S9" i="17"/>
  <c r="I4" i="17"/>
  <c r="S4" i="17"/>
  <c r="L442" i="19"/>
  <c r="Y442" i="19" s="1"/>
  <c r="T33" i="17"/>
  <c r="J33" i="17"/>
  <c r="S6" i="17"/>
  <c r="I6" i="17"/>
  <c r="T3" i="17"/>
  <c r="J3" i="17"/>
  <c r="G39" i="17"/>
  <c r="H39" i="17"/>
  <c r="I33" i="17"/>
  <c r="S33" i="17"/>
  <c r="T6" i="17"/>
  <c r="J6" i="17"/>
  <c r="S3" i="17"/>
  <c r="I3" i="17"/>
  <c r="L48" i="17"/>
  <c r="Y48" i="17" s="1"/>
  <c r="L84" i="17"/>
  <c r="Y84" i="17" s="1"/>
  <c r="L293" i="17"/>
  <c r="Y293" i="17" s="1"/>
  <c r="Y63" i="19"/>
  <c r="Y273" i="19"/>
  <c r="L54" i="17"/>
  <c r="Y54" i="17" s="1"/>
  <c r="Y183" i="19"/>
  <c r="Y153" i="19"/>
  <c r="Y93" i="19"/>
  <c r="Y333" i="19"/>
  <c r="Y243" i="19"/>
  <c r="L444" i="17"/>
  <c r="Y444" i="17" s="1"/>
  <c r="Y303" i="19"/>
  <c r="Y213" i="19"/>
  <c r="L53" i="17"/>
  <c r="Y53" i="17" s="1"/>
  <c r="L324" i="17"/>
  <c r="Y324" i="17" s="1"/>
  <c r="L353" i="17"/>
  <c r="Y353" i="17" s="1"/>
  <c r="L474" i="17"/>
  <c r="Y474" i="17" s="1"/>
  <c r="L174" i="17"/>
  <c r="Y174" i="17" s="1"/>
  <c r="L294" i="17"/>
  <c r="Y294" i="17" s="1"/>
  <c r="L204" i="17"/>
  <c r="Y204" i="17" s="1"/>
  <c r="L504" i="17"/>
  <c r="Y504" i="17" s="1"/>
  <c r="L23" i="17"/>
  <c r="Y23" i="17" s="1"/>
  <c r="L144" i="17"/>
  <c r="Y144" i="17" s="1"/>
  <c r="L173" i="17"/>
  <c r="Y173" i="17" s="1"/>
  <c r="L503" i="17"/>
  <c r="Y503" i="17" s="1"/>
  <c r="L383" i="17"/>
  <c r="Y383" i="17" s="1"/>
  <c r="L233" i="17"/>
  <c r="Y233" i="17" s="1"/>
  <c r="L263" i="17"/>
  <c r="Y263" i="17" s="1"/>
  <c r="L443" i="17"/>
  <c r="Y443" i="17" s="1"/>
  <c r="E80" i="17"/>
  <c r="E71" i="17"/>
  <c r="L413" i="17"/>
  <c r="Y413" i="17" s="1"/>
  <c r="L354" i="17"/>
  <c r="Y354" i="17" s="1"/>
  <c r="F69" i="17"/>
  <c r="V69" i="17"/>
  <c r="E108" i="17"/>
  <c r="E99" i="17"/>
  <c r="M50" i="17"/>
  <c r="M51" i="17"/>
  <c r="L18" i="17"/>
  <c r="Y18" i="17" s="1"/>
  <c r="L143" i="17"/>
  <c r="Y143" i="17" s="1"/>
  <c r="L264" i="17"/>
  <c r="Y264" i="17" s="1"/>
  <c r="L83" i="17"/>
  <c r="Y83" i="17" s="1"/>
  <c r="L113" i="17"/>
  <c r="Y113" i="17" s="1"/>
  <c r="L234" i="17"/>
  <c r="Y234" i="17" s="1"/>
  <c r="L384" i="17"/>
  <c r="Y384" i="17" s="1"/>
  <c r="V41" i="17"/>
  <c r="F40" i="17"/>
  <c r="V40" i="17"/>
  <c r="L323" i="17"/>
  <c r="Y323" i="17" s="1"/>
  <c r="AJ6" i="17"/>
  <c r="AG7" i="17"/>
  <c r="E139" i="17" s="1"/>
  <c r="AH6" i="17"/>
  <c r="AI7" i="17"/>
  <c r="J64" i="17" l="1"/>
  <c r="T64" i="17"/>
  <c r="G63" i="17"/>
  <c r="H63" i="17"/>
  <c r="J63" i="17" s="1"/>
  <c r="V75" i="17"/>
  <c r="E75" i="17"/>
  <c r="E70" i="17"/>
  <c r="F70" i="17" s="1"/>
  <c r="V67" i="17"/>
  <c r="E67" i="17"/>
  <c r="V81" i="17"/>
  <c r="E81" i="17"/>
  <c r="E65" i="17"/>
  <c r="F65" i="17" s="1"/>
  <c r="V72" i="17"/>
  <c r="E72" i="17"/>
  <c r="E94" i="17"/>
  <c r="F94" i="17" s="1"/>
  <c r="V103" i="17"/>
  <c r="E103" i="17"/>
  <c r="V76" i="17"/>
  <c r="E76" i="17"/>
  <c r="V78" i="17"/>
  <c r="E78" i="17"/>
  <c r="V93" i="17"/>
  <c r="E93" i="17"/>
  <c r="F93" i="17" s="1"/>
  <c r="H93" i="17" s="1"/>
  <c r="V68" i="17"/>
  <c r="E68" i="17"/>
  <c r="G64" i="17"/>
  <c r="I64" i="17" s="1"/>
  <c r="V77" i="17"/>
  <c r="E77" i="17"/>
  <c r="V83" i="17"/>
  <c r="E83" i="17"/>
  <c r="T79" i="17"/>
  <c r="L5" i="17"/>
  <c r="Y5" i="17" s="1"/>
  <c r="T63" i="17"/>
  <c r="H52" i="17"/>
  <c r="G52" i="17"/>
  <c r="V82" i="17"/>
  <c r="F82" i="17"/>
  <c r="T35" i="17"/>
  <c r="V94" i="17"/>
  <c r="F139" i="17"/>
  <c r="V139" i="17"/>
  <c r="G109" i="17"/>
  <c r="H109" i="17"/>
  <c r="G74" i="17"/>
  <c r="H74" i="17"/>
  <c r="G35" i="17"/>
  <c r="S35" i="17" s="1"/>
  <c r="F104" i="17"/>
  <c r="V104" i="17"/>
  <c r="E134" i="17"/>
  <c r="L44" i="17"/>
  <c r="Y44" i="17" s="1"/>
  <c r="L6" i="17"/>
  <c r="Y6" i="17" s="1"/>
  <c r="L19" i="17"/>
  <c r="Y19" i="17" s="1"/>
  <c r="L22" i="17"/>
  <c r="Y22" i="17" s="1"/>
  <c r="L49" i="17"/>
  <c r="Y49" i="17" s="1"/>
  <c r="V65" i="17"/>
  <c r="L34" i="17"/>
  <c r="Y34" i="17" s="1"/>
  <c r="E96" i="17"/>
  <c r="L33" i="17"/>
  <c r="Y33" i="17" s="1"/>
  <c r="G36" i="17"/>
  <c r="H36" i="17"/>
  <c r="F66" i="17"/>
  <c r="V66" i="17"/>
  <c r="L3" i="17"/>
  <c r="Y3" i="17" s="1"/>
  <c r="L14" i="17"/>
  <c r="Y14" i="17" s="1"/>
  <c r="L10" i="17"/>
  <c r="Y10" i="17" s="1"/>
  <c r="L4" i="17"/>
  <c r="Y4" i="17" s="1"/>
  <c r="L9" i="17"/>
  <c r="Y9" i="17" s="1"/>
  <c r="L79" i="17"/>
  <c r="Y79" i="17" s="1"/>
  <c r="G69" i="17"/>
  <c r="H69" i="17"/>
  <c r="L64" i="17"/>
  <c r="Y64" i="17" s="1"/>
  <c r="J39" i="17"/>
  <c r="T39" i="17"/>
  <c r="H40" i="17"/>
  <c r="G40" i="17"/>
  <c r="I39" i="17"/>
  <c r="S39" i="17"/>
  <c r="E45" i="11"/>
  <c r="E100" i="17"/>
  <c r="E111" i="17"/>
  <c r="V70" i="17"/>
  <c r="M70" i="17"/>
  <c r="E110" i="17"/>
  <c r="V108" i="17"/>
  <c r="E129" i="17"/>
  <c r="M81" i="17"/>
  <c r="L38" i="17"/>
  <c r="Y38" i="17" s="1"/>
  <c r="M40" i="17"/>
  <c r="F99" i="17"/>
  <c r="V99" i="17"/>
  <c r="V71" i="17"/>
  <c r="V80" i="17"/>
  <c r="L78" i="17"/>
  <c r="Y78" i="17" s="1"/>
  <c r="AG8" i="17"/>
  <c r="E169" i="17" s="1"/>
  <c r="AI8" i="17"/>
  <c r="AJ7" i="17"/>
  <c r="AH7" i="17"/>
  <c r="S64" i="17" l="1"/>
  <c r="I63" i="17"/>
  <c r="L63" i="17" s="1"/>
  <c r="Y63" i="17" s="1"/>
  <c r="S63" i="17"/>
  <c r="G65" i="17"/>
  <c r="H65" i="17"/>
  <c r="G70" i="17"/>
  <c r="H70" i="17"/>
  <c r="J70" i="17" s="1"/>
  <c r="G94" i="17"/>
  <c r="S94" i="17" s="1"/>
  <c r="H94" i="17"/>
  <c r="J94" i="17" s="1"/>
  <c r="V102" i="17"/>
  <c r="E102" i="17"/>
  <c r="V144" i="17"/>
  <c r="E144" i="17"/>
  <c r="V133" i="17"/>
  <c r="E133" i="17"/>
  <c r="V113" i="17"/>
  <c r="E113" i="17"/>
  <c r="V97" i="17"/>
  <c r="E97" i="17"/>
  <c r="E123" i="17"/>
  <c r="F123" i="17" s="1"/>
  <c r="V105" i="17"/>
  <c r="E105" i="17"/>
  <c r="E95" i="17"/>
  <c r="F95" i="17" s="1"/>
  <c r="V106" i="17"/>
  <c r="E106" i="17"/>
  <c r="V124" i="17"/>
  <c r="E124" i="17"/>
  <c r="V98" i="17"/>
  <c r="E98" i="17"/>
  <c r="V114" i="17"/>
  <c r="E114" i="17"/>
  <c r="V101" i="17"/>
  <c r="E101" i="17"/>
  <c r="V107" i="17"/>
  <c r="E107" i="17"/>
  <c r="V112" i="17"/>
  <c r="E112" i="17"/>
  <c r="F112" i="17" s="1"/>
  <c r="H112" i="17" s="1"/>
  <c r="V123" i="17"/>
  <c r="E142" i="17"/>
  <c r="G82" i="17"/>
  <c r="H82" i="17"/>
  <c r="F124" i="17"/>
  <c r="H124" i="17" s="1"/>
  <c r="I52" i="17"/>
  <c r="S52" i="17"/>
  <c r="J52" i="17"/>
  <c r="T52" i="17"/>
  <c r="G93" i="17"/>
  <c r="S93" i="17" s="1"/>
  <c r="I35" i="17"/>
  <c r="L35" i="17" s="1"/>
  <c r="Y35" i="17" s="1"/>
  <c r="I109" i="17"/>
  <c r="S109" i="17"/>
  <c r="J109" i="17"/>
  <c r="T109" i="17"/>
  <c r="F169" i="17"/>
  <c r="V169" i="17"/>
  <c r="G139" i="17"/>
  <c r="H139" i="17"/>
  <c r="F134" i="17"/>
  <c r="V134" i="17"/>
  <c r="G104" i="17"/>
  <c r="H104" i="17"/>
  <c r="T74" i="17"/>
  <c r="J74" i="17"/>
  <c r="E164" i="17"/>
  <c r="S74" i="17"/>
  <c r="I74" i="17"/>
  <c r="V95" i="17"/>
  <c r="G66" i="17"/>
  <c r="H66" i="17"/>
  <c r="J36" i="17"/>
  <c r="T36" i="17"/>
  <c r="S36" i="17"/>
  <c r="I36" i="17"/>
  <c r="E126" i="17"/>
  <c r="V96" i="17"/>
  <c r="F96" i="17"/>
  <c r="T94" i="17"/>
  <c r="T65" i="17"/>
  <c r="J65" i="17"/>
  <c r="I65" i="17"/>
  <c r="S65" i="17"/>
  <c r="L39" i="17"/>
  <c r="Y39" i="17" s="1"/>
  <c r="T93" i="17"/>
  <c r="J93" i="17"/>
  <c r="H99" i="17"/>
  <c r="G99" i="17"/>
  <c r="I40" i="17"/>
  <c r="S40" i="17"/>
  <c r="S70" i="17"/>
  <c r="I70" i="17"/>
  <c r="J40" i="17"/>
  <c r="T40" i="17"/>
  <c r="J69" i="17"/>
  <c r="T69" i="17"/>
  <c r="I69" i="17"/>
  <c r="S69" i="17"/>
  <c r="L108" i="17"/>
  <c r="Y108" i="17" s="1"/>
  <c r="E46" i="11"/>
  <c r="E141" i="17"/>
  <c r="E130" i="17"/>
  <c r="L68" i="17"/>
  <c r="E140" i="17"/>
  <c r="E131" i="17"/>
  <c r="E158" i="17"/>
  <c r="E159" i="17"/>
  <c r="V111" i="17"/>
  <c r="F129" i="17"/>
  <c r="V129" i="17"/>
  <c r="F100" i="17"/>
  <c r="V100" i="17"/>
  <c r="M80" i="17"/>
  <c r="V110" i="17"/>
  <c r="AG9" i="17"/>
  <c r="E199" i="17" s="1"/>
  <c r="AH8" i="17"/>
  <c r="AJ8" i="17"/>
  <c r="AI9" i="17"/>
  <c r="I94" i="17" l="1"/>
  <c r="T70" i="17"/>
  <c r="H123" i="17"/>
  <c r="G123" i="17"/>
  <c r="G95" i="17"/>
  <c r="H95" i="17"/>
  <c r="V137" i="17"/>
  <c r="E137" i="17"/>
  <c r="V143" i="17"/>
  <c r="E143" i="17"/>
  <c r="V136" i="17"/>
  <c r="E136" i="17"/>
  <c r="V174" i="17"/>
  <c r="E174" i="17"/>
  <c r="V127" i="17"/>
  <c r="E127" i="17"/>
  <c r="E154" i="17"/>
  <c r="F154" i="17" s="1"/>
  <c r="H154" i="17" s="1"/>
  <c r="V128" i="17"/>
  <c r="E128" i="17"/>
  <c r="V132" i="17"/>
  <c r="E132" i="17"/>
  <c r="V125" i="17"/>
  <c r="E125" i="17"/>
  <c r="F125" i="17" s="1"/>
  <c r="G125" i="17" s="1"/>
  <c r="V135" i="17"/>
  <c r="E135" i="17"/>
  <c r="V163" i="17"/>
  <c r="E163" i="17"/>
  <c r="E153" i="17"/>
  <c r="F153" i="17" s="1"/>
  <c r="V138" i="17"/>
  <c r="E138" i="17"/>
  <c r="G112" i="17"/>
  <c r="S112" i="17" s="1"/>
  <c r="G124" i="17"/>
  <c r="I124" i="17" s="1"/>
  <c r="L52" i="17"/>
  <c r="Y52" i="17" s="1"/>
  <c r="I93" i="17"/>
  <c r="L93" i="17" s="1"/>
  <c r="Y93" i="17" s="1"/>
  <c r="J112" i="17"/>
  <c r="T112" i="17"/>
  <c r="J82" i="17"/>
  <c r="T82" i="17"/>
  <c r="E172" i="17"/>
  <c r="I82" i="17"/>
  <c r="S82" i="17"/>
  <c r="F142" i="17"/>
  <c r="V142" i="17"/>
  <c r="V154" i="17"/>
  <c r="L109" i="17"/>
  <c r="Y109" i="17" s="1"/>
  <c r="V153" i="17"/>
  <c r="S139" i="17"/>
  <c r="I139" i="17"/>
  <c r="H169" i="17"/>
  <c r="G169" i="17"/>
  <c r="L74" i="17"/>
  <c r="Y74" i="17" s="1"/>
  <c r="F199" i="17"/>
  <c r="V199" i="17"/>
  <c r="J139" i="17"/>
  <c r="T139" i="17"/>
  <c r="F164" i="17"/>
  <c r="V164" i="17"/>
  <c r="J104" i="17"/>
  <c r="T104" i="17"/>
  <c r="E194" i="17"/>
  <c r="I104" i="17"/>
  <c r="S104" i="17"/>
  <c r="H134" i="17"/>
  <c r="G134" i="17"/>
  <c r="L70" i="17"/>
  <c r="Y70" i="17" s="1"/>
  <c r="L65" i="17"/>
  <c r="Y65" i="17" s="1"/>
  <c r="L40" i="17"/>
  <c r="Y40" i="17" s="1"/>
  <c r="L36" i="17"/>
  <c r="Y36" i="17" s="1"/>
  <c r="V126" i="17"/>
  <c r="F126" i="17"/>
  <c r="G96" i="17"/>
  <c r="H96" i="17"/>
  <c r="J66" i="17"/>
  <c r="T66" i="17"/>
  <c r="E156" i="17"/>
  <c r="I66" i="17"/>
  <c r="S66" i="17"/>
  <c r="L94" i="17"/>
  <c r="Y94" i="17" s="1"/>
  <c r="J124" i="17"/>
  <c r="T124" i="17"/>
  <c r="L69" i="17"/>
  <c r="Y69" i="17" s="1"/>
  <c r="J95" i="17"/>
  <c r="T95" i="17"/>
  <c r="I95" i="17"/>
  <c r="S95" i="17"/>
  <c r="T123" i="17"/>
  <c r="J123" i="17"/>
  <c r="S123" i="17"/>
  <c r="I123" i="17"/>
  <c r="G129" i="17"/>
  <c r="H129" i="17"/>
  <c r="G100" i="17"/>
  <c r="H100" i="17"/>
  <c r="S99" i="17"/>
  <c r="I99" i="17"/>
  <c r="T99" i="17"/>
  <c r="J99" i="17"/>
  <c r="Y68" i="17"/>
  <c r="E47" i="11"/>
  <c r="L98" i="17"/>
  <c r="E171" i="17"/>
  <c r="E160" i="17"/>
  <c r="E170" i="17"/>
  <c r="E161" i="17"/>
  <c r="E198" i="17"/>
  <c r="E189" i="17"/>
  <c r="M111" i="17"/>
  <c r="M110" i="17"/>
  <c r="M100" i="17"/>
  <c r="V140" i="17"/>
  <c r="V158" i="17"/>
  <c r="F159" i="17"/>
  <c r="V159" i="17"/>
  <c r="V131" i="17"/>
  <c r="F130" i="17"/>
  <c r="V130" i="17"/>
  <c r="V141" i="17"/>
  <c r="AG10" i="17"/>
  <c r="E229" i="17" s="1"/>
  <c r="AI10" i="17"/>
  <c r="AJ9" i="17"/>
  <c r="AH9" i="17"/>
  <c r="I112" i="17" l="1"/>
  <c r="G154" i="17"/>
  <c r="G153" i="17"/>
  <c r="H153" i="17"/>
  <c r="V162" i="17"/>
  <c r="E162" i="17"/>
  <c r="E183" i="17"/>
  <c r="F183" i="17" s="1"/>
  <c r="V168" i="17"/>
  <c r="E168" i="17"/>
  <c r="V157" i="17"/>
  <c r="E157" i="17"/>
  <c r="E155" i="17"/>
  <c r="F155" i="17" s="1"/>
  <c r="V167" i="17"/>
  <c r="E167" i="17"/>
  <c r="V173" i="17"/>
  <c r="E173" i="17"/>
  <c r="V165" i="17"/>
  <c r="E165" i="17"/>
  <c r="V166" i="17"/>
  <c r="E166" i="17"/>
  <c r="E184" i="17"/>
  <c r="F184" i="17" s="1"/>
  <c r="V193" i="17"/>
  <c r="E193" i="17"/>
  <c r="S124" i="17"/>
  <c r="L112" i="17"/>
  <c r="Y112" i="17" s="1"/>
  <c r="V183" i="17"/>
  <c r="L82" i="17"/>
  <c r="Y82" i="17" s="1"/>
  <c r="V172" i="17"/>
  <c r="F172" i="17"/>
  <c r="V202" i="17"/>
  <c r="V184" i="17"/>
  <c r="H142" i="17"/>
  <c r="G142" i="17"/>
  <c r="H199" i="17"/>
  <c r="G199" i="17"/>
  <c r="I169" i="17"/>
  <c r="S169" i="17"/>
  <c r="T169" i="17"/>
  <c r="J169" i="17"/>
  <c r="L139" i="17"/>
  <c r="Y139" i="17" s="1"/>
  <c r="F229" i="17"/>
  <c r="V229" i="17"/>
  <c r="L104" i="17"/>
  <c r="Y104" i="17" s="1"/>
  <c r="H125" i="17"/>
  <c r="J125" i="17" s="1"/>
  <c r="E188" i="17"/>
  <c r="E224" i="17"/>
  <c r="V194" i="17"/>
  <c r="F194" i="17"/>
  <c r="S134" i="17"/>
  <c r="I134" i="17"/>
  <c r="T134" i="17"/>
  <c r="J134" i="17"/>
  <c r="G164" i="17"/>
  <c r="H164" i="17"/>
  <c r="V155" i="17"/>
  <c r="L123" i="17"/>
  <c r="Y123" i="17" s="1"/>
  <c r="L124" i="17"/>
  <c r="Y124" i="17" s="1"/>
  <c r="L66" i="17"/>
  <c r="Y66" i="17" s="1"/>
  <c r="F156" i="17"/>
  <c r="V156" i="17"/>
  <c r="J96" i="17"/>
  <c r="T96" i="17"/>
  <c r="I96" i="17"/>
  <c r="S96" i="17"/>
  <c r="E186" i="17"/>
  <c r="G126" i="17"/>
  <c r="H126" i="17"/>
  <c r="T154" i="17"/>
  <c r="J154" i="17"/>
  <c r="V214" i="17"/>
  <c r="I154" i="17"/>
  <c r="S154" i="17"/>
  <c r="I125" i="17"/>
  <c r="S125" i="17"/>
  <c r="L95" i="17"/>
  <c r="Y95" i="17" s="1"/>
  <c r="L99" i="17"/>
  <c r="Y99" i="17" s="1"/>
  <c r="T153" i="17"/>
  <c r="J153" i="17"/>
  <c r="I153" i="17"/>
  <c r="S153" i="17"/>
  <c r="G130" i="17"/>
  <c r="H130" i="17"/>
  <c r="J100" i="17"/>
  <c r="T100" i="17"/>
  <c r="H159" i="17"/>
  <c r="G159" i="17"/>
  <c r="S100" i="17"/>
  <c r="I100" i="17"/>
  <c r="T129" i="17"/>
  <c r="J129" i="17"/>
  <c r="I129" i="17"/>
  <c r="S129" i="17"/>
  <c r="E48" i="11"/>
  <c r="Y98" i="17"/>
  <c r="L138" i="17"/>
  <c r="Y138" i="17" s="1"/>
  <c r="L128" i="17"/>
  <c r="E190" i="17"/>
  <c r="E201" i="17"/>
  <c r="E200" i="17"/>
  <c r="E191" i="17"/>
  <c r="V198" i="17"/>
  <c r="E219" i="17"/>
  <c r="M130" i="17"/>
  <c r="M140" i="17"/>
  <c r="V170" i="17"/>
  <c r="V171" i="17"/>
  <c r="F189" i="17"/>
  <c r="V189" i="17"/>
  <c r="F160" i="17"/>
  <c r="V160" i="17"/>
  <c r="M141" i="17"/>
  <c r="V161" i="17"/>
  <c r="AG11" i="17"/>
  <c r="E259" i="17" s="1"/>
  <c r="AH10" i="17"/>
  <c r="AJ10" i="17"/>
  <c r="AI11" i="17"/>
  <c r="V188" i="17" l="1"/>
  <c r="H183" i="17"/>
  <c r="G183" i="17"/>
  <c r="H155" i="17"/>
  <c r="G155" i="17"/>
  <c r="G184" i="17"/>
  <c r="H184" i="17"/>
  <c r="V223" i="17"/>
  <c r="E223" i="17"/>
  <c r="V195" i="17"/>
  <c r="E195" i="17"/>
  <c r="V234" i="17"/>
  <c r="E234" i="17"/>
  <c r="V192" i="17"/>
  <c r="E192" i="17"/>
  <c r="V187" i="17"/>
  <c r="E187" i="17"/>
  <c r="E214" i="17"/>
  <c r="F214" i="17" s="1"/>
  <c r="V203" i="17"/>
  <c r="E203" i="17"/>
  <c r="E185" i="17"/>
  <c r="F185" i="17" s="1"/>
  <c r="G185" i="17" s="1"/>
  <c r="V196" i="17"/>
  <c r="E196" i="17"/>
  <c r="V204" i="17"/>
  <c r="E204" i="17"/>
  <c r="E202" i="17"/>
  <c r="F202" i="17" s="1"/>
  <c r="V227" i="17"/>
  <c r="E227" i="17"/>
  <c r="F213" i="17"/>
  <c r="G213" i="17" s="1"/>
  <c r="E213" i="17"/>
  <c r="V197" i="17"/>
  <c r="E197" i="17"/>
  <c r="S142" i="17"/>
  <c r="I142" i="17"/>
  <c r="T142" i="17"/>
  <c r="J142" i="17"/>
  <c r="E232" i="17"/>
  <c r="T125" i="17"/>
  <c r="H172" i="17"/>
  <c r="G172" i="17"/>
  <c r="V185" i="17"/>
  <c r="H229" i="17"/>
  <c r="G229" i="17"/>
  <c r="V259" i="17"/>
  <c r="F259" i="17"/>
  <c r="L169" i="17"/>
  <c r="Y169" i="17" s="1"/>
  <c r="I199" i="17"/>
  <c r="S199" i="17"/>
  <c r="J199" i="17"/>
  <c r="T199" i="17"/>
  <c r="V213" i="17"/>
  <c r="L134" i="17"/>
  <c r="Y134" i="17" s="1"/>
  <c r="E254" i="17"/>
  <c r="G194" i="17"/>
  <c r="H194" i="17"/>
  <c r="J164" i="17"/>
  <c r="T164" i="17"/>
  <c r="F224" i="17"/>
  <c r="V224" i="17"/>
  <c r="I164" i="17"/>
  <c r="S164" i="17"/>
  <c r="L125" i="17"/>
  <c r="Y125" i="17" s="1"/>
  <c r="L96" i="17"/>
  <c r="Y96" i="17" s="1"/>
  <c r="L154" i="17"/>
  <c r="Y154" i="17" s="1"/>
  <c r="F186" i="17"/>
  <c r="V186" i="17"/>
  <c r="L129" i="17"/>
  <c r="Y129" i="17" s="1"/>
  <c r="E216" i="17"/>
  <c r="L100" i="17"/>
  <c r="Y100" i="17" s="1"/>
  <c r="T126" i="17"/>
  <c r="J126" i="17"/>
  <c r="S126" i="17"/>
  <c r="I126" i="17"/>
  <c r="H156" i="17"/>
  <c r="G156" i="17"/>
  <c r="J184" i="17"/>
  <c r="T184" i="17"/>
  <c r="I184" i="17"/>
  <c r="S184" i="17"/>
  <c r="S155" i="17"/>
  <c r="I155" i="17"/>
  <c r="J155" i="17"/>
  <c r="T155" i="17"/>
  <c r="L153" i="17"/>
  <c r="Y153" i="17" s="1"/>
  <c r="J183" i="17"/>
  <c r="T183" i="17"/>
  <c r="I183" i="17"/>
  <c r="S183" i="17"/>
  <c r="I159" i="17"/>
  <c r="S159" i="17"/>
  <c r="T159" i="17"/>
  <c r="J159" i="17"/>
  <c r="G160" i="17"/>
  <c r="H160" i="17"/>
  <c r="J130" i="17"/>
  <c r="T130" i="17"/>
  <c r="G189" i="17"/>
  <c r="H189" i="17"/>
  <c r="I130" i="17"/>
  <c r="S130" i="17"/>
  <c r="E49" i="11"/>
  <c r="Y128" i="17"/>
  <c r="L168" i="17"/>
  <c r="Y168" i="17" s="1"/>
  <c r="E220" i="17"/>
  <c r="E231" i="17"/>
  <c r="E230" i="17"/>
  <c r="E221" i="17"/>
  <c r="E249" i="17"/>
  <c r="M170" i="17"/>
  <c r="M160" i="17"/>
  <c r="L158" i="17"/>
  <c r="L198" i="17"/>
  <c r="Y198" i="17" s="1"/>
  <c r="M171" i="17"/>
  <c r="V201" i="17"/>
  <c r="V191" i="17"/>
  <c r="F190" i="17"/>
  <c r="V190" i="17"/>
  <c r="V200" i="17"/>
  <c r="F219" i="17"/>
  <c r="V219" i="17"/>
  <c r="AH11" i="17"/>
  <c r="AI12" i="17"/>
  <c r="AJ11" i="17"/>
  <c r="AG12" i="17"/>
  <c r="E289" i="17" s="1"/>
  <c r="G202" i="17" l="1"/>
  <c r="H202" i="17"/>
  <c r="T202" i="17" s="1"/>
  <c r="H214" i="17"/>
  <c r="G214" i="17"/>
  <c r="E243" i="17"/>
  <c r="F243" i="17" s="1"/>
  <c r="V217" i="17"/>
  <c r="E217" i="17"/>
  <c r="V244" i="17"/>
  <c r="E244" i="17"/>
  <c r="F244" i="17" s="1"/>
  <c r="H244" i="17" s="1"/>
  <c r="V226" i="17"/>
  <c r="E226" i="17"/>
  <c r="H213" i="17"/>
  <c r="V218" i="17"/>
  <c r="E218" i="17"/>
  <c r="V233" i="17"/>
  <c r="E233" i="17"/>
  <c r="V228" i="17"/>
  <c r="E228" i="17"/>
  <c r="V225" i="17"/>
  <c r="E225" i="17"/>
  <c r="H185" i="17"/>
  <c r="V222" i="17"/>
  <c r="E222" i="17"/>
  <c r="V264" i="17"/>
  <c r="E264" i="17"/>
  <c r="E215" i="17"/>
  <c r="F215" i="17" s="1"/>
  <c r="V253" i="17"/>
  <c r="E253" i="17"/>
  <c r="L142" i="17"/>
  <c r="Y142" i="17" s="1"/>
  <c r="L164" i="17"/>
  <c r="Y164" i="17" s="1"/>
  <c r="F232" i="17"/>
  <c r="V232" i="17"/>
  <c r="J202" i="17"/>
  <c r="I202" i="17"/>
  <c r="S202" i="17"/>
  <c r="I172" i="17"/>
  <c r="S172" i="17"/>
  <c r="E262" i="17"/>
  <c r="J172" i="17"/>
  <c r="T172" i="17"/>
  <c r="L199" i="17"/>
  <c r="Y199" i="17" s="1"/>
  <c r="V215" i="17"/>
  <c r="H259" i="17"/>
  <c r="G259" i="17"/>
  <c r="I229" i="17"/>
  <c r="S229" i="17"/>
  <c r="V289" i="17"/>
  <c r="F289" i="17"/>
  <c r="J229" i="17"/>
  <c r="T229" i="17"/>
  <c r="V243" i="17"/>
  <c r="H224" i="17"/>
  <c r="G224" i="17"/>
  <c r="T194" i="17"/>
  <c r="J194" i="17"/>
  <c r="I194" i="17"/>
  <c r="S194" i="17"/>
  <c r="F254" i="17"/>
  <c r="V254" i="17"/>
  <c r="E284" i="17"/>
  <c r="L183" i="17"/>
  <c r="Y183" i="17" s="1"/>
  <c r="L159" i="17"/>
  <c r="Y159" i="17" s="1"/>
  <c r="L155" i="17"/>
  <c r="Y155" i="17" s="1"/>
  <c r="F216" i="17"/>
  <c r="V216" i="17"/>
  <c r="E246" i="17"/>
  <c r="I156" i="17"/>
  <c r="S156" i="17"/>
  <c r="J156" i="17"/>
  <c r="T156" i="17"/>
  <c r="L126" i="17"/>
  <c r="Y126" i="17" s="1"/>
  <c r="L184" i="17"/>
  <c r="Y184" i="17" s="1"/>
  <c r="G186" i="17"/>
  <c r="H186" i="17"/>
  <c r="S214" i="17"/>
  <c r="I214" i="17"/>
  <c r="J214" i="17"/>
  <c r="T214" i="17"/>
  <c r="T185" i="17"/>
  <c r="J185" i="17"/>
  <c r="I185" i="17"/>
  <c r="S185" i="17"/>
  <c r="L130" i="17"/>
  <c r="Y130" i="17" s="1"/>
  <c r="J213" i="17"/>
  <c r="T213" i="17"/>
  <c r="I213" i="17"/>
  <c r="S213" i="17"/>
  <c r="J160" i="17"/>
  <c r="T160" i="17"/>
  <c r="I160" i="17"/>
  <c r="S160" i="17"/>
  <c r="G219" i="17"/>
  <c r="H219" i="17"/>
  <c r="J189" i="17"/>
  <c r="T189" i="17"/>
  <c r="G190" i="17"/>
  <c r="H190" i="17"/>
  <c r="I189" i="17"/>
  <c r="S189" i="17"/>
  <c r="E50" i="11"/>
  <c r="Y158" i="17"/>
  <c r="E250" i="17"/>
  <c r="E261" i="17"/>
  <c r="E260" i="17"/>
  <c r="E251" i="17"/>
  <c r="E279" i="17"/>
  <c r="M200" i="17"/>
  <c r="L188" i="17"/>
  <c r="M201" i="17"/>
  <c r="M190" i="17"/>
  <c r="V221" i="17"/>
  <c r="V231" i="17"/>
  <c r="F249" i="17"/>
  <c r="V249" i="17"/>
  <c r="F220" i="17"/>
  <c r="V220" i="17"/>
  <c r="V230" i="17"/>
  <c r="AJ12" i="17"/>
  <c r="AI13" i="17"/>
  <c r="AG13" i="17"/>
  <c r="E319" i="17" s="1"/>
  <c r="AH12" i="17"/>
  <c r="G243" i="17" l="1"/>
  <c r="H243" i="17"/>
  <c r="H215" i="17"/>
  <c r="G215" i="17"/>
  <c r="E273" i="17"/>
  <c r="F273" i="17" s="1"/>
  <c r="E274" i="17"/>
  <c r="F274" i="17" s="1"/>
  <c r="V256" i="17"/>
  <c r="E256" i="17"/>
  <c r="V247" i="17"/>
  <c r="E247" i="17"/>
  <c r="V248" i="17"/>
  <c r="E248" i="17"/>
  <c r="V257" i="17"/>
  <c r="E257" i="17"/>
  <c r="V245" i="17"/>
  <c r="E245" i="17"/>
  <c r="F245" i="17" s="1"/>
  <c r="H245" i="17" s="1"/>
  <c r="V258" i="17"/>
  <c r="E258" i="17"/>
  <c r="V294" i="17"/>
  <c r="E294" i="17"/>
  <c r="V263" i="17"/>
  <c r="E263" i="17"/>
  <c r="V252" i="17"/>
  <c r="E252" i="17"/>
  <c r="V283" i="17"/>
  <c r="E283" i="17"/>
  <c r="V255" i="17"/>
  <c r="E255" i="17"/>
  <c r="G244" i="17"/>
  <c r="I244" i="17" s="1"/>
  <c r="V274" i="17"/>
  <c r="L202" i="17"/>
  <c r="Y202" i="17" s="1"/>
  <c r="L172" i="17"/>
  <c r="Y172" i="17" s="1"/>
  <c r="H232" i="17"/>
  <c r="G232" i="17"/>
  <c r="E292" i="17"/>
  <c r="F262" i="17"/>
  <c r="V262" i="17"/>
  <c r="L229" i="17"/>
  <c r="Y229" i="17" s="1"/>
  <c r="H289" i="17"/>
  <c r="G289" i="17"/>
  <c r="F319" i="17"/>
  <c r="V319" i="17"/>
  <c r="I259" i="17"/>
  <c r="S259" i="17"/>
  <c r="T259" i="17"/>
  <c r="J259" i="17"/>
  <c r="V273" i="17"/>
  <c r="L194" i="17"/>
  <c r="Y194" i="17" s="1"/>
  <c r="E314" i="17"/>
  <c r="H254" i="17"/>
  <c r="G254" i="17"/>
  <c r="F284" i="17"/>
  <c r="V284" i="17"/>
  <c r="I224" i="17"/>
  <c r="S224" i="17"/>
  <c r="J224" i="17"/>
  <c r="T224" i="17"/>
  <c r="L156" i="17"/>
  <c r="Y156" i="17" s="1"/>
  <c r="L213" i="17"/>
  <c r="Y213" i="17" s="1"/>
  <c r="L185" i="17"/>
  <c r="Y185" i="17" s="1"/>
  <c r="L214" i="17"/>
  <c r="Y214" i="17" s="1"/>
  <c r="E276" i="17"/>
  <c r="J186" i="17"/>
  <c r="T186" i="17"/>
  <c r="V246" i="17"/>
  <c r="F246" i="17"/>
  <c r="I186" i="17"/>
  <c r="S186" i="17"/>
  <c r="H216" i="17"/>
  <c r="G216" i="17"/>
  <c r="L189" i="17"/>
  <c r="Y189" i="17" s="1"/>
  <c r="J244" i="17"/>
  <c r="T244" i="17"/>
  <c r="I215" i="17"/>
  <c r="S215" i="17"/>
  <c r="J215" i="17"/>
  <c r="T215" i="17"/>
  <c r="S243" i="17"/>
  <c r="I243" i="17"/>
  <c r="L160" i="17"/>
  <c r="Y160" i="17" s="1"/>
  <c r="T243" i="17"/>
  <c r="J243" i="17"/>
  <c r="G249" i="17"/>
  <c r="H249" i="17"/>
  <c r="T219" i="17"/>
  <c r="J219" i="17"/>
  <c r="I219" i="17"/>
  <c r="S219" i="17"/>
  <c r="G220" i="17"/>
  <c r="H220" i="17"/>
  <c r="T190" i="17"/>
  <c r="J190" i="17"/>
  <c r="S190" i="17"/>
  <c r="I190" i="17"/>
  <c r="E51" i="11"/>
  <c r="Y188" i="17"/>
  <c r="L258" i="17"/>
  <c r="Y258" i="17" s="1"/>
  <c r="E280" i="17"/>
  <c r="E291" i="17"/>
  <c r="E290" i="17"/>
  <c r="E281" i="17"/>
  <c r="L218" i="17"/>
  <c r="L228" i="17"/>
  <c r="Y228" i="17" s="1"/>
  <c r="E309" i="17"/>
  <c r="M231" i="17"/>
  <c r="M220" i="17"/>
  <c r="F279" i="17"/>
  <c r="V279" i="17"/>
  <c r="M230" i="17"/>
  <c r="V261" i="17"/>
  <c r="V251" i="17"/>
  <c r="F250" i="17"/>
  <c r="V250" i="17"/>
  <c r="V260" i="17"/>
  <c r="AJ13" i="17"/>
  <c r="AI14" i="17"/>
  <c r="AH13" i="17"/>
  <c r="AG14" i="17"/>
  <c r="E349" i="17" s="1"/>
  <c r="H274" i="17" l="1"/>
  <c r="G274" i="17"/>
  <c r="G273" i="17"/>
  <c r="H273" i="17"/>
  <c r="V275" i="17"/>
  <c r="E275" i="17"/>
  <c r="V288" i="17"/>
  <c r="E288" i="17"/>
  <c r="V277" i="17"/>
  <c r="E277" i="17"/>
  <c r="V286" i="17"/>
  <c r="E286" i="17"/>
  <c r="V278" i="17"/>
  <c r="E278" i="17"/>
  <c r="V287" i="17"/>
  <c r="E287" i="17"/>
  <c r="V324" i="17"/>
  <c r="E324" i="17"/>
  <c r="V282" i="17"/>
  <c r="E282" i="17"/>
  <c r="V313" i="17"/>
  <c r="E313" i="17"/>
  <c r="V293" i="17"/>
  <c r="E293" i="17"/>
  <c r="V303" i="17"/>
  <c r="E303" i="17"/>
  <c r="V285" i="17"/>
  <c r="E285" i="17"/>
  <c r="V304" i="17"/>
  <c r="E304" i="17"/>
  <c r="F304" i="17" s="1"/>
  <c r="H304" i="17" s="1"/>
  <c r="F303" i="17"/>
  <c r="H303" i="17" s="1"/>
  <c r="S244" i="17"/>
  <c r="E322" i="17"/>
  <c r="H262" i="17"/>
  <c r="G262" i="17"/>
  <c r="F292" i="17"/>
  <c r="V292" i="17"/>
  <c r="I232" i="17"/>
  <c r="S232" i="17"/>
  <c r="J232" i="17"/>
  <c r="T232" i="17"/>
  <c r="L259" i="17"/>
  <c r="Y259" i="17" s="1"/>
  <c r="F275" i="17"/>
  <c r="H275" i="17" s="1"/>
  <c r="H319" i="17"/>
  <c r="G319" i="17"/>
  <c r="S289" i="17"/>
  <c r="I289" i="17"/>
  <c r="F349" i="17"/>
  <c r="V349" i="17"/>
  <c r="T289" i="17"/>
  <c r="J289" i="17"/>
  <c r="L224" i="17"/>
  <c r="Y224" i="17" s="1"/>
  <c r="E344" i="17"/>
  <c r="H284" i="17"/>
  <c r="G284" i="17"/>
  <c r="I254" i="17"/>
  <c r="S254" i="17"/>
  <c r="J254" i="17"/>
  <c r="T254" i="17"/>
  <c r="F314" i="17"/>
  <c r="V314" i="17"/>
  <c r="L219" i="17"/>
  <c r="Y219" i="17" s="1"/>
  <c r="G245" i="17"/>
  <c r="S245" i="17" s="1"/>
  <c r="L186" i="17"/>
  <c r="Y186" i="17" s="1"/>
  <c r="L244" i="17"/>
  <c r="Y244" i="17" s="1"/>
  <c r="H246" i="17"/>
  <c r="G246" i="17"/>
  <c r="E306" i="17"/>
  <c r="I216" i="17"/>
  <c r="S216" i="17"/>
  <c r="F276" i="17"/>
  <c r="V276" i="17"/>
  <c r="J216" i="17"/>
  <c r="T216" i="17"/>
  <c r="L190" i="17"/>
  <c r="Y190" i="17" s="1"/>
  <c r="T274" i="17"/>
  <c r="J274" i="17"/>
  <c r="I274" i="17"/>
  <c r="S274" i="17"/>
  <c r="L215" i="17"/>
  <c r="Y215" i="17" s="1"/>
  <c r="J245" i="17"/>
  <c r="T245" i="17"/>
  <c r="J273" i="17"/>
  <c r="T273" i="17"/>
  <c r="S273" i="17"/>
  <c r="I273" i="17"/>
  <c r="L243" i="17"/>
  <c r="Y243" i="17" s="1"/>
  <c r="H279" i="17"/>
  <c r="G279" i="17"/>
  <c r="J220" i="17"/>
  <c r="T220" i="17"/>
  <c r="I220" i="17"/>
  <c r="S220" i="17"/>
  <c r="G250" i="17"/>
  <c r="H250" i="17"/>
  <c r="T249" i="17"/>
  <c r="J249" i="17"/>
  <c r="S249" i="17"/>
  <c r="I249" i="17"/>
  <c r="E52" i="11"/>
  <c r="Y218" i="17"/>
  <c r="E321" i="17"/>
  <c r="E310" i="17"/>
  <c r="E320" i="17"/>
  <c r="E311" i="17"/>
  <c r="E339" i="17"/>
  <c r="M261" i="17"/>
  <c r="M260" i="17"/>
  <c r="L248" i="17"/>
  <c r="M250" i="17"/>
  <c r="V291" i="17"/>
  <c r="F309" i="17"/>
  <c r="V309" i="17"/>
  <c r="V281" i="17"/>
  <c r="V290" i="17"/>
  <c r="F280" i="17"/>
  <c r="V280" i="17"/>
  <c r="AJ14" i="17"/>
  <c r="AH14" i="17"/>
  <c r="AI15" i="17"/>
  <c r="AG15" i="17"/>
  <c r="E379" i="17" s="1"/>
  <c r="V316" i="17" l="1"/>
  <c r="E316" i="17"/>
  <c r="V323" i="17"/>
  <c r="E323" i="17"/>
  <c r="V312" i="17"/>
  <c r="E312" i="17"/>
  <c r="E333" i="17"/>
  <c r="F333" i="17" s="1"/>
  <c r="V317" i="17"/>
  <c r="E317" i="17"/>
  <c r="V308" i="17"/>
  <c r="E308" i="17"/>
  <c r="V315" i="17"/>
  <c r="E315" i="17"/>
  <c r="V343" i="17"/>
  <c r="E343" i="17"/>
  <c r="V307" i="17"/>
  <c r="E307" i="17"/>
  <c r="V334" i="17"/>
  <c r="E334" i="17"/>
  <c r="F334" i="17" s="1"/>
  <c r="H334" i="17" s="1"/>
  <c r="V354" i="17"/>
  <c r="E354" i="17"/>
  <c r="E305" i="17"/>
  <c r="F305" i="17" s="1"/>
  <c r="G305" i="17" s="1"/>
  <c r="V318" i="17"/>
  <c r="E318" i="17"/>
  <c r="G303" i="17"/>
  <c r="S303" i="17" s="1"/>
  <c r="G275" i="17"/>
  <c r="I275" i="17" s="1"/>
  <c r="G304" i="17"/>
  <c r="I304" i="17" s="1"/>
  <c r="I245" i="17"/>
  <c r="L245" i="17" s="1"/>
  <c r="Y245" i="17" s="1"/>
  <c r="L216" i="17"/>
  <c r="Y216" i="17" s="1"/>
  <c r="E352" i="17"/>
  <c r="L232" i="17"/>
  <c r="Y232" i="17" s="1"/>
  <c r="H292" i="17"/>
  <c r="G292" i="17"/>
  <c r="S262" i="17"/>
  <c r="I262" i="17"/>
  <c r="J262" i="17"/>
  <c r="T262" i="17"/>
  <c r="F322" i="17"/>
  <c r="V322" i="17"/>
  <c r="G349" i="17"/>
  <c r="H349" i="17"/>
  <c r="L289" i="17"/>
  <c r="Y289" i="17" s="1"/>
  <c r="S319" i="17"/>
  <c r="I319" i="17"/>
  <c r="J319" i="17"/>
  <c r="T319" i="17"/>
  <c r="F379" i="17"/>
  <c r="V379" i="17"/>
  <c r="L254" i="17"/>
  <c r="Y254" i="17" s="1"/>
  <c r="E374" i="17"/>
  <c r="V333" i="17"/>
  <c r="I284" i="17"/>
  <c r="S284" i="17"/>
  <c r="J284" i="17"/>
  <c r="T284" i="17"/>
  <c r="F344" i="17"/>
  <c r="V344" i="17"/>
  <c r="G314" i="17"/>
  <c r="H314" i="17"/>
  <c r="V305" i="17"/>
  <c r="L273" i="17"/>
  <c r="Y273" i="17" s="1"/>
  <c r="H276" i="17"/>
  <c r="G276" i="17"/>
  <c r="F306" i="17"/>
  <c r="V306" i="17"/>
  <c r="I246" i="17"/>
  <c r="S246" i="17"/>
  <c r="E336" i="17"/>
  <c r="L249" i="17"/>
  <c r="Y249" i="17" s="1"/>
  <c r="J246" i="17"/>
  <c r="T246" i="17"/>
  <c r="L274" i="17"/>
  <c r="Y274" i="17" s="1"/>
  <c r="J304" i="17"/>
  <c r="T304" i="17"/>
  <c r="T275" i="17"/>
  <c r="J275" i="17"/>
  <c r="I303" i="17"/>
  <c r="J303" i="17"/>
  <c r="T303" i="17"/>
  <c r="L220" i="17"/>
  <c r="Y220" i="17" s="1"/>
  <c r="G309" i="17"/>
  <c r="H309" i="17"/>
  <c r="S250" i="17"/>
  <c r="I250" i="17"/>
  <c r="G280" i="17"/>
  <c r="H280" i="17"/>
  <c r="T250" i="17"/>
  <c r="J250" i="17"/>
  <c r="I279" i="17"/>
  <c r="S279" i="17"/>
  <c r="J279" i="17"/>
  <c r="T279" i="17"/>
  <c r="E53" i="11"/>
  <c r="Y248" i="17"/>
  <c r="L288" i="17"/>
  <c r="Y288" i="17" s="1"/>
  <c r="L278" i="17"/>
  <c r="E340" i="17"/>
  <c r="E351" i="17"/>
  <c r="M280" i="17"/>
  <c r="E350" i="17"/>
  <c r="E341" i="17"/>
  <c r="E377" i="17"/>
  <c r="E369" i="17"/>
  <c r="M290" i="17"/>
  <c r="V321" i="17"/>
  <c r="F310" i="17"/>
  <c r="V310" i="17"/>
  <c r="F339" i="17"/>
  <c r="V339" i="17"/>
  <c r="V311" i="17"/>
  <c r="V320" i="17"/>
  <c r="AI16" i="17"/>
  <c r="AH15" i="17"/>
  <c r="AG16" i="17"/>
  <c r="E409" i="17" s="1"/>
  <c r="AJ15" i="17"/>
  <c r="G333" i="17" l="1"/>
  <c r="H333" i="17"/>
  <c r="V347" i="17"/>
  <c r="E347" i="17"/>
  <c r="V353" i="17"/>
  <c r="E353" i="17"/>
  <c r="V373" i="17"/>
  <c r="E373" i="17"/>
  <c r="V345" i="17"/>
  <c r="E345" i="17"/>
  <c r="E363" i="17"/>
  <c r="F363" i="17" s="1"/>
  <c r="H363" i="17" s="1"/>
  <c r="V364" i="17"/>
  <c r="E364" i="17"/>
  <c r="V384" i="17"/>
  <c r="E384" i="17"/>
  <c r="H305" i="17"/>
  <c r="T305" i="17" s="1"/>
  <c r="V342" i="17"/>
  <c r="E342" i="17"/>
  <c r="V337" i="17"/>
  <c r="E337" i="17"/>
  <c r="V346" i="17"/>
  <c r="E346" i="17"/>
  <c r="V348" i="17"/>
  <c r="E348" i="17"/>
  <c r="V335" i="17"/>
  <c r="E335" i="17"/>
  <c r="F335" i="17" s="1"/>
  <c r="G335" i="17" s="1"/>
  <c r="V338" i="17"/>
  <c r="E338" i="17"/>
  <c r="S275" i="17"/>
  <c r="S304" i="17"/>
  <c r="G334" i="17"/>
  <c r="I334" i="17" s="1"/>
  <c r="L262" i="17"/>
  <c r="Y262" i="17" s="1"/>
  <c r="E382" i="17"/>
  <c r="I292" i="17"/>
  <c r="S292" i="17"/>
  <c r="J292" i="17"/>
  <c r="T292" i="17"/>
  <c r="H322" i="17"/>
  <c r="G322" i="17"/>
  <c r="F352" i="17"/>
  <c r="V352" i="17"/>
  <c r="H379" i="17"/>
  <c r="G379" i="17"/>
  <c r="L319" i="17"/>
  <c r="Y319" i="17" s="1"/>
  <c r="V409" i="17"/>
  <c r="F409" i="17"/>
  <c r="F364" i="17"/>
  <c r="G364" i="17" s="1"/>
  <c r="J349" i="17"/>
  <c r="T349" i="17"/>
  <c r="I349" i="17"/>
  <c r="S349" i="17"/>
  <c r="V363" i="17"/>
  <c r="H344" i="17"/>
  <c r="G344" i="17"/>
  <c r="L284" i="17"/>
  <c r="Y284" i="17" s="1"/>
  <c r="T314" i="17"/>
  <c r="J314" i="17"/>
  <c r="I314" i="17"/>
  <c r="S314" i="17"/>
  <c r="V374" i="17"/>
  <c r="F374" i="17"/>
  <c r="E404" i="17"/>
  <c r="L246" i="17"/>
  <c r="Y246" i="17" s="1"/>
  <c r="L279" i="17"/>
  <c r="Y279" i="17" s="1"/>
  <c r="F336" i="17"/>
  <c r="V336" i="17"/>
  <c r="E366" i="17"/>
  <c r="L304" i="17"/>
  <c r="Y304" i="17" s="1"/>
  <c r="H306" i="17"/>
  <c r="G306" i="17"/>
  <c r="I276" i="17"/>
  <c r="S276" i="17"/>
  <c r="J276" i="17"/>
  <c r="T276" i="17"/>
  <c r="S334" i="17"/>
  <c r="J334" i="17"/>
  <c r="T334" i="17"/>
  <c r="L303" i="17"/>
  <c r="Y303" i="17" s="1"/>
  <c r="S305" i="17"/>
  <c r="I305" i="17"/>
  <c r="L275" i="17"/>
  <c r="Y275" i="17" s="1"/>
  <c r="L250" i="17"/>
  <c r="Y250" i="17" s="1"/>
  <c r="T333" i="17"/>
  <c r="J333" i="17"/>
  <c r="S333" i="17"/>
  <c r="I333" i="17"/>
  <c r="H310" i="17"/>
  <c r="G310" i="17"/>
  <c r="G339" i="17"/>
  <c r="H339" i="17"/>
  <c r="J280" i="17"/>
  <c r="T280" i="17"/>
  <c r="S280" i="17"/>
  <c r="I280" i="17"/>
  <c r="J309" i="17"/>
  <c r="T309" i="17"/>
  <c r="I309" i="17"/>
  <c r="S309" i="17"/>
  <c r="L348" i="17"/>
  <c r="Y348" i="17" s="1"/>
  <c r="Y278" i="17"/>
  <c r="E54" i="11"/>
  <c r="L318" i="17"/>
  <c r="Y318" i="17" s="1"/>
  <c r="E381" i="17"/>
  <c r="E370" i="17"/>
  <c r="E380" i="17"/>
  <c r="E371" i="17"/>
  <c r="V377" i="17"/>
  <c r="E399" i="17"/>
  <c r="L308" i="17"/>
  <c r="M320" i="17"/>
  <c r="M310" i="17"/>
  <c r="M321" i="17"/>
  <c r="F340" i="17"/>
  <c r="V340" i="17"/>
  <c r="V351" i="17"/>
  <c r="F369" i="17"/>
  <c r="V369" i="17"/>
  <c r="V341" i="17"/>
  <c r="V350" i="17"/>
  <c r="AI17" i="17"/>
  <c r="AG17" i="17"/>
  <c r="E439" i="17" s="1"/>
  <c r="AH16" i="17"/>
  <c r="AJ16" i="17"/>
  <c r="G363" i="17" l="1"/>
  <c r="V376" i="17"/>
  <c r="E376" i="17"/>
  <c r="V383" i="17"/>
  <c r="E383" i="17"/>
  <c r="V375" i="17"/>
  <c r="E375" i="17"/>
  <c r="E365" i="17"/>
  <c r="F365" i="17" s="1"/>
  <c r="H365" i="17" s="1"/>
  <c r="V372" i="17"/>
  <c r="E372" i="17"/>
  <c r="V403" i="17"/>
  <c r="E403" i="17"/>
  <c r="E393" i="17"/>
  <c r="F393" i="17" s="1"/>
  <c r="J305" i="17"/>
  <c r="L305" i="17" s="1"/>
  <c r="Y305" i="17" s="1"/>
  <c r="V368" i="17"/>
  <c r="E368" i="17"/>
  <c r="V414" i="17"/>
  <c r="E414" i="17"/>
  <c r="E394" i="17"/>
  <c r="F394" i="17" s="1"/>
  <c r="V378" i="17"/>
  <c r="E378" i="17"/>
  <c r="V367" i="17"/>
  <c r="E367" i="17"/>
  <c r="V394" i="17"/>
  <c r="T322" i="17"/>
  <c r="J322" i="17"/>
  <c r="E412" i="17"/>
  <c r="L292" i="17"/>
  <c r="Y292" i="17" s="1"/>
  <c r="F382" i="17"/>
  <c r="V382" i="17"/>
  <c r="G352" i="17"/>
  <c r="H352" i="17"/>
  <c r="S322" i="17"/>
  <c r="I322" i="17"/>
  <c r="H409" i="17"/>
  <c r="G409" i="17"/>
  <c r="F439" i="17"/>
  <c r="V439" i="17"/>
  <c r="H364" i="17"/>
  <c r="T364" i="17" s="1"/>
  <c r="S379" i="17"/>
  <c r="I379" i="17"/>
  <c r="L349" i="17"/>
  <c r="Y349" i="17" s="1"/>
  <c r="J379" i="17"/>
  <c r="T379" i="17"/>
  <c r="L314" i="17"/>
  <c r="Y314" i="17" s="1"/>
  <c r="V393" i="17"/>
  <c r="V404" i="17"/>
  <c r="F404" i="17"/>
  <c r="E434" i="17"/>
  <c r="I344" i="17"/>
  <c r="S344" i="17"/>
  <c r="H374" i="17"/>
  <c r="G374" i="17"/>
  <c r="J344" i="17"/>
  <c r="T344" i="17"/>
  <c r="H335" i="17"/>
  <c r="T335" i="17" s="1"/>
  <c r="V365" i="17"/>
  <c r="L276" i="17"/>
  <c r="Y276" i="17" s="1"/>
  <c r="I306" i="17"/>
  <c r="S306" i="17"/>
  <c r="J306" i="17"/>
  <c r="T306" i="17"/>
  <c r="L334" i="17"/>
  <c r="Y334" i="17" s="1"/>
  <c r="V366" i="17"/>
  <c r="F366" i="17"/>
  <c r="E396" i="17"/>
  <c r="L309" i="17"/>
  <c r="Y309" i="17" s="1"/>
  <c r="G336" i="17"/>
  <c r="H336" i="17"/>
  <c r="S364" i="17"/>
  <c r="I364" i="17"/>
  <c r="I335" i="17"/>
  <c r="S335" i="17"/>
  <c r="T363" i="17"/>
  <c r="J363" i="17"/>
  <c r="I363" i="17"/>
  <c r="S363" i="17"/>
  <c r="L280" i="17"/>
  <c r="Y280" i="17" s="1"/>
  <c r="L333" i="17"/>
  <c r="Y333" i="17" s="1"/>
  <c r="H369" i="17"/>
  <c r="G369" i="17"/>
  <c r="J339" i="17"/>
  <c r="T339" i="17"/>
  <c r="I339" i="17"/>
  <c r="S339" i="17"/>
  <c r="S310" i="17"/>
  <c r="I310" i="17"/>
  <c r="H340" i="17"/>
  <c r="G340" i="17"/>
  <c r="J310" i="17"/>
  <c r="T310" i="17"/>
  <c r="Y308" i="17"/>
  <c r="E55" i="11"/>
  <c r="E411" i="17"/>
  <c r="E400" i="17"/>
  <c r="E410" i="17"/>
  <c r="E401" i="17"/>
  <c r="E429" i="17"/>
  <c r="M350" i="17"/>
  <c r="L338" i="17"/>
  <c r="L378" i="17"/>
  <c r="Y378" i="17" s="1"/>
  <c r="F370" i="17"/>
  <c r="V370" i="17"/>
  <c r="M351" i="17"/>
  <c r="V381" i="17"/>
  <c r="F399" i="17"/>
  <c r="V399" i="17"/>
  <c r="M340" i="17"/>
  <c r="V371" i="17"/>
  <c r="V380" i="17"/>
  <c r="AG18" i="17"/>
  <c r="E469" i="17" s="1"/>
  <c r="AJ17" i="17"/>
  <c r="AI18" i="17"/>
  <c r="AH17" i="17"/>
  <c r="H393" i="17" l="1"/>
  <c r="G393" i="17"/>
  <c r="G394" i="17"/>
  <c r="H394" i="17"/>
  <c r="G365" i="17"/>
  <c r="V407" i="17"/>
  <c r="E407" i="17"/>
  <c r="V402" i="17"/>
  <c r="E402" i="17"/>
  <c r="V408" i="17"/>
  <c r="E408" i="17"/>
  <c r="V444" i="17"/>
  <c r="E444" i="17"/>
  <c r="V397" i="17"/>
  <c r="E397" i="17"/>
  <c r="V406" i="17"/>
  <c r="E406" i="17"/>
  <c r="V395" i="17"/>
  <c r="E395" i="17"/>
  <c r="F395" i="17" s="1"/>
  <c r="H395" i="17" s="1"/>
  <c r="V398" i="17"/>
  <c r="E398" i="17"/>
  <c r="V413" i="17"/>
  <c r="E413" i="17"/>
  <c r="V405" i="17"/>
  <c r="E405" i="17"/>
  <c r="V433" i="17"/>
  <c r="E433" i="17"/>
  <c r="E423" i="17"/>
  <c r="F423" i="17" s="1"/>
  <c r="V424" i="17"/>
  <c r="E424" i="17"/>
  <c r="F424" i="17" s="1"/>
  <c r="G424" i="17" s="1"/>
  <c r="J364" i="17"/>
  <c r="L364" i="17" s="1"/>
  <c r="Y364" i="17" s="1"/>
  <c r="L322" i="17"/>
  <c r="Y322" i="17" s="1"/>
  <c r="I352" i="17"/>
  <c r="S352" i="17"/>
  <c r="E442" i="17"/>
  <c r="H382" i="17"/>
  <c r="G382" i="17"/>
  <c r="F412" i="17"/>
  <c r="V412" i="17"/>
  <c r="L379" i="17"/>
  <c r="Y379" i="17" s="1"/>
  <c r="T352" i="17"/>
  <c r="J352" i="17"/>
  <c r="V423" i="17"/>
  <c r="F469" i="17"/>
  <c r="V469" i="17"/>
  <c r="G439" i="17"/>
  <c r="H439" i="17"/>
  <c r="S409" i="17"/>
  <c r="I409" i="17"/>
  <c r="J409" i="17"/>
  <c r="T409" i="17"/>
  <c r="J335" i="17"/>
  <c r="L335" i="17" s="1"/>
  <c r="Y335" i="17" s="1"/>
  <c r="I374" i="17"/>
  <c r="S374" i="17"/>
  <c r="L344" i="17"/>
  <c r="Y344" i="17" s="1"/>
  <c r="E464" i="17"/>
  <c r="F434" i="17"/>
  <c r="V434" i="17"/>
  <c r="J374" i="17"/>
  <c r="T374" i="17"/>
  <c r="H404" i="17"/>
  <c r="G404" i="17"/>
  <c r="L339" i="17"/>
  <c r="Y339" i="17" s="1"/>
  <c r="L306" i="17"/>
  <c r="Y306" i="17" s="1"/>
  <c r="L363" i="17"/>
  <c r="Y363" i="17" s="1"/>
  <c r="H366" i="17"/>
  <c r="G366" i="17"/>
  <c r="E426" i="17"/>
  <c r="J336" i="17"/>
  <c r="T336" i="17"/>
  <c r="I336" i="17"/>
  <c r="S336" i="17"/>
  <c r="V396" i="17"/>
  <c r="F396" i="17"/>
  <c r="J394" i="17"/>
  <c r="T394" i="17"/>
  <c r="I394" i="17"/>
  <c r="S394" i="17"/>
  <c r="J365" i="17"/>
  <c r="T365" i="17"/>
  <c r="L310" i="17"/>
  <c r="Y310" i="17" s="1"/>
  <c r="I365" i="17"/>
  <c r="S365" i="17"/>
  <c r="I393" i="17"/>
  <c r="S393" i="17"/>
  <c r="J393" i="17"/>
  <c r="T393" i="17"/>
  <c r="G370" i="17"/>
  <c r="H370" i="17"/>
  <c r="G399" i="17"/>
  <c r="H399" i="17"/>
  <c r="I340" i="17"/>
  <c r="S340" i="17"/>
  <c r="I369" i="17"/>
  <c r="S369" i="17"/>
  <c r="J340" i="17"/>
  <c r="T340" i="17"/>
  <c r="J369" i="17"/>
  <c r="T369" i="17"/>
  <c r="E56" i="11"/>
  <c r="Y338" i="17"/>
  <c r="L368" i="17"/>
  <c r="M370" i="17"/>
  <c r="E430" i="17"/>
  <c r="E441" i="17"/>
  <c r="E440" i="17"/>
  <c r="E431" i="17"/>
  <c r="E458" i="17"/>
  <c r="L408" i="17"/>
  <c r="Y408" i="17" s="1"/>
  <c r="E459" i="17"/>
  <c r="M380" i="17"/>
  <c r="M381" i="17"/>
  <c r="F400" i="17"/>
  <c r="V400" i="17"/>
  <c r="V410" i="17"/>
  <c r="F429" i="17"/>
  <c r="V429" i="17"/>
  <c r="V411" i="17"/>
  <c r="V401" i="17"/>
  <c r="AI19" i="17"/>
  <c r="AH18" i="17"/>
  <c r="AJ18" i="17"/>
  <c r="AG19" i="17"/>
  <c r="E499" i="17" s="1"/>
  <c r="G423" i="17" l="1"/>
  <c r="I423" i="17" s="1"/>
  <c r="H423" i="17"/>
  <c r="V463" i="17"/>
  <c r="E463" i="17"/>
  <c r="V437" i="17"/>
  <c r="E437" i="17"/>
  <c r="V435" i="17"/>
  <c r="E435" i="17"/>
  <c r="V454" i="17"/>
  <c r="E454" i="17"/>
  <c r="F454" i="17" s="1"/>
  <c r="G454" i="17" s="1"/>
  <c r="E453" i="17"/>
  <c r="F453" i="17" s="1"/>
  <c r="V427" i="17"/>
  <c r="E427" i="17"/>
  <c r="V438" i="17"/>
  <c r="E438" i="17"/>
  <c r="V467" i="17"/>
  <c r="E467" i="17"/>
  <c r="E425" i="17"/>
  <c r="F425" i="17" s="1"/>
  <c r="V474" i="17"/>
  <c r="E474" i="17"/>
  <c r="V436" i="17"/>
  <c r="E436" i="17"/>
  <c r="V432" i="17"/>
  <c r="E432" i="17"/>
  <c r="V428" i="17"/>
  <c r="E428" i="17"/>
  <c r="V443" i="17"/>
  <c r="E443" i="17"/>
  <c r="G395" i="17"/>
  <c r="I395" i="17" s="1"/>
  <c r="H412" i="17"/>
  <c r="G412" i="17"/>
  <c r="S382" i="17"/>
  <c r="I382" i="17"/>
  <c r="T382" i="17"/>
  <c r="J382" i="17"/>
  <c r="E472" i="17"/>
  <c r="F442" i="17"/>
  <c r="V442" i="17"/>
  <c r="L352" i="17"/>
  <c r="Y352" i="17" s="1"/>
  <c r="L409" i="17"/>
  <c r="Y409" i="17" s="1"/>
  <c r="H424" i="17"/>
  <c r="T424" i="17" s="1"/>
  <c r="L374" i="17"/>
  <c r="Y374" i="17" s="1"/>
  <c r="T439" i="17"/>
  <c r="J439" i="17"/>
  <c r="F499" i="17"/>
  <c r="V499" i="17"/>
  <c r="S439" i="17"/>
  <c r="I439" i="17"/>
  <c r="G469" i="17"/>
  <c r="H469" i="17"/>
  <c r="V453" i="17"/>
  <c r="E468" i="17"/>
  <c r="L340" i="17"/>
  <c r="Y340" i="17" s="1"/>
  <c r="V425" i="17"/>
  <c r="E494" i="17"/>
  <c r="G434" i="17"/>
  <c r="H434" i="17"/>
  <c r="F464" i="17"/>
  <c r="V464" i="17"/>
  <c r="I404" i="17"/>
  <c r="S404" i="17"/>
  <c r="J404" i="17"/>
  <c r="T404" i="17"/>
  <c r="L394" i="17"/>
  <c r="Y394" i="17" s="1"/>
  <c r="L365" i="17"/>
  <c r="Y365" i="17" s="1"/>
  <c r="L336" i="17"/>
  <c r="Y336" i="17" s="1"/>
  <c r="E456" i="17"/>
  <c r="V426" i="17"/>
  <c r="F426" i="17"/>
  <c r="G396" i="17"/>
  <c r="H396" i="17"/>
  <c r="I366" i="17"/>
  <c r="S366" i="17"/>
  <c r="J366" i="17"/>
  <c r="T366" i="17"/>
  <c r="I424" i="17"/>
  <c r="S424" i="17"/>
  <c r="T395" i="17"/>
  <c r="J395" i="17"/>
  <c r="L393" i="17"/>
  <c r="Y393" i="17" s="1"/>
  <c r="T423" i="17"/>
  <c r="J423" i="17"/>
  <c r="L369" i="17"/>
  <c r="Y369" i="17" s="1"/>
  <c r="G400" i="17"/>
  <c r="H400" i="17"/>
  <c r="T399" i="17"/>
  <c r="J399" i="17"/>
  <c r="I399" i="17"/>
  <c r="S399" i="17"/>
  <c r="H429" i="17"/>
  <c r="G429" i="17"/>
  <c r="J370" i="17"/>
  <c r="T370" i="17"/>
  <c r="I370" i="17"/>
  <c r="S370" i="17"/>
  <c r="E57" i="11"/>
  <c r="Y368" i="17"/>
  <c r="E460" i="17"/>
  <c r="E471" i="17"/>
  <c r="M400" i="17"/>
  <c r="E470" i="17"/>
  <c r="E461" i="17"/>
  <c r="V468" i="17"/>
  <c r="E489" i="17"/>
  <c r="M410" i="17"/>
  <c r="L398" i="17"/>
  <c r="M411" i="17"/>
  <c r="V441" i="17"/>
  <c r="F430" i="17"/>
  <c r="V430" i="17"/>
  <c r="F459" i="17"/>
  <c r="V459" i="17"/>
  <c r="V431" i="17"/>
  <c r="V440" i="17"/>
  <c r="V458" i="17"/>
  <c r="AJ19" i="17"/>
  <c r="AH19" i="17"/>
  <c r="G453" i="17" l="1"/>
  <c r="H453" i="17"/>
  <c r="H425" i="17"/>
  <c r="G425" i="17"/>
  <c r="S423" i="17"/>
  <c r="V466" i="17"/>
  <c r="E466" i="17"/>
  <c r="V504" i="17"/>
  <c r="E504" i="17"/>
  <c r="V462" i="17"/>
  <c r="E462" i="17"/>
  <c r="E484" i="17"/>
  <c r="F484" i="17" s="1"/>
  <c r="H484" i="17" s="1"/>
  <c r="V457" i="17"/>
  <c r="E457" i="17"/>
  <c r="E483" i="17"/>
  <c r="F483" i="17" s="1"/>
  <c r="V465" i="17"/>
  <c r="E465" i="17"/>
  <c r="F455" i="17"/>
  <c r="G455" i="17" s="1"/>
  <c r="E455" i="17"/>
  <c r="V497" i="17"/>
  <c r="E497" i="17"/>
  <c r="V493" i="17"/>
  <c r="E493" i="17"/>
  <c r="V473" i="17"/>
  <c r="E473" i="17"/>
  <c r="V483" i="17"/>
  <c r="S395" i="17"/>
  <c r="J424" i="17"/>
  <c r="L424" i="17" s="1"/>
  <c r="Y424" i="17" s="1"/>
  <c r="F472" i="17"/>
  <c r="V472" i="17"/>
  <c r="H454" i="17"/>
  <c r="J454" i="17" s="1"/>
  <c r="E502" i="17"/>
  <c r="L439" i="17"/>
  <c r="Y439" i="17" s="1"/>
  <c r="L382" i="17"/>
  <c r="Y382" i="17" s="1"/>
  <c r="S412" i="17"/>
  <c r="I412" i="17"/>
  <c r="H442" i="17"/>
  <c r="G442" i="17"/>
  <c r="J412" i="17"/>
  <c r="T412" i="17"/>
  <c r="I469" i="17"/>
  <c r="S469" i="17"/>
  <c r="G499" i="17"/>
  <c r="H499" i="17"/>
  <c r="T469" i="17"/>
  <c r="J469" i="17"/>
  <c r="V484" i="17"/>
  <c r="L404" i="17"/>
  <c r="Y404" i="17" s="1"/>
  <c r="H464" i="17"/>
  <c r="G464" i="17"/>
  <c r="V455" i="17"/>
  <c r="J434" i="17"/>
  <c r="T434" i="17"/>
  <c r="I434" i="17"/>
  <c r="S434" i="17"/>
  <c r="F494" i="17"/>
  <c r="V494" i="17"/>
  <c r="L395" i="17"/>
  <c r="Y395" i="17" s="1"/>
  <c r="L366" i="17"/>
  <c r="Y366" i="17" s="1"/>
  <c r="E486" i="17"/>
  <c r="T396" i="17"/>
  <c r="J396" i="17"/>
  <c r="S396" i="17"/>
  <c r="I396" i="17"/>
  <c r="G426" i="17"/>
  <c r="H426" i="17"/>
  <c r="F456" i="17"/>
  <c r="V456" i="17"/>
  <c r="L423" i="17"/>
  <c r="Y423" i="17" s="1"/>
  <c r="I454" i="17"/>
  <c r="S454" i="17"/>
  <c r="J425" i="17"/>
  <c r="T425" i="17"/>
  <c r="S425" i="17"/>
  <c r="I425" i="17"/>
  <c r="J453" i="17"/>
  <c r="T453" i="17"/>
  <c r="I453" i="17"/>
  <c r="S453" i="17"/>
  <c r="L399" i="17"/>
  <c r="Y399" i="17" s="1"/>
  <c r="L370" i="17"/>
  <c r="Y370" i="17" s="1"/>
  <c r="H430" i="17"/>
  <c r="G430" i="17"/>
  <c r="J429" i="17"/>
  <c r="T429" i="17"/>
  <c r="I429" i="17"/>
  <c r="S429" i="17"/>
  <c r="T400" i="17"/>
  <c r="J400" i="17"/>
  <c r="G459" i="17"/>
  <c r="H459" i="17"/>
  <c r="I400" i="17"/>
  <c r="S400" i="17"/>
  <c r="E58" i="11"/>
  <c r="L468" i="17"/>
  <c r="Y468" i="17" s="1"/>
  <c r="Y398" i="17"/>
  <c r="M430" i="17"/>
  <c r="E490" i="17"/>
  <c r="E500" i="17"/>
  <c r="E491" i="17"/>
  <c r="L438" i="17"/>
  <c r="Y438" i="17" s="1"/>
  <c r="M441" i="17"/>
  <c r="L428" i="17"/>
  <c r="V470" i="17"/>
  <c r="V471" i="17"/>
  <c r="F460" i="17"/>
  <c r="V460" i="17"/>
  <c r="V461" i="17"/>
  <c r="M440" i="17"/>
  <c r="F489" i="17"/>
  <c r="V489" i="17"/>
  <c r="G483" i="17" l="1"/>
  <c r="I483" i="17" s="1"/>
  <c r="H483" i="17"/>
  <c r="V492" i="17"/>
  <c r="E492" i="17"/>
  <c r="V496" i="17"/>
  <c r="E496" i="17"/>
  <c r="V501" i="17"/>
  <c r="E501" i="17"/>
  <c r="V487" i="17"/>
  <c r="E487" i="17"/>
  <c r="E485" i="17"/>
  <c r="F485" i="17" s="1"/>
  <c r="V498" i="17"/>
  <c r="E498" i="17"/>
  <c r="H455" i="17"/>
  <c r="T455" i="17" s="1"/>
  <c r="G484" i="17"/>
  <c r="S484" i="17" s="1"/>
  <c r="V488" i="17"/>
  <c r="E488" i="17"/>
  <c r="V503" i="17"/>
  <c r="E503" i="17"/>
  <c r="V495" i="17"/>
  <c r="E495" i="17"/>
  <c r="T454" i="17"/>
  <c r="L412" i="17"/>
  <c r="Y412" i="17" s="1"/>
  <c r="F502" i="17"/>
  <c r="V502" i="17"/>
  <c r="I442" i="17"/>
  <c r="S442" i="17"/>
  <c r="J442" i="17"/>
  <c r="T442" i="17"/>
  <c r="G472" i="17"/>
  <c r="H472" i="17"/>
  <c r="L434" i="17"/>
  <c r="Y434" i="17" s="1"/>
  <c r="J499" i="17"/>
  <c r="T499" i="17"/>
  <c r="I499" i="17"/>
  <c r="S499" i="17"/>
  <c r="L469" i="17"/>
  <c r="Y469" i="17" s="1"/>
  <c r="S464" i="17"/>
  <c r="I464" i="17"/>
  <c r="T464" i="17"/>
  <c r="J464" i="17"/>
  <c r="G494" i="17"/>
  <c r="H494" i="17"/>
  <c r="L400" i="17"/>
  <c r="Y400" i="17" s="1"/>
  <c r="V485" i="17"/>
  <c r="L396" i="17"/>
  <c r="Y396" i="17" s="1"/>
  <c r="J426" i="17"/>
  <c r="T426" i="17"/>
  <c r="L454" i="17"/>
  <c r="Y454" i="17" s="1"/>
  <c r="L453" i="17"/>
  <c r="Y453" i="17" s="1"/>
  <c r="S426" i="17"/>
  <c r="I426" i="17"/>
  <c r="F486" i="17"/>
  <c r="V486" i="17"/>
  <c r="G456" i="17"/>
  <c r="H456" i="17"/>
  <c r="L425" i="17"/>
  <c r="Y425" i="17" s="1"/>
  <c r="T484" i="17"/>
  <c r="J484" i="17"/>
  <c r="J455" i="17"/>
  <c r="S455" i="17"/>
  <c r="I455" i="17"/>
  <c r="T483" i="17"/>
  <c r="J483" i="17"/>
  <c r="S483" i="17"/>
  <c r="L429" i="17"/>
  <c r="Y429" i="17" s="1"/>
  <c r="J459" i="17"/>
  <c r="T459" i="17"/>
  <c r="I430" i="17"/>
  <c r="S430" i="17"/>
  <c r="G460" i="17"/>
  <c r="H460" i="17"/>
  <c r="H489" i="17"/>
  <c r="G489" i="17"/>
  <c r="I459" i="17"/>
  <c r="L459" i="17" s="1"/>
  <c r="Y459" i="17" s="1"/>
  <c r="S459" i="17"/>
  <c r="J430" i="17"/>
  <c r="T430" i="17"/>
  <c r="E59" i="11"/>
  <c r="Y428" i="17"/>
  <c r="V500" i="17"/>
  <c r="M501" i="17"/>
  <c r="M460" i="17"/>
  <c r="M470" i="17"/>
  <c r="M500" i="17"/>
  <c r="M471" i="17"/>
  <c r="L458" i="17"/>
  <c r="F490" i="17"/>
  <c r="V490" i="17"/>
  <c r="V491" i="17"/>
  <c r="R3" i="16"/>
  <c r="N3" i="16"/>
  <c r="M3" i="16"/>
  <c r="AJ3" i="16" s="1"/>
  <c r="I484" i="17" l="1"/>
  <c r="G485" i="17"/>
  <c r="I485" i="17" s="1"/>
  <c r="H485" i="17"/>
  <c r="T485" i="17" s="1"/>
  <c r="E60" i="11"/>
  <c r="T472" i="17"/>
  <c r="J472" i="17"/>
  <c r="I472" i="17"/>
  <c r="S472" i="17"/>
  <c r="L442" i="17"/>
  <c r="Y442" i="17" s="1"/>
  <c r="H502" i="17"/>
  <c r="G502" i="17"/>
  <c r="L499" i="17"/>
  <c r="Y499" i="17" s="1"/>
  <c r="L464" i="17"/>
  <c r="Y464" i="17" s="1"/>
  <c r="J494" i="17"/>
  <c r="T494" i="17"/>
  <c r="I494" i="17"/>
  <c r="S494" i="17"/>
  <c r="L426" i="17"/>
  <c r="Y426" i="17" s="1"/>
  <c r="L455" i="17"/>
  <c r="Y455" i="17" s="1"/>
  <c r="H486" i="17"/>
  <c r="G486" i="17"/>
  <c r="T456" i="17"/>
  <c r="J456" i="17"/>
  <c r="I456" i="17"/>
  <c r="S456" i="17"/>
  <c r="L484" i="17"/>
  <c r="Y484" i="17" s="1"/>
  <c r="L430" i="17"/>
  <c r="Y430" i="17" s="1"/>
  <c r="J485" i="17"/>
  <c r="L483" i="17"/>
  <c r="Y483" i="17" s="1"/>
  <c r="G490" i="17"/>
  <c r="H490" i="17"/>
  <c r="I489" i="17"/>
  <c r="S489" i="17"/>
  <c r="J489" i="17"/>
  <c r="T489" i="17"/>
  <c r="T460" i="17"/>
  <c r="J460" i="17"/>
  <c r="S460" i="17"/>
  <c r="I460" i="17"/>
  <c r="Y458" i="17"/>
  <c r="L498" i="17"/>
  <c r="Y498" i="17" s="1"/>
  <c r="L488" i="17"/>
  <c r="M490" i="17"/>
  <c r="V71" i="16"/>
  <c r="V135" i="16"/>
  <c r="E183" i="16"/>
  <c r="F183" i="16" s="1"/>
  <c r="V183" i="16"/>
  <c r="V231" i="16"/>
  <c r="V311" i="16"/>
  <c r="V383" i="16"/>
  <c r="V431" i="16"/>
  <c r="V495" i="16"/>
  <c r="E3" i="16"/>
  <c r="F3" i="16" s="1"/>
  <c r="V3" i="16"/>
  <c r="V48" i="16"/>
  <c r="E104" i="16"/>
  <c r="F104" i="16" s="1"/>
  <c r="V104" i="16"/>
  <c r="E160" i="16"/>
  <c r="F160" i="16" s="1"/>
  <c r="V160" i="16"/>
  <c r="V192" i="16"/>
  <c r="V248" i="16"/>
  <c r="V320" i="16"/>
  <c r="V384" i="16"/>
  <c r="E424" i="16"/>
  <c r="F424" i="16" s="1"/>
  <c r="V424" i="16"/>
  <c r="E456" i="16"/>
  <c r="F456" i="16" s="1"/>
  <c r="V456" i="16"/>
  <c r="V504" i="16"/>
  <c r="E6" i="16"/>
  <c r="F6" i="16" s="1"/>
  <c r="V6" i="16"/>
  <c r="E14" i="16"/>
  <c r="F14" i="16" s="1"/>
  <c r="V14" i="16"/>
  <c r="E22" i="16"/>
  <c r="V22" i="16"/>
  <c r="V38" i="16"/>
  <c r="E46" i="16"/>
  <c r="F46" i="16" s="1"/>
  <c r="V46" i="16"/>
  <c r="V54" i="16"/>
  <c r="E70" i="16"/>
  <c r="F70" i="16" s="1"/>
  <c r="V70" i="16"/>
  <c r="V78" i="16"/>
  <c r="E94" i="16"/>
  <c r="F94" i="16" s="1"/>
  <c r="V94" i="16"/>
  <c r="V102" i="16"/>
  <c r="V110" i="16"/>
  <c r="E126" i="16"/>
  <c r="F126" i="16" s="1"/>
  <c r="V126" i="16"/>
  <c r="E134" i="16"/>
  <c r="F134" i="16" s="1"/>
  <c r="V134" i="16"/>
  <c r="E142" i="16"/>
  <c r="F142" i="16" s="1"/>
  <c r="V142" i="16"/>
  <c r="V158" i="16"/>
  <c r="V166" i="16"/>
  <c r="V174" i="16"/>
  <c r="E190" i="16"/>
  <c r="F190" i="16" s="1"/>
  <c r="V190" i="16"/>
  <c r="V198" i="16"/>
  <c r="E214" i="16"/>
  <c r="F214" i="16" s="1"/>
  <c r="V214" i="16"/>
  <c r="V222" i="16"/>
  <c r="V230" i="16"/>
  <c r="E246" i="16"/>
  <c r="F246" i="16" s="1"/>
  <c r="V246" i="16"/>
  <c r="E254" i="16"/>
  <c r="F254" i="16" s="1"/>
  <c r="V254" i="16"/>
  <c r="E262" i="16"/>
  <c r="F262" i="16" s="1"/>
  <c r="V262" i="16"/>
  <c r="V278" i="16"/>
  <c r="V286" i="16"/>
  <c r="V294" i="16"/>
  <c r="V318" i="16"/>
  <c r="E334" i="16"/>
  <c r="F334" i="16" s="1"/>
  <c r="V334" i="16"/>
  <c r="V342" i="16"/>
  <c r="V350" i="16"/>
  <c r="E366" i="16"/>
  <c r="F366" i="16" s="1"/>
  <c r="V366" i="16"/>
  <c r="E374" i="16"/>
  <c r="F374" i="16" s="1"/>
  <c r="V374" i="16"/>
  <c r="E382" i="16"/>
  <c r="V382" i="16"/>
  <c r="V398" i="16"/>
  <c r="E406" i="16"/>
  <c r="F406" i="16" s="1"/>
  <c r="V406" i="16"/>
  <c r="V414" i="16"/>
  <c r="E430" i="16"/>
  <c r="F430" i="16" s="1"/>
  <c r="V430" i="16"/>
  <c r="V438" i="16"/>
  <c r="E454" i="16"/>
  <c r="F454" i="16" s="1"/>
  <c r="V454" i="16"/>
  <c r="V462" i="16"/>
  <c r="V470" i="16"/>
  <c r="E486" i="16"/>
  <c r="F486" i="16" s="1"/>
  <c r="V486" i="16"/>
  <c r="E494" i="16"/>
  <c r="F494" i="16" s="1"/>
  <c r="V494" i="16"/>
  <c r="E502" i="16"/>
  <c r="F502" i="16" s="1"/>
  <c r="V502" i="16"/>
  <c r="V23" i="16"/>
  <c r="V111" i="16"/>
  <c r="E199" i="16"/>
  <c r="F199" i="16" s="1"/>
  <c r="V199" i="16"/>
  <c r="E279" i="16"/>
  <c r="F279" i="16" s="1"/>
  <c r="V279" i="16"/>
  <c r="V351" i="16"/>
  <c r="E423" i="16"/>
  <c r="F423" i="16" s="1"/>
  <c r="V423" i="16"/>
  <c r="V503" i="16"/>
  <c r="E64" i="16"/>
  <c r="F64" i="16" s="1"/>
  <c r="V64" i="16"/>
  <c r="V136" i="16"/>
  <c r="V264" i="16"/>
  <c r="E9" i="16"/>
  <c r="F9" i="16" s="1"/>
  <c r="V9" i="16"/>
  <c r="V17" i="16"/>
  <c r="E33" i="16"/>
  <c r="F33" i="16" s="1"/>
  <c r="V33" i="16"/>
  <c r="V41" i="16"/>
  <c r="E49" i="16"/>
  <c r="F49" i="16" s="1"/>
  <c r="V49" i="16"/>
  <c r="E65" i="16"/>
  <c r="F65" i="16" s="1"/>
  <c r="V65" i="16"/>
  <c r="V73" i="16"/>
  <c r="V81" i="16"/>
  <c r="V97" i="16"/>
  <c r="V105" i="16"/>
  <c r="V113" i="16"/>
  <c r="E129" i="16"/>
  <c r="F129" i="16" s="1"/>
  <c r="V129" i="16"/>
  <c r="V137" i="16"/>
  <c r="E153" i="16"/>
  <c r="F153" i="16" s="1"/>
  <c r="V153" i="16"/>
  <c r="V161" i="16"/>
  <c r="E169" i="16"/>
  <c r="F169" i="16" s="1"/>
  <c r="V169" i="16"/>
  <c r="E185" i="16"/>
  <c r="F185" i="16" s="1"/>
  <c r="V185" i="16"/>
  <c r="V193" i="16"/>
  <c r="V201" i="16"/>
  <c r="V217" i="16"/>
  <c r="V225" i="16"/>
  <c r="V233" i="16"/>
  <c r="E249" i="16"/>
  <c r="F249" i="16" s="1"/>
  <c r="V249" i="16"/>
  <c r="V257" i="16"/>
  <c r="E273" i="16"/>
  <c r="F273" i="16" s="1"/>
  <c r="V273" i="16"/>
  <c r="V281" i="16"/>
  <c r="E289" i="16"/>
  <c r="F289" i="16" s="1"/>
  <c r="V289" i="16"/>
  <c r="V313" i="16"/>
  <c r="V321" i="16"/>
  <c r="V337" i="16"/>
  <c r="V345" i="16"/>
  <c r="V353" i="16"/>
  <c r="E369" i="16"/>
  <c r="F369" i="16" s="1"/>
  <c r="V369" i="16"/>
  <c r="V377" i="16"/>
  <c r="E393" i="16"/>
  <c r="F393" i="16" s="1"/>
  <c r="V393" i="16"/>
  <c r="V401" i="16"/>
  <c r="E409" i="16"/>
  <c r="F409" i="16" s="1"/>
  <c r="V409" i="16"/>
  <c r="E425" i="16"/>
  <c r="F425" i="16" s="1"/>
  <c r="V425" i="16"/>
  <c r="V433" i="16"/>
  <c r="V441" i="16"/>
  <c r="V457" i="16"/>
  <c r="V465" i="16"/>
  <c r="V473" i="16"/>
  <c r="E489" i="16"/>
  <c r="F489" i="16" s="1"/>
  <c r="V489" i="16"/>
  <c r="V497" i="16"/>
  <c r="V47" i="16"/>
  <c r="E95" i="16"/>
  <c r="F95" i="16" s="1"/>
  <c r="V95" i="16"/>
  <c r="E159" i="16"/>
  <c r="F159" i="16" s="1"/>
  <c r="V159" i="16"/>
  <c r="V223" i="16"/>
  <c r="V287" i="16"/>
  <c r="V375" i="16"/>
  <c r="E40" i="16"/>
  <c r="F40" i="16" s="1"/>
  <c r="V40" i="16"/>
  <c r="E112" i="16"/>
  <c r="V112" i="16"/>
  <c r="E216" i="16"/>
  <c r="F216" i="16" s="1"/>
  <c r="V216" i="16"/>
  <c r="E10" i="16"/>
  <c r="F10" i="16" s="1"/>
  <c r="V10" i="16"/>
  <c r="V18" i="16"/>
  <c r="E34" i="16"/>
  <c r="F34" i="16" s="1"/>
  <c r="V34" i="16"/>
  <c r="V42" i="16"/>
  <c r="V50" i="16"/>
  <c r="E66" i="16"/>
  <c r="F66" i="16" s="1"/>
  <c r="V66" i="16"/>
  <c r="E74" i="16"/>
  <c r="F74" i="16" s="1"/>
  <c r="V74" i="16"/>
  <c r="E82" i="16"/>
  <c r="F82" i="16" s="1"/>
  <c r="V82" i="16"/>
  <c r="V98" i="16"/>
  <c r="V106" i="16"/>
  <c r="V114" i="16"/>
  <c r="E130" i="16"/>
  <c r="F130" i="16" s="1"/>
  <c r="V130" i="16"/>
  <c r="V138" i="16"/>
  <c r="E154" i="16"/>
  <c r="F154" i="16" s="1"/>
  <c r="V154" i="16"/>
  <c r="V162" i="16"/>
  <c r="V170" i="16"/>
  <c r="E186" i="16"/>
  <c r="F186" i="16" s="1"/>
  <c r="V186" i="16"/>
  <c r="E194" i="16"/>
  <c r="F194" i="16" s="1"/>
  <c r="V194" i="16"/>
  <c r="E202" i="16"/>
  <c r="V202" i="16"/>
  <c r="V218" i="16"/>
  <c r="V226" i="16"/>
  <c r="V234" i="16"/>
  <c r="E250" i="16"/>
  <c r="F250" i="16" s="1"/>
  <c r="V250" i="16"/>
  <c r="V258" i="16"/>
  <c r="E274" i="16"/>
  <c r="F274" i="16" s="1"/>
  <c r="V274" i="16"/>
  <c r="V282" i="16"/>
  <c r="E290" i="16"/>
  <c r="F290" i="16" s="1"/>
  <c r="V290" i="16"/>
  <c r="E314" i="16"/>
  <c r="F314" i="16" s="1"/>
  <c r="V314" i="16"/>
  <c r="E322" i="16"/>
  <c r="V322" i="16"/>
  <c r="V338" i="16"/>
  <c r="E346" i="16"/>
  <c r="F346" i="16" s="1"/>
  <c r="V346" i="16"/>
  <c r="V354" i="16"/>
  <c r="E370" i="16"/>
  <c r="F370" i="16" s="1"/>
  <c r="V370" i="16"/>
  <c r="V378" i="16"/>
  <c r="E394" i="16"/>
  <c r="F394" i="16" s="1"/>
  <c r="V394" i="16"/>
  <c r="V402" i="16"/>
  <c r="V410" i="16"/>
  <c r="E426" i="16"/>
  <c r="F426" i="16" s="1"/>
  <c r="V426" i="16"/>
  <c r="E434" i="16"/>
  <c r="F434" i="16" s="1"/>
  <c r="V434" i="16"/>
  <c r="E442" i="16"/>
  <c r="F442" i="16" s="1"/>
  <c r="V442" i="16"/>
  <c r="V458" i="16"/>
  <c r="V466" i="16"/>
  <c r="V474" i="16"/>
  <c r="E490" i="16"/>
  <c r="F490" i="16" s="1"/>
  <c r="V490" i="16"/>
  <c r="V498" i="16"/>
  <c r="E39" i="16"/>
  <c r="F39" i="16" s="1"/>
  <c r="V39" i="16"/>
  <c r="V103" i="16"/>
  <c r="V167" i="16"/>
  <c r="V255" i="16"/>
  <c r="E335" i="16"/>
  <c r="F335" i="16" s="1"/>
  <c r="V335" i="16"/>
  <c r="E399" i="16"/>
  <c r="F399" i="16" s="1"/>
  <c r="V399" i="16"/>
  <c r="V471" i="16"/>
  <c r="V8" i="16"/>
  <c r="V80" i="16"/>
  <c r="V168" i="16"/>
  <c r="E224" i="16"/>
  <c r="F224" i="16" s="1"/>
  <c r="V224" i="16"/>
  <c r="E280" i="16"/>
  <c r="F280" i="16" s="1"/>
  <c r="V280" i="16"/>
  <c r="E344" i="16"/>
  <c r="F344" i="16" s="1"/>
  <c r="V344" i="16"/>
  <c r="E352" i="16"/>
  <c r="F352" i="16" s="1"/>
  <c r="V352" i="16"/>
  <c r="V408" i="16"/>
  <c r="V488" i="16"/>
  <c r="V11" i="16"/>
  <c r="E19" i="16"/>
  <c r="F19" i="16" s="1"/>
  <c r="V19" i="16"/>
  <c r="E35" i="16"/>
  <c r="F35" i="16" s="1"/>
  <c r="V35" i="16"/>
  <c r="V43" i="16"/>
  <c r="V51" i="16"/>
  <c r="V67" i="16"/>
  <c r="V75" i="16"/>
  <c r="V83" i="16"/>
  <c r="E99" i="16"/>
  <c r="F99" i="16" s="1"/>
  <c r="V99" i="16"/>
  <c r="V107" i="16"/>
  <c r="E123" i="16"/>
  <c r="F123" i="16" s="1"/>
  <c r="V123" i="16"/>
  <c r="V131" i="16"/>
  <c r="E139" i="16"/>
  <c r="F139" i="16" s="1"/>
  <c r="V139" i="16"/>
  <c r="E155" i="16"/>
  <c r="F155" i="16" s="1"/>
  <c r="V155" i="16"/>
  <c r="V163" i="16"/>
  <c r="V171" i="16"/>
  <c r="V187" i="16"/>
  <c r="V195" i="16"/>
  <c r="V203" i="16"/>
  <c r="E219" i="16"/>
  <c r="F219" i="16" s="1"/>
  <c r="V219" i="16"/>
  <c r="V227" i="16"/>
  <c r="E243" i="16"/>
  <c r="F243" i="16" s="1"/>
  <c r="V243" i="16"/>
  <c r="V251" i="16"/>
  <c r="E259" i="16"/>
  <c r="F259" i="16" s="1"/>
  <c r="V259" i="16"/>
  <c r="E275" i="16"/>
  <c r="F275" i="16" s="1"/>
  <c r="V275" i="16"/>
  <c r="V283" i="16"/>
  <c r="E291" i="16"/>
  <c r="F291" i="16" s="1"/>
  <c r="V291" i="16"/>
  <c r="V315" i="16"/>
  <c r="V323" i="16"/>
  <c r="E339" i="16"/>
  <c r="F339" i="16" s="1"/>
  <c r="V339" i="16"/>
  <c r="V347" i="16"/>
  <c r="E363" i="16"/>
  <c r="F363" i="16" s="1"/>
  <c r="V363" i="16"/>
  <c r="V371" i="16"/>
  <c r="E379" i="16"/>
  <c r="F379" i="16" s="1"/>
  <c r="V379" i="16"/>
  <c r="E395" i="16"/>
  <c r="F395" i="16" s="1"/>
  <c r="V395" i="16"/>
  <c r="V403" i="16"/>
  <c r="E411" i="16"/>
  <c r="F411" i="16" s="1"/>
  <c r="V411" i="16"/>
  <c r="V427" i="16"/>
  <c r="V435" i="16"/>
  <c r="V443" i="16"/>
  <c r="E459" i="16"/>
  <c r="F459" i="16" s="1"/>
  <c r="V459" i="16"/>
  <c r="V467" i="16"/>
  <c r="E483" i="16"/>
  <c r="F483" i="16" s="1"/>
  <c r="V483" i="16"/>
  <c r="V491" i="16"/>
  <c r="E499" i="16"/>
  <c r="F499" i="16" s="1"/>
  <c r="V499" i="16"/>
  <c r="V15" i="16"/>
  <c r="E63" i="16"/>
  <c r="F63" i="16" s="1"/>
  <c r="V63" i="16"/>
  <c r="V127" i="16"/>
  <c r="V191" i="16"/>
  <c r="V247" i="16"/>
  <c r="E319" i="16"/>
  <c r="F319" i="16" s="1"/>
  <c r="V319" i="16"/>
  <c r="V367" i="16"/>
  <c r="E439" i="16"/>
  <c r="F439" i="16" s="1"/>
  <c r="V439" i="16"/>
  <c r="V487" i="16"/>
  <c r="V24" i="16"/>
  <c r="E96" i="16"/>
  <c r="F96" i="16" s="1"/>
  <c r="V96" i="16"/>
  <c r="V144" i="16"/>
  <c r="E200" i="16"/>
  <c r="F200" i="16" s="1"/>
  <c r="V200" i="16"/>
  <c r="V256" i="16"/>
  <c r="V312" i="16"/>
  <c r="V376" i="16"/>
  <c r="V432" i="16"/>
  <c r="E472" i="16"/>
  <c r="F472" i="16" s="1"/>
  <c r="V472" i="16"/>
  <c r="V496" i="16"/>
  <c r="E4" i="16"/>
  <c r="F4" i="16" s="1"/>
  <c r="V4" i="16"/>
  <c r="V12" i="16"/>
  <c r="V20" i="16"/>
  <c r="E36" i="16"/>
  <c r="F36" i="16" s="1"/>
  <c r="V36" i="16"/>
  <c r="E44" i="16"/>
  <c r="F44" i="16" s="1"/>
  <c r="V44" i="16"/>
  <c r="E52" i="16"/>
  <c r="V52" i="16"/>
  <c r="V68" i="16"/>
  <c r="V76" i="16"/>
  <c r="V84" i="16"/>
  <c r="E100" i="16"/>
  <c r="F100" i="16" s="1"/>
  <c r="V100" i="16"/>
  <c r="V108" i="16"/>
  <c r="E124" i="16"/>
  <c r="F124" i="16" s="1"/>
  <c r="V124" i="16"/>
  <c r="V132" i="16"/>
  <c r="E140" i="16"/>
  <c r="F140" i="16" s="1"/>
  <c r="V140" i="16"/>
  <c r="E156" i="16"/>
  <c r="F156" i="16" s="1"/>
  <c r="V156" i="16"/>
  <c r="E164" i="16"/>
  <c r="F164" i="16" s="1"/>
  <c r="V164" i="16"/>
  <c r="E172" i="16"/>
  <c r="F172" i="16" s="1"/>
  <c r="V172" i="16"/>
  <c r="V188" i="16"/>
  <c r="V196" i="16"/>
  <c r="V204" i="16"/>
  <c r="E220" i="16"/>
  <c r="F220" i="16" s="1"/>
  <c r="V220" i="16"/>
  <c r="V228" i="16"/>
  <c r="E244" i="16"/>
  <c r="F244" i="16" s="1"/>
  <c r="V244" i="16"/>
  <c r="V252" i="16"/>
  <c r="V260" i="16"/>
  <c r="E276" i="16"/>
  <c r="F276" i="16" s="1"/>
  <c r="V276" i="16"/>
  <c r="E284" i="16"/>
  <c r="F284" i="16" s="1"/>
  <c r="V284" i="16"/>
  <c r="E292" i="16"/>
  <c r="F292" i="16" s="1"/>
  <c r="V292" i="16"/>
  <c r="V316" i="16"/>
  <c r="V324" i="16"/>
  <c r="E340" i="16"/>
  <c r="F340" i="16" s="1"/>
  <c r="V340" i="16"/>
  <c r="V348" i="16"/>
  <c r="E364" i="16"/>
  <c r="F364" i="16" s="1"/>
  <c r="V364" i="16"/>
  <c r="V372" i="16"/>
  <c r="V380" i="16"/>
  <c r="E396" i="16"/>
  <c r="F396" i="16" s="1"/>
  <c r="V396" i="16"/>
  <c r="E404" i="16"/>
  <c r="F404" i="16" s="1"/>
  <c r="V404" i="16"/>
  <c r="E412" i="16"/>
  <c r="V412" i="16"/>
  <c r="V428" i="16"/>
  <c r="V436" i="16"/>
  <c r="V444" i="16"/>
  <c r="E460" i="16"/>
  <c r="F460" i="16" s="1"/>
  <c r="V460" i="16"/>
  <c r="V468" i="16"/>
  <c r="E484" i="16"/>
  <c r="F484" i="16" s="1"/>
  <c r="V484" i="16"/>
  <c r="V492" i="16"/>
  <c r="E500" i="16"/>
  <c r="F500" i="16" s="1"/>
  <c r="V500" i="16"/>
  <c r="V7" i="16"/>
  <c r="E79" i="16"/>
  <c r="F79" i="16" s="1"/>
  <c r="V79" i="16"/>
  <c r="V143" i="16"/>
  <c r="E215" i="16"/>
  <c r="F215" i="16" s="1"/>
  <c r="V215" i="16"/>
  <c r="V263" i="16"/>
  <c r="V343" i="16"/>
  <c r="V407" i="16"/>
  <c r="E455" i="16"/>
  <c r="F455" i="16" s="1"/>
  <c r="V455" i="16"/>
  <c r="V463" i="16"/>
  <c r="V16" i="16"/>
  <c r="V72" i="16"/>
  <c r="V128" i="16"/>
  <c r="E184" i="16"/>
  <c r="F184" i="16" s="1"/>
  <c r="V184" i="16"/>
  <c r="E232" i="16"/>
  <c r="F232" i="16" s="1"/>
  <c r="V232" i="16"/>
  <c r="V288" i="16"/>
  <c r="E336" i="16"/>
  <c r="F336" i="16" s="1"/>
  <c r="V336" i="16"/>
  <c r="V368" i="16"/>
  <c r="E400" i="16"/>
  <c r="F400" i="16" s="1"/>
  <c r="V400" i="16"/>
  <c r="V440" i="16"/>
  <c r="E464" i="16"/>
  <c r="F464" i="16" s="1"/>
  <c r="V464" i="16"/>
  <c r="E5" i="16"/>
  <c r="F5" i="16" s="1"/>
  <c r="V5" i="16"/>
  <c r="V13" i="16"/>
  <c r="V21" i="16"/>
  <c r="V37" i="16"/>
  <c r="V45" i="16"/>
  <c r="V53" i="16"/>
  <c r="E69" i="16"/>
  <c r="F69" i="16" s="1"/>
  <c r="V69" i="16"/>
  <c r="V77" i="16"/>
  <c r="E93" i="16"/>
  <c r="F93" i="16" s="1"/>
  <c r="V93" i="16"/>
  <c r="V101" i="16"/>
  <c r="E109" i="16"/>
  <c r="F109" i="16" s="1"/>
  <c r="V109" i="16"/>
  <c r="E125" i="16"/>
  <c r="F125" i="16" s="1"/>
  <c r="V125" i="16"/>
  <c r="V133" i="16"/>
  <c r="V141" i="16"/>
  <c r="V157" i="16"/>
  <c r="V165" i="16"/>
  <c r="V173" i="16"/>
  <c r="E189" i="16"/>
  <c r="F189" i="16" s="1"/>
  <c r="V189" i="16"/>
  <c r="V197" i="16"/>
  <c r="E213" i="16"/>
  <c r="F213" i="16" s="1"/>
  <c r="V213" i="16"/>
  <c r="V221" i="16"/>
  <c r="E229" i="16"/>
  <c r="F229" i="16" s="1"/>
  <c r="V229" i="16"/>
  <c r="E245" i="16"/>
  <c r="F245" i="16" s="1"/>
  <c r="V245" i="16"/>
  <c r="V253" i="16"/>
  <c r="V261" i="16"/>
  <c r="V277" i="16"/>
  <c r="V285" i="16"/>
  <c r="V293" i="16"/>
  <c r="V317" i="16"/>
  <c r="E333" i="16"/>
  <c r="F333" i="16" s="1"/>
  <c r="V333" i="16"/>
  <c r="V341" i="16"/>
  <c r="E349" i="16"/>
  <c r="F349" i="16" s="1"/>
  <c r="V349" i="16"/>
  <c r="E365" i="16"/>
  <c r="F365" i="16" s="1"/>
  <c r="V365" i="16"/>
  <c r="V373" i="16"/>
  <c r="V381" i="16"/>
  <c r="V397" i="16"/>
  <c r="V405" i="16"/>
  <c r="V413" i="16"/>
  <c r="E429" i="16"/>
  <c r="F429" i="16" s="1"/>
  <c r="V429" i="16"/>
  <c r="V437" i="16"/>
  <c r="E453" i="16"/>
  <c r="F453" i="16" s="1"/>
  <c r="V453" i="16"/>
  <c r="V461" i="16"/>
  <c r="E469" i="16"/>
  <c r="F469" i="16" s="1"/>
  <c r="V469" i="16"/>
  <c r="E485" i="16"/>
  <c r="F485" i="16" s="1"/>
  <c r="V485" i="16"/>
  <c r="V493" i="16"/>
  <c r="E501" i="16"/>
  <c r="F501" i="16" s="1"/>
  <c r="V501" i="16"/>
  <c r="M136" i="16"/>
  <c r="AJ136" i="16" s="1"/>
  <c r="M280" i="16"/>
  <c r="AJ280" i="16" s="1"/>
  <c r="M16" i="16"/>
  <c r="AJ16" i="16" s="1"/>
  <c r="M201" i="16"/>
  <c r="AJ201" i="16" s="1"/>
  <c r="M10" i="16"/>
  <c r="AJ10" i="16" s="1"/>
  <c r="M50" i="16"/>
  <c r="AJ50" i="16" s="1"/>
  <c r="M130" i="16"/>
  <c r="AJ130" i="16" s="1"/>
  <c r="M170" i="16"/>
  <c r="AJ170" i="16" s="1"/>
  <c r="M226" i="16"/>
  <c r="AJ226" i="16" s="1"/>
  <c r="M370" i="16"/>
  <c r="AJ370" i="16" s="1"/>
  <c r="M410" i="16"/>
  <c r="AJ410" i="16" s="1"/>
  <c r="M70" i="16"/>
  <c r="AJ70" i="16" s="1"/>
  <c r="M110" i="16"/>
  <c r="AJ110" i="16" s="1"/>
  <c r="M230" i="16"/>
  <c r="AJ230" i="16" s="1"/>
  <c r="M286" i="16"/>
  <c r="AJ286" i="16" s="1"/>
  <c r="M430" i="16"/>
  <c r="AJ430" i="16" s="1"/>
  <c r="M470" i="16"/>
  <c r="AJ470" i="16" s="1"/>
  <c r="M351" i="16"/>
  <c r="AJ351" i="16" s="1"/>
  <c r="M471" i="16"/>
  <c r="AJ471" i="16" s="1"/>
  <c r="R504" i="9"/>
  <c r="N504" i="9"/>
  <c r="R503" i="9"/>
  <c r="N503" i="9"/>
  <c r="R502" i="9"/>
  <c r="N502" i="9"/>
  <c r="R501" i="9"/>
  <c r="N501" i="9"/>
  <c r="R500" i="9"/>
  <c r="N500" i="9"/>
  <c r="R499" i="9"/>
  <c r="N499" i="9"/>
  <c r="M499" i="9"/>
  <c r="R498" i="9"/>
  <c r="N498" i="9"/>
  <c r="R497" i="9"/>
  <c r="N497" i="9"/>
  <c r="R496" i="9"/>
  <c r="N496" i="9"/>
  <c r="R495" i="9"/>
  <c r="N495" i="9"/>
  <c r="R494" i="9"/>
  <c r="N494" i="9"/>
  <c r="M494" i="9"/>
  <c r="R493" i="9"/>
  <c r="N493" i="9"/>
  <c r="R492" i="9"/>
  <c r="N492" i="9"/>
  <c r="R491" i="9"/>
  <c r="N491" i="9"/>
  <c r="R490" i="9"/>
  <c r="N490" i="9"/>
  <c r="R489" i="9"/>
  <c r="N489" i="9"/>
  <c r="R488" i="9"/>
  <c r="N488" i="9"/>
  <c r="R487" i="9"/>
  <c r="N487" i="9"/>
  <c r="R486" i="9"/>
  <c r="N486" i="9"/>
  <c r="R485" i="9"/>
  <c r="N485" i="9"/>
  <c r="R484" i="9"/>
  <c r="N484" i="9"/>
  <c r="R483" i="9"/>
  <c r="N483" i="9"/>
  <c r="R474" i="9"/>
  <c r="N474" i="9"/>
  <c r="R473" i="9"/>
  <c r="N473" i="9"/>
  <c r="R472" i="9"/>
  <c r="N472" i="9"/>
  <c r="R471" i="9"/>
  <c r="N471" i="9"/>
  <c r="R470" i="9"/>
  <c r="N470" i="9"/>
  <c r="R469" i="9"/>
  <c r="N469" i="9"/>
  <c r="R468" i="9"/>
  <c r="N468" i="9"/>
  <c r="R467" i="9"/>
  <c r="N467" i="9"/>
  <c r="R466" i="9"/>
  <c r="N466" i="9"/>
  <c r="R465" i="9"/>
  <c r="N465" i="9"/>
  <c r="R464" i="9"/>
  <c r="N464" i="9"/>
  <c r="R463" i="9"/>
  <c r="N463" i="9"/>
  <c r="R462" i="9"/>
  <c r="N462" i="9"/>
  <c r="R461" i="9"/>
  <c r="N461" i="9"/>
  <c r="R460" i="9"/>
  <c r="N460" i="9"/>
  <c r="R459" i="9"/>
  <c r="N459" i="9"/>
  <c r="R458" i="9"/>
  <c r="N458" i="9"/>
  <c r="R457" i="9"/>
  <c r="N457" i="9"/>
  <c r="R456" i="9"/>
  <c r="N456" i="9"/>
  <c r="R455" i="9"/>
  <c r="N455" i="9"/>
  <c r="R454" i="9"/>
  <c r="N454" i="9"/>
  <c r="M454" i="9"/>
  <c r="R453" i="9"/>
  <c r="N453" i="9"/>
  <c r="R444" i="9"/>
  <c r="N444" i="9"/>
  <c r="R443" i="9"/>
  <c r="N443" i="9"/>
  <c r="R442" i="9"/>
  <c r="N442" i="9"/>
  <c r="R441" i="9"/>
  <c r="N441" i="9"/>
  <c r="R440" i="9"/>
  <c r="N440" i="9"/>
  <c r="R439" i="9"/>
  <c r="N439" i="9"/>
  <c r="R438" i="9"/>
  <c r="N438" i="9"/>
  <c r="R437" i="9"/>
  <c r="N437" i="9"/>
  <c r="R436" i="9"/>
  <c r="N436" i="9"/>
  <c r="R435" i="9"/>
  <c r="N435" i="9"/>
  <c r="R434" i="9"/>
  <c r="N434" i="9"/>
  <c r="M434" i="9"/>
  <c r="R433" i="9"/>
  <c r="N433" i="9"/>
  <c r="R432" i="9"/>
  <c r="N432" i="9"/>
  <c r="R431" i="9"/>
  <c r="N431" i="9"/>
  <c r="R430" i="9"/>
  <c r="N430" i="9"/>
  <c r="R429" i="9"/>
  <c r="N429" i="9"/>
  <c r="R428" i="9"/>
  <c r="N428" i="9"/>
  <c r="R427" i="9"/>
  <c r="N427" i="9"/>
  <c r="R426" i="9"/>
  <c r="N426" i="9"/>
  <c r="M426" i="9"/>
  <c r="R425" i="9"/>
  <c r="N425" i="9"/>
  <c r="R424" i="9"/>
  <c r="N424" i="9"/>
  <c r="M424" i="9"/>
  <c r="R423" i="9"/>
  <c r="N423" i="9"/>
  <c r="R414" i="9"/>
  <c r="N414" i="9"/>
  <c r="R413" i="9"/>
  <c r="N413" i="9"/>
  <c r="R412" i="9"/>
  <c r="N412" i="9"/>
  <c r="R411" i="9"/>
  <c r="N411" i="9"/>
  <c r="R410" i="9"/>
  <c r="N410" i="9"/>
  <c r="R409" i="9"/>
  <c r="N409" i="9"/>
  <c r="R408" i="9"/>
  <c r="N408" i="9"/>
  <c r="R407" i="9"/>
  <c r="N407" i="9"/>
  <c r="R406" i="9"/>
  <c r="N406" i="9"/>
  <c r="R405" i="9"/>
  <c r="N405" i="9"/>
  <c r="R404" i="9"/>
  <c r="N404" i="9"/>
  <c r="M404" i="9"/>
  <c r="R403" i="9"/>
  <c r="N403" i="9"/>
  <c r="R402" i="9"/>
  <c r="N402" i="9"/>
  <c r="R401" i="9"/>
  <c r="N401" i="9"/>
  <c r="R400" i="9"/>
  <c r="N400" i="9"/>
  <c r="R399" i="9"/>
  <c r="N399" i="9"/>
  <c r="R398" i="9"/>
  <c r="N398" i="9"/>
  <c r="R397" i="9"/>
  <c r="N397" i="9"/>
  <c r="R396" i="9"/>
  <c r="N396" i="9"/>
  <c r="R395" i="9"/>
  <c r="N395" i="9"/>
  <c r="R394" i="9"/>
  <c r="N394" i="9"/>
  <c r="M394" i="9"/>
  <c r="R393" i="9"/>
  <c r="N393" i="9"/>
  <c r="R384" i="9"/>
  <c r="N384" i="9"/>
  <c r="R383" i="9"/>
  <c r="N383" i="9"/>
  <c r="R382" i="9"/>
  <c r="N382" i="9"/>
  <c r="R381" i="9"/>
  <c r="N381" i="9"/>
  <c r="R380" i="9"/>
  <c r="N380" i="9"/>
  <c r="R379" i="9"/>
  <c r="N379" i="9"/>
  <c r="R378" i="9"/>
  <c r="N378" i="9"/>
  <c r="R377" i="9"/>
  <c r="N377" i="9"/>
  <c r="R376" i="9"/>
  <c r="N376" i="9"/>
  <c r="R375" i="9"/>
  <c r="N375" i="9"/>
  <c r="M375" i="9"/>
  <c r="R374" i="9"/>
  <c r="N374" i="9"/>
  <c r="M374" i="9"/>
  <c r="R373" i="9"/>
  <c r="N373" i="9"/>
  <c r="R372" i="9"/>
  <c r="N372" i="9"/>
  <c r="R371" i="9"/>
  <c r="N371" i="9"/>
  <c r="R370" i="9"/>
  <c r="N370" i="9"/>
  <c r="R369" i="9"/>
  <c r="N369" i="9"/>
  <c r="M369" i="9"/>
  <c r="R368" i="9"/>
  <c r="N368" i="9"/>
  <c r="R367" i="9"/>
  <c r="N367" i="9"/>
  <c r="R366" i="9"/>
  <c r="N366" i="9"/>
  <c r="R365" i="9"/>
  <c r="N365" i="9"/>
  <c r="R364" i="9"/>
  <c r="N364" i="9"/>
  <c r="R363" i="9"/>
  <c r="N363" i="9"/>
  <c r="R354" i="9"/>
  <c r="N354" i="9"/>
  <c r="R353" i="9"/>
  <c r="N353" i="9"/>
  <c r="R352" i="9"/>
  <c r="N352" i="9"/>
  <c r="R351" i="9"/>
  <c r="N351" i="9"/>
  <c r="R350" i="9"/>
  <c r="N350" i="9"/>
  <c r="R349" i="9"/>
  <c r="N349" i="9"/>
  <c r="R348" i="9"/>
  <c r="N348" i="9"/>
  <c r="R347" i="9"/>
  <c r="N347" i="9"/>
  <c r="R346" i="9"/>
  <c r="N346" i="9"/>
  <c r="R345" i="9"/>
  <c r="N345" i="9"/>
  <c r="R344" i="9"/>
  <c r="N344" i="9"/>
  <c r="R343" i="9"/>
  <c r="N343" i="9"/>
  <c r="R342" i="9"/>
  <c r="N342" i="9"/>
  <c r="R341" i="9"/>
  <c r="N341" i="9"/>
  <c r="R340" i="9"/>
  <c r="N340" i="9"/>
  <c r="R339" i="9"/>
  <c r="N339" i="9"/>
  <c r="R338" i="9"/>
  <c r="N338" i="9"/>
  <c r="R337" i="9"/>
  <c r="N337" i="9"/>
  <c r="R336" i="9"/>
  <c r="N336" i="9"/>
  <c r="R335" i="9"/>
  <c r="N335" i="9"/>
  <c r="R334" i="9"/>
  <c r="N334" i="9"/>
  <c r="M334" i="9"/>
  <c r="R333" i="9"/>
  <c r="N333" i="9"/>
  <c r="R324" i="9"/>
  <c r="N324" i="9"/>
  <c r="R323" i="9"/>
  <c r="N323" i="9"/>
  <c r="R322" i="9"/>
  <c r="N322" i="9"/>
  <c r="R321" i="9"/>
  <c r="N321" i="9"/>
  <c r="R320" i="9"/>
  <c r="N320" i="9"/>
  <c r="R319" i="9"/>
  <c r="N319" i="9"/>
  <c r="R318" i="9"/>
  <c r="N318" i="9"/>
  <c r="R317" i="9"/>
  <c r="N317" i="9"/>
  <c r="R316" i="9"/>
  <c r="N316" i="9"/>
  <c r="R315" i="9"/>
  <c r="N315" i="9"/>
  <c r="M315" i="9"/>
  <c r="R314" i="9"/>
  <c r="N314" i="9"/>
  <c r="R313" i="9"/>
  <c r="N313" i="9"/>
  <c r="M313" i="9"/>
  <c r="R312" i="9"/>
  <c r="N312" i="9"/>
  <c r="R311" i="9"/>
  <c r="N311" i="9"/>
  <c r="R310" i="9"/>
  <c r="N310" i="9"/>
  <c r="R309" i="9"/>
  <c r="N309" i="9"/>
  <c r="R308" i="9"/>
  <c r="N308" i="9"/>
  <c r="R307" i="9"/>
  <c r="N307" i="9"/>
  <c r="R306" i="9"/>
  <c r="N306" i="9"/>
  <c r="R305" i="9"/>
  <c r="N305" i="9"/>
  <c r="R304" i="9"/>
  <c r="N304" i="9"/>
  <c r="R303" i="9"/>
  <c r="N303" i="9"/>
  <c r="R294" i="9"/>
  <c r="N294" i="9"/>
  <c r="R293" i="9"/>
  <c r="N293" i="9"/>
  <c r="R292" i="9"/>
  <c r="N292" i="9"/>
  <c r="R291" i="9"/>
  <c r="N291" i="9"/>
  <c r="R290" i="9"/>
  <c r="N290" i="9"/>
  <c r="R289" i="9"/>
  <c r="N289" i="9"/>
  <c r="M289" i="9"/>
  <c r="R288" i="9"/>
  <c r="N288" i="9"/>
  <c r="R287" i="9"/>
  <c r="N287" i="9"/>
  <c r="R286" i="9"/>
  <c r="N286" i="9"/>
  <c r="R285" i="9"/>
  <c r="N285" i="9"/>
  <c r="R284" i="9"/>
  <c r="N284" i="9"/>
  <c r="M284" i="9"/>
  <c r="R283" i="9"/>
  <c r="N283" i="9"/>
  <c r="M283" i="9"/>
  <c r="R282" i="9"/>
  <c r="N282" i="9"/>
  <c r="R281" i="9"/>
  <c r="N281" i="9"/>
  <c r="R280" i="9"/>
  <c r="N280" i="9"/>
  <c r="R279" i="9"/>
  <c r="N279" i="9"/>
  <c r="R278" i="9"/>
  <c r="N278" i="9"/>
  <c r="R277" i="9"/>
  <c r="N277" i="9"/>
  <c r="R276" i="9"/>
  <c r="N276" i="9"/>
  <c r="M276" i="9"/>
  <c r="R275" i="9"/>
  <c r="N275" i="9"/>
  <c r="R274" i="9"/>
  <c r="N274" i="9"/>
  <c r="R273" i="9"/>
  <c r="N273" i="9"/>
  <c r="R264" i="9"/>
  <c r="N264" i="9"/>
  <c r="R263" i="9"/>
  <c r="N263" i="9"/>
  <c r="R262" i="9"/>
  <c r="N262" i="9"/>
  <c r="R261" i="9"/>
  <c r="N261" i="9"/>
  <c r="R260" i="9"/>
  <c r="N260" i="9"/>
  <c r="R259" i="9"/>
  <c r="N259" i="9"/>
  <c r="R258" i="9"/>
  <c r="N258" i="9"/>
  <c r="R257" i="9"/>
  <c r="N257" i="9"/>
  <c r="R256" i="9"/>
  <c r="N256" i="9"/>
  <c r="R255" i="9"/>
  <c r="N255" i="9"/>
  <c r="R254" i="9"/>
  <c r="N254" i="9"/>
  <c r="R253" i="9"/>
  <c r="N253" i="9"/>
  <c r="R252" i="9"/>
  <c r="N252" i="9"/>
  <c r="R251" i="9"/>
  <c r="N251" i="9"/>
  <c r="R250" i="9"/>
  <c r="N250" i="9"/>
  <c r="R249" i="9"/>
  <c r="N249" i="9"/>
  <c r="R248" i="9"/>
  <c r="N248" i="9"/>
  <c r="R247" i="9"/>
  <c r="N247" i="9"/>
  <c r="R246" i="9"/>
  <c r="N246" i="9"/>
  <c r="R245" i="9"/>
  <c r="N245" i="9"/>
  <c r="R244" i="9"/>
  <c r="N244" i="9"/>
  <c r="M244" i="9"/>
  <c r="R243" i="9"/>
  <c r="N243" i="9"/>
  <c r="M243" i="9"/>
  <c r="R234" i="9"/>
  <c r="N234" i="9"/>
  <c r="R233" i="9"/>
  <c r="N233" i="9"/>
  <c r="R232" i="9"/>
  <c r="N232" i="9"/>
  <c r="R231" i="9"/>
  <c r="N231" i="9"/>
  <c r="R230" i="9"/>
  <c r="N230" i="9"/>
  <c r="R229" i="9"/>
  <c r="N229" i="9"/>
  <c r="R228" i="9"/>
  <c r="N228" i="9"/>
  <c r="R227" i="9"/>
  <c r="N227" i="9"/>
  <c r="R226" i="9"/>
  <c r="N226" i="9"/>
  <c r="R225" i="9"/>
  <c r="N225" i="9"/>
  <c r="R224" i="9"/>
  <c r="N224" i="9"/>
  <c r="R223" i="9"/>
  <c r="N223" i="9"/>
  <c r="R222" i="9"/>
  <c r="N222" i="9"/>
  <c r="R221" i="9"/>
  <c r="N221" i="9"/>
  <c r="R220" i="9"/>
  <c r="N220" i="9"/>
  <c r="R219" i="9"/>
  <c r="N219" i="9"/>
  <c r="R218" i="9"/>
  <c r="N218" i="9"/>
  <c r="R217" i="9"/>
  <c r="N217" i="9"/>
  <c r="R216" i="9"/>
  <c r="N216" i="9"/>
  <c r="R215" i="9"/>
  <c r="N215" i="9"/>
  <c r="R214" i="9"/>
  <c r="N214" i="9"/>
  <c r="R213" i="9"/>
  <c r="N213" i="9"/>
  <c r="R204" i="9"/>
  <c r="N204" i="9"/>
  <c r="R203" i="9"/>
  <c r="N203" i="9"/>
  <c r="R202" i="9"/>
  <c r="N202" i="9"/>
  <c r="R201" i="9"/>
  <c r="N201" i="9"/>
  <c r="R200" i="9"/>
  <c r="N200" i="9"/>
  <c r="R199" i="9"/>
  <c r="N199" i="9"/>
  <c r="R198" i="9"/>
  <c r="N198" i="9"/>
  <c r="R197" i="9"/>
  <c r="N197" i="9"/>
  <c r="R196" i="9"/>
  <c r="N196" i="9"/>
  <c r="R195" i="9"/>
  <c r="N195" i="9"/>
  <c r="R194" i="9"/>
  <c r="N194" i="9"/>
  <c r="R193" i="9"/>
  <c r="N193" i="9"/>
  <c r="R192" i="9"/>
  <c r="N192" i="9"/>
  <c r="R191" i="9"/>
  <c r="N191" i="9"/>
  <c r="R190" i="9"/>
  <c r="N190" i="9"/>
  <c r="R189" i="9"/>
  <c r="N189" i="9"/>
  <c r="R188" i="9"/>
  <c r="N188" i="9"/>
  <c r="R187" i="9"/>
  <c r="N187" i="9"/>
  <c r="R186" i="9"/>
  <c r="N186" i="9"/>
  <c r="R185" i="9"/>
  <c r="N185" i="9"/>
  <c r="R184" i="9"/>
  <c r="N184" i="9"/>
  <c r="R183" i="9"/>
  <c r="N183" i="9"/>
  <c r="R174" i="9"/>
  <c r="N174" i="9"/>
  <c r="R173" i="9"/>
  <c r="N173" i="9"/>
  <c r="R172" i="9"/>
  <c r="N172" i="9"/>
  <c r="R171" i="9"/>
  <c r="N171" i="9"/>
  <c r="R170" i="9"/>
  <c r="N170" i="9"/>
  <c r="R169" i="9"/>
  <c r="N169" i="9"/>
  <c r="R168" i="9"/>
  <c r="N168" i="9"/>
  <c r="R167" i="9"/>
  <c r="N167" i="9"/>
  <c r="R166" i="9"/>
  <c r="N166" i="9"/>
  <c r="R165" i="9"/>
  <c r="N165" i="9"/>
  <c r="R164" i="9"/>
  <c r="N164" i="9"/>
  <c r="R163" i="9"/>
  <c r="N163" i="9"/>
  <c r="R162" i="9"/>
  <c r="N162" i="9"/>
  <c r="R161" i="9"/>
  <c r="N161" i="9"/>
  <c r="R160" i="9"/>
  <c r="N160" i="9"/>
  <c r="R159" i="9"/>
  <c r="N159" i="9"/>
  <c r="R158" i="9"/>
  <c r="N158" i="9"/>
  <c r="R157" i="9"/>
  <c r="N157" i="9"/>
  <c r="R156" i="9"/>
  <c r="N156" i="9"/>
  <c r="R155" i="9"/>
  <c r="N155" i="9"/>
  <c r="R154" i="9"/>
  <c r="N154" i="9"/>
  <c r="R153" i="9"/>
  <c r="N153" i="9"/>
  <c r="R144" i="9"/>
  <c r="N144" i="9"/>
  <c r="R143" i="9"/>
  <c r="N143" i="9"/>
  <c r="R142" i="9"/>
  <c r="N142" i="9"/>
  <c r="R141" i="9"/>
  <c r="N141" i="9"/>
  <c r="R140" i="9"/>
  <c r="N140" i="9"/>
  <c r="R139" i="9"/>
  <c r="N139" i="9"/>
  <c r="R138" i="9"/>
  <c r="N138" i="9"/>
  <c r="R137" i="9"/>
  <c r="N137" i="9"/>
  <c r="R136" i="9"/>
  <c r="N136" i="9"/>
  <c r="R135" i="9"/>
  <c r="N135" i="9"/>
  <c r="R134" i="9"/>
  <c r="N134" i="9"/>
  <c r="R133" i="9"/>
  <c r="N133" i="9"/>
  <c r="R132" i="9"/>
  <c r="N132" i="9"/>
  <c r="R131" i="9"/>
  <c r="N131" i="9"/>
  <c r="R130" i="9"/>
  <c r="N130" i="9"/>
  <c r="R129" i="9"/>
  <c r="N129" i="9"/>
  <c r="R128" i="9"/>
  <c r="N128" i="9"/>
  <c r="R127" i="9"/>
  <c r="N127" i="9"/>
  <c r="R126" i="9"/>
  <c r="N126" i="9"/>
  <c r="R125" i="9"/>
  <c r="N125" i="9"/>
  <c r="R124" i="9"/>
  <c r="N124" i="9"/>
  <c r="R123" i="9"/>
  <c r="N123" i="9"/>
  <c r="R114" i="9"/>
  <c r="N114" i="9"/>
  <c r="R113" i="9"/>
  <c r="N113" i="9"/>
  <c r="R112" i="9"/>
  <c r="N112" i="9"/>
  <c r="R111" i="9"/>
  <c r="N111" i="9"/>
  <c r="R110" i="9"/>
  <c r="N110" i="9"/>
  <c r="R109" i="9"/>
  <c r="N109" i="9"/>
  <c r="R108" i="9"/>
  <c r="N108" i="9"/>
  <c r="R107" i="9"/>
  <c r="N107" i="9"/>
  <c r="R106" i="9"/>
  <c r="N106" i="9"/>
  <c r="R105" i="9"/>
  <c r="N105" i="9"/>
  <c r="R104" i="9"/>
  <c r="N104" i="9"/>
  <c r="R103" i="9"/>
  <c r="N103" i="9"/>
  <c r="R102" i="9"/>
  <c r="N102" i="9"/>
  <c r="R101" i="9"/>
  <c r="N101" i="9"/>
  <c r="R100" i="9"/>
  <c r="N100" i="9"/>
  <c r="R99" i="9"/>
  <c r="N99" i="9"/>
  <c r="R98" i="9"/>
  <c r="N98" i="9"/>
  <c r="R97" i="9"/>
  <c r="N97" i="9"/>
  <c r="R96" i="9"/>
  <c r="N96" i="9"/>
  <c r="R95" i="9"/>
  <c r="N95" i="9"/>
  <c r="R94" i="9"/>
  <c r="N94" i="9"/>
  <c r="R93" i="9"/>
  <c r="N93" i="9"/>
  <c r="R84" i="9"/>
  <c r="N84" i="9"/>
  <c r="R83" i="9"/>
  <c r="N83" i="9"/>
  <c r="R82" i="9"/>
  <c r="N82" i="9"/>
  <c r="R81" i="9"/>
  <c r="N81" i="9"/>
  <c r="R80" i="9"/>
  <c r="N80" i="9"/>
  <c r="R79" i="9"/>
  <c r="N79" i="9"/>
  <c r="R78" i="9"/>
  <c r="N78" i="9"/>
  <c r="R77" i="9"/>
  <c r="N77" i="9"/>
  <c r="R76" i="9"/>
  <c r="N76" i="9"/>
  <c r="R75" i="9"/>
  <c r="N75" i="9"/>
  <c r="R74" i="9"/>
  <c r="N74" i="9"/>
  <c r="R73" i="9"/>
  <c r="N73" i="9"/>
  <c r="R72" i="9"/>
  <c r="N72" i="9"/>
  <c r="R71" i="9"/>
  <c r="N71" i="9"/>
  <c r="R70" i="9"/>
  <c r="N70" i="9"/>
  <c r="R69" i="9"/>
  <c r="N69" i="9"/>
  <c r="R68" i="9"/>
  <c r="N68" i="9"/>
  <c r="R67" i="9"/>
  <c r="N67" i="9"/>
  <c r="R66" i="9"/>
  <c r="N66" i="9"/>
  <c r="R65" i="9"/>
  <c r="N65" i="9"/>
  <c r="R64" i="9"/>
  <c r="N64" i="9"/>
  <c r="R54" i="9"/>
  <c r="N54" i="9"/>
  <c r="R53" i="9"/>
  <c r="N53" i="9"/>
  <c r="R52" i="9"/>
  <c r="N52" i="9"/>
  <c r="R51" i="9"/>
  <c r="N51" i="9"/>
  <c r="R50" i="9"/>
  <c r="N50" i="9"/>
  <c r="R49" i="9"/>
  <c r="N49" i="9"/>
  <c r="R48" i="9"/>
  <c r="N48" i="9"/>
  <c r="R47" i="9"/>
  <c r="N47" i="9"/>
  <c r="R46" i="9"/>
  <c r="N46" i="9"/>
  <c r="R45" i="9"/>
  <c r="N45" i="9"/>
  <c r="R44" i="9"/>
  <c r="N44" i="9"/>
  <c r="R43" i="9"/>
  <c r="N43" i="9"/>
  <c r="R42" i="9"/>
  <c r="N42" i="9"/>
  <c r="R41" i="9"/>
  <c r="N41" i="9"/>
  <c r="R40" i="9"/>
  <c r="N40" i="9"/>
  <c r="R39" i="9"/>
  <c r="N39" i="9"/>
  <c r="R38" i="9"/>
  <c r="N38" i="9"/>
  <c r="R37" i="9"/>
  <c r="N37" i="9"/>
  <c r="R36" i="9"/>
  <c r="N36" i="9"/>
  <c r="R35" i="9"/>
  <c r="N35" i="9"/>
  <c r="R34" i="9"/>
  <c r="N34" i="9"/>
  <c r="R33" i="9"/>
  <c r="N33" i="9"/>
  <c r="R24" i="9"/>
  <c r="N24" i="9"/>
  <c r="R23" i="9"/>
  <c r="N23" i="9"/>
  <c r="R22" i="9"/>
  <c r="N22" i="9"/>
  <c r="R21" i="9"/>
  <c r="N21" i="9"/>
  <c r="R20" i="9"/>
  <c r="N20" i="9"/>
  <c r="R19" i="9"/>
  <c r="N19" i="9"/>
  <c r="R18" i="9"/>
  <c r="N18" i="9"/>
  <c r="R17" i="9"/>
  <c r="N17" i="9"/>
  <c r="R16" i="9"/>
  <c r="N16" i="9"/>
  <c r="R15" i="9"/>
  <c r="N15" i="9"/>
  <c r="R14" i="9"/>
  <c r="N14" i="9"/>
  <c r="R13" i="9"/>
  <c r="N13" i="9"/>
  <c r="R12" i="9"/>
  <c r="N12" i="9"/>
  <c r="R11" i="9"/>
  <c r="N11" i="9"/>
  <c r="R10" i="9"/>
  <c r="N10" i="9"/>
  <c r="R9" i="9"/>
  <c r="N9" i="9"/>
  <c r="R8" i="9"/>
  <c r="N8" i="9"/>
  <c r="R7" i="9"/>
  <c r="N7" i="9"/>
  <c r="R6" i="9"/>
  <c r="N6" i="9"/>
  <c r="R5" i="9"/>
  <c r="N5" i="9"/>
  <c r="R4" i="9"/>
  <c r="N4" i="9"/>
  <c r="R3" i="9"/>
  <c r="N3" i="9"/>
  <c r="E471" i="16"/>
  <c r="F471" i="16" s="1"/>
  <c r="H12" i="10"/>
  <c r="H11" i="10"/>
  <c r="D39" i="4"/>
  <c r="R21" i="4"/>
  <c r="K21" i="4"/>
  <c r="R20" i="4"/>
  <c r="K20" i="4"/>
  <c r="R19" i="4"/>
  <c r="K19" i="4"/>
  <c r="R18" i="4"/>
  <c r="K18" i="4"/>
  <c r="D17" i="4"/>
  <c r="R17" i="4"/>
  <c r="K17" i="4"/>
  <c r="R16" i="4"/>
  <c r="K16" i="4"/>
  <c r="R15" i="4"/>
  <c r="K15" i="4"/>
  <c r="R14" i="4"/>
  <c r="K14" i="4"/>
  <c r="R13" i="4"/>
  <c r="K13" i="4"/>
  <c r="R12" i="4"/>
  <c r="K12" i="4"/>
  <c r="D11" i="4"/>
  <c r="R11" i="4"/>
  <c r="K11" i="4"/>
  <c r="R10" i="4"/>
  <c r="K10" i="4"/>
  <c r="R9" i="4"/>
  <c r="K9" i="4"/>
  <c r="R8" i="4"/>
  <c r="K8" i="4"/>
  <c r="R7" i="4"/>
  <c r="K7" i="4"/>
  <c r="R6" i="4"/>
  <c r="K6" i="4"/>
  <c r="R5" i="4"/>
  <c r="I5" i="4"/>
  <c r="S485" i="17" l="1"/>
  <c r="L472" i="17"/>
  <c r="Y472" i="17" s="1"/>
  <c r="I502" i="17"/>
  <c r="S502" i="17"/>
  <c r="J502" i="17"/>
  <c r="T502" i="17"/>
  <c r="L494" i="17"/>
  <c r="Y494" i="17" s="1"/>
  <c r="L456" i="17"/>
  <c r="Y456" i="17" s="1"/>
  <c r="L485" i="17"/>
  <c r="Y485" i="17" s="1"/>
  <c r="I486" i="17"/>
  <c r="S486" i="17"/>
  <c r="J486" i="17"/>
  <c r="T486" i="17"/>
  <c r="L489" i="17"/>
  <c r="Y489" i="17" s="1"/>
  <c r="E73" i="16"/>
  <c r="F73" i="16" s="1"/>
  <c r="H73" i="16" s="1"/>
  <c r="E343" i="25"/>
  <c r="E133" i="25"/>
  <c r="E163" i="25"/>
  <c r="E283" i="25"/>
  <c r="E193" i="25"/>
  <c r="E223" i="25"/>
  <c r="E463" i="25"/>
  <c r="E493" i="25"/>
  <c r="E403" i="25"/>
  <c r="E313" i="25"/>
  <c r="E103" i="25"/>
  <c r="E73" i="25"/>
  <c r="E433" i="25"/>
  <c r="E43" i="25"/>
  <c r="E13" i="25"/>
  <c r="E373" i="25"/>
  <c r="E253" i="25"/>
  <c r="L460" i="17"/>
  <c r="Y460" i="17" s="1"/>
  <c r="E253" i="16"/>
  <c r="F253" i="16" s="1"/>
  <c r="H253" i="16" s="1"/>
  <c r="E283" i="16"/>
  <c r="F283" i="16" s="1"/>
  <c r="H283" i="16" s="1"/>
  <c r="E223" i="16"/>
  <c r="F223" i="16" s="1"/>
  <c r="H223" i="16" s="1"/>
  <c r="E103" i="16"/>
  <c r="F103" i="16" s="1"/>
  <c r="G103" i="16" s="1"/>
  <c r="H5" i="16"/>
  <c r="G5" i="16"/>
  <c r="H292" i="16"/>
  <c r="G292" i="16"/>
  <c r="G489" i="16"/>
  <c r="H489" i="16"/>
  <c r="H406" i="16"/>
  <c r="G406" i="16"/>
  <c r="H333" i="16"/>
  <c r="G333" i="16"/>
  <c r="H125" i="16"/>
  <c r="G125" i="16"/>
  <c r="H69" i="16"/>
  <c r="G69" i="16"/>
  <c r="H484" i="16"/>
  <c r="G484" i="16"/>
  <c r="M412" i="16"/>
  <c r="AJ412" i="16" s="1"/>
  <c r="F412" i="16"/>
  <c r="G364" i="16"/>
  <c r="H364" i="16"/>
  <c r="H124" i="16"/>
  <c r="G124" i="16"/>
  <c r="M52" i="16"/>
  <c r="AJ52" i="16" s="1"/>
  <c r="F52" i="16"/>
  <c r="G4" i="16"/>
  <c r="H4" i="16"/>
  <c r="G439" i="16"/>
  <c r="H439" i="16"/>
  <c r="G63" i="16"/>
  <c r="H63" i="16"/>
  <c r="G155" i="16"/>
  <c r="H155" i="16"/>
  <c r="G99" i="16"/>
  <c r="H99" i="16"/>
  <c r="G344" i="16"/>
  <c r="H344" i="16"/>
  <c r="H346" i="16"/>
  <c r="G346" i="16"/>
  <c r="H409" i="16"/>
  <c r="G409" i="16"/>
  <c r="H273" i="16"/>
  <c r="G273" i="16"/>
  <c r="G423" i="16"/>
  <c r="H423" i="16"/>
  <c r="G262" i="16"/>
  <c r="H262" i="16"/>
  <c r="H214" i="16"/>
  <c r="G214" i="16"/>
  <c r="H142" i="16"/>
  <c r="G142" i="16"/>
  <c r="G94" i="16"/>
  <c r="H94" i="16"/>
  <c r="G456" i="16"/>
  <c r="H456" i="16"/>
  <c r="G160" i="16"/>
  <c r="H160" i="16"/>
  <c r="H453" i="16"/>
  <c r="G453" i="16"/>
  <c r="H245" i="16"/>
  <c r="G245" i="16"/>
  <c r="H189" i="16"/>
  <c r="G189" i="16"/>
  <c r="G464" i="16"/>
  <c r="H464" i="16"/>
  <c r="H284" i="16"/>
  <c r="G284" i="16"/>
  <c r="H164" i="16"/>
  <c r="G164" i="16"/>
  <c r="H200" i="16"/>
  <c r="G200" i="16"/>
  <c r="G459" i="16"/>
  <c r="H459" i="16"/>
  <c r="G395" i="16"/>
  <c r="H395" i="16"/>
  <c r="G339" i="16"/>
  <c r="H339" i="16"/>
  <c r="G275" i="16"/>
  <c r="H275" i="16"/>
  <c r="G219" i="16"/>
  <c r="H219" i="16"/>
  <c r="H19" i="16"/>
  <c r="G19" i="16"/>
  <c r="M112" i="16"/>
  <c r="AJ112" i="16" s="1"/>
  <c r="F112" i="16"/>
  <c r="G159" i="16"/>
  <c r="H159" i="16"/>
  <c r="H65" i="16"/>
  <c r="G65" i="16"/>
  <c r="H9" i="16"/>
  <c r="G9" i="16"/>
  <c r="G502" i="16"/>
  <c r="H502" i="16"/>
  <c r="H454" i="16"/>
  <c r="G454" i="16"/>
  <c r="M22" i="16"/>
  <c r="AJ22" i="16" s="1"/>
  <c r="F22" i="16"/>
  <c r="H244" i="16"/>
  <c r="G244" i="16"/>
  <c r="H501" i="16"/>
  <c r="G501" i="16"/>
  <c r="H109" i="16"/>
  <c r="G109" i="16"/>
  <c r="G232" i="16"/>
  <c r="H232" i="16"/>
  <c r="G455" i="16"/>
  <c r="H455" i="16"/>
  <c r="H79" i="16"/>
  <c r="G79" i="16"/>
  <c r="G404" i="16"/>
  <c r="H404" i="16"/>
  <c r="H220" i="16"/>
  <c r="G220" i="16"/>
  <c r="G44" i="16"/>
  <c r="H44" i="16"/>
  <c r="G139" i="16"/>
  <c r="H139" i="16"/>
  <c r="H280" i="16"/>
  <c r="G280" i="16"/>
  <c r="G399" i="16"/>
  <c r="H399" i="16"/>
  <c r="G39" i="16"/>
  <c r="H39" i="16"/>
  <c r="H442" i="16"/>
  <c r="G442" i="16"/>
  <c r="G394" i="16"/>
  <c r="H394" i="16"/>
  <c r="H274" i="16"/>
  <c r="G274" i="16"/>
  <c r="M202" i="16"/>
  <c r="AJ202" i="16" s="1"/>
  <c r="F202" i="16"/>
  <c r="G154" i="16"/>
  <c r="H154" i="16"/>
  <c r="G82" i="16"/>
  <c r="H82" i="16"/>
  <c r="G34" i="16"/>
  <c r="H34" i="16"/>
  <c r="G185" i="16"/>
  <c r="H185" i="16"/>
  <c r="G129" i="16"/>
  <c r="H129" i="16"/>
  <c r="M382" i="16"/>
  <c r="AJ382" i="16" s="1"/>
  <c r="F382" i="16"/>
  <c r="G334" i="16"/>
  <c r="H334" i="16"/>
  <c r="H254" i="16"/>
  <c r="G254" i="16"/>
  <c r="H134" i="16"/>
  <c r="G134" i="16"/>
  <c r="G424" i="16"/>
  <c r="H424" i="16"/>
  <c r="H104" i="16"/>
  <c r="G104" i="16"/>
  <c r="G336" i="16"/>
  <c r="H336" i="16"/>
  <c r="G290" i="16"/>
  <c r="H290" i="16"/>
  <c r="H216" i="16"/>
  <c r="G216" i="16"/>
  <c r="G365" i="16"/>
  <c r="H365" i="16"/>
  <c r="H229" i="16"/>
  <c r="G229" i="16"/>
  <c r="H460" i="16"/>
  <c r="G460" i="16"/>
  <c r="H340" i="16"/>
  <c r="G340" i="16"/>
  <c r="H276" i="16"/>
  <c r="G276" i="16"/>
  <c r="H156" i="16"/>
  <c r="G156" i="16"/>
  <c r="G100" i="16"/>
  <c r="H100" i="16"/>
  <c r="G472" i="16"/>
  <c r="H472" i="16"/>
  <c r="G319" i="16"/>
  <c r="H319" i="16"/>
  <c r="G499" i="16"/>
  <c r="H499" i="16"/>
  <c r="G379" i="16"/>
  <c r="H379" i="16"/>
  <c r="G259" i="16"/>
  <c r="H259" i="16"/>
  <c r="M322" i="16"/>
  <c r="AJ322" i="16" s="1"/>
  <c r="F322" i="16"/>
  <c r="G40" i="16"/>
  <c r="H40" i="16"/>
  <c r="G95" i="16"/>
  <c r="H95" i="16"/>
  <c r="H393" i="16"/>
  <c r="G393" i="16"/>
  <c r="G249" i="16"/>
  <c r="H249" i="16"/>
  <c r="G49" i="16"/>
  <c r="H49" i="16"/>
  <c r="G279" i="16"/>
  <c r="H279" i="16"/>
  <c r="G494" i="16"/>
  <c r="H494" i="16"/>
  <c r="H190" i="16"/>
  <c r="G190" i="16"/>
  <c r="H70" i="16"/>
  <c r="G70" i="16"/>
  <c r="H14" i="16"/>
  <c r="G14" i="16"/>
  <c r="H172" i="16"/>
  <c r="G172" i="16"/>
  <c r="G153" i="16"/>
  <c r="H153" i="16"/>
  <c r="G485" i="16"/>
  <c r="H485" i="16"/>
  <c r="G429" i="16"/>
  <c r="H429" i="16"/>
  <c r="G400" i="16"/>
  <c r="H400" i="16"/>
  <c r="G184" i="16"/>
  <c r="H184" i="16"/>
  <c r="G396" i="16"/>
  <c r="H396" i="16"/>
  <c r="G36" i="16"/>
  <c r="H36" i="16"/>
  <c r="G96" i="16"/>
  <c r="H96" i="16"/>
  <c r="G224" i="16"/>
  <c r="H224" i="16"/>
  <c r="G335" i="16"/>
  <c r="H335" i="16"/>
  <c r="G434" i="16"/>
  <c r="H434" i="16"/>
  <c r="G194" i="16"/>
  <c r="H194" i="16"/>
  <c r="H74" i="16"/>
  <c r="G74" i="16"/>
  <c r="G169" i="16"/>
  <c r="H169" i="16"/>
  <c r="H430" i="16"/>
  <c r="G430" i="16"/>
  <c r="G374" i="16"/>
  <c r="H374" i="16"/>
  <c r="H246" i="16"/>
  <c r="G246" i="16"/>
  <c r="H126" i="16"/>
  <c r="G126" i="16"/>
  <c r="G183" i="16"/>
  <c r="H183" i="16"/>
  <c r="H471" i="16"/>
  <c r="G471" i="16"/>
  <c r="G215" i="16"/>
  <c r="H215" i="16"/>
  <c r="G35" i="16"/>
  <c r="H35" i="16"/>
  <c r="G349" i="16"/>
  <c r="H349" i="16"/>
  <c r="H93" i="16"/>
  <c r="G93" i="16"/>
  <c r="H500" i="16"/>
  <c r="G500" i="16"/>
  <c r="H140" i="16"/>
  <c r="G140" i="16"/>
  <c r="H291" i="16"/>
  <c r="G291" i="16"/>
  <c r="G123" i="16"/>
  <c r="H123" i="16"/>
  <c r="H490" i="16"/>
  <c r="G490" i="16"/>
  <c r="G370" i="16"/>
  <c r="H370" i="16"/>
  <c r="G314" i="16"/>
  <c r="H314" i="16"/>
  <c r="G250" i="16"/>
  <c r="H250" i="16"/>
  <c r="G130" i="16"/>
  <c r="H130" i="16"/>
  <c r="G10" i="16"/>
  <c r="H10" i="16"/>
  <c r="G289" i="16"/>
  <c r="H289" i="16"/>
  <c r="G64" i="16"/>
  <c r="H64" i="16"/>
  <c r="G199" i="16"/>
  <c r="H199" i="16"/>
  <c r="H486" i="16"/>
  <c r="G486" i="16"/>
  <c r="H6" i="16"/>
  <c r="G6" i="16"/>
  <c r="H3" i="16"/>
  <c r="G3" i="16"/>
  <c r="J490" i="17"/>
  <c r="T490" i="17"/>
  <c r="G469" i="16"/>
  <c r="H469" i="16"/>
  <c r="H213" i="16"/>
  <c r="G213" i="16"/>
  <c r="G483" i="16"/>
  <c r="H483" i="16"/>
  <c r="G411" i="16"/>
  <c r="H411" i="16"/>
  <c r="G363" i="16"/>
  <c r="H363" i="16"/>
  <c r="G243" i="16"/>
  <c r="H243" i="16"/>
  <c r="G352" i="16"/>
  <c r="H352" i="16"/>
  <c r="H426" i="16"/>
  <c r="G426" i="16"/>
  <c r="G186" i="16"/>
  <c r="H186" i="16"/>
  <c r="G66" i="16"/>
  <c r="H66" i="16"/>
  <c r="H425" i="16"/>
  <c r="G425" i="16"/>
  <c r="H369" i="16"/>
  <c r="G369" i="16"/>
  <c r="G33" i="16"/>
  <c r="H33" i="16"/>
  <c r="H366" i="16"/>
  <c r="G366" i="16"/>
  <c r="G46" i="16"/>
  <c r="H46" i="16"/>
  <c r="I490" i="17"/>
  <c r="S490" i="17"/>
  <c r="G20" i="23"/>
  <c r="G17" i="23"/>
  <c r="G15" i="23"/>
  <c r="G8" i="23"/>
  <c r="G12" i="23"/>
  <c r="G5" i="23"/>
  <c r="W5" i="23" s="1"/>
  <c r="G23" i="10"/>
  <c r="G24" i="10"/>
  <c r="E144" i="9" s="1"/>
  <c r="G18" i="10"/>
  <c r="E168" i="9" s="1"/>
  <c r="G17" i="10"/>
  <c r="G12" i="10"/>
  <c r="E402" i="19" s="1"/>
  <c r="M402" i="19" s="1"/>
  <c r="G7" i="10"/>
  <c r="E307" i="19" s="1"/>
  <c r="G11" i="10"/>
  <c r="E431" i="16" s="1"/>
  <c r="G8" i="10"/>
  <c r="W310" i="16"/>
  <c r="AA310" i="16" s="1"/>
  <c r="W460" i="19"/>
  <c r="AA460" i="19" s="1"/>
  <c r="W400" i="19"/>
  <c r="AA400" i="19" s="1"/>
  <c r="W250" i="19"/>
  <c r="AA250" i="19" s="1"/>
  <c r="W310" i="19"/>
  <c r="AA310" i="19" s="1"/>
  <c r="W100" i="19"/>
  <c r="AA100" i="19" s="1"/>
  <c r="W130" i="19"/>
  <c r="AA130" i="19" s="1"/>
  <c r="W280" i="19"/>
  <c r="AA280" i="19" s="1"/>
  <c r="W370" i="19"/>
  <c r="AA370" i="19" s="1"/>
  <c r="W10" i="19"/>
  <c r="AA10" i="19" s="1"/>
  <c r="W430" i="19"/>
  <c r="AA430" i="19" s="1"/>
  <c r="W190" i="19"/>
  <c r="AA190" i="19" s="1"/>
  <c r="W40" i="19"/>
  <c r="AA40" i="19" s="1"/>
  <c r="W490" i="19"/>
  <c r="AA490" i="19" s="1"/>
  <c r="W340" i="19"/>
  <c r="AA340" i="19" s="1"/>
  <c r="W160" i="19"/>
  <c r="AA160" i="19" s="1"/>
  <c r="W70" i="19"/>
  <c r="AA70" i="19" s="1"/>
  <c r="W220" i="19"/>
  <c r="AA220" i="19" s="1"/>
  <c r="W10" i="17"/>
  <c r="AA10" i="17" s="1"/>
  <c r="W70" i="17"/>
  <c r="AA70" i="17" s="1"/>
  <c r="W40" i="17"/>
  <c r="AA40" i="17" s="1"/>
  <c r="W100" i="17"/>
  <c r="AA100" i="17" s="1"/>
  <c r="W130" i="17"/>
  <c r="AA130" i="17" s="1"/>
  <c r="W160" i="17"/>
  <c r="AA160" i="17" s="1"/>
  <c r="W190" i="17"/>
  <c r="AA190" i="17" s="1"/>
  <c r="W220" i="17"/>
  <c r="AA220" i="17" s="1"/>
  <c r="W250" i="17"/>
  <c r="AA250" i="17" s="1"/>
  <c r="W280" i="17"/>
  <c r="AA280" i="17" s="1"/>
  <c r="W310" i="17"/>
  <c r="AA310" i="17" s="1"/>
  <c r="W340" i="17"/>
  <c r="AA340" i="17" s="1"/>
  <c r="W370" i="17"/>
  <c r="AA370" i="17" s="1"/>
  <c r="W400" i="17"/>
  <c r="AA400" i="17" s="1"/>
  <c r="W430" i="17"/>
  <c r="AA430" i="17" s="1"/>
  <c r="W460" i="17"/>
  <c r="Y488" i="17"/>
  <c r="E39" i="11"/>
  <c r="E35" i="11"/>
  <c r="E31" i="11"/>
  <c r="E27" i="11"/>
  <c r="E25" i="11"/>
  <c r="E37" i="11"/>
  <c r="E34" i="11"/>
  <c r="E40" i="11"/>
  <c r="E24" i="11"/>
  <c r="E30" i="11"/>
  <c r="E26" i="11"/>
  <c r="E36" i="11"/>
  <c r="E38" i="11"/>
  <c r="E32" i="11"/>
  <c r="E28" i="11"/>
  <c r="E33" i="11"/>
  <c r="E29" i="11"/>
  <c r="X430" i="16"/>
  <c r="X310" i="16"/>
  <c r="X100" i="19"/>
  <c r="X490" i="19"/>
  <c r="X460" i="19"/>
  <c r="X70" i="19"/>
  <c r="X10" i="19"/>
  <c r="X40" i="19"/>
  <c r="X430" i="19"/>
  <c r="X250" i="19"/>
  <c r="X280" i="19"/>
  <c r="X310" i="19"/>
  <c r="X370" i="19"/>
  <c r="AB370" i="19" s="1"/>
  <c r="X400" i="19"/>
  <c r="X160" i="19"/>
  <c r="X130" i="19"/>
  <c r="X220" i="19"/>
  <c r="X190" i="19"/>
  <c r="X340" i="19"/>
  <c r="AB340" i="19" s="1"/>
  <c r="X10" i="17"/>
  <c r="X40" i="17"/>
  <c r="X70" i="17"/>
  <c r="X100" i="17"/>
  <c r="X130" i="17"/>
  <c r="X160" i="17"/>
  <c r="X190" i="17"/>
  <c r="X220" i="17"/>
  <c r="X250" i="17"/>
  <c r="X280" i="17"/>
  <c r="X310" i="17"/>
  <c r="X340" i="17"/>
  <c r="X370" i="17"/>
  <c r="X400" i="17"/>
  <c r="X430" i="17"/>
  <c r="X460" i="17"/>
  <c r="X70" i="16"/>
  <c r="X291" i="16"/>
  <c r="X370" i="16"/>
  <c r="X490" i="17"/>
  <c r="X190" i="16"/>
  <c r="X10" i="16"/>
  <c r="X471" i="16"/>
  <c r="E441" i="16"/>
  <c r="E201" i="16"/>
  <c r="F201" i="16" s="1"/>
  <c r="E351" i="16"/>
  <c r="F351" i="16" s="1"/>
  <c r="E261" i="16"/>
  <c r="E381" i="16"/>
  <c r="E171" i="16"/>
  <c r="E321" i="16"/>
  <c r="F321" i="16" s="1"/>
  <c r="E141" i="16"/>
  <c r="E81" i="16"/>
  <c r="F81" i="16" s="1"/>
  <c r="M501" i="16"/>
  <c r="AJ501" i="16" s="1"/>
  <c r="M411" i="16"/>
  <c r="AJ411" i="16" s="1"/>
  <c r="E51" i="16"/>
  <c r="F51" i="16" s="1"/>
  <c r="M291" i="16"/>
  <c r="AJ291" i="16" s="1"/>
  <c r="E320" i="16"/>
  <c r="E201" i="19"/>
  <c r="F201" i="19" s="1"/>
  <c r="E321" i="19"/>
  <c r="F321" i="19" s="1"/>
  <c r="E291" i="19"/>
  <c r="F291" i="19" s="1"/>
  <c r="E231" i="19"/>
  <c r="F231" i="19" s="1"/>
  <c r="E411" i="19"/>
  <c r="F411" i="19" s="1"/>
  <c r="E141" i="19"/>
  <c r="F141" i="19" s="1"/>
  <c r="E261" i="19"/>
  <c r="F261" i="19" s="1"/>
  <c r="E351" i="19"/>
  <c r="F351" i="19" s="1"/>
  <c r="E381" i="19"/>
  <c r="F381" i="19" s="1"/>
  <c r="E471" i="19"/>
  <c r="F471" i="19" s="1"/>
  <c r="E501" i="19"/>
  <c r="F501" i="19" s="1"/>
  <c r="E441" i="19"/>
  <c r="F441" i="19" s="1"/>
  <c r="E81" i="19"/>
  <c r="F81" i="19" s="1"/>
  <c r="E51" i="19"/>
  <c r="F51" i="19" s="1"/>
  <c r="E171" i="19"/>
  <c r="F171" i="19" s="1"/>
  <c r="E21" i="19"/>
  <c r="F21" i="19" s="1"/>
  <c r="E111" i="19"/>
  <c r="F111" i="19" s="1"/>
  <c r="F21" i="17"/>
  <c r="F51" i="17"/>
  <c r="F81" i="17"/>
  <c r="F111" i="17"/>
  <c r="F141" i="17"/>
  <c r="F171" i="17"/>
  <c r="F201" i="17"/>
  <c r="F231" i="17"/>
  <c r="F261" i="17"/>
  <c r="F291" i="17"/>
  <c r="F321" i="17"/>
  <c r="F351" i="17"/>
  <c r="F381" i="17"/>
  <c r="F411" i="17"/>
  <c r="F441" i="17"/>
  <c r="F471" i="17"/>
  <c r="F501" i="17"/>
  <c r="E21" i="16"/>
  <c r="F21" i="16" s="1"/>
  <c r="E111" i="16"/>
  <c r="F111" i="16" s="1"/>
  <c r="E231" i="16"/>
  <c r="F231" i="16" s="1"/>
  <c r="E307" i="16"/>
  <c r="E457" i="19"/>
  <c r="E217" i="19"/>
  <c r="E277" i="19"/>
  <c r="E37" i="19"/>
  <c r="E256" i="19"/>
  <c r="F256" i="19" s="1"/>
  <c r="E226" i="19"/>
  <c r="F226" i="19" s="1"/>
  <c r="E316" i="19"/>
  <c r="F316" i="19" s="1"/>
  <c r="E46" i="19"/>
  <c r="F46" i="19" s="1"/>
  <c r="E136" i="19"/>
  <c r="F136" i="19" s="1"/>
  <c r="E106" i="19"/>
  <c r="F106" i="19" s="1"/>
  <c r="E196" i="19"/>
  <c r="F196" i="19" s="1"/>
  <c r="E406" i="19"/>
  <c r="F406" i="19" s="1"/>
  <c r="E16" i="19"/>
  <c r="F16" i="19" s="1"/>
  <c r="E496" i="19"/>
  <c r="F496" i="19" s="1"/>
  <c r="E466" i="19"/>
  <c r="F466" i="19" s="1"/>
  <c r="E76" i="19"/>
  <c r="F76" i="19" s="1"/>
  <c r="E286" i="19"/>
  <c r="F286" i="19" s="1"/>
  <c r="E376" i="19"/>
  <c r="F376" i="19" s="1"/>
  <c r="E346" i="19"/>
  <c r="F346" i="19" s="1"/>
  <c r="E436" i="19"/>
  <c r="F436" i="19" s="1"/>
  <c r="E166" i="19"/>
  <c r="F166" i="19" s="1"/>
  <c r="F376" i="17"/>
  <c r="F466" i="17"/>
  <c r="F226" i="17"/>
  <c r="F16" i="17"/>
  <c r="F496" i="17"/>
  <c r="F76" i="17"/>
  <c r="F346" i="17"/>
  <c r="F106" i="17"/>
  <c r="F286" i="17"/>
  <c r="F436" i="17"/>
  <c r="F46" i="17"/>
  <c r="F196" i="17"/>
  <c r="F166" i="17"/>
  <c r="F256" i="17"/>
  <c r="F406" i="17"/>
  <c r="F316" i="17"/>
  <c r="F136" i="17"/>
  <c r="M262" i="16"/>
  <c r="AJ262" i="16" s="1"/>
  <c r="E440" i="16"/>
  <c r="F440" i="16" s="1"/>
  <c r="E316" i="16"/>
  <c r="F316" i="16" s="1"/>
  <c r="E260" i="16"/>
  <c r="M220" i="16"/>
  <c r="AJ220" i="16" s="1"/>
  <c r="M172" i="16"/>
  <c r="AJ172" i="16" s="1"/>
  <c r="E376" i="16"/>
  <c r="F376" i="16" s="1"/>
  <c r="E80" i="16"/>
  <c r="F80" i="16" s="1"/>
  <c r="E466" i="16"/>
  <c r="E106" i="16"/>
  <c r="F106" i="16" s="1"/>
  <c r="X40" i="16"/>
  <c r="E313" i="16"/>
  <c r="F313" i="16" s="1"/>
  <c r="E350" i="16"/>
  <c r="F350" i="16" s="1"/>
  <c r="E166" i="16"/>
  <c r="M352" i="16"/>
  <c r="AJ352" i="16" s="1"/>
  <c r="E251" i="19"/>
  <c r="E41" i="19"/>
  <c r="E71" i="19"/>
  <c r="M406" i="16"/>
  <c r="AJ406" i="16" s="1"/>
  <c r="E80" i="19"/>
  <c r="F80" i="19" s="1"/>
  <c r="E50" i="19"/>
  <c r="F50" i="19" s="1"/>
  <c r="E140" i="19"/>
  <c r="F140" i="19" s="1"/>
  <c r="E350" i="19"/>
  <c r="F350" i="19" s="1"/>
  <c r="E440" i="19"/>
  <c r="F440" i="19" s="1"/>
  <c r="E410" i="19"/>
  <c r="F410" i="19" s="1"/>
  <c r="E20" i="19"/>
  <c r="F20" i="19" s="1"/>
  <c r="E500" i="19"/>
  <c r="F500" i="19" s="1"/>
  <c r="E230" i="19"/>
  <c r="F230" i="19" s="1"/>
  <c r="E320" i="19"/>
  <c r="F320" i="19" s="1"/>
  <c r="E290" i="19"/>
  <c r="F290" i="19" s="1"/>
  <c r="E380" i="19"/>
  <c r="F380" i="19" s="1"/>
  <c r="E110" i="19"/>
  <c r="F110" i="19" s="1"/>
  <c r="E200" i="19"/>
  <c r="F200" i="19" s="1"/>
  <c r="E170" i="19"/>
  <c r="F170" i="19" s="1"/>
  <c r="E260" i="19"/>
  <c r="F260" i="19" s="1"/>
  <c r="E470" i="19"/>
  <c r="F470" i="19" s="1"/>
  <c r="F20" i="17"/>
  <c r="F50" i="17"/>
  <c r="F80" i="17"/>
  <c r="F110" i="17"/>
  <c r="F140" i="17"/>
  <c r="F170" i="17"/>
  <c r="F200" i="17"/>
  <c r="F230" i="17"/>
  <c r="F260" i="17"/>
  <c r="F290" i="17"/>
  <c r="F320" i="17"/>
  <c r="F350" i="17"/>
  <c r="F380" i="17"/>
  <c r="F410" i="17"/>
  <c r="F440" i="17"/>
  <c r="F470" i="17"/>
  <c r="F500" i="17"/>
  <c r="E373" i="16"/>
  <c r="F373" i="16" s="1"/>
  <c r="E277" i="16"/>
  <c r="E101" i="16"/>
  <c r="M101" i="16" s="1"/>
  <c r="AJ101" i="16" s="1"/>
  <c r="AK101" i="16" s="1"/>
  <c r="AL101" i="16" s="1"/>
  <c r="E13" i="16"/>
  <c r="X400" i="16"/>
  <c r="M232" i="16"/>
  <c r="AJ232" i="16" s="1"/>
  <c r="E16" i="16"/>
  <c r="F16" i="16" s="1"/>
  <c r="E343" i="16"/>
  <c r="F343" i="16" s="1"/>
  <c r="E436" i="16"/>
  <c r="F436" i="16" s="1"/>
  <c r="M292" i="16"/>
  <c r="AJ292" i="16" s="1"/>
  <c r="E76" i="16"/>
  <c r="E496" i="16"/>
  <c r="F496" i="16" s="1"/>
  <c r="E127" i="16"/>
  <c r="E403" i="16"/>
  <c r="E43" i="16"/>
  <c r="X280" i="16"/>
  <c r="E410" i="16"/>
  <c r="F410" i="16" s="1"/>
  <c r="E226" i="16"/>
  <c r="F226" i="16" s="1"/>
  <c r="E50" i="16"/>
  <c r="F50" i="16" s="1"/>
  <c r="E433" i="16"/>
  <c r="E136" i="16"/>
  <c r="F136" i="16" s="1"/>
  <c r="E470" i="16"/>
  <c r="F470" i="16" s="1"/>
  <c r="E286" i="16"/>
  <c r="F286" i="16" s="1"/>
  <c r="E110" i="16"/>
  <c r="F110" i="16" s="1"/>
  <c r="E12" i="19"/>
  <c r="M12" i="19" s="1"/>
  <c r="E162" i="19"/>
  <c r="L490" i="17"/>
  <c r="Y490" i="17" s="1"/>
  <c r="E163" i="19"/>
  <c r="F163" i="19" s="1"/>
  <c r="E253" i="19"/>
  <c r="E313" i="19"/>
  <c r="E343" i="19"/>
  <c r="E43" i="19"/>
  <c r="E13" i="19"/>
  <c r="E223" i="19"/>
  <c r="E433" i="19"/>
  <c r="E403" i="19"/>
  <c r="F403" i="19" s="1"/>
  <c r="E193" i="19"/>
  <c r="E493" i="19"/>
  <c r="E133" i="19"/>
  <c r="E103" i="19"/>
  <c r="E73" i="19"/>
  <c r="E283" i="19"/>
  <c r="E373" i="19"/>
  <c r="E463" i="19"/>
  <c r="F463" i="19" s="1"/>
  <c r="F313" i="17"/>
  <c r="F253" i="17"/>
  <c r="F343" i="17"/>
  <c r="E493" i="16"/>
  <c r="F493" i="16" s="1"/>
  <c r="E133" i="16"/>
  <c r="F133" i="16" s="1"/>
  <c r="E463" i="16"/>
  <c r="F463" i="16" s="1"/>
  <c r="E380" i="16"/>
  <c r="X340" i="16"/>
  <c r="E196" i="16"/>
  <c r="F196" i="16" s="1"/>
  <c r="E20" i="16"/>
  <c r="M472" i="16"/>
  <c r="AJ472" i="16" s="1"/>
  <c r="E256" i="16"/>
  <c r="E163" i="16"/>
  <c r="F163" i="16" s="1"/>
  <c r="M490" i="16"/>
  <c r="AJ490" i="16" s="1"/>
  <c r="M442" i="16"/>
  <c r="AJ442" i="16" s="1"/>
  <c r="E170" i="16"/>
  <c r="F170" i="16" s="1"/>
  <c r="X130" i="16"/>
  <c r="M82" i="16"/>
  <c r="AJ82" i="16" s="1"/>
  <c r="E193" i="16"/>
  <c r="F193" i="16" s="1"/>
  <c r="M502" i="16"/>
  <c r="AJ502" i="16" s="1"/>
  <c r="E230" i="16"/>
  <c r="F230" i="16" s="1"/>
  <c r="M190" i="16"/>
  <c r="AJ190" i="16" s="1"/>
  <c r="M142" i="16"/>
  <c r="AJ142" i="16" s="1"/>
  <c r="W490" i="17"/>
  <c r="X46" i="16"/>
  <c r="M436" i="16"/>
  <c r="AJ436" i="16" s="1"/>
  <c r="X501" i="16"/>
  <c r="M496" i="16"/>
  <c r="AJ496" i="16" s="1"/>
  <c r="M400" i="16"/>
  <c r="AJ400" i="16" s="1"/>
  <c r="X490" i="16"/>
  <c r="M376" i="16"/>
  <c r="AJ376" i="16" s="1"/>
  <c r="M340" i="16"/>
  <c r="AJ340" i="16" s="1"/>
  <c r="M196" i="16"/>
  <c r="AJ196" i="16" s="1"/>
  <c r="M51" i="16"/>
  <c r="AJ51" i="16" s="1"/>
  <c r="X411" i="16"/>
  <c r="M350" i="16"/>
  <c r="AJ350" i="16" s="1"/>
  <c r="M21" i="16"/>
  <c r="AJ21" i="16" s="1"/>
  <c r="X220" i="16"/>
  <c r="M81" i="16"/>
  <c r="AJ81" i="16" s="1"/>
  <c r="M40" i="16"/>
  <c r="AJ40" i="16" s="1"/>
  <c r="M80" i="16"/>
  <c r="AJ80" i="16" s="1"/>
  <c r="M106" i="16"/>
  <c r="AJ106" i="16" s="1"/>
  <c r="M320" i="16"/>
  <c r="AJ320" i="16" s="1"/>
  <c r="M111" i="16"/>
  <c r="AJ111" i="16" s="1"/>
  <c r="M316" i="16"/>
  <c r="AJ316" i="16" s="1"/>
  <c r="L158" i="16"/>
  <c r="AI158" i="16" s="1"/>
  <c r="M46" i="16"/>
  <c r="AJ46" i="16" s="1"/>
  <c r="X406" i="16"/>
  <c r="L113" i="16"/>
  <c r="AI113" i="16" s="1"/>
  <c r="E33" i="9"/>
  <c r="F33" i="9" s="1"/>
  <c r="V33" i="9"/>
  <c r="E49" i="9"/>
  <c r="F49" i="9" s="1"/>
  <c r="V49" i="9"/>
  <c r="E79" i="9"/>
  <c r="F79" i="9" s="1"/>
  <c r="V79" i="9"/>
  <c r="E199" i="9"/>
  <c r="F199" i="9" s="1"/>
  <c r="V199" i="9"/>
  <c r="E244" i="9"/>
  <c r="F244" i="9" s="1"/>
  <c r="V244" i="9"/>
  <c r="E261" i="9"/>
  <c r="F261" i="9" s="1"/>
  <c r="V261" i="9"/>
  <c r="E289" i="9"/>
  <c r="F289" i="9" s="1"/>
  <c r="V289" i="9"/>
  <c r="E412" i="9"/>
  <c r="F412" i="9" s="1"/>
  <c r="V412" i="9"/>
  <c r="E489" i="9"/>
  <c r="F489" i="9" s="1"/>
  <c r="V489" i="9"/>
  <c r="E282" i="9"/>
  <c r="V282" i="9"/>
  <c r="V294" i="9"/>
  <c r="V307" i="9"/>
  <c r="E314" i="9"/>
  <c r="F314" i="9" s="1"/>
  <c r="V314" i="9"/>
  <c r="V324" i="9"/>
  <c r="E339" i="9"/>
  <c r="F339" i="9" s="1"/>
  <c r="V339" i="9"/>
  <c r="E346" i="9"/>
  <c r="F346" i="9" s="1"/>
  <c r="V346" i="9"/>
  <c r="E351" i="9"/>
  <c r="F351" i="9" s="1"/>
  <c r="V351" i="9"/>
  <c r="V353" i="9"/>
  <c r="E366" i="9"/>
  <c r="F366" i="9" s="1"/>
  <c r="V366" i="9"/>
  <c r="E375" i="9"/>
  <c r="F375" i="9" s="1"/>
  <c r="V375" i="9"/>
  <c r="V377" i="9"/>
  <c r="E395" i="9"/>
  <c r="F395" i="9" s="1"/>
  <c r="V395" i="9"/>
  <c r="E405" i="9"/>
  <c r="F405" i="9" s="1"/>
  <c r="V405" i="9"/>
  <c r="E410" i="9"/>
  <c r="F410" i="9" s="1"/>
  <c r="V410" i="9"/>
  <c r="E425" i="9"/>
  <c r="F425" i="9" s="1"/>
  <c r="V425" i="9"/>
  <c r="E434" i="9"/>
  <c r="F434" i="9" s="1"/>
  <c r="V434" i="9"/>
  <c r="E439" i="9"/>
  <c r="F439" i="9" s="1"/>
  <c r="V439" i="9"/>
  <c r="E459" i="9"/>
  <c r="F459" i="9" s="1"/>
  <c r="V459" i="9"/>
  <c r="E464" i="9"/>
  <c r="F464" i="9" s="1"/>
  <c r="V464" i="9"/>
  <c r="V487" i="9"/>
  <c r="V503" i="9"/>
  <c r="E507" i="9"/>
  <c r="V507" i="9"/>
  <c r="V41" i="9"/>
  <c r="E135" i="9"/>
  <c r="F135" i="9" s="1"/>
  <c r="V135" i="9"/>
  <c r="E279" i="9"/>
  <c r="F279" i="9" s="1"/>
  <c r="V279" i="9"/>
  <c r="E316" i="9"/>
  <c r="F316" i="9" s="1"/>
  <c r="V316" i="9"/>
  <c r="V341" i="9"/>
  <c r="E363" i="9"/>
  <c r="F363" i="9" s="1"/>
  <c r="V363" i="9"/>
  <c r="E454" i="9"/>
  <c r="F454" i="9" s="1"/>
  <c r="V454" i="9"/>
  <c r="E74" i="9"/>
  <c r="F74" i="9" s="1"/>
  <c r="V74" i="9"/>
  <c r="V98" i="9"/>
  <c r="V114" i="9"/>
  <c r="V138" i="9"/>
  <c r="E154" i="9"/>
  <c r="F154" i="9" s="1"/>
  <c r="V154" i="9"/>
  <c r="E170" i="9"/>
  <c r="F170" i="9" s="1"/>
  <c r="V170" i="9"/>
  <c r="E194" i="9"/>
  <c r="F194" i="9" s="1"/>
  <c r="V194" i="9"/>
  <c r="E202" i="9"/>
  <c r="F202" i="9" s="1"/>
  <c r="V202" i="9"/>
  <c r="V218" i="9"/>
  <c r="E226" i="9"/>
  <c r="F226" i="9" s="1"/>
  <c r="V226" i="9"/>
  <c r="V234" i="9"/>
  <c r="E15" i="9"/>
  <c r="F15" i="9" s="1"/>
  <c r="V15" i="9"/>
  <c r="E39" i="9"/>
  <c r="F39" i="9" s="1"/>
  <c r="V39" i="9"/>
  <c r="V47" i="9"/>
  <c r="E69" i="9"/>
  <c r="F69" i="9" s="1"/>
  <c r="V69" i="9"/>
  <c r="E93" i="9"/>
  <c r="F93" i="9" s="1"/>
  <c r="V93" i="9"/>
  <c r="E109" i="9"/>
  <c r="F109" i="9" s="1"/>
  <c r="V109" i="9"/>
  <c r="E125" i="9"/>
  <c r="F125" i="9" s="1"/>
  <c r="V125" i="9"/>
  <c r="E133" i="9"/>
  <c r="F133" i="9" s="1"/>
  <c r="V133" i="9"/>
  <c r="E141" i="9"/>
  <c r="F141" i="9" s="1"/>
  <c r="V141" i="9"/>
  <c r="V157" i="9"/>
  <c r="E165" i="9"/>
  <c r="F165" i="9" s="1"/>
  <c r="V165" i="9"/>
  <c r="V173" i="9"/>
  <c r="E189" i="9"/>
  <c r="F189" i="9" s="1"/>
  <c r="V189" i="9"/>
  <c r="V197" i="9"/>
  <c r="E213" i="9"/>
  <c r="F213" i="9" s="1"/>
  <c r="V213" i="9"/>
  <c r="V221" i="9"/>
  <c r="E229" i="9"/>
  <c r="F229" i="9" s="1"/>
  <c r="V229" i="9"/>
  <c r="V247" i="9"/>
  <c r="V257" i="9"/>
  <c r="E259" i="9"/>
  <c r="F259" i="9" s="1"/>
  <c r="V259" i="9"/>
  <c r="V264" i="9"/>
  <c r="E277" i="9"/>
  <c r="V277" i="9"/>
  <c r="V287" i="9"/>
  <c r="V312" i="9"/>
  <c r="E319" i="9"/>
  <c r="F319" i="9" s="1"/>
  <c r="V319" i="9"/>
  <c r="V337" i="9"/>
  <c r="E349" i="9"/>
  <c r="F349" i="9" s="1"/>
  <c r="V349" i="9"/>
  <c r="E369" i="9"/>
  <c r="F369" i="9" s="1"/>
  <c r="V369" i="9"/>
  <c r="V371" i="9"/>
  <c r="E373" i="9"/>
  <c r="F373" i="9" s="1"/>
  <c r="V373" i="9"/>
  <c r="E380" i="9"/>
  <c r="F380" i="9" s="1"/>
  <c r="V380" i="9"/>
  <c r="E393" i="9"/>
  <c r="F393" i="9" s="1"/>
  <c r="V393" i="9"/>
  <c r="V398" i="9"/>
  <c r="E403" i="9"/>
  <c r="F403" i="9" s="1"/>
  <c r="V403" i="9"/>
  <c r="E423" i="9"/>
  <c r="F423" i="9" s="1"/>
  <c r="V423" i="9"/>
  <c r="E430" i="9"/>
  <c r="F430" i="9" s="1"/>
  <c r="V430" i="9"/>
  <c r="V432" i="9"/>
  <c r="V444" i="9"/>
  <c r="E457" i="9"/>
  <c r="V457" i="9"/>
  <c r="V462" i="9"/>
  <c r="V467" i="9"/>
  <c r="V474" i="9"/>
  <c r="V492" i="9"/>
  <c r="E499" i="9"/>
  <c r="F499" i="9" s="1"/>
  <c r="V499" i="9"/>
  <c r="E501" i="9"/>
  <c r="F501" i="9" s="1"/>
  <c r="V501" i="9"/>
  <c r="E508" i="9"/>
  <c r="V508" i="9"/>
  <c r="E127" i="9"/>
  <c r="V127" i="9"/>
  <c r="E284" i="9"/>
  <c r="F284" i="9" s="1"/>
  <c r="V284" i="9"/>
  <c r="E321" i="9"/>
  <c r="F321" i="9" s="1"/>
  <c r="V321" i="9"/>
  <c r="E469" i="9"/>
  <c r="F469" i="9" s="1"/>
  <c r="V469" i="9"/>
  <c r="E484" i="9"/>
  <c r="F484" i="9" s="1"/>
  <c r="V484" i="9"/>
  <c r="E494" i="9"/>
  <c r="F494" i="9" s="1"/>
  <c r="V494" i="9"/>
  <c r="E506" i="9"/>
  <c r="V506" i="9"/>
  <c r="E36" i="9"/>
  <c r="F36" i="9" s="1"/>
  <c r="V36" i="9"/>
  <c r="E52" i="9"/>
  <c r="F52" i="9" s="1"/>
  <c r="V52" i="9"/>
  <c r="E82" i="9"/>
  <c r="F82" i="9" s="1"/>
  <c r="V82" i="9"/>
  <c r="E106" i="9"/>
  <c r="F106" i="9" s="1"/>
  <c r="V106" i="9"/>
  <c r="E130" i="9"/>
  <c r="F130" i="9" s="1"/>
  <c r="V130" i="9"/>
  <c r="V162" i="9"/>
  <c r="E186" i="9"/>
  <c r="F186" i="9" s="1"/>
  <c r="V186" i="9"/>
  <c r="V252" i="9"/>
  <c r="E7" i="9"/>
  <c r="V7" i="9"/>
  <c r="V23" i="9"/>
  <c r="E63" i="9"/>
  <c r="F63" i="9" s="1"/>
  <c r="V63" i="9"/>
  <c r="V77" i="9"/>
  <c r="V101" i="9"/>
  <c r="E10" i="9"/>
  <c r="F10" i="9" s="1"/>
  <c r="V10" i="9"/>
  <c r="V18" i="9"/>
  <c r="E34" i="9"/>
  <c r="F34" i="9" s="1"/>
  <c r="V34" i="9"/>
  <c r="V42" i="9"/>
  <c r="E50" i="9"/>
  <c r="F50" i="9" s="1"/>
  <c r="V50" i="9"/>
  <c r="E64" i="9"/>
  <c r="F64" i="9" s="1"/>
  <c r="V64" i="9"/>
  <c r="V72" i="9"/>
  <c r="E80" i="9"/>
  <c r="F80" i="9" s="1"/>
  <c r="V80" i="9"/>
  <c r="E96" i="9"/>
  <c r="F96" i="9" s="1"/>
  <c r="V96" i="9"/>
  <c r="E104" i="9"/>
  <c r="F104" i="9" s="1"/>
  <c r="V104" i="9"/>
  <c r="E112" i="9"/>
  <c r="F112" i="9" s="1"/>
  <c r="V112" i="9"/>
  <c r="V128" i="9"/>
  <c r="E136" i="9"/>
  <c r="F136" i="9" s="1"/>
  <c r="V136" i="9"/>
  <c r="V144" i="9"/>
  <c r="E160" i="9"/>
  <c r="F160" i="9" s="1"/>
  <c r="V160" i="9"/>
  <c r="V168" i="9"/>
  <c r="E184" i="9"/>
  <c r="F184" i="9" s="1"/>
  <c r="V184" i="9"/>
  <c r="V192" i="9"/>
  <c r="E200" i="9"/>
  <c r="F200" i="9" s="1"/>
  <c r="V200" i="9"/>
  <c r="E216" i="9"/>
  <c r="F216" i="9" s="1"/>
  <c r="V216" i="9"/>
  <c r="E224" i="9"/>
  <c r="F224" i="9" s="1"/>
  <c r="V224" i="9"/>
  <c r="E232" i="9"/>
  <c r="F232" i="9" s="1"/>
  <c r="V232" i="9"/>
  <c r="E250" i="9"/>
  <c r="F250" i="9" s="1"/>
  <c r="V250" i="9"/>
  <c r="E255" i="9"/>
  <c r="F255" i="9" s="1"/>
  <c r="V255" i="9"/>
  <c r="E275" i="9"/>
  <c r="F275" i="9" s="1"/>
  <c r="V275" i="9"/>
  <c r="E280" i="9"/>
  <c r="F280" i="9" s="1"/>
  <c r="V280" i="9"/>
  <c r="E292" i="9"/>
  <c r="F292" i="9" s="1"/>
  <c r="V292" i="9"/>
  <c r="E305" i="9"/>
  <c r="F305" i="9" s="1"/>
  <c r="V305" i="9"/>
  <c r="E310" i="9"/>
  <c r="F310" i="9" s="1"/>
  <c r="V310" i="9"/>
  <c r="E322" i="9"/>
  <c r="F322" i="9" s="1"/>
  <c r="V322" i="9"/>
  <c r="E344" i="9"/>
  <c r="F344" i="9" s="1"/>
  <c r="V344" i="9"/>
  <c r="E364" i="9"/>
  <c r="F364" i="9" s="1"/>
  <c r="V364" i="9"/>
  <c r="V401" i="9"/>
  <c r="V408" i="9"/>
  <c r="V413" i="9"/>
  <c r="V437" i="9"/>
  <c r="E442" i="9"/>
  <c r="F442" i="9" s="1"/>
  <c r="V442" i="9"/>
  <c r="E470" i="9"/>
  <c r="F470" i="9" s="1"/>
  <c r="V470" i="9"/>
  <c r="E472" i="9"/>
  <c r="F472" i="9" s="1"/>
  <c r="V472" i="9"/>
  <c r="E485" i="9"/>
  <c r="F485" i="9" s="1"/>
  <c r="V485" i="9"/>
  <c r="E490" i="9"/>
  <c r="F490" i="9" s="1"/>
  <c r="V490" i="9"/>
  <c r="V497" i="9"/>
  <c r="E509" i="9"/>
  <c r="V509" i="9"/>
  <c r="V17" i="9"/>
  <c r="E103" i="9"/>
  <c r="F103" i="9" s="1"/>
  <c r="V103" i="9"/>
  <c r="E183" i="9"/>
  <c r="F183" i="9" s="1"/>
  <c r="V183" i="9"/>
  <c r="E291" i="9"/>
  <c r="F291" i="9" s="1"/>
  <c r="V291" i="9"/>
  <c r="E436" i="9"/>
  <c r="F436" i="9" s="1"/>
  <c r="V436" i="9"/>
  <c r="E4" i="9"/>
  <c r="F4" i="9" s="1"/>
  <c r="V4" i="9"/>
  <c r="E13" i="9"/>
  <c r="F13" i="9" s="1"/>
  <c r="V13" i="9"/>
  <c r="V131" i="9"/>
  <c r="V227" i="9"/>
  <c r="E243" i="9"/>
  <c r="F243" i="9" s="1"/>
  <c r="V243" i="9"/>
  <c r="E262" i="9"/>
  <c r="F262" i="9" s="1"/>
  <c r="V262" i="9"/>
  <c r="E285" i="9"/>
  <c r="F285" i="9" s="1"/>
  <c r="V285" i="9"/>
  <c r="E290" i="9"/>
  <c r="F290" i="9" s="1"/>
  <c r="V290" i="9"/>
  <c r="E308" i="9"/>
  <c r="V308" i="9"/>
  <c r="E315" i="9"/>
  <c r="F315" i="9" s="1"/>
  <c r="V315" i="9"/>
  <c r="V317" i="9"/>
  <c r="E335" i="9"/>
  <c r="F335" i="9" s="1"/>
  <c r="V335" i="9"/>
  <c r="E340" i="9"/>
  <c r="F340" i="9" s="1"/>
  <c r="V340" i="9"/>
  <c r="V342" i="9"/>
  <c r="V347" i="9"/>
  <c r="E367" i="9"/>
  <c r="V367" i="9"/>
  <c r="V378" i="9"/>
  <c r="V383" i="9"/>
  <c r="E396" i="9"/>
  <c r="F396" i="9" s="1"/>
  <c r="V396" i="9"/>
  <c r="E406" i="9"/>
  <c r="F406" i="9" s="1"/>
  <c r="V406" i="9"/>
  <c r="E411" i="9"/>
  <c r="F411" i="9" s="1"/>
  <c r="V411" i="9"/>
  <c r="E426" i="9"/>
  <c r="F426" i="9" s="1"/>
  <c r="V426" i="9"/>
  <c r="V428" i="9"/>
  <c r="E440" i="9"/>
  <c r="F440" i="9" s="1"/>
  <c r="V440" i="9"/>
  <c r="E455" i="9"/>
  <c r="F455" i="9" s="1"/>
  <c r="V455" i="9"/>
  <c r="E460" i="9"/>
  <c r="F460" i="9" s="1"/>
  <c r="V460" i="9"/>
  <c r="E465" i="9"/>
  <c r="F465" i="9" s="1"/>
  <c r="V465" i="9"/>
  <c r="E495" i="9"/>
  <c r="F495" i="9" s="1"/>
  <c r="V495" i="9"/>
  <c r="V504" i="9"/>
  <c r="E510" i="9"/>
  <c r="V510" i="9"/>
  <c r="E111" i="9"/>
  <c r="F111" i="9" s="1"/>
  <c r="V111" i="9"/>
  <c r="E159" i="9"/>
  <c r="F159" i="9" s="1"/>
  <c r="V159" i="9"/>
  <c r="E231" i="9"/>
  <c r="F231" i="9" s="1"/>
  <c r="V231" i="9"/>
  <c r="E254" i="9"/>
  <c r="F254" i="9" s="1"/>
  <c r="V254" i="9"/>
  <c r="E304" i="9"/>
  <c r="F304" i="9" s="1"/>
  <c r="V304" i="9"/>
  <c r="E343" i="9"/>
  <c r="F343" i="9" s="1"/>
  <c r="V343" i="9"/>
  <c r="E382" i="9"/>
  <c r="F382" i="9" s="1"/>
  <c r="V382" i="9"/>
  <c r="E427" i="9"/>
  <c r="V427" i="9"/>
  <c r="E21" i="9"/>
  <c r="F21" i="9" s="1"/>
  <c r="V21" i="9"/>
  <c r="V37" i="9"/>
  <c r="E45" i="9"/>
  <c r="F45" i="9" s="1"/>
  <c r="V45" i="9"/>
  <c r="V53" i="9"/>
  <c r="V67" i="9"/>
  <c r="E75" i="9"/>
  <c r="F75" i="9" s="1"/>
  <c r="V75" i="9"/>
  <c r="E99" i="9"/>
  <c r="F99" i="9" s="1"/>
  <c r="V99" i="9"/>
  <c r="V107" i="9"/>
  <c r="E123" i="9"/>
  <c r="F123" i="9" s="1"/>
  <c r="V123" i="9"/>
  <c r="E139" i="9"/>
  <c r="F139" i="9" s="1"/>
  <c r="V139" i="9"/>
  <c r="E171" i="9"/>
  <c r="F171" i="9" s="1"/>
  <c r="V171" i="9"/>
  <c r="E195" i="9"/>
  <c r="F195" i="9" s="1"/>
  <c r="V195" i="9"/>
  <c r="V203" i="9"/>
  <c r="E219" i="9"/>
  <c r="F219" i="9" s="1"/>
  <c r="V219" i="9"/>
  <c r="E245" i="9"/>
  <c r="F245" i="9" s="1"/>
  <c r="V245" i="9"/>
  <c r="E283" i="9"/>
  <c r="F283" i="9" s="1"/>
  <c r="V283" i="9"/>
  <c r="V8" i="9"/>
  <c r="E16" i="9"/>
  <c r="F16" i="9" s="1"/>
  <c r="V16" i="9"/>
  <c r="V24" i="9"/>
  <c r="E40" i="9"/>
  <c r="F40" i="9" s="1"/>
  <c r="V40" i="9"/>
  <c r="E48" i="9"/>
  <c r="V48" i="9"/>
  <c r="E70" i="9"/>
  <c r="F70" i="9" s="1"/>
  <c r="V70" i="9"/>
  <c r="V78" i="9"/>
  <c r="E94" i="9"/>
  <c r="F94" i="9" s="1"/>
  <c r="V94" i="9"/>
  <c r="V102" i="9"/>
  <c r="E110" i="9"/>
  <c r="F110" i="9" s="1"/>
  <c r="V110" i="9"/>
  <c r="E126" i="9"/>
  <c r="F126" i="9" s="1"/>
  <c r="V126" i="9"/>
  <c r="E134" i="9"/>
  <c r="F134" i="9" s="1"/>
  <c r="V134" i="9"/>
  <c r="E142" i="9"/>
  <c r="F142" i="9" s="1"/>
  <c r="V142" i="9"/>
  <c r="V158" i="9"/>
  <c r="E166" i="9"/>
  <c r="F166" i="9" s="1"/>
  <c r="V166" i="9"/>
  <c r="V174" i="9"/>
  <c r="E190" i="9"/>
  <c r="F190" i="9" s="1"/>
  <c r="V190" i="9"/>
  <c r="V198" i="9"/>
  <c r="E214" i="9"/>
  <c r="F214" i="9" s="1"/>
  <c r="V214" i="9"/>
  <c r="V222" i="9"/>
  <c r="E230" i="9"/>
  <c r="F230" i="9" s="1"/>
  <c r="V230" i="9"/>
  <c r="V248" i="9"/>
  <c r="E253" i="9"/>
  <c r="F253" i="9" s="1"/>
  <c r="V253" i="9"/>
  <c r="E260" i="9"/>
  <c r="F260" i="9" s="1"/>
  <c r="V260" i="9"/>
  <c r="E273" i="9"/>
  <c r="F273" i="9" s="1"/>
  <c r="V273" i="9"/>
  <c r="V278" i="9"/>
  <c r="V288" i="9"/>
  <c r="E303" i="9"/>
  <c r="F303" i="9" s="1"/>
  <c r="V303" i="9"/>
  <c r="E313" i="9"/>
  <c r="F313" i="9" s="1"/>
  <c r="V313" i="9"/>
  <c r="E320" i="9"/>
  <c r="F320" i="9" s="1"/>
  <c r="V320" i="9"/>
  <c r="E333" i="9"/>
  <c r="F333" i="9" s="1"/>
  <c r="V333" i="9"/>
  <c r="E350" i="9"/>
  <c r="F350" i="9" s="1"/>
  <c r="V350" i="9"/>
  <c r="E352" i="9"/>
  <c r="F352" i="9" s="1"/>
  <c r="V352" i="9"/>
  <c r="V354" i="9"/>
  <c r="E374" i="9"/>
  <c r="F374" i="9" s="1"/>
  <c r="V374" i="9"/>
  <c r="E376" i="9"/>
  <c r="F376" i="9" s="1"/>
  <c r="V376" i="9"/>
  <c r="E381" i="9"/>
  <c r="F381" i="9" s="1"/>
  <c r="V381" i="9"/>
  <c r="E394" i="9"/>
  <c r="F394" i="9" s="1"/>
  <c r="V394" i="9"/>
  <c r="E399" i="9"/>
  <c r="F399" i="9" s="1"/>
  <c r="V399" i="9"/>
  <c r="E404" i="9"/>
  <c r="F404" i="9" s="1"/>
  <c r="V404" i="9"/>
  <c r="E424" i="9"/>
  <c r="F424" i="9" s="1"/>
  <c r="V424" i="9"/>
  <c r="E435" i="9"/>
  <c r="F435" i="9" s="1"/>
  <c r="V435" i="9"/>
  <c r="E453" i="9"/>
  <c r="F453" i="9" s="1"/>
  <c r="V453" i="9"/>
  <c r="V468" i="9"/>
  <c r="E483" i="9"/>
  <c r="F483" i="9" s="1"/>
  <c r="V483" i="9"/>
  <c r="V488" i="9"/>
  <c r="E493" i="9"/>
  <c r="F493" i="9" s="1"/>
  <c r="V493" i="9"/>
  <c r="E511" i="9"/>
  <c r="V511" i="9"/>
  <c r="V71" i="9"/>
  <c r="E95" i="9"/>
  <c r="F95" i="9" s="1"/>
  <c r="V95" i="9"/>
  <c r="V143" i="9"/>
  <c r="V167" i="9"/>
  <c r="V191" i="9"/>
  <c r="E215" i="9"/>
  <c r="F215" i="9" s="1"/>
  <c r="V215" i="9"/>
  <c r="E309" i="9"/>
  <c r="F309" i="9" s="1"/>
  <c r="V309" i="9"/>
  <c r="E334" i="9"/>
  <c r="F334" i="9" s="1"/>
  <c r="V334" i="9"/>
  <c r="V407" i="9"/>
  <c r="V12" i="9"/>
  <c r="E44" i="9"/>
  <c r="F44" i="9" s="1"/>
  <c r="V44" i="9"/>
  <c r="E5" i="9"/>
  <c r="F5" i="9" s="1"/>
  <c r="V5" i="9"/>
  <c r="V83" i="9"/>
  <c r="E155" i="9"/>
  <c r="F155" i="9" s="1"/>
  <c r="V155" i="9"/>
  <c r="E163" i="9"/>
  <c r="F163" i="9" s="1"/>
  <c r="V163" i="9"/>
  <c r="E187" i="9"/>
  <c r="V187" i="9"/>
  <c r="E3" i="9"/>
  <c r="F3" i="9" s="1"/>
  <c r="V3" i="9"/>
  <c r="V11" i="9"/>
  <c r="E19" i="9"/>
  <c r="F19" i="9" s="1"/>
  <c r="V19" i="9"/>
  <c r="E35" i="9"/>
  <c r="F35" i="9" s="1"/>
  <c r="V35" i="9"/>
  <c r="E105" i="9"/>
  <c r="F105" i="9" s="1"/>
  <c r="V105" i="9"/>
  <c r="V113" i="9"/>
  <c r="E129" i="9"/>
  <c r="F129" i="9" s="1"/>
  <c r="V129" i="9"/>
  <c r="V137" i="9"/>
  <c r="E153" i="9"/>
  <c r="F153" i="9" s="1"/>
  <c r="V153" i="9"/>
  <c r="E161" i="9"/>
  <c r="V161" i="9"/>
  <c r="E169" i="9"/>
  <c r="F169" i="9" s="1"/>
  <c r="V169" i="9"/>
  <c r="E185" i="9"/>
  <c r="F185" i="9" s="1"/>
  <c r="V185" i="9"/>
  <c r="E193" i="9"/>
  <c r="F193" i="9" s="1"/>
  <c r="V193" i="9"/>
  <c r="E201" i="9"/>
  <c r="F201" i="9" s="1"/>
  <c r="V201" i="9"/>
  <c r="E217" i="9"/>
  <c r="V217" i="9"/>
  <c r="E225" i="9"/>
  <c r="F225" i="9" s="1"/>
  <c r="V225" i="9"/>
  <c r="V233" i="9"/>
  <c r="V251" i="9"/>
  <c r="E256" i="9"/>
  <c r="F256" i="9" s="1"/>
  <c r="V256" i="9"/>
  <c r="V258" i="9"/>
  <c r="E276" i="9"/>
  <c r="F276" i="9" s="1"/>
  <c r="V276" i="9"/>
  <c r="V281" i="9"/>
  <c r="V293" i="9"/>
  <c r="E306" i="9"/>
  <c r="F306" i="9" s="1"/>
  <c r="V306" i="9"/>
  <c r="V323" i="9"/>
  <c r="V338" i="9"/>
  <c r="E345" i="9"/>
  <c r="F345" i="9" s="1"/>
  <c r="V345" i="9"/>
  <c r="E365" i="9"/>
  <c r="F365" i="9" s="1"/>
  <c r="V365" i="9"/>
  <c r="E370" i="9"/>
  <c r="F370" i="9" s="1"/>
  <c r="V370" i="9"/>
  <c r="E372" i="9"/>
  <c r="V372" i="9"/>
  <c r="V402" i="9"/>
  <c r="E409" i="9"/>
  <c r="F409" i="9" s="1"/>
  <c r="V409" i="9"/>
  <c r="E414" i="9"/>
  <c r="V414" i="9"/>
  <c r="V431" i="9"/>
  <c r="E433" i="9"/>
  <c r="F433" i="9" s="1"/>
  <c r="V433" i="9"/>
  <c r="V438" i="9"/>
  <c r="V458" i="9"/>
  <c r="E463" i="9"/>
  <c r="F463" i="9" s="1"/>
  <c r="V463" i="9"/>
  <c r="E486" i="9"/>
  <c r="F486" i="9" s="1"/>
  <c r="V486" i="9"/>
  <c r="V491" i="9"/>
  <c r="E500" i="9"/>
  <c r="F500" i="9" s="1"/>
  <c r="V500" i="9"/>
  <c r="E502" i="9"/>
  <c r="F502" i="9" s="1"/>
  <c r="V502" i="9"/>
  <c r="E512" i="9"/>
  <c r="V512" i="9"/>
  <c r="E9" i="9"/>
  <c r="F9" i="9" s="1"/>
  <c r="V9" i="9"/>
  <c r="E223" i="9"/>
  <c r="F223" i="9" s="1"/>
  <c r="V223" i="9"/>
  <c r="E249" i="9"/>
  <c r="F249" i="9" s="1"/>
  <c r="V249" i="9"/>
  <c r="E274" i="9"/>
  <c r="F274" i="9" s="1"/>
  <c r="V274" i="9"/>
  <c r="E400" i="9"/>
  <c r="F400" i="9" s="1"/>
  <c r="V400" i="9"/>
  <c r="E441" i="9"/>
  <c r="F441" i="9" s="1"/>
  <c r="V441" i="9"/>
  <c r="E20" i="9"/>
  <c r="F20" i="9" s="1"/>
  <c r="V20" i="9"/>
  <c r="E66" i="9"/>
  <c r="F66" i="9" s="1"/>
  <c r="V66" i="9"/>
  <c r="E43" i="9"/>
  <c r="F43" i="9" s="1"/>
  <c r="V43" i="9"/>
  <c r="E51" i="9"/>
  <c r="F51" i="9" s="1"/>
  <c r="V51" i="9"/>
  <c r="E65" i="9"/>
  <c r="F65" i="9" s="1"/>
  <c r="V65" i="9"/>
  <c r="E73" i="9"/>
  <c r="F73" i="9" s="1"/>
  <c r="V73" i="9"/>
  <c r="E81" i="9"/>
  <c r="F81" i="9" s="1"/>
  <c r="V81" i="9"/>
  <c r="E97" i="9"/>
  <c r="V97" i="9"/>
  <c r="E6" i="9"/>
  <c r="F6" i="9" s="1"/>
  <c r="V6" i="9"/>
  <c r="E14" i="9"/>
  <c r="F14" i="9" s="1"/>
  <c r="V14" i="9"/>
  <c r="E22" i="9"/>
  <c r="F22" i="9" s="1"/>
  <c r="V22" i="9"/>
  <c r="V38" i="9"/>
  <c r="E46" i="9"/>
  <c r="F46" i="9" s="1"/>
  <c r="V46" i="9"/>
  <c r="V54" i="9"/>
  <c r="V68" i="9"/>
  <c r="E76" i="9"/>
  <c r="F76" i="9" s="1"/>
  <c r="V76" i="9"/>
  <c r="V84" i="9"/>
  <c r="E100" i="9"/>
  <c r="F100" i="9" s="1"/>
  <c r="V100" i="9"/>
  <c r="V108" i="9"/>
  <c r="E124" i="9"/>
  <c r="F124" i="9" s="1"/>
  <c r="V124" i="9"/>
  <c r="V132" i="9"/>
  <c r="E140" i="9"/>
  <c r="F140" i="9" s="1"/>
  <c r="V140" i="9"/>
  <c r="E156" i="9"/>
  <c r="F156" i="9" s="1"/>
  <c r="V156" i="9"/>
  <c r="E164" i="9"/>
  <c r="F164" i="9" s="1"/>
  <c r="V164" i="9"/>
  <c r="E172" i="9"/>
  <c r="F172" i="9" s="1"/>
  <c r="V172" i="9"/>
  <c r="V188" i="9"/>
  <c r="E196" i="9"/>
  <c r="F196" i="9" s="1"/>
  <c r="V196" i="9"/>
  <c r="V204" i="9"/>
  <c r="E220" i="9"/>
  <c r="F220" i="9" s="1"/>
  <c r="V220" i="9"/>
  <c r="V228" i="9"/>
  <c r="E246" i="9"/>
  <c r="F246" i="9" s="1"/>
  <c r="V246" i="9"/>
  <c r="V263" i="9"/>
  <c r="E286" i="9"/>
  <c r="F286" i="9" s="1"/>
  <c r="V286" i="9"/>
  <c r="V311" i="9"/>
  <c r="V318" i="9"/>
  <c r="E336" i="9"/>
  <c r="F336" i="9" s="1"/>
  <c r="V336" i="9"/>
  <c r="V348" i="9"/>
  <c r="V368" i="9"/>
  <c r="E379" i="9"/>
  <c r="F379" i="9" s="1"/>
  <c r="V379" i="9"/>
  <c r="V384" i="9"/>
  <c r="E397" i="9"/>
  <c r="V397" i="9"/>
  <c r="E429" i="9"/>
  <c r="F429" i="9" s="1"/>
  <c r="V429" i="9"/>
  <c r="V443" i="9"/>
  <c r="E456" i="9"/>
  <c r="F456" i="9" s="1"/>
  <c r="V456" i="9"/>
  <c r="V461" i="9"/>
  <c r="E466" i="9"/>
  <c r="F466" i="9" s="1"/>
  <c r="V466" i="9"/>
  <c r="E471" i="9"/>
  <c r="F471" i="9" s="1"/>
  <c r="V471" i="9"/>
  <c r="V473" i="9"/>
  <c r="E496" i="9"/>
  <c r="F496" i="9" s="1"/>
  <c r="V496" i="9"/>
  <c r="V498" i="9"/>
  <c r="E505" i="9"/>
  <c r="V505" i="9"/>
  <c r="X290" i="16"/>
  <c r="M290" i="16"/>
  <c r="AJ290" i="16" s="1"/>
  <c r="X200" i="16"/>
  <c r="M200" i="16"/>
  <c r="AJ200" i="16" s="1"/>
  <c r="X160" i="16"/>
  <c r="M160" i="16"/>
  <c r="AJ160" i="16" s="1"/>
  <c r="M100" i="16"/>
  <c r="AJ100" i="16" s="1"/>
  <c r="X100" i="16"/>
  <c r="M321" i="16"/>
  <c r="AJ321" i="16" s="1"/>
  <c r="X250" i="16"/>
  <c r="M250" i="16"/>
  <c r="AJ250" i="16" s="1"/>
  <c r="X500" i="16"/>
  <c r="M500" i="16"/>
  <c r="AJ500" i="16" s="1"/>
  <c r="X140" i="16"/>
  <c r="M140" i="16"/>
  <c r="AJ140" i="16" s="1"/>
  <c r="M231" i="16"/>
  <c r="AJ231" i="16" s="1"/>
  <c r="M460" i="16"/>
  <c r="AJ460" i="16" s="1"/>
  <c r="X460" i="16"/>
  <c r="X346" i="16"/>
  <c r="M346" i="16"/>
  <c r="AJ346" i="16" s="1"/>
  <c r="L23" i="16"/>
  <c r="AI23" i="16" s="1"/>
  <c r="L342" i="16"/>
  <c r="AI342" i="16" s="1"/>
  <c r="L198" i="16"/>
  <c r="AI198" i="16" s="1"/>
  <c r="L414" i="16"/>
  <c r="AI414" i="16" s="1"/>
  <c r="L248" i="16"/>
  <c r="AI248" i="16" s="1"/>
  <c r="L383" i="16"/>
  <c r="AI383" i="16" s="1"/>
  <c r="L138" i="16"/>
  <c r="AI138" i="16" s="1"/>
  <c r="L98" i="16"/>
  <c r="AI98" i="16" s="1"/>
  <c r="L473" i="16"/>
  <c r="AI473" i="16" s="1"/>
  <c r="L48" i="16"/>
  <c r="AI48" i="16" s="1"/>
  <c r="L498" i="16"/>
  <c r="AI498" i="16" s="1"/>
  <c r="L458" i="16"/>
  <c r="AI458" i="16" s="1"/>
  <c r="M76" i="9"/>
  <c r="M100" i="9"/>
  <c r="M140" i="9"/>
  <c r="M196" i="9"/>
  <c r="M220" i="9"/>
  <c r="M20" i="9"/>
  <c r="M106" i="9"/>
  <c r="M130" i="9"/>
  <c r="M170" i="9"/>
  <c r="M226" i="9"/>
  <c r="M141" i="9"/>
  <c r="M231" i="9"/>
  <c r="M10" i="9"/>
  <c r="M50" i="9"/>
  <c r="M80" i="9"/>
  <c r="M136" i="9"/>
  <c r="M160" i="9"/>
  <c r="M200" i="9"/>
  <c r="M21" i="9"/>
  <c r="M171" i="9"/>
  <c r="M16" i="9"/>
  <c r="M40" i="9"/>
  <c r="M70" i="9"/>
  <c r="M110" i="9"/>
  <c r="M166" i="9"/>
  <c r="M190" i="9"/>
  <c r="M230" i="9"/>
  <c r="M111" i="9"/>
  <c r="M51" i="9"/>
  <c r="M81" i="9"/>
  <c r="M201" i="9"/>
  <c r="W424" i="17"/>
  <c r="W35" i="17"/>
  <c r="W257" i="17"/>
  <c r="W229" i="17"/>
  <c r="W432" i="17"/>
  <c r="W169" i="17"/>
  <c r="W429" i="17"/>
  <c r="W305" i="17"/>
  <c r="W108" i="17"/>
  <c r="W5" i="17"/>
  <c r="W222" i="17"/>
  <c r="W158" i="17"/>
  <c r="W38" i="19"/>
  <c r="W439" i="17"/>
  <c r="W379" i="17"/>
  <c r="W112" i="17"/>
  <c r="W82" i="17"/>
  <c r="W494" i="17"/>
  <c r="W502" i="17"/>
  <c r="W459" i="17"/>
  <c r="W412" i="17"/>
  <c r="W259" i="17"/>
  <c r="W186" i="17"/>
  <c r="W44" i="17"/>
  <c r="W464" i="17"/>
  <c r="W488" i="17"/>
  <c r="W333" i="17"/>
  <c r="W292" i="17"/>
  <c r="W244" i="17"/>
  <c r="W258" i="17"/>
  <c r="W94" i="17"/>
  <c r="W84" i="17"/>
  <c r="W83" i="17"/>
  <c r="W24" i="19"/>
  <c r="W484" i="17"/>
  <c r="W486" i="17"/>
  <c r="W485" i="17"/>
  <c r="W472" i="17"/>
  <c r="W378" i="17"/>
  <c r="W396" i="17"/>
  <c r="W284" i="17"/>
  <c r="W79" i="17"/>
  <c r="W9" i="19"/>
  <c r="W456" i="17"/>
  <c r="W492" i="17"/>
  <c r="W467" i="17"/>
  <c r="W363" i="17"/>
  <c r="W349" i="17"/>
  <c r="W318" i="17"/>
  <c r="W275" i="17"/>
  <c r="W228" i="17"/>
  <c r="W234" i="17"/>
  <c r="W219" i="17"/>
  <c r="W114" i="17"/>
  <c r="W95" i="17"/>
  <c r="W69" i="17"/>
  <c r="W74" i="17"/>
  <c r="W455" i="17"/>
  <c r="W252" i="17"/>
  <c r="W189" i="17"/>
  <c r="W99" i="17"/>
  <c r="W65" i="17"/>
  <c r="W36" i="17"/>
  <c r="W66" i="17"/>
  <c r="W498" i="17"/>
  <c r="W483" i="17"/>
  <c r="W454" i="17"/>
  <c r="W504" i="17"/>
  <c r="W428" i="17"/>
  <c r="W393" i="17"/>
  <c r="W348" i="17"/>
  <c r="W233" i="17"/>
  <c r="W425" i="17"/>
  <c r="W384" i="17"/>
  <c r="W289" i="17"/>
  <c r="W4" i="17"/>
  <c r="W104" i="17"/>
  <c r="W54" i="19"/>
  <c r="W499" i="17"/>
  <c r="W19" i="17"/>
  <c r="W404" i="17"/>
  <c r="W109" i="17"/>
  <c r="W443" i="17"/>
  <c r="W35" i="19"/>
  <c r="W306" i="17"/>
  <c r="W319" i="17"/>
  <c r="W52" i="19"/>
  <c r="W489" i="17"/>
  <c r="W232" i="17"/>
  <c r="W444" i="17"/>
  <c r="W34" i="17"/>
  <c r="W249" i="17"/>
  <c r="W14" i="17"/>
  <c r="W185" i="17"/>
  <c r="W413" i="17"/>
  <c r="W126" i="17"/>
  <c r="W276" i="17"/>
  <c r="W274" i="17"/>
  <c r="W129" i="17"/>
  <c r="W23" i="19"/>
  <c r="W22" i="19"/>
  <c r="W172" i="17"/>
  <c r="W128" i="17"/>
  <c r="W254" i="17"/>
  <c r="W442" i="17"/>
  <c r="W473" i="17"/>
  <c r="W246" i="17"/>
  <c r="W47" i="19"/>
  <c r="W408" i="17"/>
  <c r="W382" i="17"/>
  <c r="W383" i="17"/>
  <c r="W503" i="17"/>
  <c r="W53" i="19"/>
  <c r="W33" i="19"/>
  <c r="W36" i="19"/>
  <c r="W4" i="19"/>
  <c r="W49" i="19"/>
  <c r="W44" i="19"/>
  <c r="W5" i="19"/>
  <c r="W474" i="17"/>
  <c r="W142" i="17"/>
  <c r="W294" i="17"/>
  <c r="W8" i="19"/>
  <c r="W6" i="19"/>
  <c r="W12" i="19"/>
  <c r="W14" i="19"/>
  <c r="W314" i="17"/>
  <c r="W18" i="19"/>
  <c r="W132" i="17"/>
  <c r="W38" i="17"/>
  <c r="W39" i="19"/>
  <c r="W34" i="19"/>
  <c r="W154" i="17"/>
  <c r="W48" i="19"/>
  <c r="W93" i="17"/>
  <c r="W243" i="17"/>
  <c r="W394" i="17"/>
  <c r="W188" i="17"/>
  <c r="W23" i="17"/>
  <c r="W335" i="17"/>
  <c r="W354" i="17"/>
  <c r="W264" i="17"/>
  <c r="W78" i="17"/>
  <c r="W72" i="17"/>
  <c r="W369" i="17"/>
  <c r="W39" i="17"/>
  <c r="W159" i="17"/>
  <c r="W174" i="17"/>
  <c r="W202" i="17"/>
  <c r="W324" i="17"/>
  <c r="W52" i="17"/>
  <c r="W213" i="17"/>
  <c r="W22" i="17"/>
  <c r="W113" i="17"/>
  <c r="W344" i="17"/>
  <c r="W124" i="17"/>
  <c r="W414" i="17"/>
  <c r="W434" i="17"/>
  <c r="W48" i="17"/>
  <c r="W374" i="17"/>
  <c r="W54" i="17"/>
  <c r="W143" i="17"/>
  <c r="W198" i="17"/>
  <c r="W245" i="17"/>
  <c r="W338" i="17"/>
  <c r="W309" i="17"/>
  <c r="W453" i="17"/>
  <c r="W334" i="17"/>
  <c r="W399" i="17"/>
  <c r="W47" i="17"/>
  <c r="W153" i="17"/>
  <c r="W288" i="17"/>
  <c r="W194" i="17"/>
  <c r="W263" i="17"/>
  <c r="W336" i="17"/>
  <c r="W426" i="17"/>
  <c r="W469" i="17"/>
  <c r="W123" i="17"/>
  <c r="W308" i="17"/>
  <c r="W468" i="17"/>
  <c r="W342" i="17"/>
  <c r="W144" i="17"/>
  <c r="W395" i="17"/>
  <c r="W53" i="17"/>
  <c r="W17" i="17"/>
  <c r="W134" i="17"/>
  <c r="W184" i="17"/>
  <c r="W438" i="17"/>
  <c r="W125" i="17"/>
  <c r="W398" i="17"/>
  <c r="W64" i="17"/>
  <c r="W339" i="17"/>
  <c r="W293" i="17"/>
  <c r="W19" i="19"/>
  <c r="W96" i="17"/>
  <c r="W155" i="17"/>
  <c r="W368" i="17"/>
  <c r="W139" i="17"/>
  <c r="W423" i="17"/>
  <c r="W138" i="17"/>
  <c r="W218" i="17"/>
  <c r="W458" i="17"/>
  <c r="W33" i="17"/>
  <c r="W364" i="17"/>
  <c r="W278" i="17"/>
  <c r="W204" i="17"/>
  <c r="W203" i="17"/>
  <c r="W287" i="17"/>
  <c r="W248" i="17"/>
  <c r="W279" i="17"/>
  <c r="W183" i="17"/>
  <c r="W353" i="17"/>
  <c r="W167" i="17"/>
  <c r="W162" i="17"/>
  <c r="W216" i="17"/>
  <c r="W102" i="17"/>
  <c r="W227" i="17"/>
  <c r="W303" i="17"/>
  <c r="W409" i="17"/>
  <c r="W215" i="17"/>
  <c r="W365" i="17"/>
  <c r="W6" i="17"/>
  <c r="W366" i="17"/>
  <c r="W49" i="17"/>
  <c r="W63" i="17"/>
  <c r="W9" i="17"/>
  <c r="W164" i="17"/>
  <c r="W352" i="17"/>
  <c r="W199" i="17"/>
  <c r="W8" i="17"/>
  <c r="W262" i="17"/>
  <c r="W402" i="16"/>
  <c r="W342" i="16"/>
  <c r="W108" i="16"/>
  <c r="W224" i="17"/>
  <c r="W156" i="17"/>
  <c r="W98" i="17"/>
  <c r="W113" i="16"/>
  <c r="W48" i="16"/>
  <c r="W198" i="16"/>
  <c r="W323" i="17"/>
  <c r="W304" i="17"/>
  <c r="W24" i="17"/>
  <c r="W303" i="16"/>
  <c r="W214" i="17"/>
  <c r="W68" i="17"/>
  <c r="W372" i="17"/>
  <c r="W173" i="17"/>
  <c r="W168" i="17"/>
  <c r="W498" i="16"/>
  <c r="W309" i="16"/>
  <c r="W98" i="16"/>
  <c r="W18" i="17"/>
  <c r="W383" i="16"/>
  <c r="W322" i="17"/>
  <c r="W273" i="17"/>
  <c r="W407" i="17"/>
  <c r="W473" i="16"/>
  <c r="W23" i="16"/>
  <c r="W414" i="16"/>
  <c r="W192" i="16"/>
  <c r="W158" i="16"/>
  <c r="W138" i="16"/>
  <c r="W458" i="16"/>
  <c r="W218" i="16"/>
  <c r="W42" i="16"/>
  <c r="W305" i="16"/>
  <c r="W248" i="16"/>
  <c r="W462" i="16"/>
  <c r="W304" i="16"/>
  <c r="W306" i="16"/>
  <c r="W467" i="19"/>
  <c r="W429" i="19"/>
  <c r="W414" i="19"/>
  <c r="W412" i="19"/>
  <c r="W124" i="19"/>
  <c r="W488" i="19"/>
  <c r="W473" i="19"/>
  <c r="W432" i="19"/>
  <c r="W372" i="19"/>
  <c r="W425" i="19"/>
  <c r="W503" i="19"/>
  <c r="W502" i="19"/>
  <c r="W379" i="19"/>
  <c r="W434" i="19"/>
  <c r="W377" i="19"/>
  <c r="W459" i="19"/>
  <c r="W399" i="19"/>
  <c r="W378" i="19"/>
  <c r="W409" i="19"/>
  <c r="W423" i="19"/>
  <c r="W424" i="19"/>
  <c r="W504" i="19"/>
  <c r="W142" i="19"/>
  <c r="W132" i="19"/>
  <c r="W366" i="19"/>
  <c r="W437" i="19"/>
  <c r="W394" i="19"/>
  <c r="W404" i="19"/>
  <c r="W438" i="19"/>
  <c r="W442" i="19"/>
  <c r="W363" i="19"/>
  <c r="W469" i="19"/>
  <c r="W383" i="19"/>
  <c r="W396" i="19"/>
  <c r="W484" i="19"/>
  <c r="W439" i="19"/>
  <c r="W443" i="19"/>
  <c r="W497" i="19"/>
  <c r="W402" i="19"/>
  <c r="W134" i="19"/>
  <c r="W139" i="19"/>
  <c r="W485" i="19"/>
  <c r="W444" i="19"/>
  <c r="W126" i="19"/>
  <c r="W408" i="19"/>
  <c r="W468" i="19"/>
  <c r="W364" i="19"/>
  <c r="W129" i="19"/>
  <c r="W499" i="19"/>
  <c r="W483" i="19"/>
  <c r="W382" i="19"/>
  <c r="W125" i="19"/>
  <c r="W455" i="19"/>
  <c r="W123" i="19"/>
  <c r="W489" i="19"/>
  <c r="W494" i="19"/>
  <c r="W486" i="19"/>
  <c r="W369" i="19"/>
  <c r="W143" i="19"/>
  <c r="W454" i="19"/>
  <c r="W393" i="19"/>
  <c r="W456" i="19"/>
  <c r="W492" i="19"/>
  <c r="W498" i="19"/>
  <c r="W407" i="19"/>
  <c r="W428" i="19"/>
  <c r="W453" i="19"/>
  <c r="W144" i="19"/>
  <c r="W398" i="19"/>
  <c r="W365" i="19"/>
  <c r="W395" i="19"/>
  <c r="W138" i="19"/>
  <c r="W474" i="19"/>
  <c r="W426" i="19"/>
  <c r="W464" i="19"/>
  <c r="W462" i="19"/>
  <c r="W384" i="19"/>
  <c r="W374" i="19"/>
  <c r="W128" i="19"/>
  <c r="W413" i="19"/>
  <c r="W368" i="19"/>
  <c r="W137" i="19"/>
  <c r="W472" i="19"/>
  <c r="W458" i="19"/>
  <c r="W189" i="19"/>
  <c r="W334" i="19"/>
  <c r="W153" i="19"/>
  <c r="W248" i="19"/>
  <c r="W294" i="19"/>
  <c r="W192" i="19"/>
  <c r="W349" i="19"/>
  <c r="W112" i="19"/>
  <c r="W318" i="19"/>
  <c r="W203" i="19"/>
  <c r="W155" i="19"/>
  <c r="W159" i="19"/>
  <c r="W154" i="19"/>
  <c r="W347" i="19"/>
  <c r="W185" i="19"/>
  <c r="W306" i="19"/>
  <c r="W352" i="19"/>
  <c r="W273" i="19"/>
  <c r="W319" i="19"/>
  <c r="W234" i="19"/>
  <c r="W169" i="19"/>
  <c r="W214" i="19"/>
  <c r="W323" i="19"/>
  <c r="W156" i="19"/>
  <c r="W232" i="19"/>
  <c r="W354" i="19"/>
  <c r="W342" i="19"/>
  <c r="W79" i="19"/>
  <c r="W184" i="19"/>
  <c r="W109" i="19"/>
  <c r="W243" i="19"/>
  <c r="W338" i="19"/>
  <c r="W292" i="19"/>
  <c r="W99" i="19"/>
  <c r="W322" i="19"/>
  <c r="W245" i="19"/>
  <c r="W282" i="19"/>
  <c r="W218" i="19"/>
  <c r="W279" i="19"/>
  <c r="W215" i="19"/>
  <c r="W224" i="19"/>
  <c r="W314" i="19"/>
  <c r="W335" i="19"/>
  <c r="W104" i="19"/>
  <c r="W202" i="19"/>
  <c r="W68" i="19"/>
  <c r="W66" i="19"/>
  <c r="W194" i="19"/>
  <c r="W293" i="19"/>
  <c r="W83" i="19"/>
  <c r="W317" i="19"/>
  <c r="W289" i="19"/>
  <c r="W353" i="19"/>
  <c r="W219" i="19"/>
  <c r="W228" i="19"/>
  <c r="W274" i="19"/>
  <c r="W168" i="19"/>
  <c r="W114" i="19"/>
  <c r="W96" i="19"/>
  <c r="W257" i="19"/>
  <c r="W72" i="19"/>
  <c r="W108" i="19"/>
  <c r="W344" i="19"/>
  <c r="W233" i="19"/>
  <c r="W69" i="19"/>
  <c r="W95" i="19"/>
  <c r="W162" i="19"/>
  <c r="W74" i="19"/>
  <c r="W264" i="19"/>
  <c r="W113" i="19"/>
  <c r="W174" i="19"/>
  <c r="W98" i="19"/>
  <c r="W102" i="19"/>
  <c r="W82" i="19"/>
  <c r="W258" i="19"/>
  <c r="W312" i="19"/>
  <c r="W262" i="19"/>
  <c r="W164" i="19"/>
  <c r="W158" i="19"/>
  <c r="W246" i="19"/>
  <c r="W107" i="19"/>
  <c r="W304" i="19"/>
  <c r="W339" i="19"/>
  <c r="W198" i="19"/>
  <c r="W167" i="19"/>
  <c r="W284" i="19"/>
  <c r="W336" i="19"/>
  <c r="W197" i="19"/>
  <c r="W227" i="19"/>
  <c r="W229" i="19"/>
  <c r="W276" i="19"/>
  <c r="W259" i="19"/>
  <c r="W94" i="19"/>
  <c r="W333" i="19"/>
  <c r="W213" i="19"/>
  <c r="W287" i="19"/>
  <c r="W309" i="19"/>
  <c r="W288" i="19"/>
  <c r="W173" i="19"/>
  <c r="W244" i="19"/>
  <c r="W78" i="19"/>
  <c r="W222" i="19"/>
  <c r="W84" i="19"/>
  <c r="W324" i="19"/>
  <c r="W308" i="19"/>
  <c r="W64" i="19"/>
  <c r="W204" i="19"/>
  <c r="W263" i="19"/>
  <c r="W303" i="19"/>
  <c r="W216" i="19"/>
  <c r="W254" i="19"/>
  <c r="W278" i="19"/>
  <c r="W305" i="19"/>
  <c r="W275" i="19"/>
  <c r="W348" i="19"/>
  <c r="W186" i="19"/>
  <c r="W188" i="19"/>
  <c r="W183" i="19"/>
  <c r="W199" i="19"/>
  <c r="W249" i="19"/>
  <c r="W63" i="19"/>
  <c r="W252" i="19"/>
  <c r="W172" i="19"/>
  <c r="W93" i="19"/>
  <c r="W65" i="19"/>
  <c r="W77" i="19"/>
  <c r="X153" i="19"/>
  <c r="X93" i="19"/>
  <c r="X129" i="19"/>
  <c r="X215" i="19"/>
  <c r="X94" i="19"/>
  <c r="X185" i="19"/>
  <c r="X159" i="19"/>
  <c r="X262" i="19"/>
  <c r="X363" i="19"/>
  <c r="X382" i="19"/>
  <c r="X229" i="19"/>
  <c r="X216" i="19"/>
  <c r="X485" i="19"/>
  <c r="X34" i="17"/>
  <c r="X254" i="19"/>
  <c r="X423" i="19"/>
  <c r="X99" i="17"/>
  <c r="X274" i="19"/>
  <c r="X246" i="19"/>
  <c r="X185" i="17"/>
  <c r="X93" i="17"/>
  <c r="X249" i="17"/>
  <c r="X455" i="19"/>
  <c r="X219" i="17"/>
  <c r="X284" i="17"/>
  <c r="X5" i="17"/>
  <c r="X425" i="17"/>
  <c r="X453" i="17"/>
  <c r="X494" i="17"/>
  <c r="X394" i="17"/>
  <c r="X216" i="17"/>
  <c r="X274" i="17"/>
  <c r="X456" i="19"/>
  <c r="X304" i="17"/>
  <c r="X94" i="17"/>
  <c r="X39" i="17"/>
  <c r="X6" i="17"/>
  <c r="X44" i="17"/>
  <c r="X472" i="19"/>
  <c r="X469" i="19"/>
  <c r="X279" i="19"/>
  <c r="X399" i="19"/>
  <c r="X303" i="19"/>
  <c r="X245" i="19"/>
  <c r="X335" i="19"/>
  <c r="X112" i="19"/>
  <c r="X35" i="19"/>
  <c r="X99" i="19"/>
  <c r="X5" i="19"/>
  <c r="X52" i="19"/>
  <c r="X112" i="17"/>
  <c r="X306" i="17"/>
  <c r="X502" i="17"/>
  <c r="X224" i="17"/>
  <c r="X183" i="17"/>
  <c r="X232" i="17"/>
  <c r="X229" i="17"/>
  <c r="X22" i="17"/>
  <c r="X125" i="17"/>
  <c r="X82" i="17"/>
  <c r="X139" i="17"/>
  <c r="X129" i="17"/>
  <c r="X349" i="19"/>
  <c r="X22" i="19"/>
  <c r="X95" i="19"/>
  <c r="X4" i="19"/>
  <c r="X333" i="19"/>
  <c r="X164" i="17"/>
  <c r="X382" i="17"/>
  <c r="X429" i="19"/>
  <c r="X186" i="17"/>
  <c r="X453" i="19"/>
  <c r="X109" i="17"/>
  <c r="X379" i="19"/>
  <c r="X9" i="19"/>
  <c r="X156" i="19"/>
  <c r="X469" i="17"/>
  <c r="X395" i="17"/>
  <c r="X155" i="17"/>
  <c r="X429" i="17"/>
  <c r="X275" i="17"/>
  <c r="X172" i="17"/>
  <c r="X404" i="17"/>
  <c r="X305" i="17"/>
  <c r="X199" i="17"/>
  <c r="X319" i="17"/>
  <c r="X134" i="17"/>
  <c r="X363" i="17"/>
  <c r="X64" i="17"/>
  <c r="X123" i="17"/>
  <c r="X425" i="19"/>
  <c r="X4" i="17"/>
  <c r="X439" i="19"/>
  <c r="X412" i="19"/>
  <c r="X259" i="19"/>
  <c r="X365" i="19"/>
  <c r="X139" i="19"/>
  <c r="X19" i="19"/>
  <c r="X126" i="19"/>
  <c r="X65" i="17"/>
  <c r="X459" i="17"/>
  <c r="X486" i="17"/>
  <c r="X279" i="17"/>
  <c r="X426" i="17"/>
  <c r="X254" i="17"/>
  <c r="X184" i="17"/>
  <c r="X95" i="17"/>
  <c r="X322" i="19"/>
  <c r="X364" i="19"/>
  <c r="X396" i="19"/>
  <c r="X314" i="19"/>
  <c r="X6" i="19"/>
  <c r="X82" i="19"/>
  <c r="X485" i="17"/>
  <c r="X273" i="17"/>
  <c r="X364" i="17"/>
  <c r="X259" i="17"/>
  <c r="X124" i="17"/>
  <c r="X52" i="17"/>
  <c r="X35" i="17"/>
  <c r="X74" i="17"/>
  <c r="X489" i="19"/>
  <c r="X319" i="19"/>
  <c r="X292" i="19"/>
  <c r="X183" i="19"/>
  <c r="X394" i="19"/>
  <c r="X499" i="17"/>
  <c r="X484" i="17"/>
  <c r="X243" i="17"/>
  <c r="X489" i="17"/>
  <c r="X483" i="17"/>
  <c r="X434" i="17"/>
  <c r="X396" i="17"/>
  <c r="X322" i="17"/>
  <c r="X339" i="19"/>
  <c r="X63" i="17"/>
  <c r="X339" i="17"/>
  <c r="X352" i="19"/>
  <c r="X494" i="19"/>
  <c r="X486" i="19"/>
  <c r="X9" i="17"/>
  <c r="X502" i="19"/>
  <c r="X306" i="19"/>
  <c r="X289" i="19"/>
  <c r="X124" i="19"/>
  <c r="X424" i="17"/>
  <c r="X349" i="17"/>
  <c r="X374" i="19"/>
  <c r="X273" i="19"/>
  <c r="X154" i="17"/>
  <c r="X202" i="17"/>
  <c r="X14" i="17"/>
  <c r="X249" i="19"/>
  <c r="X194" i="17"/>
  <c r="X66" i="19"/>
  <c r="X19" i="17"/>
  <c r="X333" i="17"/>
  <c r="X395" i="19"/>
  <c r="X36" i="17"/>
  <c r="X65" i="19"/>
  <c r="X393" i="19"/>
  <c r="X284" i="19"/>
  <c r="X125" i="19"/>
  <c r="X189" i="19"/>
  <c r="X289" i="17"/>
  <c r="X69" i="19"/>
  <c r="X214" i="19"/>
  <c r="X64" i="19"/>
  <c r="X305" i="19"/>
  <c r="X49" i="17"/>
  <c r="X243" i="19"/>
  <c r="X244" i="19"/>
  <c r="X213" i="19"/>
  <c r="X464" i="19"/>
  <c r="X484" i="19"/>
  <c r="X369" i="19"/>
  <c r="X459" i="19"/>
  <c r="X454" i="17"/>
  <c r="X154" i="19"/>
  <c r="X14" i="19"/>
  <c r="X79" i="17"/>
  <c r="X412" i="17"/>
  <c r="X499" i="19"/>
  <c r="X366" i="19"/>
  <c r="X63" i="19"/>
  <c r="X314" i="17"/>
  <c r="X455" i="17"/>
  <c r="X439" i="17"/>
  <c r="X232" i="19"/>
  <c r="X74" i="19"/>
  <c r="X409" i="19"/>
  <c r="X454" i="19"/>
  <c r="X309" i="19"/>
  <c r="X336" i="19"/>
  <c r="X224" i="19"/>
  <c r="X44" i="19"/>
  <c r="X66" i="17"/>
  <c r="X483" i="19"/>
  <c r="X159" i="17"/>
  <c r="X424" i="19"/>
  <c r="X334" i="19"/>
  <c r="X275" i="19"/>
  <c r="X219" i="19"/>
  <c r="X172" i="19"/>
  <c r="X153" i="17"/>
  <c r="X404" i="19"/>
  <c r="X344" i="19"/>
  <c r="X276" i="19"/>
  <c r="X142" i="17"/>
  <c r="X304" i="19"/>
  <c r="X164" i="19"/>
  <c r="X442" i="19"/>
  <c r="X186" i="19"/>
  <c r="X434" i="19"/>
  <c r="X123" i="19"/>
  <c r="X442" i="17"/>
  <c r="X409" i="17"/>
  <c r="X399" i="17"/>
  <c r="X335" i="17"/>
  <c r="X344" i="17"/>
  <c r="X303" i="17"/>
  <c r="X189" i="17"/>
  <c r="X69" i="17"/>
  <c r="X184" i="19"/>
  <c r="X393" i="17"/>
  <c r="X309" i="17"/>
  <c r="X292" i="17"/>
  <c r="X213" i="17"/>
  <c r="X244" i="17"/>
  <c r="X104" i="17"/>
  <c r="X142" i="19"/>
  <c r="X423" i="17"/>
  <c r="X214" i="17"/>
  <c r="X156" i="17"/>
  <c r="X199" i="19"/>
  <c r="X155" i="19"/>
  <c r="X104" i="19"/>
  <c r="X49" i="19"/>
  <c r="X472" i="17"/>
  <c r="X369" i="17"/>
  <c r="X374" i="17"/>
  <c r="X313" i="17"/>
  <c r="X215" i="17"/>
  <c r="X169" i="17"/>
  <c r="X202" i="19"/>
  <c r="X134" i="19"/>
  <c r="X34" i="19"/>
  <c r="X464" i="17"/>
  <c r="X365" i="17"/>
  <c r="X343" i="17"/>
  <c r="X33" i="17"/>
  <c r="X194" i="19"/>
  <c r="X96" i="19"/>
  <c r="X39" i="19"/>
  <c r="X33" i="19"/>
  <c r="X366" i="17"/>
  <c r="X352" i="17"/>
  <c r="X276" i="17"/>
  <c r="X126" i="17"/>
  <c r="X36" i="19"/>
  <c r="X456" i="17"/>
  <c r="X334" i="17"/>
  <c r="X336" i="17"/>
  <c r="X245" i="17"/>
  <c r="X262" i="17"/>
  <c r="X153" i="16"/>
  <c r="X213" i="16"/>
  <c r="X214" i="16"/>
  <c r="X489" i="16"/>
  <c r="X79" i="19"/>
  <c r="X66" i="16"/>
  <c r="X344" i="16"/>
  <c r="X394" i="16"/>
  <c r="X425" i="16"/>
  <c r="X426" i="19"/>
  <c r="X246" i="17"/>
  <c r="X379" i="17"/>
  <c r="X169" i="19"/>
  <c r="X96" i="17"/>
  <c r="X73" i="16"/>
  <c r="X304" i="16"/>
  <c r="X303" i="16"/>
  <c r="X124" i="16"/>
  <c r="X409" i="16"/>
  <c r="X189" i="16"/>
  <c r="X109" i="19"/>
  <c r="X454" i="16"/>
  <c r="X472" i="16"/>
  <c r="X309" i="16"/>
  <c r="X36" i="16"/>
  <c r="X95" i="16"/>
  <c r="X429" i="16"/>
  <c r="X139" i="16"/>
  <c r="X289" i="16"/>
  <c r="X453" i="16"/>
  <c r="X499" i="16"/>
  <c r="X134" i="16"/>
  <c r="X322" i="16"/>
  <c r="X82" i="16"/>
  <c r="X49" i="16"/>
  <c r="X142" i="16"/>
  <c r="X339" i="16"/>
  <c r="X306" i="16"/>
  <c r="X34" i="16"/>
  <c r="X154" i="16"/>
  <c r="X399" i="16"/>
  <c r="X494" i="16"/>
  <c r="X284" i="16"/>
  <c r="X19" i="16"/>
  <c r="X424" i="16"/>
  <c r="X33" i="16"/>
  <c r="X502" i="16"/>
  <c r="X99" i="16"/>
  <c r="X69" i="16"/>
  <c r="X483" i="16"/>
  <c r="X159" i="16"/>
  <c r="X279" i="16"/>
  <c r="X273" i="16"/>
  <c r="X243" i="16"/>
  <c r="X423" i="16"/>
  <c r="X96" i="16"/>
  <c r="X333" i="16"/>
  <c r="X246" i="16"/>
  <c r="X93" i="16"/>
  <c r="X485" i="16"/>
  <c r="X244" i="16"/>
  <c r="X459" i="16"/>
  <c r="X216" i="9"/>
  <c r="X469" i="16"/>
  <c r="X35" i="16"/>
  <c r="X22" i="16"/>
  <c r="X249" i="16"/>
  <c r="X305" i="16"/>
  <c r="X74" i="16"/>
  <c r="X275" i="16"/>
  <c r="X129" i="16"/>
  <c r="X369" i="16"/>
  <c r="X262" i="16"/>
  <c r="X484" i="16"/>
  <c r="X292" i="16"/>
  <c r="X9" i="16"/>
  <c r="X396" i="16"/>
  <c r="X14" i="16"/>
  <c r="X395" i="16"/>
  <c r="X94" i="16"/>
  <c r="X374" i="16"/>
  <c r="X172" i="16"/>
  <c r="X455" i="16"/>
  <c r="X493" i="16"/>
  <c r="X382" i="16"/>
  <c r="X434" i="16"/>
  <c r="X194" i="16"/>
  <c r="X486" i="16"/>
  <c r="X426" i="16"/>
  <c r="X379" i="16"/>
  <c r="X259" i="16"/>
  <c r="X274" i="16"/>
  <c r="X229" i="16"/>
  <c r="X64" i="16"/>
  <c r="X314" i="16"/>
  <c r="X156" i="16"/>
  <c r="X44" i="16"/>
  <c r="X464" i="16"/>
  <c r="X185" i="16"/>
  <c r="X219" i="16"/>
  <c r="X39" i="16"/>
  <c r="X349" i="16"/>
  <c r="X169" i="16"/>
  <c r="X164" i="16"/>
  <c r="X223" i="16"/>
  <c r="X186" i="16"/>
  <c r="X63" i="16"/>
  <c r="X202" i="16"/>
  <c r="X215" i="16"/>
  <c r="X65" i="16"/>
  <c r="X412" i="16"/>
  <c r="X365" i="16"/>
  <c r="X276" i="16"/>
  <c r="X216" i="16"/>
  <c r="X79" i="16"/>
  <c r="X6" i="16"/>
  <c r="X364" i="16"/>
  <c r="X319" i="16"/>
  <c r="X254" i="16"/>
  <c r="X155" i="16"/>
  <c r="X442" i="16"/>
  <c r="X335" i="16"/>
  <c r="X352" i="16"/>
  <c r="X393" i="16"/>
  <c r="X363" i="16"/>
  <c r="X232" i="16"/>
  <c r="X52" i="16"/>
  <c r="X336" i="16"/>
  <c r="X245" i="16"/>
  <c r="X112" i="16"/>
  <c r="X123" i="16"/>
  <c r="X4" i="16"/>
  <c r="X404" i="16"/>
  <c r="X456" i="16"/>
  <c r="X334" i="16"/>
  <c r="X283" i="16"/>
  <c r="X199" i="16"/>
  <c r="X183" i="16"/>
  <c r="X126" i="16"/>
  <c r="X253" i="16"/>
  <c r="X439" i="16"/>
  <c r="X366" i="16"/>
  <c r="X224" i="16"/>
  <c r="X184" i="16"/>
  <c r="X109" i="16"/>
  <c r="X125" i="16"/>
  <c r="X104" i="16"/>
  <c r="X5" i="16"/>
  <c r="W457" i="9"/>
  <c r="X3" i="19"/>
  <c r="W3" i="19"/>
  <c r="J5" i="4"/>
  <c r="O22" i="9" s="1"/>
  <c r="M456" i="9"/>
  <c r="I6" i="4"/>
  <c r="J6" i="4" s="1"/>
  <c r="M254" i="9"/>
  <c r="M425" i="9"/>
  <c r="M262" i="9"/>
  <c r="X3" i="17"/>
  <c r="W3" i="17"/>
  <c r="X3" i="16"/>
  <c r="X305" i="9"/>
  <c r="X364" i="9"/>
  <c r="M304" i="9"/>
  <c r="M335" i="9"/>
  <c r="M339" i="9"/>
  <c r="M440" i="9"/>
  <c r="M320" i="9"/>
  <c r="M396" i="9"/>
  <c r="M486" i="9"/>
  <c r="M249" i="9"/>
  <c r="M273" i="9"/>
  <c r="M433" i="9"/>
  <c r="M464" i="9"/>
  <c r="M364" i="9"/>
  <c r="M363" i="9"/>
  <c r="M366" i="9"/>
  <c r="M493" i="9"/>
  <c r="M343" i="9"/>
  <c r="M501" i="9"/>
  <c r="M484" i="9"/>
  <c r="M412" i="9"/>
  <c r="M351" i="9"/>
  <c r="Q19" i="4"/>
  <c r="S19" i="4" s="1"/>
  <c r="Q5" i="4"/>
  <c r="S5" i="4" s="1"/>
  <c r="Q10" i="4"/>
  <c r="S10" i="4" s="1"/>
  <c r="Q15" i="4"/>
  <c r="S15" i="4" s="1"/>
  <c r="Q12" i="4"/>
  <c r="S12" i="4" s="1"/>
  <c r="Q21" i="4"/>
  <c r="S21" i="4" s="1"/>
  <c r="Q7" i="4"/>
  <c r="S7" i="4" s="1"/>
  <c r="Q17" i="4"/>
  <c r="S17" i="4" s="1"/>
  <c r="Q13" i="4"/>
  <c r="S13" i="4" s="1"/>
  <c r="Q8" i="4"/>
  <c r="S8" i="4" s="1"/>
  <c r="Q18" i="4"/>
  <c r="S18" i="4" s="1"/>
  <c r="Q9" i="4"/>
  <c r="S9" i="4" s="1"/>
  <c r="Q14" i="4"/>
  <c r="S14" i="4" s="1"/>
  <c r="Q20" i="4"/>
  <c r="S20" i="4" s="1"/>
  <c r="Q11" i="4"/>
  <c r="S11" i="4" s="1"/>
  <c r="Q6" i="4"/>
  <c r="S6" i="4" s="1"/>
  <c r="Q16" i="4"/>
  <c r="S16" i="4" s="1"/>
  <c r="M3" i="9"/>
  <c r="M259" i="9"/>
  <c r="M306" i="9"/>
  <c r="M260" i="9"/>
  <c r="M285" i="9"/>
  <c r="M274" i="9"/>
  <c r="M275" i="9"/>
  <c r="M291" i="9"/>
  <c r="M333" i="9"/>
  <c r="M345" i="9"/>
  <c r="M309" i="9"/>
  <c r="M336" i="9"/>
  <c r="M403" i="9"/>
  <c r="M245" i="9"/>
  <c r="M373" i="9"/>
  <c r="M463" i="9"/>
  <c r="M349" i="9"/>
  <c r="M350" i="9"/>
  <c r="M255" i="9"/>
  <c r="M279" i="9"/>
  <c r="M305" i="9"/>
  <c r="M321" i="9"/>
  <c r="M393" i="9"/>
  <c r="M246" i="9"/>
  <c r="M290" i="9"/>
  <c r="M314" i="9"/>
  <c r="M365" i="9"/>
  <c r="M470" i="9"/>
  <c r="M253" i="9"/>
  <c r="M261" i="9"/>
  <c r="M344" i="9"/>
  <c r="M379" i="9"/>
  <c r="M292" i="9"/>
  <c r="M303" i="9"/>
  <c r="M319" i="9"/>
  <c r="X460" i="9"/>
  <c r="M399" i="9"/>
  <c r="M439" i="9"/>
  <c r="M411" i="9"/>
  <c r="M381" i="9"/>
  <c r="M395" i="9"/>
  <c r="M380" i="9"/>
  <c r="M423" i="9"/>
  <c r="M435" i="9"/>
  <c r="M455" i="9"/>
  <c r="M465" i="9"/>
  <c r="M469" i="9"/>
  <c r="M405" i="9"/>
  <c r="M410" i="9"/>
  <c r="M441" i="9"/>
  <c r="M459" i="9"/>
  <c r="M485" i="9"/>
  <c r="M409" i="9"/>
  <c r="M429" i="9"/>
  <c r="M453" i="9"/>
  <c r="M500" i="9"/>
  <c r="M483" i="9"/>
  <c r="M489" i="9"/>
  <c r="M502" i="9"/>
  <c r="M471" i="9"/>
  <c r="M495" i="9"/>
  <c r="E384" i="9" l="1"/>
  <c r="E504" i="9"/>
  <c r="E367" i="16"/>
  <c r="E217" i="16"/>
  <c r="E187" i="19"/>
  <c r="E127" i="19"/>
  <c r="E337" i="9"/>
  <c r="E7" i="16"/>
  <c r="E7" i="19"/>
  <c r="E157" i="19"/>
  <c r="E204" i="9"/>
  <c r="E37" i="9"/>
  <c r="E157" i="9"/>
  <c r="E247" i="19"/>
  <c r="E487" i="19"/>
  <c r="X487" i="19" s="1"/>
  <c r="AB487" i="19" s="1"/>
  <c r="E427" i="19"/>
  <c r="X464" i="9"/>
  <c r="E337" i="16"/>
  <c r="E67" i="19"/>
  <c r="E97" i="19"/>
  <c r="E67" i="9"/>
  <c r="E247" i="9"/>
  <c r="E487" i="9"/>
  <c r="E157" i="16"/>
  <c r="M157" i="16" s="1"/>
  <c r="AJ157" i="16" s="1"/>
  <c r="AK157" i="16" s="1"/>
  <c r="AL157" i="16" s="1"/>
  <c r="E337" i="19"/>
  <c r="E397" i="19"/>
  <c r="E307" i="9"/>
  <c r="E187" i="16"/>
  <c r="X457" i="17"/>
  <c r="AB457" i="17" s="1"/>
  <c r="E367" i="19"/>
  <c r="X374" i="9"/>
  <c r="X425" i="9"/>
  <c r="X346" i="9"/>
  <c r="X213" i="9"/>
  <c r="X39" i="9"/>
  <c r="G73" i="16"/>
  <c r="S73" i="16" s="1"/>
  <c r="G223" i="16"/>
  <c r="I223" i="16" s="1"/>
  <c r="AG223" i="16" s="1"/>
  <c r="G283" i="16"/>
  <c r="I283" i="16" s="1"/>
  <c r="G253" i="16"/>
  <c r="L502" i="17"/>
  <c r="Y502" i="17" s="1"/>
  <c r="AA460" i="17"/>
  <c r="L486" i="17"/>
  <c r="Y486" i="17" s="1"/>
  <c r="E311" i="9"/>
  <c r="X311" i="9" s="1"/>
  <c r="X491" i="17"/>
  <c r="AB491" i="17" s="1"/>
  <c r="X251" i="17"/>
  <c r="AB251" i="17" s="1"/>
  <c r="M11" i="17"/>
  <c r="E11" i="19"/>
  <c r="M11" i="19" s="1"/>
  <c r="E341" i="19"/>
  <c r="E401" i="16"/>
  <c r="M401" i="16" s="1"/>
  <c r="AJ401" i="16" s="1"/>
  <c r="AK401" i="16" s="1"/>
  <c r="AL401" i="16" s="1"/>
  <c r="E191" i="16"/>
  <c r="X191" i="16" s="1"/>
  <c r="AB191" i="16" s="1"/>
  <c r="E341" i="16"/>
  <c r="X341" i="16" s="1"/>
  <c r="AB341" i="16" s="1"/>
  <c r="F13" i="25"/>
  <c r="X13" i="25"/>
  <c r="F463" i="25"/>
  <c r="X463" i="25"/>
  <c r="H103" i="16"/>
  <c r="X223" i="25"/>
  <c r="F223" i="25"/>
  <c r="E251" i="9"/>
  <c r="M251" i="9" s="1"/>
  <c r="E225" i="25"/>
  <c r="E315" i="25"/>
  <c r="E495" i="25"/>
  <c r="E405" i="25"/>
  <c r="E105" i="25"/>
  <c r="E195" i="25"/>
  <c r="E345" i="25"/>
  <c r="E255" i="25"/>
  <c r="E135" i="25"/>
  <c r="E285" i="25"/>
  <c r="E165" i="25"/>
  <c r="E465" i="25"/>
  <c r="E375" i="25"/>
  <c r="E15" i="25"/>
  <c r="E435" i="25"/>
  <c r="E45" i="25"/>
  <c r="E75" i="25"/>
  <c r="H17" i="10"/>
  <c r="E137" i="9" s="1"/>
  <c r="M137" i="9" s="1"/>
  <c r="X431" i="17"/>
  <c r="AB431" i="17" s="1"/>
  <c r="X191" i="17"/>
  <c r="AB191" i="17" s="1"/>
  <c r="E461" i="19"/>
  <c r="E311" i="19"/>
  <c r="X311" i="19" s="1"/>
  <c r="AB311" i="19" s="1"/>
  <c r="F433" i="25"/>
  <c r="X433" i="25"/>
  <c r="X193" i="25"/>
  <c r="F193" i="25"/>
  <c r="E281" i="9"/>
  <c r="X281" i="9" s="1"/>
  <c r="E401" i="9"/>
  <c r="E131" i="16"/>
  <c r="M401" i="17"/>
  <c r="M161" i="17"/>
  <c r="E281" i="19"/>
  <c r="X281" i="19" s="1"/>
  <c r="AB281" i="19" s="1"/>
  <c r="E101" i="19"/>
  <c r="X101" i="19" s="1"/>
  <c r="F73" i="25"/>
  <c r="X73" i="25"/>
  <c r="X283" i="25"/>
  <c r="F283" i="25"/>
  <c r="E71" i="9"/>
  <c r="M71" i="9" s="1"/>
  <c r="E131" i="9"/>
  <c r="M131" i="9" s="1"/>
  <c r="E221" i="9"/>
  <c r="M221" i="9" s="1"/>
  <c r="E281" i="16"/>
  <c r="X281" i="16" s="1"/>
  <c r="AB281" i="16" s="1"/>
  <c r="E251" i="16"/>
  <c r="X251" i="16" s="1"/>
  <c r="AB251" i="16" s="1"/>
  <c r="E161" i="16"/>
  <c r="X161" i="16" s="1"/>
  <c r="AB161" i="16" s="1"/>
  <c r="E461" i="16"/>
  <c r="X461" i="16" s="1"/>
  <c r="AB461" i="16" s="1"/>
  <c r="X371" i="17"/>
  <c r="AB371" i="17" s="1"/>
  <c r="X131" i="17"/>
  <c r="AB131" i="17" s="1"/>
  <c r="E371" i="19"/>
  <c r="E401" i="19"/>
  <c r="X401" i="19" s="1"/>
  <c r="AB401" i="19" s="1"/>
  <c r="X103" i="25"/>
  <c r="F103" i="25"/>
  <c r="F163" i="25"/>
  <c r="X163" i="25"/>
  <c r="F43" i="25"/>
  <c r="X43" i="25"/>
  <c r="E491" i="9"/>
  <c r="M491" i="9" s="1"/>
  <c r="E71" i="16"/>
  <c r="X71" i="16" s="1"/>
  <c r="AB71" i="16" s="1"/>
  <c r="E491" i="16"/>
  <c r="X491" i="16" s="1"/>
  <c r="AB491" i="16" s="1"/>
  <c r="X341" i="17"/>
  <c r="AB341" i="17" s="1"/>
  <c r="M101" i="17"/>
  <c r="E191" i="19"/>
  <c r="M191" i="19" s="1"/>
  <c r="E221" i="19"/>
  <c r="X221" i="19" s="1"/>
  <c r="AB221" i="19" s="1"/>
  <c r="E41" i="16"/>
  <c r="X41" i="16" s="1"/>
  <c r="AB41" i="16" s="1"/>
  <c r="E11" i="16"/>
  <c r="M11" i="16" s="1"/>
  <c r="AJ11" i="16" s="1"/>
  <c r="AK11" i="16" s="1"/>
  <c r="AL11" i="16" s="1"/>
  <c r="X313" i="25"/>
  <c r="F313" i="25"/>
  <c r="F133" i="25"/>
  <c r="X133" i="25"/>
  <c r="E461" i="9"/>
  <c r="X461" i="9" s="1"/>
  <c r="E191" i="9"/>
  <c r="X191" i="9" s="1"/>
  <c r="AB191" i="9" s="1"/>
  <c r="E371" i="9"/>
  <c r="E341" i="9"/>
  <c r="X341" i="9" s="1"/>
  <c r="E41" i="9"/>
  <c r="X41" i="9" s="1"/>
  <c r="AB41" i="9" s="1"/>
  <c r="E311" i="16"/>
  <c r="E221" i="16"/>
  <c r="X221" i="16" s="1"/>
  <c r="AB221" i="16" s="1"/>
  <c r="M311" i="17"/>
  <c r="M71" i="17"/>
  <c r="E161" i="19"/>
  <c r="X161" i="19" s="1"/>
  <c r="AB161" i="19" s="1"/>
  <c r="E131" i="19"/>
  <c r="F253" i="25"/>
  <c r="X253" i="25"/>
  <c r="X403" i="25"/>
  <c r="F403" i="25"/>
  <c r="F343" i="25"/>
  <c r="X343" i="25"/>
  <c r="X103" i="16"/>
  <c r="E431" i="9"/>
  <c r="X431" i="9" s="1"/>
  <c r="E11" i="9"/>
  <c r="M11" i="9" s="1"/>
  <c r="E101" i="9"/>
  <c r="X101" i="9" s="1"/>
  <c r="AB101" i="9" s="1"/>
  <c r="X281" i="17"/>
  <c r="AB281" i="17" s="1"/>
  <c r="X41" i="17"/>
  <c r="AB41" i="17" s="1"/>
  <c r="E491" i="19"/>
  <c r="X491" i="19" s="1"/>
  <c r="AB491" i="19" s="1"/>
  <c r="E431" i="19"/>
  <c r="M431" i="19" s="1"/>
  <c r="E371" i="16"/>
  <c r="M371" i="16" s="1"/>
  <c r="AJ371" i="16" s="1"/>
  <c r="AK371" i="16" s="1"/>
  <c r="AL371" i="16" s="1"/>
  <c r="F373" i="25"/>
  <c r="X373" i="25"/>
  <c r="F493" i="25"/>
  <c r="X493" i="25"/>
  <c r="G379" i="9"/>
  <c r="H379" i="9"/>
  <c r="H164" i="9"/>
  <c r="G164" i="9"/>
  <c r="H6" i="9"/>
  <c r="G6" i="9"/>
  <c r="G65" i="9"/>
  <c r="H65" i="9"/>
  <c r="G20" i="9"/>
  <c r="H20" i="9"/>
  <c r="G249" i="9"/>
  <c r="H249" i="9"/>
  <c r="G502" i="9"/>
  <c r="H502" i="9"/>
  <c r="G463" i="9"/>
  <c r="H463" i="9"/>
  <c r="G201" i="9"/>
  <c r="H201" i="9"/>
  <c r="G105" i="9"/>
  <c r="H105" i="9"/>
  <c r="H352" i="9"/>
  <c r="G352" i="9"/>
  <c r="G313" i="9"/>
  <c r="H313" i="9"/>
  <c r="H260" i="9"/>
  <c r="G260" i="9"/>
  <c r="H214" i="9"/>
  <c r="G214" i="9"/>
  <c r="H171" i="9"/>
  <c r="G171" i="9"/>
  <c r="G343" i="9"/>
  <c r="H343" i="9"/>
  <c r="H159" i="9"/>
  <c r="G159" i="9"/>
  <c r="G495" i="9"/>
  <c r="H495" i="9"/>
  <c r="H440" i="9"/>
  <c r="G440" i="9"/>
  <c r="G243" i="9"/>
  <c r="H243" i="9"/>
  <c r="G322" i="9"/>
  <c r="H322" i="9"/>
  <c r="G280" i="9"/>
  <c r="H280" i="9"/>
  <c r="G232" i="9"/>
  <c r="H232" i="9"/>
  <c r="G136" i="9"/>
  <c r="H136" i="9"/>
  <c r="G52" i="9"/>
  <c r="H52" i="9"/>
  <c r="G484" i="9"/>
  <c r="H484" i="9"/>
  <c r="G430" i="9"/>
  <c r="H430" i="9"/>
  <c r="G189" i="9"/>
  <c r="H189" i="9"/>
  <c r="G170" i="9"/>
  <c r="H170" i="9"/>
  <c r="G439" i="9"/>
  <c r="H439" i="9"/>
  <c r="H405" i="9"/>
  <c r="G405" i="9"/>
  <c r="H489" i="9"/>
  <c r="G489" i="9"/>
  <c r="G244" i="9"/>
  <c r="H244" i="9"/>
  <c r="G33" i="9"/>
  <c r="H33" i="9"/>
  <c r="H471" i="9"/>
  <c r="G471" i="9"/>
  <c r="H286" i="9"/>
  <c r="G286" i="9"/>
  <c r="H46" i="9"/>
  <c r="G46" i="9"/>
  <c r="H365" i="9"/>
  <c r="G365" i="9"/>
  <c r="G5" i="9"/>
  <c r="H5" i="9"/>
  <c r="H309" i="9"/>
  <c r="G309" i="9"/>
  <c r="H95" i="9"/>
  <c r="G95" i="9"/>
  <c r="G424" i="9"/>
  <c r="H424" i="9"/>
  <c r="H381" i="9"/>
  <c r="G381" i="9"/>
  <c r="H142" i="9"/>
  <c r="G142" i="9"/>
  <c r="G40" i="9"/>
  <c r="H40" i="9"/>
  <c r="H245" i="9"/>
  <c r="G245" i="9"/>
  <c r="G75" i="9"/>
  <c r="H75" i="9"/>
  <c r="G396" i="9"/>
  <c r="H396" i="9"/>
  <c r="H340" i="9"/>
  <c r="G340" i="9"/>
  <c r="G436" i="9"/>
  <c r="H436" i="9"/>
  <c r="H472" i="9"/>
  <c r="G472" i="9"/>
  <c r="G184" i="9"/>
  <c r="H184" i="9"/>
  <c r="G80" i="9"/>
  <c r="H80" i="9"/>
  <c r="G34" i="9"/>
  <c r="H34" i="9"/>
  <c r="H63" i="9"/>
  <c r="G63" i="9"/>
  <c r="G380" i="9"/>
  <c r="H380" i="9"/>
  <c r="H349" i="9"/>
  <c r="G349" i="9"/>
  <c r="G229" i="9"/>
  <c r="H229" i="9"/>
  <c r="G133" i="9"/>
  <c r="H133" i="9"/>
  <c r="G69" i="9"/>
  <c r="H69" i="9"/>
  <c r="G226" i="9"/>
  <c r="H226" i="9"/>
  <c r="G454" i="9"/>
  <c r="H454" i="9"/>
  <c r="H279" i="9"/>
  <c r="G279" i="9"/>
  <c r="H314" i="9"/>
  <c r="G314" i="9"/>
  <c r="H429" i="9"/>
  <c r="G429" i="9"/>
  <c r="G156" i="9"/>
  <c r="H156" i="9"/>
  <c r="G100" i="9"/>
  <c r="H100" i="9"/>
  <c r="G51" i="9"/>
  <c r="H51" i="9"/>
  <c r="H441" i="9"/>
  <c r="G441" i="9"/>
  <c r="H223" i="9"/>
  <c r="G223" i="9"/>
  <c r="G500" i="9"/>
  <c r="H500" i="9"/>
  <c r="H409" i="9"/>
  <c r="G409" i="9"/>
  <c r="G193" i="9"/>
  <c r="H193" i="9"/>
  <c r="G153" i="9"/>
  <c r="H153" i="9"/>
  <c r="G35" i="9"/>
  <c r="H35" i="9"/>
  <c r="G483" i="9"/>
  <c r="H483" i="9"/>
  <c r="G350" i="9"/>
  <c r="H350" i="9"/>
  <c r="H303" i="9"/>
  <c r="G303" i="9"/>
  <c r="G253" i="9"/>
  <c r="H253" i="9"/>
  <c r="H94" i="9"/>
  <c r="G94" i="9"/>
  <c r="G139" i="9"/>
  <c r="H139" i="9"/>
  <c r="G21" i="9"/>
  <c r="H21" i="9"/>
  <c r="G304" i="9"/>
  <c r="H304" i="9"/>
  <c r="H111" i="9"/>
  <c r="G111" i="9"/>
  <c r="H465" i="9"/>
  <c r="G465" i="9"/>
  <c r="G290" i="9"/>
  <c r="H290" i="9"/>
  <c r="G310" i="9"/>
  <c r="H310" i="9"/>
  <c r="G275" i="9"/>
  <c r="H275" i="9"/>
  <c r="G224" i="9"/>
  <c r="H224" i="9"/>
  <c r="G130" i="9"/>
  <c r="H130" i="9"/>
  <c r="G36" i="9"/>
  <c r="H36" i="9"/>
  <c r="H469" i="9"/>
  <c r="G469" i="9"/>
  <c r="G423" i="9"/>
  <c r="H423" i="9"/>
  <c r="G154" i="9"/>
  <c r="H154" i="9"/>
  <c r="H434" i="9"/>
  <c r="G434" i="9"/>
  <c r="G395" i="9"/>
  <c r="H395" i="9"/>
  <c r="G351" i="9"/>
  <c r="H351" i="9"/>
  <c r="G412" i="9"/>
  <c r="H412" i="9"/>
  <c r="H199" i="9"/>
  <c r="G199" i="9"/>
  <c r="G466" i="9"/>
  <c r="H466" i="9"/>
  <c r="H196" i="9"/>
  <c r="G196" i="9"/>
  <c r="H345" i="9"/>
  <c r="G345" i="9"/>
  <c r="G44" i="9"/>
  <c r="H44" i="9"/>
  <c r="H215" i="9"/>
  <c r="G215" i="9"/>
  <c r="G404" i="9"/>
  <c r="H404" i="9"/>
  <c r="H376" i="9"/>
  <c r="G376" i="9"/>
  <c r="G190" i="9"/>
  <c r="H190" i="9"/>
  <c r="G134" i="9"/>
  <c r="H134" i="9"/>
  <c r="H219" i="9"/>
  <c r="G219" i="9"/>
  <c r="G426" i="9"/>
  <c r="H426" i="9"/>
  <c r="G335" i="9"/>
  <c r="H335" i="9"/>
  <c r="G291" i="9"/>
  <c r="H291" i="9"/>
  <c r="G470" i="9"/>
  <c r="H470" i="9"/>
  <c r="G112" i="9"/>
  <c r="H112" i="9"/>
  <c r="H373" i="9"/>
  <c r="G373" i="9"/>
  <c r="G165" i="9"/>
  <c r="H165" i="9"/>
  <c r="G125" i="9"/>
  <c r="H125" i="9"/>
  <c r="G363" i="9"/>
  <c r="H363" i="9"/>
  <c r="H135" i="9"/>
  <c r="G135" i="9"/>
  <c r="G336" i="9"/>
  <c r="H336" i="9"/>
  <c r="H246" i="9"/>
  <c r="G246" i="9"/>
  <c r="G140" i="9"/>
  <c r="H140" i="9"/>
  <c r="H22" i="9"/>
  <c r="G22" i="9"/>
  <c r="G81" i="9"/>
  <c r="H81" i="9"/>
  <c r="H43" i="9"/>
  <c r="G43" i="9"/>
  <c r="H400" i="9"/>
  <c r="G400" i="9"/>
  <c r="G9" i="9"/>
  <c r="H9" i="9"/>
  <c r="H433" i="9"/>
  <c r="G433" i="9"/>
  <c r="H276" i="9"/>
  <c r="G276" i="9"/>
  <c r="G225" i="9"/>
  <c r="H225" i="9"/>
  <c r="G185" i="9"/>
  <c r="H185" i="9"/>
  <c r="G19" i="9"/>
  <c r="H19" i="9"/>
  <c r="G163" i="9"/>
  <c r="H163" i="9"/>
  <c r="H333" i="9"/>
  <c r="G333" i="9"/>
  <c r="G16" i="9"/>
  <c r="H16" i="9"/>
  <c r="G123" i="9"/>
  <c r="H123" i="9"/>
  <c r="H254" i="9"/>
  <c r="G254" i="9"/>
  <c r="G460" i="9"/>
  <c r="H460" i="9"/>
  <c r="H285" i="9"/>
  <c r="G285" i="9"/>
  <c r="G364" i="9"/>
  <c r="H364" i="9"/>
  <c r="G305" i="9"/>
  <c r="H305" i="9"/>
  <c r="H255" i="9"/>
  <c r="G255" i="9"/>
  <c r="G216" i="9"/>
  <c r="H216" i="9"/>
  <c r="G160" i="9"/>
  <c r="H160" i="9"/>
  <c r="G64" i="9"/>
  <c r="H64" i="9"/>
  <c r="H10" i="9"/>
  <c r="G10" i="9"/>
  <c r="G106" i="9"/>
  <c r="H106" i="9"/>
  <c r="G321" i="9"/>
  <c r="H321" i="9"/>
  <c r="H501" i="9"/>
  <c r="G501" i="9"/>
  <c r="G403" i="9"/>
  <c r="H403" i="9"/>
  <c r="G259" i="9"/>
  <c r="H259" i="9"/>
  <c r="G39" i="9"/>
  <c r="H39" i="9"/>
  <c r="G202" i="9"/>
  <c r="H202" i="9"/>
  <c r="H464" i="9"/>
  <c r="G464" i="9"/>
  <c r="H425" i="9"/>
  <c r="G425" i="9"/>
  <c r="H346" i="9"/>
  <c r="G346" i="9"/>
  <c r="G289" i="9"/>
  <c r="H289" i="9"/>
  <c r="G79" i="9"/>
  <c r="H79" i="9"/>
  <c r="G76" i="9"/>
  <c r="H76" i="9"/>
  <c r="G129" i="9"/>
  <c r="H129" i="9"/>
  <c r="H453" i="9"/>
  <c r="G453" i="9"/>
  <c r="G399" i="9"/>
  <c r="H399" i="9"/>
  <c r="G374" i="9"/>
  <c r="H374" i="9"/>
  <c r="H230" i="9"/>
  <c r="G230" i="9"/>
  <c r="H126" i="9"/>
  <c r="G126" i="9"/>
  <c r="H70" i="9"/>
  <c r="G70" i="9"/>
  <c r="G411" i="9"/>
  <c r="H411" i="9"/>
  <c r="G13" i="9"/>
  <c r="H13" i="9"/>
  <c r="H183" i="9"/>
  <c r="G183" i="9"/>
  <c r="G490" i="9"/>
  <c r="H490" i="9"/>
  <c r="G442" i="9"/>
  <c r="H442" i="9"/>
  <c r="G104" i="9"/>
  <c r="H104" i="9"/>
  <c r="G319" i="9"/>
  <c r="H319" i="9"/>
  <c r="G213" i="9"/>
  <c r="H213" i="9"/>
  <c r="G109" i="9"/>
  <c r="H109" i="9"/>
  <c r="G375" i="9"/>
  <c r="H375" i="9"/>
  <c r="H496" i="9"/>
  <c r="G496" i="9"/>
  <c r="G172" i="9"/>
  <c r="H172" i="9"/>
  <c r="H14" i="9"/>
  <c r="G14" i="9"/>
  <c r="G73" i="9"/>
  <c r="H73" i="9"/>
  <c r="G66" i="9"/>
  <c r="H66" i="9"/>
  <c r="G274" i="9"/>
  <c r="H274" i="9"/>
  <c r="H486" i="9"/>
  <c r="G486" i="9"/>
  <c r="G169" i="9"/>
  <c r="H169" i="9"/>
  <c r="G155" i="9"/>
  <c r="H155" i="9"/>
  <c r="G320" i="9"/>
  <c r="H320" i="9"/>
  <c r="G273" i="9"/>
  <c r="H273" i="9"/>
  <c r="G166" i="9"/>
  <c r="H166" i="9"/>
  <c r="G195" i="9"/>
  <c r="H195" i="9"/>
  <c r="G45" i="9"/>
  <c r="H45" i="9"/>
  <c r="H382" i="9"/>
  <c r="G382" i="9"/>
  <c r="H231" i="9"/>
  <c r="G231" i="9"/>
  <c r="G455" i="9"/>
  <c r="H455" i="9"/>
  <c r="G315" i="9"/>
  <c r="H315" i="9"/>
  <c r="G262" i="9"/>
  <c r="H262" i="9"/>
  <c r="G344" i="9"/>
  <c r="H344" i="9"/>
  <c r="H292" i="9"/>
  <c r="G292" i="9"/>
  <c r="G250" i="9"/>
  <c r="H250" i="9"/>
  <c r="G200" i="9"/>
  <c r="H200" i="9"/>
  <c r="G50" i="9"/>
  <c r="H50" i="9"/>
  <c r="G82" i="9"/>
  <c r="H82" i="9"/>
  <c r="G494" i="9"/>
  <c r="H494" i="9"/>
  <c r="H284" i="9"/>
  <c r="G284" i="9"/>
  <c r="G499" i="9"/>
  <c r="H499" i="9"/>
  <c r="G15" i="9"/>
  <c r="H15" i="9"/>
  <c r="G194" i="9"/>
  <c r="H194" i="9"/>
  <c r="G459" i="9"/>
  <c r="H459" i="9"/>
  <c r="G410" i="9"/>
  <c r="H410" i="9"/>
  <c r="G339" i="9"/>
  <c r="H339" i="9"/>
  <c r="H261" i="9"/>
  <c r="G261" i="9"/>
  <c r="G49" i="9"/>
  <c r="H49" i="9"/>
  <c r="G456" i="9"/>
  <c r="H456" i="9"/>
  <c r="H220" i="9"/>
  <c r="G220" i="9"/>
  <c r="H124" i="9"/>
  <c r="G124" i="9"/>
  <c r="H370" i="9"/>
  <c r="G370" i="9"/>
  <c r="G306" i="9"/>
  <c r="H306" i="9"/>
  <c r="G256" i="9"/>
  <c r="H256" i="9"/>
  <c r="H334" i="9"/>
  <c r="G334" i="9"/>
  <c r="H493" i="9"/>
  <c r="G493" i="9"/>
  <c r="G435" i="9"/>
  <c r="H435" i="9"/>
  <c r="H394" i="9"/>
  <c r="G394" i="9"/>
  <c r="H110" i="9"/>
  <c r="G110" i="9"/>
  <c r="G283" i="9"/>
  <c r="H283" i="9"/>
  <c r="G99" i="9"/>
  <c r="H99" i="9"/>
  <c r="G406" i="9"/>
  <c r="H406" i="9"/>
  <c r="G4" i="9"/>
  <c r="H4" i="9"/>
  <c r="H103" i="9"/>
  <c r="G103" i="9"/>
  <c r="H485" i="9"/>
  <c r="G485" i="9"/>
  <c r="G96" i="9"/>
  <c r="H96" i="9"/>
  <c r="G186" i="9"/>
  <c r="H186" i="9"/>
  <c r="H393" i="9"/>
  <c r="G393" i="9"/>
  <c r="H369" i="9"/>
  <c r="G369" i="9"/>
  <c r="G141" i="9"/>
  <c r="H141" i="9"/>
  <c r="G93" i="9"/>
  <c r="H93" i="9"/>
  <c r="G74" i="9"/>
  <c r="H74" i="9"/>
  <c r="G316" i="9"/>
  <c r="H316" i="9"/>
  <c r="G366" i="9"/>
  <c r="H366" i="9"/>
  <c r="H230" i="16"/>
  <c r="G230" i="16"/>
  <c r="X43" i="17"/>
  <c r="F43" i="17"/>
  <c r="G253" i="17"/>
  <c r="H253" i="17"/>
  <c r="H463" i="19"/>
  <c r="G463" i="19"/>
  <c r="H403" i="19"/>
  <c r="G403" i="19"/>
  <c r="H163" i="19"/>
  <c r="G163" i="19"/>
  <c r="G286" i="16"/>
  <c r="H286" i="16"/>
  <c r="X76" i="16"/>
  <c r="F76" i="16"/>
  <c r="G380" i="17"/>
  <c r="H380" i="17"/>
  <c r="G140" i="17"/>
  <c r="H140" i="17"/>
  <c r="H200" i="19"/>
  <c r="G200" i="19"/>
  <c r="H410" i="19"/>
  <c r="G410" i="19"/>
  <c r="G376" i="16"/>
  <c r="H376" i="16"/>
  <c r="G436" i="17"/>
  <c r="H436" i="17"/>
  <c r="G466" i="17"/>
  <c r="H466" i="17"/>
  <c r="H466" i="19"/>
  <c r="G466" i="19"/>
  <c r="H316" i="19"/>
  <c r="G316" i="19"/>
  <c r="H21" i="16"/>
  <c r="G21" i="16"/>
  <c r="H291" i="17"/>
  <c r="G291" i="17"/>
  <c r="H51" i="17"/>
  <c r="G51" i="17"/>
  <c r="G501" i="19"/>
  <c r="H501" i="19"/>
  <c r="H291" i="19"/>
  <c r="G291" i="19"/>
  <c r="G81" i="16"/>
  <c r="H81" i="16"/>
  <c r="X441" i="16"/>
  <c r="F441" i="16"/>
  <c r="J46" i="16"/>
  <c r="AH46" i="16" s="1"/>
  <c r="T46" i="16"/>
  <c r="S425" i="16"/>
  <c r="I425" i="16"/>
  <c r="AG425" i="16" s="1"/>
  <c r="T352" i="16"/>
  <c r="J352" i="16"/>
  <c r="AH352" i="16" s="1"/>
  <c r="T483" i="16"/>
  <c r="J483" i="16"/>
  <c r="AH483" i="16" s="1"/>
  <c r="S3" i="16"/>
  <c r="I3" i="16"/>
  <c r="T64" i="16"/>
  <c r="J64" i="16"/>
  <c r="AH64" i="16" s="1"/>
  <c r="J250" i="16"/>
  <c r="AH250" i="16" s="1"/>
  <c r="T250" i="16"/>
  <c r="J123" i="16"/>
  <c r="AH123" i="16" s="1"/>
  <c r="T123" i="16"/>
  <c r="I93" i="16"/>
  <c r="AG93" i="16" s="1"/>
  <c r="S93" i="16"/>
  <c r="T215" i="16"/>
  <c r="J215" i="16"/>
  <c r="AH215" i="16" s="1"/>
  <c r="I126" i="16"/>
  <c r="S126" i="16"/>
  <c r="T169" i="16"/>
  <c r="J169" i="16"/>
  <c r="AH169" i="16" s="1"/>
  <c r="J335" i="16"/>
  <c r="AH335" i="16" s="1"/>
  <c r="T335" i="16"/>
  <c r="T396" i="16"/>
  <c r="J396" i="16"/>
  <c r="AH396" i="16" s="1"/>
  <c r="T485" i="16"/>
  <c r="J485" i="16"/>
  <c r="AH485" i="16" s="1"/>
  <c r="I14" i="16"/>
  <c r="S14" i="16"/>
  <c r="T279" i="16"/>
  <c r="J279" i="16"/>
  <c r="AH279" i="16" s="1"/>
  <c r="J95" i="16"/>
  <c r="AH95" i="16" s="1"/>
  <c r="T95" i="16"/>
  <c r="J379" i="16"/>
  <c r="AH379" i="16" s="1"/>
  <c r="T379" i="16"/>
  <c r="T100" i="16"/>
  <c r="J100" i="16"/>
  <c r="AH100" i="16" s="1"/>
  <c r="I460" i="16"/>
  <c r="AG460" i="16" s="1"/>
  <c r="S460" i="16"/>
  <c r="J290" i="16"/>
  <c r="AH290" i="16" s="1"/>
  <c r="T290" i="16"/>
  <c r="I134" i="16"/>
  <c r="AG134" i="16" s="1"/>
  <c r="S134" i="16"/>
  <c r="T129" i="16"/>
  <c r="J129" i="16"/>
  <c r="AH129" i="16" s="1"/>
  <c r="T154" i="16"/>
  <c r="J154" i="16"/>
  <c r="AH154" i="16" s="1"/>
  <c r="I442" i="16"/>
  <c r="AG442" i="16" s="1"/>
  <c r="S442" i="16"/>
  <c r="J139" i="16"/>
  <c r="AH139" i="16" s="1"/>
  <c r="T139" i="16"/>
  <c r="I79" i="16"/>
  <c r="S79" i="16"/>
  <c r="S501" i="16"/>
  <c r="I501" i="16"/>
  <c r="AG501" i="16" s="1"/>
  <c r="T502" i="16"/>
  <c r="J502" i="16"/>
  <c r="AH502" i="16" s="1"/>
  <c r="G112" i="16"/>
  <c r="H112" i="16"/>
  <c r="J339" i="16"/>
  <c r="AH339" i="16" s="1"/>
  <c r="T339" i="16"/>
  <c r="I164" i="16"/>
  <c r="AG164" i="16" s="1"/>
  <c r="S164" i="16"/>
  <c r="S245" i="16"/>
  <c r="I245" i="16"/>
  <c r="J94" i="16"/>
  <c r="AH94" i="16" s="1"/>
  <c r="T94" i="16"/>
  <c r="J423" i="16"/>
  <c r="AH423" i="16" s="1"/>
  <c r="T423" i="16"/>
  <c r="T103" i="16"/>
  <c r="J103" i="16"/>
  <c r="AH103" i="16" s="1"/>
  <c r="J63" i="16"/>
  <c r="AH63" i="16" s="1"/>
  <c r="T63" i="16"/>
  <c r="I124" i="16"/>
  <c r="AG124" i="16" s="1"/>
  <c r="S124" i="16"/>
  <c r="S69" i="16"/>
  <c r="I69" i="16"/>
  <c r="T489" i="16"/>
  <c r="J489" i="16"/>
  <c r="AH489" i="16" s="1"/>
  <c r="X380" i="16"/>
  <c r="F380" i="16"/>
  <c r="G343" i="17"/>
  <c r="H343" i="17"/>
  <c r="G313" i="17"/>
  <c r="H313" i="17"/>
  <c r="X373" i="19"/>
  <c r="F373" i="19"/>
  <c r="X433" i="19"/>
  <c r="F433" i="19"/>
  <c r="H470" i="16"/>
  <c r="G470" i="16"/>
  <c r="X43" i="16"/>
  <c r="F43" i="16"/>
  <c r="G350" i="17"/>
  <c r="H350" i="17"/>
  <c r="H110" i="17"/>
  <c r="G110" i="17"/>
  <c r="H110" i="19"/>
  <c r="G110" i="19"/>
  <c r="H440" i="19"/>
  <c r="G440" i="19"/>
  <c r="G106" i="16"/>
  <c r="H106" i="16"/>
  <c r="G136" i="17"/>
  <c r="H136" i="17"/>
  <c r="H286" i="17"/>
  <c r="G286" i="17"/>
  <c r="G376" i="17"/>
  <c r="H376" i="17"/>
  <c r="H496" i="19"/>
  <c r="G496" i="19"/>
  <c r="H226" i="19"/>
  <c r="G226" i="19"/>
  <c r="G501" i="17"/>
  <c r="H501" i="17"/>
  <c r="H261" i="17"/>
  <c r="G261" i="17"/>
  <c r="H21" i="17"/>
  <c r="G21" i="17"/>
  <c r="G471" i="19"/>
  <c r="H471" i="19"/>
  <c r="H321" i="19"/>
  <c r="G321" i="19"/>
  <c r="X141" i="16"/>
  <c r="F141" i="16"/>
  <c r="I46" i="16"/>
  <c r="AG46" i="16" s="1"/>
  <c r="S46" i="16"/>
  <c r="J425" i="16"/>
  <c r="AH425" i="16" s="1"/>
  <c r="T425" i="16"/>
  <c r="I352" i="16"/>
  <c r="AG352" i="16" s="1"/>
  <c r="S352" i="16"/>
  <c r="I483" i="16"/>
  <c r="AG483" i="16" s="1"/>
  <c r="S483" i="16"/>
  <c r="T3" i="16"/>
  <c r="J3" i="16"/>
  <c r="AH3" i="16" s="1"/>
  <c r="I64" i="16"/>
  <c r="S64" i="16"/>
  <c r="I250" i="16"/>
  <c r="AG250" i="16" s="1"/>
  <c r="S250" i="16"/>
  <c r="I123" i="16"/>
  <c r="L123" i="16" s="1"/>
  <c r="AI123" i="16" s="1"/>
  <c r="S123" i="16"/>
  <c r="J93" i="16"/>
  <c r="AH93" i="16" s="1"/>
  <c r="T93" i="16"/>
  <c r="I215" i="16"/>
  <c r="S215" i="16"/>
  <c r="J126" i="16"/>
  <c r="AH126" i="16" s="1"/>
  <c r="T126" i="16"/>
  <c r="S169" i="16"/>
  <c r="I169" i="16"/>
  <c r="L169" i="16" s="1"/>
  <c r="AI169" i="16" s="1"/>
  <c r="I335" i="16"/>
  <c r="AG335" i="16" s="1"/>
  <c r="S335" i="16"/>
  <c r="S396" i="16"/>
  <c r="I396" i="16"/>
  <c r="AG396" i="16" s="1"/>
  <c r="S485" i="16"/>
  <c r="I485" i="16"/>
  <c r="AG485" i="16" s="1"/>
  <c r="J14" i="16"/>
  <c r="AH14" i="16" s="1"/>
  <c r="T14" i="16"/>
  <c r="S279" i="16"/>
  <c r="I279" i="16"/>
  <c r="I95" i="16"/>
  <c r="S95" i="16"/>
  <c r="I379" i="16"/>
  <c r="AG379" i="16" s="1"/>
  <c r="S379" i="16"/>
  <c r="I100" i="16"/>
  <c r="AG100" i="16" s="1"/>
  <c r="S100" i="16"/>
  <c r="J460" i="16"/>
  <c r="AH460" i="16" s="1"/>
  <c r="T460" i="16"/>
  <c r="I290" i="16"/>
  <c r="AG290" i="16" s="1"/>
  <c r="S290" i="16"/>
  <c r="J134" i="16"/>
  <c r="AH134" i="16" s="1"/>
  <c r="T134" i="16"/>
  <c r="S129" i="16"/>
  <c r="I129" i="16"/>
  <c r="L129" i="16" s="1"/>
  <c r="AI129" i="16" s="1"/>
  <c r="I154" i="16"/>
  <c r="AG154" i="16" s="1"/>
  <c r="S154" i="16"/>
  <c r="J442" i="16"/>
  <c r="AH442" i="16" s="1"/>
  <c r="T442" i="16"/>
  <c r="I139" i="16"/>
  <c r="L139" i="16" s="1"/>
  <c r="AI139" i="16" s="1"/>
  <c r="S139" i="16"/>
  <c r="J79" i="16"/>
  <c r="AH79" i="16" s="1"/>
  <c r="T79" i="16"/>
  <c r="T501" i="16"/>
  <c r="J501" i="16"/>
  <c r="AH501" i="16" s="1"/>
  <c r="S502" i="16"/>
  <c r="I502" i="16"/>
  <c r="L502" i="16" s="1"/>
  <c r="AI502" i="16" s="1"/>
  <c r="I339" i="16"/>
  <c r="AG339" i="16" s="1"/>
  <c r="S339" i="16"/>
  <c r="J164" i="16"/>
  <c r="AH164" i="16" s="1"/>
  <c r="T164" i="16"/>
  <c r="J245" i="16"/>
  <c r="AH245" i="16" s="1"/>
  <c r="T245" i="16"/>
  <c r="I94" i="16"/>
  <c r="S94" i="16"/>
  <c r="I423" i="16"/>
  <c r="S423" i="16"/>
  <c r="I103" i="16"/>
  <c r="S103" i="16"/>
  <c r="I63" i="16"/>
  <c r="S63" i="16"/>
  <c r="J124" i="16"/>
  <c r="AH124" i="16" s="1"/>
  <c r="T124" i="16"/>
  <c r="J69" i="16"/>
  <c r="AH69" i="16" s="1"/>
  <c r="T69" i="16"/>
  <c r="S489" i="16"/>
  <c r="I489" i="16"/>
  <c r="H193" i="16"/>
  <c r="G193" i="16"/>
  <c r="G163" i="16"/>
  <c r="H163" i="16"/>
  <c r="X133" i="17"/>
  <c r="F133" i="17"/>
  <c r="X163" i="17"/>
  <c r="F163" i="17"/>
  <c r="X283" i="19"/>
  <c r="F283" i="19"/>
  <c r="X223" i="19"/>
  <c r="F223" i="19"/>
  <c r="G136" i="16"/>
  <c r="H136" i="16"/>
  <c r="H436" i="16"/>
  <c r="G436" i="16"/>
  <c r="G373" i="16"/>
  <c r="H373" i="16"/>
  <c r="G320" i="17"/>
  <c r="H320" i="17"/>
  <c r="G80" i="17"/>
  <c r="H80" i="17"/>
  <c r="H380" i="19"/>
  <c r="G380" i="19"/>
  <c r="H350" i="19"/>
  <c r="G350" i="19"/>
  <c r="X166" i="16"/>
  <c r="F166" i="16"/>
  <c r="X466" i="16"/>
  <c r="F466" i="16"/>
  <c r="G316" i="17"/>
  <c r="H316" i="17"/>
  <c r="G106" i="17"/>
  <c r="H106" i="17"/>
  <c r="H166" i="19"/>
  <c r="G166" i="19"/>
  <c r="G16" i="19"/>
  <c r="H16" i="19"/>
  <c r="H256" i="19"/>
  <c r="G256" i="19"/>
  <c r="G471" i="17"/>
  <c r="H471" i="17"/>
  <c r="G231" i="17"/>
  <c r="H231" i="17"/>
  <c r="G111" i="19"/>
  <c r="H111" i="19"/>
  <c r="H381" i="19"/>
  <c r="G381" i="19"/>
  <c r="H201" i="19"/>
  <c r="G201" i="19"/>
  <c r="H321" i="16"/>
  <c r="G321" i="16"/>
  <c r="I366" i="16"/>
  <c r="AG366" i="16" s="1"/>
  <c r="S366" i="16"/>
  <c r="J66" i="16"/>
  <c r="AH66" i="16" s="1"/>
  <c r="T66" i="16"/>
  <c r="J243" i="16"/>
  <c r="AH243" i="16" s="1"/>
  <c r="T243" i="16"/>
  <c r="I213" i="16"/>
  <c r="S213" i="16"/>
  <c r="I6" i="16"/>
  <c r="AG6" i="16" s="1"/>
  <c r="S6" i="16"/>
  <c r="T289" i="16"/>
  <c r="J289" i="16"/>
  <c r="AH289" i="16" s="1"/>
  <c r="J314" i="16"/>
  <c r="AH314" i="16" s="1"/>
  <c r="T314" i="16"/>
  <c r="I291" i="16"/>
  <c r="AG291" i="16" s="1"/>
  <c r="S291" i="16"/>
  <c r="T349" i="16"/>
  <c r="J349" i="16"/>
  <c r="AH349" i="16" s="1"/>
  <c r="S253" i="16"/>
  <c r="I253" i="16"/>
  <c r="I246" i="16"/>
  <c r="S246" i="16"/>
  <c r="I74" i="16"/>
  <c r="AG74" i="16" s="1"/>
  <c r="S74" i="16"/>
  <c r="T224" i="16"/>
  <c r="J224" i="16"/>
  <c r="AH224" i="16" s="1"/>
  <c r="T184" i="16"/>
  <c r="J184" i="16"/>
  <c r="AH184" i="16" s="1"/>
  <c r="T153" i="16"/>
  <c r="J153" i="16"/>
  <c r="AH153" i="16" s="1"/>
  <c r="I70" i="16"/>
  <c r="AG70" i="16" s="1"/>
  <c r="S70" i="16"/>
  <c r="T49" i="16"/>
  <c r="J49" i="16"/>
  <c r="AH49" i="16" s="1"/>
  <c r="T40" i="16"/>
  <c r="J40" i="16"/>
  <c r="AH40" i="16" s="1"/>
  <c r="J499" i="16"/>
  <c r="AH499" i="16" s="1"/>
  <c r="T499" i="16"/>
  <c r="I156" i="16"/>
  <c r="AG156" i="16" s="1"/>
  <c r="S156" i="16"/>
  <c r="I229" i="16"/>
  <c r="AG229" i="16" s="1"/>
  <c r="S229" i="16"/>
  <c r="T336" i="16"/>
  <c r="J336" i="16"/>
  <c r="AH336" i="16" s="1"/>
  <c r="I254" i="16"/>
  <c r="S254" i="16"/>
  <c r="T185" i="16"/>
  <c r="J185" i="16"/>
  <c r="AH185" i="16" s="1"/>
  <c r="G202" i="16"/>
  <c r="H202" i="16"/>
  <c r="J39" i="16"/>
  <c r="AH39" i="16" s="1"/>
  <c r="T39" i="16"/>
  <c r="T44" i="16"/>
  <c r="J44" i="16"/>
  <c r="AH44" i="16" s="1"/>
  <c r="J455" i="16"/>
  <c r="AH455" i="16" s="1"/>
  <c r="T455" i="16"/>
  <c r="I244" i="16"/>
  <c r="S244" i="16"/>
  <c r="S9" i="16"/>
  <c r="I9" i="16"/>
  <c r="AG9" i="16" s="1"/>
  <c r="I19" i="16"/>
  <c r="AG19" i="16" s="1"/>
  <c r="S19" i="16"/>
  <c r="J395" i="16"/>
  <c r="AH395" i="16" s="1"/>
  <c r="T395" i="16"/>
  <c r="I284" i="16"/>
  <c r="S284" i="16"/>
  <c r="S453" i="16"/>
  <c r="I453" i="16"/>
  <c r="I142" i="16"/>
  <c r="L142" i="16" s="1"/>
  <c r="AI142" i="16" s="1"/>
  <c r="S142" i="16"/>
  <c r="S273" i="16"/>
  <c r="I273" i="16"/>
  <c r="AG273" i="16" s="1"/>
  <c r="T344" i="16"/>
  <c r="J344" i="16"/>
  <c r="AH344" i="16" s="1"/>
  <c r="J439" i="16"/>
  <c r="AH439" i="16" s="1"/>
  <c r="T439" i="16"/>
  <c r="T364" i="16"/>
  <c r="J364" i="16"/>
  <c r="AH364" i="16" s="1"/>
  <c r="I125" i="16"/>
  <c r="AG125" i="16" s="1"/>
  <c r="S125" i="16"/>
  <c r="T223" i="16"/>
  <c r="J223" i="16"/>
  <c r="AH223" i="16" s="1"/>
  <c r="G463" i="16"/>
  <c r="H463" i="16"/>
  <c r="X73" i="17"/>
  <c r="F73" i="17"/>
  <c r="X403" i="17"/>
  <c r="F403" i="17"/>
  <c r="X73" i="19"/>
  <c r="F73" i="19"/>
  <c r="X13" i="19"/>
  <c r="F13" i="19"/>
  <c r="X403" i="16"/>
  <c r="F403" i="16"/>
  <c r="G343" i="16"/>
  <c r="H343" i="16"/>
  <c r="G290" i="17"/>
  <c r="H290" i="17"/>
  <c r="G50" i="17"/>
  <c r="H50" i="17"/>
  <c r="H290" i="19"/>
  <c r="G290" i="19"/>
  <c r="H140" i="19"/>
  <c r="G140" i="19"/>
  <c r="G350" i="16"/>
  <c r="H350" i="16"/>
  <c r="G80" i="16"/>
  <c r="H80" i="16"/>
  <c r="X260" i="16"/>
  <c r="F260" i="16"/>
  <c r="G406" i="17"/>
  <c r="H406" i="17"/>
  <c r="G346" i="17"/>
  <c r="H346" i="17"/>
  <c r="H436" i="19"/>
  <c r="G436" i="19"/>
  <c r="H406" i="19"/>
  <c r="G406" i="19"/>
  <c r="H441" i="17"/>
  <c r="G441" i="17"/>
  <c r="G201" i="17"/>
  <c r="H201" i="17"/>
  <c r="G21" i="19"/>
  <c r="H21" i="19"/>
  <c r="G351" i="19"/>
  <c r="H351" i="19"/>
  <c r="X320" i="16"/>
  <c r="F320" i="16"/>
  <c r="X171" i="16"/>
  <c r="F171" i="16"/>
  <c r="J366" i="16"/>
  <c r="AH366" i="16" s="1"/>
  <c r="T366" i="16"/>
  <c r="I66" i="16"/>
  <c r="AG66" i="16" s="1"/>
  <c r="S66" i="16"/>
  <c r="I243" i="16"/>
  <c r="AG243" i="16" s="1"/>
  <c r="S243" i="16"/>
  <c r="J213" i="16"/>
  <c r="AH213" i="16" s="1"/>
  <c r="T213" i="16"/>
  <c r="J6" i="16"/>
  <c r="AH6" i="16" s="1"/>
  <c r="T6" i="16"/>
  <c r="S289" i="16"/>
  <c r="I289" i="16"/>
  <c r="I314" i="16"/>
  <c r="AG314" i="16" s="1"/>
  <c r="S314" i="16"/>
  <c r="J291" i="16"/>
  <c r="AH291" i="16" s="1"/>
  <c r="T291" i="16"/>
  <c r="I349" i="16"/>
  <c r="S349" i="16"/>
  <c r="T253" i="16"/>
  <c r="J253" i="16"/>
  <c r="AH253" i="16" s="1"/>
  <c r="J246" i="16"/>
  <c r="AH246" i="16" s="1"/>
  <c r="T246" i="16"/>
  <c r="J74" i="16"/>
  <c r="AH74" i="16" s="1"/>
  <c r="T74" i="16"/>
  <c r="S224" i="16"/>
  <c r="I224" i="16"/>
  <c r="S184" i="16"/>
  <c r="I184" i="16"/>
  <c r="AG184" i="16" s="1"/>
  <c r="S153" i="16"/>
  <c r="I153" i="16"/>
  <c r="J70" i="16"/>
  <c r="AH70" i="16" s="1"/>
  <c r="T70" i="16"/>
  <c r="S49" i="16"/>
  <c r="I49" i="16"/>
  <c r="AG49" i="16" s="1"/>
  <c r="I40" i="16"/>
  <c r="AG40" i="16" s="1"/>
  <c r="S40" i="16"/>
  <c r="I499" i="16"/>
  <c r="AG499" i="16" s="1"/>
  <c r="S499" i="16"/>
  <c r="J156" i="16"/>
  <c r="AH156" i="16" s="1"/>
  <c r="T156" i="16"/>
  <c r="J229" i="16"/>
  <c r="AH229" i="16" s="1"/>
  <c r="T229" i="16"/>
  <c r="S336" i="16"/>
  <c r="I336" i="16"/>
  <c r="AG336" i="16" s="1"/>
  <c r="J254" i="16"/>
  <c r="AH254" i="16" s="1"/>
  <c r="T254" i="16"/>
  <c r="S185" i="16"/>
  <c r="I185" i="16"/>
  <c r="AG185" i="16" s="1"/>
  <c r="I39" i="16"/>
  <c r="AG39" i="16" s="1"/>
  <c r="S39" i="16"/>
  <c r="I44" i="16"/>
  <c r="S44" i="16"/>
  <c r="I455" i="16"/>
  <c r="S455" i="16"/>
  <c r="J244" i="16"/>
  <c r="AH244" i="16" s="1"/>
  <c r="T244" i="16"/>
  <c r="T9" i="16"/>
  <c r="J9" i="16"/>
  <c r="AH9" i="16" s="1"/>
  <c r="J19" i="16"/>
  <c r="AH19" i="16" s="1"/>
  <c r="T19" i="16"/>
  <c r="I395" i="16"/>
  <c r="L395" i="16" s="1"/>
  <c r="AI395" i="16" s="1"/>
  <c r="S395" i="16"/>
  <c r="J284" i="16"/>
  <c r="AH284" i="16" s="1"/>
  <c r="T284" i="16"/>
  <c r="T453" i="16"/>
  <c r="J453" i="16"/>
  <c r="AH453" i="16" s="1"/>
  <c r="J142" i="16"/>
  <c r="AH142" i="16" s="1"/>
  <c r="T142" i="16"/>
  <c r="T273" i="16"/>
  <c r="J273" i="16"/>
  <c r="AH273" i="16" s="1"/>
  <c r="I344" i="16"/>
  <c r="S344" i="16"/>
  <c r="S439" i="16"/>
  <c r="I439" i="16"/>
  <c r="AG439" i="16" s="1"/>
  <c r="S364" i="16"/>
  <c r="I364" i="16"/>
  <c r="L364" i="16" s="1"/>
  <c r="AI364" i="16" s="1"/>
  <c r="J125" i="16"/>
  <c r="AH125" i="16" s="1"/>
  <c r="T125" i="16"/>
  <c r="X256" i="16"/>
  <c r="F256" i="16"/>
  <c r="H133" i="16"/>
  <c r="G133" i="16"/>
  <c r="X493" i="17"/>
  <c r="F493" i="17"/>
  <c r="X463" i="17"/>
  <c r="F463" i="17"/>
  <c r="X103" i="19"/>
  <c r="F103" i="19"/>
  <c r="X43" i="19"/>
  <c r="F43" i="19"/>
  <c r="X433" i="16"/>
  <c r="F433" i="16"/>
  <c r="G16" i="16"/>
  <c r="H16" i="16"/>
  <c r="G500" i="17"/>
  <c r="H500" i="17"/>
  <c r="G260" i="17"/>
  <c r="H260" i="17"/>
  <c r="G20" i="17"/>
  <c r="H20" i="17"/>
  <c r="G320" i="19"/>
  <c r="H320" i="19"/>
  <c r="H50" i="19"/>
  <c r="G50" i="19"/>
  <c r="H316" i="16"/>
  <c r="G316" i="16"/>
  <c r="G256" i="17"/>
  <c r="H256" i="17"/>
  <c r="H76" i="17"/>
  <c r="G76" i="17"/>
  <c r="H346" i="19"/>
  <c r="G346" i="19"/>
  <c r="H196" i="19"/>
  <c r="G196" i="19"/>
  <c r="G411" i="17"/>
  <c r="H411" i="17"/>
  <c r="H171" i="17"/>
  <c r="G171" i="17"/>
  <c r="H171" i="19"/>
  <c r="G171" i="19"/>
  <c r="H261" i="19"/>
  <c r="G261" i="19"/>
  <c r="X381" i="16"/>
  <c r="F381" i="16"/>
  <c r="T33" i="16"/>
  <c r="J33" i="16"/>
  <c r="AH33" i="16" s="1"/>
  <c r="T186" i="16"/>
  <c r="J186" i="16"/>
  <c r="AH186" i="16" s="1"/>
  <c r="T363" i="16"/>
  <c r="J363" i="16"/>
  <c r="AH363" i="16" s="1"/>
  <c r="T469" i="16"/>
  <c r="J469" i="16"/>
  <c r="AH469" i="16" s="1"/>
  <c r="I486" i="16"/>
  <c r="AG486" i="16" s="1"/>
  <c r="S486" i="16"/>
  <c r="J10" i="16"/>
  <c r="AH10" i="16" s="1"/>
  <c r="T10" i="16"/>
  <c r="J370" i="16"/>
  <c r="AH370" i="16" s="1"/>
  <c r="T370" i="16"/>
  <c r="I140" i="16"/>
  <c r="AG140" i="16" s="1"/>
  <c r="S140" i="16"/>
  <c r="T73" i="16"/>
  <c r="J73" i="16"/>
  <c r="AH73" i="16" s="1"/>
  <c r="S471" i="16"/>
  <c r="I471" i="16"/>
  <c r="AG471" i="16" s="1"/>
  <c r="J374" i="16"/>
  <c r="AH374" i="16" s="1"/>
  <c r="T374" i="16"/>
  <c r="T194" i="16"/>
  <c r="J194" i="16"/>
  <c r="AH194" i="16" s="1"/>
  <c r="T96" i="16"/>
  <c r="J96" i="16"/>
  <c r="AH96" i="16" s="1"/>
  <c r="T400" i="16"/>
  <c r="J400" i="16"/>
  <c r="AH400" i="16" s="1"/>
  <c r="I190" i="16"/>
  <c r="AG190" i="16" s="1"/>
  <c r="S190" i="16"/>
  <c r="T249" i="16"/>
  <c r="J249" i="16"/>
  <c r="AH249" i="16" s="1"/>
  <c r="G322" i="16"/>
  <c r="H322" i="16"/>
  <c r="J319" i="16"/>
  <c r="AH319" i="16" s="1"/>
  <c r="T319" i="16"/>
  <c r="I276" i="16"/>
  <c r="AG276" i="16" s="1"/>
  <c r="S276" i="16"/>
  <c r="T365" i="16"/>
  <c r="J365" i="16"/>
  <c r="AH365" i="16" s="1"/>
  <c r="S104" i="16"/>
  <c r="I104" i="16"/>
  <c r="AG104" i="16" s="1"/>
  <c r="T334" i="16"/>
  <c r="J334" i="16"/>
  <c r="AH334" i="16" s="1"/>
  <c r="J34" i="16"/>
  <c r="AH34" i="16" s="1"/>
  <c r="T34" i="16"/>
  <c r="I274" i="16"/>
  <c r="S274" i="16"/>
  <c r="J399" i="16"/>
  <c r="AH399" i="16" s="1"/>
  <c r="T399" i="16"/>
  <c r="I220" i="16"/>
  <c r="AG220" i="16" s="1"/>
  <c r="S220" i="16"/>
  <c r="T232" i="16"/>
  <c r="J232" i="16"/>
  <c r="AH232" i="16" s="1"/>
  <c r="G22" i="16"/>
  <c r="H22" i="16"/>
  <c r="S65" i="16"/>
  <c r="I65" i="16"/>
  <c r="J219" i="16"/>
  <c r="AH219" i="16" s="1"/>
  <c r="T219" i="16"/>
  <c r="T459" i="16"/>
  <c r="J459" i="16"/>
  <c r="AH459" i="16" s="1"/>
  <c r="T464" i="16"/>
  <c r="J464" i="16"/>
  <c r="AH464" i="16" s="1"/>
  <c r="T160" i="16"/>
  <c r="J160" i="16"/>
  <c r="AH160" i="16" s="1"/>
  <c r="I214" i="16"/>
  <c r="AG214" i="16" s="1"/>
  <c r="S214" i="16"/>
  <c r="I409" i="16"/>
  <c r="AG409" i="16" s="1"/>
  <c r="S409" i="16"/>
  <c r="J99" i="16"/>
  <c r="AH99" i="16" s="1"/>
  <c r="T99" i="16"/>
  <c r="T4" i="16"/>
  <c r="J4" i="16"/>
  <c r="AH4" i="16" s="1"/>
  <c r="H412" i="16"/>
  <c r="G412" i="16"/>
  <c r="I333" i="16"/>
  <c r="S333" i="16"/>
  <c r="S292" i="16"/>
  <c r="I292" i="16"/>
  <c r="AG292" i="16" s="1"/>
  <c r="X223" i="17"/>
  <c r="F223" i="17"/>
  <c r="X193" i="17"/>
  <c r="F193" i="17"/>
  <c r="X133" i="19"/>
  <c r="F133" i="19"/>
  <c r="X343" i="19"/>
  <c r="F343" i="19"/>
  <c r="G50" i="16"/>
  <c r="H50" i="16"/>
  <c r="H470" i="17"/>
  <c r="G470" i="17"/>
  <c r="H230" i="17"/>
  <c r="G230" i="17"/>
  <c r="H470" i="19"/>
  <c r="G470" i="19"/>
  <c r="H230" i="19"/>
  <c r="G230" i="19"/>
  <c r="H80" i="19"/>
  <c r="G80" i="19"/>
  <c r="G440" i="16"/>
  <c r="H440" i="16"/>
  <c r="G166" i="17"/>
  <c r="H166" i="17"/>
  <c r="H496" i="17"/>
  <c r="G496" i="17"/>
  <c r="H376" i="19"/>
  <c r="G376" i="19"/>
  <c r="H106" i="19"/>
  <c r="G106" i="19"/>
  <c r="G381" i="17"/>
  <c r="H381" i="17"/>
  <c r="H141" i="17"/>
  <c r="G141" i="17"/>
  <c r="H51" i="19"/>
  <c r="G51" i="19"/>
  <c r="H141" i="19"/>
  <c r="G141" i="19"/>
  <c r="H51" i="16"/>
  <c r="G51" i="16"/>
  <c r="X261" i="16"/>
  <c r="F261" i="16"/>
  <c r="S33" i="16"/>
  <c r="I33" i="16"/>
  <c r="I186" i="16"/>
  <c r="AG186" i="16" s="1"/>
  <c r="S186" i="16"/>
  <c r="I363" i="16"/>
  <c r="S363" i="16"/>
  <c r="S469" i="16"/>
  <c r="I469" i="16"/>
  <c r="J486" i="16"/>
  <c r="AH486" i="16" s="1"/>
  <c r="T486" i="16"/>
  <c r="I10" i="16"/>
  <c r="AG10" i="16" s="1"/>
  <c r="S10" i="16"/>
  <c r="I370" i="16"/>
  <c r="AG370" i="16" s="1"/>
  <c r="S370" i="16"/>
  <c r="J140" i="16"/>
  <c r="AH140" i="16" s="1"/>
  <c r="T140" i="16"/>
  <c r="I73" i="16"/>
  <c r="AG73" i="16" s="1"/>
  <c r="T471" i="16"/>
  <c r="J471" i="16"/>
  <c r="AH471" i="16" s="1"/>
  <c r="I374" i="16"/>
  <c r="S374" i="16"/>
  <c r="I194" i="16"/>
  <c r="AG194" i="16" s="1"/>
  <c r="S194" i="16"/>
  <c r="I96" i="16"/>
  <c r="S96" i="16"/>
  <c r="I400" i="16"/>
  <c r="AG400" i="16" s="1"/>
  <c r="S400" i="16"/>
  <c r="J283" i="16"/>
  <c r="AH283" i="16" s="1"/>
  <c r="T283" i="16"/>
  <c r="J190" i="16"/>
  <c r="AH190" i="16" s="1"/>
  <c r="T190" i="16"/>
  <c r="I249" i="16"/>
  <c r="S249" i="16"/>
  <c r="I319" i="16"/>
  <c r="S319" i="16"/>
  <c r="J276" i="16"/>
  <c r="AH276" i="16" s="1"/>
  <c r="T276" i="16"/>
  <c r="I365" i="16"/>
  <c r="AG365" i="16" s="1"/>
  <c r="S365" i="16"/>
  <c r="T104" i="16"/>
  <c r="J104" i="16"/>
  <c r="AH104" i="16" s="1"/>
  <c r="I334" i="16"/>
  <c r="S334" i="16"/>
  <c r="I34" i="16"/>
  <c r="AG34" i="16" s="1"/>
  <c r="S34" i="16"/>
  <c r="J274" i="16"/>
  <c r="AH274" i="16" s="1"/>
  <c r="T274" i="16"/>
  <c r="I399" i="16"/>
  <c r="S399" i="16"/>
  <c r="J220" i="16"/>
  <c r="AH220" i="16" s="1"/>
  <c r="T220" i="16"/>
  <c r="S232" i="16"/>
  <c r="I232" i="16"/>
  <c r="AG232" i="16" s="1"/>
  <c r="T65" i="16"/>
  <c r="J65" i="16"/>
  <c r="AH65" i="16" s="1"/>
  <c r="I219" i="16"/>
  <c r="L219" i="16" s="1"/>
  <c r="AI219" i="16" s="1"/>
  <c r="S219" i="16"/>
  <c r="I459" i="16"/>
  <c r="AG459" i="16" s="1"/>
  <c r="S459" i="16"/>
  <c r="I464" i="16"/>
  <c r="AG464" i="16" s="1"/>
  <c r="S464" i="16"/>
  <c r="S160" i="16"/>
  <c r="I160" i="16"/>
  <c r="AG160" i="16" s="1"/>
  <c r="J214" i="16"/>
  <c r="AH214" i="16" s="1"/>
  <c r="T214" i="16"/>
  <c r="J409" i="16"/>
  <c r="AH409" i="16" s="1"/>
  <c r="T409" i="16"/>
  <c r="I99" i="16"/>
  <c r="S99" i="16"/>
  <c r="I4" i="16"/>
  <c r="AG4" i="16" s="1"/>
  <c r="S4" i="16"/>
  <c r="J333" i="16"/>
  <c r="AH333" i="16" s="1"/>
  <c r="T333" i="16"/>
  <c r="J292" i="16"/>
  <c r="AH292" i="16" s="1"/>
  <c r="T292" i="16"/>
  <c r="X20" i="16"/>
  <c r="F20" i="16"/>
  <c r="G493" i="16"/>
  <c r="H493" i="16"/>
  <c r="X373" i="17"/>
  <c r="F373" i="17"/>
  <c r="X283" i="17"/>
  <c r="F283" i="17"/>
  <c r="X493" i="19"/>
  <c r="F493" i="19"/>
  <c r="X313" i="19"/>
  <c r="F313" i="19"/>
  <c r="G226" i="16"/>
  <c r="H226" i="16"/>
  <c r="G440" i="17"/>
  <c r="H440" i="17"/>
  <c r="G200" i="17"/>
  <c r="H200" i="17"/>
  <c r="H260" i="19"/>
  <c r="G260" i="19"/>
  <c r="H500" i="19"/>
  <c r="G500" i="19"/>
  <c r="H313" i="16"/>
  <c r="G313" i="16"/>
  <c r="H196" i="17"/>
  <c r="G196" i="17"/>
  <c r="G16" i="17"/>
  <c r="H16" i="17"/>
  <c r="H286" i="19"/>
  <c r="G286" i="19"/>
  <c r="H136" i="19"/>
  <c r="G136" i="19"/>
  <c r="G231" i="16"/>
  <c r="H231" i="16"/>
  <c r="G351" i="17"/>
  <c r="H351" i="17"/>
  <c r="H111" i="17"/>
  <c r="G111" i="17"/>
  <c r="H81" i="19"/>
  <c r="G81" i="19"/>
  <c r="H411" i="19"/>
  <c r="G411" i="19"/>
  <c r="G351" i="16"/>
  <c r="H351" i="16"/>
  <c r="S369" i="16"/>
  <c r="I369" i="16"/>
  <c r="AG369" i="16" s="1"/>
  <c r="I426" i="16"/>
  <c r="S426" i="16"/>
  <c r="J411" i="16"/>
  <c r="AH411" i="16" s="1"/>
  <c r="T411" i="16"/>
  <c r="T199" i="16"/>
  <c r="J199" i="16"/>
  <c r="AH199" i="16" s="1"/>
  <c r="T130" i="16"/>
  <c r="J130" i="16"/>
  <c r="AH130" i="16" s="1"/>
  <c r="I490" i="16"/>
  <c r="AG490" i="16" s="1"/>
  <c r="S490" i="16"/>
  <c r="S500" i="16"/>
  <c r="I500" i="16"/>
  <c r="AG500" i="16" s="1"/>
  <c r="J35" i="16"/>
  <c r="AH35" i="16" s="1"/>
  <c r="T35" i="16"/>
  <c r="T183" i="16"/>
  <c r="J183" i="16"/>
  <c r="AH183" i="16" s="1"/>
  <c r="I430" i="16"/>
  <c r="AG430" i="16" s="1"/>
  <c r="S430" i="16"/>
  <c r="J434" i="16"/>
  <c r="AH434" i="16" s="1"/>
  <c r="T434" i="16"/>
  <c r="T36" i="16"/>
  <c r="J36" i="16"/>
  <c r="AH36" i="16" s="1"/>
  <c r="T429" i="16"/>
  <c r="J429" i="16"/>
  <c r="AH429" i="16" s="1"/>
  <c r="I172" i="16"/>
  <c r="AG172" i="16" s="1"/>
  <c r="S172" i="16"/>
  <c r="J494" i="16"/>
  <c r="AH494" i="16" s="1"/>
  <c r="T494" i="16"/>
  <c r="I393" i="16"/>
  <c r="AG393" i="16" s="1"/>
  <c r="S393" i="16"/>
  <c r="J259" i="16"/>
  <c r="AH259" i="16" s="1"/>
  <c r="T259" i="16"/>
  <c r="T472" i="16"/>
  <c r="J472" i="16"/>
  <c r="AH472" i="16" s="1"/>
  <c r="S340" i="16"/>
  <c r="I340" i="16"/>
  <c r="AG340" i="16" s="1"/>
  <c r="S216" i="16"/>
  <c r="I216" i="16"/>
  <c r="AG216" i="16" s="1"/>
  <c r="T424" i="16"/>
  <c r="J424" i="16"/>
  <c r="AH424" i="16" s="1"/>
  <c r="H382" i="16"/>
  <c r="G382" i="16"/>
  <c r="J82" i="16"/>
  <c r="AH82" i="16" s="1"/>
  <c r="T82" i="16"/>
  <c r="J394" i="16"/>
  <c r="AH394" i="16" s="1"/>
  <c r="T394" i="16"/>
  <c r="S280" i="16"/>
  <c r="I280" i="16"/>
  <c r="AG280" i="16" s="1"/>
  <c r="T404" i="16"/>
  <c r="J404" i="16"/>
  <c r="AH404" i="16" s="1"/>
  <c r="S109" i="16"/>
  <c r="I109" i="16"/>
  <c r="AG109" i="16" s="1"/>
  <c r="I454" i="16"/>
  <c r="S454" i="16"/>
  <c r="T159" i="16"/>
  <c r="J159" i="16"/>
  <c r="AH159" i="16" s="1"/>
  <c r="J275" i="16"/>
  <c r="AH275" i="16" s="1"/>
  <c r="T275" i="16"/>
  <c r="S200" i="16"/>
  <c r="I200" i="16"/>
  <c r="AG200" i="16" s="1"/>
  <c r="I189" i="16"/>
  <c r="S189" i="16"/>
  <c r="T456" i="16"/>
  <c r="J456" i="16"/>
  <c r="AH456" i="16" s="1"/>
  <c r="J262" i="16"/>
  <c r="AH262" i="16" s="1"/>
  <c r="T262" i="16"/>
  <c r="I346" i="16"/>
  <c r="AG346" i="16" s="1"/>
  <c r="S346" i="16"/>
  <c r="J155" i="16"/>
  <c r="AH155" i="16" s="1"/>
  <c r="T155" i="16"/>
  <c r="G52" i="16"/>
  <c r="H52" i="16"/>
  <c r="S484" i="16"/>
  <c r="I484" i="16"/>
  <c r="I406" i="16"/>
  <c r="AG406" i="16" s="1"/>
  <c r="S406" i="16"/>
  <c r="I5" i="16"/>
  <c r="AG5" i="16" s="1"/>
  <c r="S5" i="16"/>
  <c r="G170" i="16"/>
  <c r="H170" i="16"/>
  <c r="H196" i="16"/>
  <c r="G196" i="16"/>
  <c r="X13" i="17"/>
  <c r="F13" i="17"/>
  <c r="X433" i="17"/>
  <c r="F433" i="17"/>
  <c r="X103" i="17"/>
  <c r="F103" i="17"/>
  <c r="X193" i="19"/>
  <c r="F193" i="19"/>
  <c r="X253" i="19"/>
  <c r="F253" i="19"/>
  <c r="H110" i="16"/>
  <c r="G110" i="16"/>
  <c r="H410" i="16"/>
  <c r="G410" i="16"/>
  <c r="G496" i="16"/>
  <c r="H496" i="16"/>
  <c r="X13" i="16"/>
  <c r="F13" i="16"/>
  <c r="G410" i="17"/>
  <c r="H410" i="17"/>
  <c r="G170" i="17"/>
  <c r="H170" i="17"/>
  <c r="H170" i="19"/>
  <c r="G170" i="19"/>
  <c r="G20" i="19"/>
  <c r="H20" i="19"/>
  <c r="H46" i="17"/>
  <c r="G46" i="17"/>
  <c r="G226" i="17"/>
  <c r="H226" i="17"/>
  <c r="H76" i="19"/>
  <c r="G76" i="19"/>
  <c r="H46" i="19"/>
  <c r="G46" i="19"/>
  <c r="G111" i="16"/>
  <c r="H111" i="16"/>
  <c r="G321" i="17"/>
  <c r="H321" i="17"/>
  <c r="G81" i="17"/>
  <c r="H81" i="17"/>
  <c r="H441" i="19"/>
  <c r="G441" i="19"/>
  <c r="H231" i="19"/>
  <c r="G231" i="19"/>
  <c r="G201" i="16"/>
  <c r="H201" i="16"/>
  <c r="J369" i="16"/>
  <c r="AH369" i="16" s="1"/>
  <c r="T369" i="16"/>
  <c r="J426" i="16"/>
  <c r="AH426" i="16" s="1"/>
  <c r="T426" i="16"/>
  <c r="I411" i="16"/>
  <c r="AG411" i="16" s="1"/>
  <c r="S411" i="16"/>
  <c r="I199" i="16"/>
  <c r="S199" i="16"/>
  <c r="I130" i="16"/>
  <c r="AG130" i="16" s="1"/>
  <c r="S130" i="16"/>
  <c r="J490" i="16"/>
  <c r="AH490" i="16" s="1"/>
  <c r="T490" i="16"/>
  <c r="J500" i="16"/>
  <c r="AH500" i="16" s="1"/>
  <c r="T500" i="16"/>
  <c r="I35" i="16"/>
  <c r="S35" i="16"/>
  <c r="I183" i="16"/>
  <c r="AG183" i="16" s="1"/>
  <c r="S183" i="16"/>
  <c r="T430" i="16"/>
  <c r="J430" i="16"/>
  <c r="AH430" i="16" s="1"/>
  <c r="I434" i="16"/>
  <c r="AG434" i="16" s="1"/>
  <c r="S434" i="16"/>
  <c r="I36" i="16"/>
  <c r="S36" i="16"/>
  <c r="I429" i="16"/>
  <c r="S429" i="16"/>
  <c r="J172" i="16"/>
  <c r="AH172" i="16" s="1"/>
  <c r="T172" i="16"/>
  <c r="I494" i="16"/>
  <c r="AG494" i="16" s="1"/>
  <c r="S494" i="16"/>
  <c r="J393" i="16"/>
  <c r="AH393" i="16" s="1"/>
  <c r="T393" i="16"/>
  <c r="I259" i="16"/>
  <c r="AG259" i="16" s="1"/>
  <c r="S259" i="16"/>
  <c r="S472" i="16"/>
  <c r="I472" i="16"/>
  <c r="AG472" i="16" s="1"/>
  <c r="J340" i="16"/>
  <c r="AH340" i="16" s="1"/>
  <c r="T340" i="16"/>
  <c r="T216" i="16"/>
  <c r="J216" i="16"/>
  <c r="AH216" i="16" s="1"/>
  <c r="S424" i="16"/>
  <c r="I424" i="16"/>
  <c r="I82" i="16"/>
  <c r="L82" i="16" s="1"/>
  <c r="AI82" i="16" s="1"/>
  <c r="S82" i="16"/>
  <c r="I394" i="16"/>
  <c r="AG394" i="16" s="1"/>
  <c r="S394" i="16"/>
  <c r="T280" i="16"/>
  <c r="J280" i="16"/>
  <c r="AH280" i="16" s="1"/>
  <c r="S404" i="16"/>
  <c r="I404" i="16"/>
  <c r="L404" i="16" s="1"/>
  <c r="AI404" i="16" s="1"/>
  <c r="J109" i="16"/>
  <c r="AH109" i="16" s="1"/>
  <c r="T109" i="16"/>
  <c r="J454" i="16"/>
  <c r="AH454" i="16" s="1"/>
  <c r="T454" i="16"/>
  <c r="I159" i="16"/>
  <c r="AG159" i="16" s="1"/>
  <c r="S159" i="16"/>
  <c r="I275" i="16"/>
  <c r="L275" i="16" s="1"/>
  <c r="AI275" i="16" s="1"/>
  <c r="S275" i="16"/>
  <c r="T200" i="16"/>
  <c r="J200" i="16"/>
  <c r="AH200" i="16" s="1"/>
  <c r="T189" i="16"/>
  <c r="J189" i="16"/>
  <c r="AH189" i="16" s="1"/>
  <c r="S456" i="16"/>
  <c r="I456" i="16"/>
  <c r="L456" i="16" s="1"/>
  <c r="AI456" i="16" s="1"/>
  <c r="I262" i="16"/>
  <c r="AG262" i="16" s="1"/>
  <c r="S262" i="16"/>
  <c r="J346" i="16"/>
  <c r="AH346" i="16" s="1"/>
  <c r="T346" i="16"/>
  <c r="I155" i="16"/>
  <c r="AG155" i="16" s="1"/>
  <c r="S155" i="16"/>
  <c r="T484" i="16"/>
  <c r="J484" i="16"/>
  <c r="AH484" i="16" s="1"/>
  <c r="J406" i="16"/>
  <c r="AH406" i="16" s="1"/>
  <c r="T406" i="16"/>
  <c r="J5" i="16"/>
  <c r="AH5" i="16" s="1"/>
  <c r="T5" i="16"/>
  <c r="H3" i="9"/>
  <c r="G3" i="9"/>
  <c r="X363" i="9"/>
  <c r="X426" i="9"/>
  <c r="X307" i="9"/>
  <c r="M384" i="9"/>
  <c r="M172" i="9"/>
  <c r="X14" i="9"/>
  <c r="X512" i="9"/>
  <c r="AB512" i="9" s="1"/>
  <c r="X320" i="9"/>
  <c r="X273" i="9"/>
  <c r="X166" i="9"/>
  <c r="M382" i="9"/>
  <c r="X231" i="9"/>
  <c r="X504" i="9"/>
  <c r="X315" i="9"/>
  <c r="X262" i="9"/>
  <c r="X292" i="9"/>
  <c r="X200" i="9"/>
  <c r="X50" i="9"/>
  <c r="M82" i="9"/>
  <c r="X284" i="9"/>
  <c r="X499" i="9"/>
  <c r="X15" i="9"/>
  <c r="X194" i="9"/>
  <c r="X410" i="9"/>
  <c r="M282" i="9"/>
  <c r="X261" i="9"/>
  <c r="X49" i="9"/>
  <c r="X456" i="9"/>
  <c r="X220" i="9"/>
  <c r="X124" i="9"/>
  <c r="X435" i="9"/>
  <c r="X110" i="9"/>
  <c r="M48" i="9"/>
  <c r="X99" i="9"/>
  <c r="X485" i="9"/>
  <c r="X186" i="9"/>
  <c r="X393" i="9"/>
  <c r="X141" i="9"/>
  <c r="X74" i="9"/>
  <c r="X507" i="9"/>
  <c r="AB507" i="9" s="1"/>
  <c r="X366" i="9"/>
  <c r="X379" i="9"/>
  <c r="X65" i="9"/>
  <c r="X20" i="9"/>
  <c r="X502" i="9"/>
  <c r="M414" i="9"/>
  <c r="X201" i="9"/>
  <c r="M161" i="9"/>
  <c r="X105" i="9"/>
  <c r="M352" i="9"/>
  <c r="X171" i="9"/>
  <c r="X495" i="9"/>
  <c r="M308" i="9"/>
  <c r="M322" i="9"/>
  <c r="X280" i="9"/>
  <c r="X136" i="9"/>
  <c r="M52" i="9"/>
  <c r="X430" i="9"/>
  <c r="X170" i="9"/>
  <c r="X439" i="9"/>
  <c r="X405" i="9"/>
  <c r="X489" i="9"/>
  <c r="X471" i="9"/>
  <c r="M204" i="9"/>
  <c r="X46" i="9"/>
  <c r="X309" i="9"/>
  <c r="M142" i="9"/>
  <c r="X245" i="9"/>
  <c r="X75" i="9"/>
  <c r="X396" i="9"/>
  <c r="M472" i="9"/>
  <c r="X80" i="9"/>
  <c r="X380" i="9"/>
  <c r="X226" i="9"/>
  <c r="X279" i="9"/>
  <c r="X314" i="9"/>
  <c r="X429" i="9"/>
  <c r="X156" i="9"/>
  <c r="X100" i="9"/>
  <c r="X51" i="9"/>
  <c r="X409" i="9"/>
  <c r="X35" i="9"/>
  <c r="X483" i="9"/>
  <c r="X303" i="9"/>
  <c r="X253" i="9"/>
  <c r="X94" i="9"/>
  <c r="X21" i="9"/>
  <c r="X111" i="9"/>
  <c r="X465" i="9"/>
  <c r="X509" i="9"/>
  <c r="AB509" i="9" s="1"/>
  <c r="X401" i="9"/>
  <c r="X275" i="9"/>
  <c r="X224" i="9"/>
  <c r="X130" i="9"/>
  <c r="X469" i="9"/>
  <c r="X508" i="9"/>
  <c r="AB508" i="9" s="1"/>
  <c r="X154" i="9"/>
  <c r="X487" i="9"/>
  <c r="X434" i="9"/>
  <c r="X395" i="9"/>
  <c r="X505" i="9"/>
  <c r="AB505" i="9" s="1"/>
  <c r="X404" i="9"/>
  <c r="X190" i="9"/>
  <c r="X134" i="9"/>
  <c r="M67" i="9"/>
  <c r="X335" i="9"/>
  <c r="M112" i="9"/>
  <c r="X337" i="9"/>
  <c r="X125" i="9"/>
  <c r="X140" i="9"/>
  <c r="X43" i="9"/>
  <c r="X9" i="9"/>
  <c r="X19" i="9"/>
  <c r="X163" i="9"/>
  <c r="X333" i="9"/>
  <c r="X16" i="9"/>
  <c r="X510" i="9"/>
  <c r="AB510" i="9" s="1"/>
  <c r="X285" i="9"/>
  <c r="X160" i="9"/>
  <c r="X64" i="9"/>
  <c r="X10" i="9"/>
  <c r="X106" i="9"/>
  <c r="X506" i="9"/>
  <c r="AB506" i="9" s="1"/>
  <c r="X321" i="9"/>
  <c r="X403" i="9"/>
  <c r="M202" i="9"/>
  <c r="X76" i="9"/>
  <c r="M372" i="9"/>
  <c r="X511" i="9"/>
  <c r="AB511" i="9" s="1"/>
  <c r="X453" i="9"/>
  <c r="X230" i="9"/>
  <c r="X70" i="9"/>
  <c r="X411" i="9"/>
  <c r="X183" i="9"/>
  <c r="M442" i="9"/>
  <c r="X104" i="9"/>
  <c r="X371" i="9"/>
  <c r="X319" i="9"/>
  <c r="X375" i="9"/>
  <c r="X369" i="9"/>
  <c r="X433" i="9"/>
  <c r="X6" i="9"/>
  <c r="X249" i="9"/>
  <c r="AB40" i="19"/>
  <c r="AB310" i="17"/>
  <c r="AB40" i="17"/>
  <c r="W84" i="16"/>
  <c r="AB310" i="19"/>
  <c r="W294" i="16"/>
  <c r="L354" i="16"/>
  <c r="AI354" i="16" s="1"/>
  <c r="W18" i="16"/>
  <c r="W128" i="16"/>
  <c r="AB10" i="19"/>
  <c r="W203" i="16"/>
  <c r="X463" i="9"/>
  <c r="W413" i="16"/>
  <c r="AB460" i="17"/>
  <c r="X161" i="9"/>
  <c r="AB161" i="9" s="1"/>
  <c r="E342" i="16"/>
  <c r="AB400" i="19"/>
  <c r="AB250" i="17"/>
  <c r="AB10" i="17"/>
  <c r="X424" i="9"/>
  <c r="AB430" i="19"/>
  <c r="M168" i="9"/>
  <c r="X168" i="9"/>
  <c r="E228" i="9"/>
  <c r="E18" i="9"/>
  <c r="M18" i="9" s="1"/>
  <c r="E468" i="9"/>
  <c r="M468" i="9" s="1"/>
  <c r="E198" i="9"/>
  <c r="E138" i="9"/>
  <c r="E348" i="9"/>
  <c r="E258" i="9"/>
  <c r="E288" i="9"/>
  <c r="M288" i="9" s="1"/>
  <c r="AB460" i="19"/>
  <c r="L218" i="16"/>
  <c r="AI218" i="16" s="1"/>
  <c r="E498" i="9"/>
  <c r="E108" i="9"/>
  <c r="E408" i="9"/>
  <c r="M408" i="9" s="1"/>
  <c r="E78" i="9"/>
  <c r="X78" i="9" s="1"/>
  <c r="AB220" i="17"/>
  <c r="X172" i="9"/>
  <c r="E378" i="9"/>
  <c r="X378" i="9" s="1"/>
  <c r="W204" i="16"/>
  <c r="W408" i="16"/>
  <c r="E318" i="9"/>
  <c r="M318" i="9" s="1"/>
  <c r="E438" i="9"/>
  <c r="X438" i="9" s="1"/>
  <c r="AB220" i="19"/>
  <c r="M431" i="16"/>
  <c r="AJ431" i="16" s="1"/>
  <c r="AK431" i="16" s="1"/>
  <c r="AL431" i="16" s="1"/>
  <c r="X431" i="16"/>
  <c r="AB431" i="16" s="1"/>
  <c r="W407" i="16"/>
  <c r="W353" i="16"/>
  <c r="W377" i="16"/>
  <c r="Y473" i="16"/>
  <c r="AA473" i="16" s="1"/>
  <c r="W438" i="16"/>
  <c r="W234" i="16"/>
  <c r="Y383" i="16"/>
  <c r="AA383" i="16" s="1"/>
  <c r="W282" i="16"/>
  <c r="L203" i="16"/>
  <c r="AI203" i="16" s="1"/>
  <c r="W252" i="16"/>
  <c r="W293" i="16"/>
  <c r="W503" i="16"/>
  <c r="W263" i="16"/>
  <c r="W444" i="16"/>
  <c r="Y23" i="16"/>
  <c r="AA23" i="16" s="1"/>
  <c r="W474" i="16"/>
  <c r="W144" i="16"/>
  <c r="W348" i="16"/>
  <c r="W8" i="16"/>
  <c r="W233" i="16"/>
  <c r="W324" i="16"/>
  <c r="L108" i="16"/>
  <c r="AI108" i="16" s="1"/>
  <c r="W488" i="16"/>
  <c r="W78" i="16"/>
  <c r="Y414" i="16"/>
  <c r="AA414" i="16" s="1"/>
  <c r="W162" i="16"/>
  <c r="Y113" i="16"/>
  <c r="AA113" i="16" s="1"/>
  <c r="L504" i="16"/>
  <c r="AI504" i="16" s="1"/>
  <c r="W143" i="16"/>
  <c r="W83" i="16"/>
  <c r="W68" i="16"/>
  <c r="W288" i="16"/>
  <c r="W54" i="16"/>
  <c r="W354" i="16"/>
  <c r="Y342" i="16"/>
  <c r="AA342" i="16" s="1"/>
  <c r="W72" i="16"/>
  <c r="L398" i="16"/>
  <c r="AI398" i="16" s="1"/>
  <c r="W378" i="16"/>
  <c r="W222" i="16"/>
  <c r="L278" i="16"/>
  <c r="AI278" i="16" s="1"/>
  <c r="W428" i="16"/>
  <c r="W443" i="16"/>
  <c r="W264" i="16"/>
  <c r="L54" i="16"/>
  <c r="AI54" i="16" s="1"/>
  <c r="AB340" i="17"/>
  <c r="AB100" i="17"/>
  <c r="AB490" i="19"/>
  <c r="AB100" i="19"/>
  <c r="O9" i="9"/>
  <c r="U9" i="9" s="1"/>
  <c r="O26" i="25"/>
  <c r="U26" i="25" s="1"/>
  <c r="Z26" i="25" s="1"/>
  <c r="O18" i="25"/>
  <c r="O30" i="25"/>
  <c r="U30" i="25" s="1"/>
  <c r="Z30" i="25" s="1"/>
  <c r="O22" i="25"/>
  <c r="U22" i="25" s="1"/>
  <c r="Z22" i="25" s="1"/>
  <c r="O11" i="25"/>
  <c r="O12" i="25"/>
  <c r="O32" i="25"/>
  <c r="U32" i="25" s="1"/>
  <c r="Z32" i="25" s="1"/>
  <c r="O27" i="25"/>
  <c r="U27" i="25" s="1"/>
  <c r="Z27" i="25" s="1"/>
  <c r="O7" i="25"/>
  <c r="O17" i="25"/>
  <c r="O20" i="25"/>
  <c r="U20" i="25" s="1"/>
  <c r="Z20" i="25" s="1"/>
  <c r="O16" i="25"/>
  <c r="U16" i="25" s="1"/>
  <c r="Z16" i="25" s="1"/>
  <c r="O13" i="25"/>
  <c r="U13" i="25" s="1"/>
  <c r="O8" i="25"/>
  <c r="O21" i="25"/>
  <c r="U21" i="25" s="1"/>
  <c r="Z21" i="25" s="1"/>
  <c r="O15" i="25"/>
  <c r="U15" i="25" s="1"/>
  <c r="O4" i="25"/>
  <c r="U4" i="25" s="1"/>
  <c r="Z4" i="25" s="1"/>
  <c r="O31" i="25"/>
  <c r="U31" i="25" s="1"/>
  <c r="Z31" i="25" s="1"/>
  <c r="O24" i="25"/>
  <c r="O5" i="25"/>
  <c r="U5" i="25" s="1"/>
  <c r="Z5" i="25" s="1"/>
  <c r="O29" i="25"/>
  <c r="U29" i="25" s="1"/>
  <c r="Z29" i="25" s="1"/>
  <c r="O14" i="25"/>
  <c r="U14" i="25" s="1"/>
  <c r="Z14" i="25" s="1"/>
  <c r="O6" i="25"/>
  <c r="U6" i="25" s="1"/>
  <c r="Z6" i="25" s="1"/>
  <c r="O28" i="25"/>
  <c r="U28" i="25" s="1"/>
  <c r="Z28" i="25" s="1"/>
  <c r="O25" i="25"/>
  <c r="U25" i="25" s="1"/>
  <c r="Z25" i="25" s="1"/>
  <c r="O23" i="25"/>
  <c r="O19" i="25"/>
  <c r="U19" i="25" s="1"/>
  <c r="Z19" i="25" s="1"/>
  <c r="O3" i="25"/>
  <c r="U3" i="25" s="1"/>
  <c r="O10" i="25"/>
  <c r="U10" i="25" s="1"/>
  <c r="Z10" i="25" s="1"/>
  <c r="O9" i="25"/>
  <c r="U9" i="25" s="1"/>
  <c r="Z9" i="25" s="1"/>
  <c r="X163" i="16"/>
  <c r="E312" i="9"/>
  <c r="X432" i="17"/>
  <c r="AB432" i="17" s="1"/>
  <c r="X102" i="17"/>
  <c r="E252" i="19"/>
  <c r="M252" i="19" s="1"/>
  <c r="E492" i="19"/>
  <c r="M492" i="19" s="1"/>
  <c r="E312" i="16"/>
  <c r="X312" i="16" s="1"/>
  <c r="E487" i="25"/>
  <c r="E457" i="25"/>
  <c r="E367" i="25"/>
  <c r="E307" i="25"/>
  <c r="E247" i="25"/>
  <c r="E217" i="25"/>
  <c r="E157" i="25"/>
  <c r="E97" i="25"/>
  <c r="E67" i="25"/>
  <c r="E37" i="25"/>
  <c r="E277" i="25"/>
  <c r="E397" i="25"/>
  <c r="E127" i="25"/>
  <c r="E7" i="25"/>
  <c r="E187" i="25"/>
  <c r="E337" i="25"/>
  <c r="E427" i="25"/>
  <c r="X291" i="9"/>
  <c r="X12" i="19"/>
  <c r="AB12" i="19" s="1"/>
  <c r="E12" i="9"/>
  <c r="E42" i="9"/>
  <c r="E252" i="9"/>
  <c r="E462" i="9"/>
  <c r="X222" i="17"/>
  <c r="X402" i="17"/>
  <c r="X342" i="17"/>
  <c r="E192" i="19"/>
  <c r="M192" i="19" s="1"/>
  <c r="E407" i="25"/>
  <c r="E347" i="25"/>
  <c r="E467" i="25"/>
  <c r="E257" i="25"/>
  <c r="E227" i="25"/>
  <c r="E492" i="25"/>
  <c r="E402" i="25"/>
  <c r="E342" i="25"/>
  <c r="E312" i="25"/>
  <c r="E282" i="25"/>
  <c r="E252" i="25"/>
  <c r="E102" i="25"/>
  <c r="E72" i="25"/>
  <c r="E222" i="25"/>
  <c r="E192" i="25"/>
  <c r="E372" i="25"/>
  <c r="E42" i="25"/>
  <c r="E162" i="25"/>
  <c r="E462" i="25"/>
  <c r="E132" i="25"/>
  <c r="E432" i="25"/>
  <c r="E12" i="25"/>
  <c r="X215" i="9"/>
  <c r="E102" i="9"/>
  <c r="L258" i="16"/>
  <c r="AI258" i="16" s="1"/>
  <c r="E402" i="16"/>
  <c r="X402" i="16" s="1"/>
  <c r="X12" i="17"/>
  <c r="X42" i="17"/>
  <c r="E342" i="19"/>
  <c r="M342" i="19" s="1"/>
  <c r="E102" i="19"/>
  <c r="E432" i="19"/>
  <c r="M432" i="19" s="1"/>
  <c r="E252" i="16"/>
  <c r="X252" i="16" s="1"/>
  <c r="AB70" i="17"/>
  <c r="E468" i="25"/>
  <c r="E438" i="25"/>
  <c r="E378" i="25"/>
  <c r="E258" i="25"/>
  <c r="E228" i="25"/>
  <c r="E198" i="25"/>
  <c r="E108" i="25"/>
  <c r="E78" i="25"/>
  <c r="E408" i="25"/>
  <c r="E288" i="25"/>
  <c r="E48" i="25"/>
  <c r="E138" i="25"/>
  <c r="E18" i="25"/>
  <c r="E168" i="25"/>
  <c r="E348" i="25"/>
  <c r="E318" i="25"/>
  <c r="E498" i="25"/>
  <c r="O60" i="25"/>
  <c r="U60" i="25" s="1"/>
  <c r="Z60" i="25" s="1"/>
  <c r="O52" i="25"/>
  <c r="U52" i="25" s="1"/>
  <c r="Z52" i="25" s="1"/>
  <c r="O44" i="25"/>
  <c r="U44" i="25" s="1"/>
  <c r="Z44" i="25" s="1"/>
  <c r="O59" i="25"/>
  <c r="U59" i="25" s="1"/>
  <c r="Z59" i="25" s="1"/>
  <c r="O51" i="25"/>
  <c r="U51" i="25" s="1"/>
  <c r="Z51" i="25" s="1"/>
  <c r="O50" i="25"/>
  <c r="U50" i="25" s="1"/>
  <c r="Z50" i="25" s="1"/>
  <c r="O42" i="25"/>
  <c r="O34" i="25"/>
  <c r="U34" i="25" s="1"/>
  <c r="Z34" i="25" s="1"/>
  <c r="O49" i="25"/>
  <c r="U49" i="25" s="1"/>
  <c r="Z49" i="25" s="1"/>
  <c r="O41" i="25"/>
  <c r="O33" i="25"/>
  <c r="U33" i="25" s="1"/>
  <c r="O61" i="25"/>
  <c r="U61" i="25" s="1"/>
  <c r="Z61" i="25" s="1"/>
  <c r="O56" i="25"/>
  <c r="U56" i="25" s="1"/>
  <c r="Z56" i="25" s="1"/>
  <c r="O48" i="25"/>
  <c r="O62" i="25"/>
  <c r="U62" i="25" s="1"/>
  <c r="Z62" i="25" s="1"/>
  <c r="O57" i="25"/>
  <c r="U57" i="25" s="1"/>
  <c r="Z57" i="25" s="1"/>
  <c r="O55" i="25"/>
  <c r="U55" i="25" s="1"/>
  <c r="Z55" i="25" s="1"/>
  <c r="O54" i="25"/>
  <c r="O46" i="25"/>
  <c r="U46" i="25" s="1"/>
  <c r="Z46" i="25" s="1"/>
  <c r="O38" i="25"/>
  <c r="O37" i="25"/>
  <c r="O43" i="25"/>
  <c r="U43" i="25" s="1"/>
  <c r="O36" i="25"/>
  <c r="U36" i="25" s="1"/>
  <c r="Z36" i="25" s="1"/>
  <c r="O58" i="25"/>
  <c r="U58" i="25" s="1"/>
  <c r="Z58" i="25" s="1"/>
  <c r="O47" i="25"/>
  <c r="O40" i="25"/>
  <c r="U40" i="25" s="1"/>
  <c r="Z40" i="25" s="1"/>
  <c r="O53" i="25"/>
  <c r="O45" i="25"/>
  <c r="U45" i="25" s="1"/>
  <c r="O35" i="25"/>
  <c r="U35" i="25" s="1"/>
  <c r="Z35" i="25" s="1"/>
  <c r="O39" i="25"/>
  <c r="U39" i="25" s="1"/>
  <c r="Z39" i="25" s="1"/>
  <c r="E72" i="9"/>
  <c r="E42" i="16"/>
  <c r="X42" i="16" s="1"/>
  <c r="X282" i="17"/>
  <c r="X72" i="17"/>
  <c r="E132" i="19"/>
  <c r="E372" i="19"/>
  <c r="M372" i="19" s="1"/>
  <c r="E282" i="16"/>
  <c r="X282" i="16" s="1"/>
  <c r="E132" i="16"/>
  <c r="X132" i="16" s="1"/>
  <c r="E492" i="16"/>
  <c r="X492" i="16" s="1"/>
  <c r="AB280" i="17"/>
  <c r="E294" i="9"/>
  <c r="E474" i="25"/>
  <c r="E504" i="25"/>
  <c r="E444" i="25"/>
  <c r="E414" i="25"/>
  <c r="E354" i="25"/>
  <c r="E324" i="25"/>
  <c r="E174" i="25"/>
  <c r="E144" i="25"/>
  <c r="E54" i="25"/>
  <c r="E204" i="25"/>
  <c r="E264" i="25"/>
  <c r="E294" i="25"/>
  <c r="E384" i="25"/>
  <c r="E84" i="25"/>
  <c r="E24" i="25"/>
  <c r="E114" i="25"/>
  <c r="E234" i="25"/>
  <c r="X193" i="16"/>
  <c r="E342" i="9"/>
  <c r="X342" i="9" s="1"/>
  <c r="X132" i="17"/>
  <c r="AB132" i="17" s="1"/>
  <c r="X462" i="17"/>
  <c r="E42" i="19"/>
  <c r="X42" i="19" s="1"/>
  <c r="E282" i="19"/>
  <c r="M282" i="19" s="1"/>
  <c r="E72" i="16"/>
  <c r="X72" i="16" s="1"/>
  <c r="E173" i="9"/>
  <c r="E503" i="25"/>
  <c r="E443" i="25"/>
  <c r="E383" i="25"/>
  <c r="E293" i="25"/>
  <c r="E323" i="25"/>
  <c r="E203" i="25"/>
  <c r="E233" i="25"/>
  <c r="E263" i="25"/>
  <c r="E173" i="25"/>
  <c r="E53" i="25"/>
  <c r="E83" i="25"/>
  <c r="E143" i="25"/>
  <c r="E353" i="25"/>
  <c r="E413" i="25"/>
  <c r="E23" i="25"/>
  <c r="E473" i="25"/>
  <c r="E113" i="25"/>
  <c r="E132" i="9"/>
  <c r="E162" i="9"/>
  <c r="E492" i="9"/>
  <c r="E192" i="16"/>
  <c r="X192" i="16" s="1"/>
  <c r="E462" i="16"/>
  <c r="X462" i="16" s="1"/>
  <c r="X372" i="17"/>
  <c r="X192" i="17"/>
  <c r="E72" i="19"/>
  <c r="M72" i="19" s="1"/>
  <c r="E312" i="19"/>
  <c r="M312" i="19" s="1"/>
  <c r="E428" i="9"/>
  <c r="E458" i="25"/>
  <c r="E428" i="25"/>
  <c r="E308" i="25"/>
  <c r="E338" i="25"/>
  <c r="E128" i="25"/>
  <c r="E98" i="25"/>
  <c r="E38" i="25"/>
  <c r="E158" i="25"/>
  <c r="E278" i="25"/>
  <c r="E488" i="25"/>
  <c r="E188" i="25"/>
  <c r="E368" i="25"/>
  <c r="E398" i="25"/>
  <c r="E218" i="25"/>
  <c r="E248" i="25"/>
  <c r="E8" i="25"/>
  <c r="E68" i="25"/>
  <c r="E402" i="9"/>
  <c r="E222" i="9"/>
  <c r="M222" i="9" s="1"/>
  <c r="E192" i="9"/>
  <c r="E432" i="9"/>
  <c r="E102" i="16"/>
  <c r="X102" i="16" s="1"/>
  <c r="X312" i="17"/>
  <c r="X252" i="17"/>
  <c r="E462" i="19"/>
  <c r="M462" i="19" s="1"/>
  <c r="E222" i="19"/>
  <c r="M222" i="19" s="1"/>
  <c r="AB190" i="19"/>
  <c r="AB250" i="19"/>
  <c r="E491" i="25"/>
  <c r="E461" i="25"/>
  <c r="E431" i="25"/>
  <c r="E371" i="25"/>
  <c r="E341" i="25"/>
  <c r="E251" i="25"/>
  <c r="E41" i="25"/>
  <c r="E71" i="25"/>
  <c r="E281" i="25"/>
  <c r="E101" i="25"/>
  <c r="E191" i="25"/>
  <c r="E311" i="25"/>
  <c r="E221" i="25"/>
  <c r="E161" i="25"/>
  <c r="E11" i="25"/>
  <c r="E131" i="25"/>
  <c r="E401" i="25"/>
  <c r="X486" i="9"/>
  <c r="X73" i="9"/>
  <c r="X274" i="9"/>
  <c r="X66" i="9"/>
  <c r="X243" i="9"/>
  <c r="E68" i="9"/>
  <c r="X68" i="9" s="1"/>
  <c r="E158" i="9"/>
  <c r="E218" i="9"/>
  <c r="L8" i="16"/>
  <c r="AI8" i="16" s="1"/>
  <c r="E278" i="9"/>
  <c r="E248" i="9"/>
  <c r="E8" i="9"/>
  <c r="E398" i="9"/>
  <c r="X67" i="9"/>
  <c r="AB67" i="9" s="1"/>
  <c r="E488" i="9"/>
  <c r="AB370" i="17"/>
  <c r="AB130" i="17"/>
  <c r="AB130" i="19"/>
  <c r="E188" i="9"/>
  <c r="E338" i="9"/>
  <c r="X373" i="9"/>
  <c r="E368" i="9"/>
  <c r="E128" i="9"/>
  <c r="E38" i="9"/>
  <c r="E458" i="9"/>
  <c r="E98" i="9"/>
  <c r="X308" i="9"/>
  <c r="X169" i="9"/>
  <c r="X112" i="9"/>
  <c r="X250" i="9"/>
  <c r="X34" i="9"/>
  <c r="X304" i="9"/>
  <c r="X4" i="9"/>
  <c r="E83" i="9"/>
  <c r="X103" i="9"/>
  <c r="E23" i="9"/>
  <c r="X126" i="9"/>
  <c r="X165" i="9"/>
  <c r="E323" i="9"/>
  <c r="E233" i="9"/>
  <c r="E503" i="9"/>
  <c r="E143" i="9"/>
  <c r="E353" i="9"/>
  <c r="X259" i="9"/>
  <c r="X96" i="9"/>
  <c r="E473" i="9"/>
  <c r="E263" i="9"/>
  <c r="E203" i="9"/>
  <c r="X310" i="9"/>
  <c r="E53" i="9"/>
  <c r="E383" i="9"/>
  <c r="E413" i="9"/>
  <c r="X343" i="9"/>
  <c r="E443" i="9"/>
  <c r="E293" i="9"/>
  <c r="E113" i="9"/>
  <c r="E24" i="9"/>
  <c r="E324" i="9"/>
  <c r="E444" i="9"/>
  <c r="E234" i="9"/>
  <c r="E114" i="9"/>
  <c r="E354" i="9"/>
  <c r="E474" i="9"/>
  <c r="E264" i="9"/>
  <c r="X414" i="9"/>
  <c r="E54" i="9"/>
  <c r="X202" i="9"/>
  <c r="O11" i="9"/>
  <c r="X384" i="9"/>
  <c r="E84" i="9"/>
  <c r="E174" i="9"/>
  <c r="AB280" i="19"/>
  <c r="AB400" i="17"/>
  <c r="AB160" i="17"/>
  <c r="AB160" i="19"/>
  <c r="AB430" i="17"/>
  <c r="AB190" i="17"/>
  <c r="AB310" i="16"/>
  <c r="AB70" i="19"/>
  <c r="M187" i="9"/>
  <c r="X127" i="9"/>
  <c r="AB127" i="9" s="1"/>
  <c r="X277" i="9"/>
  <c r="E144" i="19"/>
  <c r="E294" i="19"/>
  <c r="E504" i="19"/>
  <c r="E114" i="19"/>
  <c r="E204" i="19"/>
  <c r="E474" i="19"/>
  <c r="E54" i="19"/>
  <c r="E264" i="19"/>
  <c r="E414" i="19"/>
  <c r="E234" i="19"/>
  <c r="E324" i="19"/>
  <c r="E24" i="19"/>
  <c r="E174" i="19"/>
  <c r="E384" i="19"/>
  <c r="E84" i="19"/>
  <c r="E354" i="19"/>
  <c r="E444" i="19"/>
  <c r="E504" i="16"/>
  <c r="E354" i="16"/>
  <c r="E84" i="16"/>
  <c r="E144" i="16"/>
  <c r="E114" i="16"/>
  <c r="E444" i="16"/>
  <c r="E384" i="16"/>
  <c r="E24" i="16"/>
  <c r="E294" i="16"/>
  <c r="E474" i="16"/>
  <c r="E174" i="16"/>
  <c r="E54" i="16"/>
  <c r="E264" i="16"/>
  <c r="E204" i="16"/>
  <c r="E414" i="16"/>
  <c r="E234" i="16"/>
  <c r="E324" i="16"/>
  <c r="M37" i="9"/>
  <c r="X367" i="9"/>
  <c r="E113" i="19"/>
  <c r="E473" i="19"/>
  <c r="E353" i="19"/>
  <c r="E173" i="19"/>
  <c r="E293" i="19"/>
  <c r="E413" i="19"/>
  <c r="E53" i="19"/>
  <c r="E83" i="19"/>
  <c r="E203" i="19"/>
  <c r="E323" i="19"/>
  <c r="E443" i="19"/>
  <c r="E233" i="19"/>
  <c r="E143" i="19"/>
  <c r="E263" i="19"/>
  <c r="E383" i="19"/>
  <c r="E503" i="19"/>
  <c r="E23" i="19"/>
  <c r="E323" i="16"/>
  <c r="E83" i="16"/>
  <c r="E203" i="16"/>
  <c r="E143" i="16"/>
  <c r="E383" i="16"/>
  <c r="E443" i="16"/>
  <c r="E353" i="16"/>
  <c r="E263" i="16"/>
  <c r="E503" i="16"/>
  <c r="E473" i="16"/>
  <c r="E53" i="16"/>
  <c r="E173" i="16"/>
  <c r="E413" i="16"/>
  <c r="E23" i="16"/>
  <c r="E113" i="16"/>
  <c r="E233" i="16"/>
  <c r="E293" i="16"/>
  <c r="X7" i="9"/>
  <c r="AB7" i="9" s="1"/>
  <c r="E308" i="16"/>
  <c r="E248" i="19"/>
  <c r="E398" i="19"/>
  <c r="E218" i="19"/>
  <c r="E308" i="19"/>
  <c r="E8" i="19"/>
  <c r="E158" i="19"/>
  <c r="E368" i="19"/>
  <c r="E68" i="19"/>
  <c r="E338" i="19"/>
  <c r="E428" i="19"/>
  <c r="E128" i="19"/>
  <c r="E278" i="19"/>
  <c r="E488" i="19"/>
  <c r="E98" i="19"/>
  <c r="E188" i="19"/>
  <c r="E458" i="19"/>
  <c r="E38" i="19"/>
  <c r="E38" i="16"/>
  <c r="E278" i="16"/>
  <c r="E458" i="16"/>
  <c r="E398" i="16"/>
  <c r="E188" i="16"/>
  <c r="E98" i="16"/>
  <c r="E218" i="16"/>
  <c r="E368" i="16"/>
  <c r="E488" i="16"/>
  <c r="E158" i="16"/>
  <c r="E338" i="16"/>
  <c r="E8" i="16"/>
  <c r="E128" i="16"/>
  <c r="E248" i="16"/>
  <c r="E68" i="16"/>
  <c r="E428" i="16"/>
  <c r="M217" i="9"/>
  <c r="E487" i="16"/>
  <c r="E457" i="16"/>
  <c r="E247" i="16"/>
  <c r="E37" i="16"/>
  <c r="E397" i="16"/>
  <c r="E97" i="16"/>
  <c r="E427" i="16"/>
  <c r="E67" i="16"/>
  <c r="E162" i="16"/>
  <c r="E12" i="16"/>
  <c r="E432" i="16"/>
  <c r="E372" i="16"/>
  <c r="E222" i="16"/>
  <c r="X157" i="9"/>
  <c r="AB157" i="9" s="1"/>
  <c r="X97" i="9"/>
  <c r="AB97" i="9" s="1"/>
  <c r="X247" i="9"/>
  <c r="E258" i="19"/>
  <c r="E348" i="19"/>
  <c r="E48" i="19"/>
  <c r="E198" i="19"/>
  <c r="E408" i="19"/>
  <c r="E18" i="19"/>
  <c r="E108" i="19"/>
  <c r="E378" i="19"/>
  <c r="E468" i="19"/>
  <c r="E168" i="19"/>
  <c r="E318" i="19"/>
  <c r="E138" i="19"/>
  <c r="E228" i="19"/>
  <c r="E498" i="19"/>
  <c r="E78" i="19"/>
  <c r="E288" i="19"/>
  <c r="E438" i="19"/>
  <c r="E48" i="16"/>
  <c r="E78" i="16"/>
  <c r="E228" i="16"/>
  <c r="E438" i="16"/>
  <c r="E258" i="16"/>
  <c r="E408" i="16"/>
  <c r="E348" i="16"/>
  <c r="E18" i="16"/>
  <c r="E288" i="16"/>
  <c r="E198" i="16"/>
  <c r="E168" i="16"/>
  <c r="E378" i="16"/>
  <c r="E108" i="16"/>
  <c r="E318" i="16"/>
  <c r="E138" i="16"/>
  <c r="E468" i="16"/>
  <c r="E498" i="16"/>
  <c r="M7" i="16"/>
  <c r="AJ7" i="16" s="1"/>
  <c r="AK7" i="16" s="1"/>
  <c r="AL7" i="16" s="1"/>
  <c r="X127" i="16"/>
  <c r="AB127" i="16" s="1"/>
  <c r="M277" i="16"/>
  <c r="AJ277" i="16" s="1"/>
  <c r="AK277" i="16" s="1"/>
  <c r="AL277" i="16" s="1"/>
  <c r="X157" i="16"/>
  <c r="AB157" i="16" s="1"/>
  <c r="M187" i="16"/>
  <c r="AJ187" i="16" s="1"/>
  <c r="AK187" i="16" s="1"/>
  <c r="AL187" i="16" s="1"/>
  <c r="X337" i="16"/>
  <c r="AB337" i="16" s="1"/>
  <c r="E4" i="11"/>
  <c r="E14" i="11"/>
  <c r="E20" i="11"/>
  <c r="E13" i="11"/>
  <c r="E8" i="11"/>
  <c r="E12" i="11"/>
  <c r="E17" i="11"/>
  <c r="E11" i="11"/>
  <c r="E6" i="11"/>
  <c r="E9" i="11"/>
  <c r="E18" i="11"/>
  <c r="E19" i="11"/>
  <c r="E15" i="11"/>
  <c r="E7" i="11"/>
  <c r="E16" i="11"/>
  <c r="E10" i="11"/>
  <c r="E5" i="11"/>
  <c r="X352" i="9"/>
  <c r="X501" i="9"/>
  <c r="X313" i="9"/>
  <c r="X381" i="9"/>
  <c r="X142" i="9"/>
  <c r="W398" i="16"/>
  <c r="X217" i="9"/>
  <c r="AB217" i="9" s="1"/>
  <c r="X123" i="9"/>
  <c r="X155" i="9"/>
  <c r="X48" i="9"/>
  <c r="L442" i="16"/>
  <c r="AI442" i="16" s="1"/>
  <c r="AK442" i="16" s="1"/>
  <c r="AL442" i="16" s="1"/>
  <c r="X290" i="9"/>
  <c r="L84" i="16"/>
  <c r="AI84" i="16" s="1"/>
  <c r="L53" i="16"/>
  <c r="AI53" i="16" s="1"/>
  <c r="X455" i="9"/>
  <c r="M504" i="9"/>
  <c r="X423" i="9"/>
  <c r="X276" i="9"/>
  <c r="X193" i="9"/>
  <c r="X45" i="9"/>
  <c r="W278" i="16"/>
  <c r="L93" i="16"/>
  <c r="AI93" i="16" s="1"/>
  <c r="AK93" i="16" s="1"/>
  <c r="AL93" i="16" s="1"/>
  <c r="L294" i="16"/>
  <c r="AI294" i="16" s="1"/>
  <c r="X382" i="9"/>
  <c r="X334" i="9"/>
  <c r="X441" i="9"/>
  <c r="X164" i="9"/>
  <c r="X37" i="9"/>
  <c r="AB37" i="9" s="1"/>
  <c r="X500" i="9"/>
  <c r="X153" i="9"/>
  <c r="X223" i="9"/>
  <c r="X204" i="9"/>
  <c r="X336" i="9"/>
  <c r="W259" i="16"/>
  <c r="M191" i="16"/>
  <c r="AJ191" i="16" s="1"/>
  <c r="AK191" i="16" s="1"/>
  <c r="AL191" i="16" s="1"/>
  <c r="X454" i="9"/>
  <c r="L18" i="16"/>
  <c r="AI18" i="16" s="1"/>
  <c r="X442" i="9"/>
  <c r="M97" i="9"/>
  <c r="L353" i="16"/>
  <c r="AI353" i="16" s="1"/>
  <c r="X402" i="19"/>
  <c r="AB402" i="19" s="1"/>
  <c r="M7" i="9"/>
  <c r="X187" i="16"/>
  <c r="AB187" i="16" s="1"/>
  <c r="L488" i="16"/>
  <c r="AI488" i="16" s="1"/>
  <c r="W104" i="16"/>
  <c r="L64" i="16"/>
  <c r="AI64" i="16" s="1"/>
  <c r="L348" i="16"/>
  <c r="AI348" i="16" s="1"/>
  <c r="X306" i="9"/>
  <c r="X440" i="9"/>
  <c r="X246" i="9"/>
  <c r="X229" i="9"/>
  <c r="W258" i="16"/>
  <c r="W504" i="16"/>
  <c r="M337" i="16"/>
  <c r="AJ337" i="16" s="1"/>
  <c r="AK337" i="16" s="1"/>
  <c r="AL337" i="16" s="1"/>
  <c r="X159" i="9"/>
  <c r="X400" i="9"/>
  <c r="X184" i="9"/>
  <c r="W156" i="16"/>
  <c r="X365" i="9"/>
  <c r="L408" i="16"/>
  <c r="AI408" i="16" s="1"/>
  <c r="X95" i="9"/>
  <c r="X394" i="9"/>
  <c r="X198" i="9"/>
  <c r="X244" i="9"/>
  <c r="X351" i="9"/>
  <c r="X33" i="9"/>
  <c r="X129" i="9"/>
  <c r="W314" i="16"/>
  <c r="X44" i="9"/>
  <c r="X490" i="9"/>
  <c r="X219" i="9"/>
  <c r="X139" i="9"/>
  <c r="X36" i="9"/>
  <c r="L444" i="16"/>
  <c r="AI444" i="16" s="1"/>
  <c r="X144" i="9"/>
  <c r="M144" i="9"/>
  <c r="X376" i="9"/>
  <c r="X463" i="16"/>
  <c r="L335" i="16"/>
  <c r="AI335" i="16" s="1"/>
  <c r="AK335" i="16" s="1"/>
  <c r="AL335" i="16" s="1"/>
  <c r="M157" i="9"/>
  <c r="M491" i="16"/>
  <c r="AJ491" i="16" s="1"/>
  <c r="AK491" i="16" s="1"/>
  <c r="AL491" i="16" s="1"/>
  <c r="L36" i="16"/>
  <c r="AI36" i="16" s="1"/>
  <c r="L323" i="16"/>
  <c r="AI323" i="16" s="1"/>
  <c r="W294" i="9"/>
  <c r="X350" i="9"/>
  <c r="L468" i="16"/>
  <c r="AI468" i="16" s="1"/>
  <c r="X7" i="16"/>
  <c r="AB7" i="16" s="1"/>
  <c r="X277" i="16"/>
  <c r="AB277" i="16" s="1"/>
  <c r="L438" i="16"/>
  <c r="AI438" i="16" s="1"/>
  <c r="X493" i="9"/>
  <c r="L324" i="9"/>
  <c r="Y324" i="9" s="1"/>
  <c r="X484" i="9"/>
  <c r="L288" i="16"/>
  <c r="AI288" i="16" s="1"/>
  <c r="L68" i="16"/>
  <c r="AI68" i="16" s="1"/>
  <c r="L83" i="16"/>
  <c r="AI83" i="16" s="1"/>
  <c r="X470" i="9"/>
  <c r="X343" i="16"/>
  <c r="X214" i="9"/>
  <c r="X189" i="9"/>
  <c r="X93" i="9"/>
  <c r="X52" i="9"/>
  <c r="L96" i="16"/>
  <c r="AI96" i="16" s="1"/>
  <c r="X399" i="9"/>
  <c r="X101" i="16"/>
  <c r="AB101" i="16" s="1"/>
  <c r="M127" i="9"/>
  <c r="W53" i="16"/>
  <c r="W468" i="16"/>
  <c r="X340" i="9"/>
  <c r="X3" i="9"/>
  <c r="X339" i="9"/>
  <c r="X501" i="17"/>
  <c r="X261" i="17"/>
  <c r="X21" i="17"/>
  <c r="X471" i="19"/>
  <c r="X321" i="19"/>
  <c r="M141" i="16"/>
  <c r="AJ141" i="16" s="1"/>
  <c r="X201" i="16"/>
  <c r="X471" i="17"/>
  <c r="M111" i="19"/>
  <c r="X111" i="19"/>
  <c r="M441" i="16"/>
  <c r="AJ441" i="16" s="1"/>
  <c r="X472" i="9"/>
  <c r="X283" i="9"/>
  <c r="X79" i="9"/>
  <c r="W24" i="16"/>
  <c r="M127" i="16"/>
  <c r="AJ127" i="16" s="1"/>
  <c r="AK127" i="16" s="1"/>
  <c r="AL127" i="16" s="1"/>
  <c r="X441" i="17"/>
  <c r="X201" i="17"/>
  <c r="X21" i="19"/>
  <c r="X351" i="19"/>
  <c r="M171" i="16"/>
  <c r="AJ171" i="16" s="1"/>
  <c r="X231" i="17"/>
  <c r="X381" i="19"/>
  <c r="X260" i="9"/>
  <c r="L24" i="16"/>
  <c r="AI24" i="16" s="1"/>
  <c r="X411" i="17"/>
  <c r="X171" i="17"/>
  <c r="X171" i="19"/>
  <c r="M261" i="19"/>
  <c r="X261" i="19"/>
  <c r="W291" i="16"/>
  <c r="W159" i="16"/>
  <c r="L143" i="16"/>
  <c r="AI143" i="16" s="1"/>
  <c r="X321" i="16"/>
  <c r="X81" i="9"/>
  <c r="M41" i="16"/>
  <c r="AJ41" i="16" s="1"/>
  <c r="AK41" i="16" s="1"/>
  <c r="AL41" i="16" s="1"/>
  <c r="X21" i="16"/>
  <c r="X381" i="17"/>
  <c r="X141" i="17"/>
  <c r="X51" i="19"/>
  <c r="M141" i="19"/>
  <c r="X141" i="19"/>
  <c r="X201" i="19"/>
  <c r="W174" i="9"/>
  <c r="X109" i="9"/>
  <c r="X351" i="17"/>
  <c r="X111" i="17"/>
  <c r="M81" i="19"/>
  <c r="X81" i="19"/>
  <c r="M411" i="19"/>
  <c r="X411" i="19"/>
  <c r="X81" i="16"/>
  <c r="M381" i="16"/>
  <c r="AJ381" i="16" s="1"/>
  <c r="X231" i="16"/>
  <c r="X321" i="17"/>
  <c r="X81" i="17"/>
  <c r="X441" i="19"/>
  <c r="X231" i="19"/>
  <c r="X51" i="16"/>
  <c r="M261" i="16"/>
  <c r="AJ261" i="16" s="1"/>
  <c r="X82" i="9"/>
  <c r="X133" i="16"/>
  <c r="X111" i="16"/>
  <c r="M291" i="17"/>
  <c r="X291" i="17"/>
  <c r="X51" i="17"/>
  <c r="X501" i="19"/>
  <c r="X291" i="19"/>
  <c r="X351" i="16"/>
  <c r="AB490" i="17"/>
  <c r="M232" i="9"/>
  <c r="X232" i="9"/>
  <c r="X466" i="19"/>
  <c r="X436" i="17"/>
  <c r="M307" i="19"/>
  <c r="X307" i="19"/>
  <c r="AB307" i="19" s="1"/>
  <c r="X187" i="9"/>
  <c r="AB187" i="9" s="1"/>
  <c r="M461" i="19"/>
  <c r="X461" i="19"/>
  <c r="AB461" i="19" s="1"/>
  <c r="X313" i="16"/>
  <c r="X80" i="16"/>
  <c r="M440" i="16"/>
  <c r="AJ440" i="16" s="1"/>
  <c r="X440" i="16"/>
  <c r="X367" i="19"/>
  <c r="AB367" i="19" s="1"/>
  <c r="M367" i="19"/>
  <c r="X322" i="9"/>
  <c r="X13" i="9"/>
  <c r="X135" i="9"/>
  <c r="M162" i="17"/>
  <c r="X162" i="17"/>
  <c r="M492" i="17"/>
  <c r="X492" i="17"/>
  <c r="M162" i="19"/>
  <c r="X162" i="19"/>
  <c r="AB162" i="19" s="1"/>
  <c r="X286" i="16"/>
  <c r="X496" i="16"/>
  <c r="X373" i="16"/>
  <c r="X320" i="17"/>
  <c r="X80" i="17"/>
  <c r="X380" i="19"/>
  <c r="X350" i="19"/>
  <c r="X466" i="17"/>
  <c r="X133" i="9"/>
  <c r="X69" i="9"/>
  <c r="L263" i="16"/>
  <c r="AI263" i="16" s="1"/>
  <c r="M281" i="16"/>
  <c r="AJ281" i="16" s="1"/>
  <c r="AK281" i="16" s="1"/>
  <c r="AL281" i="16" s="1"/>
  <c r="X170" i="16"/>
  <c r="X253" i="17"/>
  <c r="X463" i="19"/>
  <c r="X403" i="19"/>
  <c r="X163" i="19"/>
  <c r="L233" i="16"/>
  <c r="AI233" i="16" s="1"/>
  <c r="X316" i="19"/>
  <c r="W18" i="9"/>
  <c r="X40" i="9"/>
  <c r="X195" i="9"/>
  <c r="E107" i="9"/>
  <c r="W185" i="16"/>
  <c r="X196" i="9"/>
  <c r="M22" i="9"/>
  <c r="U22" i="9" s="1"/>
  <c r="X22" i="9"/>
  <c r="X225" i="9"/>
  <c r="X185" i="9"/>
  <c r="X5" i="9"/>
  <c r="X487" i="17"/>
  <c r="AB487" i="17" s="1"/>
  <c r="M487" i="17"/>
  <c r="E437" i="19"/>
  <c r="E47" i="19"/>
  <c r="E197" i="19"/>
  <c r="E377" i="19"/>
  <c r="E167" i="16"/>
  <c r="E347" i="16"/>
  <c r="E257" i="16"/>
  <c r="E227" i="16"/>
  <c r="E347" i="9"/>
  <c r="E407" i="9"/>
  <c r="E257" i="9"/>
  <c r="E287" i="9"/>
  <c r="X63" i="9"/>
  <c r="L204" i="16"/>
  <c r="AI204" i="16" s="1"/>
  <c r="AA490" i="17"/>
  <c r="M256" i="16"/>
  <c r="AJ256" i="16" s="1"/>
  <c r="M380" i="16"/>
  <c r="AJ380" i="16" s="1"/>
  <c r="E75" i="19"/>
  <c r="F75" i="19" s="1"/>
  <c r="E345" i="19"/>
  <c r="F345" i="19" s="1"/>
  <c r="E465" i="19"/>
  <c r="F465" i="19" s="1"/>
  <c r="E15" i="19"/>
  <c r="F15" i="19" s="1"/>
  <c r="E255" i="19"/>
  <c r="F255" i="19" s="1"/>
  <c r="E435" i="19"/>
  <c r="F435" i="19" s="1"/>
  <c r="E135" i="19"/>
  <c r="F135" i="19" s="1"/>
  <c r="E315" i="19"/>
  <c r="F315" i="19" s="1"/>
  <c r="E105" i="19"/>
  <c r="F105" i="19" s="1"/>
  <c r="E405" i="19"/>
  <c r="F405" i="19" s="1"/>
  <c r="E495" i="19"/>
  <c r="F495" i="19" s="1"/>
  <c r="E45" i="19"/>
  <c r="F45" i="19" s="1"/>
  <c r="E225" i="19"/>
  <c r="F225" i="19" s="1"/>
  <c r="E195" i="19"/>
  <c r="F195" i="19" s="1"/>
  <c r="E285" i="19"/>
  <c r="F285" i="19" s="1"/>
  <c r="E165" i="19"/>
  <c r="F165" i="19" s="1"/>
  <c r="E375" i="19"/>
  <c r="F375" i="19" s="1"/>
  <c r="F135" i="17"/>
  <c r="F495" i="17"/>
  <c r="F375" i="17"/>
  <c r="F45" i="17"/>
  <c r="F255" i="17"/>
  <c r="F435" i="17"/>
  <c r="F345" i="17"/>
  <c r="F195" i="17"/>
  <c r="F315" i="17"/>
  <c r="F465" i="17"/>
  <c r="F405" i="17"/>
  <c r="F105" i="17"/>
  <c r="F165" i="17"/>
  <c r="F15" i="17"/>
  <c r="F225" i="17"/>
  <c r="F75" i="17"/>
  <c r="F285" i="17"/>
  <c r="E105" i="16"/>
  <c r="F105" i="16" s="1"/>
  <c r="E465" i="16"/>
  <c r="F465" i="16" s="1"/>
  <c r="E75" i="16"/>
  <c r="F75" i="16" s="1"/>
  <c r="E435" i="16"/>
  <c r="F435" i="16" s="1"/>
  <c r="E45" i="16"/>
  <c r="F45" i="16" s="1"/>
  <c r="E405" i="16"/>
  <c r="F405" i="16" s="1"/>
  <c r="E135" i="16"/>
  <c r="F135" i="16" s="1"/>
  <c r="E345" i="16"/>
  <c r="F345" i="16" s="1"/>
  <c r="E375" i="16"/>
  <c r="F375" i="16" s="1"/>
  <c r="E255" i="16"/>
  <c r="F255" i="16" s="1"/>
  <c r="E315" i="16"/>
  <c r="F315" i="16" s="1"/>
  <c r="E165" i="16"/>
  <c r="F165" i="16" s="1"/>
  <c r="E285" i="16"/>
  <c r="F285" i="16" s="1"/>
  <c r="E225" i="16"/>
  <c r="F225" i="16" s="1"/>
  <c r="E195" i="16"/>
  <c r="F195" i="16" s="1"/>
  <c r="E15" i="16"/>
  <c r="F15" i="16" s="1"/>
  <c r="E495" i="16"/>
  <c r="F495" i="16" s="1"/>
  <c r="X50" i="16"/>
  <c r="M76" i="16"/>
  <c r="AJ76" i="16" s="1"/>
  <c r="X290" i="17"/>
  <c r="X50" i="17"/>
  <c r="X290" i="19"/>
  <c r="X140" i="19"/>
  <c r="X161" i="17"/>
  <c r="AB161" i="17" s="1"/>
  <c r="M101" i="19"/>
  <c r="W220" i="16"/>
  <c r="X136" i="17"/>
  <c r="X286" i="17"/>
  <c r="X376" i="17"/>
  <c r="M496" i="19"/>
  <c r="X496" i="19"/>
  <c r="X226" i="19"/>
  <c r="X247" i="17"/>
  <c r="AB247" i="17" s="1"/>
  <c r="M247" i="17"/>
  <c r="M307" i="17"/>
  <c r="X307" i="17"/>
  <c r="AB307" i="17" s="1"/>
  <c r="X277" i="19"/>
  <c r="AB277" i="19" s="1"/>
  <c r="M277" i="19"/>
  <c r="M457" i="19"/>
  <c r="X457" i="19"/>
  <c r="AB457" i="19" s="1"/>
  <c r="L160" i="16"/>
  <c r="AI160" i="16" s="1"/>
  <c r="AK160" i="16" s="1"/>
  <c r="AL160" i="16" s="1"/>
  <c r="W160" i="16"/>
  <c r="X226" i="16"/>
  <c r="M131" i="16"/>
  <c r="AJ131" i="16" s="1"/>
  <c r="AK131" i="16" s="1"/>
  <c r="AL131" i="16" s="1"/>
  <c r="X131" i="16"/>
  <c r="AB131" i="16" s="1"/>
  <c r="X500" i="17"/>
  <c r="X260" i="17"/>
  <c r="X20" i="17"/>
  <c r="M320" i="19"/>
  <c r="X320" i="19"/>
  <c r="X50" i="19"/>
  <c r="X371" i="19"/>
  <c r="AB371" i="19" s="1"/>
  <c r="M371" i="19"/>
  <c r="M316" i="17"/>
  <c r="X316" i="17"/>
  <c r="M106" i="17"/>
  <c r="X106" i="17"/>
  <c r="X166" i="19"/>
  <c r="X16" i="19"/>
  <c r="X256" i="19"/>
  <c r="X337" i="17"/>
  <c r="AB337" i="17" s="1"/>
  <c r="M337" i="17"/>
  <c r="X217" i="17"/>
  <c r="AB217" i="17" s="1"/>
  <c r="M217" i="17"/>
  <c r="M187" i="19"/>
  <c r="X187" i="19"/>
  <c r="M127" i="19"/>
  <c r="X127" i="19"/>
  <c r="AB127" i="19" s="1"/>
  <c r="W46" i="16"/>
  <c r="L46" i="16"/>
  <c r="AI46" i="16" s="1"/>
  <c r="AK46" i="16" s="1"/>
  <c r="AL46" i="16" s="1"/>
  <c r="M311" i="16"/>
  <c r="AJ311" i="16" s="1"/>
  <c r="AK311" i="16" s="1"/>
  <c r="AL311" i="16" s="1"/>
  <c r="X311" i="16"/>
  <c r="AB311" i="16" s="1"/>
  <c r="X230" i="16"/>
  <c r="X470" i="16"/>
  <c r="X470" i="17"/>
  <c r="X230" i="17"/>
  <c r="X470" i="19"/>
  <c r="X230" i="19"/>
  <c r="X80" i="19"/>
  <c r="W40" i="16"/>
  <c r="M406" i="17"/>
  <c r="X406" i="17"/>
  <c r="M346" i="17"/>
  <c r="X346" i="17"/>
  <c r="M436" i="19"/>
  <c r="X436" i="19"/>
  <c r="X406" i="19"/>
  <c r="M127" i="17"/>
  <c r="X127" i="17"/>
  <c r="AB127" i="17" s="1"/>
  <c r="X37" i="17"/>
  <c r="AB37" i="17" s="1"/>
  <c r="M37" i="17"/>
  <c r="X367" i="17"/>
  <c r="AB367" i="17" s="1"/>
  <c r="M367" i="17"/>
  <c r="X7" i="19"/>
  <c r="AB7" i="19" s="1"/>
  <c r="M7" i="19"/>
  <c r="X157" i="19"/>
  <c r="AB157" i="19" s="1"/>
  <c r="M157" i="19"/>
  <c r="M46" i="9"/>
  <c r="M20" i="16"/>
  <c r="AJ20" i="16" s="1"/>
  <c r="W500" i="16"/>
  <c r="X136" i="16"/>
  <c r="X440" i="17"/>
  <c r="X200" i="17"/>
  <c r="M260" i="19"/>
  <c r="X260" i="19"/>
  <c r="X500" i="19"/>
  <c r="X131" i="19"/>
  <c r="AB131" i="19" s="1"/>
  <c r="M131" i="19"/>
  <c r="M166" i="16"/>
  <c r="AJ166" i="16" s="1"/>
  <c r="M260" i="16"/>
  <c r="AJ260" i="16" s="1"/>
  <c r="M256" i="17"/>
  <c r="X256" i="17"/>
  <c r="M76" i="17"/>
  <c r="X76" i="17"/>
  <c r="X346" i="19"/>
  <c r="X196" i="19"/>
  <c r="X427" i="17"/>
  <c r="AB427" i="17" s="1"/>
  <c r="M427" i="17"/>
  <c r="M277" i="17"/>
  <c r="X277" i="17"/>
  <c r="AB277" i="17" s="1"/>
  <c r="X247" i="19"/>
  <c r="M247" i="19"/>
  <c r="M427" i="19"/>
  <c r="X427" i="19"/>
  <c r="AB427" i="19" s="1"/>
  <c r="X196" i="16"/>
  <c r="X410" i="16"/>
  <c r="X436" i="16"/>
  <c r="X410" i="17"/>
  <c r="X170" i="17"/>
  <c r="X170" i="19"/>
  <c r="M20" i="19"/>
  <c r="X20" i="19"/>
  <c r="X350" i="16"/>
  <c r="X106" i="16"/>
  <c r="X376" i="16"/>
  <c r="X316" i="16"/>
  <c r="M166" i="17"/>
  <c r="X166" i="17"/>
  <c r="X496" i="17"/>
  <c r="M376" i="19"/>
  <c r="X376" i="19"/>
  <c r="M106" i="19"/>
  <c r="X106" i="19"/>
  <c r="M157" i="17"/>
  <c r="X157" i="17"/>
  <c r="AB157" i="17" s="1"/>
  <c r="X67" i="17"/>
  <c r="AB67" i="17" s="1"/>
  <c r="M67" i="17"/>
  <c r="X37" i="19"/>
  <c r="AB37" i="19" s="1"/>
  <c r="M37" i="19"/>
  <c r="M217" i="19"/>
  <c r="X217" i="19"/>
  <c r="AB217" i="19" s="1"/>
  <c r="X307" i="16"/>
  <c r="AB307" i="16" s="1"/>
  <c r="M307" i="16"/>
  <c r="AJ307" i="16" s="1"/>
  <c r="AK307" i="16" s="1"/>
  <c r="AL307" i="16" s="1"/>
  <c r="W140" i="16"/>
  <c r="W70" i="16"/>
  <c r="M367" i="16"/>
  <c r="AJ367" i="16" s="1"/>
  <c r="AK367" i="16" s="1"/>
  <c r="AL367" i="16" s="1"/>
  <c r="X367" i="16"/>
  <c r="AB367" i="16" s="1"/>
  <c r="X380" i="17"/>
  <c r="X140" i="17"/>
  <c r="X200" i="19"/>
  <c r="M410" i="19"/>
  <c r="X410" i="19"/>
  <c r="M251" i="17"/>
  <c r="X341" i="19"/>
  <c r="M341" i="19"/>
  <c r="W200" i="16"/>
  <c r="L200" i="16"/>
  <c r="AI200" i="16" s="1"/>
  <c r="AK200" i="16" s="1"/>
  <c r="AL200" i="16" s="1"/>
  <c r="X196" i="17"/>
  <c r="X16" i="17"/>
  <c r="X286" i="19"/>
  <c r="X136" i="19"/>
  <c r="X97" i="17"/>
  <c r="AB97" i="17" s="1"/>
  <c r="M97" i="17"/>
  <c r="X7" i="17"/>
  <c r="AB7" i="17" s="1"/>
  <c r="M7" i="17"/>
  <c r="X67" i="19"/>
  <c r="AB67" i="19" s="1"/>
  <c r="M67" i="19"/>
  <c r="X97" i="19"/>
  <c r="AB97" i="19" s="1"/>
  <c r="M97" i="19"/>
  <c r="L290" i="16"/>
  <c r="AI290" i="16" s="1"/>
  <c r="AK290" i="16" s="1"/>
  <c r="AL290" i="16" s="1"/>
  <c r="W340" i="16"/>
  <c r="X110" i="16"/>
  <c r="M312" i="16"/>
  <c r="AJ312" i="16" s="1"/>
  <c r="X16" i="16"/>
  <c r="X350" i="17"/>
  <c r="X110" i="17"/>
  <c r="X110" i="19"/>
  <c r="X440" i="19"/>
  <c r="M461" i="17"/>
  <c r="X461" i="17"/>
  <c r="AB461" i="17" s="1"/>
  <c r="X221" i="17"/>
  <c r="AB221" i="17" s="1"/>
  <c r="M221" i="17"/>
  <c r="X71" i="19"/>
  <c r="AB71" i="19" s="1"/>
  <c r="M71" i="19"/>
  <c r="X41" i="19"/>
  <c r="AB41" i="19" s="1"/>
  <c r="M41" i="19"/>
  <c r="X251" i="19"/>
  <c r="AB251" i="19" s="1"/>
  <c r="M251" i="19"/>
  <c r="X217" i="16"/>
  <c r="AB217" i="16" s="1"/>
  <c r="M217" i="16"/>
  <c r="AJ217" i="16" s="1"/>
  <c r="AK217" i="16" s="1"/>
  <c r="AL217" i="16" s="1"/>
  <c r="M466" i="16"/>
  <c r="AJ466" i="16" s="1"/>
  <c r="X46" i="17"/>
  <c r="M226" i="17"/>
  <c r="X226" i="17"/>
  <c r="M76" i="19"/>
  <c r="X76" i="19"/>
  <c r="X46" i="19"/>
  <c r="X397" i="17"/>
  <c r="AB397" i="17" s="1"/>
  <c r="M397" i="17"/>
  <c r="M187" i="17"/>
  <c r="X187" i="17"/>
  <c r="AB187" i="17" s="1"/>
  <c r="M337" i="19"/>
  <c r="X337" i="19"/>
  <c r="AB337" i="19" s="1"/>
  <c r="M397" i="19"/>
  <c r="X397" i="19"/>
  <c r="AB397" i="19" s="1"/>
  <c r="W290" i="16"/>
  <c r="O17" i="9"/>
  <c r="O16" i="9"/>
  <c r="U16" i="9" s="1"/>
  <c r="L174" i="16"/>
  <c r="AI174" i="16" s="1"/>
  <c r="O10" i="9"/>
  <c r="U10" i="9" s="1"/>
  <c r="O5" i="9"/>
  <c r="U5" i="9" s="1"/>
  <c r="O19" i="9"/>
  <c r="U19" i="9" s="1"/>
  <c r="O3" i="16"/>
  <c r="U3" i="16" s="1"/>
  <c r="L173" i="16"/>
  <c r="AI173" i="16" s="1"/>
  <c r="L443" i="16"/>
  <c r="AI443" i="16" s="1"/>
  <c r="O8" i="9"/>
  <c r="O13" i="9"/>
  <c r="U13" i="9" s="1"/>
  <c r="O24" i="9"/>
  <c r="O7" i="9"/>
  <c r="O21" i="9"/>
  <c r="U21" i="9" s="1"/>
  <c r="O3" i="17"/>
  <c r="U3" i="17" s="1"/>
  <c r="W384" i="16"/>
  <c r="W292" i="16"/>
  <c r="L378" i="16"/>
  <c r="AI378" i="16" s="1"/>
  <c r="O15" i="9"/>
  <c r="U15" i="9" s="1"/>
  <c r="O4" i="9"/>
  <c r="U4" i="9" s="1"/>
  <c r="W485" i="16"/>
  <c r="Y458" i="16"/>
  <c r="AA458" i="16" s="1"/>
  <c r="L234" i="16"/>
  <c r="AI234" i="16" s="1"/>
  <c r="Y158" i="16"/>
  <c r="W173" i="16"/>
  <c r="O23" i="9"/>
  <c r="O12" i="9"/>
  <c r="W323" i="16"/>
  <c r="W483" i="16"/>
  <c r="Y98" i="16"/>
  <c r="AA98" i="16" s="1"/>
  <c r="L144" i="16"/>
  <c r="AI144" i="16" s="1"/>
  <c r="L338" i="16"/>
  <c r="AI338" i="16" s="1"/>
  <c r="L428" i="16"/>
  <c r="AI428" i="16" s="1"/>
  <c r="O18" i="9"/>
  <c r="O6" i="9"/>
  <c r="U6" i="9" s="1"/>
  <c r="O20" i="9"/>
  <c r="U20" i="9" s="1"/>
  <c r="W338" i="16"/>
  <c r="W318" i="16"/>
  <c r="L413" i="16"/>
  <c r="AI413" i="16" s="1"/>
  <c r="O14" i="9"/>
  <c r="U14" i="9" s="1"/>
  <c r="O3" i="9"/>
  <c r="U3" i="9" s="1"/>
  <c r="W125" i="16"/>
  <c r="Y248" i="16"/>
  <c r="AA248" i="16" s="1"/>
  <c r="W243" i="16"/>
  <c r="L99" i="16"/>
  <c r="AI99" i="16" s="1"/>
  <c r="L65" i="16"/>
  <c r="AI65" i="16" s="1"/>
  <c r="W188" i="16"/>
  <c r="W214" i="16"/>
  <c r="L63" i="16"/>
  <c r="AI63" i="16" s="1"/>
  <c r="I7" i="4"/>
  <c r="I8" i="4" s="1"/>
  <c r="Y498" i="16"/>
  <c r="AA498" i="16" s="1"/>
  <c r="Y198" i="16"/>
  <c r="AA198" i="16" s="1"/>
  <c r="Y138" i="16"/>
  <c r="W228" i="16"/>
  <c r="W368" i="16"/>
  <c r="L368" i="16"/>
  <c r="AI368" i="16" s="1"/>
  <c r="L467" i="16"/>
  <c r="AI467" i="16" s="1"/>
  <c r="W497" i="16"/>
  <c r="L264" i="16"/>
  <c r="AI264" i="16" s="1"/>
  <c r="Y48" i="16"/>
  <c r="AA48" i="16" s="1"/>
  <c r="L245" i="16"/>
  <c r="AI245" i="16" s="1"/>
  <c r="L318" i="16"/>
  <c r="AI318" i="16" s="1"/>
  <c r="L372" i="16"/>
  <c r="AI372" i="16" s="1"/>
  <c r="L254" i="16"/>
  <c r="AI254" i="16" s="1"/>
  <c r="W38" i="16"/>
  <c r="W499" i="16"/>
  <c r="L78" i="16"/>
  <c r="AI78" i="16" s="1"/>
  <c r="W12" i="16"/>
  <c r="L38" i="16"/>
  <c r="AI38" i="16" s="1"/>
  <c r="W467" i="16"/>
  <c r="W74" i="16"/>
  <c r="W432" i="16"/>
  <c r="W174" i="16"/>
  <c r="W137" i="16"/>
  <c r="L399" i="16"/>
  <c r="AI399" i="16" s="1"/>
  <c r="W168" i="16"/>
  <c r="L168" i="16"/>
  <c r="AI168" i="16" s="1"/>
  <c r="W77" i="16"/>
  <c r="W372" i="16"/>
  <c r="L324" i="16"/>
  <c r="AI324" i="16" s="1"/>
  <c r="W494" i="16"/>
  <c r="L162" i="16"/>
  <c r="AI162" i="16" s="1"/>
  <c r="L128" i="16"/>
  <c r="AI128" i="16" s="1"/>
  <c r="L107" i="16"/>
  <c r="AI107" i="16" s="1"/>
  <c r="W114" i="16"/>
  <c r="L384" i="16"/>
  <c r="AI384" i="16" s="1"/>
  <c r="L474" i="16"/>
  <c r="AI474" i="16" s="1"/>
  <c r="L12" i="16"/>
  <c r="AI12" i="16" s="1"/>
  <c r="L19" i="16"/>
  <c r="AI19" i="16" s="1"/>
  <c r="AK19" i="16" s="1"/>
  <c r="AL19" i="16" s="1"/>
  <c r="L188" i="16"/>
  <c r="AI188" i="16" s="1"/>
  <c r="L349" i="16"/>
  <c r="AI349" i="16" s="1"/>
  <c r="L199" i="16"/>
  <c r="AI199" i="16" s="1"/>
  <c r="L222" i="16"/>
  <c r="AI222" i="16" s="1"/>
  <c r="W107" i="16"/>
  <c r="X412" i="9"/>
  <c r="X459" i="9"/>
  <c r="X199" i="9"/>
  <c r="L497" i="16"/>
  <c r="AI497" i="16" s="1"/>
  <c r="L455" i="16"/>
  <c r="AI455" i="16" s="1"/>
  <c r="L114" i="16"/>
  <c r="AI114" i="16" s="1"/>
  <c r="L432" i="16"/>
  <c r="AI432" i="16" s="1"/>
  <c r="L243" i="16"/>
  <c r="AI243" i="16" s="1"/>
  <c r="AK243" i="16" s="1"/>
  <c r="AL243" i="16" s="1"/>
  <c r="L228" i="16"/>
  <c r="AI228" i="16" s="1"/>
  <c r="L293" i="16"/>
  <c r="AI293" i="16" s="1"/>
  <c r="L503" i="16"/>
  <c r="AI503" i="16" s="1"/>
  <c r="L137" i="16"/>
  <c r="AI137" i="16" s="1"/>
  <c r="W222" i="9"/>
  <c r="L222" i="9"/>
  <c r="Y222" i="9" s="1"/>
  <c r="L192" i="9"/>
  <c r="Y192" i="9" s="1"/>
  <c r="W192" i="9"/>
  <c r="AB93" i="19"/>
  <c r="AA93" i="19"/>
  <c r="AA188" i="19"/>
  <c r="AA216" i="19"/>
  <c r="AB216" i="19"/>
  <c r="AA84" i="19"/>
  <c r="AA287" i="19"/>
  <c r="AA227" i="19"/>
  <c r="AA339" i="19"/>
  <c r="AB339" i="19"/>
  <c r="AB262" i="19"/>
  <c r="AA262" i="19"/>
  <c r="AA113" i="19"/>
  <c r="AA108" i="19"/>
  <c r="AA228" i="19"/>
  <c r="AB194" i="19"/>
  <c r="AA194" i="19"/>
  <c r="AA314" i="19"/>
  <c r="AB314" i="19"/>
  <c r="AA322" i="19"/>
  <c r="AB322" i="19"/>
  <c r="AB79" i="19"/>
  <c r="AA79" i="19"/>
  <c r="AA234" i="19"/>
  <c r="AA347" i="19"/>
  <c r="AA192" i="19"/>
  <c r="AA137" i="19"/>
  <c r="AA462" i="19"/>
  <c r="AA144" i="19"/>
  <c r="AB393" i="19"/>
  <c r="AA393" i="19"/>
  <c r="AA455" i="19"/>
  <c r="AB455" i="19"/>
  <c r="AA408" i="19"/>
  <c r="AA402" i="19"/>
  <c r="AB469" i="19"/>
  <c r="AA469" i="19"/>
  <c r="AA437" i="19"/>
  <c r="AB423" i="19"/>
  <c r="AA423" i="19"/>
  <c r="AB379" i="19"/>
  <c r="AA379" i="19"/>
  <c r="AA488" i="19"/>
  <c r="AA306" i="16"/>
  <c r="AB306" i="16"/>
  <c r="AA366" i="17"/>
  <c r="AB366" i="17"/>
  <c r="AA138" i="17"/>
  <c r="AA293" i="17"/>
  <c r="AA398" i="17"/>
  <c r="AA144" i="17"/>
  <c r="AA426" i="17"/>
  <c r="AB426" i="17"/>
  <c r="AB399" i="17"/>
  <c r="AA399" i="17"/>
  <c r="AA198" i="17"/>
  <c r="AA22" i="17"/>
  <c r="AB22" i="17"/>
  <c r="AB39" i="17"/>
  <c r="AA39" i="17"/>
  <c r="AA335" i="17"/>
  <c r="AB335" i="17"/>
  <c r="AA154" i="17"/>
  <c r="AB154" i="17"/>
  <c r="AA142" i="17"/>
  <c r="AB142" i="17"/>
  <c r="AA36" i="19"/>
  <c r="AB36" i="19"/>
  <c r="AA126" i="17"/>
  <c r="AB126" i="17"/>
  <c r="AA35" i="19"/>
  <c r="AB35" i="19"/>
  <c r="AB393" i="17"/>
  <c r="AA393" i="17"/>
  <c r="AB74" i="17"/>
  <c r="AA74" i="17"/>
  <c r="AA79" i="17"/>
  <c r="AB79" i="17"/>
  <c r="AB112" i="17"/>
  <c r="AA112" i="17"/>
  <c r="AA229" i="17"/>
  <c r="AB229" i="17"/>
  <c r="L227" i="9"/>
  <c r="Y227" i="9" s="1"/>
  <c r="W227" i="9"/>
  <c r="W143" i="9"/>
  <c r="L143" i="9"/>
  <c r="Y143" i="9" s="1"/>
  <c r="W138" i="9"/>
  <c r="L138" i="9"/>
  <c r="Y138" i="9" s="1"/>
  <c r="W84" i="9"/>
  <c r="L84" i="9"/>
  <c r="Y84" i="9" s="1"/>
  <c r="W48" i="9"/>
  <c r="L48" i="9"/>
  <c r="Y48" i="9" s="1"/>
  <c r="W234" i="9"/>
  <c r="L234" i="9"/>
  <c r="Y234" i="9" s="1"/>
  <c r="W204" i="9"/>
  <c r="L204" i="9"/>
  <c r="Y204" i="9" s="1"/>
  <c r="W162" i="9"/>
  <c r="L162" i="9"/>
  <c r="Y162" i="9" s="1"/>
  <c r="W54" i="9"/>
  <c r="L54" i="9"/>
  <c r="Y54" i="9" s="1"/>
  <c r="AA172" i="19"/>
  <c r="AB172" i="19"/>
  <c r="AA303" i="19"/>
  <c r="AB303" i="19"/>
  <c r="AA222" i="19"/>
  <c r="AB213" i="19"/>
  <c r="AA213" i="19"/>
  <c r="AA197" i="19"/>
  <c r="AA304" i="19"/>
  <c r="AB304" i="19"/>
  <c r="AA264" i="19"/>
  <c r="AA72" i="19"/>
  <c r="AA219" i="19"/>
  <c r="AB219" i="19"/>
  <c r="AA66" i="19"/>
  <c r="AB66" i="19"/>
  <c r="AA224" i="19"/>
  <c r="AB224" i="19"/>
  <c r="AB99" i="19"/>
  <c r="AA99" i="19"/>
  <c r="AA342" i="19"/>
  <c r="AA319" i="19"/>
  <c r="AB319" i="19"/>
  <c r="AA154" i="19"/>
  <c r="AB154" i="19"/>
  <c r="AA294" i="19"/>
  <c r="AB464" i="19"/>
  <c r="AA464" i="19"/>
  <c r="AB453" i="19"/>
  <c r="AA453" i="19"/>
  <c r="AB454" i="19"/>
  <c r="AA454" i="19"/>
  <c r="AA125" i="19"/>
  <c r="AB125" i="19"/>
  <c r="AA497" i="19"/>
  <c r="AB366" i="19"/>
  <c r="AA366" i="19"/>
  <c r="AB409" i="19"/>
  <c r="AA409" i="19"/>
  <c r="AB124" i="19"/>
  <c r="AA124" i="19"/>
  <c r="AA68" i="17"/>
  <c r="AA24" i="17"/>
  <c r="AA8" i="17"/>
  <c r="AA6" i="17"/>
  <c r="AB6" i="17"/>
  <c r="AA203" i="17"/>
  <c r="AA125" i="17"/>
  <c r="AB125" i="17"/>
  <c r="AB336" i="17"/>
  <c r="AA336" i="17"/>
  <c r="AA143" i="17"/>
  <c r="AA434" i="17"/>
  <c r="AB434" i="17"/>
  <c r="AA369" i="17"/>
  <c r="AB369" i="17"/>
  <c r="AA23" i="17"/>
  <c r="AB34" i="19"/>
  <c r="AA34" i="19"/>
  <c r="AA14" i="19"/>
  <c r="AB14" i="19"/>
  <c r="AA474" i="17"/>
  <c r="AA33" i="19"/>
  <c r="AB33" i="19"/>
  <c r="AB246" i="17"/>
  <c r="AA246" i="17"/>
  <c r="AA172" i="17"/>
  <c r="AB172" i="17"/>
  <c r="AA413" i="17"/>
  <c r="AA443" i="17"/>
  <c r="AA4" i="17"/>
  <c r="AB4" i="17"/>
  <c r="AA66" i="17"/>
  <c r="AB66" i="17"/>
  <c r="AA69" i="17"/>
  <c r="AB69" i="17"/>
  <c r="AA318" i="17"/>
  <c r="AA485" i="17"/>
  <c r="AB485" i="17"/>
  <c r="AA94" i="17"/>
  <c r="AB94" i="17"/>
  <c r="AA488" i="17"/>
  <c r="AB412" i="17"/>
  <c r="AA412" i="17"/>
  <c r="AA5" i="17"/>
  <c r="AB5" i="17"/>
  <c r="L197" i="9"/>
  <c r="Y197" i="9" s="1"/>
  <c r="W197" i="9"/>
  <c r="W167" i="9"/>
  <c r="L167" i="9"/>
  <c r="Y167" i="9" s="1"/>
  <c r="L107" i="9"/>
  <c r="Y107" i="9" s="1"/>
  <c r="W107" i="9"/>
  <c r="O10" i="19"/>
  <c r="U10" i="19" s="1"/>
  <c r="Z10" i="19" s="1"/>
  <c r="O9" i="19"/>
  <c r="U9" i="19" s="1"/>
  <c r="Z9" i="19" s="1"/>
  <c r="O19" i="19"/>
  <c r="U19" i="19" s="1"/>
  <c r="Z19" i="19" s="1"/>
  <c r="O21" i="19"/>
  <c r="U21" i="19" s="1"/>
  <c r="O24" i="19"/>
  <c r="O29" i="19"/>
  <c r="U29" i="19" s="1"/>
  <c r="Z29" i="19" s="1"/>
  <c r="O6" i="19"/>
  <c r="U6" i="19" s="1"/>
  <c r="Z6" i="19" s="1"/>
  <c r="O8" i="19"/>
  <c r="O20" i="19"/>
  <c r="O22" i="19"/>
  <c r="U22" i="19" s="1"/>
  <c r="Z22" i="19" s="1"/>
  <c r="O23" i="19"/>
  <c r="O28" i="19"/>
  <c r="U28" i="19" s="1"/>
  <c r="Z28" i="19" s="1"/>
  <c r="O5" i="19"/>
  <c r="U5" i="19" s="1"/>
  <c r="Z5" i="19" s="1"/>
  <c r="O18" i="19"/>
  <c r="O25" i="19"/>
  <c r="U25" i="19" s="1"/>
  <c r="Z25" i="19" s="1"/>
  <c r="O27" i="19"/>
  <c r="U27" i="19" s="1"/>
  <c r="Z27" i="19" s="1"/>
  <c r="O7" i="19"/>
  <c r="O30" i="19"/>
  <c r="U30" i="19" s="1"/>
  <c r="Z30" i="19" s="1"/>
  <c r="O4" i="19"/>
  <c r="U4" i="19" s="1"/>
  <c r="Z4" i="19" s="1"/>
  <c r="O13" i="19"/>
  <c r="U13" i="19" s="1"/>
  <c r="O14" i="19"/>
  <c r="U14" i="19" s="1"/>
  <c r="Z14" i="19" s="1"/>
  <c r="O15" i="19"/>
  <c r="U15" i="19" s="1"/>
  <c r="O17" i="19"/>
  <c r="O26" i="19"/>
  <c r="U26" i="19" s="1"/>
  <c r="Z26" i="19" s="1"/>
  <c r="O32" i="19"/>
  <c r="U32" i="19" s="1"/>
  <c r="Z32" i="19" s="1"/>
  <c r="O11" i="19"/>
  <c r="O12" i="19"/>
  <c r="U12" i="19" s="1"/>
  <c r="Z12" i="19" s="1"/>
  <c r="O16" i="19"/>
  <c r="U16" i="19" s="1"/>
  <c r="O31" i="19"/>
  <c r="U31" i="19" s="1"/>
  <c r="Z31" i="19" s="1"/>
  <c r="O7" i="17"/>
  <c r="O11" i="17"/>
  <c r="O15" i="17"/>
  <c r="U15" i="17" s="1"/>
  <c r="O24" i="17"/>
  <c r="O20" i="17"/>
  <c r="U20" i="17" s="1"/>
  <c r="O28" i="17"/>
  <c r="U28" i="17" s="1"/>
  <c r="Z28" i="17" s="1"/>
  <c r="O6" i="17"/>
  <c r="U6" i="17" s="1"/>
  <c r="Z6" i="17" s="1"/>
  <c r="O10" i="17"/>
  <c r="U10" i="17" s="1"/>
  <c r="Z10" i="17" s="1"/>
  <c r="O14" i="17"/>
  <c r="U14" i="17" s="1"/>
  <c r="Z14" i="17" s="1"/>
  <c r="O19" i="17"/>
  <c r="U19" i="17" s="1"/>
  <c r="Z19" i="17" s="1"/>
  <c r="O23" i="17"/>
  <c r="O27" i="17"/>
  <c r="U27" i="17" s="1"/>
  <c r="Z27" i="17" s="1"/>
  <c r="O5" i="17"/>
  <c r="U5" i="17" s="1"/>
  <c r="Z5" i="17" s="1"/>
  <c r="O22" i="17"/>
  <c r="U22" i="17" s="1"/>
  <c r="Z22" i="17" s="1"/>
  <c r="O29" i="17"/>
  <c r="U29" i="17" s="1"/>
  <c r="Z29" i="17" s="1"/>
  <c r="O32" i="17"/>
  <c r="U32" i="17" s="1"/>
  <c r="Z32" i="17" s="1"/>
  <c r="O9" i="17"/>
  <c r="U9" i="17" s="1"/>
  <c r="Z9" i="17" s="1"/>
  <c r="O13" i="17"/>
  <c r="U13" i="17" s="1"/>
  <c r="O18" i="17"/>
  <c r="O21" i="17"/>
  <c r="U21" i="17" s="1"/>
  <c r="O25" i="17"/>
  <c r="U25" i="17" s="1"/>
  <c r="Z25" i="17" s="1"/>
  <c r="O26" i="17"/>
  <c r="U26" i="17" s="1"/>
  <c r="Z26" i="17" s="1"/>
  <c r="O8" i="17"/>
  <c r="O12" i="17"/>
  <c r="O17" i="17"/>
  <c r="O4" i="17"/>
  <c r="U4" i="17" s="1"/>
  <c r="Z4" i="17" s="1"/>
  <c r="O30" i="17"/>
  <c r="U30" i="17" s="1"/>
  <c r="Z30" i="17" s="1"/>
  <c r="O16" i="17"/>
  <c r="U16" i="17" s="1"/>
  <c r="O31" i="17"/>
  <c r="U31" i="17" s="1"/>
  <c r="Z31" i="17" s="1"/>
  <c r="O13" i="16"/>
  <c r="U13" i="16" s="1"/>
  <c r="O14" i="16"/>
  <c r="U14" i="16" s="1"/>
  <c r="O18" i="16"/>
  <c r="O8" i="16"/>
  <c r="O9" i="16"/>
  <c r="U9" i="16" s="1"/>
  <c r="O10" i="16"/>
  <c r="U10" i="16" s="1"/>
  <c r="O6" i="16"/>
  <c r="U6" i="16" s="1"/>
  <c r="O23" i="16"/>
  <c r="O29" i="16"/>
  <c r="U29" i="16" s="1"/>
  <c r="Z29" i="16" s="1"/>
  <c r="O11" i="16"/>
  <c r="U11" i="16" s="1"/>
  <c r="Z11" i="16" s="1"/>
  <c r="O12" i="16"/>
  <c r="O21" i="16"/>
  <c r="U21" i="16" s="1"/>
  <c r="O22" i="16"/>
  <c r="U22" i="16" s="1"/>
  <c r="O26" i="16"/>
  <c r="U26" i="16" s="1"/>
  <c r="Z26" i="16" s="1"/>
  <c r="O5" i="16"/>
  <c r="U5" i="16" s="1"/>
  <c r="O19" i="16"/>
  <c r="U19" i="16" s="1"/>
  <c r="O20" i="16"/>
  <c r="O25" i="16"/>
  <c r="U25" i="16" s="1"/>
  <c r="Z25" i="16" s="1"/>
  <c r="O27" i="16"/>
  <c r="U27" i="16" s="1"/>
  <c r="Z27" i="16" s="1"/>
  <c r="O28" i="16"/>
  <c r="U28" i="16" s="1"/>
  <c r="Z28" i="16" s="1"/>
  <c r="O31" i="16"/>
  <c r="U31" i="16" s="1"/>
  <c r="Z31" i="16" s="1"/>
  <c r="O30" i="16"/>
  <c r="U30" i="16" s="1"/>
  <c r="Z30" i="16" s="1"/>
  <c r="O16" i="16"/>
  <c r="U16" i="16" s="1"/>
  <c r="O17" i="16"/>
  <c r="O26" i="9"/>
  <c r="U26" i="9" s="1"/>
  <c r="Z26" i="9" s="1"/>
  <c r="O25" i="9"/>
  <c r="U25" i="9" s="1"/>
  <c r="Z25" i="9" s="1"/>
  <c r="O27" i="9"/>
  <c r="U27" i="9" s="1"/>
  <c r="Z27" i="9" s="1"/>
  <c r="O29" i="9"/>
  <c r="U29" i="9" s="1"/>
  <c r="Z29" i="9" s="1"/>
  <c r="O31" i="9"/>
  <c r="U31" i="9" s="1"/>
  <c r="Z31" i="9" s="1"/>
  <c r="O32" i="16"/>
  <c r="U32" i="16" s="1"/>
  <c r="Z32" i="16" s="1"/>
  <c r="O4" i="16"/>
  <c r="U4" i="16" s="1"/>
  <c r="O24" i="16"/>
  <c r="O32" i="9"/>
  <c r="U32" i="9" s="1"/>
  <c r="Z32" i="9" s="1"/>
  <c r="O7" i="16"/>
  <c r="O30" i="9"/>
  <c r="U30" i="9" s="1"/>
  <c r="Z30" i="9" s="1"/>
  <c r="O28" i="9"/>
  <c r="U28" i="9" s="1"/>
  <c r="Z28" i="9" s="1"/>
  <c r="O15" i="16"/>
  <c r="U15" i="16" s="1"/>
  <c r="W38" i="9"/>
  <c r="L38" i="9"/>
  <c r="Y38" i="9" s="1"/>
  <c r="W78" i="9"/>
  <c r="L78" i="9"/>
  <c r="Y78" i="9" s="1"/>
  <c r="W47" i="9"/>
  <c r="L47" i="9"/>
  <c r="Y47" i="9" s="1"/>
  <c r="AA252" i="19"/>
  <c r="AA186" i="19"/>
  <c r="AB186" i="19"/>
  <c r="AA263" i="19"/>
  <c r="AA78" i="19"/>
  <c r="AB333" i="19"/>
  <c r="AA333" i="19"/>
  <c r="AA336" i="19"/>
  <c r="AB336" i="19"/>
  <c r="AA107" i="19"/>
  <c r="AA312" i="19"/>
  <c r="AA74" i="19"/>
  <c r="AB74" i="19"/>
  <c r="AA257" i="19"/>
  <c r="AA68" i="19"/>
  <c r="AA215" i="19"/>
  <c r="AB215" i="19"/>
  <c r="AA292" i="19"/>
  <c r="AB292" i="19"/>
  <c r="AA354" i="19"/>
  <c r="AA273" i="19"/>
  <c r="AB273" i="19"/>
  <c r="AA159" i="19"/>
  <c r="AB159" i="19"/>
  <c r="AA248" i="19"/>
  <c r="AA368" i="19"/>
  <c r="AB426" i="19"/>
  <c r="AA426" i="19"/>
  <c r="AA428" i="19"/>
  <c r="AA143" i="19"/>
  <c r="AB382" i="19"/>
  <c r="AA382" i="19"/>
  <c r="AA443" i="19"/>
  <c r="AA363" i="19"/>
  <c r="AB363" i="19"/>
  <c r="AA378" i="19"/>
  <c r="AA502" i="19"/>
  <c r="AB502" i="19"/>
  <c r="AA412" i="19"/>
  <c r="AB412" i="19"/>
  <c r="AA305" i="16"/>
  <c r="AB305" i="16"/>
  <c r="AA273" i="17"/>
  <c r="AB273" i="17"/>
  <c r="AA214" i="17"/>
  <c r="AB214" i="17"/>
  <c r="AB304" i="17"/>
  <c r="AA304" i="17"/>
  <c r="AA199" i="17"/>
  <c r="AB199" i="17"/>
  <c r="AA365" i="17"/>
  <c r="AB365" i="17"/>
  <c r="AA409" i="17"/>
  <c r="AB409" i="17"/>
  <c r="AA353" i="17"/>
  <c r="AA204" i="17"/>
  <c r="AA423" i="17"/>
  <c r="AB423" i="17"/>
  <c r="AA438" i="17"/>
  <c r="AA263" i="17"/>
  <c r="AA334" i="17"/>
  <c r="AB334" i="17"/>
  <c r="AA54" i="17"/>
  <c r="AA414" i="17"/>
  <c r="AB213" i="17"/>
  <c r="AA213" i="17"/>
  <c r="AA188" i="17"/>
  <c r="AB39" i="19"/>
  <c r="AA39" i="19"/>
  <c r="AA53" i="19"/>
  <c r="AA473" i="17"/>
  <c r="AB22" i="19"/>
  <c r="AA22" i="19"/>
  <c r="AA185" i="17"/>
  <c r="AB185" i="17"/>
  <c r="AA444" i="17"/>
  <c r="AA109" i="17"/>
  <c r="AB109" i="17"/>
  <c r="AA289" i="17"/>
  <c r="AB289" i="17"/>
  <c r="AA428" i="17"/>
  <c r="AA36" i="17"/>
  <c r="AB36" i="17"/>
  <c r="AA95" i="17"/>
  <c r="AB95" i="17"/>
  <c r="AB349" i="17"/>
  <c r="AA349" i="17"/>
  <c r="AB486" i="17"/>
  <c r="AA486" i="17"/>
  <c r="AA464" i="17"/>
  <c r="AB464" i="17"/>
  <c r="AA459" i="17"/>
  <c r="AB459" i="17"/>
  <c r="AB35" i="17"/>
  <c r="AA35" i="17"/>
  <c r="W218" i="9"/>
  <c r="L218" i="9"/>
  <c r="Y218" i="9" s="1"/>
  <c r="W188" i="9"/>
  <c r="L188" i="9"/>
  <c r="Y188" i="9" s="1"/>
  <c r="L128" i="9"/>
  <c r="Y128" i="9" s="1"/>
  <c r="W128" i="9"/>
  <c r="L17" i="9"/>
  <c r="Y17" i="9" s="1"/>
  <c r="W17" i="9"/>
  <c r="AB63" i="19"/>
  <c r="AA63" i="19"/>
  <c r="AA348" i="19"/>
  <c r="AA204" i="19"/>
  <c r="AA94" i="19"/>
  <c r="AB94" i="19"/>
  <c r="AA284" i="19"/>
  <c r="AB284" i="19"/>
  <c r="AB246" i="19"/>
  <c r="AA246" i="19"/>
  <c r="AA258" i="19"/>
  <c r="AA162" i="19"/>
  <c r="AA96" i="19"/>
  <c r="AB96" i="19"/>
  <c r="AA353" i="19"/>
  <c r="AB202" i="19"/>
  <c r="AA202" i="19"/>
  <c r="AA279" i="19"/>
  <c r="AB279" i="19"/>
  <c r="AA338" i="19"/>
  <c r="AB232" i="19"/>
  <c r="AA232" i="19"/>
  <c r="AB352" i="19"/>
  <c r="AA352" i="19"/>
  <c r="AB155" i="19"/>
  <c r="AA155" i="19"/>
  <c r="AA153" i="19"/>
  <c r="AB153" i="19"/>
  <c r="AA413" i="19"/>
  <c r="AA474" i="19"/>
  <c r="AA407" i="19"/>
  <c r="AA369" i="19"/>
  <c r="AB369" i="19"/>
  <c r="AB483" i="19"/>
  <c r="AA483" i="19"/>
  <c r="AA126" i="19"/>
  <c r="AB126" i="19"/>
  <c r="AA439" i="19"/>
  <c r="AB439" i="19"/>
  <c r="AB442" i="19"/>
  <c r="AA442" i="19"/>
  <c r="AA132" i="19"/>
  <c r="AA399" i="19"/>
  <c r="AB399" i="19"/>
  <c r="AA503" i="19"/>
  <c r="AA414" i="19"/>
  <c r="AA323" i="17"/>
  <c r="AA98" i="17"/>
  <c r="AA352" i="17"/>
  <c r="AB352" i="17"/>
  <c r="AA303" i="17"/>
  <c r="AB303" i="17"/>
  <c r="AA183" i="17"/>
  <c r="AB183" i="17"/>
  <c r="AA278" i="17"/>
  <c r="AB139" i="17"/>
  <c r="AA139" i="17"/>
  <c r="AA339" i="17"/>
  <c r="AB339" i="17"/>
  <c r="AA184" i="17"/>
  <c r="AB184" i="17"/>
  <c r="AA468" i="17"/>
  <c r="AB194" i="17"/>
  <c r="AA194" i="17"/>
  <c r="AA52" i="17"/>
  <c r="AB52" i="17"/>
  <c r="AA78" i="17"/>
  <c r="AA38" i="17"/>
  <c r="AA12" i="19"/>
  <c r="AA5" i="19"/>
  <c r="AB5" i="19"/>
  <c r="AA503" i="17"/>
  <c r="AA23" i="19"/>
  <c r="AA14" i="17"/>
  <c r="AB14" i="17"/>
  <c r="AA232" i="17"/>
  <c r="AB232" i="17"/>
  <c r="AB404" i="17"/>
  <c r="AA404" i="17"/>
  <c r="AA384" i="17"/>
  <c r="AA504" i="17"/>
  <c r="AB65" i="17"/>
  <c r="AA65" i="17"/>
  <c r="AA114" i="17"/>
  <c r="AA363" i="17"/>
  <c r="AB363" i="17"/>
  <c r="AB484" i="17"/>
  <c r="AA484" i="17"/>
  <c r="AA258" i="17"/>
  <c r="AB502" i="17"/>
  <c r="AA502" i="17"/>
  <c r="AA379" i="17"/>
  <c r="AB379" i="17"/>
  <c r="AA108" i="17"/>
  <c r="AB424" i="17"/>
  <c r="AA424" i="17"/>
  <c r="W102" i="9"/>
  <c r="L102" i="9"/>
  <c r="Y102" i="9" s="1"/>
  <c r="W68" i="9"/>
  <c r="L68" i="9"/>
  <c r="Y68" i="9" s="1"/>
  <c r="L198" i="9"/>
  <c r="Y198" i="9" s="1"/>
  <c r="W198" i="9"/>
  <c r="W72" i="9"/>
  <c r="L72" i="9"/>
  <c r="Y72" i="9" s="1"/>
  <c r="W24" i="9"/>
  <c r="AA275" i="19"/>
  <c r="AB275" i="19"/>
  <c r="AB244" i="19"/>
  <c r="AA244" i="19"/>
  <c r="AA259" i="19"/>
  <c r="AB259" i="19"/>
  <c r="AB82" i="19"/>
  <c r="AA82" i="19"/>
  <c r="AA95" i="19"/>
  <c r="AB95" i="19"/>
  <c r="AA114" i="19"/>
  <c r="AA289" i="19"/>
  <c r="AB289" i="19"/>
  <c r="AA218" i="19"/>
  <c r="AA243" i="19"/>
  <c r="AB243" i="19"/>
  <c r="AB156" i="19"/>
  <c r="AA156" i="19"/>
  <c r="AA203" i="19"/>
  <c r="AB334" i="19"/>
  <c r="AA334" i="19"/>
  <c r="AA128" i="19"/>
  <c r="AA138" i="19"/>
  <c r="AA486" i="19"/>
  <c r="AB486" i="19"/>
  <c r="AA499" i="19"/>
  <c r="AB499" i="19"/>
  <c r="AA444" i="19"/>
  <c r="AA484" i="19"/>
  <c r="AB484" i="19"/>
  <c r="AB142" i="19"/>
  <c r="AA142" i="19"/>
  <c r="AB459" i="19"/>
  <c r="AA459" i="19"/>
  <c r="AB425" i="19"/>
  <c r="AA425" i="19"/>
  <c r="AA429" i="19"/>
  <c r="AB429" i="19"/>
  <c r="AB304" i="16"/>
  <c r="AA304" i="16"/>
  <c r="AA322" i="17"/>
  <c r="AB322" i="17"/>
  <c r="AB156" i="17"/>
  <c r="AA156" i="17"/>
  <c r="AB164" i="17"/>
  <c r="AA164" i="17"/>
  <c r="AA279" i="17"/>
  <c r="AB279" i="17"/>
  <c r="AB364" i="17"/>
  <c r="AA364" i="17"/>
  <c r="AA368" i="17"/>
  <c r="AA64" i="17"/>
  <c r="AB64" i="17"/>
  <c r="AB134" i="17"/>
  <c r="AA134" i="17"/>
  <c r="AA308" i="17"/>
  <c r="AA453" i="17"/>
  <c r="AB453" i="17"/>
  <c r="AB124" i="17"/>
  <c r="AA124" i="17"/>
  <c r="AA324" i="17"/>
  <c r="AA264" i="17"/>
  <c r="AA394" i="17"/>
  <c r="AB394" i="17"/>
  <c r="AA132" i="17"/>
  <c r="AA6" i="19"/>
  <c r="AB6" i="19"/>
  <c r="AA44" i="19"/>
  <c r="AB44" i="19"/>
  <c r="AA383" i="17"/>
  <c r="AA442" i="17"/>
  <c r="AB442" i="17"/>
  <c r="AA129" i="17"/>
  <c r="AB129" i="17"/>
  <c r="AA249" i="17"/>
  <c r="AB249" i="17"/>
  <c r="AA489" i="17"/>
  <c r="AB489" i="17"/>
  <c r="AA19" i="17"/>
  <c r="AB19" i="17"/>
  <c r="AB425" i="17"/>
  <c r="AA425" i="17"/>
  <c r="AA99" i="17"/>
  <c r="AB99" i="17"/>
  <c r="AB219" i="17"/>
  <c r="AA219" i="17"/>
  <c r="AB284" i="17"/>
  <c r="AA284" i="17"/>
  <c r="AA24" i="19"/>
  <c r="AA244" i="17"/>
  <c r="AB244" i="17"/>
  <c r="AB44" i="17"/>
  <c r="AA44" i="17"/>
  <c r="AA439" i="17"/>
  <c r="AB439" i="17"/>
  <c r="AB305" i="17"/>
  <c r="AA305" i="17"/>
  <c r="W233" i="9"/>
  <c r="L233" i="9"/>
  <c r="Y233" i="9" s="1"/>
  <c r="W132" i="9"/>
  <c r="L132" i="9"/>
  <c r="Y132" i="9" s="1"/>
  <c r="W228" i="9"/>
  <c r="L228" i="9"/>
  <c r="Y228" i="9" s="1"/>
  <c r="W168" i="9"/>
  <c r="L168" i="9"/>
  <c r="Y168" i="9" s="1"/>
  <c r="W114" i="9"/>
  <c r="L114" i="9"/>
  <c r="Y114" i="9" s="1"/>
  <c r="W8" i="9"/>
  <c r="L8" i="9"/>
  <c r="Y8" i="9" s="1"/>
  <c r="AA249" i="19"/>
  <c r="AB249" i="19"/>
  <c r="AA305" i="19"/>
  <c r="AB305" i="19"/>
  <c r="AA64" i="19"/>
  <c r="AB64" i="19"/>
  <c r="AA173" i="19"/>
  <c r="AA276" i="19"/>
  <c r="AB276" i="19"/>
  <c r="AA167" i="19"/>
  <c r="AA158" i="19"/>
  <c r="AA102" i="19"/>
  <c r="AA69" i="19"/>
  <c r="AB69" i="19"/>
  <c r="AA317" i="19"/>
  <c r="AB104" i="19"/>
  <c r="AA104" i="19"/>
  <c r="AB109" i="19"/>
  <c r="AA109" i="19"/>
  <c r="AA323" i="19"/>
  <c r="AA318" i="19"/>
  <c r="AA189" i="19"/>
  <c r="AB189" i="19"/>
  <c r="AB374" i="19"/>
  <c r="AA374" i="19"/>
  <c r="AB395" i="19"/>
  <c r="AA395" i="19"/>
  <c r="AA498" i="19"/>
  <c r="AA494" i="19"/>
  <c r="AB494" i="19"/>
  <c r="AA129" i="19"/>
  <c r="AB129" i="19"/>
  <c r="AA485" i="19"/>
  <c r="AB485" i="19"/>
  <c r="AA396" i="19"/>
  <c r="AB396" i="19"/>
  <c r="AA438" i="19"/>
  <c r="AA372" i="19"/>
  <c r="AA467" i="19"/>
  <c r="AA18" i="17"/>
  <c r="AA303" i="16"/>
  <c r="AB303" i="16"/>
  <c r="AA224" i="17"/>
  <c r="AB224" i="17"/>
  <c r="AA9" i="17"/>
  <c r="AB9" i="17"/>
  <c r="AA215" i="17"/>
  <c r="AB215" i="17"/>
  <c r="AA248" i="17"/>
  <c r="AB33" i="17"/>
  <c r="AA33" i="17"/>
  <c r="AA155" i="17"/>
  <c r="AB155" i="17"/>
  <c r="AB123" i="17"/>
  <c r="AA123" i="17"/>
  <c r="AA288" i="17"/>
  <c r="AA309" i="17"/>
  <c r="AB309" i="17"/>
  <c r="AA374" i="17"/>
  <c r="AB374" i="17"/>
  <c r="AA344" i="17"/>
  <c r="AB344" i="17"/>
  <c r="AA202" i="17"/>
  <c r="AB202" i="17"/>
  <c r="AB243" i="17"/>
  <c r="AA243" i="17"/>
  <c r="AA18" i="19"/>
  <c r="AB49" i="19"/>
  <c r="AA49" i="19"/>
  <c r="AB382" i="17"/>
  <c r="AA382" i="17"/>
  <c r="AA254" i="17"/>
  <c r="AB254" i="17"/>
  <c r="AA274" i="17"/>
  <c r="AB274" i="17"/>
  <c r="AA34" i="17"/>
  <c r="AB34" i="17"/>
  <c r="AA52" i="19"/>
  <c r="AB52" i="19"/>
  <c r="AB499" i="17"/>
  <c r="AA499" i="17"/>
  <c r="AA233" i="17"/>
  <c r="AB454" i="17"/>
  <c r="AA454" i="17"/>
  <c r="AB189" i="17"/>
  <c r="AA189" i="17"/>
  <c r="AA234" i="17"/>
  <c r="AA396" i="17"/>
  <c r="AB396" i="17"/>
  <c r="AA83" i="17"/>
  <c r="AB292" i="17"/>
  <c r="AA292" i="17"/>
  <c r="AA494" i="17"/>
  <c r="AB494" i="17"/>
  <c r="AA38" i="19"/>
  <c r="AA429" i="17"/>
  <c r="AB429" i="17"/>
  <c r="W203" i="9"/>
  <c r="L203" i="9"/>
  <c r="Y203" i="9" s="1"/>
  <c r="W77" i="9"/>
  <c r="L77" i="9"/>
  <c r="Y77" i="9" s="1"/>
  <c r="W158" i="9"/>
  <c r="L158" i="9"/>
  <c r="Y158" i="9" s="1"/>
  <c r="AA77" i="19"/>
  <c r="AB199" i="19"/>
  <c r="AA199" i="19"/>
  <c r="AA278" i="19"/>
  <c r="AA308" i="19"/>
  <c r="AA288" i="19"/>
  <c r="AB229" i="19"/>
  <c r="AA229" i="19"/>
  <c r="AA198" i="19"/>
  <c r="AA98" i="19"/>
  <c r="AA233" i="19"/>
  <c r="AA168" i="19"/>
  <c r="AA83" i="19"/>
  <c r="AA282" i="19"/>
  <c r="AA184" i="19"/>
  <c r="AB184" i="19"/>
  <c r="AA214" i="19"/>
  <c r="AB214" i="19"/>
  <c r="AA306" i="19"/>
  <c r="AB306" i="19"/>
  <c r="AB112" i="19"/>
  <c r="AA112" i="19"/>
  <c r="AA458" i="19"/>
  <c r="AA384" i="19"/>
  <c r="AA365" i="19"/>
  <c r="AB365" i="19"/>
  <c r="AA492" i="19"/>
  <c r="AA489" i="19"/>
  <c r="AB489" i="19"/>
  <c r="AA364" i="19"/>
  <c r="AB364" i="19"/>
  <c r="AA139" i="19"/>
  <c r="AB139" i="19"/>
  <c r="AB404" i="19"/>
  <c r="AA404" i="19"/>
  <c r="AA504" i="19"/>
  <c r="AA377" i="19"/>
  <c r="AA432" i="19"/>
  <c r="AB309" i="16"/>
  <c r="AA309" i="16"/>
  <c r="AA168" i="17"/>
  <c r="AA262" i="17"/>
  <c r="AB262" i="17"/>
  <c r="AB63" i="17"/>
  <c r="AA63" i="17"/>
  <c r="AB216" i="17"/>
  <c r="AA216" i="17"/>
  <c r="AA458" i="17"/>
  <c r="AA96" i="17"/>
  <c r="AB96" i="17"/>
  <c r="AA53" i="17"/>
  <c r="AB469" i="17"/>
  <c r="AA469" i="17"/>
  <c r="AB153" i="17"/>
  <c r="AA153" i="17"/>
  <c r="AA338" i="17"/>
  <c r="AA174" i="17"/>
  <c r="AB93" i="17"/>
  <c r="AA93" i="17"/>
  <c r="AA8" i="19"/>
  <c r="AA4" i="19"/>
  <c r="AB4" i="19"/>
  <c r="AA128" i="17"/>
  <c r="AA276" i="17"/>
  <c r="AB276" i="17"/>
  <c r="AA319" i="17"/>
  <c r="AB319" i="17"/>
  <c r="AA54" i="19"/>
  <c r="AB483" i="17"/>
  <c r="AA483" i="17"/>
  <c r="AA228" i="17"/>
  <c r="AB456" i="17"/>
  <c r="AA456" i="17"/>
  <c r="AA378" i="17"/>
  <c r="AA84" i="17"/>
  <c r="AA333" i="17"/>
  <c r="AB333" i="17"/>
  <c r="AB186" i="17"/>
  <c r="AA186" i="17"/>
  <c r="AA158" i="17"/>
  <c r="AA169" i="17"/>
  <c r="AB169" i="17"/>
  <c r="W137" i="9"/>
  <c r="L137" i="9"/>
  <c r="Y137" i="9" s="1"/>
  <c r="O35" i="19"/>
  <c r="U35" i="19" s="1"/>
  <c r="Z35" i="19" s="1"/>
  <c r="O49" i="19"/>
  <c r="U49" i="19" s="1"/>
  <c r="Z49" i="19" s="1"/>
  <c r="O54" i="19"/>
  <c r="O37" i="19"/>
  <c r="O38" i="19"/>
  <c r="O42" i="19"/>
  <c r="O48" i="19"/>
  <c r="O34" i="19"/>
  <c r="U34" i="19" s="1"/>
  <c r="Z34" i="19" s="1"/>
  <c r="O41" i="19"/>
  <c r="O53" i="19"/>
  <c r="O55" i="19"/>
  <c r="U55" i="19" s="1"/>
  <c r="Z55" i="19" s="1"/>
  <c r="O56" i="19"/>
  <c r="U56" i="19" s="1"/>
  <c r="Z56" i="19" s="1"/>
  <c r="O57" i="19"/>
  <c r="U57" i="19" s="1"/>
  <c r="Z57" i="19" s="1"/>
  <c r="O60" i="19"/>
  <c r="U60" i="19" s="1"/>
  <c r="Z60" i="19" s="1"/>
  <c r="O47" i="19"/>
  <c r="O50" i="19"/>
  <c r="U50" i="19" s="1"/>
  <c r="O61" i="19"/>
  <c r="U61" i="19" s="1"/>
  <c r="Z61" i="19" s="1"/>
  <c r="O62" i="19"/>
  <c r="U62" i="19" s="1"/>
  <c r="Z62" i="19" s="1"/>
  <c r="O33" i="19"/>
  <c r="U33" i="19" s="1"/>
  <c r="O45" i="19"/>
  <c r="U45" i="19" s="1"/>
  <c r="O46" i="19"/>
  <c r="U46" i="19" s="1"/>
  <c r="O51" i="19"/>
  <c r="U51" i="19" s="1"/>
  <c r="O52" i="19"/>
  <c r="U52" i="19" s="1"/>
  <c r="Z52" i="19" s="1"/>
  <c r="O59" i="19"/>
  <c r="U59" i="19" s="1"/>
  <c r="Z59" i="19" s="1"/>
  <c r="O58" i="19"/>
  <c r="U58" i="19" s="1"/>
  <c r="Z58" i="19" s="1"/>
  <c r="O44" i="19"/>
  <c r="U44" i="19" s="1"/>
  <c r="Z44" i="19" s="1"/>
  <c r="O36" i="19"/>
  <c r="U36" i="19" s="1"/>
  <c r="Z36" i="19" s="1"/>
  <c r="O39" i="19"/>
  <c r="U39" i="19" s="1"/>
  <c r="Z39" i="19" s="1"/>
  <c r="O40" i="19"/>
  <c r="U40" i="19" s="1"/>
  <c r="Z40" i="19" s="1"/>
  <c r="O43" i="19"/>
  <c r="U43" i="19" s="1"/>
  <c r="O34" i="17"/>
  <c r="U34" i="17" s="1"/>
  <c r="Z34" i="17" s="1"/>
  <c r="O42" i="17"/>
  <c r="O53" i="17"/>
  <c r="O33" i="17"/>
  <c r="U33" i="17" s="1"/>
  <c r="O35" i="17"/>
  <c r="U35" i="17" s="1"/>
  <c r="Z35" i="17" s="1"/>
  <c r="O41" i="17"/>
  <c r="O47" i="17"/>
  <c r="O46" i="17"/>
  <c r="U46" i="17" s="1"/>
  <c r="O52" i="17"/>
  <c r="U52" i="17" s="1"/>
  <c r="Z52" i="17" s="1"/>
  <c r="O61" i="17"/>
  <c r="U61" i="17" s="1"/>
  <c r="Z61" i="17" s="1"/>
  <c r="O39" i="17"/>
  <c r="U39" i="17" s="1"/>
  <c r="Z39" i="17" s="1"/>
  <c r="O40" i="17"/>
  <c r="U40" i="17" s="1"/>
  <c r="Z40" i="17" s="1"/>
  <c r="O45" i="17"/>
  <c r="U45" i="17" s="1"/>
  <c r="O51" i="17"/>
  <c r="U51" i="17" s="1"/>
  <c r="O58" i="17"/>
  <c r="U58" i="17" s="1"/>
  <c r="Z58" i="17" s="1"/>
  <c r="O38" i="17"/>
  <c r="O59" i="17"/>
  <c r="U59" i="17" s="1"/>
  <c r="Z59" i="17" s="1"/>
  <c r="O60" i="17"/>
  <c r="U60" i="17" s="1"/>
  <c r="Z60" i="17" s="1"/>
  <c r="O62" i="17"/>
  <c r="U62" i="17" s="1"/>
  <c r="Z62" i="17" s="1"/>
  <c r="O49" i="17"/>
  <c r="U49" i="17" s="1"/>
  <c r="Z49" i="17" s="1"/>
  <c r="O55" i="17"/>
  <c r="U55" i="17" s="1"/>
  <c r="Z55" i="17" s="1"/>
  <c r="O54" i="17"/>
  <c r="O50" i="17"/>
  <c r="U50" i="17" s="1"/>
  <c r="O37" i="17"/>
  <c r="O36" i="17"/>
  <c r="U36" i="17" s="1"/>
  <c r="Z36" i="17" s="1"/>
  <c r="O48" i="17"/>
  <c r="O44" i="17"/>
  <c r="U44" i="17" s="1"/>
  <c r="Z44" i="17" s="1"/>
  <c r="O56" i="17"/>
  <c r="U56" i="17" s="1"/>
  <c r="Z56" i="17" s="1"/>
  <c r="O57" i="17"/>
  <c r="U57" i="17" s="1"/>
  <c r="Z57" i="17" s="1"/>
  <c r="O43" i="17"/>
  <c r="U43" i="17" s="1"/>
  <c r="O35" i="16"/>
  <c r="U35" i="16" s="1"/>
  <c r="O43" i="16"/>
  <c r="U43" i="16" s="1"/>
  <c r="O44" i="16"/>
  <c r="U44" i="16" s="1"/>
  <c r="O45" i="16"/>
  <c r="U45" i="16" s="1"/>
  <c r="O46" i="16"/>
  <c r="U46" i="16" s="1"/>
  <c r="O51" i="16"/>
  <c r="U51" i="16" s="1"/>
  <c r="O60" i="16"/>
  <c r="U60" i="16" s="1"/>
  <c r="Z60" i="16" s="1"/>
  <c r="O58" i="16"/>
  <c r="U58" i="16" s="1"/>
  <c r="Z58" i="16" s="1"/>
  <c r="O34" i="16"/>
  <c r="U34" i="16" s="1"/>
  <c r="O42" i="16"/>
  <c r="O37" i="16"/>
  <c r="O38" i="16"/>
  <c r="O50" i="16"/>
  <c r="U50" i="16" s="1"/>
  <c r="O53" i="16"/>
  <c r="O54" i="16"/>
  <c r="O59" i="16"/>
  <c r="U59" i="16" s="1"/>
  <c r="Z59" i="16" s="1"/>
  <c r="O47" i="16"/>
  <c r="O55" i="16"/>
  <c r="U55" i="16" s="1"/>
  <c r="Z55" i="16" s="1"/>
  <c r="O36" i="16"/>
  <c r="U36" i="16" s="1"/>
  <c r="O40" i="16"/>
  <c r="U40" i="16" s="1"/>
  <c r="O39" i="16"/>
  <c r="U39" i="16" s="1"/>
  <c r="O41" i="16"/>
  <c r="O57" i="16"/>
  <c r="U57" i="16" s="1"/>
  <c r="Z57" i="16" s="1"/>
  <c r="O61" i="16"/>
  <c r="U61" i="16" s="1"/>
  <c r="Z61" i="16" s="1"/>
  <c r="O56" i="9"/>
  <c r="U56" i="9" s="1"/>
  <c r="Z56" i="9" s="1"/>
  <c r="O58" i="9"/>
  <c r="U58" i="9" s="1"/>
  <c r="Z58" i="9" s="1"/>
  <c r="O60" i="9"/>
  <c r="U60" i="9" s="1"/>
  <c r="Z60" i="9" s="1"/>
  <c r="O62" i="9"/>
  <c r="U62" i="9" s="1"/>
  <c r="Z62" i="9" s="1"/>
  <c r="O48" i="16"/>
  <c r="O49" i="16"/>
  <c r="U49" i="16" s="1"/>
  <c r="O52" i="16"/>
  <c r="U52" i="16" s="1"/>
  <c r="O33" i="16"/>
  <c r="U33" i="16" s="1"/>
  <c r="O56" i="16"/>
  <c r="U56" i="16" s="1"/>
  <c r="Z56" i="16" s="1"/>
  <c r="O62" i="16"/>
  <c r="U62" i="16" s="1"/>
  <c r="Z62" i="16" s="1"/>
  <c r="O55" i="9"/>
  <c r="U55" i="9" s="1"/>
  <c r="Z55" i="9" s="1"/>
  <c r="O57" i="9"/>
  <c r="U57" i="9" s="1"/>
  <c r="Z57" i="9" s="1"/>
  <c r="O59" i="9"/>
  <c r="U59" i="9" s="1"/>
  <c r="Z59" i="9" s="1"/>
  <c r="O61" i="9"/>
  <c r="U61" i="9" s="1"/>
  <c r="Z61" i="9" s="1"/>
  <c r="W98" i="9"/>
  <c r="L98" i="9"/>
  <c r="Y98" i="9" s="1"/>
  <c r="W108" i="9"/>
  <c r="L108" i="9"/>
  <c r="Y108" i="9" s="1"/>
  <c r="W53" i="9"/>
  <c r="L53" i="9"/>
  <c r="Y53" i="9" s="1"/>
  <c r="W23" i="9"/>
  <c r="L23" i="9"/>
  <c r="Y23" i="9" s="1"/>
  <c r="AA65" i="19"/>
  <c r="AB65" i="19"/>
  <c r="AA183" i="19"/>
  <c r="AB183" i="19"/>
  <c r="AB254" i="19"/>
  <c r="AA254" i="19"/>
  <c r="AA324" i="19"/>
  <c r="AB309" i="19"/>
  <c r="AA309" i="19"/>
  <c r="AA164" i="19"/>
  <c r="AB164" i="19"/>
  <c r="AA174" i="19"/>
  <c r="AB344" i="19"/>
  <c r="AA344" i="19"/>
  <c r="AA274" i="19"/>
  <c r="AB274" i="19"/>
  <c r="AA293" i="19"/>
  <c r="AA335" i="19"/>
  <c r="AB335" i="19"/>
  <c r="AB245" i="19"/>
  <c r="AA245" i="19"/>
  <c r="AA169" i="19"/>
  <c r="AB169" i="19"/>
  <c r="AA185" i="19"/>
  <c r="AB185" i="19"/>
  <c r="AB349" i="19"/>
  <c r="AA349" i="19"/>
  <c r="AA472" i="19"/>
  <c r="AB472" i="19"/>
  <c r="AA398" i="19"/>
  <c r="AB456" i="19"/>
  <c r="AA456" i="19"/>
  <c r="AB123" i="19"/>
  <c r="AA123" i="19"/>
  <c r="AA468" i="19"/>
  <c r="AA134" i="19"/>
  <c r="AB134" i="19"/>
  <c r="AA383" i="19"/>
  <c r="AA394" i="19"/>
  <c r="AB394" i="19"/>
  <c r="AB424" i="19"/>
  <c r="AA424" i="19"/>
  <c r="AB434" i="19"/>
  <c r="AA434" i="19"/>
  <c r="AA473" i="19"/>
  <c r="AA173" i="17"/>
  <c r="AB49" i="17"/>
  <c r="AA49" i="17"/>
  <c r="AA218" i="17"/>
  <c r="AA19" i="19"/>
  <c r="AB19" i="19"/>
  <c r="AA395" i="17"/>
  <c r="AB395" i="17"/>
  <c r="AA245" i="17"/>
  <c r="AB245" i="17"/>
  <c r="AA48" i="17"/>
  <c r="AA113" i="17"/>
  <c r="AA159" i="17"/>
  <c r="AB159" i="17"/>
  <c r="AA354" i="17"/>
  <c r="AA48" i="19"/>
  <c r="AB314" i="17"/>
  <c r="AA314" i="17"/>
  <c r="AA294" i="17"/>
  <c r="AA408" i="17"/>
  <c r="AB306" i="17"/>
  <c r="AA306" i="17"/>
  <c r="AA104" i="17"/>
  <c r="AB104" i="17"/>
  <c r="AA348" i="17"/>
  <c r="AA498" i="17"/>
  <c r="AB455" i="17"/>
  <c r="AA455" i="17"/>
  <c r="AB275" i="17"/>
  <c r="AA275" i="17"/>
  <c r="AA9" i="19"/>
  <c r="AB9" i="19"/>
  <c r="AA472" i="17"/>
  <c r="AB472" i="17"/>
  <c r="AB259" i="17"/>
  <c r="AA259" i="17"/>
  <c r="AA82" i="17"/>
  <c r="AB82" i="17"/>
  <c r="AA432" i="17"/>
  <c r="W83" i="9"/>
  <c r="L83" i="9"/>
  <c r="Y83" i="9" s="1"/>
  <c r="W113" i="9"/>
  <c r="L113" i="9"/>
  <c r="Y113" i="9" s="1"/>
  <c r="W42" i="9"/>
  <c r="L42" i="9"/>
  <c r="Y42" i="9" s="1"/>
  <c r="W12" i="9"/>
  <c r="L12" i="9"/>
  <c r="Y12" i="9" s="1"/>
  <c r="L347" i="9"/>
  <c r="Y347" i="9" s="1"/>
  <c r="L504" i="9"/>
  <c r="Y504" i="9" s="1"/>
  <c r="L367" i="9"/>
  <c r="Y367" i="9" s="1"/>
  <c r="W431" i="9"/>
  <c r="L431" i="9"/>
  <c r="Y431" i="9" s="1"/>
  <c r="W377" i="9"/>
  <c r="L377" i="9"/>
  <c r="Y377" i="9" s="1"/>
  <c r="W428" i="9"/>
  <c r="L428" i="9"/>
  <c r="Y428" i="9" s="1"/>
  <c r="W348" i="9"/>
  <c r="L348" i="9"/>
  <c r="Y348" i="9" s="1"/>
  <c r="W312" i="9"/>
  <c r="W318" i="9"/>
  <c r="L318" i="9"/>
  <c r="Y318" i="9" s="1"/>
  <c r="W247" i="9"/>
  <c r="L247" i="9"/>
  <c r="Y247" i="9" s="1"/>
  <c r="W467" i="9"/>
  <c r="L467" i="9"/>
  <c r="Y467" i="9" s="1"/>
  <c r="W383" i="9"/>
  <c r="L383" i="9"/>
  <c r="Y383" i="9" s="1"/>
  <c r="W397" i="9"/>
  <c r="L397" i="9"/>
  <c r="Y397" i="9" s="1"/>
  <c r="W251" i="9"/>
  <c r="L251" i="9"/>
  <c r="Y251" i="9" s="1"/>
  <c r="W462" i="9"/>
  <c r="W293" i="9"/>
  <c r="L293" i="9"/>
  <c r="Y293" i="9" s="1"/>
  <c r="W402" i="9"/>
  <c r="W474" i="9"/>
  <c r="L474" i="9"/>
  <c r="Y474" i="9" s="1"/>
  <c r="W307" i="9"/>
  <c r="L307" i="9"/>
  <c r="Y307" i="9" s="1"/>
  <c r="W504" i="9"/>
  <c r="W427" i="9"/>
  <c r="L427" i="9"/>
  <c r="Y427" i="9" s="1"/>
  <c r="L257" i="9"/>
  <c r="Y257" i="9" s="1"/>
  <c r="L458" i="9"/>
  <c r="Y458" i="9" s="1"/>
  <c r="L498" i="9"/>
  <c r="Y498" i="9" s="1"/>
  <c r="W461" i="9"/>
  <c r="L461" i="9"/>
  <c r="Y461" i="9" s="1"/>
  <c r="L497" i="9"/>
  <c r="Y497" i="9" s="1"/>
  <c r="W337" i="9"/>
  <c r="L337" i="9"/>
  <c r="Y337" i="9" s="1"/>
  <c r="L353" i="9"/>
  <c r="Y353" i="9" s="1"/>
  <c r="L258" i="9"/>
  <c r="Y258" i="9" s="1"/>
  <c r="W248" i="9"/>
  <c r="L248" i="9"/>
  <c r="Y248" i="9" s="1"/>
  <c r="L288" i="9"/>
  <c r="Y288" i="9" s="1"/>
  <c r="W342" i="9"/>
  <c r="W278" i="9"/>
  <c r="L278" i="9"/>
  <c r="Y278" i="9" s="1"/>
  <c r="W311" i="9"/>
  <c r="L311" i="9"/>
  <c r="Y311" i="9" s="1"/>
  <c r="W503" i="9"/>
  <c r="L503" i="9"/>
  <c r="Y503" i="9" s="1"/>
  <c r="W414" i="9"/>
  <c r="L414" i="9"/>
  <c r="Y414" i="9" s="1"/>
  <c r="L317" i="9"/>
  <c r="Y317" i="9" s="1"/>
  <c r="W323" i="9"/>
  <c r="L323" i="9"/>
  <c r="Y323" i="9" s="1"/>
  <c r="L487" i="9"/>
  <c r="Y487" i="9" s="1"/>
  <c r="W277" i="9"/>
  <c r="L277" i="9"/>
  <c r="Y277" i="9" s="1"/>
  <c r="L457" i="9"/>
  <c r="Y457" i="9" s="1"/>
  <c r="W413" i="9"/>
  <c r="L413" i="9"/>
  <c r="Y413" i="9" s="1"/>
  <c r="L378" i="9"/>
  <c r="Y378" i="9" s="1"/>
  <c r="W264" i="9"/>
  <c r="L264" i="9"/>
  <c r="Y264" i="9" s="1"/>
  <c r="W444" i="9"/>
  <c r="L444" i="9"/>
  <c r="Y444" i="9" s="1"/>
  <c r="W263" i="9"/>
  <c r="L263" i="9"/>
  <c r="Y263" i="9" s="1"/>
  <c r="W492" i="9"/>
  <c r="L488" i="9"/>
  <c r="Y488" i="9" s="1"/>
  <c r="W443" i="9"/>
  <c r="L443" i="9"/>
  <c r="Y443" i="9" s="1"/>
  <c r="W281" i="9"/>
  <c r="L281" i="9"/>
  <c r="Y281" i="9" s="1"/>
  <c r="W438" i="9"/>
  <c r="L438" i="9"/>
  <c r="Y438" i="9" s="1"/>
  <c r="W398" i="9"/>
  <c r="L398" i="9"/>
  <c r="Y398" i="9" s="1"/>
  <c r="W308" i="9"/>
  <c r="L308" i="9"/>
  <c r="Y308" i="9" s="1"/>
  <c r="W287" i="9"/>
  <c r="L287" i="9"/>
  <c r="Y287" i="9" s="1"/>
  <c r="W384" i="9"/>
  <c r="L384" i="9"/>
  <c r="Y384" i="9" s="1"/>
  <c r="W401" i="9"/>
  <c r="L401" i="9"/>
  <c r="Y401" i="9" s="1"/>
  <c r="W473" i="9"/>
  <c r="L473" i="9"/>
  <c r="Y473" i="9" s="1"/>
  <c r="W437" i="9"/>
  <c r="L437" i="9"/>
  <c r="Y437" i="9" s="1"/>
  <c r="W341" i="9"/>
  <c r="L341" i="9"/>
  <c r="Y341" i="9" s="1"/>
  <c r="L338" i="9"/>
  <c r="Y338" i="9" s="1"/>
  <c r="L368" i="9"/>
  <c r="Y368" i="9" s="1"/>
  <c r="W354" i="9"/>
  <c r="L354" i="9"/>
  <c r="Y354" i="9" s="1"/>
  <c r="L407" i="9"/>
  <c r="Y407" i="9" s="1"/>
  <c r="W371" i="9"/>
  <c r="L371" i="9"/>
  <c r="Y371" i="9" s="1"/>
  <c r="L468" i="9"/>
  <c r="Y468" i="9" s="1"/>
  <c r="W491" i="9"/>
  <c r="L491" i="9"/>
  <c r="Y491" i="9" s="1"/>
  <c r="X466" i="9"/>
  <c r="X406" i="9"/>
  <c r="X256" i="9"/>
  <c r="X496" i="9"/>
  <c r="X286" i="9"/>
  <c r="X436" i="9"/>
  <c r="O3" i="19"/>
  <c r="U3" i="19" s="1"/>
  <c r="AB3" i="19"/>
  <c r="AA3" i="19"/>
  <c r="M247" i="9"/>
  <c r="M277" i="9"/>
  <c r="M346" i="9"/>
  <c r="M487" i="9"/>
  <c r="M461" i="9"/>
  <c r="M431" i="9"/>
  <c r="M370" i="9"/>
  <c r="X370" i="9"/>
  <c r="X372" i="9"/>
  <c r="X402" i="9"/>
  <c r="X282" i="9"/>
  <c r="M427" i="9"/>
  <c r="X427" i="9"/>
  <c r="M397" i="9"/>
  <c r="X397" i="9"/>
  <c r="X344" i="9"/>
  <c r="X494" i="9"/>
  <c r="X254" i="9"/>
  <c r="X289" i="9"/>
  <c r="M457" i="9"/>
  <c r="X457" i="9"/>
  <c r="X255" i="9"/>
  <c r="M316" i="9"/>
  <c r="X316" i="9"/>
  <c r="X349" i="9"/>
  <c r="X345" i="9"/>
  <c r="AB3" i="17"/>
  <c r="AA3" i="17"/>
  <c r="W347" i="9"/>
  <c r="W378" i="9"/>
  <c r="W258" i="9"/>
  <c r="W317" i="9"/>
  <c r="W367" i="9"/>
  <c r="W468" i="9"/>
  <c r="W458" i="9"/>
  <c r="W257" i="9"/>
  <c r="W407" i="9"/>
  <c r="W487" i="9"/>
  <c r="W338" i="9"/>
  <c r="W497" i="9"/>
  <c r="W288" i="9"/>
  <c r="W498" i="9"/>
  <c r="W353" i="9"/>
  <c r="W488" i="9"/>
  <c r="W368" i="9"/>
  <c r="L282" i="9"/>
  <c r="Y282" i="9" s="1"/>
  <c r="M401" i="9"/>
  <c r="M337" i="9"/>
  <c r="M466" i="9"/>
  <c r="M376" i="9"/>
  <c r="M340" i="9"/>
  <c r="M286" i="9"/>
  <c r="M430" i="9"/>
  <c r="M490" i="9"/>
  <c r="M400" i="9"/>
  <c r="M367" i="9"/>
  <c r="M250" i="9"/>
  <c r="O51" i="9"/>
  <c r="U51" i="9" s="1"/>
  <c r="O43" i="9"/>
  <c r="U43" i="9" s="1"/>
  <c r="O35" i="9"/>
  <c r="U35" i="9" s="1"/>
  <c r="O52" i="9"/>
  <c r="O44" i="9"/>
  <c r="U44" i="9" s="1"/>
  <c r="O36" i="9"/>
  <c r="U36" i="9" s="1"/>
  <c r="O53" i="9"/>
  <c r="O45" i="9"/>
  <c r="U45" i="9" s="1"/>
  <c r="O37" i="9"/>
  <c r="O54" i="9"/>
  <c r="O46" i="9"/>
  <c r="O38" i="9"/>
  <c r="O47" i="9"/>
  <c r="O39" i="9"/>
  <c r="U39" i="9" s="1"/>
  <c r="O50" i="9"/>
  <c r="U50" i="9" s="1"/>
  <c r="O42" i="9"/>
  <c r="O34" i="9"/>
  <c r="U34" i="9" s="1"/>
  <c r="O49" i="9"/>
  <c r="U49" i="9" s="1"/>
  <c r="O48" i="9"/>
  <c r="U48" i="9" s="1"/>
  <c r="O41" i="9"/>
  <c r="O33" i="9"/>
  <c r="U33" i="9" s="1"/>
  <c r="O40" i="9"/>
  <c r="U40" i="9" s="1"/>
  <c r="M436" i="9"/>
  <c r="M256" i="9"/>
  <c r="M280" i="9"/>
  <c r="M371" i="9"/>
  <c r="M460" i="9"/>
  <c r="M406" i="9"/>
  <c r="M310" i="9"/>
  <c r="M496" i="9"/>
  <c r="M307" i="9"/>
  <c r="X431" i="19" l="1"/>
  <c r="AB431" i="19" s="1"/>
  <c r="X191" i="19"/>
  <c r="AB191" i="19" s="1"/>
  <c r="M487" i="19"/>
  <c r="X11" i="19"/>
  <c r="AB11" i="19" s="1"/>
  <c r="M281" i="17"/>
  <c r="M457" i="17"/>
  <c r="W164" i="16"/>
  <c r="W335" i="16"/>
  <c r="W154" i="16"/>
  <c r="M461" i="16"/>
  <c r="AJ461" i="16" s="1"/>
  <c r="AK461" i="16" s="1"/>
  <c r="AL461" i="16" s="1"/>
  <c r="W66" i="16"/>
  <c r="W93" i="16"/>
  <c r="W460" i="16"/>
  <c r="W19" i="16"/>
  <c r="L499" i="16"/>
  <c r="AI499" i="16" s="1"/>
  <c r="AK499" i="16" s="1"/>
  <c r="AL499" i="16" s="1"/>
  <c r="L460" i="16"/>
  <c r="AI460" i="16" s="1"/>
  <c r="AK460" i="16" s="1"/>
  <c r="AL460" i="16" s="1"/>
  <c r="L453" i="16"/>
  <c r="AI453" i="16" s="1"/>
  <c r="L69" i="16"/>
  <c r="AI69" i="16" s="1"/>
  <c r="L319" i="16"/>
  <c r="AI319" i="16" s="1"/>
  <c r="L333" i="16"/>
  <c r="AI333" i="16" s="1"/>
  <c r="M491" i="19"/>
  <c r="Z6" i="16"/>
  <c r="W49" i="16"/>
  <c r="L406" i="16"/>
  <c r="AI406" i="16" s="1"/>
  <c r="AK406" i="16" s="1"/>
  <c r="AL406" i="16" s="1"/>
  <c r="E47" i="9"/>
  <c r="E317" i="9"/>
  <c r="E467" i="16"/>
  <c r="E287" i="16"/>
  <c r="E107" i="19"/>
  <c r="E347" i="19"/>
  <c r="Y75" i="11" s="1"/>
  <c r="AC75" i="11" s="1"/>
  <c r="W459" i="16"/>
  <c r="L262" i="16"/>
  <c r="AI262" i="16" s="1"/>
  <c r="AK262" i="16" s="1"/>
  <c r="AL262" i="16" s="1"/>
  <c r="E287" i="25"/>
  <c r="E17" i="25"/>
  <c r="W409" i="16"/>
  <c r="W10" i="16"/>
  <c r="L370" i="16"/>
  <c r="AI370" i="16" s="1"/>
  <c r="AK370" i="16" s="1"/>
  <c r="AL370" i="16" s="1"/>
  <c r="E377" i="9"/>
  <c r="E77" i="9"/>
  <c r="E497" i="16"/>
  <c r="E47" i="16"/>
  <c r="E407" i="19"/>
  <c r="E257" i="19"/>
  <c r="E77" i="25"/>
  <c r="E107" i="25"/>
  <c r="Y87" i="11" s="1"/>
  <c r="AC87" i="11" s="1"/>
  <c r="S223" i="16"/>
  <c r="W262" i="16"/>
  <c r="L9" i="16"/>
  <c r="AI9" i="16" s="1"/>
  <c r="AK9" i="16" s="1"/>
  <c r="AL9" i="16" s="1"/>
  <c r="W9" i="16"/>
  <c r="L220" i="16"/>
  <c r="AI220" i="16" s="1"/>
  <c r="AK220" i="16" s="1"/>
  <c r="AL220" i="16" s="1"/>
  <c r="W190" i="16"/>
  <c r="E227" i="9"/>
  <c r="E467" i="9"/>
  <c r="E137" i="16"/>
  <c r="E377" i="16"/>
  <c r="E317" i="19"/>
  <c r="E167" i="19"/>
  <c r="E167" i="9"/>
  <c r="E167" i="25"/>
  <c r="E137" i="25"/>
  <c r="L409" i="16"/>
  <c r="AI409" i="16" s="1"/>
  <c r="AK409" i="16" s="1"/>
  <c r="AL409" i="16" s="1"/>
  <c r="W490" i="16"/>
  <c r="L430" i="16"/>
  <c r="AI430" i="16" s="1"/>
  <c r="AK430" i="16" s="1"/>
  <c r="AL430" i="16" s="1"/>
  <c r="E17" i="9"/>
  <c r="E437" i="16"/>
  <c r="E107" i="16"/>
  <c r="E17" i="16"/>
  <c r="E497" i="19"/>
  <c r="E137" i="19"/>
  <c r="W439" i="16"/>
  <c r="E47" i="25"/>
  <c r="Y85" i="11" s="1"/>
  <c r="AC85" i="11" s="1"/>
  <c r="E197" i="25"/>
  <c r="Y90" i="11" s="1"/>
  <c r="AC90" i="11" s="1"/>
  <c r="Z39" i="16"/>
  <c r="W276" i="16"/>
  <c r="W130" i="16"/>
  <c r="W430" i="16"/>
  <c r="E437" i="9"/>
  <c r="E197" i="16"/>
  <c r="E77" i="16"/>
  <c r="E227" i="19"/>
  <c r="E467" i="19"/>
  <c r="M251" i="16"/>
  <c r="AJ251" i="16" s="1"/>
  <c r="AK251" i="16" s="1"/>
  <c r="AL251" i="16" s="1"/>
  <c r="W183" i="16"/>
  <c r="E497" i="25"/>
  <c r="E377" i="25"/>
  <c r="X377" i="25" s="1"/>
  <c r="AB377" i="25" s="1"/>
  <c r="L49" i="16"/>
  <c r="AI49" i="16" s="1"/>
  <c r="AK49" i="16" s="1"/>
  <c r="AL49" i="16" s="1"/>
  <c r="M102" i="16"/>
  <c r="AJ102" i="16" s="1"/>
  <c r="W400" i="16"/>
  <c r="L40" i="16"/>
  <c r="AI40" i="16" s="1"/>
  <c r="AK40" i="16" s="1"/>
  <c r="AL40" i="16" s="1"/>
  <c r="E197" i="9"/>
  <c r="E407" i="16"/>
  <c r="E317" i="16"/>
  <c r="E287" i="19"/>
  <c r="E17" i="19"/>
  <c r="Y64" i="11" s="1"/>
  <c r="AC64" i="11" s="1"/>
  <c r="E77" i="19"/>
  <c r="X77" i="19" s="1"/>
  <c r="AB77" i="19" s="1"/>
  <c r="E497" i="9"/>
  <c r="L292" i="16"/>
  <c r="AI292" i="16" s="1"/>
  <c r="AK292" i="16" s="1"/>
  <c r="AL292" i="16" s="1"/>
  <c r="E437" i="25"/>
  <c r="E317" i="25"/>
  <c r="W172" i="16"/>
  <c r="M72" i="16"/>
  <c r="AJ72" i="16" s="1"/>
  <c r="M372" i="17"/>
  <c r="L14" i="16"/>
  <c r="AI14" i="16" s="1"/>
  <c r="L400" i="16"/>
  <c r="AI400" i="16" s="1"/>
  <c r="AK400" i="16" s="1"/>
  <c r="AL400" i="16" s="1"/>
  <c r="L454" i="16"/>
  <c r="AI454" i="16" s="1"/>
  <c r="W471" i="16"/>
  <c r="AG283" i="16"/>
  <c r="W283" i="16"/>
  <c r="W434" i="16"/>
  <c r="L4" i="16"/>
  <c r="AI4" i="16" s="1"/>
  <c r="AK4" i="16" s="1"/>
  <c r="AL4" i="16" s="1"/>
  <c r="M281" i="9"/>
  <c r="L365" i="16"/>
  <c r="AI365" i="16" s="1"/>
  <c r="AK365" i="16" s="1"/>
  <c r="AL365" i="16" s="1"/>
  <c r="M161" i="16"/>
  <c r="AJ161" i="16" s="1"/>
  <c r="AK161" i="16" s="1"/>
  <c r="AL161" i="16" s="1"/>
  <c r="L190" i="16"/>
  <c r="AI190" i="16" s="1"/>
  <c r="AK190" i="16" s="1"/>
  <c r="AL190" i="16" s="1"/>
  <c r="X282" i="19"/>
  <c r="AB282" i="19" s="1"/>
  <c r="X222" i="9"/>
  <c r="W411" i="16"/>
  <c r="W39" i="16"/>
  <c r="L66" i="16"/>
  <c r="AI66" i="16" s="1"/>
  <c r="AK66" i="16" s="1"/>
  <c r="AL66" i="16" s="1"/>
  <c r="L164" i="16"/>
  <c r="AI164" i="16" s="1"/>
  <c r="AK164" i="16" s="1"/>
  <c r="AL164" i="16" s="1"/>
  <c r="L155" i="16"/>
  <c r="AI155" i="16" s="1"/>
  <c r="AK155" i="16" s="1"/>
  <c r="AL155" i="16" s="1"/>
  <c r="L483" i="16"/>
  <c r="AI483" i="16" s="1"/>
  <c r="AK483" i="16" s="1"/>
  <c r="AL483" i="16" s="1"/>
  <c r="L394" i="16"/>
  <c r="AI394" i="16" s="1"/>
  <c r="AK394" i="16" s="1"/>
  <c r="AL394" i="16" s="1"/>
  <c r="W365" i="16"/>
  <c r="W393" i="16"/>
  <c r="L39" i="16"/>
  <c r="L10" i="16"/>
  <c r="AI10" i="16" s="1"/>
  <c r="AK10" i="16" s="1"/>
  <c r="AL10" i="16" s="1"/>
  <c r="L393" i="16"/>
  <c r="AI393" i="16" s="1"/>
  <c r="AK393" i="16" s="1"/>
  <c r="AL393" i="16" s="1"/>
  <c r="L366" i="16"/>
  <c r="AI366" i="16" s="1"/>
  <c r="AK366" i="16" s="1"/>
  <c r="AL366" i="16" s="1"/>
  <c r="L485" i="16"/>
  <c r="AI485" i="16" s="1"/>
  <c r="AK485" i="16" s="1"/>
  <c r="AL485" i="16" s="1"/>
  <c r="S283" i="16"/>
  <c r="L100" i="16"/>
  <c r="AI100" i="16" s="1"/>
  <c r="AK100" i="16" s="1"/>
  <c r="AL100" i="16" s="1"/>
  <c r="L35" i="16"/>
  <c r="AI35" i="16" s="1"/>
  <c r="L140" i="16"/>
  <c r="AI140" i="16" s="1"/>
  <c r="AK140" i="16" s="1"/>
  <c r="AL140" i="16" s="1"/>
  <c r="W100" i="16"/>
  <c r="M221" i="16"/>
  <c r="AJ221" i="16" s="1"/>
  <c r="AK221" i="16" s="1"/>
  <c r="AL221" i="16" s="1"/>
  <c r="L500" i="16"/>
  <c r="AI500" i="16" s="1"/>
  <c r="AK500" i="16" s="1"/>
  <c r="AL500" i="16" s="1"/>
  <c r="Y278" i="16"/>
  <c r="L340" i="16"/>
  <c r="AI340" i="16" s="1"/>
  <c r="AK340" i="16" s="1"/>
  <c r="AL340" i="16" s="1"/>
  <c r="M462" i="16"/>
  <c r="AJ462" i="16" s="1"/>
  <c r="X222" i="19"/>
  <c r="AB222" i="19" s="1"/>
  <c r="W194" i="16"/>
  <c r="W155" i="16"/>
  <c r="W394" i="16"/>
  <c r="W4" i="16"/>
  <c r="W216" i="16"/>
  <c r="W232" i="16"/>
  <c r="L189" i="16"/>
  <c r="AI189" i="16" s="1"/>
  <c r="X312" i="19"/>
  <c r="AB312" i="19" s="1"/>
  <c r="L439" i="16"/>
  <c r="AI439" i="16" s="1"/>
  <c r="AK439" i="16" s="1"/>
  <c r="AL439" i="16" s="1"/>
  <c r="W5" i="16"/>
  <c r="L3" i="16"/>
  <c r="AI3" i="16" s="1"/>
  <c r="L253" i="16"/>
  <c r="AI253" i="16" s="1"/>
  <c r="L159" i="16"/>
  <c r="AI159" i="16" s="1"/>
  <c r="AK159" i="16" s="1"/>
  <c r="AL159" i="16" s="1"/>
  <c r="M221" i="19"/>
  <c r="L44" i="16"/>
  <c r="AI44" i="16" s="1"/>
  <c r="M161" i="19"/>
  <c r="L501" i="16"/>
  <c r="AI501" i="16" s="1"/>
  <c r="AK501" i="16" s="1"/>
  <c r="AL501" i="16" s="1"/>
  <c r="L334" i="16"/>
  <c r="AI334" i="16" s="1"/>
  <c r="L104" i="16"/>
  <c r="AI104" i="16" s="1"/>
  <c r="AK104" i="16" s="1"/>
  <c r="AL104" i="16" s="1"/>
  <c r="L489" i="16"/>
  <c r="AI489" i="16" s="1"/>
  <c r="L336" i="16"/>
  <c r="AI336" i="16" s="1"/>
  <c r="AK336" i="16" s="1"/>
  <c r="AL336" i="16" s="1"/>
  <c r="W73" i="16"/>
  <c r="L73" i="16"/>
  <c r="AI73" i="16" s="1"/>
  <c r="AK73" i="16" s="1"/>
  <c r="AL73" i="16" s="1"/>
  <c r="X71" i="9"/>
  <c r="AB71" i="9" s="1"/>
  <c r="X401" i="16"/>
  <c r="AB401" i="16" s="1"/>
  <c r="L130" i="16"/>
  <c r="AI130" i="16" s="1"/>
  <c r="AK130" i="16" s="1"/>
  <c r="AL130" i="16" s="1"/>
  <c r="L184" i="16"/>
  <c r="AI184" i="16" s="1"/>
  <c r="AK184" i="16" s="1"/>
  <c r="AL184" i="16" s="1"/>
  <c r="L369" i="16"/>
  <c r="AI369" i="16" s="1"/>
  <c r="AK369" i="16" s="1"/>
  <c r="AL369" i="16" s="1"/>
  <c r="W369" i="16"/>
  <c r="W280" i="16"/>
  <c r="X371" i="16"/>
  <c r="AB371" i="16" s="1"/>
  <c r="L363" i="16"/>
  <c r="AI363" i="16" s="1"/>
  <c r="L344" i="16"/>
  <c r="AI344" i="16" s="1"/>
  <c r="L429" i="16"/>
  <c r="AI429" i="16" s="1"/>
  <c r="M311" i="19"/>
  <c r="W501" i="16"/>
  <c r="L183" i="16"/>
  <c r="AI183" i="16" s="1"/>
  <c r="AK183" i="16" s="1"/>
  <c r="AL183" i="16" s="1"/>
  <c r="M191" i="9"/>
  <c r="L103" i="16"/>
  <c r="AI103" i="16" s="1"/>
  <c r="L484" i="16"/>
  <c r="AI484" i="16" s="1"/>
  <c r="L280" i="16"/>
  <c r="AI280" i="16" s="1"/>
  <c r="AK280" i="16" s="1"/>
  <c r="AL280" i="16" s="1"/>
  <c r="L423" i="16"/>
  <c r="AI423" i="16" s="1"/>
  <c r="L284" i="16"/>
  <c r="AI284" i="16" s="1"/>
  <c r="L244" i="16"/>
  <c r="AI244" i="16" s="1"/>
  <c r="L126" i="16"/>
  <c r="AI126" i="16" s="1"/>
  <c r="W366" i="16"/>
  <c r="W379" i="16"/>
  <c r="X137" i="9"/>
  <c r="W223" i="16"/>
  <c r="W229" i="16"/>
  <c r="M101" i="9"/>
  <c r="L74" i="16"/>
  <c r="AI74" i="16" s="1"/>
  <c r="AK74" i="16" s="1"/>
  <c r="AL74" i="16" s="1"/>
  <c r="L34" i="16"/>
  <c r="AI34" i="16" s="1"/>
  <c r="AK34" i="16" s="1"/>
  <c r="AL34" i="16" s="1"/>
  <c r="L172" i="16"/>
  <c r="AI172" i="16" s="1"/>
  <c r="AK172" i="16" s="1"/>
  <c r="AL172" i="16" s="1"/>
  <c r="M491" i="17"/>
  <c r="L5" i="16"/>
  <c r="AI5" i="16" s="1"/>
  <c r="AK5" i="16" s="1"/>
  <c r="AL5" i="16" s="1"/>
  <c r="M41" i="9"/>
  <c r="U41" i="9" s="1"/>
  <c r="Z41" i="9" s="1"/>
  <c r="W34" i="16"/>
  <c r="W6" i="16"/>
  <c r="L379" i="16"/>
  <c r="AI379" i="16" s="1"/>
  <c r="AK379" i="16" s="1"/>
  <c r="AL379" i="16" s="1"/>
  <c r="L276" i="16"/>
  <c r="AI276" i="16" s="1"/>
  <c r="AK276" i="16" s="1"/>
  <c r="AL276" i="16" s="1"/>
  <c r="W134" i="16"/>
  <c r="W339" i="16"/>
  <c r="W486" i="16"/>
  <c r="L250" i="16"/>
  <c r="AI250" i="16" s="1"/>
  <c r="AK250" i="16" s="1"/>
  <c r="AL250" i="16" s="1"/>
  <c r="L352" i="16"/>
  <c r="AI352" i="16" s="1"/>
  <c r="AK352" i="16" s="1"/>
  <c r="AL352" i="16" s="1"/>
  <c r="L464" i="16"/>
  <c r="AI464" i="16" s="1"/>
  <c r="AK464" i="16" s="1"/>
  <c r="AL464" i="16" s="1"/>
  <c r="Y69" i="16"/>
  <c r="W406" i="16"/>
  <c r="L490" i="16"/>
  <c r="AI490" i="16" s="1"/>
  <c r="AK490" i="16" s="1"/>
  <c r="AL490" i="16" s="1"/>
  <c r="W464" i="16"/>
  <c r="L486" i="16"/>
  <c r="AI486" i="16" s="1"/>
  <c r="AK486" i="16" s="1"/>
  <c r="AL486" i="16" s="1"/>
  <c r="L434" i="16"/>
  <c r="AI434" i="16" s="1"/>
  <c r="AK434" i="16" s="1"/>
  <c r="AL434" i="16" s="1"/>
  <c r="L94" i="16"/>
  <c r="AI94" i="16" s="1"/>
  <c r="L70" i="16"/>
  <c r="AI70" i="16" s="1"/>
  <c r="AK70" i="16" s="1"/>
  <c r="AL70" i="16" s="1"/>
  <c r="L6" i="16"/>
  <c r="AI6" i="16" s="1"/>
  <c r="AK6" i="16" s="1"/>
  <c r="AL6" i="16" s="1"/>
  <c r="W352" i="16"/>
  <c r="L229" i="16"/>
  <c r="AI229" i="16" s="1"/>
  <c r="AK229" i="16" s="1"/>
  <c r="AL229" i="16" s="1"/>
  <c r="W124" i="16"/>
  <c r="L213" i="16"/>
  <c r="AI213" i="16" s="1"/>
  <c r="L283" i="16"/>
  <c r="AI283" i="16" s="1"/>
  <c r="AK283" i="16" s="1"/>
  <c r="AL283" i="16" s="1"/>
  <c r="L339" i="16"/>
  <c r="AI339" i="16" s="1"/>
  <c r="AK339" i="16" s="1"/>
  <c r="AL339" i="16" s="1"/>
  <c r="L494" i="16"/>
  <c r="AI494" i="16" s="1"/>
  <c r="AK494" i="16" s="1"/>
  <c r="AL494" i="16" s="1"/>
  <c r="W250" i="16"/>
  <c r="W346" i="16"/>
  <c r="L291" i="16"/>
  <c r="AI291" i="16" s="1"/>
  <c r="AK291" i="16" s="1"/>
  <c r="AL291" i="16" s="1"/>
  <c r="M71" i="16"/>
  <c r="AJ71" i="16" s="1"/>
  <c r="AK71" i="16" s="1"/>
  <c r="AL71" i="16" s="1"/>
  <c r="L109" i="16"/>
  <c r="AI109" i="16" s="1"/>
  <c r="AK109" i="16" s="1"/>
  <c r="AL109" i="16" s="1"/>
  <c r="L223" i="16"/>
  <c r="AI223" i="16" s="1"/>
  <c r="AK223" i="16" s="1"/>
  <c r="AL223" i="16" s="1"/>
  <c r="L134" i="16"/>
  <c r="AI134" i="16" s="1"/>
  <c r="AK134" i="16" s="1"/>
  <c r="AL134" i="16" s="1"/>
  <c r="W370" i="16"/>
  <c r="M252" i="16"/>
  <c r="AJ252" i="16" s="1"/>
  <c r="L346" i="16"/>
  <c r="AI346" i="16" s="1"/>
  <c r="AK346" i="16" s="1"/>
  <c r="AL346" i="16" s="1"/>
  <c r="L411" i="16"/>
  <c r="AI411" i="16" s="1"/>
  <c r="AK411" i="16" s="1"/>
  <c r="AL411" i="16" s="1"/>
  <c r="L426" i="16"/>
  <c r="AI426" i="16" s="1"/>
  <c r="L185" i="16"/>
  <c r="AI185" i="16" s="1"/>
  <c r="AK185" i="16" s="1"/>
  <c r="AL185" i="16" s="1"/>
  <c r="W425" i="16"/>
  <c r="L186" i="16"/>
  <c r="AI186" i="16" s="1"/>
  <c r="AK186" i="16" s="1"/>
  <c r="AL186" i="16" s="1"/>
  <c r="X131" i="9"/>
  <c r="AB131" i="9" s="1"/>
  <c r="X11" i="9"/>
  <c r="AB11" i="9" s="1"/>
  <c r="M311" i="9"/>
  <c r="M341" i="9"/>
  <c r="L471" i="16"/>
  <c r="AI471" i="16" s="1"/>
  <c r="AK471" i="16" s="1"/>
  <c r="AL471" i="16" s="1"/>
  <c r="L194" i="16"/>
  <c r="AI194" i="16" s="1"/>
  <c r="AK194" i="16" s="1"/>
  <c r="AL194" i="16" s="1"/>
  <c r="L156" i="16"/>
  <c r="AI156" i="16" s="1"/>
  <c r="AK156" i="16" s="1"/>
  <c r="AL156" i="16" s="1"/>
  <c r="X491" i="9"/>
  <c r="W396" i="16"/>
  <c r="L459" i="16"/>
  <c r="AI459" i="16" s="1"/>
  <c r="AK459" i="16" s="1"/>
  <c r="AL459" i="16" s="1"/>
  <c r="X11" i="16"/>
  <c r="AB11" i="16" s="1"/>
  <c r="L125" i="16"/>
  <c r="AI125" i="16" s="1"/>
  <c r="AK125" i="16" s="1"/>
  <c r="AL125" i="16" s="1"/>
  <c r="L124" i="16"/>
  <c r="AI124" i="16" s="1"/>
  <c r="AK124" i="16" s="1"/>
  <c r="AL124" i="16" s="1"/>
  <c r="L314" i="16"/>
  <c r="AI314" i="16" s="1"/>
  <c r="AK314" i="16" s="1"/>
  <c r="AL314" i="16" s="1"/>
  <c r="W273" i="16"/>
  <c r="L469" i="16"/>
  <c r="AI469" i="16" s="1"/>
  <c r="W472" i="16"/>
  <c r="W109" i="16"/>
  <c r="W186" i="16"/>
  <c r="X251" i="9"/>
  <c r="L273" i="16"/>
  <c r="AI273" i="16" s="1"/>
  <c r="AK273" i="16" s="1"/>
  <c r="AL273" i="16" s="1"/>
  <c r="L472" i="16"/>
  <c r="AI472" i="16" s="1"/>
  <c r="AK472" i="16" s="1"/>
  <c r="AL472" i="16" s="1"/>
  <c r="M401" i="19"/>
  <c r="M281" i="19"/>
  <c r="X221" i="9"/>
  <c r="AB221" i="9" s="1"/>
  <c r="L396" i="16"/>
  <c r="AI396" i="16" s="1"/>
  <c r="AK396" i="16" s="1"/>
  <c r="AL396" i="16" s="1"/>
  <c r="W442" i="16"/>
  <c r="L215" i="16"/>
  <c r="AI215" i="16" s="1"/>
  <c r="L232" i="16"/>
  <c r="AI232" i="16" s="1"/>
  <c r="AK232" i="16" s="1"/>
  <c r="AL232" i="16" s="1"/>
  <c r="L425" i="16"/>
  <c r="AI425" i="16" s="1"/>
  <c r="AK425" i="16" s="1"/>
  <c r="AL425" i="16" s="1"/>
  <c r="M341" i="16"/>
  <c r="AJ341" i="16" s="1"/>
  <c r="AK341" i="16" s="1"/>
  <c r="AL341" i="16" s="1"/>
  <c r="M341" i="17"/>
  <c r="M41" i="17"/>
  <c r="M431" i="17"/>
  <c r="X11" i="17"/>
  <c r="AB11" i="17" s="1"/>
  <c r="M371" i="17"/>
  <c r="X311" i="17"/>
  <c r="AB311" i="17" s="1"/>
  <c r="X101" i="17"/>
  <c r="AB101" i="17" s="1"/>
  <c r="M191" i="17"/>
  <c r="M402" i="17"/>
  <c r="X71" i="17"/>
  <c r="AB71" i="17" s="1"/>
  <c r="X401" i="17"/>
  <c r="AB401" i="17" s="1"/>
  <c r="M131" i="17"/>
  <c r="M12" i="17"/>
  <c r="U12" i="17" s="1"/>
  <c r="Z12" i="17" s="1"/>
  <c r="M72" i="17"/>
  <c r="L216" i="16"/>
  <c r="H373" i="25"/>
  <c r="G373" i="25"/>
  <c r="H433" i="25"/>
  <c r="G433" i="25"/>
  <c r="X435" i="25"/>
  <c r="F435" i="25"/>
  <c r="F345" i="25"/>
  <c r="X345" i="25"/>
  <c r="G223" i="25"/>
  <c r="H223" i="25"/>
  <c r="H43" i="25"/>
  <c r="G43" i="25"/>
  <c r="X15" i="25"/>
  <c r="F15" i="25"/>
  <c r="X195" i="25"/>
  <c r="F195" i="25"/>
  <c r="H283" i="25"/>
  <c r="G283" i="25"/>
  <c r="F375" i="25"/>
  <c r="X375" i="25"/>
  <c r="X105" i="25"/>
  <c r="F105" i="25"/>
  <c r="L154" i="16"/>
  <c r="AI154" i="16" s="1"/>
  <c r="AK154" i="16" s="1"/>
  <c r="AL154" i="16" s="1"/>
  <c r="H343" i="25"/>
  <c r="G343" i="25"/>
  <c r="H163" i="25"/>
  <c r="G163" i="25"/>
  <c r="F465" i="25"/>
  <c r="X465" i="25"/>
  <c r="F405" i="25"/>
  <c r="X405" i="25"/>
  <c r="W184" i="16"/>
  <c r="W336" i="16"/>
  <c r="H403" i="25"/>
  <c r="G403" i="25"/>
  <c r="H133" i="25"/>
  <c r="G133" i="25"/>
  <c r="G103" i="25"/>
  <c r="H103" i="25"/>
  <c r="F165" i="25"/>
  <c r="X165" i="25"/>
  <c r="F495" i="25"/>
  <c r="X495" i="25"/>
  <c r="H463" i="25"/>
  <c r="G463" i="25"/>
  <c r="H313" i="25"/>
  <c r="G313" i="25"/>
  <c r="G73" i="25"/>
  <c r="H73" i="25"/>
  <c r="G193" i="25"/>
  <c r="H193" i="25"/>
  <c r="X285" i="25"/>
  <c r="F285" i="25"/>
  <c r="F315" i="25"/>
  <c r="X315" i="25"/>
  <c r="H493" i="25"/>
  <c r="G493" i="25"/>
  <c r="X75" i="25"/>
  <c r="F75" i="25"/>
  <c r="F135" i="25"/>
  <c r="X135" i="25"/>
  <c r="F225" i="25"/>
  <c r="X225" i="25"/>
  <c r="G13" i="25"/>
  <c r="H13" i="25"/>
  <c r="G253" i="25"/>
  <c r="H253" i="25"/>
  <c r="F45" i="25"/>
  <c r="X45" i="25"/>
  <c r="F255" i="25"/>
  <c r="X255" i="25"/>
  <c r="H315" i="19"/>
  <c r="G315" i="19"/>
  <c r="H285" i="16"/>
  <c r="G285" i="16"/>
  <c r="H45" i="16"/>
  <c r="G45" i="16"/>
  <c r="G15" i="17"/>
  <c r="H15" i="17"/>
  <c r="G435" i="17"/>
  <c r="H435" i="17"/>
  <c r="H285" i="19"/>
  <c r="G285" i="19"/>
  <c r="H135" i="19"/>
  <c r="G135" i="19"/>
  <c r="L259" i="16"/>
  <c r="AI259" i="16" s="1"/>
  <c r="AK259" i="16" s="1"/>
  <c r="AL259" i="16" s="1"/>
  <c r="I231" i="19"/>
  <c r="W231" i="19" s="1"/>
  <c r="S231" i="19"/>
  <c r="T111" i="16"/>
  <c r="J111" i="16"/>
  <c r="AH111" i="16" s="1"/>
  <c r="S46" i="17"/>
  <c r="I46" i="17"/>
  <c r="J410" i="17"/>
  <c r="T410" i="17"/>
  <c r="I110" i="16"/>
  <c r="AG110" i="16" s="1"/>
  <c r="S110" i="16"/>
  <c r="H433" i="17"/>
  <c r="G433" i="17"/>
  <c r="J351" i="16"/>
  <c r="AH351" i="16" s="1"/>
  <c r="T351" i="16"/>
  <c r="T351" i="17"/>
  <c r="J351" i="17"/>
  <c r="J16" i="17"/>
  <c r="T16" i="17"/>
  <c r="S260" i="19"/>
  <c r="I260" i="19"/>
  <c r="W260" i="19" s="1"/>
  <c r="H313" i="19"/>
  <c r="G313" i="19"/>
  <c r="T493" i="16"/>
  <c r="J493" i="16"/>
  <c r="AH493" i="16" s="1"/>
  <c r="AG469" i="16"/>
  <c r="W469" i="16"/>
  <c r="H261" i="16"/>
  <c r="G261" i="16"/>
  <c r="I141" i="17"/>
  <c r="S141" i="17"/>
  <c r="I496" i="17"/>
  <c r="S496" i="17"/>
  <c r="I230" i="19"/>
  <c r="S230" i="19"/>
  <c r="J50" i="16"/>
  <c r="AH50" i="16" s="1"/>
  <c r="T50" i="16"/>
  <c r="G223" i="17"/>
  <c r="H223" i="17"/>
  <c r="AG65" i="16"/>
  <c r="AK65" i="16" s="1"/>
  <c r="AL65" i="16" s="1"/>
  <c r="W65" i="16"/>
  <c r="J322" i="16"/>
  <c r="AH322" i="16" s="1"/>
  <c r="T322" i="16"/>
  <c r="I171" i="19"/>
  <c r="S171" i="19"/>
  <c r="S346" i="19"/>
  <c r="I346" i="19"/>
  <c r="W346" i="19" s="1"/>
  <c r="I50" i="19"/>
  <c r="S50" i="19"/>
  <c r="T500" i="17"/>
  <c r="J500" i="17"/>
  <c r="G103" i="19"/>
  <c r="H103" i="19"/>
  <c r="G256" i="16"/>
  <c r="H256" i="16"/>
  <c r="AG224" i="16"/>
  <c r="W224" i="16"/>
  <c r="L224" i="16"/>
  <c r="J21" i="19"/>
  <c r="T21" i="19"/>
  <c r="I436" i="19"/>
  <c r="S436" i="19"/>
  <c r="T80" i="16"/>
  <c r="J80" i="16"/>
  <c r="AH80" i="16" s="1"/>
  <c r="J50" i="17"/>
  <c r="T50" i="17"/>
  <c r="G13" i="19"/>
  <c r="H13" i="19"/>
  <c r="T463" i="16"/>
  <c r="J463" i="16"/>
  <c r="AH463" i="16" s="1"/>
  <c r="AG453" i="16"/>
  <c r="AK453" i="16" s="1"/>
  <c r="AL453" i="16" s="1"/>
  <c r="W453" i="16"/>
  <c r="AG253" i="16"/>
  <c r="W253" i="16"/>
  <c r="I381" i="19"/>
  <c r="S381" i="19"/>
  <c r="I256" i="19"/>
  <c r="S256" i="19"/>
  <c r="J316" i="17"/>
  <c r="T316" i="17"/>
  <c r="I380" i="19"/>
  <c r="S380" i="19"/>
  <c r="S436" i="16"/>
  <c r="I436" i="16"/>
  <c r="AG436" i="16" s="1"/>
  <c r="H163" i="17"/>
  <c r="G163" i="17"/>
  <c r="AG489" i="16"/>
  <c r="AK489" i="16" s="1"/>
  <c r="AL489" i="16" s="1"/>
  <c r="W489" i="16"/>
  <c r="AG129" i="16"/>
  <c r="AK129" i="16" s="1"/>
  <c r="AL129" i="16" s="1"/>
  <c r="W129" i="16"/>
  <c r="AG169" i="16"/>
  <c r="W169" i="16"/>
  <c r="H141" i="16"/>
  <c r="G141" i="16"/>
  <c r="I261" i="17"/>
  <c r="W261" i="17" s="1"/>
  <c r="S261" i="17"/>
  <c r="T376" i="17"/>
  <c r="J376" i="17"/>
  <c r="I440" i="19"/>
  <c r="S440" i="19"/>
  <c r="G43" i="16"/>
  <c r="H43" i="16"/>
  <c r="T313" i="17"/>
  <c r="J313" i="17"/>
  <c r="AG69" i="16"/>
  <c r="AK69" i="16" s="1"/>
  <c r="AL69" i="16" s="1"/>
  <c r="W69" i="16"/>
  <c r="H441" i="16"/>
  <c r="G441" i="16"/>
  <c r="S51" i="17"/>
  <c r="I51" i="17"/>
  <c r="S466" i="19"/>
  <c r="I466" i="19"/>
  <c r="I410" i="19"/>
  <c r="S410" i="19"/>
  <c r="G76" i="16"/>
  <c r="H76" i="16"/>
  <c r="S463" i="19"/>
  <c r="I463" i="19"/>
  <c r="H345" i="17"/>
  <c r="G345" i="17"/>
  <c r="H165" i="16"/>
  <c r="G165" i="16"/>
  <c r="G435" i="16"/>
  <c r="H435" i="16"/>
  <c r="H165" i="17"/>
  <c r="G165" i="17"/>
  <c r="G255" i="17"/>
  <c r="H255" i="17"/>
  <c r="H195" i="19"/>
  <c r="G195" i="19"/>
  <c r="H435" i="19"/>
  <c r="G435" i="19"/>
  <c r="T231" i="19"/>
  <c r="J231" i="19"/>
  <c r="I111" i="16"/>
  <c r="AG111" i="16" s="1"/>
  <c r="S111" i="16"/>
  <c r="T46" i="17"/>
  <c r="J46" i="17"/>
  <c r="I410" i="17"/>
  <c r="S410" i="17"/>
  <c r="J110" i="16"/>
  <c r="AH110" i="16" s="1"/>
  <c r="T110" i="16"/>
  <c r="AG189" i="16"/>
  <c r="W189" i="16"/>
  <c r="AG454" i="16"/>
  <c r="W454" i="16"/>
  <c r="I351" i="16"/>
  <c r="AG351" i="16" s="1"/>
  <c r="S351" i="16"/>
  <c r="I351" i="17"/>
  <c r="W351" i="17" s="1"/>
  <c r="S351" i="17"/>
  <c r="I16" i="17"/>
  <c r="W16" i="17" s="1"/>
  <c r="S16" i="17"/>
  <c r="J260" i="19"/>
  <c r="T260" i="19"/>
  <c r="S493" i="16"/>
  <c r="I493" i="16"/>
  <c r="J141" i="17"/>
  <c r="T141" i="17"/>
  <c r="J496" i="17"/>
  <c r="T496" i="17"/>
  <c r="J230" i="19"/>
  <c r="T230" i="19"/>
  <c r="I50" i="16"/>
  <c r="AG50" i="16" s="1"/>
  <c r="S50" i="16"/>
  <c r="I322" i="16"/>
  <c r="S322" i="16"/>
  <c r="J171" i="19"/>
  <c r="T171" i="19"/>
  <c r="J346" i="19"/>
  <c r="T346" i="19"/>
  <c r="J50" i="19"/>
  <c r="T50" i="19"/>
  <c r="S500" i="17"/>
  <c r="I500" i="17"/>
  <c r="AG349" i="16"/>
  <c r="AK349" i="16" s="1"/>
  <c r="AL349" i="16" s="1"/>
  <c r="W349" i="16"/>
  <c r="I21" i="19"/>
  <c r="S21" i="19"/>
  <c r="J436" i="19"/>
  <c r="T436" i="19"/>
  <c r="I80" i="16"/>
  <c r="AG80" i="16" s="1"/>
  <c r="S80" i="16"/>
  <c r="I50" i="17"/>
  <c r="W50" i="17" s="1"/>
  <c r="S50" i="17"/>
  <c r="I463" i="16"/>
  <c r="AG463" i="16" s="1"/>
  <c r="S463" i="16"/>
  <c r="T381" i="19"/>
  <c r="J381" i="19"/>
  <c r="T256" i="19"/>
  <c r="J256" i="19"/>
  <c r="S316" i="17"/>
  <c r="I316" i="17"/>
  <c r="J380" i="19"/>
  <c r="T380" i="19"/>
  <c r="T436" i="16"/>
  <c r="J436" i="16"/>
  <c r="AH436" i="16" s="1"/>
  <c r="AG103" i="16"/>
  <c r="W103" i="16"/>
  <c r="AG123" i="16"/>
  <c r="AK123" i="16" s="1"/>
  <c r="AL123" i="16" s="1"/>
  <c r="W123" i="16"/>
  <c r="J261" i="17"/>
  <c r="T261" i="17"/>
  <c r="I376" i="17"/>
  <c r="W376" i="17" s="1"/>
  <c r="S376" i="17"/>
  <c r="J440" i="19"/>
  <c r="T440" i="19"/>
  <c r="S313" i="17"/>
  <c r="I313" i="17"/>
  <c r="L313" i="17" s="1"/>
  <c r="Y313" i="17" s="1"/>
  <c r="AG79" i="16"/>
  <c r="L79" i="16"/>
  <c r="W79" i="16"/>
  <c r="AG14" i="16"/>
  <c r="AK14" i="16" s="1"/>
  <c r="AL14" i="16" s="1"/>
  <c r="W14" i="16"/>
  <c r="J51" i="17"/>
  <c r="T51" i="17"/>
  <c r="J466" i="19"/>
  <c r="T466" i="19"/>
  <c r="J410" i="19"/>
  <c r="T410" i="19"/>
  <c r="T463" i="19"/>
  <c r="J463" i="19"/>
  <c r="H225" i="16"/>
  <c r="G225" i="16"/>
  <c r="H165" i="19"/>
  <c r="G165" i="19"/>
  <c r="H315" i="16"/>
  <c r="G315" i="16"/>
  <c r="G75" i="16"/>
  <c r="H75" i="16"/>
  <c r="G105" i="17"/>
  <c r="H105" i="17"/>
  <c r="G45" i="17"/>
  <c r="H45" i="17"/>
  <c r="H225" i="19"/>
  <c r="G225" i="19"/>
  <c r="H255" i="19"/>
  <c r="G255" i="19"/>
  <c r="I441" i="19"/>
  <c r="S441" i="19"/>
  <c r="S46" i="19"/>
  <c r="I46" i="19"/>
  <c r="W46" i="19" s="1"/>
  <c r="J20" i="19"/>
  <c r="T20" i="19"/>
  <c r="H13" i="16"/>
  <c r="G13" i="16"/>
  <c r="H253" i="19"/>
  <c r="G253" i="19"/>
  <c r="G13" i="17"/>
  <c r="H13" i="17"/>
  <c r="I411" i="19"/>
  <c r="S411" i="19"/>
  <c r="T231" i="16"/>
  <c r="J231" i="16"/>
  <c r="AH231" i="16" s="1"/>
  <c r="I196" i="17"/>
  <c r="W196" i="17" s="1"/>
  <c r="S196" i="17"/>
  <c r="J200" i="17"/>
  <c r="T200" i="17"/>
  <c r="H493" i="19"/>
  <c r="G493" i="19"/>
  <c r="G20" i="16"/>
  <c r="H20" i="16"/>
  <c r="I51" i="16"/>
  <c r="AG51" i="16" s="1"/>
  <c r="S51" i="16"/>
  <c r="J381" i="17"/>
  <c r="T381" i="17"/>
  <c r="T166" i="17"/>
  <c r="J166" i="17"/>
  <c r="S470" i="19"/>
  <c r="I470" i="19"/>
  <c r="W470" i="19" s="1"/>
  <c r="H343" i="19"/>
  <c r="G343" i="19"/>
  <c r="J22" i="16"/>
  <c r="AH22" i="16" s="1"/>
  <c r="T22" i="16"/>
  <c r="S171" i="17"/>
  <c r="I171" i="17"/>
  <c r="I76" i="17"/>
  <c r="W76" i="17" s="1"/>
  <c r="S76" i="17"/>
  <c r="T320" i="19"/>
  <c r="J320" i="19"/>
  <c r="T16" i="16"/>
  <c r="J16" i="16"/>
  <c r="AH16" i="16" s="1"/>
  <c r="G463" i="17"/>
  <c r="H463" i="17"/>
  <c r="G171" i="16"/>
  <c r="H171" i="16"/>
  <c r="T201" i="17"/>
  <c r="J201" i="17"/>
  <c r="J346" i="17"/>
  <c r="T346" i="17"/>
  <c r="J350" i="16"/>
  <c r="AH350" i="16" s="1"/>
  <c r="T350" i="16"/>
  <c r="T290" i="17"/>
  <c r="J290" i="17"/>
  <c r="H73" i="19"/>
  <c r="G73" i="19"/>
  <c r="T202" i="16"/>
  <c r="J202" i="16"/>
  <c r="AH202" i="16" s="1"/>
  <c r="T111" i="19"/>
  <c r="J111" i="19"/>
  <c r="J16" i="19"/>
  <c r="T16" i="19"/>
  <c r="Z16" i="19" s="1"/>
  <c r="H466" i="16"/>
  <c r="G466" i="16"/>
  <c r="J80" i="17"/>
  <c r="T80" i="17"/>
  <c r="T136" i="16"/>
  <c r="J136" i="16"/>
  <c r="AH136" i="16" s="1"/>
  <c r="G133" i="17"/>
  <c r="H133" i="17"/>
  <c r="I321" i="19"/>
  <c r="S321" i="19"/>
  <c r="J501" i="17"/>
  <c r="T501" i="17"/>
  <c r="S286" i="17"/>
  <c r="I286" i="17"/>
  <c r="S110" i="19"/>
  <c r="I110" i="19"/>
  <c r="L110" i="19" s="1"/>
  <c r="Y110" i="19" s="1"/>
  <c r="I470" i="16"/>
  <c r="AG470" i="16" s="1"/>
  <c r="S470" i="16"/>
  <c r="T343" i="17"/>
  <c r="J343" i="17"/>
  <c r="T112" i="16"/>
  <c r="J112" i="16"/>
  <c r="AH112" i="16" s="1"/>
  <c r="T81" i="16"/>
  <c r="J81" i="16"/>
  <c r="AH81" i="16" s="1"/>
  <c r="I291" i="17"/>
  <c r="W291" i="17" s="1"/>
  <c r="S291" i="17"/>
  <c r="J466" i="17"/>
  <c r="T466" i="17"/>
  <c r="S200" i="19"/>
  <c r="I200" i="19"/>
  <c r="J286" i="16"/>
  <c r="AH286" i="16" s="1"/>
  <c r="T286" i="16"/>
  <c r="J253" i="17"/>
  <c r="T253" i="17"/>
  <c r="G225" i="17"/>
  <c r="H225" i="17"/>
  <c r="G255" i="16"/>
  <c r="H255" i="16"/>
  <c r="G465" i="16"/>
  <c r="H465" i="16"/>
  <c r="H405" i="17"/>
  <c r="G405" i="17"/>
  <c r="G375" i="17"/>
  <c r="H375" i="17"/>
  <c r="H45" i="19"/>
  <c r="G45" i="19"/>
  <c r="H15" i="19"/>
  <c r="G15" i="19"/>
  <c r="Y88" i="11"/>
  <c r="AC88" i="11" s="1"/>
  <c r="Y92" i="11"/>
  <c r="AC92" i="11" s="1"/>
  <c r="AG82" i="16"/>
  <c r="AK82" i="16" s="1"/>
  <c r="AL82" i="16" s="1"/>
  <c r="W82" i="16"/>
  <c r="J441" i="19"/>
  <c r="T441" i="19"/>
  <c r="J46" i="19"/>
  <c r="T46" i="19"/>
  <c r="Z46" i="19" s="1"/>
  <c r="S20" i="19"/>
  <c r="I20" i="19"/>
  <c r="J411" i="19"/>
  <c r="T411" i="19"/>
  <c r="I231" i="16"/>
  <c r="AG231" i="16" s="1"/>
  <c r="S231" i="16"/>
  <c r="J196" i="17"/>
  <c r="T196" i="17"/>
  <c r="I200" i="17"/>
  <c r="W200" i="17" s="1"/>
  <c r="S200" i="17"/>
  <c r="AG99" i="16"/>
  <c r="AK99" i="16" s="1"/>
  <c r="AL99" i="16" s="1"/>
  <c r="W99" i="16"/>
  <c r="AG374" i="16"/>
  <c r="L374" i="16"/>
  <c r="W374" i="16"/>
  <c r="AG363" i="16"/>
  <c r="W363" i="16"/>
  <c r="J51" i="16"/>
  <c r="AH51" i="16" s="1"/>
  <c r="T51" i="16"/>
  <c r="I381" i="17"/>
  <c r="W381" i="17" s="1"/>
  <c r="S381" i="17"/>
  <c r="S166" i="17"/>
  <c r="I166" i="17"/>
  <c r="W166" i="17" s="1"/>
  <c r="T470" i="19"/>
  <c r="J470" i="19"/>
  <c r="I22" i="16"/>
  <c r="S22" i="16"/>
  <c r="AG274" i="16"/>
  <c r="L274" i="16"/>
  <c r="W274" i="16"/>
  <c r="J171" i="17"/>
  <c r="T171" i="17"/>
  <c r="J76" i="17"/>
  <c r="T76" i="17"/>
  <c r="S320" i="19"/>
  <c r="I320" i="19"/>
  <c r="W320" i="19" s="1"/>
  <c r="I16" i="16"/>
  <c r="AG16" i="16" s="1"/>
  <c r="S16" i="16"/>
  <c r="AG344" i="16"/>
  <c r="AK344" i="16" s="1"/>
  <c r="AL344" i="16" s="1"/>
  <c r="W344" i="16"/>
  <c r="I201" i="17"/>
  <c r="W201" i="17" s="1"/>
  <c r="S201" i="17"/>
  <c r="I346" i="17"/>
  <c r="S346" i="17"/>
  <c r="S350" i="16"/>
  <c r="I350" i="16"/>
  <c r="AG350" i="16" s="1"/>
  <c r="I290" i="17"/>
  <c r="W290" i="17" s="1"/>
  <c r="S290" i="17"/>
  <c r="AG284" i="16"/>
  <c r="AK284" i="16" s="1"/>
  <c r="AL284" i="16" s="1"/>
  <c r="W284" i="16"/>
  <c r="AG244" i="16"/>
  <c r="W244" i="16"/>
  <c r="I202" i="16"/>
  <c r="S202" i="16"/>
  <c r="I111" i="19"/>
  <c r="W111" i="19" s="1"/>
  <c r="S111" i="19"/>
  <c r="S16" i="19"/>
  <c r="I16" i="19"/>
  <c r="W16" i="19" s="1"/>
  <c r="I80" i="17"/>
  <c r="W80" i="17" s="1"/>
  <c r="S80" i="17"/>
  <c r="S136" i="16"/>
  <c r="I136" i="16"/>
  <c r="AG136" i="16" s="1"/>
  <c r="AG423" i="16"/>
  <c r="AK423" i="16" s="1"/>
  <c r="AL423" i="16" s="1"/>
  <c r="W423" i="16"/>
  <c r="AG139" i="16"/>
  <c r="AK139" i="16" s="1"/>
  <c r="AL139" i="16" s="1"/>
  <c r="W139" i="16"/>
  <c r="T321" i="19"/>
  <c r="J321" i="19"/>
  <c r="I501" i="17"/>
  <c r="W501" i="17" s="1"/>
  <c r="S501" i="17"/>
  <c r="J286" i="17"/>
  <c r="T286" i="17"/>
  <c r="J110" i="19"/>
  <c r="T110" i="19"/>
  <c r="J470" i="16"/>
  <c r="AH470" i="16" s="1"/>
  <c r="T470" i="16"/>
  <c r="I343" i="17"/>
  <c r="S343" i="17"/>
  <c r="S112" i="16"/>
  <c r="I112" i="16"/>
  <c r="AG126" i="16"/>
  <c r="AK126" i="16" s="1"/>
  <c r="AL126" i="16" s="1"/>
  <c r="W126" i="16"/>
  <c r="S81" i="16"/>
  <c r="I81" i="16"/>
  <c r="AG81" i="16" s="1"/>
  <c r="J291" i="17"/>
  <c r="T291" i="17"/>
  <c r="I466" i="17"/>
  <c r="W466" i="17" s="1"/>
  <c r="S466" i="17"/>
  <c r="T200" i="19"/>
  <c r="J200" i="19"/>
  <c r="I286" i="16"/>
  <c r="AG286" i="16" s="1"/>
  <c r="S286" i="16"/>
  <c r="I253" i="17"/>
  <c r="W253" i="17" s="1"/>
  <c r="S253" i="17"/>
  <c r="G495" i="16"/>
  <c r="H495" i="16"/>
  <c r="G375" i="16"/>
  <c r="H375" i="16"/>
  <c r="G105" i="16"/>
  <c r="H105" i="16"/>
  <c r="H465" i="17"/>
  <c r="G465" i="17"/>
  <c r="G495" i="17"/>
  <c r="H495" i="17"/>
  <c r="H495" i="19"/>
  <c r="G495" i="19"/>
  <c r="H465" i="19"/>
  <c r="G465" i="19"/>
  <c r="L214" i="16"/>
  <c r="AI214" i="16" s="1"/>
  <c r="AK214" i="16" s="1"/>
  <c r="AL214" i="16" s="1"/>
  <c r="AG404" i="16"/>
  <c r="AK404" i="16" s="1"/>
  <c r="AL404" i="16" s="1"/>
  <c r="W404" i="16"/>
  <c r="AG424" i="16"/>
  <c r="L424" i="16"/>
  <c r="W424" i="16"/>
  <c r="T81" i="17"/>
  <c r="J81" i="17"/>
  <c r="S76" i="19"/>
  <c r="I76" i="19"/>
  <c r="I170" i="19"/>
  <c r="W170" i="19" s="1"/>
  <c r="S170" i="19"/>
  <c r="T496" i="16"/>
  <c r="J496" i="16"/>
  <c r="AH496" i="16" s="1"/>
  <c r="H193" i="19"/>
  <c r="G193" i="19"/>
  <c r="I196" i="16"/>
  <c r="AG196" i="16" s="1"/>
  <c r="S196" i="16"/>
  <c r="AG484" i="16"/>
  <c r="W484" i="16"/>
  <c r="I382" i="16"/>
  <c r="S382" i="16"/>
  <c r="S81" i="19"/>
  <c r="I81" i="19"/>
  <c r="S136" i="19"/>
  <c r="I136" i="19"/>
  <c r="I313" i="16"/>
  <c r="AG313" i="16" s="1"/>
  <c r="S313" i="16"/>
  <c r="T440" i="17"/>
  <c r="J440" i="17"/>
  <c r="H283" i="17"/>
  <c r="G283" i="17"/>
  <c r="I141" i="19"/>
  <c r="S141" i="19"/>
  <c r="I106" i="19"/>
  <c r="W106" i="19" s="1"/>
  <c r="S106" i="19"/>
  <c r="T440" i="16"/>
  <c r="J440" i="16"/>
  <c r="AH440" i="16" s="1"/>
  <c r="S230" i="17"/>
  <c r="I230" i="17"/>
  <c r="H133" i="19"/>
  <c r="G133" i="19"/>
  <c r="G381" i="16"/>
  <c r="H381" i="16"/>
  <c r="J411" i="17"/>
  <c r="T411" i="17"/>
  <c r="J256" i="17"/>
  <c r="T256" i="17"/>
  <c r="T20" i="17"/>
  <c r="J20" i="17"/>
  <c r="H433" i="16"/>
  <c r="G433" i="16"/>
  <c r="G493" i="17"/>
  <c r="H493" i="17"/>
  <c r="AG153" i="16"/>
  <c r="L153" i="16"/>
  <c r="W153" i="16"/>
  <c r="H320" i="16"/>
  <c r="G320" i="16"/>
  <c r="I441" i="17"/>
  <c r="W441" i="17" s="1"/>
  <c r="S441" i="17"/>
  <c r="J406" i="17"/>
  <c r="T406" i="17"/>
  <c r="I140" i="19"/>
  <c r="S140" i="19"/>
  <c r="J343" i="16"/>
  <c r="AH343" i="16" s="1"/>
  <c r="T343" i="16"/>
  <c r="G403" i="17"/>
  <c r="H403" i="17"/>
  <c r="I321" i="16"/>
  <c r="AG321" i="16" s="1"/>
  <c r="S321" i="16"/>
  <c r="J231" i="17"/>
  <c r="T231" i="17"/>
  <c r="I166" i="19"/>
  <c r="S166" i="19"/>
  <c r="H166" i="16"/>
  <c r="G166" i="16"/>
  <c r="J320" i="17"/>
  <c r="T320" i="17"/>
  <c r="H223" i="19"/>
  <c r="G223" i="19"/>
  <c r="J163" i="16"/>
  <c r="AH163" i="16" s="1"/>
  <c r="T163" i="16"/>
  <c r="AG502" i="16"/>
  <c r="AK502" i="16" s="1"/>
  <c r="AL502" i="16" s="1"/>
  <c r="W502" i="16"/>
  <c r="T471" i="19"/>
  <c r="J471" i="19"/>
  <c r="I226" i="19"/>
  <c r="S226" i="19"/>
  <c r="J136" i="17"/>
  <c r="T136" i="17"/>
  <c r="S110" i="17"/>
  <c r="I110" i="17"/>
  <c r="H433" i="19"/>
  <c r="G433" i="19"/>
  <c r="G380" i="16"/>
  <c r="H380" i="16"/>
  <c r="AG245" i="16"/>
  <c r="AK245" i="16" s="1"/>
  <c r="AL245" i="16" s="1"/>
  <c r="W245" i="16"/>
  <c r="I291" i="19"/>
  <c r="W291" i="19" s="1"/>
  <c r="S291" i="19"/>
  <c r="I21" i="16"/>
  <c r="AG21" i="16" s="1"/>
  <c r="S21" i="16"/>
  <c r="T436" i="17"/>
  <c r="J436" i="17"/>
  <c r="L436" i="17" s="1"/>
  <c r="Y436" i="17" s="1"/>
  <c r="J140" i="17"/>
  <c r="T140" i="17"/>
  <c r="I163" i="19"/>
  <c r="S163" i="19"/>
  <c r="H43" i="17"/>
  <c r="G43" i="17"/>
  <c r="G15" i="16"/>
  <c r="H15" i="16"/>
  <c r="H345" i="16"/>
  <c r="G345" i="16"/>
  <c r="G285" i="17"/>
  <c r="H285" i="17"/>
  <c r="H315" i="17"/>
  <c r="G315" i="17"/>
  <c r="H135" i="17"/>
  <c r="G135" i="17"/>
  <c r="H405" i="19"/>
  <c r="G405" i="19"/>
  <c r="G345" i="19"/>
  <c r="H345" i="19"/>
  <c r="AG275" i="16"/>
  <c r="AK275" i="16" s="1"/>
  <c r="AL275" i="16" s="1"/>
  <c r="W275" i="16"/>
  <c r="AG429" i="16"/>
  <c r="W429" i="16"/>
  <c r="I81" i="17"/>
  <c r="W81" i="17" s="1"/>
  <c r="S81" i="17"/>
  <c r="J76" i="19"/>
  <c r="L76" i="19" s="1"/>
  <c r="Y76" i="19" s="1"/>
  <c r="T76" i="19"/>
  <c r="J170" i="19"/>
  <c r="T170" i="19"/>
  <c r="I496" i="16"/>
  <c r="AG496" i="16" s="1"/>
  <c r="S496" i="16"/>
  <c r="J196" i="16"/>
  <c r="AH196" i="16" s="1"/>
  <c r="T196" i="16"/>
  <c r="J382" i="16"/>
  <c r="AH382" i="16" s="1"/>
  <c r="T382" i="16"/>
  <c r="AG426" i="16"/>
  <c r="W426" i="16"/>
  <c r="T81" i="19"/>
  <c r="J81" i="19"/>
  <c r="T136" i="19"/>
  <c r="J136" i="19"/>
  <c r="J313" i="16"/>
  <c r="AH313" i="16" s="1"/>
  <c r="T313" i="16"/>
  <c r="I440" i="17"/>
  <c r="W440" i="17" s="1"/>
  <c r="S440" i="17"/>
  <c r="AG334" i="16"/>
  <c r="W334" i="16"/>
  <c r="AG319" i="16"/>
  <c r="AK319" i="16" s="1"/>
  <c r="AL319" i="16" s="1"/>
  <c r="W319" i="16"/>
  <c r="T141" i="19"/>
  <c r="J141" i="19"/>
  <c r="J106" i="19"/>
  <c r="T106" i="19"/>
  <c r="I440" i="16"/>
  <c r="AG440" i="16" s="1"/>
  <c r="S440" i="16"/>
  <c r="J230" i="17"/>
  <c r="T230" i="17"/>
  <c r="AG333" i="16"/>
  <c r="AK333" i="16" s="1"/>
  <c r="AL333" i="16" s="1"/>
  <c r="W333" i="16"/>
  <c r="I411" i="17"/>
  <c r="W411" i="17" s="1"/>
  <c r="S411" i="17"/>
  <c r="I256" i="17"/>
  <c r="W256" i="17" s="1"/>
  <c r="S256" i="17"/>
  <c r="I20" i="17"/>
  <c r="L20" i="17" s="1"/>
  <c r="Y20" i="17" s="1"/>
  <c r="S20" i="17"/>
  <c r="AG395" i="16"/>
  <c r="AK395" i="16" s="1"/>
  <c r="AL395" i="16" s="1"/>
  <c r="W395" i="16"/>
  <c r="AG455" i="16"/>
  <c r="AK455" i="16" s="1"/>
  <c r="AL455" i="16" s="1"/>
  <c r="W455" i="16"/>
  <c r="J441" i="17"/>
  <c r="T441" i="17"/>
  <c r="I406" i="17"/>
  <c r="W406" i="17" s="1"/>
  <c r="S406" i="17"/>
  <c r="T140" i="19"/>
  <c r="J140" i="19"/>
  <c r="L140" i="19" s="1"/>
  <c r="Y140" i="19" s="1"/>
  <c r="I343" i="16"/>
  <c r="AG343" i="16" s="1"/>
  <c r="S343" i="16"/>
  <c r="AG213" i="16"/>
  <c r="W213" i="16"/>
  <c r="J321" i="16"/>
  <c r="AH321" i="16" s="1"/>
  <c r="T321" i="16"/>
  <c r="I231" i="17"/>
  <c r="W231" i="17" s="1"/>
  <c r="S231" i="17"/>
  <c r="J166" i="19"/>
  <c r="T166" i="19"/>
  <c r="I320" i="17"/>
  <c r="W320" i="17" s="1"/>
  <c r="S320" i="17"/>
  <c r="I163" i="16"/>
  <c r="L163" i="16" s="1"/>
  <c r="AI163" i="16" s="1"/>
  <c r="S163" i="16"/>
  <c r="AG94" i="16"/>
  <c r="W94" i="16"/>
  <c r="AG95" i="16"/>
  <c r="L95" i="16"/>
  <c r="W95" i="16"/>
  <c r="AG215" i="16"/>
  <c r="W215" i="16"/>
  <c r="AG64" i="16"/>
  <c r="AK64" i="16" s="1"/>
  <c r="AL64" i="16" s="1"/>
  <c r="W64" i="16"/>
  <c r="I471" i="19"/>
  <c r="W471" i="19" s="1"/>
  <c r="S471" i="19"/>
  <c r="J226" i="19"/>
  <c r="T226" i="19"/>
  <c r="I136" i="17"/>
  <c r="W136" i="17" s="1"/>
  <c r="S136" i="17"/>
  <c r="T110" i="17"/>
  <c r="J110" i="17"/>
  <c r="J291" i="19"/>
  <c r="T291" i="19"/>
  <c r="J21" i="16"/>
  <c r="AH21" i="16" s="1"/>
  <c r="T21" i="16"/>
  <c r="S436" i="17"/>
  <c r="I436" i="17"/>
  <c r="W436" i="17" s="1"/>
  <c r="I140" i="17"/>
  <c r="W140" i="17" s="1"/>
  <c r="S140" i="17"/>
  <c r="J163" i="19"/>
  <c r="T163" i="19"/>
  <c r="G195" i="16"/>
  <c r="H195" i="16"/>
  <c r="G135" i="16"/>
  <c r="H135" i="16"/>
  <c r="H75" i="17"/>
  <c r="G75" i="17"/>
  <c r="H195" i="17"/>
  <c r="G195" i="17"/>
  <c r="H375" i="19"/>
  <c r="G375" i="19"/>
  <c r="G105" i="19"/>
  <c r="H105" i="19"/>
  <c r="H75" i="19"/>
  <c r="G75" i="19"/>
  <c r="AK169" i="16"/>
  <c r="AL169" i="16" s="1"/>
  <c r="AG456" i="16"/>
  <c r="AK456" i="16" s="1"/>
  <c r="AL456" i="16" s="1"/>
  <c r="W456" i="16"/>
  <c r="T201" i="16"/>
  <c r="J201" i="16"/>
  <c r="AH201" i="16" s="1"/>
  <c r="T321" i="17"/>
  <c r="J321" i="17"/>
  <c r="T226" i="17"/>
  <c r="J226" i="17"/>
  <c r="J170" i="17"/>
  <c r="T170" i="17"/>
  <c r="I410" i="16"/>
  <c r="AG410" i="16" s="1"/>
  <c r="S410" i="16"/>
  <c r="H103" i="17"/>
  <c r="G103" i="17"/>
  <c r="J170" i="16"/>
  <c r="AH170" i="16" s="1"/>
  <c r="T170" i="16"/>
  <c r="T52" i="16"/>
  <c r="J52" i="16"/>
  <c r="AH52" i="16" s="1"/>
  <c r="I111" i="17"/>
  <c r="W111" i="17" s="1"/>
  <c r="S111" i="17"/>
  <c r="I286" i="19"/>
  <c r="S286" i="19"/>
  <c r="S500" i="19"/>
  <c r="I500" i="19"/>
  <c r="T226" i="16"/>
  <c r="J226" i="16"/>
  <c r="AH226" i="16" s="1"/>
  <c r="H373" i="17"/>
  <c r="G373" i="17"/>
  <c r="AG33" i="16"/>
  <c r="W33" i="16"/>
  <c r="L33" i="16"/>
  <c r="S51" i="19"/>
  <c r="I51" i="19"/>
  <c r="W51" i="19" s="1"/>
  <c r="I376" i="19"/>
  <c r="S376" i="19"/>
  <c r="S80" i="19"/>
  <c r="I80" i="19"/>
  <c r="I470" i="17"/>
  <c r="W470" i="17" s="1"/>
  <c r="S470" i="17"/>
  <c r="G193" i="17"/>
  <c r="H193" i="17"/>
  <c r="S412" i="16"/>
  <c r="I412" i="16"/>
  <c r="I261" i="19"/>
  <c r="S261" i="19"/>
  <c r="S196" i="19"/>
  <c r="I196" i="19"/>
  <c r="W196" i="19" s="1"/>
  <c r="S316" i="16"/>
  <c r="I316" i="16"/>
  <c r="AG316" i="16" s="1"/>
  <c r="J260" i="17"/>
  <c r="T260" i="17"/>
  <c r="G43" i="19"/>
  <c r="H43" i="19"/>
  <c r="I133" i="16"/>
  <c r="AG133" i="16" s="1"/>
  <c r="S133" i="16"/>
  <c r="AG364" i="16"/>
  <c r="AK364" i="16" s="1"/>
  <c r="AL364" i="16" s="1"/>
  <c r="W364" i="16"/>
  <c r="AG289" i="16"/>
  <c r="W289" i="16"/>
  <c r="L289" i="16"/>
  <c r="J351" i="19"/>
  <c r="T351" i="19"/>
  <c r="I406" i="19"/>
  <c r="W406" i="19" s="1"/>
  <c r="S406" i="19"/>
  <c r="H260" i="16"/>
  <c r="G260" i="16"/>
  <c r="S290" i="19"/>
  <c r="I290" i="19"/>
  <c r="W290" i="19" s="1"/>
  <c r="G403" i="16"/>
  <c r="H403" i="16"/>
  <c r="G73" i="17"/>
  <c r="H73" i="17"/>
  <c r="S201" i="19"/>
  <c r="I201" i="19"/>
  <c r="T471" i="17"/>
  <c r="J471" i="17"/>
  <c r="J106" i="17"/>
  <c r="T106" i="17"/>
  <c r="I350" i="19"/>
  <c r="W350" i="19" s="1"/>
  <c r="S350" i="19"/>
  <c r="T373" i="16"/>
  <c r="J373" i="16"/>
  <c r="AH373" i="16" s="1"/>
  <c r="H283" i="19"/>
  <c r="G283" i="19"/>
  <c r="S193" i="16"/>
  <c r="I193" i="16"/>
  <c r="AG193" i="16" s="1"/>
  <c r="AG279" i="16"/>
  <c r="L279" i="16"/>
  <c r="W279" i="16"/>
  <c r="I21" i="17"/>
  <c r="S21" i="17"/>
  <c r="S496" i="19"/>
  <c r="I496" i="19"/>
  <c r="W496" i="19" s="1"/>
  <c r="J106" i="16"/>
  <c r="AH106" i="16" s="1"/>
  <c r="T106" i="16"/>
  <c r="J350" i="17"/>
  <c r="T350" i="17"/>
  <c r="H373" i="19"/>
  <c r="G373" i="19"/>
  <c r="AG3" i="16"/>
  <c r="AK3" i="16" s="1"/>
  <c r="AL3" i="16" s="1"/>
  <c r="W3" i="16"/>
  <c r="T501" i="19"/>
  <c r="J501" i="19"/>
  <c r="S316" i="19"/>
  <c r="I316" i="19"/>
  <c r="T376" i="16"/>
  <c r="J376" i="16"/>
  <c r="AH376" i="16" s="1"/>
  <c r="T380" i="17"/>
  <c r="J380" i="17"/>
  <c r="I403" i="19"/>
  <c r="W403" i="19" s="1"/>
  <c r="S403" i="19"/>
  <c r="I230" i="16"/>
  <c r="AG230" i="16" s="1"/>
  <c r="S230" i="16"/>
  <c r="G405" i="16"/>
  <c r="H405" i="16"/>
  <c r="AG36" i="16"/>
  <c r="AK36" i="16" s="1"/>
  <c r="AL36" i="16" s="1"/>
  <c r="W36" i="16"/>
  <c r="AG35" i="16"/>
  <c r="AK35" i="16" s="1"/>
  <c r="AL35" i="16" s="1"/>
  <c r="W35" i="16"/>
  <c r="AG199" i="16"/>
  <c r="AK199" i="16" s="1"/>
  <c r="AL199" i="16" s="1"/>
  <c r="W199" i="16"/>
  <c r="S201" i="16"/>
  <c r="I201" i="16"/>
  <c r="AG201" i="16" s="1"/>
  <c r="I321" i="17"/>
  <c r="W321" i="17" s="1"/>
  <c r="S321" i="17"/>
  <c r="S226" i="17"/>
  <c r="I226" i="17"/>
  <c r="W226" i="17" s="1"/>
  <c r="S170" i="17"/>
  <c r="I170" i="17"/>
  <c r="W170" i="17" s="1"/>
  <c r="J410" i="16"/>
  <c r="AH410" i="16" s="1"/>
  <c r="T410" i="16"/>
  <c r="I170" i="16"/>
  <c r="AG170" i="16" s="1"/>
  <c r="S170" i="16"/>
  <c r="I52" i="16"/>
  <c r="S52" i="16"/>
  <c r="J111" i="17"/>
  <c r="T111" i="17"/>
  <c r="J286" i="19"/>
  <c r="T286" i="19"/>
  <c r="J500" i="19"/>
  <c r="T500" i="19"/>
  <c r="I226" i="16"/>
  <c r="AG226" i="16" s="1"/>
  <c r="S226" i="16"/>
  <c r="AG219" i="16"/>
  <c r="AK219" i="16" s="1"/>
  <c r="AL219" i="16" s="1"/>
  <c r="W219" i="16"/>
  <c r="AG399" i="16"/>
  <c r="AK399" i="16" s="1"/>
  <c r="AL399" i="16" s="1"/>
  <c r="W399" i="16"/>
  <c r="AG249" i="16"/>
  <c r="W249" i="16"/>
  <c r="L249" i="16"/>
  <c r="AG96" i="16"/>
  <c r="AK96" i="16" s="1"/>
  <c r="AL96" i="16" s="1"/>
  <c r="W96" i="16"/>
  <c r="T51" i="19"/>
  <c r="J51" i="19"/>
  <c r="J376" i="19"/>
  <c r="T376" i="19"/>
  <c r="T80" i="19"/>
  <c r="J80" i="19"/>
  <c r="J470" i="17"/>
  <c r="T470" i="17"/>
  <c r="T412" i="16"/>
  <c r="J412" i="16"/>
  <c r="AH412" i="16" s="1"/>
  <c r="J261" i="19"/>
  <c r="T261" i="19"/>
  <c r="T196" i="19"/>
  <c r="J196" i="19"/>
  <c r="J316" i="16"/>
  <c r="AH316" i="16" s="1"/>
  <c r="T316" i="16"/>
  <c r="I260" i="17"/>
  <c r="W260" i="17" s="1"/>
  <c r="S260" i="17"/>
  <c r="J133" i="16"/>
  <c r="AH133" i="16" s="1"/>
  <c r="T133" i="16"/>
  <c r="AG44" i="16"/>
  <c r="W44" i="16"/>
  <c r="S351" i="19"/>
  <c r="I351" i="19"/>
  <c r="T406" i="19"/>
  <c r="J406" i="19"/>
  <c r="T290" i="19"/>
  <c r="J290" i="19"/>
  <c r="AG142" i="16"/>
  <c r="AK142" i="16" s="1"/>
  <c r="AL142" i="16" s="1"/>
  <c r="W142" i="16"/>
  <c r="AG254" i="16"/>
  <c r="AK254" i="16" s="1"/>
  <c r="AL254" i="16" s="1"/>
  <c r="W254" i="16"/>
  <c r="AG246" i="16"/>
  <c r="L246" i="16"/>
  <c r="W246" i="16"/>
  <c r="T201" i="19"/>
  <c r="J201" i="19"/>
  <c r="L201" i="19" s="1"/>
  <c r="Y201" i="19" s="1"/>
  <c r="I471" i="17"/>
  <c r="W471" i="17" s="1"/>
  <c r="S471" i="17"/>
  <c r="I106" i="17"/>
  <c r="W106" i="17" s="1"/>
  <c r="S106" i="17"/>
  <c r="T350" i="19"/>
  <c r="J350" i="19"/>
  <c r="S373" i="16"/>
  <c r="I373" i="16"/>
  <c r="AG373" i="16" s="1"/>
  <c r="T193" i="16"/>
  <c r="J193" i="16"/>
  <c r="AH193" i="16" s="1"/>
  <c r="AG63" i="16"/>
  <c r="AK63" i="16" s="1"/>
  <c r="AL63" i="16" s="1"/>
  <c r="W63" i="16"/>
  <c r="J21" i="17"/>
  <c r="T21" i="17"/>
  <c r="T496" i="19"/>
  <c r="J496" i="19"/>
  <c r="I106" i="16"/>
  <c r="AG106" i="16" s="1"/>
  <c r="S106" i="16"/>
  <c r="I350" i="17"/>
  <c r="W350" i="17" s="1"/>
  <c r="S350" i="17"/>
  <c r="I501" i="19"/>
  <c r="S501" i="19"/>
  <c r="T316" i="19"/>
  <c r="J316" i="19"/>
  <c r="S376" i="16"/>
  <c r="I376" i="16"/>
  <c r="AG376" i="16" s="1"/>
  <c r="S380" i="17"/>
  <c r="I380" i="17"/>
  <c r="W380" i="17" s="1"/>
  <c r="J403" i="19"/>
  <c r="T403" i="19"/>
  <c r="J230" i="16"/>
  <c r="AH230" i="16" s="1"/>
  <c r="T230" i="16"/>
  <c r="Z33" i="25"/>
  <c r="AD33" i="25" s="1"/>
  <c r="Y84" i="11"/>
  <c r="AC84" i="11" s="1"/>
  <c r="Y91" i="11"/>
  <c r="AC91" i="11" s="1"/>
  <c r="Y97" i="11"/>
  <c r="AC97" i="11" s="1"/>
  <c r="Y94" i="11"/>
  <c r="AC94" i="11" s="1"/>
  <c r="Y93" i="11"/>
  <c r="AC93" i="11" s="1"/>
  <c r="Y99" i="11"/>
  <c r="AC99" i="11" s="1"/>
  <c r="Y98" i="11"/>
  <c r="AC98" i="11" s="1"/>
  <c r="Y86" i="11"/>
  <c r="AC86" i="11" s="1"/>
  <c r="Y100" i="11"/>
  <c r="AC100" i="11" s="1"/>
  <c r="Y95" i="11"/>
  <c r="AC95" i="11" s="1"/>
  <c r="Y89" i="11"/>
  <c r="AC89" i="11" s="1"/>
  <c r="Z3" i="25"/>
  <c r="AC3" i="25" s="1"/>
  <c r="X342" i="19"/>
  <c r="AB342" i="19" s="1"/>
  <c r="Y219" i="16"/>
  <c r="I109" i="9"/>
  <c r="S109" i="9"/>
  <c r="I442" i="9"/>
  <c r="W442" i="9" s="1"/>
  <c r="S442" i="9"/>
  <c r="J411" i="9"/>
  <c r="T411" i="9"/>
  <c r="I374" i="9"/>
  <c r="S374" i="9"/>
  <c r="I76" i="9"/>
  <c r="S76" i="9"/>
  <c r="J425" i="9"/>
  <c r="T425" i="9"/>
  <c r="J259" i="9"/>
  <c r="T259" i="9"/>
  <c r="I106" i="9"/>
  <c r="W106" i="9" s="1"/>
  <c r="S106" i="9"/>
  <c r="J216" i="9"/>
  <c r="T216" i="9"/>
  <c r="J285" i="9"/>
  <c r="T285" i="9"/>
  <c r="J16" i="9"/>
  <c r="T16" i="9"/>
  <c r="I185" i="9"/>
  <c r="S185" i="9"/>
  <c r="J9" i="9"/>
  <c r="T9" i="9"/>
  <c r="J22" i="9"/>
  <c r="T22" i="9"/>
  <c r="I135" i="9"/>
  <c r="W135" i="9" s="1"/>
  <c r="S135" i="9"/>
  <c r="J373" i="9"/>
  <c r="T373" i="9"/>
  <c r="J335" i="9"/>
  <c r="T335" i="9"/>
  <c r="I190" i="9"/>
  <c r="S190" i="9"/>
  <c r="J44" i="9"/>
  <c r="T44" i="9"/>
  <c r="I199" i="9"/>
  <c r="W199" i="9" s="1"/>
  <c r="S199" i="9"/>
  <c r="I434" i="9"/>
  <c r="W434" i="9" s="1"/>
  <c r="S434" i="9"/>
  <c r="J36" i="9"/>
  <c r="T36" i="9"/>
  <c r="J310" i="9"/>
  <c r="T310" i="9"/>
  <c r="J304" i="9"/>
  <c r="T304" i="9"/>
  <c r="I253" i="9"/>
  <c r="W253" i="9" s="1"/>
  <c r="S253" i="9"/>
  <c r="I35" i="9"/>
  <c r="W35" i="9" s="1"/>
  <c r="S35" i="9"/>
  <c r="J500" i="9"/>
  <c r="T500" i="9"/>
  <c r="J100" i="9"/>
  <c r="T100" i="9"/>
  <c r="J279" i="9"/>
  <c r="T279" i="9"/>
  <c r="I133" i="9"/>
  <c r="W133" i="9" s="1"/>
  <c r="S133" i="9"/>
  <c r="I63" i="9"/>
  <c r="W63" i="9" s="1"/>
  <c r="S63" i="9"/>
  <c r="J472" i="9"/>
  <c r="T472" i="9"/>
  <c r="I75" i="9"/>
  <c r="W75" i="9" s="1"/>
  <c r="S75" i="9"/>
  <c r="I381" i="9"/>
  <c r="W381" i="9" s="1"/>
  <c r="S381" i="9"/>
  <c r="J5" i="9"/>
  <c r="T5" i="9"/>
  <c r="J471" i="9"/>
  <c r="T471" i="9"/>
  <c r="J405" i="9"/>
  <c r="T405" i="9"/>
  <c r="J430" i="9"/>
  <c r="T430" i="9"/>
  <c r="J232" i="9"/>
  <c r="T232" i="9"/>
  <c r="I440" i="9"/>
  <c r="W440" i="9" s="1"/>
  <c r="S440" i="9"/>
  <c r="I171" i="9"/>
  <c r="W171" i="9" s="1"/>
  <c r="S171" i="9"/>
  <c r="I352" i="9"/>
  <c r="W352" i="9" s="1"/>
  <c r="S352" i="9"/>
  <c r="I463" i="9"/>
  <c r="W463" i="9" s="1"/>
  <c r="S463" i="9"/>
  <c r="I6" i="9"/>
  <c r="W6" i="9" s="1"/>
  <c r="S6" i="9"/>
  <c r="J316" i="9"/>
  <c r="T316" i="9"/>
  <c r="I369" i="9"/>
  <c r="S369" i="9"/>
  <c r="J485" i="9"/>
  <c r="T485" i="9"/>
  <c r="J99" i="9"/>
  <c r="T99" i="9"/>
  <c r="J435" i="9"/>
  <c r="T435" i="9"/>
  <c r="I306" i="9"/>
  <c r="W306" i="9" s="1"/>
  <c r="S306" i="9"/>
  <c r="I456" i="9"/>
  <c r="S456" i="9"/>
  <c r="I410" i="9"/>
  <c r="S410" i="9"/>
  <c r="J499" i="9"/>
  <c r="T499" i="9"/>
  <c r="I50" i="9"/>
  <c r="W50" i="9" s="1"/>
  <c r="S50" i="9"/>
  <c r="J344" i="9"/>
  <c r="T344" i="9"/>
  <c r="I231" i="9"/>
  <c r="S231" i="9"/>
  <c r="I166" i="9"/>
  <c r="S166" i="9"/>
  <c r="J169" i="9"/>
  <c r="T169" i="9"/>
  <c r="I73" i="9"/>
  <c r="S73" i="9"/>
  <c r="J109" i="9"/>
  <c r="T109" i="9"/>
  <c r="J442" i="9"/>
  <c r="T442" i="9"/>
  <c r="I411" i="9"/>
  <c r="W411" i="9" s="1"/>
  <c r="S411" i="9"/>
  <c r="J374" i="9"/>
  <c r="T374" i="9"/>
  <c r="J76" i="9"/>
  <c r="T76" i="9"/>
  <c r="I425" i="9"/>
  <c r="S425" i="9"/>
  <c r="I259" i="9"/>
  <c r="W259" i="9" s="1"/>
  <c r="S259" i="9"/>
  <c r="J106" i="9"/>
  <c r="T106" i="9"/>
  <c r="I216" i="9"/>
  <c r="S216" i="9"/>
  <c r="I285" i="9"/>
  <c r="W285" i="9" s="1"/>
  <c r="S285" i="9"/>
  <c r="I16" i="9"/>
  <c r="L16" i="9" s="1"/>
  <c r="Y16" i="9" s="1"/>
  <c r="S16" i="9"/>
  <c r="J185" i="9"/>
  <c r="T185" i="9"/>
  <c r="I9" i="9"/>
  <c r="W9" i="9" s="1"/>
  <c r="S9" i="9"/>
  <c r="I22" i="9"/>
  <c r="S22" i="9"/>
  <c r="J135" i="9"/>
  <c r="T135" i="9"/>
  <c r="I373" i="9"/>
  <c r="W373" i="9" s="1"/>
  <c r="S373" i="9"/>
  <c r="I335" i="9"/>
  <c r="W335" i="9" s="1"/>
  <c r="S335" i="9"/>
  <c r="J190" i="9"/>
  <c r="T190" i="9"/>
  <c r="I44" i="9"/>
  <c r="W44" i="9" s="1"/>
  <c r="S44" i="9"/>
  <c r="J199" i="9"/>
  <c r="T199" i="9"/>
  <c r="J434" i="9"/>
  <c r="T434" i="9"/>
  <c r="I36" i="9"/>
  <c r="S36" i="9"/>
  <c r="I310" i="9"/>
  <c r="S310" i="9"/>
  <c r="I304" i="9"/>
  <c r="W304" i="9" s="1"/>
  <c r="S304" i="9"/>
  <c r="J253" i="9"/>
  <c r="T253" i="9"/>
  <c r="J35" i="9"/>
  <c r="T35" i="9"/>
  <c r="I500" i="9"/>
  <c r="W500" i="9" s="1"/>
  <c r="S500" i="9"/>
  <c r="I100" i="9"/>
  <c r="W100" i="9" s="1"/>
  <c r="S100" i="9"/>
  <c r="I279" i="9"/>
  <c r="S279" i="9"/>
  <c r="J133" i="9"/>
  <c r="T133" i="9"/>
  <c r="J63" i="9"/>
  <c r="T63" i="9"/>
  <c r="I472" i="9"/>
  <c r="W472" i="9" s="1"/>
  <c r="S472" i="9"/>
  <c r="J75" i="9"/>
  <c r="T75" i="9"/>
  <c r="J381" i="9"/>
  <c r="T381" i="9"/>
  <c r="I5" i="9"/>
  <c r="L5" i="9" s="1"/>
  <c r="Y5" i="9" s="1"/>
  <c r="S5" i="9"/>
  <c r="I471" i="9"/>
  <c r="W471" i="9" s="1"/>
  <c r="S471" i="9"/>
  <c r="I405" i="9"/>
  <c r="W405" i="9" s="1"/>
  <c r="S405" i="9"/>
  <c r="I430" i="9"/>
  <c r="S430" i="9"/>
  <c r="I232" i="9"/>
  <c r="W232" i="9" s="1"/>
  <c r="S232" i="9"/>
  <c r="J495" i="9"/>
  <c r="T495" i="9"/>
  <c r="J214" i="9"/>
  <c r="T214" i="9"/>
  <c r="I3" i="9"/>
  <c r="W3" i="9" s="1"/>
  <c r="S3" i="9"/>
  <c r="J6" i="9"/>
  <c r="T6" i="9"/>
  <c r="I316" i="9"/>
  <c r="W316" i="9" s="1"/>
  <c r="S316" i="9"/>
  <c r="J369" i="9"/>
  <c r="T369" i="9"/>
  <c r="I485" i="9"/>
  <c r="W485" i="9" s="1"/>
  <c r="S485" i="9"/>
  <c r="I99" i="9"/>
  <c r="W99" i="9" s="1"/>
  <c r="S99" i="9"/>
  <c r="I435" i="9"/>
  <c r="W435" i="9" s="1"/>
  <c r="S435" i="9"/>
  <c r="J306" i="9"/>
  <c r="T306" i="9"/>
  <c r="J456" i="9"/>
  <c r="T456" i="9"/>
  <c r="J410" i="9"/>
  <c r="T410" i="9"/>
  <c r="I499" i="9"/>
  <c r="W499" i="9" s="1"/>
  <c r="S499" i="9"/>
  <c r="J50" i="9"/>
  <c r="T50" i="9"/>
  <c r="I344" i="9"/>
  <c r="S344" i="9"/>
  <c r="J231" i="9"/>
  <c r="T231" i="9"/>
  <c r="J166" i="9"/>
  <c r="T166" i="9"/>
  <c r="I169" i="9"/>
  <c r="S169" i="9"/>
  <c r="J73" i="9"/>
  <c r="T73" i="9"/>
  <c r="J213" i="9"/>
  <c r="T213" i="9"/>
  <c r="I490" i="9"/>
  <c r="W490" i="9" s="1"/>
  <c r="S490" i="9"/>
  <c r="J70" i="9"/>
  <c r="T70" i="9"/>
  <c r="J399" i="9"/>
  <c r="T399" i="9"/>
  <c r="J79" i="9"/>
  <c r="T79" i="9"/>
  <c r="J464" i="9"/>
  <c r="T464" i="9"/>
  <c r="J403" i="9"/>
  <c r="T403" i="9"/>
  <c r="I10" i="9"/>
  <c r="W10" i="9" s="1"/>
  <c r="S10" i="9"/>
  <c r="I255" i="9"/>
  <c r="S255" i="9"/>
  <c r="J460" i="9"/>
  <c r="T460" i="9"/>
  <c r="J333" i="9"/>
  <c r="T333" i="9"/>
  <c r="J225" i="9"/>
  <c r="T225" i="9"/>
  <c r="J400" i="9"/>
  <c r="T400" i="9"/>
  <c r="J140" i="9"/>
  <c r="T140" i="9"/>
  <c r="I363" i="9"/>
  <c r="S363" i="9"/>
  <c r="J112" i="9"/>
  <c r="T112" i="9"/>
  <c r="I426" i="9"/>
  <c r="S426" i="9"/>
  <c r="J376" i="9"/>
  <c r="T376" i="9"/>
  <c r="J345" i="9"/>
  <c r="T345" i="9"/>
  <c r="J412" i="9"/>
  <c r="T412" i="9"/>
  <c r="I154" i="9"/>
  <c r="W154" i="9" s="1"/>
  <c r="S154" i="9"/>
  <c r="I130" i="9"/>
  <c r="W130" i="9" s="1"/>
  <c r="S130" i="9"/>
  <c r="I290" i="9"/>
  <c r="S290" i="9"/>
  <c r="J21" i="9"/>
  <c r="T21" i="9"/>
  <c r="I303" i="9"/>
  <c r="W303" i="9" s="1"/>
  <c r="S303" i="9"/>
  <c r="J153" i="9"/>
  <c r="T153" i="9"/>
  <c r="J223" i="9"/>
  <c r="T223" i="9"/>
  <c r="J156" i="9"/>
  <c r="T156" i="9"/>
  <c r="J454" i="9"/>
  <c r="T454" i="9"/>
  <c r="I229" i="9"/>
  <c r="S229" i="9"/>
  <c r="I34" i="9"/>
  <c r="S34" i="9"/>
  <c r="J436" i="9"/>
  <c r="T436" i="9"/>
  <c r="I245" i="9"/>
  <c r="W245" i="9" s="1"/>
  <c r="S245" i="9"/>
  <c r="J424" i="9"/>
  <c r="T424" i="9"/>
  <c r="I365" i="9"/>
  <c r="W365" i="9" s="1"/>
  <c r="S365" i="9"/>
  <c r="J33" i="9"/>
  <c r="T33" i="9"/>
  <c r="I439" i="9"/>
  <c r="W439" i="9" s="1"/>
  <c r="S439" i="9"/>
  <c r="J484" i="9"/>
  <c r="T484" i="9"/>
  <c r="J280" i="9"/>
  <c r="T280" i="9"/>
  <c r="I495" i="9"/>
  <c r="S495" i="9"/>
  <c r="I214" i="9"/>
  <c r="W214" i="9" s="1"/>
  <c r="S214" i="9"/>
  <c r="J3" i="9"/>
  <c r="T3" i="9"/>
  <c r="I249" i="9"/>
  <c r="S249" i="9"/>
  <c r="I164" i="9"/>
  <c r="W164" i="9" s="1"/>
  <c r="S164" i="9"/>
  <c r="I74" i="9"/>
  <c r="S74" i="9"/>
  <c r="J393" i="9"/>
  <c r="T393" i="9"/>
  <c r="I103" i="9"/>
  <c r="S103" i="9"/>
  <c r="J283" i="9"/>
  <c r="T283" i="9"/>
  <c r="J493" i="9"/>
  <c r="T493" i="9"/>
  <c r="I370" i="9"/>
  <c r="S370" i="9"/>
  <c r="J49" i="9"/>
  <c r="T49" i="9"/>
  <c r="J459" i="9"/>
  <c r="T459" i="9"/>
  <c r="J284" i="9"/>
  <c r="T284" i="9"/>
  <c r="I200" i="9"/>
  <c r="S200" i="9"/>
  <c r="I262" i="9"/>
  <c r="S262" i="9"/>
  <c r="J382" i="9"/>
  <c r="T382" i="9"/>
  <c r="J273" i="9"/>
  <c r="T273" i="9"/>
  <c r="J486" i="9"/>
  <c r="T486" i="9"/>
  <c r="J14" i="9"/>
  <c r="T14" i="9"/>
  <c r="I213" i="9"/>
  <c r="S213" i="9"/>
  <c r="J490" i="9"/>
  <c r="T490" i="9"/>
  <c r="I70" i="9"/>
  <c r="W70" i="9" s="1"/>
  <c r="S70" i="9"/>
  <c r="I399" i="9"/>
  <c r="S399" i="9"/>
  <c r="I79" i="9"/>
  <c r="W79" i="9" s="1"/>
  <c r="S79" i="9"/>
  <c r="I464" i="9"/>
  <c r="L464" i="9" s="1"/>
  <c r="Y464" i="9" s="1"/>
  <c r="S464" i="9"/>
  <c r="I403" i="9"/>
  <c r="W403" i="9" s="1"/>
  <c r="S403" i="9"/>
  <c r="J10" i="9"/>
  <c r="T10" i="9"/>
  <c r="J255" i="9"/>
  <c r="T255" i="9"/>
  <c r="I460" i="9"/>
  <c r="S460" i="9"/>
  <c r="I333" i="9"/>
  <c r="W333" i="9" s="1"/>
  <c r="S333" i="9"/>
  <c r="I225" i="9"/>
  <c r="S225" i="9"/>
  <c r="I400" i="9"/>
  <c r="S400" i="9"/>
  <c r="I140" i="9"/>
  <c r="L140" i="9" s="1"/>
  <c r="Y140" i="9" s="1"/>
  <c r="S140" i="9"/>
  <c r="J363" i="9"/>
  <c r="T363" i="9"/>
  <c r="I112" i="9"/>
  <c r="S112" i="9"/>
  <c r="J426" i="9"/>
  <c r="T426" i="9"/>
  <c r="I376" i="9"/>
  <c r="L376" i="9" s="1"/>
  <c r="Y376" i="9" s="1"/>
  <c r="S376" i="9"/>
  <c r="I345" i="9"/>
  <c r="S345" i="9"/>
  <c r="I412" i="9"/>
  <c r="S412" i="9"/>
  <c r="J154" i="9"/>
  <c r="T154" i="9"/>
  <c r="J130" i="9"/>
  <c r="T130" i="9"/>
  <c r="J290" i="9"/>
  <c r="T290" i="9"/>
  <c r="I21" i="9"/>
  <c r="S21" i="9"/>
  <c r="J303" i="9"/>
  <c r="T303" i="9"/>
  <c r="I153" i="9"/>
  <c r="S153" i="9"/>
  <c r="I223" i="9"/>
  <c r="W223" i="9" s="1"/>
  <c r="S223" i="9"/>
  <c r="I156" i="9"/>
  <c r="S156" i="9"/>
  <c r="I454" i="9"/>
  <c r="S454" i="9"/>
  <c r="J229" i="9"/>
  <c r="T229" i="9"/>
  <c r="J34" i="9"/>
  <c r="T34" i="9"/>
  <c r="I436" i="9"/>
  <c r="S436" i="9"/>
  <c r="J245" i="9"/>
  <c r="T245" i="9"/>
  <c r="I424" i="9"/>
  <c r="W424" i="9" s="1"/>
  <c r="S424" i="9"/>
  <c r="J365" i="9"/>
  <c r="T365" i="9"/>
  <c r="I33" i="9"/>
  <c r="W33" i="9" s="1"/>
  <c r="S33" i="9"/>
  <c r="J439" i="9"/>
  <c r="T439" i="9"/>
  <c r="I484" i="9"/>
  <c r="W484" i="9" s="1"/>
  <c r="S484" i="9"/>
  <c r="I280" i="9"/>
  <c r="W280" i="9" s="1"/>
  <c r="S280" i="9"/>
  <c r="J159" i="9"/>
  <c r="T159" i="9"/>
  <c r="J260" i="9"/>
  <c r="T260" i="9"/>
  <c r="I105" i="9"/>
  <c r="S105" i="9"/>
  <c r="J249" i="9"/>
  <c r="T249" i="9"/>
  <c r="J164" i="9"/>
  <c r="T164" i="9"/>
  <c r="J74" i="9"/>
  <c r="T74" i="9"/>
  <c r="I393" i="9"/>
  <c r="W393" i="9" s="1"/>
  <c r="S393" i="9"/>
  <c r="J103" i="9"/>
  <c r="T103" i="9"/>
  <c r="I283" i="9"/>
  <c r="S283" i="9"/>
  <c r="I493" i="9"/>
  <c r="S493" i="9"/>
  <c r="J370" i="9"/>
  <c r="T370" i="9"/>
  <c r="I49" i="9"/>
  <c r="W49" i="9" s="1"/>
  <c r="S49" i="9"/>
  <c r="I459" i="9"/>
  <c r="S459" i="9"/>
  <c r="I284" i="9"/>
  <c r="W284" i="9" s="1"/>
  <c r="S284" i="9"/>
  <c r="J200" i="9"/>
  <c r="T200" i="9"/>
  <c r="J262" i="9"/>
  <c r="T262" i="9"/>
  <c r="I382" i="9"/>
  <c r="S382" i="9"/>
  <c r="I273" i="9"/>
  <c r="W273" i="9" s="1"/>
  <c r="S273" i="9"/>
  <c r="I486" i="9"/>
  <c r="W486" i="9" s="1"/>
  <c r="S486" i="9"/>
  <c r="I14" i="9"/>
  <c r="W14" i="9" s="1"/>
  <c r="S14" i="9"/>
  <c r="J319" i="9"/>
  <c r="T319" i="9"/>
  <c r="I183" i="9"/>
  <c r="S183" i="9"/>
  <c r="I126" i="9"/>
  <c r="W126" i="9" s="1"/>
  <c r="S126" i="9"/>
  <c r="J453" i="9"/>
  <c r="T453" i="9"/>
  <c r="J289" i="9"/>
  <c r="T289" i="9"/>
  <c r="I202" i="9"/>
  <c r="W202" i="9" s="1"/>
  <c r="S202" i="9"/>
  <c r="J501" i="9"/>
  <c r="T501" i="9"/>
  <c r="J64" i="9"/>
  <c r="T64" i="9"/>
  <c r="J305" i="9"/>
  <c r="T305" i="9"/>
  <c r="J254" i="9"/>
  <c r="T254" i="9"/>
  <c r="I163" i="9"/>
  <c r="W163" i="9" s="1"/>
  <c r="S163" i="9"/>
  <c r="J276" i="9"/>
  <c r="T276" i="9"/>
  <c r="J43" i="9"/>
  <c r="T43" i="9"/>
  <c r="I246" i="9"/>
  <c r="W246" i="9" s="1"/>
  <c r="S246" i="9"/>
  <c r="I125" i="9"/>
  <c r="S125" i="9"/>
  <c r="J470" i="9"/>
  <c r="T470" i="9"/>
  <c r="J219" i="9"/>
  <c r="T219" i="9"/>
  <c r="J404" i="9"/>
  <c r="T404" i="9"/>
  <c r="I196" i="9"/>
  <c r="W196" i="9" s="1"/>
  <c r="S196" i="9"/>
  <c r="J351" i="9"/>
  <c r="T351" i="9"/>
  <c r="J423" i="9"/>
  <c r="T423" i="9"/>
  <c r="J224" i="9"/>
  <c r="T224" i="9"/>
  <c r="I465" i="9"/>
  <c r="S465" i="9"/>
  <c r="J139" i="9"/>
  <c r="T139" i="9"/>
  <c r="J350" i="9"/>
  <c r="T350" i="9"/>
  <c r="I193" i="9"/>
  <c r="S193" i="9"/>
  <c r="J441" i="9"/>
  <c r="T441" i="9"/>
  <c r="J429" i="9"/>
  <c r="T429" i="9"/>
  <c r="I226" i="9"/>
  <c r="S226" i="9"/>
  <c r="J349" i="9"/>
  <c r="T349" i="9"/>
  <c r="I80" i="9"/>
  <c r="S80" i="9"/>
  <c r="J340" i="9"/>
  <c r="T340" i="9"/>
  <c r="J40" i="9"/>
  <c r="T40" i="9"/>
  <c r="J95" i="9"/>
  <c r="T95" i="9"/>
  <c r="J46" i="9"/>
  <c r="T46" i="9"/>
  <c r="J244" i="9"/>
  <c r="T244" i="9"/>
  <c r="I170" i="9"/>
  <c r="S170" i="9"/>
  <c r="J52" i="9"/>
  <c r="T52" i="9"/>
  <c r="I322" i="9"/>
  <c r="W322" i="9" s="1"/>
  <c r="S322" i="9"/>
  <c r="I159" i="9"/>
  <c r="S159" i="9"/>
  <c r="I260" i="9"/>
  <c r="S260" i="9"/>
  <c r="J105" i="9"/>
  <c r="T105" i="9"/>
  <c r="J20" i="9"/>
  <c r="L20" i="9" s="1"/>
  <c r="Y20" i="9" s="1"/>
  <c r="T20" i="9"/>
  <c r="J379" i="9"/>
  <c r="T379" i="9"/>
  <c r="J93" i="9"/>
  <c r="T93" i="9"/>
  <c r="I186" i="9"/>
  <c r="W186" i="9" s="1"/>
  <c r="S186" i="9"/>
  <c r="J4" i="9"/>
  <c r="T4" i="9"/>
  <c r="I110" i="9"/>
  <c r="W110" i="9" s="1"/>
  <c r="S110" i="9"/>
  <c r="J334" i="9"/>
  <c r="T334" i="9"/>
  <c r="J124" i="9"/>
  <c r="T124" i="9"/>
  <c r="I261" i="9"/>
  <c r="W261" i="9" s="1"/>
  <c r="S261" i="9"/>
  <c r="I194" i="9"/>
  <c r="S194" i="9"/>
  <c r="J494" i="9"/>
  <c r="T494" i="9"/>
  <c r="I250" i="9"/>
  <c r="W250" i="9" s="1"/>
  <c r="S250" i="9"/>
  <c r="J315" i="9"/>
  <c r="T315" i="9"/>
  <c r="J45" i="9"/>
  <c r="T45" i="9"/>
  <c r="I320" i="9"/>
  <c r="S320" i="9"/>
  <c r="I274" i="9"/>
  <c r="W274" i="9" s="1"/>
  <c r="S274" i="9"/>
  <c r="I172" i="9"/>
  <c r="S172" i="9"/>
  <c r="I319" i="9"/>
  <c r="S319" i="9"/>
  <c r="J183" i="9"/>
  <c r="T183" i="9"/>
  <c r="J126" i="9"/>
  <c r="T126" i="9"/>
  <c r="I453" i="9"/>
  <c r="S453" i="9"/>
  <c r="I289" i="9"/>
  <c r="S289" i="9"/>
  <c r="J202" i="9"/>
  <c r="T202" i="9"/>
  <c r="I501" i="9"/>
  <c r="S501" i="9"/>
  <c r="I64" i="9"/>
  <c r="W64" i="9" s="1"/>
  <c r="S64" i="9"/>
  <c r="I305" i="9"/>
  <c r="S305" i="9"/>
  <c r="I254" i="9"/>
  <c r="S254" i="9"/>
  <c r="J163" i="9"/>
  <c r="T163" i="9"/>
  <c r="I276" i="9"/>
  <c r="W276" i="9" s="1"/>
  <c r="S276" i="9"/>
  <c r="I43" i="9"/>
  <c r="W43" i="9" s="1"/>
  <c r="S43" i="9"/>
  <c r="J246" i="9"/>
  <c r="T246" i="9"/>
  <c r="J125" i="9"/>
  <c r="T125" i="9"/>
  <c r="I470" i="9"/>
  <c r="S470" i="9"/>
  <c r="I219" i="9"/>
  <c r="W219" i="9" s="1"/>
  <c r="S219" i="9"/>
  <c r="I404" i="9"/>
  <c r="S404" i="9"/>
  <c r="J196" i="9"/>
  <c r="T196" i="9"/>
  <c r="I351" i="9"/>
  <c r="L351" i="9" s="1"/>
  <c r="Y351" i="9" s="1"/>
  <c r="S351" i="9"/>
  <c r="I423" i="9"/>
  <c r="W423" i="9" s="1"/>
  <c r="S423" i="9"/>
  <c r="I224" i="9"/>
  <c r="S224" i="9"/>
  <c r="J465" i="9"/>
  <c r="T465" i="9"/>
  <c r="I139" i="9"/>
  <c r="W139" i="9" s="1"/>
  <c r="S139" i="9"/>
  <c r="I350" i="9"/>
  <c r="S350" i="9"/>
  <c r="J193" i="9"/>
  <c r="T193" i="9"/>
  <c r="I441" i="9"/>
  <c r="W441" i="9" s="1"/>
  <c r="S441" i="9"/>
  <c r="I429" i="9"/>
  <c r="S429" i="9"/>
  <c r="J226" i="9"/>
  <c r="T226" i="9"/>
  <c r="I349" i="9"/>
  <c r="S349" i="9"/>
  <c r="J80" i="9"/>
  <c r="T80" i="9"/>
  <c r="I340" i="9"/>
  <c r="W340" i="9" s="1"/>
  <c r="S340" i="9"/>
  <c r="I40" i="9"/>
  <c r="W40" i="9" s="1"/>
  <c r="S40" i="9"/>
  <c r="I95" i="9"/>
  <c r="S95" i="9"/>
  <c r="I46" i="9"/>
  <c r="W46" i="9" s="1"/>
  <c r="S46" i="9"/>
  <c r="I244" i="9"/>
  <c r="S244" i="9"/>
  <c r="J170" i="9"/>
  <c r="T170" i="9"/>
  <c r="I52" i="9"/>
  <c r="S52" i="9"/>
  <c r="J322" i="9"/>
  <c r="T322" i="9"/>
  <c r="J343" i="9"/>
  <c r="T343" i="9"/>
  <c r="J313" i="9"/>
  <c r="T313" i="9"/>
  <c r="J201" i="9"/>
  <c r="T201" i="9"/>
  <c r="I20" i="9"/>
  <c r="W20" i="9" s="1"/>
  <c r="S20" i="9"/>
  <c r="I379" i="9"/>
  <c r="W379" i="9" s="1"/>
  <c r="S379" i="9"/>
  <c r="I93" i="9"/>
  <c r="S93" i="9"/>
  <c r="J186" i="9"/>
  <c r="T186" i="9"/>
  <c r="I4" i="9"/>
  <c r="S4" i="9"/>
  <c r="J110" i="9"/>
  <c r="T110" i="9"/>
  <c r="I334" i="9"/>
  <c r="W334" i="9" s="1"/>
  <c r="S334" i="9"/>
  <c r="I124" i="9"/>
  <c r="W124" i="9" s="1"/>
  <c r="S124" i="9"/>
  <c r="J261" i="9"/>
  <c r="T261" i="9"/>
  <c r="J194" i="9"/>
  <c r="T194" i="9"/>
  <c r="I494" i="9"/>
  <c r="W494" i="9" s="1"/>
  <c r="S494" i="9"/>
  <c r="J250" i="9"/>
  <c r="T250" i="9"/>
  <c r="I315" i="9"/>
  <c r="W315" i="9" s="1"/>
  <c r="S315" i="9"/>
  <c r="I45" i="9"/>
  <c r="S45" i="9"/>
  <c r="J320" i="9"/>
  <c r="T320" i="9"/>
  <c r="J274" i="9"/>
  <c r="T274" i="9"/>
  <c r="J172" i="9"/>
  <c r="T172" i="9"/>
  <c r="I375" i="9"/>
  <c r="S375" i="9"/>
  <c r="J104" i="9"/>
  <c r="T104" i="9"/>
  <c r="J13" i="9"/>
  <c r="T13" i="9"/>
  <c r="I230" i="9"/>
  <c r="S230" i="9"/>
  <c r="I129" i="9"/>
  <c r="S129" i="9"/>
  <c r="I346" i="9"/>
  <c r="S346" i="9"/>
  <c r="J39" i="9"/>
  <c r="T39" i="9"/>
  <c r="J321" i="9"/>
  <c r="T321" i="9"/>
  <c r="I160" i="9"/>
  <c r="W160" i="9" s="1"/>
  <c r="S160" i="9"/>
  <c r="J364" i="9"/>
  <c r="T364" i="9"/>
  <c r="J123" i="9"/>
  <c r="T123" i="9"/>
  <c r="J19" i="9"/>
  <c r="T19" i="9"/>
  <c r="J433" i="9"/>
  <c r="T433" i="9"/>
  <c r="J81" i="9"/>
  <c r="T81" i="9"/>
  <c r="I336" i="9"/>
  <c r="S336" i="9"/>
  <c r="J165" i="9"/>
  <c r="T165" i="9"/>
  <c r="J291" i="9"/>
  <c r="T291" i="9"/>
  <c r="J134" i="9"/>
  <c r="T134" i="9"/>
  <c r="J215" i="9"/>
  <c r="T215" i="9"/>
  <c r="I466" i="9"/>
  <c r="W466" i="9" s="1"/>
  <c r="S466" i="9"/>
  <c r="J395" i="9"/>
  <c r="T395" i="9"/>
  <c r="J469" i="9"/>
  <c r="T469" i="9"/>
  <c r="J275" i="9"/>
  <c r="T275" i="9"/>
  <c r="I111" i="9"/>
  <c r="S111" i="9"/>
  <c r="J94" i="9"/>
  <c r="T94" i="9"/>
  <c r="J483" i="9"/>
  <c r="T483" i="9"/>
  <c r="I409" i="9"/>
  <c r="W409" i="9" s="1"/>
  <c r="S409" i="9"/>
  <c r="J51" i="9"/>
  <c r="T51" i="9"/>
  <c r="I314" i="9"/>
  <c r="W314" i="9" s="1"/>
  <c r="S314" i="9"/>
  <c r="I69" i="9"/>
  <c r="W69" i="9" s="1"/>
  <c r="S69" i="9"/>
  <c r="J380" i="9"/>
  <c r="T380" i="9"/>
  <c r="I184" i="9"/>
  <c r="S184" i="9"/>
  <c r="J396" i="9"/>
  <c r="T396" i="9"/>
  <c r="J142" i="9"/>
  <c r="T142" i="9"/>
  <c r="I309" i="9"/>
  <c r="S309" i="9"/>
  <c r="I286" i="9"/>
  <c r="W286" i="9" s="1"/>
  <c r="S286" i="9"/>
  <c r="J489" i="9"/>
  <c r="T489" i="9"/>
  <c r="I189" i="9"/>
  <c r="S189" i="9"/>
  <c r="I136" i="9"/>
  <c r="S136" i="9"/>
  <c r="I343" i="9"/>
  <c r="W343" i="9" s="1"/>
  <c r="S343" i="9"/>
  <c r="I313" i="9"/>
  <c r="L313" i="9" s="1"/>
  <c r="Y313" i="9" s="1"/>
  <c r="S313" i="9"/>
  <c r="I201" i="9"/>
  <c r="S201" i="9"/>
  <c r="J65" i="9"/>
  <c r="T65" i="9"/>
  <c r="J366" i="9"/>
  <c r="T366" i="9"/>
  <c r="J141" i="9"/>
  <c r="T141" i="9"/>
  <c r="J96" i="9"/>
  <c r="T96" i="9"/>
  <c r="J406" i="9"/>
  <c r="T406" i="9"/>
  <c r="I394" i="9"/>
  <c r="S394" i="9"/>
  <c r="I256" i="9"/>
  <c r="W256" i="9" s="1"/>
  <c r="S256" i="9"/>
  <c r="J220" i="9"/>
  <c r="T220" i="9"/>
  <c r="I339" i="9"/>
  <c r="S339" i="9"/>
  <c r="I15" i="9"/>
  <c r="S15" i="9"/>
  <c r="I82" i="9"/>
  <c r="W82" i="9" s="1"/>
  <c r="S82" i="9"/>
  <c r="I292" i="9"/>
  <c r="W292" i="9" s="1"/>
  <c r="S292" i="9"/>
  <c r="J455" i="9"/>
  <c r="T455" i="9"/>
  <c r="J195" i="9"/>
  <c r="T195" i="9"/>
  <c r="J155" i="9"/>
  <c r="T155" i="9"/>
  <c r="I66" i="9"/>
  <c r="W66" i="9" s="1"/>
  <c r="S66" i="9"/>
  <c r="J496" i="9"/>
  <c r="T496" i="9"/>
  <c r="J375" i="9"/>
  <c r="T375" i="9"/>
  <c r="I104" i="9"/>
  <c r="W104" i="9" s="1"/>
  <c r="S104" i="9"/>
  <c r="I13" i="9"/>
  <c r="S13" i="9"/>
  <c r="J230" i="9"/>
  <c r="T230" i="9"/>
  <c r="J129" i="9"/>
  <c r="T129" i="9"/>
  <c r="J346" i="9"/>
  <c r="T346" i="9"/>
  <c r="I39" i="9"/>
  <c r="S39" i="9"/>
  <c r="I321" i="9"/>
  <c r="S321" i="9"/>
  <c r="J160" i="9"/>
  <c r="T160" i="9"/>
  <c r="I364" i="9"/>
  <c r="S364" i="9"/>
  <c r="I123" i="9"/>
  <c r="W123" i="9" s="1"/>
  <c r="S123" i="9"/>
  <c r="I19" i="9"/>
  <c r="W19" i="9" s="1"/>
  <c r="S19" i="9"/>
  <c r="I433" i="9"/>
  <c r="S433" i="9"/>
  <c r="I81" i="9"/>
  <c r="W81" i="9" s="1"/>
  <c r="S81" i="9"/>
  <c r="J336" i="9"/>
  <c r="T336" i="9"/>
  <c r="I165" i="9"/>
  <c r="S165" i="9"/>
  <c r="I291" i="9"/>
  <c r="S291" i="9"/>
  <c r="I134" i="9"/>
  <c r="W134" i="9" s="1"/>
  <c r="S134" i="9"/>
  <c r="I215" i="9"/>
  <c r="W215" i="9" s="1"/>
  <c r="S215" i="9"/>
  <c r="J466" i="9"/>
  <c r="T466" i="9"/>
  <c r="I395" i="9"/>
  <c r="S395" i="9"/>
  <c r="I469" i="9"/>
  <c r="L469" i="9" s="1"/>
  <c r="Y469" i="9" s="1"/>
  <c r="S469" i="9"/>
  <c r="I275" i="9"/>
  <c r="W275" i="9" s="1"/>
  <c r="S275" i="9"/>
  <c r="J111" i="9"/>
  <c r="T111" i="9"/>
  <c r="I94" i="9"/>
  <c r="W94" i="9" s="1"/>
  <c r="S94" i="9"/>
  <c r="I483" i="9"/>
  <c r="W483" i="9" s="1"/>
  <c r="S483" i="9"/>
  <c r="J409" i="9"/>
  <c r="T409" i="9"/>
  <c r="I51" i="9"/>
  <c r="W51" i="9" s="1"/>
  <c r="S51" i="9"/>
  <c r="J314" i="9"/>
  <c r="T314" i="9"/>
  <c r="J69" i="9"/>
  <c r="T69" i="9"/>
  <c r="I380" i="9"/>
  <c r="W380" i="9" s="1"/>
  <c r="S380" i="9"/>
  <c r="J184" i="9"/>
  <c r="T184" i="9"/>
  <c r="I396" i="9"/>
  <c r="S396" i="9"/>
  <c r="I142" i="9"/>
  <c r="W142" i="9" s="1"/>
  <c r="S142" i="9"/>
  <c r="J309" i="9"/>
  <c r="T309" i="9"/>
  <c r="J286" i="9"/>
  <c r="T286" i="9"/>
  <c r="I489" i="9"/>
  <c r="W489" i="9" s="1"/>
  <c r="S489" i="9"/>
  <c r="J189" i="9"/>
  <c r="T189" i="9"/>
  <c r="J136" i="9"/>
  <c r="T136" i="9"/>
  <c r="J440" i="9"/>
  <c r="L440" i="9" s="1"/>
  <c r="Y440" i="9" s="1"/>
  <c r="T440" i="9"/>
  <c r="J171" i="9"/>
  <c r="T171" i="9"/>
  <c r="J352" i="9"/>
  <c r="T352" i="9"/>
  <c r="J463" i="9"/>
  <c r="T463" i="9"/>
  <c r="I65" i="9"/>
  <c r="S65" i="9"/>
  <c r="I366" i="9"/>
  <c r="W366" i="9" s="1"/>
  <c r="S366" i="9"/>
  <c r="I141" i="9"/>
  <c r="L141" i="9" s="1"/>
  <c r="Y141" i="9" s="1"/>
  <c r="S141" i="9"/>
  <c r="I96" i="9"/>
  <c r="L96" i="9" s="1"/>
  <c r="Y96" i="9" s="1"/>
  <c r="S96" i="9"/>
  <c r="I406" i="9"/>
  <c r="L406" i="9" s="1"/>
  <c r="Y406" i="9" s="1"/>
  <c r="S406" i="9"/>
  <c r="J394" i="9"/>
  <c r="T394" i="9"/>
  <c r="J256" i="9"/>
  <c r="T256" i="9"/>
  <c r="I220" i="9"/>
  <c r="L220" i="9" s="1"/>
  <c r="Y220" i="9" s="1"/>
  <c r="S220" i="9"/>
  <c r="J339" i="9"/>
  <c r="T339" i="9"/>
  <c r="J15" i="9"/>
  <c r="T15" i="9"/>
  <c r="J82" i="9"/>
  <c r="T82" i="9"/>
  <c r="J292" i="9"/>
  <c r="T292" i="9"/>
  <c r="I455" i="9"/>
  <c r="S455" i="9"/>
  <c r="I195" i="9"/>
  <c r="L195" i="9" s="1"/>
  <c r="Y195" i="9" s="1"/>
  <c r="S195" i="9"/>
  <c r="I155" i="9"/>
  <c r="S155" i="9"/>
  <c r="J66" i="9"/>
  <c r="T66" i="9"/>
  <c r="I496" i="9"/>
  <c r="S496" i="9"/>
  <c r="W193" i="9"/>
  <c r="X408" i="9"/>
  <c r="W310" i="9"/>
  <c r="U52" i="9"/>
  <c r="X354" i="9"/>
  <c r="X473" i="9"/>
  <c r="AB473" i="9" s="1"/>
  <c r="M233" i="9"/>
  <c r="M432" i="9"/>
  <c r="M342" i="9"/>
  <c r="M102" i="9"/>
  <c r="M312" i="9"/>
  <c r="M108" i="9"/>
  <c r="X18" i="9"/>
  <c r="M174" i="9"/>
  <c r="M323" i="9"/>
  <c r="X488" i="9"/>
  <c r="M218" i="9"/>
  <c r="M192" i="9"/>
  <c r="M173" i="9"/>
  <c r="M498" i="9"/>
  <c r="M348" i="9"/>
  <c r="X114" i="9"/>
  <c r="AB114" i="9" s="1"/>
  <c r="M158" i="9"/>
  <c r="M378" i="9"/>
  <c r="M234" i="9"/>
  <c r="M53" i="9"/>
  <c r="U53" i="9" s="1"/>
  <c r="Z53" i="9" s="1"/>
  <c r="M353" i="9"/>
  <c r="M83" i="9"/>
  <c r="M68" i="9"/>
  <c r="M402" i="9"/>
  <c r="M444" i="9"/>
  <c r="M143" i="9"/>
  <c r="X398" i="9"/>
  <c r="AB398" i="9" s="1"/>
  <c r="X294" i="9"/>
  <c r="M324" i="9"/>
  <c r="M458" i="9"/>
  <c r="M492" i="9"/>
  <c r="M138" i="9"/>
  <c r="M264" i="9"/>
  <c r="X24" i="9"/>
  <c r="M203" i="9"/>
  <c r="M23" i="9"/>
  <c r="U23" i="9" s="1"/>
  <c r="Z23" i="9" s="1"/>
  <c r="M38" i="9"/>
  <c r="U38" i="9" s="1"/>
  <c r="Z38" i="9" s="1"/>
  <c r="X248" i="9"/>
  <c r="M428" i="9"/>
  <c r="M72" i="9"/>
  <c r="M438" i="9"/>
  <c r="M78" i="9"/>
  <c r="M198" i="9"/>
  <c r="X474" i="9"/>
  <c r="AB474" i="9" s="1"/>
  <c r="M113" i="9"/>
  <c r="X263" i="9"/>
  <c r="X503" i="9"/>
  <c r="X278" i="9"/>
  <c r="AB278" i="9" s="1"/>
  <c r="X318" i="9"/>
  <c r="W408" i="9"/>
  <c r="X288" i="9"/>
  <c r="AB288" i="9" s="1"/>
  <c r="X468" i="9"/>
  <c r="AB468" i="9" s="1"/>
  <c r="X492" i="9"/>
  <c r="Z14" i="16"/>
  <c r="Y218" i="16"/>
  <c r="AA218" i="16" s="1"/>
  <c r="Z35" i="16"/>
  <c r="Y354" i="16"/>
  <c r="AA354" i="16" s="1"/>
  <c r="X312" i="9"/>
  <c r="M282" i="16"/>
  <c r="AJ282" i="16" s="1"/>
  <c r="X53" i="9"/>
  <c r="AB53" i="9" s="1"/>
  <c r="X234" i="9"/>
  <c r="X348" i="9"/>
  <c r="X498" i="9"/>
  <c r="AB498" i="9" s="1"/>
  <c r="X372" i="19"/>
  <c r="AB372" i="19" s="1"/>
  <c r="J7" i="4"/>
  <c r="O91" i="25" s="1"/>
  <c r="U91" i="25" s="1"/>
  <c r="Z91" i="25" s="1"/>
  <c r="X444" i="9"/>
  <c r="Z49" i="16"/>
  <c r="M192" i="17"/>
  <c r="X192" i="9"/>
  <c r="X108" i="9"/>
  <c r="AB108" i="9" s="1"/>
  <c r="X173" i="9"/>
  <c r="X432" i="19"/>
  <c r="AB432" i="19" s="1"/>
  <c r="Z44" i="16"/>
  <c r="M192" i="16"/>
  <c r="AJ192" i="16" s="1"/>
  <c r="M282" i="17"/>
  <c r="X492" i="19"/>
  <c r="AB492" i="19" s="1"/>
  <c r="Y10" i="11"/>
  <c r="AC10" i="11" s="1"/>
  <c r="M294" i="9"/>
  <c r="X458" i="9"/>
  <c r="AB458" i="9" s="1"/>
  <c r="M42" i="19"/>
  <c r="U42" i="19" s="1"/>
  <c r="Z42" i="19" s="1"/>
  <c r="M42" i="17"/>
  <c r="U42" i="17" s="1"/>
  <c r="Z42" i="17" s="1"/>
  <c r="X432" i="9"/>
  <c r="X462" i="19"/>
  <c r="AB462" i="19" s="1"/>
  <c r="X23" i="9"/>
  <c r="AB23" i="9" s="1"/>
  <c r="M342" i="16"/>
  <c r="AJ342" i="16" s="1"/>
  <c r="AK342" i="16" s="1"/>
  <c r="AL342" i="16" s="1"/>
  <c r="X342" i="16"/>
  <c r="AB342" i="16" s="1"/>
  <c r="Y13" i="11"/>
  <c r="AC13" i="11" s="1"/>
  <c r="Y17" i="11"/>
  <c r="AC17" i="11" s="1"/>
  <c r="X38" i="9"/>
  <c r="AB38" i="9" s="1"/>
  <c r="M462" i="17"/>
  <c r="M132" i="17"/>
  <c r="X233" i="9"/>
  <c r="Y348" i="16"/>
  <c r="AA348" i="16" s="1"/>
  <c r="M263" i="9"/>
  <c r="M42" i="16"/>
  <c r="AJ42" i="16" s="1"/>
  <c r="M252" i="17"/>
  <c r="X192" i="19"/>
  <c r="AB192" i="19" s="1"/>
  <c r="X252" i="19"/>
  <c r="AB252" i="19" s="1"/>
  <c r="M248" i="9"/>
  <c r="Y5" i="11"/>
  <c r="AC5" i="11" s="1"/>
  <c r="M114" i="9"/>
  <c r="X138" i="9"/>
  <c r="AB138" i="9" s="1"/>
  <c r="Y398" i="16"/>
  <c r="AA398" i="16" s="1"/>
  <c r="M102" i="17"/>
  <c r="Y9" i="11"/>
  <c r="AC9" i="11" s="1"/>
  <c r="M492" i="16"/>
  <c r="AJ492" i="16" s="1"/>
  <c r="M402" i="16"/>
  <c r="AJ402" i="16" s="1"/>
  <c r="M258" i="9"/>
  <c r="X258" i="9"/>
  <c r="AB258" i="9" s="1"/>
  <c r="M432" i="17"/>
  <c r="X323" i="9"/>
  <c r="AB323" i="9" s="1"/>
  <c r="M228" i="9"/>
  <c r="X228" i="9"/>
  <c r="AB228" i="9" s="1"/>
  <c r="Z36" i="16"/>
  <c r="Z19" i="16"/>
  <c r="Y108" i="16"/>
  <c r="AA108" i="16" s="1"/>
  <c r="M132" i="16"/>
  <c r="AJ132" i="16" s="1"/>
  <c r="M312" i="17"/>
  <c r="M342" i="17"/>
  <c r="Y18" i="11"/>
  <c r="AC18" i="11" s="1"/>
  <c r="Y258" i="16"/>
  <c r="AA258" i="16" s="1"/>
  <c r="Y34" i="11"/>
  <c r="AC34" i="11" s="1"/>
  <c r="Y58" i="11"/>
  <c r="AC58" i="11" s="1"/>
  <c r="M473" i="9"/>
  <c r="X72" i="9"/>
  <c r="AB72" i="9" s="1"/>
  <c r="X428" i="9"/>
  <c r="AB428" i="9" s="1"/>
  <c r="Y364" i="16"/>
  <c r="Y444" i="16"/>
  <c r="AA444" i="16" s="1"/>
  <c r="Y64" i="16"/>
  <c r="AA64" i="16" s="1"/>
  <c r="Y294" i="16"/>
  <c r="AA294" i="16" s="1"/>
  <c r="Y53" i="16"/>
  <c r="AA53" i="16" s="1"/>
  <c r="Y109" i="16"/>
  <c r="Y66" i="16"/>
  <c r="Y486" i="16"/>
  <c r="AA486" i="16" s="1"/>
  <c r="Y114" i="16"/>
  <c r="AA114" i="16" s="1"/>
  <c r="W132" i="16"/>
  <c r="Y130" i="16"/>
  <c r="AB130" i="16" s="1"/>
  <c r="Y190" i="16"/>
  <c r="AB190" i="16" s="1"/>
  <c r="Y464" i="16"/>
  <c r="Y12" i="16"/>
  <c r="AA12" i="16" s="1"/>
  <c r="Y494" i="16"/>
  <c r="AA494" i="16" s="1"/>
  <c r="Y172" i="16"/>
  <c r="AB172" i="16" s="1"/>
  <c r="Y406" i="16"/>
  <c r="Y200" i="16"/>
  <c r="AB200" i="16" s="1"/>
  <c r="Y70" i="16"/>
  <c r="AA70" i="16" s="1"/>
  <c r="Y404" i="16"/>
  <c r="Y143" i="16"/>
  <c r="AA143" i="16" s="1"/>
  <c r="Y24" i="16"/>
  <c r="AA24" i="16" s="1"/>
  <c r="Y456" i="16"/>
  <c r="AA456" i="16" s="1"/>
  <c r="Y323" i="16"/>
  <c r="AA323" i="16" s="1"/>
  <c r="Y5" i="16"/>
  <c r="AA5" i="16" s="1"/>
  <c r="Y84" i="16"/>
  <c r="AA84" i="16" s="1"/>
  <c r="Y126" i="16"/>
  <c r="Y259" i="16"/>
  <c r="AB259" i="16" s="1"/>
  <c r="Y485" i="16"/>
  <c r="AA485" i="16" s="1"/>
  <c r="Y234" i="16"/>
  <c r="AA234" i="16" s="1"/>
  <c r="Y370" i="16"/>
  <c r="AA370" i="16" s="1"/>
  <c r="Y160" i="16"/>
  <c r="AA160" i="16" s="1"/>
  <c r="Y455" i="16"/>
  <c r="AB455" i="16" s="1"/>
  <c r="Y162" i="16"/>
  <c r="AA162" i="16" s="1"/>
  <c r="Y173" i="16"/>
  <c r="AA173" i="16" s="1"/>
  <c r="Y340" i="16"/>
  <c r="AB340" i="16" s="1"/>
  <c r="Y49" i="16"/>
  <c r="AA49" i="16" s="1"/>
  <c r="Y222" i="16"/>
  <c r="AA222" i="16" s="1"/>
  <c r="Y34" i="16"/>
  <c r="Y155" i="16"/>
  <c r="AB155" i="16" s="1"/>
  <c r="Y264" i="16"/>
  <c r="AA264" i="16" s="1"/>
  <c r="Y413" i="16"/>
  <c r="AA413" i="16" s="1"/>
  <c r="Y378" i="16"/>
  <c r="AA378" i="16" s="1"/>
  <c r="Y174" i="16"/>
  <c r="AA174" i="16" s="1"/>
  <c r="W312" i="16"/>
  <c r="W102" i="16"/>
  <c r="Y220" i="16"/>
  <c r="AB220" i="16" s="1"/>
  <c r="M222" i="17"/>
  <c r="Y291" i="16"/>
  <c r="AA291" i="16" s="1"/>
  <c r="Y275" i="16"/>
  <c r="AA275" i="16" s="1"/>
  <c r="Y36" i="16"/>
  <c r="Y262" i="16"/>
  <c r="Y504" i="16"/>
  <c r="AA504" i="16" s="1"/>
  <c r="Y366" i="16"/>
  <c r="AA366" i="16" s="1"/>
  <c r="Y460" i="16"/>
  <c r="AB460" i="16" s="1"/>
  <c r="Y425" i="16"/>
  <c r="Y432" i="16"/>
  <c r="AA432" i="16" s="1"/>
  <c r="Y199" i="16"/>
  <c r="Y144" i="16"/>
  <c r="AA144" i="16" s="1"/>
  <c r="Y472" i="16"/>
  <c r="AB472" i="16" s="1"/>
  <c r="Y284" i="16"/>
  <c r="Y430" i="16"/>
  <c r="AA430" i="16" s="1"/>
  <c r="Y204" i="16"/>
  <c r="AA204" i="16" s="1"/>
  <c r="Y14" i="11"/>
  <c r="AC14" i="11" s="1"/>
  <c r="X72" i="19"/>
  <c r="AB72" i="19" s="1"/>
  <c r="Y288" i="16"/>
  <c r="AA288" i="16" s="1"/>
  <c r="Y468" i="16"/>
  <c r="Y502" i="16"/>
  <c r="Y408" i="16"/>
  <c r="AA408" i="16" s="1"/>
  <c r="Y18" i="16"/>
  <c r="AA18" i="16" s="1"/>
  <c r="Y442" i="16"/>
  <c r="X102" i="9"/>
  <c r="AB102" i="9" s="1"/>
  <c r="Y215" i="16"/>
  <c r="U37" i="9"/>
  <c r="Z37" i="9" s="1"/>
  <c r="AC37" i="9" s="1"/>
  <c r="Y503" i="16"/>
  <c r="AA503" i="16" s="1"/>
  <c r="Y185" i="16"/>
  <c r="AB185" i="16" s="1"/>
  <c r="Y394" i="16"/>
  <c r="AB394" i="16" s="1"/>
  <c r="Y349" i="16"/>
  <c r="Y254" i="16"/>
  <c r="AA254" i="16" s="1"/>
  <c r="Y65" i="16"/>
  <c r="AA65" i="16" s="1"/>
  <c r="Y290" i="16"/>
  <c r="AB290" i="16" s="1"/>
  <c r="Y46" i="16"/>
  <c r="AB46" i="16" s="1"/>
  <c r="Y16" i="11"/>
  <c r="AC16" i="11" s="1"/>
  <c r="Y6" i="11"/>
  <c r="AC6" i="11" s="1"/>
  <c r="Y82" i="16"/>
  <c r="AA82" i="16" s="1"/>
  <c r="Y159" i="16"/>
  <c r="AA159" i="16" s="1"/>
  <c r="Y96" i="16"/>
  <c r="AA96" i="16" s="1"/>
  <c r="Y292" i="16"/>
  <c r="AB292" i="16" s="1"/>
  <c r="Y484" i="16"/>
  <c r="Y184" i="16"/>
  <c r="Y169" i="16"/>
  <c r="Y314" i="16"/>
  <c r="AB314" i="16" s="1"/>
  <c r="Y443" i="16"/>
  <c r="AA443" i="16" s="1"/>
  <c r="Y490" i="16"/>
  <c r="AB490" i="16" s="1"/>
  <c r="Y500" i="16"/>
  <c r="AB500" i="16" s="1"/>
  <c r="Y19" i="16"/>
  <c r="AB19" i="16" s="1"/>
  <c r="Y474" i="16"/>
  <c r="AA474" i="16" s="1"/>
  <c r="Y499" i="16"/>
  <c r="AB499" i="16" s="1"/>
  <c r="Y372" i="16"/>
  <c r="AA372" i="16" s="1"/>
  <c r="Y245" i="16"/>
  <c r="Y139" i="16"/>
  <c r="Y365" i="16"/>
  <c r="Y35" i="16"/>
  <c r="AB35" i="16" s="1"/>
  <c r="Y233" i="16"/>
  <c r="AA233" i="16" s="1"/>
  <c r="Y263" i="16"/>
  <c r="AA263" i="16" s="1"/>
  <c r="Y194" i="16"/>
  <c r="Y229" i="16"/>
  <c r="AB229" i="16" s="1"/>
  <c r="Y395" i="16"/>
  <c r="Y54" i="16"/>
  <c r="AA54" i="16" s="1"/>
  <c r="Y439" i="16"/>
  <c r="AA439" i="16" s="1"/>
  <c r="Y164" i="16"/>
  <c r="AA164" i="16" s="1"/>
  <c r="Y253" i="16"/>
  <c r="Y293" i="16"/>
  <c r="AA293" i="16" s="1"/>
  <c r="Y409" i="16"/>
  <c r="AA409" i="16" s="1"/>
  <c r="Y384" i="16"/>
  <c r="AA384" i="16" s="1"/>
  <c r="Y454" i="16"/>
  <c r="Y324" i="16"/>
  <c r="AA324" i="16" s="1"/>
  <c r="Y344" i="16"/>
  <c r="AB344" i="16" s="1"/>
  <c r="Y10" i="16"/>
  <c r="AA10" i="16" s="1"/>
  <c r="Y400" i="16"/>
  <c r="AA400" i="16" s="1"/>
  <c r="Y411" i="16"/>
  <c r="AB411" i="16" s="1"/>
  <c r="Y83" i="16"/>
  <c r="AA83" i="16" s="1"/>
  <c r="Y335" i="16"/>
  <c r="AA335" i="16" s="1"/>
  <c r="Y14" i="16"/>
  <c r="Y8" i="16"/>
  <c r="AA8" i="16" s="1"/>
  <c r="Y142" i="16"/>
  <c r="Y319" i="16"/>
  <c r="Y68" i="16"/>
  <c r="AA68" i="16" s="1"/>
  <c r="Y438" i="16"/>
  <c r="AA438" i="16" s="1"/>
  <c r="Y488" i="16"/>
  <c r="AA488" i="16" s="1"/>
  <c r="Y353" i="16"/>
  <c r="AA353" i="16" s="1"/>
  <c r="Y104" i="16"/>
  <c r="AB104" i="16" s="1"/>
  <c r="Y203" i="16"/>
  <c r="AA203" i="16" s="1"/>
  <c r="O68" i="25"/>
  <c r="O73" i="25"/>
  <c r="U73" i="25" s="1"/>
  <c r="X131" i="25"/>
  <c r="AB131" i="25" s="1"/>
  <c r="M131" i="25"/>
  <c r="AJ131" i="25" s="1"/>
  <c r="AK131" i="25" s="1"/>
  <c r="AL131" i="25" s="1"/>
  <c r="X71" i="25"/>
  <c r="AB71" i="25" s="1"/>
  <c r="M71" i="25"/>
  <c r="AJ71" i="25" s="1"/>
  <c r="AK71" i="25" s="1"/>
  <c r="AL71" i="25" s="1"/>
  <c r="M398" i="25"/>
  <c r="AJ398" i="25" s="1"/>
  <c r="AK398" i="25" s="1"/>
  <c r="AL398" i="25" s="1"/>
  <c r="X398" i="25"/>
  <c r="AB398" i="25" s="1"/>
  <c r="X128" i="25"/>
  <c r="AB128" i="25" s="1"/>
  <c r="M128" i="25"/>
  <c r="AJ128" i="25" s="1"/>
  <c r="AK128" i="25" s="1"/>
  <c r="AL128" i="25" s="1"/>
  <c r="M473" i="25"/>
  <c r="AJ473" i="25" s="1"/>
  <c r="AK473" i="25" s="1"/>
  <c r="AL473" i="25" s="1"/>
  <c r="X473" i="25"/>
  <c r="AB473" i="25" s="1"/>
  <c r="X263" i="25"/>
  <c r="AB263" i="25" s="1"/>
  <c r="M263" i="25"/>
  <c r="AJ263" i="25" s="1"/>
  <c r="AK263" i="25" s="1"/>
  <c r="AL263" i="25" s="1"/>
  <c r="X264" i="25"/>
  <c r="AB264" i="25" s="1"/>
  <c r="M264" i="25"/>
  <c r="AJ264" i="25" s="1"/>
  <c r="AK264" i="25" s="1"/>
  <c r="AL264" i="25" s="1"/>
  <c r="X444" i="25"/>
  <c r="AB444" i="25" s="1"/>
  <c r="M444" i="25"/>
  <c r="AJ444" i="25" s="1"/>
  <c r="AK444" i="25" s="1"/>
  <c r="AL444" i="25" s="1"/>
  <c r="AD61" i="25"/>
  <c r="AC61" i="25"/>
  <c r="AD59" i="25"/>
  <c r="AC59" i="25"/>
  <c r="X168" i="25"/>
  <c r="AB168" i="25" s="1"/>
  <c r="M168" i="25"/>
  <c r="AJ168" i="25" s="1"/>
  <c r="AK168" i="25" s="1"/>
  <c r="AL168" i="25" s="1"/>
  <c r="X198" i="25"/>
  <c r="AB198" i="25" s="1"/>
  <c r="M198" i="25"/>
  <c r="AJ198" i="25" s="1"/>
  <c r="AK198" i="25" s="1"/>
  <c r="AL198" i="25" s="1"/>
  <c r="X372" i="25"/>
  <c r="AB372" i="25" s="1"/>
  <c r="M372" i="25"/>
  <c r="AJ372" i="25" s="1"/>
  <c r="AK372" i="25" s="1"/>
  <c r="AL372" i="25" s="1"/>
  <c r="X342" i="25"/>
  <c r="AB342" i="25" s="1"/>
  <c r="M342" i="25"/>
  <c r="AJ342" i="25" s="1"/>
  <c r="AK342" i="25" s="1"/>
  <c r="AL342" i="25" s="1"/>
  <c r="X497" i="25"/>
  <c r="AB497" i="25" s="1"/>
  <c r="M497" i="25"/>
  <c r="AJ497" i="25" s="1"/>
  <c r="AK497" i="25" s="1"/>
  <c r="AL497" i="25" s="1"/>
  <c r="M462" i="9"/>
  <c r="X462" i="9"/>
  <c r="X37" i="25"/>
  <c r="M37" i="25"/>
  <c r="AJ37" i="25" s="1"/>
  <c r="AK37" i="25" s="1"/>
  <c r="AL37" i="25" s="1"/>
  <c r="X457" i="25"/>
  <c r="M457" i="25"/>
  <c r="AJ457" i="25" s="1"/>
  <c r="AK457" i="25" s="1"/>
  <c r="AL457" i="25" s="1"/>
  <c r="AC6" i="25"/>
  <c r="AD6" i="25"/>
  <c r="AD21" i="25"/>
  <c r="AC21" i="25"/>
  <c r="AD32" i="25"/>
  <c r="AC32" i="25"/>
  <c r="X11" i="25"/>
  <c r="AB11" i="25" s="1"/>
  <c r="M11" i="25"/>
  <c r="AJ11" i="25" s="1"/>
  <c r="AK11" i="25" s="1"/>
  <c r="AL11" i="25" s="1"/>
  <c r="X41" i="25"/>
  <c r="AB41" i="25" s="1"/>
  <c r="M41" i="25"/>
  <c r="AJ41" i="25" s="1"/>
  <c r="AK41" i="25" s="1"/>
  <c r="AL41" i="25" s="1"/>
  <c r="M368" i="25"/>
  <c r="AJ368" i="25" s="1"/>
  <c r="AK368" i="25" s="1"/>
  <c r="AL368" i="25" s="1"/>
  <c r="X368" i="25"/>
  <c r="AB368" i="25" s="1"/>
  <c r="X338" i="25"/>
  <c r="AB338" i="25" s="1"/>
  <c r="M338" i="25"/>
  <c r="AJ338" i="25" s="1"/>
  <c r="AK338" i="25" s="1"/>
  <c r="AL338" i="25" s="1"/>
  <c r="X23" i="25"/>
  <c r="AB23" i="25" s="1"/>
  <c r="M23" i="25"/>
  <c r="AJ23" i="25" s="1"/>
  <c r="AK23" i="25" s="1"/>
  <c r="AL23" i="25" s="1"/>
  <c r="X233" i="25"/>
  <c r="AB233" i="25" s="1"/>
  <c r="M233" i="25"/>
  <c r="AJ233" i="25" s="1"/>
  <c r="AK233" i="25" s="1"/>
  <c r="AL233" i="25" s="1"/>
  <c r="X204" i="25"/>
  <c r="AB204" i="25" s="1"/>
  <c r="M204" i="25"/>
  <c r="AJ204" i="25" s="1"/>
  <c r="AK204" i="25" s="1"/>
  <c r="AL204" i="25" s="1"/>
  <c r="X504" i="25"/>
  <c r="AB504" i="25" s="1"/>
  <c r="M504" i="25"/>
  <c r="AJ504" i="25" s="1"/>
  <c r="AK504" i="25" s="1"/>
  <c r="AL504" i="25" s="1"/>
  <c r="M132" i="19"/>
  <c r="X132" i="19"/>
  <c r="AB132" i="19" s="1"/>
  <c r="AD46" i="25"/>
  <c r="AC46" i="25"/>
  <c r="AD44" i="25"/>
  <c r="AC44" i="25"/>
  <c r="X18" i="25"/>
  <c r="AB18" i="25" s="1"/>
  <c r="M18" i="25"/>
  <c r="AJ18" i="25" s="1"/>
  <c r="AK18" i="25" s="1"/>
  <c r="AL18" i="25" s="1"/>
  <c r="X228" i="25"/>
  <c r="AB228" i="25" s="1"/>
  <c r="M228" i="25"/>
  <c r="AJ228" i="25" s="1"/>
  <c r="AK228" i="25" s="1"/>
  <c r="AL228" i="25" s="1"/>
  <c r="M102" i="19"/>
  <c r="X102" i="19"/>
  <c r="AB102" i="19" s="1"/>
  <c r="X192" i="25"/>
  <c r="AB192" i="25" s="1"/>
  <c r="M192" i="25"/>
  <c r="AJ192" i="25" s="1"/>
  <c r="AK192" i="25" s="1"/>
  <c r="AL192" i="25" s="1"/>
  <c r="X402" i="25"/>
  <c r="AB402" i="25" s="1"/>
  <c r="M402" i="25"/>
  <c r="AJ402" i="25" s="1"/>
  <c r="AK402" i="25" s="1"/>
  <c r="AL402" i="25" s="1"/>
  <c r="X437" i="25"/>
  <c r="AB437" i="25" s="1"/>
  <c r="M437" i="25"/>
  <c r="AJ437" i="25" s="1"/>
  <c r="AK437" i="25" s="1"/>
  <c r="AL437" i="25" s="1"/>
  <c r="X317" i="25"/>
  <c r="AB317" i="25" s="1"/>
  <c r="M317" i="25"/>
  <c r="AJ317" i="25" s="1"/>
  <c r="AK317" i="25" s="1"/>
  <c r="AL317" i="25" s="1"/>
  <c r="M252" i="9"/>
  <c r="X252" i="9"/>
  <c r="X427" i="25"/>
  <c r="M427" i="25"/>
  <c r="AJ427" i="25" s="1"/>
  <c r="AK427" i="25" s="1"/>
  <c r="AL427" i="25" s="1"/>
  <c r="X67" i="25"/>
  <c r="M67" i="25"/>
  <c r="AJ67" i="25" s="1"/>
  <c r="AK67" i="25" s="1"/>
  <c r="AL67" i="25" s="1"/>
  <c r="X487" i="25"/>
  <c r="M487" i="25"/>
  <c r="AJ487" i="25" s="1"/>
  <c r="AK487" i="25" s="1"/>
  <c r="AL487" i="25" s="1"/>
  <c r="AD9" i="25"/>
  <c r="AC9" i="25"/>
  <c r="AC14" i="25"/>
  <c r="AD14" i="25"/>
  <c r="X161" i="25"/>
  <c r="AB161" i="25" s="1"/>
  <c r="M161" i="25"/>
  <c r="AJ161" i="25" s="1"/>
  <c r="AK161" i="25" s="1"/>
  <c r="AL161" i="25" s="1"/>
  <c r="M251" i="25"/>
  <c r="AJ251" i="25" s="1"/>
  <c r="AK251" i="25" s="1"/>
  <c r="AL251" i="25" s="1"/>
  <c r="X251" i="25"/>
  <c r="AB251" i="25" s="1"/>
  <c r="X188" i="25"/>
  <c r="AB188" i="25" s="1"/>
  <c r="M188" i="25"/>
  <c r="AJ188" i="25" s="1"/>
  <c r="AK188" i="25" s="1"/>
  <c r="AL188" i="25" s="1"/>
  <c r="X308" i="25"/>
  <c r="AB308" i="25" s="1"/>
  <c r="M308" i="25"/>
  <c r="AJ308" i="25" s="1"/>
  <c r="AK308" i="25" s="1"/>
  <c r="AL308" i="25" s="1"/>
  <c r="X413" i="25"/>
  <c r="AB413" i="25" s="1"/>
  <c r="M413" i="25"/>
  <c r="AJ413" i="25" s="1"/>
  <c r="AK413" i="25" s="1"/>
  <c r="AL413" i="25" s="1"/>
  <c r="X203" i="25"/>
  <c r="AB203" i="25" s="1"/>
  <c r="M203" i="25"/>
  <c r="AJ203" i="25" s="1"/>
  <c r="AK203" i="25" s="1"/>
  <c r="AL203" i="25" s="1"/>
  <c r="X234" i="25"/>
  <c r="AB234" i="25" s="1"/>
  <c r="M234" i="25"/>
  <c r="AJ234" i="25" s="1"/>
  <c r="AK234" i="25" s="1"/>
  <c r="AL234" i="25" s="1"/>
  <c r="X54" i="25"/>
  <c r="AB54" i="25" s="1"/>
  <c r="M54" i="25"/>
  <c r="AJ54" i="25" s="1"/>
  <c r="AK54" i="25" s="1"/>
  <c r="AL54" i="25" s="1"/>
  <c r="X474" i="25"/>
  <c r="AB474" i="25" s="1"/>
  <c r="M474" i="25"/>
  <c r="AJ474" i="25" s="1"/>
  <c r="AK474" i="25" s="1"/>
  <c r="AL474" i="25" s="1"/>
  <c r="AC40" i="25"/>
  <c r="AD40" i="25"/>
  <c r="AD52" i="25"/>
  <c r="AC52" i="25"/>
  <c r="X138" i="25"/>
  <c r="AB138" i="25" s="1"/>
  <c r="M138" i="25"/>
  <c r="AJ138" i="25" s="1"/>
  <c r="AK138" i="25" s="1"/>
  <c r="AL138" i="25" s="1"/>
  <c r="X258" i="25"/>
  <c r="AB258" i="25" s="1"/>
  <c r="M258" i="25"/>
  <c r="AJ258" i="25" s="1"/>
  <c r="AK258" i="25" s="1"/>
  <c r="AL258" i="25" s="1"/>
  <c r="X12" i="25"/>
  <c r="AB12" i="25" s="1"/>
  <c r="M12" i="25"/>
  <c r="AJ12" i="25" s="1"/>
  <c r="AK12" i="25" s="1"/>
  <c r="AL12" i="25" s="1"/>
  <c r="X222" i="25"/>
  <c r="AB222" i="25" s="1"/>
  <c r="M222" i="25"/>
  <c r="AJ222" i="25" s="1"/>
  <c r="AK222" i="25" s="1"/>
  <c r="AL222" i="25" s="1"/>
  <c r="X492" i="25"/>
  <c r="AB492" i="25" s="1"/>
  <c r="M492" i="25"/>
  <c r="AJ492" i="25" s="1"/>
  <c r="AK492" i="25" s="1"/>
  <c r="AL492" i="25" s="1"/>
  <c r="X257" i="25"/>
  <c r="AB257" i="25" s="1"/>
  <c r="M257" i="25"/>
  <c r="AJ257" i="25" s="1"/>
  <c r="AK257" i="25" s="1"/>
  <c r="AL257" i="25" s="1"/>
  <c r="X347" i="25"/>
  <c r="AB347" i="25" s="1"/>
  <c r="M347" i="25"/>
  <c r="AJ347" i="25" s="1"/>
  <c r="AK347" i="25" s="1"/>
  <c r="AL347" i="25" s="1"/>
  <c r="M42" i="9"/>
  <c r="U42" i="9" s="1"/>
  <c r="Z42" i="9" s="1"/>
  <c r="X42" i="9"/>
  <c r="AB42" i="9" s="1"/>
  <c r="X337" i="25"/>
  <c r="M337" i="25"/>
  <c r="AJ337" i="25" s="1"/>
  <c r="AK337" i="25" s="1"/>
  <c r="AL337" i="25" s="1"/>
  <c r="X97" i="25"/>
  <c r="M97" i="25"/>
  <c r="AJ97" i="25" s="1"/>
  <c r="AK97" i="25" s="1"/>
  <c r="AL97" i="25" s="1"/>
  <c r="AD10" i="25"/>
  <c r="AC10" i="25"/>
  <c r="AD29" i="25"/>
  <c r="AC29" i="25"/>
  <c r="X221" i="25"/>
  <c r="AB221" i="25" s="1"/>
  <c r="M221" i="25"/>
  <c r="AJ221" i="25" s="1"/>
  <c r="AK221" i="25" s="1"/>
  <c r="AL221" i="25" s="1"/>
  <c r="M341" i="25"/>
  <c r="AJ341" i="25" s="1"/>
  <c r="AK341" i="25" s="1"/>
  <c r="AL341" i="25" s="1"/>
  <c r="X341" i="25"/>
  <c r="AB341" i="25" s="1"/>
  <c r="X488" i="25"/>
  <c r="AB488" i="25" s="1"/>
  <c r="M488" i="25"/>
  <c r="AJ488" i="25" s="1"/>
  <c r="AK488" i="25" s="1"/>
  <c r="AL488" i="25" s="1"/>
  <c r="X428" i="25"/>
  <c r="AB428" i="25" s="1"/>
  <c r="M428" i="25"/>
  <c r="AJ428" i="25" s="1"/>
  <c r="AK428" i="25" s="1"/>
  <c r="AL428" i="25" s="1"/>
  <c r="X353" i="25"/>
  <c r="AB353" i="25" s="1"/>
  <c r="M353" i="25"/>
  <c r="AJ353" i="25" s="1"/>
  <c r="AK353" i="25" s="1"/>
  <c r="AL353" i="25" s="1"/>
  <c r="X323" i="25"/>
  <c r="AB323" i="25" s="1"/>
  <c r="M323" i="25"/>
  <c r="AJ323" i="25" s="1"/>
  <c r="AK323" i="25" s="1"/>
  <c r="AL323" i="25" s="1"/>
  <c r="M114" i="25"/>
  <c r="AJ114" i="25" s="1"/>
  <c r="AK114" i="25" s="1"/>
  <c r="AL114" i="25" s="1"/>
  <c r="X114" i="25"/>
  <c r="AB114" i="25" s="1"/>
  <c r="X144" i="25"/>
  <c r="AB144" i="25" s="1"/>
  <c r="M144" i="25"/>
  <c r="AJ144" i="25" s="1"/>
  <c r="AK144" i="25" s="1"/>
  <c r="AL144" i="25" s="1"/>
  <c r="AD55" i="25"/>
  <c r="AC55" i="25"/>
  <c r="AD49" i="25"/>
  <c r="AC49" i="25"/>
  <c r="AC60" i="25"/>
  <c r="AD60" i="25"/>
  <c r="X48" i="25"/>
  <c r="AB48" i="25" s="1"/>
  <c r="M48" i="25"/>
  <c r="AJ48" i="25" s="1"/>
  <c r="AK48" i="25" s="1"/>
  <c r="AL48" i="25" s="1"/>
  <c r="X378" i="25"/>
  <c r="AB378" i="25" s="1"/>
  <c r="M378" i="25"/>
  <c r="AJ378" i="25" s="1"/>
  <c r="AK378" i="25" s="1"/>
  <c r="AL378" i="25" s="1"/>
  <c r="X432" i="25"/>
  <c r="AB432" i="25" s="1"/>
  <c r="M432" i="25"/>
  <c r="AJ432" i="25" s="1"/>
  <c r="AK432" i="25" s="1"/>
  <c r="AL432" i="25" s="1"/>
  <c r="X72" i="25"/>
  <c r="AB72" i="25" s="1"/>
  <c r="M72" i="25"/>
  <c r="AJ72" i="25" s="1"/>
  <c r="AK72" i="25" s="1"/>
  <c r="AL72" i="25" s="1"/>
  <c r="X227" i="25"/>
  <c r="AB227" i="25" s="1"/>
  <c r="M227" i="25"/>
  <c r="AJ227" i="25" s="1"/>
  <c r="AK227" i="25" s="1"/>
  <c r="AL227" i="25" s="1"/>
  <c r="X467" i="25"/>
  <c r="AB467" i="25" s="1"/>
  <c r="M467" i="25"/>
  <c r="AJ467" i="25" s="1"/>
  <c r="AK467" i="25" s="1"/>
  <c r="AL467" i="25" s="1"/>
  <c r="X407" i="25"/>
  <c r="AB407" i="25" s="1"/>
  <c r="M407" i="25"/>
  <c r="AJ407" i="25" s="1"/>
  <c r="AK407" i="25" s="1"/>
  <c r="AL407" i="25" s="1"/>
  <c r="M12" i="9"/>
  <c r="U12" i="9" s="1"/>
  <c r="Z12" i="9" s="1"/>
  <c r="X12" i="9"/>
  <c r="AB12" i="9" s="1"/>
  <c r="X187" i="25"/>
  <c r="M187" i="25"/>
  <c r="AJ187" i="25" s="1"/>
  <c r="AK187" i="25" s="1"/>
  <c r="AL187" i="25" s="1"/>
  <c r="X157" i="25"/>
  <c r="M157" i="25"/>
  <c r="AJ157" i="25" s="1"/>
  <c r="AK157" i="25" s="1"/>
  <c r="AL157" i="25" s="1"/>
  <c r="AD5" i="25"/>
  <c r="AC5" i="25"/>
  <c r="AD16" i="25"/>
  <c r="AC16" i="25"/>
  <c r="AC22" i="25"/>
  <c r="AD22" i="25"/>
  <c r="X311" i="25"/>
  <c r="AB311" i="25" s="1"/>
  <c r="M311" i="25"/>
  <c r="AJ311" i="25" s="1"/>
  <c r="AK311" i="25" s="1"/>
  <c r="AL311" i="25" s="1"/>
  <c r="X371" i="25"/>
  <c r="AB371" i="25" s="1"/>
  <c r="M371" i="25"/>
  <c r="AJ371" i="25" s="1"/>
  <c r="AK371" i="25" s="1"/>
  <c r="AL371" i="25" s="1"/>
  <c r="M68" i="25"/>
  <c r="AJ68" i="25" s="1"/>
  <c r="AK68" i="25" s="1"/>
  <c r="AL68" i="25" s="1"/>
  <c r="X68" i="25"/>
  <c r="AB68" i="25" s="1"/>
  <c r="X278" i="25"/>
  <c r="AB278" i="25" s="1"/>
  <c r="M278" i="25"/>
  <c r="AJ278" i="25" s="1"/>
  <c r="AK278" i="25" s="1"/>
  <c r="AL278" i="25" s="1"/>
  <c r="X458" i="25"/>
  <c r="AB458" i="25" s="1"/>
  <c r="M458" i="25"/>
  <c r="AJ458" i="25" s="1"/>
  <c r="AK458" i="25" s="1"/>
  <c r="AL458" i="25" s="1"/>
  <c r="M143" i="25"/>
  <c r="AJ143" i="25" s="1"/>
  <c r="AK143" i="25" s="1"/>
  <c r="AL143" i="25" s="1"/>
  <c r="X143" i="25"/>
  <c r="AB143" i="25" s="1"/>
  <c r="X293" i="25"/>
  <c r="AB293" i="25" s="1"/>
  <c r="M293" i="25"/>
  <c r="AJ293" i="25" s="1"/>
  <c r="AK293" i="25" s="1"/>
  <c r="AL293" i="25" s="1"/>
  <c r="X24" i="25"/>
  <c r="AB24" i="25" s="1"/>
  <c r="M24" i="25"/>
  <c r="AJ24" i="25" s="1"/>
  <c r="AK24" i="25" s="1"/>
  <c r="AL24" i="25" s="1"/>
  <c r="X174" i="25"/>
  <c r="AB174" i="25" s="1"/>
  <c r="M174" i="25"/>
  <c r="AJ174" i="25" s="1"/>
  <c r="AK174" i="25" s="1"/>
  <c r="AL174" i="25" s="1"/>
  <c r="AD58" i="25"/>
  <c r="AC58" i="25"/>
  <c r="AD57" i="25"/>
  <c r="AC57" i="25"/>
  <c r="AC34" i="25"/>
  <c r="AD34" i="25"/>
  <c r="M288" i="25"/>
  <c r="AJ288" i="25" s="1"/>
  <c r="AK288" i="25" s="1"/>
  <c r="AL288" i="25" s="1"/>
  <c r="X288" i="25"/>
  <c r="AB288" i="25" s="1"/>
  <c r="M438" i="25"/>
  <c r="AJ438" i="25" s="1"/>
  <c r="AK438" i="25" s="1"/>
  <c r="AL438" i="25" s="1"/>
  <c r="X438" i="25"/>
  <c r="AB438" i="25" s="1"/>
  <c r="X132" i="25"/>
  <c r="AB132" i="25" s="1"/>
  <c r="M132" i="25"/>
  <c r="AJ132" i="25" s="1"/>
  <c r="AK132" i="25" s="1"/>
  <c r="AL132" i="25" s="1"/>
  <c r="M102" i="25"/>
  <c r="AJ102" i="25" s="1"/>
  <c r="AK102" i="25" s="1"/>
  <c r="AL102" i="25" s="1"/>
  <c r="X102" i="25"/>
  <c r="AB102" i="25" s="1"/>
  <c r="X287" i="25"/>
  <c r="AB287" i="25" s="1"/>
  <c r="M287" i="25"/>
  <c r="AJ287" i="25" s="1"/>
  <c r="AK287" i="25" s="1"/>
  <c r="AL287" i="25" s="1"/>
  <c r="X17" i="25"/>
  <c r="AB17" i="25" s="1"/>
  <c r="M17" i="25"/>
  <c r="AJ17" i="25" s="1"/>
  <c r="AK17" i="25" s="1"/>
  <c r="AL17" i="25" s="1"/>
  <c r="M7" i="25"/>
  <c r="AJ7" i="25" s="1"/>
  <c r="AK7" i="25" s="1"/>
  <c r="AL7" i="25" s="1"/>
  <c r="X7" i="25"/>
  <c r="X217" i="25"/>
  <c r="M217" i="25"/>
  <c r="AJ217" i="25" s="1"/>
  <c r="AK217" i="25" s="1"/>
  <c r="AL217" i="25" s="1"/>
  <c r="AC19" i="25"/>
  <c r="AD19" i="25"/>
  <c r="AD20" i="25"/>
  <c r="AC20" i="25"/>
  <c r="AC30" i="25"/>
  <c r="AD30" i="25"/>
  <c r="M191" i="25"/>
  <c r="AJ191" i="25" s="1"/>
  <c r="AK191" i="25" s="1"/>
  <c r="AL191" i="25" s="1"/>
  <c r="X191" i="25"/>
  <c r="AB191" i="25" s="1"/>
  <c r="X431" i="25"/>
  <c r="AB431" i="25" s="1"/>
  <c r="M431" i="25"/>
  <c r="AJ431" i="25" s="1"/>
  <c r="AK431" i="25" s="1"/>
  <c r="AL431" i="25" s="1"/>
  <c r="M8" i="25"/>
  <c r="AJ8" i="25" s="1"/>
  <c r="AK8" i="25" s="1"/>
  <c r="AL8" i="25" s="1"/>
  <c r="X8" i="25"/>
  <c r="AB8" i="25" s="1"/>
  <c r="X158" i="25"/>
  <c r="AB158" i="25" s="1"/>
  <c r="M158" i="25"/>
  <c r="AJ158" i="25" s="1"/>
  <c r="AK158" i="25" s="1"/>
  <c r="AL158" i="25" s="1"/>
  <c r="M162" i="9"/>
  <c r="X162" i="9"/>
  <c r="X83" i="25"/>
  <c r="AB83" i="25" s="1"/>
  <c r="M83" i="25"/>
  <c r="AJ83" i="25" s="1"/>
  <c r="AK83" i="25" s="1"/>
  <c r="AL83" i="25" s="1"/>
  <c r="X383" i="25"/>
  <c r="AB383" i="25" s="1"/>
  <c r="M383" i="25"/>
  <c r="AJ383" i="25" s="1"/>
  <c r="AK383" i="25" s="1"/>
  <c r="AL383" i="25" s="1"/>
  <c r="X84" i="25"/>
  <c r="AB84" i="25" s="1"/>
  <c r="M84" i="25"/>
  <c r="AJ84" i="25" s="1"/>
  <c r="AK84" i="25" s="1"/>
  <c r="AL84" i="25" s="1"/>
  <c r="X324" i="25"/>
  <c r="AB324" i="25" s="1"/>
  <c r="M324" i="25"/>
  <c r="AJ324" i="25" s="1"/>
  <c r="AK324" i="25" s="1"/>
  <c r="AL324" i="25" s="1"/>
  <c r="AD36" i="25"/>
  <c r="AC36" i="25"/>
  <c r="AD62" i="25"/>
  <c r="AC62" i="25"/>
  <c r="X498" i="25"/>
  <c r="AB498" i="25" s="1"/>
  <c r="M498" i="25"/>
  <c r="AJ498" i="25" s="1"/>
  <c r="AK498" i="25" s="1"/>
  <c r="AL498" i="25" s="1"/>
  <c r="X408" i="25"/>
  <c r="AB408" i="25" s="1"/>
  <c r="M408" i="25"/>
  <c r="AJ408" i="25" s="1"/>
  <c r="AK408" i="25" s="1"/>
  <c r="AL408" i="25" s="1"/>
  <c r="X468" i="25"/>
  <c r="AB468" i="25" s="1"/>
  <c r="M468" i="25"/>
  <c r="AJ468" i="25" s="1"/>
  <c r="AK468" i="25" s="1"/>
  <c r="AL468" i="25" s="1"/>
  <c r="X462" i="25"/>
  <c r="AB462" i="25" s="1"/>
  <c r="M462" i="25"/>
  <c r="AJ462" i="25" s="1"/>
  <c r="AK462" i="25" s="1"/>
  <c r="AL462" i="25" s="1"/>
  <c r="X252" i="25"/>
  <c r="AB252" i="25" s="1"/>
  <c r="M252" i="25"/>
  <c r="AJ252" i="25" s="1"/>
  <c r="AK252" i="25" s="1"/>
  <c r="AL252" i="25" s="1"/>
  <c r="X77" i="25"/>
  <c r="AB77" i="25" s="1"/>
  <c r="M77" i="25"/>
  <c r="AJ77" i="25" s="1"/>
  <c r="AK77" i="25" s="1"/>
  <c r="AL77" i="25" s="1"/>
  <c r="M127" i="25"/>
  <c r="AJ127" i="25" s="1"/>
  <c r="AK127" i="25" s="1"/>
  <c r="AL127" i="25" s="1"/>
  <c r="X127" i="25"/>
  <c r="X247" i="25"/>
  <c r="M247" i="25"/>
  <c r="AJ247" i="25" s="1"/>
  <c r="AK247" i="25" s="1"/>
  <c r="AL247" i="25" s="1"/>
  <c r="AD31" i="25"/>
  <c r="AC31" i="25"/>
  <c r="X101" i="25"/>
  <c r="AB101" i="25" s="1"/>
  <c r="M101" i="25"/>
  <c r="AJ101" i="25" s="1"/>
  <c r="AK101" i="25" s="1"/>
  <c r="AL101" i="25" s="1"/>
  <c r="X461" i="25"/>
  <c r="AB461" i="25" s="1"/>
  <c r="M461" i="25"/>
  <c r="AJ461" i="25" s="1"/>
  <c r="AK461" i="25" s="1"/>
  <c r="AL461" i="25" s="1"/>
  <c r="X248" i="25"/>
  <c r="AB248" i="25" s="1"/>
  <c r="M248" i="25"/>
  <c r="AJ248" i="25" s="1"/>
  <c r="AK248" i="25" s="1"/>
  <c r="AL248" i="25" s="1"/>
  <c r="X38" i="25"/>
  <c r="AB38" i="25" s="1"/>
  <c r="M38" i="25"/>
  <c r="AJ38" i="25" s="1"/>
  <c r="AK38" i="25" s="1"/>
  <c r="AL38" i="25" s="1"/>
  <c r="M132" i="9"/>
  <c r="X132" i="9"/>
  <c r="AB132" i="9" s="1"/>
  <c r="X53" i="25"/>
  <c r="AB53" i="25" s="1"/>
  <c r="M53" i="25"/>
  <c r="AJ53" i="25" s="1"/>
  <c r="AK53" i="25" s="1"/>
  <c r="AL53" i="25" s="1"/>
  <c r="X443" i="25"/>
  <c r="AB443" i="25" s="1"/>
  <c r="M443" i="25"/>
  <c r="AJ443" i="25" s="1"/>
  <c r="AK443" i="25" s="1"/>
  <c r="AL443" i="25" s="1"/>
  <c r="X384" i="25"/>
  <c r="AB384" i="25" s="1"/>
  <c r="M384" i="25"/>
  <c r="AJ384" i="25" s="1"/>
  <c r="AK384" i="25" s="1"/>
  <c r="AL384" i="25" s="1"/>
  <c r="X354" i="25"/>
  <c r="AB354" i="25" s="1"/>
  <c r="M354" i="25"/>
  <c r="AJ354" i="25" s="1"/>
  <c r="AK354" i="25" s="1"/>
  <c r="AL354" i="25" s="1"/>
  <c r="AC39" i="25"/>
  <c r="AD39" i="25"/>
  <c r="AC50" i="25"/>
  <c r="AD50" i="25"/>
  <c r="X318" i="25"/>
  <c r="AB318" i="25" s="1"/>
  <c r="M318" i="25"/>
  <c r="AJ318" i="25" s="1"/>
  <c r="AK318" i="25" s="1"/>
  <c r="AL318" i="25" s="1"/>
  <c r="M78" i="25"/>
  <c r="AJ78" i="25" s="1"/>
  <c r="AK78" i="25" s="1"/>
  <c r="AL78" i="25" s="1"/>
  <c r="X78" i="25"/>
  <c r="AB78" i="25" s="1"/>
  <c r="X162" i="25"/>
  <c r="AB162" i="25" s="1"/>
  <c r="M162" i="25"/>
  <c r="AJ162" i="25" s="1"/>
  <c r="AK162" i="25" s="1"/>
  <c r="AL162" i="25" s="1"/>
  <c r="M282" i="25"/>
  <c r="AJ282" i="25" s="1"/>
  <c r="AK282" i="25" s="1"/>
  <c r="AL282" i="25" s="1"/>
  <c r="X282" i="25"/>
  <c r="AB282" i="25" s="1"/>
  <c r="X167" i="25"/>
  <c r="AB167" i="25" s="1"/>
  <c r="M167" i="25"/>
  <c r="AJ167" i="25" s="1"/>
  <c r="AK167" i="25" s="1"/>
  <c r="AL167" i="25" s="1"/>
  <c r="X137" i="25"/>
  <c r="AB137" i="25" s="1"/>
  <c r="M137" i="25"/>
  <c r="AJ137" i="25" s="1"/>
  <c r="AK137" i="25" s="1"/>
  <c r="AL137" i="25" s="1"/>
  <c r="X397" i="25"/>
  <c r="M397" i="25"/>
  <c r="AJ397" i="25" s="1"/>
  <c r="AK397" i="25" s="1"/>
  <c r="AL397" i="25" s="1"/>
  <c r="X307" i="25"/>
  <c r="M307" i="25"/>
  <c r="AJ307" i="25" s="1"/>
  <c r="AK307" i="25" s="1"/>
  <c r="AL307" i="25" s="1"/>
  <c r="AD25" i="25"/>
  <c r="AC25" i="25"/>
  <c r="AC4" i="25"/>
  <c r="AD4" i="25"/>
  <c r="AC26" i="25"/>
  <c r="AD26" i="25"/>
  <c r="X401" i="25"/>
  <c r="AB401" i="25" s="1"/>
  <c r="M401" i="25"/>
  <c r="AJ401" i="25" s="1"/>
  <c r="AK401" i="25" s="1"/>
  <c r="AL401" i="25" s="1"/>
  <c r="X281" i="25"/>
  <c r="AB281" i="25" s="1"/>
  <c r="M281" i="25"/>
  <c r="AJ281" i="25" s="1"/>
  <c r="AK281" i="25" s="1"/>
  <c r="AL281" i="25" s="1"/>
  <c r="X491" i="25"/>
  <c r="AB491" i="25" s="1"/>
  <c r="M491" i="25"/>
  <c r="AJ491" i="25" s="1"/>
  <c r="AK491" i="25" s="1"/>
  <c r="AL491" i="25" s="1"/>
  <c r="X218" i="25"/>
  <c r="AB218" i="25" s="1"/>
  <c r="M218" i="25"/>
  <c r="AJ218" i="25" s="1"/>
  <c r="AK218" i="25" s="1"/>
  <c r="AL218" i="25" s="1"/>
  <c r="X98" i="25"/>
  <c r="AB98" i="25" s="1"/>
  <c r="M98" i="25"/>
  <c r="AJ98" i="25" s="1"/>
  <c r="AK98" i="25" s="1"/>
  <c r="AL98" i="25" s="1"/>
  <c r="X113" i="25"/>
  <c r="AB113" i="25" s="1"/>
  <c r="M113" i="25"/>
  <c r="AJ113" i="25" s="1"/>
  <c r="AK113" i="25" s="1"/>
  <c r="AL113" i="25" s="1"/>
  <c r="M173" i="25"/>
  <c r="AJ173" i="25" s="1"/>
  <c r="AK173" i="25" s="1"/>
  <c r="AL173" i="25" s="1"/>
  <c r="X173" i="25"/>
  <c r="AB173" i="25" s="1"/>
  <c r="X503" i="25"/>
  <c r="AB503" i="25" s="1"/>
  <c r="M503" i="25"/>
  <c r="AJ503" i="25" s="1"/>
  <c r="AK503" i="25" s="1"/>
  <c r="AL503" i="25" s="1"/>
  <c r="M294" i="25"/>
  <c r="AJ294" i="25" s="1"/>
  <c r="AK294" i="25" s="1"/>
  <c r="AL294" i="25" s="1"/>
  <c r="X294" i="25"/>
  <c r="AB294" i="25" s="1"/>
  <c r="M414" i="25"/>
  <c r="AJ414" i="25" s="1"/>
  <c r="AK414" i="25" s="1"/>
  <c r="AL414" i="25" s="1"/>
  <c r="X414" i="25"/>
  <c r="AB414" i="25" s="1"/>
  <c r="AD35" i="25"/>
  <c r="AC35" i="25"/>
  <c r="AC56" i="25"/>
  <c r="AD56" i="25"/>
  <c r="AD51" i="25"/>
  <c r="AC51" i="25"/>
  <c r="X348" i="25"/>
  <c r="AB348" i="25" s="1"/>
  <c r="M348" i="25"/>
  <c r="AJ348" i="25" s="1"/>
  <c r="AK348" i="25" s="1"/>
  <c r="AL348" i="25" s="1"/>
  <c r="X108" i="25"/>
  <c r="AB108" i="25" s="1"/>
  <c r="M108" i="25"/>
  <c r="AJ108" i="25" s="1"/>
  <c r="AK108" i="25" s="1"/>
  <c r="AL108" i="25" s="1"/>
  <c r="X42" i="25"/>
  <c r="AB42" i="25" s="1"/>
  <c r="M42" i="25"/>
  <c r="AJ42" i="25" s="1"/>
  <c r="AK42" i="25" s="1"/>
  <c r="AL42" i="25" s="1"/>
  <c r="M312" i="25"/>
  <c r="AJ312" i="25" s="1"/>
  <c r="AK312" i="25" s="1"/>
  <c r="AL312" i="25" s="1"/>
  <c r="X312" i="25"/>
  <c r="AB312" i="25" s="1"/>
  <c r="X277" i="25"/>
  <c r="M277" i="25"/>
  <c r="AJ277" i="25" s="1"/>
  <c r="AK277" i="25" s="1"/>
  <c r="AL277" i="25" s="1"/>
  <c r="X367" i="25"/>
  <c r="M367" i="25"/>
  <c r="AJ367" i="25" s="1"/>
  <c r="AK367" i="25" s="1"/>
  <c r="AL367" i="25" s="1"/>
  <c r="AD28" i="25"/>
  <c r="AC28" i="25"/>
  <c r="AD27" i="25"/>
  <c r="AC27" i="25"/>
  <c r="Y11" i="11"/>
  <c r="AC11" i="11" s="1"/>
  <c r="U11" i="9"/>
  <c r="Z11" i="9" s="1"/>
  <c r="AC11" i="9" s="1"/>
  <c r="M488" i="9"/>
  <c r="Y19" i="11"/>
  <c r="AC19" i="11" s="1"/>
  <c r="L82" i="9"/>
  <c r="Y82" i="9" s="1"/>
  <c r="M474" i="9"/>
  <c r="Y20" i="11"/>
  <c r="AC20" i="11" s="1"/>
  <c r="X143" i="9"/>
  <c r="AB143" i="9" s="1"/>
  <c r="X218" i="9"/>
  <c r="AB218" i="9" s="1"/>
  <c r="U41" i="16"/>
  <c r="Z41" i="16" s="1"/>
  <c r="AC41" i="16" s="1"/>
  <c r="X83" i="9"/>
  <c r="AB83" i="9" s="1"/>
  <c r="M503" i="9"/>
  <c r="X113" i="9"/>
  <c r="AB113" i="9" s="1"/>
  <c r="Y7" i="11"/>
  <c r="AC7" i="11" s="1"/>
  <c r="M398" i="9"/>
  <c r="Y70" i="11"/>
  <c r="AC70" i="11" s="1"/>
  <c r="X174" i="9"/>
  <c r="X158" i="9"/>
  <c r="Y27" i="11"/>
  <c r="AC27" i="11" s="1"/>
  <c r="X203" i="9"/>
  <c r="AB203" i="9" s="1"/>
  <c r="L155" i="9"/>
  <c r="Y155" i="9" s="1"/>
  <c r="Y4" i="11"/>
  <c r="AC4" i="11" s="1"/>
  <c r="Y24" i="11"/>
  <c r="AC24" i="11" s="1"/>
  <c r="M24" i="9"/>
  <c r="U24" i="9" s="1"/>
  <c r="Z24" i="9" s="1"/>
  <c r="M128" i="9"/>
  <c r="X128" i="9"/>
  <c r="AB128" i="9" s="1"/>
  <c r="W324" i="9"/>
  <c r="AA324" i="9" s="1"/>
  <c r="X353" i="9"/>
  <c r="AB353" i="9" s="1"/>
  <c r="X368" i="9"/>
  <c r="AB368" i="9" s="1"/>
  <c r="M368" i="9"/>
  <c r="X264" i="9"/>
  <c r="AB264" i="9" s="1"/>
  <c r="Y12" i="11"/>
  <c r="AC12" i="11" s="1"/>
  <c r="L24" i="9"/>
  <c r="Y24" i="9" s="1"/>
  <c r="AA24" i="9" s="1"/>
  <c r="Y39" i="11"/>
  <c r="AC39" i="11" s="1"/>
  <c r="Y56" i="11"/>
  <c r="AC56" i="11" s="1"/>
  <c r="Y48" i="11"/>
  <c r="AC48" i="11" s="1"/>
  <c r="Y67" i="11"/>
  <c r="AC67" i="11" s="1"/>
  <c r="Y8" i="11"/>
  <c r="AC8" i="11" s="1"/>
  <c r="M98" i="9"/>
  <c r="X98" i="9"/>
  <c r="AB98" i="9" s="1"/>
  <c r="M338" i="9"/>
  <c r="X338" i="9"/>
  <c r="AB338" i="9" s="1"/>
  <c r="M188" i="9"/>
  <c r="X188" i="9"/>
  <c r="AB188" i="9" s="1"/>
  <c r="M8" i="9"/>
  <c r="U8" i="9" s="1"/>
  <c r="Z8" i="9" s="1"/>
  <c r="X8" i="9"/>
  <c r="AB8" i="9" s="1"/>
  <c r="U7" i="16"/>
  <c r="Z7" i="16" s="1"/>
  <c r="AC7" i="16" s="1"/>
  <c r="Y69" i="11"/>
  <c r="AC69" i="11" s="1"/>
  <c r="M278" i="9"/>
  <c r="W173" i="9"/>
  <c r="Z4" i="16"/>
  <c r="X324" i="9"/>
  <c r="Y80" i="11"/>
  <c r="AC80" i="11" s="1"/>
  <c r="Y68" i="11"/>
  <c r="AC68" i="11" s="1"/>
  <c r="W105" i="9"/>
  <c r="Y55" i="11"/>
  <c r="AC55" i="11" s="1"/>
  <c r="M293" i="9"/>
  <c r="X293" i="9"/>
  <c r="AB293" i="9" s="1"/>
  <c r="L408" i="9"/>
  <c r="Y408" i="9" s="1"/>
  <c r="M443" i="9"/>
  <c r="X443" i="9"/>
  <c r="AB443" i="9" s="1"/>
  <c r="M413" i="9"/>
  <c r="X413" i="9"/>
  <c r="AB413" i="9" s="1"/>
  <c r="X383" i="9"/>
  <c r="AB383" i="9" s="1"/>
  <c r="M383" i="9"/>
  <c r="Y54" i="11"/>
  <c r="AC54" i="11" s="1"/>
  <c r="Y46" i="11"/>
  <c r="AC46" i="11" s="1"/>
  <c r="M54" i="9"/>
  <c r="U54" i="9" s="1"/>
  <c r="Z54" i="9" s="1"/>
  <c r="X54" i="9"/>
  <c r="AB54" i="9" s="1"/>
  <c r="Y38" i="11"/>
  <c r="AC38" i="11" s="1"/>
  <c r="Y53" i="11"/>
  <c r="AC53" i="11" s="1"/>
  <c r="Y45" i="11"/>
  <c r="AC45" i="11" s="1"/>
  <c r="U37" i="17"/>
  <c r="Z37" i="17" s="1"/>
  <c r="AD37" i="17" s="1"/>
  <c r="M354" i="9"/>
  <c r="M84" i="9"/>
  <c r="X84" i="9"/>
  <c r="AB84" i="9" s="1"/>
  <c r="L174" i="9"/>
  <c r="Y174" i="9" s="1"/>
  <c r="AA174" i="9" s="1"/>
  <c r="Y37" i="11"/>
  <c r="AC37" i="11" s="1"/>
  <c r="U7" i="9"/>
  <c r="Z7" i="9" s="1"/>
  <c r="AD7" i="9" s="1"/>
  <c r="Y15" i="11"/>
  <c r="AC15" i="11" s="1"/>
  <c r="Y29" i="11"/>
  <c r="AC29" i="11" s="1"/>
  <c r="Y28" i="11"/>
  <c r="AC28" i="11" s="1"/>
  <c r="Y36" i="11"/>
  <c r="AC36" i="11" s="1"/>
  <c r="L352" i="9"/>
  <c r="Y352" i="9" s="1"/>
  <c r="Y52" i="11"/>
  <c r="AC52" i="11" s="1"/>
  <c r="Y44" i="11"/>
  <c r="AC44" i="11" s="1"/>
  <c r="Y79" i="11"/>
  <c r="AC79" i="11" s="1"/>
  <c r="Y35" i="11"/>
  <c r="AC35" i="11" s="1"/>
  <c r="Y76" i="11"/>
  <c r="AC76" i="11" s="1"/>
  <c r="Y32" i="11"/>
  <c r="AC32" i="11" s="1"/>
  <c r="Y57" i="11"/>
  <c r="AC57" i="11" s="1"/>
  <c r="Y49" i="11"/>
  <c r="AC49" i="11" s="1"/>
  <c r="Y78" i="11"/>
  <c r="AC78" i="11" s="1"/>
  <c r="Z15" i="9"/>
  <c r="Y77" i="11"/>
  <c r="AC77" i="11" s="1"/>
  <c r="L294" i="9"/>
  <c r="Y294" i="9" s="1"/>
  <c r="AA294" i="9" s="1"/>
  <c r="M68" i="16"/>
  <c r="AJ68" i="16" s="1"/>
  <c r="AK68" i="16" s="1"/>
  <c r="AL68" i="16" s="1"/>
  <c r="X68" i="16"/>
  <c r="M338" i="19"/>
  <c r="X338" i="19"/>
  <c r="AB338" i="19" s="1"/>
  <c r="M248" i="19"/>
  <c r="X248" i="19"/>
  <c r="AB248" i="19" s="1"/>
  <c r="X53" i="16"/>
  <c r="M53" i="16"/>
  <c r="AJ53" i="16" s="1"/>
  <c r="AK53" i="16" s="1"/>
  <c r="AL53" i="16" s="1"/>
  <c r="M203" i="16"/>
  <c r="AJ203" i="16" s="1"/>
  <c r="AK203" i="16" s="1"/>
  <c r="AL203" i="16" s="1"/>
  <c r="X203" i="16"/>
  <c r="M203" i="17"/>
  <c r="X203" i="17"/>
  <c r="AB203" i="17" s="1"/>
  <c r="M503" i="17"/>
  <c r="X503" i="17"/>
  <c r="AB503" i="17" s="1"/>
  <c r="M143" i="19"/>
  <c r="X143" i="19"/>
  <c r="AB143" i="19" s="1"/>
  <c r="M293" i="19"/>
  <c r="X293" i="19"/>
  <c r="AB293" i="19" s="1"/>
  <c r="M234" i="16"/>
  <c r="AJ234" i="16" s="1"/>
  <c r="AK234" i="16" s="1"/>
  <c r="AL234" i="16" s="1"/>
  <c r="X234" i="16"/>
  <c r="X24" i="16"/>
  <c r="M24" i="16"/>
  <c r="AJ24" i="16" s="1"/>
  <c r="AK24" i="16" s="1"/>
  <c r="AL24" i="16" s="1"/>
  <c r="M114" i="17"/>
  <c r="X114" i="17"/>
  <c r="AB114" i="17" s="1"/>
  <c r="M504" i="17"/>
  <c r="X504" i="17"/>
  <c r="AB504" i="17" s="1"/>
  <c r="M294" i="17"/>
  <c r="X294" i="17"/>
  <c r="AB294" i="17" s="1"/>
  <c r="M234" i="19"/>
  <c r="X234" i="19"/>
  <c r="AB234" i="19" s="1"/>
  <c r="M294" i="19"/>
  <c r="X294" i="19"/>
  <c r="AB294" i="19" s="1"/>
  <c r="Y30" i="11"/>
  <c r="AC30" i="11" s="1"/>
  <c r="Y26" i="11"/>
  <c r="AC26" i="11" s="1"/>
  <c r="Y60" i="11"/>
  <c r="AC60" i="11" s="1"/>
  <c r="Y71" i="11"/>
  <c r="AC71" i="11" s="1"/>
  <c r="X468" i="16"/>
  <c r="M468" i="16"/>
  <c r="AJ468" i="16" s="1"/>
  <c r="AK468" i="16" s="1"/>
  <c r="AL468" i="16" s="1"/>
  <c r="M18" i="16"/>
  <c r="AJ18" i="16" s="1"/>
  <c r="AK18" i="16" s="1"/>
  <c r="AL18" i="16" s="1"/>
  <c r="X18" i="16"/>
  <c r="M498" i="17"/>
  <c r="X498" i="17"/>
  <c r="AB498" i="17" s="1"/>
  <c r="M258" i="17"/>
  <c r="X258" i="17"/>
  <c r="AB258" i="17" s="1"/>
  <c r="M18" i="17"/>
  <c r="U18" i="17" s="1"/>
  <c r="Z18" i="17" s="1"/>
  <c r="X18" i="17"/>
  <c r="AB18" i="17" s="1"/>
  <c r="M168" i="19"/>
  <c r="X168" i="19"/>
  <c r="AB168" i="19" s="1"/>
  <c r="M348" i="19"/>
  <c r="X348" i="19"/>
  <c r="AB348" i="19" s="1"/>
  <c r="M162" i="16"/>
  <c r="AJ162" i="16" s="1"/>
  <c r="AK162" i="16" s="1"/>
  <c r="AL162" i="16" s="1"/>
  <c r="X162" i="16"/>
  <c r="M397" i="16"/>
  <c r="AJ397" i="16" s="1"/>
  <c r="AK397" i="16" s="1"/>
  <c r="AL397" i="16" s="1"/>
  <c r="X397" i="16"/>
  <c r="AB397" i="16" s="1"/>
  <c r="M248" i="16"/>
  <c r="AJ248" i="16" s="1"/>
  <c r="AK248" i="16" s="1"/>
  <c r="AL248" i="16" s="1"/>
  <c r="X248" i="16"/>
  <c r="AB248" i="16" s="1"/>
  <c r="M98" i="16"/>
  <c r="AJ98" i="16" s="1"/>
  <c r="AK98" i="16" s="1"/>
  <c r="AL98" i="16" s="1"/>
  <c r="X98" i="16"/>
  <c r="AB98" i="16" s="1"/>
  <c r="M428" i="17"/>
  <c r="X428" i="17"/>
  <c r="AB428" i="17" s="1"/>
  <c r="M188" i="17"/>
  <c r="X188" i="17"/>
  <c r="AB188" i="17" s="1"/>
  <c r="M458" i="19"/>
  <c r="X458" i="19"/>
  <c r="AB458" i="19" s="1"/>
  <c r="M68" i="19"/>
  <c r="X68" i="19"/>
  <c r="AB68" i="19" s="1"/>
  <c r="M308" i="16"/>
  <c r="AJ308" i="16" s="1"/>
  <c r="X308" i="16"/>
  <c r="M473" i="16"/>
  <c r="AJ473" i="16" s="1"/>
  <c r="AK473" i="16" s="1"/>
  <c r="AL473" i="16" s="1"/>
  <c r="X473" i="16"/>
  <c r="AB473" i="16" s="1"/>
  <c r="M83" i="16"/>
  <c r="AJ83" i="16" s="1"/>
  <c r="AK83" i="16" s="1"/>
  <c r="AL83" i="16" s="1"/>
  <c r="X83" i="16"/>
  <c r="M143" i="17"/>
  <c r="X143" i="17"/>
  <c r="AB143" i="17" s="1"/>
  <c r="M293" i="17"/>
  <c r="X293" i="17"/>
  <c r="AB293" i="17" s="1"/>
  <c r="M233" i="19"/>
  <c r="X233" i="19"/>
  <c r="AB233" i="19" s="1"/>
  <c r="M173" i="19"/>
  <c r="X173" i="19"/>
  <c r="AB173" i="19" s="1"/>
  <c r="X414" i="16"/>
  <c r="AB414" i="16" s="1"/>
  <c r="M414" i="16"/>
  <c r="AJ414" i="16" s="1"/>
  <c r="AK414" i="16" s="1"/>
  <c r="AL414" i="16" s="1"/>
  <c r="M384" i="16"/>
  <c r="AJ384" i="16" s="1"/>
  <c r="AK384" i="16" s="1"/>
  <c r="AL384" i="16" s="1"/>
  <c r="X384" i="16"/>
  <c r="M144" i="17"/>
  <c r="X144" i="17"/>
  <c r="AB144" i="17" s="1"/>
  <c r="M84" i="17"/>
  <c r="X84" i="17"/>
  <c r="AB84" i="17" s="1"/>
  <c r="M444" i="19"/>
  <c r="X444" i="19"/>
  <c r="AB444" i="19" s="1"/>
  <c r="M414" i="19"/>
  <c r="X414" i="19"/>
  <c r="AB414" i="19" s="1"/>
  <c r="M144" i="19"/>
  <c r="X144" i="19"/>
  <c r="AB144" i="19" s="1"/>
  <c r="M288" i="16"/>
  <c r="AJ288" i="16" s="1"/>
  <c r="AK288" i="16" s="1"/>
  <c r="AL288" i="16" s="1"/>
  <c r="X288" i="16"/>
  <c r="M48" i="17"/>
  <c r="U48" i="17" s="1"/>
  <c r="Z48" i="17" s="1"/>
  <c r="X48" i="17"/>
  <c r="AB48" i="17" s="1"/>
  <c r="M218" i="16"/>
  <c r="AJ218" i="16" s="1"/>
  <c r="AK218" i="16" s="1"/>
  <c r="AL218" i="16" s="1"/>
  <c r="X218" i="16"/>
  <c r="Y51" i="11"/>
  <c r="AC51" i="11" s="1"/>
  <c r="Y73" i="11"/>
  <c r="AC73" i="11" s="1"/>
  <c r="M138" i="16"/>
  <c r="AJ138" i="16" s="1"/>
  <c r="AK138" i="16" s="1"/>
  <c r="AL138" i="16" s="1"/>
  <c r="X138" i="16"/>
  <c r="AB138" i="16" s="1"/>
  <c r="M348" i="16"/>
  <c r="AJ348" i="16" s="1"/>
  <c r="AK348" i="16" s="1"/>
  <c r="AL348" i="16" s="1"/>
  <c r="X348" i="16"/>
  <c r="M468" i="17"/>
  <c r="X468" i="17"/>
  <c r="AB468" i="17" s="1"/>
  <c r="M228" i="17"/>
  <c r="X228" i="17"/>
  <c r="AB228" i="17" s="1"/>
  <c r="M438" i="19"/>
  <c r="X438" i="19"/>
  <c r="AB438" i="19" s="1"/>
  <c r="M468" i="19"/>
  <c r="X468" i="19"/>
  <c r="AB468" i="19" s="1"/>
  <c r="M258" i="19"/>
  <c r="X258" i="19"/>
  <c r="AB258" i="19" s="1"/>
  <c r="M37" i="16"/>
  <c r="AJ37" i="16" s="1"/>
  <c r="AK37" i="16" s="1"/>
  <c r="AL37" i="16" s="1"/>
  <c r="X37" i="16"/>
  <c r="AB37" i="16" s="1"/>
  <c r="M128" i="16"/>
  <c r="AJ128" i="16" s="1"/>
  <c r="AK128" i="16" s="1"/>
  <c r="AL128" i="16" s="1"/>
  <c r="X128" i="16"/>
  <c r="M188" i="16"/>
  <c r="AJ188" i="16" s="1"/>
  <c r="AK188" i="16" s="1"/>
  <c r="AL188" i="16" s="1"/>
  <c r="X188" i="16"/>
  <c r="M398" i="17"/>
  <c r="X398" i="17"/>
  <c r="AB398" i="17" s="1"/>
  <c r="M158" i="17"/>
  <c r="X158" i="17"/>
  <c r="AB158" i="17" s="1"/>
  <c r="M188" i="19"/>
  <c r="X188" i="19"/>
  <c r="AB188" i="19" s="1"/>
  <c r="M368" i="19"/>
  <c r="X368" i="19"/>
  <c r="AB368" i="19" s="1"/>
  <c r="M293" i="16"/>
  <c r="AJ293" i="16" s="1"/>
  <c r="AK293" i="16" s="1"/>
  <c r="AL293" i="16" s="1"/>
  <c r="X293" i="16"/>
  <c r="M503" i="16"/>
  <c r="AJ503" i="16" s="1"/>
  <c r="AK503" i="16" s="1"/>
  <c r="AL503" i="16" s="1"/>
  <c r="X503" i="16"/>
  <c r="X323" i="16"/>
  <c r="M323" i="16"/>
  <c r="AJ323" i="16" s="1"/>
  <c r="AK323" i="16" s="1"/>
  <c r="AL323" i="16" s="1"/>
  <c r="M383" i="17"/>
  <c r="X383" i="17"/>
  <c r="AB383" i="17" s="1"/>
  <c r="M413" i="17"/>
  <c r="X413" i="17"/>
  <c r="AB413" i="17" s="1"/>
  <c r="M443" i="19"/>
  <c r="X443" i="19"/>
  <c r="AB443" i="19" s="1"/>
  <c r="M353" i="19"/>
  <c r="X353" i="19"/>
  <c r="AB353" i="19" s="1"/>
  <c r="M204" i="16"/>
  <c r="AJ204" i="16" s="1"/>
  <c r="AK204" i="16" s="1"/>
  <c r="AL204" i="16" s="1"/>
  <c r="X204" i="16"/>
  <c r="X444" i="16"/>
  <c r="M444" i="16"/>
  <c r="AJ444" i="16" s="1"/>
  <c r="AK444" i="16" s="1"/>
  <c r="AL444" i="16" s="1"/>
  <c r="M474" i="17"/>
  <c r="X474" i="17"/>
  <c r="AB474" i="17" s="1"/>
  <c r="M174" i="17"/>
  <c r="X174" i="17"/>
  <c r="AB174" i="17" s="1"/>
  <c r="M354" i="19"/>
  <c r="X354" i="19"/>
  <c r="AB354" i="19" s="1"/>
  <c r="M264" i="19"/>
  <c r="X264" i="19"/>
  <c r="AB264" i="19" s="1"/>
  <c r="M48" i="16"/>
  <c r="AJ48" i="16" s="1"/>
  <c r="AK48" i="16" s="1"/>
  <c r="AL48" i="16" s="1"/>
  <c r="X48" i="16"/>
  <c r="AB48" i="16" s="1"/>
  <c r="M318" i="19"/>
  <c r="X318" i="19"/>
  <c r="AB318" i="19" s="1"/>
  <c r="M218" i="17"/>
  <c r="X218" i="17"/>
  <c r="AB218" i="17" s="1"/>
  <c r="Y31" i="11"/>
  <c r="AC31" i="11" s="1"/>
  <c r="Y59" i="11"/>
  <c r="AC59" i="11" s="1"/>
  <c r="Y50" i="11"/>
  <c r="AC50" i="11" s="1"/>
  <c r="Y65" i="11"/>
  <c r="AC65" i="11" s="1"/>
  <c r="M318" i="16"/>
  <c r="AJ318" i="16" s="1"/>
  <c r="AK318" i="16" s="1"/>
  <c r="AL318" i="16" s="1"/>
  <c r="X318" i="16"/>
  <c r="X408" i="16"/>
  <c r="M408" i="16"/>
  <c r="AJ408" i="16" s="1"/>
  <c r="AK408" i="16" s="1"/>
  <c r="AL408" i="16" s="1"/>
  <c r="M438" i="17"/>
  <c r="X438" i="17"/>
  <c r="AB438" i="17" s="1"/>
  <c r="M198" i="17"/>
  <c r="X198" i="17"/>
  <c r="AB198" i="17" s="1"/>
  <c r="M288" i="19"/>
  <c r="X288" i="19"/>
  <c r="AB288" i="19" s="1"/>
  <c r="M378" i="19"/>
  <c r="X378" i="19"/>
  <c r="AB378" i="19" s="1"/>
  <c r="X247" i="16"/>
  <c r="AB247" i="16" s="1"/>
  <c r="M247" i="16"/>
  <c r="AJ247" i="16" s="1"/>
  <c r="AK247" i="16" s="1"/>
  <c r="AL247" i="16" s="1"/>
  <c r="X8" i="16"/>
  <c r="M8" i="16"/>
  <c r="AJ8" i="16" s="1"/>
  <c r="AK8" i="16" s="1"/>
  <c r="AL8" i="16" s="1"/>
  <c r="X398" i="16"/>
  <c r="M398" i="16"/>
  <c r="AJ398" i="16" s="1"/>
  <c r="AK398" i="16" s="1"/>
  <c r="AL398" i="16" s="1"/>
  <c r="M368" i="17"/>
  <c r="X368" i="17"/>
  <c r="AB368" i="17" s="1"/>
  <c r="M128" i="17"/>
  <c r="X128" i="17"/>
  <c r="AB128" i="17" s="1"/>
  <c r="M98" i="19"/>
  <c r="X98" i="19"/>
  <c r="AB98" i="19" s="1"/>
  <c r="M158" i="19"/>
  <c r="X158" i="19"/>
  <c r="AB158" i="19" s="1"/>
  <c r="M233" i="16"/>
  <c r="AJ233" i="16" s="1"/>
  <c r="AK233" i="16" s="1"/>
  <c r="AL233" i="16" s="1"/>
  <c r="X233" i="16"/>
  <c r="X263" i="16"/>
  <c r="M263" i="16"/>
  <c r="AJ263" i="16" s="1"/>
  <c r="AK263" i="16" s="1"/>
  <c r="AL263" i="16" s="1"/>
  <c r="M353" i="17"/>
  <c r="X353" i="17"/>
  <c r="AB353" i="17" s="1"/>
  <c r="M53" i="17"/>
  <c r="U53" i="17" s="1"/>
  <c r="Z53" i="17" s="1"/>
  <c r="AC53" i="17" s="1"/>
  <c r="X53" i="17"/>
  <c r="AB53" i="17" s="1"/>
  <c r="M83" i="17"/>
  <c r="X83" i="17"/>
  <c r="AB83" i="17" s="1"/>
  <c r="M323" i="19"/>
  <c r="X323" i="19"/>
  <c r="AB323" i="19" s="1"/>
  <c r="M473" i="19"/>
  <c r="X473" i="19"/>
  <c r="AB473" i="19" s="1"/>
  <c r="X264" i="16"/>
  <c r="M264" i="16"/>
  <c r="AJ264" i="16" s="1"/>
  <c r="AK264" i="16" s="1"/>
  <c r="AL264" i="16" s="1"/>
  <c r="M114" i="16"/>
  <c r="AJ114" i="16" s="1"/>
  <c r="AK114" i="16" s="1"/>
  <c r="AL114" i="16" s="1"/>
  <c r="X114" i="16"/>
  <c r="M204" i="17"/>
  <c r="X204" i="17"/>
  <c r="AB204" i="17" s="1"/>
  <c r="M444" i="17"/>
  <c r="X444" i="17"/>
  <c r="AB444" i="17" s="1"/>
  <c r="M84" i="19"/>
  <c r="X84" i="19"/>
  <c r="AB84" i="19" s="1"/>
  <c r="M54" i="19"/>
  <c r="U54" i="19" s="1"/>
  <c r="Z54" i="19" s="1"/>
  <c r="X54" i="19"/>
  <c r="AB54" i="19" s="1"/>
  <c r="M498" i="16"/>
  <c r="AJ498" i="16" s="1"/>
  <c r="AK498" i="16" s="1"/>
  <c r="AL498" i="16" s="1"/>
  <c r="X498" i="16"/>
  <c r="AB498" i="16" s="1"/>
  <c r="M288" i="17"/>
  <c r="X288" i="17"/>
  <c r="AB288" i="17" s="1"/>
  <c r="M48" i="19"/>
  <c r="U48" i="19" s="1"/>
  <c r="Z48" i="19" s="1"/>
  <c r="X48" i="19"/>
  <c r="AB48" i="19" s="1"/>
  <c r="M458" i="17"/>
  <c r="X458" i="17"/>
  <c r="AB458" i="17" s="1"/>
  <c r="M108" i="16"/>
  <c r="AJ108" i="16" s="1"/>
  <c r="AK108" i="16" s="1"/>
  <c r="AL108" i="16" s="1"/>
  <c r="X108" i="16"/>
  <c r="X258" i="16"/>
  <c r="M258" i="16"/>
  <c r="AJ258" i="16" s="1"/>
  <c r="AK258" i="16" s="1"/>
  <c r="AL258" i="16" s="1"/>
  <c r="M408" i="17"/>
  <c r="X408" i="17"/>
  <c r="AB408" i="17" s="1"/>
  <c r="M168" i="17"/>
  <c r="X168" i="17"/>
  <c r="AB168" i="17" s="1"/>
  <c r="M78" i="19"/>
  <c r="X78" i="19"/>
  <c r="AB78" i="19" s="1"/>
  <c r="M108" i="19"/>
  <c r="X108" i="19"/>
  <c r="AB108" i="19" s="1"/>
  <c r="M457" i="16"/>
  <c r="AJ457" i="16" s="1"/>
  <c r="AK457" i="16" s="1"/>
  <c r="AL457" i="16" s="1"/>
  <c r="X457" i="16"/>
  <c r="AB457" i="16" s="1"/>
  <c r="M338" i="16"/>
  <c r="AJ338" i="16" s="1"/>
  <c r="AK338" i="16" s="1"/>
  <c r="AL338" i="16" s="1"/>
  <c r="X338" i="16"/>
  <c r="M458" i="16"/>
  <c r="AJ458" i="16" s="1"/>
  <c r="AK458" i="16" s="1"/>
  <c r="AL458" i="16" s="1"/>
  <c r="X458" i="16"/>
  <c r="AB458" i="16" s="1"/>
  <c r="M338" i="17"/>
  <c r="X338" i="17"/>
  <c r="AB338" i="17" s="1"/>
  <c r="M98" i="17"/>
  <c r="X98" i="17"/>
  <c r="AB98" i="17" s="1"/>
  <c r="M488" i="19"/>
  <c r="X488" i="19"/>
  <c r="AB488" i="19" s="1"/>
  <c r="M8" i="19"/>
  <c r="U8" i="19" s="1"/>
  <c r="Z8" i="19" s="1"/>
  <c r="X8" i="19"/>
  <c r="AB8" i="19" s="1"/>
  <c r="M113" i="16"/>
  <c r="AJ113" i="16" s="1"/>
  <c r="AK113" i="16" s="1"/>
  <c r="AL113" i="16" s="1"/>
  <c r="X113" i="16"/>
  <c r="AB113" i="16" s="1"/>
  <c r="X353" i="16"/>
  <c r="M353" i="16"/>
  <c r="AJ353" i="16" s="1"/>
  <c r="AK353" i="16" s="1"/>
  <c r="AL353" i="16" s="1"/>
  <c r="M323" i="17"/>
  <c r="X323" i="17"/>
  <c r="AB323" i="17" s="1"/>
  <c r="M23" i="17"/>
  <c r="U23" i="17" s="1"/>
  <c r="Z23" i="17" s="1"/>
  <c r="X23" i="17"/>
  <c r="AB23" i="17" s="1"/>
  <c r="M23" i="19"/>
  <c r="U23" i="19" s="1"/>
  <c r="Z23" i="19" s="1"/>
  <c r="X23" i="19"/>
  <c r="AB23" i="19" s="1"/>
  <c r="M203" i="19"/>
  <c r="X203" i="19"/>
  <c r="AB203" i="19" s="1"/>
  <c r="M113" i="19"/>
  <c r="X113" i="19"/>
  <c r="AB113" i="19" s="1"/>
  <c r="M54" i="16"/>
  <c r="AJ54" i="16" s="1"/>
  <c r="AK54" i="16" s="1"/>
  <c r="AL54" i="16" s="1"/>
  <c r="X54" i="16"/>
  <c r="M144" i="16"/>
  <c r="AJ144" i="16" s="1"/>
  <c r="AK144" i="16" s="1"/>
  <c r="AL144" i="16" s="1"/>
  <c r="X144" i="16"/>
  <c r="M264" i="17"/>
  <c r="X264" i="17"/>
  <c r="AB264" i="17" s="1"/>
  <c r="M414" i="17"/>
  <c r="X414" i="17"/>
  <c r="AB414" i="17" s="1"/>
  <c r="M384" i="19"/>
  <c r="X384" i="19"/>
  <c r="AB384" i="19" s="1"/>
  <c r="M474" i="19"/>
  <c r="X474" i="19"/>
  <c r="AB474" i="19" s="1"/>
  <c r="M38" i="19"/>
  <c r="U38" i="19" s="1"/>
  <c r="Z38" i="19" s="1"/>
  <c r="X38" i="19"/>
  <c r="AB38" i="19" s="1"/>
  <c r="Y33" i="11"/>
  <c r="AC33" i="11" s="1"/>
  <c r="X378" i="16"/>
  <c r="M378" i="16"/>
  <c r="AJ378" i="16" s="1"/>
  <c r="AK378" i="16" s="1"/>
  <c r="AL378" i="16" s="1"/>
  <c r="M438" i="16"/>
  <c r="AJ438" i="16" s="1"/>
  <c r="AK438" i="16" s="1"/>
  <c r="AL438" i="16" s="1"/>
  <c r="X438" i="16"/>
  <c r="M378" i="17"/>
  <c r="X378" i="17"/>
  <c r="AB378" i="17" s="1"/>
  <c r="M138" i="17"/>
  <c r="X138" i="17"/>
  <c r="AB138" i="17" s="1"/>
  <c r="M498" i="19"/>
  <c r="X498" i="19"/>
  <c r="AB498" i="19" s="1"/>
  <c r="M18" i="19"/>
  <c r="U18" i="19" s="1"/>
  <c r="Z18" i="19" s="1"/>
  <c r="X18" i="19"/>
  <c r="AB18" i="19" s="1"/>
  <c r="X222" i="16"/>
  <c r="M222" i="16"/>
  <c r="AJ222" i="16" s="1"/>
  <c r="AK222" i="16" s="1"/>
  <c r="AL222" i="16" s="1"/>
  <c r="M487" i="16"/>
  <c r="AJ487" i="16" s="1"/>
  <c r="AK487" i="16" s="1"/>
  <c r="AL487" i="16" s="1"/>
  <c r="X487" i="16"/>
  <c r="AB487" i="16" s="1"/>
  <c r="M158" i="16"/>
  <c r="AJ158" i="16" s="1"/>
  <c r="AK158" i="16" s="1"/>
  <c r="AL158" i="16" s="1"/>
  <c r="X158" i="16"/>
  <c r="AB158" i="16" s="1"/>
  <c r="X278" i="16"/>
  <c r="AB278" i="16" s="1"/>
  <c r="M278" i="16"/>
  <c r="AJ278" i="16" s="1"/>
  <c r="AK278" i="16" s="1"/>
  <c r="AL278" i="16" s="1"/>
  <c r="M308" i="17"/>
  <c r="X308" i="17"/>
  <c r="AB308" i="17" s="1"/>
  <c r="M68" i="17"/>
  <c r="X68" i="17"/>
  <c r="AB68" i="17" s="1"/>
  <c r="M278" i="19"/>
  <c r="X278" i="19"/>
  <c r="AB278" i="19" s="1"/>
  <c r="M308" i="19"/>
  <c r="X308" i="19"/>
  <c r="AB308" i="19" s="1"/>
  <c r="M23" i="16"/>
  <c r="AJ23" i="16" s="1"/>
  <c r="AK23" i="16" s="1"/>
  <c r="AL23" i="16" s="1"/>
  <c r="X23" i="16"/>
  <c r="AB23" i="16" s="1"/>
  <c r="M443" i="16"/>
  <c r="AJ443" i="16" s="1"/>
  <c r="AK443" i="16" s="1"/>
  <c r="AL443" i="16" s="1"/>
  <c r="X443" i="16"/>
  <c r="M113" i="17"/>
  <c r="X113" i="17"/>
  <c r="AB113" i="17" s="1"/>
  <c r="M173" i="17"/>
  <c r="X173" i="17"/>
  <c r="AB173" i="17" s="1"/>
  <c r="M503" i="19"/>
  <c r="X503" i="19"/>
  <c r="AB503" i="19" s="1"/>
  <c r="M83" i="19"/>
  <c r="X83" i="19"/>
  <c r="AB83" i="19" s="1"/>
  <c r="X174" i="16"/>
  <c r="M174" i="16"/>
  <c r="AJ174" i="16" s="1"/>
  <c r="AK174" i="16" s="1"/>
  <c r="AL174" i="16" s="1"/>
  <c r="X84" i="16"/>
  <c r="M84" i="16"/>
  <c r="AJ84" i="16" s="1"/>
  <c r="AK84" i="16" s="1"/>
  <c r="AL84" i="16" s="1"/>
  <c r="M24" i="17"/>
  <c r="U24" i="17" s="1"/>
  <c r="Z24" i="17" s="1"/>
  <c r="X24" i="17"/>
  <c r="AB24" i="17" s="1"/>
  <c r="M324" i="17"/>
  <c r="X324" i="17"/>
  <c r="AB324" i="17" s="1"/>
  <c r="M174" i="19"/>
  <c r="X174" i="19"/>
  <c r="AB174" i="19" s="1"/>
  <c r="M204" i="19"/>
  <c r="X204" i="19"/>
  <c r="AB204" i="19" s="1"/>
  <c r="M97" i="16"/>
  <c r="AJ97" i="16" s="1"/>
  <c r="AK97" i="16" s="1"/>
  <c r="AL97" i="16" s="1"/>
  <c r="X97" i="16"/>
  <c r="AB97" i="16" s="1"/>
  <c r="W400" i="9"/>
  <c r="L144" i="9"/>
  <c r="Y144" i="9" s="1"/>
  <c r="L63" i="9"/>
  <c r="Y40" i="11"/>
  <c r="AC40" i="11" s="1"/>
  <c r="Y25" i="11"/>
  <c r="AC25" i="11" s="1"/>
  <c r="Y47" i="11"/>
  <c r="AC47" i="11" s="1"/>
  <c r="Y72" i="11"/>
  <c r="AC72" i="11" s="1"/>
  <c r="X168" i="16"/>
  <c r="M168" i="16"/>
  <c r="AJ168" i="16" s="1"/>
  <c r="AK168" i="16" s="1"/>
  <c r="AL168" i="16" s="1"/>
  <c r="M228" i="16"/>
  <c r="AJ228" i="16" s="1"/>
  <c r="AK228" i="16" s="1"/>
  <c r="AL228" i="16" s="1"/>
  <c r="X228" i="16"/>
  <c r="M348" i="17"/>
  <c r="X348" i="17"/>
  <c r="AB348" i="17" s="1"/>
  <c r="M108" i="17"/>
  <c r="X108" i="17"/>
  <c r="AB108" i="17" s="1"/>
  <c r="M228" i="19"/>
  <c r="X228" i="19"/>
  <c r="AB228" i="19" s="1"/>
  <c r="M408" i="19"/>
  <c r="X408" i="19"/>
  <c r="AB408" i="19" s="1"/>
  <c r="M372" i="16"/>
  <c r="AJ372" i="16" s="1"/>
  <c r="AK372" i="16" s="1"/>
  <c r="AL372" i="16" s="1"/>
  <c r="X372" i="16"/>
  <c r="X67" i="16"/>
  <c r="AB67" i="16" s="1"/>
  <c r="M67" i="16"/>
  <c r="AJ67" i="16" s="1"/>
  <c r="AK67" i="16" s="1"/>
  <c r="AL67" i="16" s="1"/>
  <c r="X488" i="16"/>
  <c r="M488" i="16"/>
  <c r="AJ488" i="16" s="1"/>
  <c r="AK488" i="16" s="1"/>
  <c r="AL488" i="16" s="1"/>
  <c r="M38" i="16"/>
  <c r="AJ38" i="16" s="1"/>
  <c r="AK38" i="16" s="1"/>
  <c r="AL38" i="16" s="1"/>
  <c r="X38" i="16"/>
  <c r="M278" i="17"/>
  <c r="X278" i="17"/>
  <c r="AB278" i="17" s="1"/>
  <c r="M38" i="17"/>
  <c r="U38" i="17" s="1"/>
  <c r="Z38" i="17" s="1"/>
  <c r="X38" i="17"/>
  <c r="AB38" i="17" s="1"/>
  <c r="M128" i="19"/>
  <c r="X128" i="19"/>
  <c r="AB128" i="19" s="1"/>
  <c r="M218" i="19"/>
  <c r="X218" i="19"/>
  <c r="AB218" i="19" s="1"/>
  <c r="X413" i="16"/>
  <c r="M413" i="16"/>
  <c r="AJ413" i="16" s="1"/>
  <c r="AK413" i="16" s="1"/>
  <c r="AL413" i="16" s="1"/>
  <c r="M383" i="16"/>
  <c r="AJ383" i="16" s="1"/>
  <c r="AK383" i="16" s="1"/>
  <c r="AL383" i="16" s="1"/>
  <c r="X383" i="16"/>
  <c r="AB383" i="16" s="1"/>
  <c r="M233" i="17"/>
  <c r="X233" i="17"/>
  <c r="AB233" i="17" s="1"/>
  <c r="M263" i="17"/>
  <c r="X263" i="17"/>
  <c r="AB263" i="17" s="1"/>
  <c r="M383" i="19"/>
  <c r="X383" i="19"/>
  <c r="AB383" i="19" s="1"/>
  <c r="M53" i="19"/>
  <c r="U53" i="19" s="1"/>
  <c r="Z53" i="19" s="1"/>
  <c r="X53" i="19"/>
  <c r="AB53" i="19" s="1"/>
  <c r="M474" i="16"/>
  <c r="AJ474" i="16" s="1"/>
  <c r="AK474" i="16" s="1"/>
  <c r="AL474" i="16" s="1"/>
  <c r="X474" i="16"/>
  <c r="M354" i="16"/>
  <c r="AJ354" i="16" s="1"/>
  <c r="AK354" i="16" s="1"/>
  <c r="AL354" i="16" s="1"/>
  <c r="X354" i="16"/>
  <c r="M354" i="17"/>
  <c r="X354" i="17"/>
  <c r="AB354" i="17" s="1"/>
  <c r="M54" i="17"/>
  <c r="U54" i="17" s="1"/>
  <c r="Z54" i="17" s="1"/>
  <c r="X54" i="17"/>
  <c r="AB54" i="17" s="1"/>
  <c r="M24" i="19"/>
  <c r="U24" i="19" s="1"/>
  <c r="Z24" i="19" s="1"/>
  <c r="X24" i="19"/>
  <c r="AB24" i="19" s="1"/>
  <c r="M114" i="19"/>
  <c r="X114" i="19"/>
  <c r="AB114" i="19" s="1"/>
  <c r="M12" i="16"/>
  <c r="AJ12" i="16" s="1"/>
  <c r="AK12" i="16" s="1"/>
  <c r="AL12" i="16" s="1"/>
  <c r="X12" i="16"/>
  <c r="Y74" i="11"/>
  <c r="AC74" i="11" s="1"/>
  <c r="M198" i="16"/>
  <c r="AJ198" i="16" s="1"/>
  <c r="AK198" i="16" s="1"/>
  <c r="AL198" i="16" s="1"/>
  <c r="X198" i="16"/>
  <c r="AB198" i="16" s="1"/>
  <c r="M78" i="16"/>
  <c r="AJ78" i="16" s="1"/>
  <c r="AK78" i="16" s="1"/>
  <c r="AL78" i="16" s="1"/>
  <c r="X78" i="16"/>
  <c r="M318" i="17"/>
  <c r="X318" i="17"/>
  <c r="AB318" i="17" s="1"/>
  <c r="M78" i="17"/>
  <c r="X78" i="17"/>
  <c r="AB78" i="17" s="1"/>
  <c r="M138" i="19"/>
  <c r="X138" i="19"/>
  <c r="AB138" i="19" s="1"/>
  <c r="M198" i="19"/>
  <c r="X198" i="19"/>
  <c r="AB198" i="19" s="1"/>
  <c r="M432" i="16"/>
  <c r="AJ432" i="16" s="1"/>
  <c r="AK432" i="16" s="1"/>
  <c r="AL432" i="16" s="1"/>
  <c r="X432" i="16"/>
  <c r="M427" i="16"/>
  <c r="AJ427" i="16" s="1"/>
  <c r="AK427" i="16" s="1"/>
  <c r="AL427" i="16" s="1"/>
  <c r="X427" i="16"/>
  <c r="AB427" i="16" s="1"/>
  <c r="X428" i="16"/>
  <c r="M428" i="16"/>
  <c r="AJ428" i="16" s="1"/>
  <c r="AK428" i="16" s="1"/>
  <c r="AL428" i="16" s="1"/>
  <c r="X368" i="16"/>
  <c r="M368" i="16"/>
  <c r="AJ368" i="16" s="1"/>
  <c r="AK368" i="16" s="1"/>
  <c r="AL368" i="16" s="1"/>
  <c r="M488" i="17"/>
  <c r="X488" i="17"/>
  <c r="AB488" i="17" s="1"/>
  <c r="M248" i="17"/>
  <c r="X248" i="17"/>
  <c r="AB248" i="17" s="1"/>
  <c r="M8" i="17"/>
  <c r="U8" i="17" s="1"/>
  <c r="Z8" i="17" s="1"/>
  <c r="X8" i="17"/>
  <c r="AB8" i="17" s="1"/>
  <c r="M428" i="19"/>
  <c r="X428" i="19"/>
  <c r="AB428" i="19" s="1"/>
  <c r="M398" i="19"/>
  <c r="X398" i="19"/>
  <c r="AB398" i="19" s="1"/>
  <c r="X173" i="16"/>
  <c r="M173" i="16"/>
  <c r="AJ173" i="16" s="1"/>
  <c r="AK173" i="16" s="1"/>
  <c r="AL173" i="16" s="1"/>
  <c r="M143" i="16"/>
  <c r="AJ143" i="16" s="1"/>
  <c r="AK143" i="16" s="1"/>
  <c r="AL143" i="16" s="1"/>
  <c r="X143" i="16"/>
  <c r="AB143" i="16" s="1"/>
  <c r="M473" i="17"/>
  <c r="X473" i="17"/>
  <c r="AB473" i="17" s="1"/>
  <c r="M443" i="17"/>
  <c r="X443" i="17"/>
  <c r="AB443" i="17" s="1"/>
  <c r="M263" i="19"/>
  <c r="X263" i="19"/>
  <c r="AB263" i="19" s="1"/>
  <c r="M413" i="19"/>
  <c r="X413" i="19"/>
  <c r="AB413" i="19" s="1"/>
  <c r="M324" i="16"/>
  <c r="AJ324" i="16" s="1"/>
  <c r="AK324" i="16" s="1"/>
  <c r="AL324" i="16" s="1"/>
  <c r="X324" i="16"/>
  <c r="X294" i="16"/>
  <c r="M294" i="16"/>
  <c r="AJ294" i="16" s="1"/>
  <c r="AK294" i="16" s="1"/>
  <c r="AL294" i="16" s="1"/>
  <c r="X504" i="16"/>
  <c r="M504" i="16"/>
  <c r="AJ504" i="16" s="1"/>
  <c r="AK504" i="16" s="1"/>
  <c r="AL504" i="16" s="1"/>
  <c r="M234" i="17"/>
  <c r="X234" i="17"/>
  <c r="AB234" i="17" s="1"/>
  <c r="M384" i="17"/>
  <c r="X384" i="17"/>
  <c r="AB384" i="17" s="1"/>
  <c r="M324" i="19"/>
  <c r="X324" i="19"/>
  <c r="AB324" i="19" s="1"/>
  <c r="M504" i="19"/>
  <c r="X504" i="19"/>
  <c r="AB504" i="19" s="1"/>
  <c r="Z5" i="16"/>
  <c r="Z46" i="16"/>
  <c r="AB262" i="16"/>
  <c r="Y333" i="16"/>
  <c r="Y273" i="16"/>
  <c r="Y483" i="16"/>
  <c r="AB483" i="16" s="1"/>
  <c r="Z3" i="16"/>
  <c r="L252" i="17"/>
  <c r="Y3" i="16"/>
  <c r="AA3" i="16" s="1"/>
  <c r="Y393" i="16"/>
  <c r="AA393" i="16" s="1"/>
  <c r="Y183" i="16"/>
  <c r="Y213" i="16"/>
  <c r="Z3" i="17"/>
  <c r="AD3" i="17" s="1"/>
  <c r="Z33" i="16"/>
  <c r="Y93" i="16"/>
  <c r="Z33" i="17"/>
  <c r="AD33" i="17" s="1"/>
  <c r="Y243" i="16"/>
  <c r="AA243" i="16" s="1"/>
  <c r="Y363" i="16"/>
  <c r="Y63" i="16"/>
  <c r="Y453" i="16"/>
  <c r="Y423" i="16"/>
  <c r="Z40" i="16"/>
  <c r="U20" i="16"/>
  <c r="Y123" i="16"/>
  <c r="U20" i="19"/>
  <c r="L442" i="9"/>
  <c r="Y442" i="9" s="1"/>
  <c r="AB442" i="9" s="1"/>
  <c r="U46" i="9"/>
  <c r="U37" i="19"/>
  <c r="Z37" i="19" s="1"/>
  <c r="AC37" i="19" s="1"/>
  <c r="U41" i="17"/>
  <c r="Z41" i="17" s="1"/>
  <c r="AC41" i="17" s="1"/>
  <c r="U11" i="19"/>
  <c r="Z11" i="19" s="1"/>
  <c r="AD11" i="19" s="1"/>
  <c r="Z10" i="16"/>
  <c r="Z35" i="9"/>
  <c r="Z9" i="16"/>
  <c r="AA262" i="16"/>
  <c r="U41" i="19"/>
  <c r="Z41" i="19" s="1"/>
  <c r="AD41" i="19" s="1"/>
  <c r="W144" i="9"/>
  <c r="U18" i="9"/>
  <c r="L313" i="16"/>
  <c r="AI313" i="16" s="1"/>
  <c r="AK313" i="16" s="1"/>
  <c r="AL313" i="16" s="1"/>
  <c r="L102" i="16"/>
  <c r="AI102" i="16" s="1"/>
  <c r="AK102" i="16" s="1"/>
  <c r="AL102" i="16" s="1"/>
  <c r="U7" i="19"/>
  <c r="Z7" i="19" s="1"/>
  <c r="AC7" i="19" s="1"/>
  <c r="U7" i="17"/>
  <c r="Z7" i="17" s="1"/>
  <c r="AC7" i="17" s="1"/>
  <c r="W189" i="9"/>
  <c r="L173" i="9"/>
  <c r="Y173" i="9" s="1"/>
  <c r="U11" i="17"/>
  <c r="Z11" i="17" s="1"/>
  <c r="AC11" i="17" s="1"/>
  <c r="L343" i="16"/>
  <c r="AI343" i="16" s="1"/>
  <c r="AK343" i="16" s="1"/>
  <c r="AL343" i="16" s="1"/>
  <c r="W343" i="16"/>
  <c r="W111" i="16"/>
  <c r="W231" i="9"/>
  <c r="W133" i="16"/>
  <c r="W201" i="9"/>
  <c r="W51" i="17"/>
  <c r="L51" i="17"/>
  <c r="Y51" i="17" s="1"/>
  <c r="W111" i="9"/>
  <c r="W411" i="19"/>
  <c r="L411" i="19"/>
  <c r="Y411" i="19" s="1"/>
  <c r="W141" i="9"/>
  <c r="W381" i="19"/>
  <c r="W201" i="16"/>
  <c r="W141" i="17"/>
  <c r="W351" i="19"/>
  <c r="L171" i="9"/>
  <c r="Y171" i="9" s="1"/>
  <c r="L351" i="16"/>
  <c r="AI351" i="16" s="1"/>
  <c r="AK351" i="16" s="1"/>
  <c r="AL351" i="16" s="1"/>
  <c r="W351" i="16"/>
  <c r="L231" i="16"/>
  <c r="AI231" i="16" s="1"/>
  <c r="AK231" i="16" s="1"/>
  <c r="AL231" i="16" s="1"/>
  <c r="W81" i="19"/>
  <c r="W201" i="19"/>
  <c r="W261" i="19"/>
  <c r="L261" i="19"/>
  <c r="Y261" i="19" s="1"/>
  <c r="W171" i="17"/>
  <c r="W501" i="19"/>
  <c r="W21" i="19"/>
  <c r="L21" i="19"/>
  <c r="Y21" i="19" s="1"/>
  <c r="W21" i="17"/>
  <c r="Z51" i="16"/>
  <c r="L21" i="17"/>
  <c r="Y21" i="17" s="1"/>
  <c r="AB400" i="16"/>
  <c r="L463" i="16"/>
  <c r="AI463" i="16" s="1"/>
  <c r="AK463" i="16" s="1"/>
  <c r="AL463" i="16" s="1"/>
  <c r="W463" i="16"/>
  <c r="L312" i="16"/>
  <c r="AI312" i="16" s="1"/>
  <c r="AK312" i="16" s="1"/>
  <c r="AL312" i="16" s="1"/>
  <c r="L132" i="16"/>
  <c r="AI132" i="16" s="1"/>
  <c r="AK132" i="16" s="1"/>
  <c r="AL132" i="16" s="1"/>
  <c r="W230" i="17"/>
  <c r="L72" i="17"/>
  <c r="W13" i="9"/>
  <c r="AB341" i="19"/>
  <c r="W410" i="19"/>
  <c r="AB187" i="19"/>
  <c r="Y40" i="16"/>
  <c r="AB40" i="16" s="1"/>
  <c r="L50" i="19"/>
  <c r="Y50" i="19" s="1"/>
  <c r="L42" i="16"/>
  <c r="AI42" i="16" s="1"/>
  <c r="W286" i="16"/>
  <c r="W373" i="16"/>
  <c r="AB101" i="19"/>
  <c r="L222" i="17"/>
  <c r="X255" i="16"/>
  <c r="X465" i="16"/>
  <c r="X405" i="17"/>
  <c r="X375" i="17"/>
  <c r="X45" i="19"/>
  <c r="X15" i="19"/>
  <c r="L18" i="9"/>
  <c r="Y18" i="9" s="1"/>
  <c r="AB18" i="9" s="1"/>
  <c r="W163" i="19"/>
  <c r="AB247" i="19"/>
  <c r="Z10" i="9"/>
  <c r="M377" i="9"/>
  <c r="X377" i="9"/>
  <c r="AB377" i="9" s="1"/>
  <c r="M77" i="9"/>
  <c r="X77" i="9"/>
  <c r="AB77" i="9" s="1"/>
  <c r="M497" i="16"/>
  <c r="AJ497" i="16" s="1"/>
  <c r="AK497" i="16" s="1"/>
  <c r="AL497" i="16" s="1"/>
  <c r="X497" i="16"/>
  <c r="M47" i="16"/>
  <c r="AJ47" i="16" s="1"/>
  <c r="X47" i="16"/>
  <c r="M347" i="17"/>
  <c r="X347" i="17"/>
  <c r="M107" i="17"/>
  <c r="X107" i="17"/>
  <c r="M407" i="19"/>
  <c r="X407" i="19"/>
  <c r="AB407" i="19" s="1"/>
  <c r="M257" i="19"/>
  <c r="X257" i="19"/>
  <c r="AB257" i="19" s="1"/>
  <c r="L350" i="17"/>
  <c r="Y350" i="17" s="1"/>
  <c r="L102" i="17"/>
  <c r="L312" i="17"/>
  <c r="W312" i="17"/>
  <c r="L376" i="16"/>
  <c r="AI376" i="16" s="1"/>
  <c r="AK376" i="16" s="1"/>
  <c r="AL376" i="16" s="1"/>
  <c r="L42" i="19"/>
  <c r="W42" i="19"/>
  <c r="L192" i="16"/>
  <c r="AI192" i="16" s="1"/>
  <c r="W16" i="9"/>
  <c r="W230" i="19"/>
  <c r="L252" i="16"/>
  <c r="AI252" i="16" s="1"/>
  <c r="AK252" i="16" s="1"/>
  <c r="AL252" i="16" s="1"/>
  <c r="L42" i="17"/>
  <c r="W42" i="17"/>
  <c r="X495" i="16"/>
  <c r="X375" i="16"/>
  <c r="X105" i="16"/>
  <c r="X465" i="17"/>
  <c r="X495" i="17"/>
  <c r="X495" i="19"/>
  <c r="X465" i="19"/>
  <c r="M227" i="9"/>
  <c r="X227" i="9"/>
  <c r="AB227" i="9" s="1"/>
  <c r="M467" i="9"/>
  <c r="X467" i="9"/>
  <c r="M137" i="16"/>
  <c r="AJ137" i="16" s="1"/>
  <c r="AK137" i="16" s="1"/>
  <c r="AL137" i="16" s="1"/>
  <c r="X137" i="16"/>
  <c r="M377" i="16"/>
  <c r="AJ377" i="16" s="1"/>
  <c r="X377" i="16"/>
  <c r="M317" i="17"/>
  <c r="X317" i="17"/>
  <c r="M77" i="17"/>
  <c r="X77" i="17"/>
  <c r="M317" i="19"/>
  <c r="X317" i="19"/>
  <c r="AB317" i="19" s="1"/>
  <c r="M167" i="19"/>
  <c r="X167" i="19"/>
  <c r="AB167" i="19" s="1"/>
  <c r="W170" i="16"/>
  <c r="M497" i="9"/>
  <c r="X497" i="9"/>
  <c r="L72" i="16"/>
  <c r="AI72" i="16" s="1"/>
  <c r="AK72" i="16" s="1"/>
  <c r="AL72" i="16" s="1"/>
  <c r="W136" i="19"/>
  <c r="L492" i="16"/>
  <c r="AI492" i="16" s="1"/>
  <c r="W492" i="16"/>
  <c r="W200" i="19"/>
  <c r="W200" i="9"/>
  <c r="W226" i="19"/>
  <c r="W140" i="19"/>
  <c r="L342" i="17"/>
  <c r="X15" i="16"/>
  <c r="X345" i="16"/>
  <c r="X285" i="17"/>
  <c r="X315" i="17"/>
  <c r="X135" i="17"/>
  <c r="X405" i="19"/>
  <c r="X345" i="19"/>
  <c r="M17" i="9"/>
  <c r="U17" i="9" s="1"/>
  <c r="Z17" i="9" s="1"/>
  <c r="X17" i="9"/>
  <c r="M437" i="16"/>
  <c r="AJ437" i="16" s="1"/>
  <c r="X437" i="16"/>
  <c r="M107" i="16"/>
  <c r="AJ107" i="16" s="1"/>
  <c r="AK107" i="16" s="1"/>
  <c r="AL107" i="16" s="1"/>
  <c r="X107" i="16"/>
  <c r="M17" i="16"/>
  <c r="AJ17" i="16" s="1"/>
  <c r="X17" i="16"/>
  <c r="M287" i="17"/>
  <c r="X287" i="17"/>
  <c r="M47" i="17"/>
  <c r="U47" i="17" s="1"/>
  <c r="X47" i="17"/>
  <c r="M497" i="19"/>
  <c r="X497" i="19"/>
  <c r="AB497" i="19" s="1"/>
  <c r="M137" i="19"/>
  <c r="X137" i="19"/>
  <c r="AB137" i="19" s="1"/>
  <c r="M107" i="9"/>
  <c r="X107" i="9"/>
  <c r="AB107" i="9" s="1"/>
  <c r="L162" i="17"/>
  <c r="L466" i="19"/>
  <c r="Y466" i="19" s="1"/>
  <c r="W466" i="19"/>
  <c r="W346" i="17"/>
  <c r="L282" i="17"/>
  <c r="W282" i="17"/>
  <c r="L226" i="19"/>
  <c r="Y226" i="19" s="1"/>
  <c r="W286" i="17"/>
  <c r="X195" i="16"/>
  <c r="X135" i="16"/>
  <c r="X75" i="17"/>
  <c r="X195" i="17"/>
  <c r="X375" i="19"/>
  <c r="X105" i="19"/>
  <c r="X75" i="19"/>
  <c r="L402" i="16"/>
  <c r="AI402" i="16" s="1"/>
  <c r="X437" i="9"/>
  <c r="AB437" i="9" s="1"/>
  <c r="M437" i="9"/>
  <c r="M197" i="16"/>
  <c r="AJ197" i="16" s="1"/>
  <c r="X197" i="16"/>
  <c r="M77" i="16"/>
  <c r="AJ77" i="16" s="1"/>
  <c r="X77" i="16"/>
  <c r="M497" i="17"/>
  <c r="X497" i="17"/>
  <c r="M257" i="17"/>
  <c r="X257" i="17"/>
  <c r="M17" i="17"/>
  <c r="U17" i="17" s="1"/>
  <c r="X17" i="17"/>
  <c r="M227" i="19"/>
  <c r="X227" i="19"/>
  <c r="AB227" i="19" s="1"/>
  <c r="M467" i="19"/>
  <c r="X467" i="19"/>
  <c r="AB467" i="19" s="1"/>
  <c r="M167" i="9"/>
  <c r="X167" i="9"/>
  <c r="W190" i="9"/>
  <c r="W376" i="19"/>
  <c r="L376" i="19"/>
  <c r="Y376" i="19" s="1"/>
  <c r="L192" i="17"/>
  <c r="W192" i="17"/>
  <c r="W500" i="19"/>
  <c r="L500" i="19"/>
  <c r="Y500" i="19" s="1"/>
  <c r="L462" i="17"/>
  <c r="W462" i="17"/>
  <c r="W220" i="9"/>
  <c r="W166" i="19"/>
  <c r="L166" i="19"/>
  <c r="Y166" i="19" s="1"/>
  <c r="W500" i="17"/>
  <c r="L12" i="17"/>
  <c r="W12" i="17"/>
  <c r="W50" i="16"/>
  <c r="L50" i="16"/>
  <c r="AI50" i="16" s="1"/>
  <c r="AK50" i="16" s="1"/>
  <c r="AL50" i="16" s="1"/>
  <c r="X225" i="16"/>
  <c r="X405" i="16"/>
  <c r="X225" i="17"/>
  <c r="X345" i="17"/>
  <c r="X165" i="19"/>
  <c r="X315" i="19"/>
  <c r="M197" i="9"/>
  <c r="X197" i="9"/>
  <c r="M407" i="16"/>
  <c r="AJ407" i="16" s="1"/>
  <c r="X407" i="16"/>
  <c r="M317" i="16"/>
  <c r="AJ317" i="16" s="1"/>
  <c r="X317" i="16"/>
  <c r="M437" i="17"/>
  <c r="X437" i="17"/>
  <c r="M227" i="17"/>
  <c r="X227" i="17"/>
  <c r="M287" i="19"/>
  <c r="X287" i="19"/>
  <c r="AB287" i="19" s="1"/>
  <c r="M17" i="19"/>
  <c r="U17" i="19" s="1"/>
  <c r="X17" i="19"/>
  <c r="L496" i="19"/>
  <c r="Y496" i="19" s="1"/>
  <c r="L290" i="19"/>
  <c r="Y290" i="19" s="1"/>
  <c r="L402" i="17"/>
  <c r="W402" i="17"/>
  <c r="X285" i="16"/>
  <c r="X45" i="16"/>
  <c r="X15" i="17"/>
  <c r="X435" i="17"/>
  <c r="X285" i="19"/>
  <c r="X135" i="19"/>
  <c r="X287" i="9"/>
  <c r="M287" i="9"/>
  <c r="X407" i="9"/>
  <c r="M407" i="9"/>
  <c r="M227" i="16"/>
  <c r="AJ227" i="16" s="1"/>
  <c r="X227" i="16"/>
  <c r="M347" i="16"/>
  <c r="AJ347" i="16" s="1"/>
  <c r="X347" i="16"/>
  <c r="M467" i="17"/>
  <c r="X467" i="17"/>
  <c r="M197" i="17"/>
  <c r="X197" i="17"/>
  <c r="M377" i="19"/>
  <c r="X377" i="19"/>
  <c r="AB377" i="19" s="1"/>
  <c r="M47" i="19"/>
  <c r="U47" i="19" s="1"/>
  <c r="X47" i="19"/>
  <c r="W440" i="19"/>
  <c r="W110" i="17"/>
  <c r="W286" i="19"/>
  <c r="L286" i="19"/>
  <c r="Y286" i="19" s="1"/>
  <c r="L282" i="16"/>
  <c r="AI282" i="16" s="1"/>
  <c r="W230" i="9"/>
  <c r="W496" i="17"/>
  <c r="W350" i="16"/>
  <c r="W410" i="17"/>
  <c r="W410" i="16"/>
  <c r="Z20" i="9"/>
  <c r="W80" i="19"/>
  <c r="W230" i="16"/>
  <c r="X165" i="16"/>
  <c r="X435" i="16"/>
  <c r="X165" i="17"/>
  <c r="X255" i="17"/>
  <c r="X195" i="19"/>
  <c r="X435" i="19"/>
  <c r="M257" i="9"/>
  <c r="X257" i="9"/>
  <c r="X347" i="9"/>
  <c r="AB347" i="9" s="1"/>
  <c r="M347" i="9"/>
  <c r="M257" i="16"/>
  <c r="AJ257" i="16" s="1"/>
  <c r="X257" i="16"/>
  <c r="M167" i="16"/>
  <c r="AJ167" i="16" s="1"/>
  <c r="X167" i="16"/>
  <c r="M407" i="17"/>
  <c r="X407" i="17"/>
  <c r="M167" i="17"/>
  <c r="X167" i="17"/>
  <c r="M197" i="19"/>
  <c r="X197" i="19"/>
  <c r="AB197" i="19" s="1"/>
  <c r="M437" i="19"/>
  <c r="X437" i="19"/>
  <c r="AB437" i="19" s="1"/>
  <c r="W380" i="19"/>
  <c r="L492" i="17"/>
  <c r="W76" i="19"/>
  <c r="L350" i="16"/>
  <c r="AI350" i="16" s="1"/>
  <c r="AK350" i="16" s="1"/>
  <c r="AL350" i="16" s="1"/>
  <c r="L410" i="16"/>
  <c r="AI410" i="16" s="1"/>
  <c r="AK410" i="16" s="1"/>
  <c r="AL410" i="16" s="1"/>
  <c r="L372" i="17"/>
  <c r="L136" i="16"/>
  <c r="AI136" i="16" s="1"/>
  <c r="AK136" i="16" s="1"/>
  <c r="AL136" i="16" s="1"/>
  <c r="W136" i="16"/>
  <c r="L462" i="16"/>
  <c r="AI462" i="16" s="1"/>
  <c r="AK462" i="16" s="1"/>
  <c r="AL462" i="16" s="1"/>
  <c r="W80" i="9"/>
  <c r="L230" i="16"/>
  <c r="AI230" i="16" s="1"/>
  <c r="AK230" i="16" s="1"/>
  <c r="AL230" i="16" s="1"/>
  <c r="W50" i="19"/>
  <c r="X315" i="16"/>
  <c r="X75" i="16"/>
  <c r="X105" i="17"/>
  <c r="X45" i="17"/>
  <c r="X225" i="19"/>
  <c r="X255" i="19"/>
  <c r="M47" i="9"/>
  <c r="U47" i="9" s="1"/>
  <c r="Z47" i="9" s="1"/>
  <c r="X47" i="9"/>
  <c r="AB47" i="9" s="1"/>
  <c r="X317" i="9"/>
  <c r="M317" i="9"/>
  <c r="M467" i="16"/>
  <c r="AJ467" i="16" s="1"/>
  <c r="AK467" i="16" s="1"/>
  <c r="AL467" i="16" s="1"/>
  <c r="X467" i="16"/>
  <c r="M287" i="16"/>
  <c r="AJ287" i="16" s="1"/>
  <c r="X287" i="16"/>
  <c r="M377" i="17"/>
  <c r="X377" i="17"/>
  <c r="M137" i="17"/>
  <c r="X137" i="17"/>
  <c r="M107" i="19"/>
  <c r="X107" i="19"/>
  <c r="AB107" i="19" s="1"/>
  <c r="W463" i="19"/>
  <c r="L380" i="19"/>
  <c r="Y380" i="19" s="1"/>
  <c r="AA278" i="16"/>
  <c r="Y369" i="16"/>
  <c r="AB369" i="16" s="1"/>
  <c r="Y9" i="16"/>
  <c r="AA9" i="16" s="1"/>
  <c r="Y129" i="16"/>
  <c r="Y128" i="16"/>
  <c r="AA128" i="16" s="1"/>
  <c r="Y399" i="16"/>
  <c r="AA399" i="16" s="1"/>
  <c r="Y339" i="16"/>
  <c r="AA339" i="16" s="1"/>
  <c r="Y368" i="16"/>
  <c r="Y429" i="16"/>
  <c r="Y38" i="16"/>
  <c r="AA38" i="16" s="1"/>
  <c r="AA158" i="16"/>
  <c r="Y188" i="16"/>
  <c r="AA188" i="16" s="1"/>
  <c r="AA138" i="16"/>
  <c r="Y99" i="16"/>
  <c r="Y428" i="16"/>
  <c r="Y338" i="16"/>
  <c r="AD6" i="17"/>
  <c r="Y78" i="16"/>
  <c r="Y497" i="16"/>
  <c r="Y467" i="16"/>
  <c r="AA467" i="16" s="1"/>
  <c r="Y228" i="16"/>
  <c r="Y137" i="16"/>
  <c r="AA137" i="16" s="1"/>
  <c r="Y107" i="16"/>
  <c r="Y318" i="16"/>
  <c r="Y168" i="16"/>
  <c r="Z34" i="16"/>
  <c r="Z3" i="19"/>
  <c r="AC3" i="19" s="1"/>
  <c r="Z48" i="9"/>
  <c r="Z33" i="19"/>
  <c r="AC33" i="19" s="1"/>
  <c r="AD6" i="19"/>
  <c r="AD52" i="19"/>
  <c r="AD19" i="19"/>
  <c r="AC19" i="19"/>
  <c r="AA12" i="9"/>
  <c r="AA102" i="9"/>
  <c r="AC6" i="19"/>
  <c r="AB204" i="9"/>
  <c r="AA48" i="9"/>
  <c r="AA222" i="9"/>
  <c r="AC19" i="17"/>
  <c r="AA84" i="9"/>
  <c r="AA228" i="9"/>
  <c r="AA38" i="9"/>
  <c r="AA234" i="9"/>
  <c r="AD14" i="17"/>
  <c r="AC14" i="17"/>
  <c r="AC35" i="17"/>
  <c r="AD35" i="17"/>
  <c r="AD44" i="17"/>
  <c r="AC44" i="17"/>
  <c r="AC35" i="19"/>
  <c r="AD35" i="19"/>
  <c r="AC36" i="17"/>
  <c r="AD36" i="17"/>
  <c r="AC34" i="17"/>
  <c r="AD34" i="17"/>
  <c r="AC40" i="17"/>
  <c r="AD40" i="17"/>
  <c r="AA53" i="9"/>
  <c r="AC59" i="9"/>
  <c r="AD59" i="9"/>
  <c r="AC62" i="17"/>
  <c r="AD62" i="17"/>
  <c r="AD58" i="19"/>
  <c r="AC58" i="19"/>
  <c r="AD61" i="19"/>
  <c r="AC61" i="19"/>
  <c r="AA137" i="9"/>
  <c r="AB137" i="9"/>
  <c r="AD49" i="19"/>
  <c r="AC44" i="19"/>
  <c r="AC5" i="19"/>
  <c r="AC25" i="9"/>
  <c r="AD25" i="9"/>
  <c r="AC25" i="16"/>
  <c r="AD25" i="16"/>
  <c r="AC11" i="16"/>
  <c r="AD11" i="16"/>
  <c r="AD29" i="17"/>
  <c r="AC29" i="17"/>
  <c r="AD28" i="19"/>
  <c r="AC28" i="19"/>
  <c r="AC4" i="17"/>
  <c r="AC14" i="19"/>
  <c r="AC6" i="17"/>
  <c r="AA162" i="9"/>
  <c r="AB162" i="9"/>
  <c r="AD36" i="19"/>
  <c r="AD61" i="9"/>
  <c r="AC61" i="9"/>
  <c r="AA42" i="9"/>
  <c r="AD57" i="9"/>
  <c r="AC57" i="9"/>
  <c r="AD62" i="9"/>
  <c r="AC62" i="9"/>
  <c r="AD60" i="17"/>
  <c r="AC60" i="17"/>
  <c r="AD61" i="17"/>
  <c r="AC61" i="17"/>
  <c r="AD59" i="19"/>
  <c r="AC59" i="19"/>
  <c r="AA203" i="9"/>
  <c r="AA132" i="9"/>
  <c r="AD52" i="17"/>
  <c r="AD5" i="17"/>
  <c r="AC5" i="17"/>
  <c r="AC22" i="19"/>
  <c r="AD32" i="9"/>
  <c r="AC32" i="9"/>
  <c r="AD26" i="9"/>
  <c r="AC26" i="9"/>
  <c r="AD29" i="16"/>
  <c r="AC29" i="16"/>
  <c r="AC26" i="17"/>
  <c r="AD26" i="17"/>
  <c r="AD28" i="17"/>
  <c r="AC28" i="17"/>
  <c r="AC34" i="19"/>
  <c r="AC36" i="19"/>
  <c r="AB222" i="9"/>
  <c r="AC56" i="17"/>
  <c r="AD56" i="17"/>
  <c r="AD62" i="19"/>
  <c r="AC62" i="19"/>
  <c r="O86" i="19"/>
  <c r="U86" i="19" s="1"/>
  <c r="Z86" i="19" s="1"/>
  <c r="O66" i="19"/>
  <c r="U66" i="19" s="1"/>
  <c r="Z66" i="19" s="1"/>
  <c r="O68" i="19"/>
  <c r="O71" i="19"/>
  <c r="U71" i="19" s="1"/>
  <c r="Z71" i="19" s="1"/>
  <c r="O63" i="19"/>
  <c r="U63" i="19" s="1"/>
  <c r="O84" i="19"/>
  <c r="O90" i="19"/>
  <c r="U90" i="19" s="1"/>
  <c r="Z90" i="19" s="1"/>
  <c r="O67" i="17"/>
  <c r="U67" i="17" s="1"/>
  <c r="Z67" i="17" s="1"/>
  <c r="O65" i="17"/>
  <c r="U65" i="17" s="1"/>
  <c r="Z65" i="17" s="1"/>
  <c r="O64" i="17"/>
  <c r="U64" i="17" s="1"/>
  <c r="O82" i="17"/>
  <c r="U82" i="17" s="1"/>
  <c r="O87" i="17"/>
  <c r="U87" i="17" s="1"/>
  <c r="Z87" i="17" s="1"/>
  <c r="O86" i="17"/>
  <c r="U86" i="17" s="1"/>
  <c r="Z86" i="17" s="1"/>
  <c r="O79" i="17"/>
  <c r="U79" i="17" s="1"/>
  <c r="O80" i="16"/>
  <c r="U80" i="16" s="1"/>
  <c r="O79" i="16"/>
  <c r="U79" i="16" s="1"/>
  <c r="O78" i="16"/>
  <c r="O89" i="16"/>
  <c r="U89" i="16" s="1"/>
  <c r="Z89" i="16" s="1"/>
  <c r="O90" i="16"/>
  <c r="U90" i="16" s="1"/>
  <c r="Z90" i="16" s="1"/>
  <c r="O76" i="16"/>
  <c r="U76" i="16" s="1"/>
  <c r="O74" i="16"/>
  <c r="U74" i="16" s="1"/>
  <c r="O73" i="16"/>
  <c r="U73" i="16" s="1"/>
  <c r="O85" i="9"/>
  <c r="U85" i="9" s="1"/>
  <c r="Z85" i="9" s="1"/>
  <c r="O89" i="9"/>
  <c r="U89" i="9" s="1"/>
  <c r="Z89" i="9" s="1"/>
  <c r="AC55" i="9"/>
  <c r="AD55" i="9"/>
  <c r="AC60" i="9"/>
  <c r="AD60" i="9"/>
  <c r="AD59" i="17"/>
  <c r="AC59" i="17"/>
  <c r="AA114" i="9"/>
  <c r="AA72" i="9"/>
  <c r="AB68" i="9"/>
  <c r="AA68" i="9"/>
  <c r="AC52" i="17"/>
  <c r="AD22" i="19"/>
  <c r="AA47" i="9"/>
  <c r="AC31" i="17"/>
  <c r="AD31" i="17"/>
  <c r="AC25" i="17"/>
  <c r="AD25" i="17"/>
  <c r="AD30" i="19"/>
  <c r="AC30" i="19"/>
  <c r="AA107" i="9"/>
  <c r="AD34" i="19"/>
  <c r="AC39" i="17"/>
  <c r="AA113" i="9"/>
  <c r="AD9" i="19"/>
  <c r="AC62" i="16"/>
  <c r="AD62" i="16"/>
  <c r="AD58" i="9"/>
  <c r="AC58" i="9"/>
  <c r="AC55" i="16"/>
  <c r="AD55" i="16"/>
  <c r="AD60" i="19"/>
  <c r="AC60" i="19"/>
  <c r="AA77" i="9"/>
  <c r="AD9" i="17"/>
  <c r="AD19" i="17"/>
  <c r="AA17" i="9"/>
  <c r="AC39" i="19"/>
  <c r="AC27" i="17"/>
  <c r="AD27" i="17"/>
  <c r="AC32" i="19"/>
  <c r="AD32" i="19"/>
  <c r="AD10" i="19"/>
  <c r="AC10" i="19"/>
  <c r="AD39" i="17"/>
  <c r="AA83" i="9"/>
  <c r="AC9" i="19"/>
  <c r="AA23" i="9"/>
  <c r="AA108" i="9"/>
  <c r="AA98" i="9"/>
  <c r="AC56" i="16"/>
  <c r="AD56" i="16"/>
  <c r="AC56" i="9"/>
  <c r="AD56" i="9"/>
  <c r="AD58" i="17"/>
  <c r="AC58" i="17"/>
  <c r="AC40" i="19"/>
  <c r="AD40" i="19"/>
  <c r="AC57" i="19"/>
  <c r="AD57" i="19"/>
  <c r="AC9" i="17"/>
  <c r="AB168" i="9"/>
  <c r="AA168" i="9"/>
  <c r="AA188" i="9"/>
  <c r="AD39" i="19"/>
  <c r="AD32" i="16"/>
  <c r="AC32" i="16"/>
  <c r="AC30" i="16"/>
  <c r="AD30" i="16"/>
  <c r="AD26" i="16"/>
  <c r="AC26" i="16"/>
  <c r="AD30" i="17"/>
  <c r="AC30" i="17"/>
  <c r="AC26" i="19"/>
  <c r="AD26" i="19"/>
  <c r="AC27" i="19"/>
  <c r="AD27" i="19"/>
  <c r="AA167" i="9"/>
  <c r="AA204" i="9"/>
  <c r="AA138" i="9"/>
  <c r="AA143" i="9"/>
  <c r="AD22" i="17"/>
  <c r="AC49" i="17"/>
  <c r="AD61" i="16"/>
  <c r="AC61" i="16"/>
  <c r="AD59" i="16"/>
  <c r="AC59" i="16"/>
  <c r="AC58" i="16"/>
  <c r="AD58" i="16"/>
  <c r="AD56" i="19"/>
  <c r="AC56" i="19"/>
  <c r="AD4" i="19"/>
  <c r="AA158" i="9"/>
  <c r="AB158" i="9"/>
  <c r="AA128" i="9"/>
  <c r="AC12" i="19"/>
  <c r="AD12" i="19"/>
  <c r="AC31" i="9"/>
  <c r="AD31" i="9"/>
  <c r="AC31" i="16"/>
  <c r="AD31" i="16"/>
  <c r="AD25" i="19"/>
  <c r="AC25" i="19"/>
  <c r="AA54" i="9"/>
  <c r="AB234" i="9"/>
  <c r="AC22" i="17"/>
  <c r="AD49" i="17"/>
  <c r="AC57" i="16"/>
  <c r="AD57" i="16"/>
  <c r="AD60" i="16"/>
  <c r="AC60" i="16"/>
  <c r="AC57" i="17"/>
  <c r="AD57" i="17"/>
  <c r="AD55" i="17"/>
  <c r="AC55" i="17"/>
  <c r="AC55" i="19"/>
  <c r="AD55" i="19"/>
  <c r="AC4" i="19"/>
  <c r="AC52" i="19"/>
  <c r="AB78" i="9"/>
  <c r="AA78" i="9"/>
  <c r="AD28" i="9"/>
  <c r="AC28" i="9"/>
  <c r="AD29" i="9"/>
  <c r="AC29" i="9"/>
  <c r="AC28" i="16"/>
  <c r="AD28" i="16"/>
  <c r="AD29" i="19"/>
  <c r="AC29" i="19"/>
  <c r="AA197" i="9"/>
  <c r="AB192" i="9"/>
  <c r="AA192" i="9"/>
  <c r="AC49" i="19"/>
  <c r="AA8" i="9"/>
  <c r="AA233" i="9"/>
  <c r="AB233" i="9"/>
  <c r="AD44" i="19"/>
  <c r="AA198" i="9"/>
  <c r="AB198" i="9"/>
  <c r="AD5" i="19"/>
  <c r="AA218" i="9"/>
  <c r="AC30" i="9"/>
  <c r="AD30" i="9"/>
  <c r="AD27" i="9"/>
  <c r="AC27" i="9"/>
  <c r="AC27" i="16"/>
  <c r="AD27" i="16"/>
  <c r="AD32" i="17"/>
  <c r="AC32" i="17"/>
  <c r="AD10" i="17"/>
  <c r="AC10" i="17"/>
  <c r="AD31" i="19"/>
  <c r="AC31" i="19"/>
  <c r="AD4" i="17"/>
  <c r="AD14" i="19"/>
  <c r="AB48" i="9"/>
  <c r="AA227" i="9"/>
  <c r="AA428" i="9"/>
  <c r="AA377" i="9"/>
  <c r="AA323" i="9"/>
  <c r="AA264" i="9"/>
  <c r="AA413" i="9"/>
  <c r="AA318" i="9"/>
  <c r="AB444" i="9"/>
  <c r="AA414" i="9"/>
  <c r="AA311" i="9"/>
  <c r="AA278" i="9"/>
  <c r="AB348" i="9"/>
  <c r="AA308" i="9"/>
  <c r="AA504" i="9"/>
  <c r="AA354" i="9"/>
  <c r="AA248" i="9"/>
  <c r="AA293" i="9"/>
  <c r="AB384" i="9"/>
  <c r="AA287" i="9"/>
  <c r="AB503" i="9"/>
  <c r="AA263" i="9"/>
  <c r="AA247" i="9"/>
  <c r="AA347" i="9"/>
  <c r="AA437" i="9"/>
  <c r="L492" i="9"/>
  <c r="Y492" i="9" s="1"/>
  <c r="AA438" i="9"/>
  <c r="AB457" i="9"/>
  <c r="AA457" i="9"/>
  <c r="AB491" i="9"/>
  <c r="AA491" i="9"/>
  <c r="W432" i="9"/>
  <c r="L432" i="9"/>
  <c r="Y432" i="9" s="1"/>
  <c r="L285" i="9"/>
  <c r="Y285" i="9" s="1"/>
  <c r="L462" i="9"/>
  <c r="Y462" i="9" s="1"/>
  <c r="AB438" i="9"/>
  <c r="W319" i="9"/>
  <c r="L379" i="9"/>
  <c r="Y379" i="9" s="1"/>
  <c r="L342" i="9"/>
  <c r="Y342" i="9" s="1"/>
  <c r="W252" i="9"/>
  <c r="L252" i="9"/>
  <c r="Y252" i="9" s="1"/>
  <c r="W375" i="9"/>
  <c r="W374" i="9"/>
  <c r="L402" i="9"/>
  <c r="Y402" i="9" s="1"/>
  <c r="AA402" i="9" s="1"/>
  <c r="L312" i="9"/>
  <c r="Y312" i="9" s="1"/>
  <c r="W372" i="9"/>
  <c r="L372" i="9"/>
  <c r="Y372" i="9" s="1"/>
  <c r="W465" i="9"/>
  <c r="AA427" i="9"/>
  <c r="AB311" i="9"/>
  <c r="AA338" i="9"/>
  <c r="AA378" i="9"/>
  <c r="AA488" i="9"/>
  <c r="AB247" i="9"/>
  <c r="AA468" i="9"/>
  <c r="AA487" i="9"/>
  <c r="AB427" i="9"/>
  <c r="W469" i="9"/>
  <c r="AA288" i="9"/>
  <c r="AB487" i="9"/>
  <c r="AA474" i="9"/>
  <c r="AA317" i="9"/>
  <c r="AA353" i="9"/>
  <c r="AA367" i="9"/>
  <c r="AB367" i="9"/>
  <c r="AA258" i="9"/>
  <c r="AA467" i="9"/>
  <c r="AA368" i="9"/>
  <c r="AA384" i="9"/>
  <c r="AA398" i="9"/>
  <c r="W282" i="9"/>
  <c r="AA282" i="9" s="1"/>
  <c r="AB308" i="9"/>
  <c r="AA401" i="9"/>
  <c r="AB401" i="9"/>
  <c r="AB251" i="9"/>
  <c r="AA251" i="9"/>
  <c r="AA444" i="9"/>
  <c r="AA348" i="9"/>
  <c r="AB488" i="9"/>
  <c r="AB263" i="9"/>
  <c r="AB504" i="9"/>
  <c r="AA431" i="9"/>
  <c r="AB431" i="9"/>
  <c r="AA307" i="9"/>
  <c r="AB307" i="9"/>
  <c r="AA257" i="9"/>
  <c r="AA473" i="9"/>
  <c r="AB354" i="9"/>
  <c r="AB378" i="9"/>
  <c r="AA497" i="9"/>
  <c r="AA371" i="9"/>
  <c r="AB371" i="9"/>
  <c r="AB397" i="9"/>
  <c r="AA397" i="9"/>
  <c r="AA341" i="9"/>
  <c r="AB341" i="9"/>
  <c r="AA443" i="9"/>
  <c r="AA383" i="9"/>
  <c r="AA498" i="9"/>
  <c r="AA277" i="9"/>
  <c r="AB277" i="9"/>
  <c r="AB337" i="9"/>
  <c r="AA337" i="9"/>
  <c r="AA407" i="9"/>
  <c r="AA458" i="9"/>
  <c r="AB281" i="9"/>
  <c r="AA281" i="9"/>
  <c r="AB414" i="9"/>
  <c r="AB318" i="9"/>
  <c r="AB248" i="9"/>
  <c r="AA503" i="9"/>
  <c r="AB461" i="9"/>
  <c r="AA461" i="9"/>
  <c r="J8" i="4"/>
  <c r="I9" i="4"/>
  <c r="O76" i="9"/>
  <c r="U76" i="9" s="1"/>
  <c r="O80" i="9"/>
  <c r="U80" i="9" s="1"/>
  <c r="O71" i="9"/>
  <c r="U71" i="9" s="1"/>
  <c r="Z71" i="9" s="1"/>
  <c r="O74" i="9"/>
  <c r="U74" i="9" s="1"/>
  <c r="O73" i="9"/>
  <c r="U73" i="9" s="1"/>
  <c r="M47" i="25" l="1"/>
  <c r="AJ47" i="25" s="1"/>
  <c r="AK47" i="25" s="1"/>
  <c r="AL47" i="25" s="1"/>
  <c r="X47" i="25"/>
  <c r="AB47" i="25" s="1"/>
  <c r="M197" i="25"/>
  <c r="AJ197" i="25" s="1"/>
  <c r="AK197" i="25" s="1"/>
  <c r="AL197" i="25" s="1"/>
  <c r="M107" i="25"/>
  <c r="AJ107" i="25" s="1"/>
  <c r="AK107" i="25" s="1"/>
  <c r="AL107" i="25" s="1"/>
  <c r="X197" i="25"/>
  <c r="AB197" i="25" s="1"/>
  <c r="X107" i="25"/>
  <c r="AB107" i="25" s="1"/>
  <c r="Y96" i="11"/>
  <c r="AC96" i="11" s="1"/>
  <c r="M377" i="25"/>
  <c r="AJ377" i="25" s="1"/>
  <c r="AK377" i="25" s="1"/>
  <c r="AL377" i="25" s="1"/>
  <c r="M77" i="19"/>
  <c r="Y66" i="11"/>
  <c r="AC66" i="11" s="1"/>
  <c r="L163" i="19"/>
  <c r="L351" i="19"/>
  <c r="Y351" i="19" s="1"/>
  <c r="X347" i="19"/>
  <c r="AB347" i="19" s="1"/>
  <c r="L470" i="19"/>
  <c r="Y470" i="19" s="1"/>
  <c r="W110" i="19"/>
  <c r="AB110" i="19" s="1"/>
  <c r="M347" i="19"/>
  <c r="L291" i="19"/>
  <c r="Y291" i="19" s="1"/>
  <c r="L403" i="19"/>
  <c r="L226" i="17"/>
  <c r="Y226" i="17" s="1"/>
  <c r="O81" i="9"/>
  <c r="U81" i="9" s="1"/>
  <c r="O70" i="9"/>
  <c r="U70" i="9" s="1"/>
  <c r="W464" i="9"/>
  <c r="O90" i="9"/>
  <c r="U90" i="9" s="1"/>
  <c r="Z90" i="9" s="1"/>
  <c r="AD90" i="9" s="1"/>
  <c r="O70" i="16"/>
  <c r="U70" i="16" s="1"/>
  <c r="Z70" i="16" s="1"/>
  <c r="AC70" i="16" s="1"/>
  <c r="O76" i="17"/>
  <c r="U76" i="17" s="1"/>
  <c r="Z76" i="17" s="1"/>
  <c r="O78" i="19"/>
  <c r="O73" i="19"/>
  <c r="U73" i="19" s="1"/>
  <c r="AA19" i="16"/>
  <c r="O65" i="25"/>
  <c r="U65" i="25" s="1"/>
  <c r="Z65" i="25" s="1"/>
  <c r="AD65" i="25" s="1"/>
  <c r="O80" i="25"/>
  <c r="U80" i="25" s="1"/>
  <c r="Z80" i="25" s="1"/>
  <c r="AC80" i="25" s="1"/>
  <c r="O92" i="25"/>
  <c r="U92" i="25" s="1"/>
  <c r="Z92" i="25" s="1"/>
  <c r="AD92" i="25" s="1"/>
  <c r="W376" i="9"/>
  <c r="W5" i="9"/>
  <c r="O66" i="16"/>
  <c r="U66" i="16" s="1"/>
  <c r="O73" i="17"/>
  <c r="U73" i="17" s="1"/>
  <c r="O65" i="19"/>
  <c r="U65" i="19" s="1"/>
  <c r="Z65" i="19" s="1"/>
  <c r="L104" i="9"/>
  <c r="Y104" i="9" s="1"/>
  <c r="AB104" i="9" s="1"/>
  <c r="O64" i="9"/>
  <c r="U64" i="9" s="1"/>
  <c r="O75" i="9"/>
  <c r="U75" i="9" s="1"/>
  <c r="O65" i="16"/>
  <c r="U65" i="16" s="1"/>
  <c r="O72" i="16"/>
  <c r="U72" i="16" s="1"/>
  <c r="O84" i="17"/>
  <c r="O63" i="17"/>
  <c r="U63" i="17" s="1"/>
  <c r="O74" i="19"/>
  <c r="U74" i="19" s="1"/>
  <c r="Z74" i="19" s="1"/>
  <c r="O92" i="19"/>
  <c r="U92" i="19" s="1"/>
  <c r="Z92" i="19" s="1"/>
  <c r="AD92" i="19" s="1"/>
  <c r="O70" i="25"/>
  <c r="U70" i="25" s="1"/>
  <c r="Z70" i="25" s="1"/>
  <c r="AD70" i="25" s="1"/>
  <c r="O63" i="25"/>
  <c r="U63" i="25" s="1"/>
  <c r="Z63" i="25" s="1"/>
  <c r="AC63" i="25" s="1"/>
  <c r="O78" i="9"/>
  <c r="U78" i="9" s="1"/>
  <c r="Z78" i="9" s="1"/>
  <c r="AD78" i="9" s="1"/>
  <c r="O85" i="16"/>
  <c r="U85" i="16" s="1"/>
  <c r="Z85" i="16" s="1"/>
  <c r="AC85" i="16" s="1"/>
  <c r="O88" i="9"/>
  <c r="U88" i="9" s="1"/>
  <c r="Z88" i="9" s="1"/>
  <c r="AD88" i="9" s="1"/>
  <c r="O67" i="16"/>
  <c r="O91" i="17"/>
  <c r="U91" i="17" s="1"/>
  <c r="Z91" i="17" s="1"/>
  <c r="O80" i="17"/>
  <c r="U80" i="17" s="1"/>
  <c r="O88" i="19"/>
  <c r="U88" i="19" s="1"/>
  <c r="Z88" i="19" s="1"/>
  <c r="AC88" i="19" s="1"/>
  <c r="O81" i="19"/>
  <c r="U81" i="19" s="1"/>
  <c r="Z81" i="19" s="1"/>
  <c r="L110" i="9"/>
  <c r="Y110" i="9" s="1"/>
  <c r="L50" i="9"/>
  <c r="Y50" i="9" s="1"/>
  <c r="O65" i="9"/>
  <c r="U65" i="9" s="1"/>
  <c r="Z65" i="9" s="1"/>
  <c r="O69" i="9"/>
  <c r="U69" i="9" s="1"/>
  <c r="O83" i="9"/>
  <c r="U83" i="9" s="1"/>
  <c r="Z83" i="9" s="1"/>
  <c r="O63" i="9"/>
  <c r="U63" i="9" s="1"/>
  <c r="O64" i="16"/>
  <c r="U64" i="16" s="1"/>
  <c r="Z64" i="16" s="1"/>
  <c r="AD64" i="16" s="1"/>
  <c r="O86" i="9"/>
  <c r="U86" i="9" s="1"/>
  <c r="Z86" i="9" s="1"/>
  <c r="AD86" i="9" s="1"/>
  <c r="O71" i="16"/>
  <c r="U71" i="16" s="1"/>
  <c r="Z71" i="16" s="1"/>
  <c r="AD71" i="16" s="1"/>
  <c r="O87" i="16"/>
  <c r="U87" i="16" s="1"/>
  <c r="Z87" i="16" s="1"/>
  <c r="AD87" i="16" s="1"/>
  <c r="O75" i="17"/>
  <c r="U75" i="17" s="1"/>
  <c r="O89" i="17"/>
  <c r="U89" i="17" s="1"/>
  <c r="Z89" i="17" s="1"/>
  <c r="AD89" i="17" s="1"/>
  <c r="O85" i="17"/>
  <c r="U85" i="17" s="1"/>
  <c r="Z85" i="17" s="1"/>
  <c r="O72" i="17"/>
  <c r="O83" i="19"/>
  <c r="O87" i="19"/>
  <c r="U87" i="19" s="1"/>
  <c r="Z87" i="19" s="1"/>
  <c r="AD87" i="19" s="1"/>
  <c r="O72" i="19"/>
  <c r="U72" i="19" s="1"/>
  <c r="O85" i="19"/>
  <c r="U85" i="19" s="1"/>
  <c r="Z85" i="19" s="1"/>
  <c r="AD85" i="19" s="1"/>
  <c r="L130" i="9"/>
  <c r="Y130" i="9" s="1"/>
  <c r="L139" i="9"/>
  <c r="Y139" i="9" s="1"/>
  <c r="W313" i="9"/>
  <c r="O72" i="25"/>
  <c r="O71" i="25"/>
  <c r="O67" i="9"/>
  <c r="U67" i="9" s="1"/>
  <c r="Z67" i="9" s="1"/>
  <c r="AC67" i="9" s="1"/>
  <c r="O84" i="16"/>
  <c r="O92" i="17"/>
  <c r="U92" i="17" s="1"/>
  <c r="Z92" i="17" s="1"/>
  <c r="AC92" i="17" s="1"/>
  <c r="O88" i="17"/>
  <c r="U88" i="17" s="1"/>
  <c r="Z88" i="17" s="1"/>
  <c r="AC88" i="17" s="1"/>
  <c r="O64" i="19"/>
  <c r="U64" i="19" s="1"/>
  <c r="Z64" i="19" s="1"/>
  <c r="AC64" i="19" s="1"/>
  <c r="W140" i="9"/>
  <c r="O66" i="9"/>
  <c r="U66" i="9" s="1"/>
  <c r="O77" i="9"/>
  <c r="O91" i="9"/>
  <c r="U91" i="9" s="1"/>
  <c r="Z91" i="9" s="1"/>
  <c r="AC91" i="9" s="1"/>
  <c r="O63" i="16"/>
  <c r="U63" i="16" s="1"/>
  <c r="O77" i="16"/>
  <c r="O91" i="16"/>
  <c r="U91" i="16" s="1"/>
  <c r="Z91" i="16" s="1"/>
  <c r="AC91" i="16" s="1"/>
  <c r="O82" i="16"/>
  <c r="U82" i="16" s="1"/>
  <c r="O74" i="17"/>
  <c r="U74" i="17" s="1"/>
  <c r="O69" i="17"/>
  <c r="U69" i="17" s="1"/>
  <c r="Z69" i="17" s="1"/>
  <c r="AC69" i="17" s="1"/>
  <c r="O77" i="17"/>
  <c r="O71" i="17"/>
  <c r="U71" i="17" s="1"/>
  <c r="Z71" i="17" s="1"/>
  <c r="AD71" i="17" s="1"/>
  <c r="O79" i="19"/>
  <c r="U79" i="19" s="1"/>
  <c r="O76" i="19"/>
  <c r="U76" i="19" s="1"/>
  <c r="O69" i="19"/>
  <c r="U69" i="19" s="1"/>
  <c r="Z69" i="19" s="1"/>
  <c r="AD69" i="19" s="1"/>
  <c r="O82" i="19"/>
  <c r="U82" i="19" s="1"/>
  <c r="Z82" i="19" s="1"/>
  <c r="AC82" i="19" s="1"/>
  <c r="L373" i="16"/>
  <c r="AI373" i="16" s="1"/>
  <c r="AK373" i="16" s="1"/>
  <c r="AL373" i="16" s="1"/>
  <c r="O64" i="25"/>
  <c r="U64" i="25" s="1"/>
  <c r="Z64" i="25" s="1"/>
  <c r="AC64" i="25" s="1"/>
  <c r="O87" i="25"/>
  <c r="U87" i="25" s="1"/>
  <c r="Z87" i="25" s="1"/>
  <c r="AC87" i="25" s="1"/>
  <c r="O66" i="25"/>
  <c r="U66" i="25" s="1"/>
  <c r="Z66" i="25" s="1"/>
  <c r="AC66" i="25" s="1"/>
  <c r="O74" i="25"/>
  <c r="U74" i="25" s="1"/>
  <c r="Z74" i="25" s="1"/>
  <c r="AD74" i="25" s="1"/>
  <c r="O82" i="9"/>
  <c r="U82" i="9" s="1"/>
  <c r="O68" i="9"/>
  <c r="U68" i="9" s="1"/>
  <c r="Z68" i="9" s="1"/>
  <c r="AD68" i="9" s="1"/>
  <c r="O87" i="9"/>
  <c r="U87" i="9" s="1"/>
  <c r="Z87" i="9" s="1"/>
  <c r="AD87" i="9" s="1"/>
  <c r="O86" i="16"/>
  <c r="U86" i="16" s="1"/>
  <c r="Z86" i="16" s="1"/>
  <c r="O83" i="16"/>
  <c r="O81" i="16"/>
  <c r="U81" i="16" s="1"/>
  <c r="O68" i="16"/>
  <c r="O70" i="17"/>
  <c r="U70" i="17" s="1"/>
  <c r="Z70" i="17" s="1"/>
  <c r="AC70" i="17" s="1"/>
  <c r="O83" i="17"/>
  <c r="O78" i="17"/>
  <c r="O66" i="17"/>
  <c r="U66" i="17" s="1"/>
  <c r="Z66" i="17" s="1"/>
  <c r="AC66" i="17" s="1"/>
  <c r="O75" i="19"/>
  <c r="U75" i="19" s="1"/>
  <c r="O70" i="19"/>
  <c r="U70" i="19" s="1"/>
  <c r="Z70" i="19" s="1"/>
  <c r="AD70" i="19" s="1"/>
  <c r="O91" i="19"/>
  <c r="U91" i="19" s="1"/>
  <c r="Z91" i="19" s="1"/>
  <c r="AC91" i="19" s="1"/>
  <c r="O88" i="25"/>
  <c r="U88" i="25" s="1"/>
  <c r="Z88" i="25" s="1"/>
  <c r="AD88" i="25" s="1"/>
  <c r="O83" i="25"/>
  <c r="U83" i="25" s="1"/>
  <c r="Z83" i="25" s="1"/>
  <c r="AD83" i="25" s="1"/>
  <c r="AB215" i="16"/>
  <c r="Y396" i="16"/>
  <c r="AA396" i="16" s="1"/>
  <c r="AA69" i="16"/>
  <c r="AK454" i="16"/>
  <c r="AL454" i="16" s="1"/>
  <c r="AK253" i="16"/>
  <c r="AL253" i="16" s="1"/>
  <c r="O72" i="9"/>
  <c r="O79" i="9"/>
  <c r="U79" i="9" s="1"/>
  <c r="O84" i="9"/>
  <c r="O88" i="16"/>
  <c r="U88" i="16" s="1"/>
  <c r="Z88" i="16" s="1"/>
  <c r="AC88" i="16" s="1"/>
  <c r="O92" i="9"/>
  <c r="U92" i="9" s="1"/>
  <c r="Z92" i="9" s="1"/>
  <c r="AD92" i="9" s="1"/>
  <c r="O92" i="16"/>
  <c r="U92" i="16" s="1"/>
  <c r="Z92" i="16" s="1"/>
  <c r="AD92" i="16" s="1"/>
  <c r="O75" i="16"/>
  <c r="U75" i="16" s="1"/>
  <c r="O69" i="16"/>
  <c r="U69" i="16" s="1"/>
  <c r="O68" i="17"/>
  <c r="O81" i="17"/>
  <c r="U81" i="17" s="1"/>
  <c r="O90" i="17"/>
  <c r="U90" i="17" s="1"/>
  <c r="Z90" i="17" s="1"/>
  <c r="AD90" i="17" s="1"/>
  <c r="O89" i="19"/>
  <c r="U89" i="19" s="1"/>
  <c r="Z89" i="19" s="1"/>
  <c r="AC89" i="19" s="1"/>
  <c r="O80" i="19"/>
  <c r="U80" i="19" s="1"/>
  <c r="O67" i="19"/>
  <c r="U67" i="19" s="1"/>
  <c r="Z67" i="19" s="1"/>
  <c r="AD67" i="19" s="1"/>
  <c r="O77" i="19"/>
  <c r="O75" i="25"/>
  <c r="U75" i="25" s="1"/>
  <c r="O81" i="25"/>
  <c r="U81" i="25" s="1"/>
  <c r="Z81" i="25" s="1"/>
  <c r="AD81" i="25" s="1"/>
  <c r="O84" i="25"/>
  <c r="Z22" i="9"/>
  <c r="C13" i="11"/>
  <c r="L169" i="9"/>
  <c r="Y169" i="9" s="1"/>
  <c r="L306" i="9"/>
  <c r="Y306" i="9" s="1"/>
  <c r="AA306" i="9" s="1"/>
  <c r="L136" i="19"/>
  <c r="Y136" i="19" s="1"/>
  <c r="L381" i="19"/>
  <c r="Y381" i="19" s="1"/>
  <c r="L493" i="16"/>
  <c r="AI493" i="16" s="1"/>
  <c r="Z74" i="9"/>
  <c r="AA464" i="16"/>
  <c r="W196" i="16"/>
  <c r="L201" i="16"/>
  <c r="AI201" i="16" s="1"/>
  <c r="AK201" i="16" s="1"/>
  <c r="AL201" i="16" s="1"/>
  <c r="Y189" i="16"/>
  <c r="Y103" i="16"/>
  <c r="Y426" i="16"/>
  <c r="AK426" i="16"/>
  <c r="AL426" i="16" s="1"/>
  <c r="L20" i="19"/>
  <c r="Y20" i="19" s="1"/>
  <c r="AA20" i="19" s="1"/>
  <c r="AK189" i="16"/>
  <c r="AL189" i="16" s="1"/>
  <c r="AB365" i="16"/>
  <c r="AK103" i="16"/>
  <c r="AL103" i="16" s="1"/>
  <c r="AA454" i="16"/>
  <c r="Y73" i="16"/>
  <c r="Z13" i="9"/>
  <c r="C8" i="11"/>
  <c r="Z40" i="9"/>
  <c r="Z45" i="9"/>
  <c r="Z49" i="9"/>
  <c r="C5" i="11"/>
  <c r="C17" i="11"/>
  <c r="Z3" i="9"/>
  <c r="Z5" i="9"/>
  <c r="Z44" i="9"/>
  <c r="Z16" i="9"/>
  <c r="L106" i="19"/>
  <c r="Y106" i="19" s="1"/>
  <c r="L171" i="19"/>
  <c r="Y171" i="19" s="1"/>
  <c r="Y100" i="16"/>
  <c r="AB100" i="16" s="1"/>
  <c r="Y44" i="16"/>
  <c r="AK44" i="16"/>
  <c r="AL44" i="16" s="1"/>
  <c r="Y501" i="16"/>
  <c r="Y140" i="16"/>
  <c r="AB140" i="16" s="1"/>
  <c r="Y223" i="16"/>
  <c r="AB223" i="16" s="1"/>
  <c r="W193" i="16"/>
  <c r="L133" i="16"/>
  <c r="AI133" i="16" s="1"/>
  <c r="AK133" i="16" s="1"/>
  <c r="AL133" i="16" s="1"/>
  <c r="L193" i="16"/>
  <c r="AI193" i="16" s="1"/>
  <c r="AK193" i="16" s="1"/>
  <c r="AL193" i="16" s="1"/>
  <c r="AA425" i="16"/>
  <c r="Y283" i="16"/>
  <c r="AA283" i="16" s="1"/>
  <c r="L111" i="19"/>
  <c r="Y111" i="19" s="1"/>
  <c r="Z73" i="9"/>
  <c r="L436" i="16"/>
  <c r="AI436" i="16" s="1"/>
  <c r="AK436" i="16" s="1"/>
  <c r="AL436" i="16" s="1"/>
  <c r="W436" i="16"/>
  <c r="C4" i="11"/>
  <c r="AB273" i="16"/>
  <c r="Y4" i="16"/>
  <c r="Y250" i="16"/>
  <c r="AA250" i="16" s="1"/>
  <c r="W171" i="19"/>
  <c r="W313" i="16"/>
  <c r="AA194" i="16"/>
  <c r="Z69" i="9"/>
  <c r="AC69" i="9" s="1"/>
  <c r="L170" i="19"/>
  <c r="Y170" i="19" s="1"/>
  <c r="Y156" i="16"/>
  <c r="AB156" i="16" s="1"/>
  <c r="Y280" i="16"/>
  <c r="AA280" i="16" s="1"/>
  <c r="Z66" i="9"/>
  <c r="Y434" i="16"/>
  <c r="AI39" i="16"/>
  <c r="AK39" i="16" s="1"/>
  <c r="AL39" i="16" s="1"/>
  <c r="Y39" i="16"/>
  <c r="AK213" i="16"/>
  <c r="AL213" i="16" s="1"/>
  <c r="L200" i="19"/>
  <c r="Y200" i="19" s="1"/>
  <c r="AK363" i="16"/>
  <c r="AL363" i="16" s="1"/>
  <c r="AK484" i="16"/>
  <c r="AL484" i="16" s="1"/>
  <c r="L290" i="17"/>
  <c r="Y290" i="17" s="1"/>
  <c r="Z4" i="9"/>
  <c r="Z36" i="9"/>
  <c r="Z21" i="19"/>
  <c r="Y125" i="16"/>
  <c r="AB125" i="16" s="1"/>
  <c r="L171" i="17"/>
  <c r="Y171" i="17" s="1"/>
  <c r="AB171" i="17" s="1"/>
  <c r="AK215" i="16"/>
  <c r="AL215" i="16" s="1"/>
  <c r="L256" i="9"/>
  <c r="Y256" i="9" s="1"/>
  <c r="L194" i="9"/>
  <c r="Y194" i="9" s="1"/>
  <c r="L411" i="9"/>
  <c r="Y411" i="9" s="1"/>
  <c r="L214" i="9"/>
  <c r="Y214" i="9" s="1"/>
  <c r="L434" i="9"/>
  <c r="Y434" i="9" s="1"/>
  <c r="L231" i="9"/>
  <c r="Y231" i="9" s="1"/>
  <c r="L410" i="9"/>
  <c r="Y410" i="9" s="1"/>
  <c r="L99" i="9"/>
  <c r="Y99" i="9" s="1"/>
  <c r="AA99" i="9" s="1"/>
  <c r="L245" i="9"/>
  <c r="Y245" i="9" s="1"/>
  <c r="AA245" i="9" s="1"/>
  <c r="Y94" i="16"/>
  <c r="AB94" i="16" s="1"/>
  <c r="Y186" i="16"/>
  <c r="AA404" i="16"/>
  <c r="AK334" i="16"/>
  <c r="AL334" i="16" s="1"/>
  <c r="AK429" i="16"/>
  <c r="AL429" i="16" s="1"/>
  <c r="AK469" i="16"/>
  <c r="AL469" i="16" s="1"/>
  <c r="L69" i="9"/>
  <c r="Y69" i="9" s="1"/>
  <c r="AB69" i="9" s="1"/>
  <c r="Y352" i="16"/>
  <c r="AA352" i="16" s="1"/>
  <c r="Y334" i="16"/>
  <c r="AA34" i="16"/>
  <c r="AA139" i="9"/>
  <c r="L13" i="9"/>
  <c r="Y13" i="9" s="1"/>
  <c r="L40" i="9"/>
  <c r="Y40" i="9" s="1"/>
  <c r="L100" i="9"/>
  <c r="Y100" i="9" s="1"/>
  <c r="L374" i="9"/>
  <c r="Y374" i="9" s="1"/>
  <c r="AB245" i="16"/>
  <c r="Y134" i="16"/>
  <c r="Y469" i="16"/>
  <c r="AA36" i="16"/>
  <c r="C15" i="11"/>
  <c r="Z43" i="9"/>
  <c r="AC43" i="9" s="1"/>
  <c r="C10" i="11"/>
  <c r="AK94" i="16"/>
  <c r="AL94" i="16" s="1"/>
  <c r="C9" i="11"/>
  <c r="Y74" i="16"/>
  <c r="AA74" i="16" s="1"/>
  <c r="Y489" i="16"/>
  <c r="AB489" i="16" s="1"/>
  <c r="AB501" i="16"/>
  <c r="Y6" i="16"/>
  <c r="AB6" i="16" s="1"/>
  <c r="AD6" i="16" s="1"/>
  <c r="Y244" i="16"/>
  <c r="AB244" i="16" s="1"/>
  <c r="Y459" i="16"/>
  <c r="AB459" i="16" s="1"/>
  <c r="AB109" i="16"/>
  <c r="Y379" i="16"/>
  <c r="AA379" i="16" s="1"/>
  <c r="AB69" i="16"/>
  <c r="AK244" i="16"/>
  <c r="AL244" i="16" s="1"/>
  <c r="AB162" i="16"/>
  <c r="AA349" i="16"/>
  <c r="AA186" i="16"/>
  <c r="AB406" i="16"/>
  <c r="Y346" i="16"/>
  <c r="AA346" i="16" s="1"/>
  <c r="Y276" i="16"/>
  <c r="AB502" i="16"/>
  <c r="Y336" i="16"/>
  <c r="AB336" i="16" s="1"/>
  <c r="AB189" i="16"/>
  <c r="L410" i="19"/>
  <c r="Y410" i="19" s="1"/>
  <c r="AA410" i="19" s="1"/>
  <c r="L396" i="9"/>
  <c r="Y396" i="9" s="1"/>
  <c r="L463" i="19"/>
  <c r="AC41" i="9"/>
  <c r="AD41" i="9"/>
  <c r="L376" i="17"/>
  <c r="Y376" i="17" s="1"/>
  <c r="L230" i="17"/>
  <c r="Y230" i="17" s="1"/>
  <c r="L440" i="19"/>
  <c r="Y440" i="19" s="1"/>
  <c r="L230" i="19"/>
  <c r="Y230" i="19" s="1"/>
  <c r="AB139" i="16"/>
  <c r="L170" i="16"/>
  <c r="AI170" i="16" s="1"/>
  <c r="AK170" i="16" s="1"/>
  <c r="AL170" i="16" s="1"/>
  <c r="AA333" i="16"/>
  <c r="AA394" i="16"/>
  <c r="L21" i="16"/>
  <c r="AI21" i="16" s="1"/>
  <c r="AK21" i="16" s="1"/>
  <c r="AL21" i="16" s="1"/>
  <c r="L199" i="9"/>
  <c r="Y199" i="9" s="1"/>
  <c r="AA139" i="16"/>
  <c r="W21" i="16"/>
  <c r="Y154" i="16"/>
  <c r="AB154" i="16" s="1"/>
  <c r="Y232" i="16"/>
  <c r="AB232" i="16" s="1"/>
  <c r="Z51" i="17"/>
  <c r="W110" i="16"/>
  <c r="W20" i="19"/>
  <c r="U72" i="17"/>
  <c r="AA411" i="9"/>
  <c r="W169" i="9"/>
  <c r="W406" i="9"/>
  <c r="AA406" i="9" s="1"/>
  <c r="AA253" i="16"/>
  <c r="AB284" i="16"/>
  <c r="Y471" i="16"/>
  <c r="AB471" i="16" s="1"/>
  <c r="W410" i="9"/>
  <c r="L231" i="19"/>
  <c r="Y231" i="19" s="1"/>
  <c r="AA231" i="19" s="1"/>
  <c r="L106" i="9"/>
  <c r="Y106" i="9" s="1"/>
  <c r="L350" i="19"/>
  <c r="Y350" i="19" s="1"/>
  <c r="L46" i="19"/>
  <c r="Y46" i="19" s="1"/>
  <c r="W321" i="16"/>
  <c r="Y124" i="16"/>
  <c r="AA129" i="16"/>
  <c r="W376" i="16"/>
  <c r="AA406" i="16"/>
  <c r="L321" i="16"/>
  <c r="AI321" i="16" s="1"/>
  <c r="AK321" i="16" s="1"/>
  <c r="AL321" i="16" s="1"/>
  <c r="L489" i="9"/>
  <c r="Y489" i="9" s="1"/>
  <c r="AB489" i="9" s="1"/>
  <c r="L314" i="9"/>
  <c r="Y314" i="9" s="1"/>
  <c r="L395" i="9"/>
  <c r="Y395" i="9" s="1"/>
  <c r="L291" i="9"/>
  <c r="Y291" i="9" s="1"/>
  <c r="L160" i="9"/>
  <c r="Y160" i="9" s="1"/>
  <c r="L375" i="9"/>
  <c r="Y375" i="9" s="1"/>
  <c r="L172" i="9"/>
  <c r="Y172" i="9" s="1"/>
  <c r="L261" i="9"/>
  <c r="Y261" i="9" s="1"/>
  <c r="AB261" i="9" s="1"/>
  <c r="L4" i="9"/>
  <c r="Y4" i="9" s="1"/>
  <c r="L322" i="9"/>
  <c r="Y322" i="9" s="1"/>
  <c r="AB322" i="9" s="1"/>
  <c r="L80" i="9"/>
  <c r="Y80" i="9" s="1"/>
  <c r="L465" i="9"/>
  <c r="Y465" i="9" s="1"/>
  <c r="L196" i="9"/>
  <c r="Y196" i="9" s="1"/>
  <c r="L125" i="9"/>
  <c r="Y125" i="9" s="1"/>
  <c r="L163" i="9"/>
  <c r="Y163" i="9" s="1"/>
  <c r="AB163" i="9" s="1"/>
  <c r="L126" i="9"/>
  <c r="Y126" i="9" s="1"/>
  <c r="L105" i="9"/>
  <c r="Y105" i="9" s="1"/>
  <c r="AB105" i="9" s="1"/>
  <c r="L493" i="9"/>
  <c r="Y493" i="9" s="1"/>
  <c r="L439" i="9"/>
  <c r="Y439" i="9" s="1"/>
  <c r="L454" i="9"/>
  <c r="Y454" i="9" s="1"/>
  <c r="L303" i="9"/>
  <c r="L154" i="9"/>
  <c r="Y154" i="9" s="1"/>
  <c r="AB154" i="9" s="1"/>
  <c r="L400" i="9"/>
  <c r="Y400" i="9" s="1"/>
  <c r="AB400" i="9" s="1"/>
  <c r="L255" i="9"/>
  <c r="Y255" i="9" s="1"/>
  <c r="L495" i="9"/>
  <c r="Y495" i="9" s="1"/>
  <c r="L344" i="9"/>
  <c r="Y344" i="9" s="1"/>
  <c r="L430" i="9"/>
  <c r="Y430" i="9" s="1"/>
  <c r="AA430" i="9" s="1"/>
  <c r="L133" i="9"/>
  <c r="Y133" i="9" s="1"/>
  <c r="AA133" i="9" s="1"/>
  <c r="L35" i="9"/>
  <c r="Y35" i="9" s="1"/>
  <c r="AB35" i="9" s="1"/>
  <c r="L36" i="9"/>
  <c r="Y36" i="9" s="1"/>
  <c r="L190" i="9"/>
  <c r="Y190" i="9" s="1"/>
  <c r="AA190" i="9" s="1"/>
  <c r="L22" i="9"/>
  <c r="Y22" i="9" s="1"/>
  <c r="Z22" i="16"/>
  <c r="L170" i="9"/>
  <c r="Y170" i="9" s="1"/>
  <c r="L185" i="9"/>
  <c r="Y185" i="9" s="1"/>
  <c r="L6" i="9"/>
  <c r="Y6" i="9" s="1"/>
  <c r="L15" i="9"/>
  <c r="Y15" i="9" s="1"/>
  <c r="L394" i="9"/>
  <c r="Y394" i="9" s="1"/>
  <c r="L189" i="9"/>
  <c r="Y189" i="9" s="1"/>
  <c r="AB189" i="9" s="1"/>
  <c r="L142" i="9"/>
  <c r="Y142" i="9" s="1"/>
  <c r="AA142" i="9" s="1"/>
  <c r="L483" i="9"/>
  <c r="Y483" i="9" s="1"/>
  <c r="AB483" i="9" s="1"/>
  <c r="L134" i="9"/>
  <c r="Y134" i="9" s="1"/>
  <c r="AB134" i="9" s="1"/>
  <c r="L81" i="9"/>
  <c r="Y81" i="9" s="1"/>
  <c r="L45" i="9"/>
  <c r="Y45" i="9" s="1"/>
  <c r="L244" i="9"/>
  <c r="Y244" i="9" s="1"/>
  <c r="L340" i="9"/>
  <c r="Y340" i="9" s="1"/>
  <c r="AA340" i="9" s="1"/>
  <c r="L470" i="9"/>
  <c r="Y470" i="9" s="1"/>
  <c r="L276" i="9"/>
  <c r="Y276" i="9" s="1"/>
  <c r="AA276" i="9" s="1"/>
  <c r="L64" i="9"/>
  <c r="Y64" i="9" s="1"/>
  <c r="AB64" i="9" s="1"/>
  <c r="L453" i="9"/>
  <c r="Y453" i="9" s="1"/>
  <c r="V10" i="11"/>
  <c r="Z10" i="11" s="1"/>
  <c r="L486" i="9"/>
  <c r="Y486" i="9" s="1"/>
  <c r="L459" i="9"/>
  <c r="Y459" i="9" s="1"/>
  <c r="L283" i="9"/>
  <c r="Y283" i="9" s="1"/>
  <c r="L3" i="9"/>
  <c r="Y3" i="9" s="1"/>
  <c r="AA3" i="9" s="1"/>
  <c r="L166" i="9"/>
  <c r="Y166" i="9" s="1"/>
  <c r="L499" i="9"/>
  <c r="Y499" i="9" s="1"/>
  <c r="L435" i="9"/>
  <c r="Y435" i="9" s="1"/>
  <c r="L405" i="9"/>
  <c r="Y405" i="9" s="1"/>
  <c r="L279" i="9"/>
  <c r="Y279" i="9" s="1"/>
  <c r="L253" i="9"/>
  <c r="Y253" i="9" s="1"/>
  <c r="L335" i="9"/>
  <c r="Y335" i="9" s="1"/>
  <c r="AB335" i="9" s="1"/>
  <c r="L9" i="9"/>
  <c r="Y9" i="9" s="1"/>
  <c r="AB9" i="9" s="1"/>
  <c r="L76" i="9"/>
  <c r="Y76" i="9" s="1"/>
  <c r="L109" i="9"/>
  <c r="Y109" i="9" s="1"/>
  <c r="AA219" i="16"/>
  <c r="L316" i="19"/>
  <c r="Y316" i="19" s="1"/>
  <c r="Z52" i="16"/>
  <c r="L141" i="19"/>
  <c r="Y141" i="19" s="1"/>
  <c r="L16" i="19"/>
  <c r="Y16" i="19" s="1"/>
  <c r="AB16" i="19" s="1"/>
  <c r="AD16" i="19" s="1"/>
  <c r="L256" i="19"/>
  <c r="Y256" i="19" s="1"/>
  <c r="L436" i="19"/>
  <c r="Y436" i="19" s="1"/>
  <c r="L500" i="17"/>
  <c r="Y500" i="17" s="1"/>
  <c r="L406" i="17"/>
  <c r="Y406" i="17" s="1"/>
  <c r="Z50" i="17"/>
  <c r="L16" i="17"/>
  <c r="Y16" i="17" s="1"/>
  <c r="AB16" i="17" s="1"/>
  <c r="L316" i="17"/>
  <c r="Y316" i="17" s="1"/>
  <c r="L81" i="17"/>
  <c r="Y81" i="17" s="1"/>
  <c r="AA81" i="17" s="1"/>
  <c r="W20" i="17"/>
  <c r="AB20" i="17" s="1"/>
  <c r="L321" i="17"/>
  <c r="Y321" i="17" s="1"/>
  <c r="Z46" i="17"/>
  <c r="L411" i="17"/>
  <c r="Y411" i="17" s="1"/>
  <c r="AB411" i="17" s="1"/>
  <c r="L466" i="17"/>
  <c r="Y466" i="17" s="1"/>
  <c r="AB466" i="17" s="1"/>
  <c r="L50" i="17"/>
  <c r="Y50" i="17" s="1"/>
  <c r="AB50" i="17" s="1"/>
  <c r="L201" i="17"/>
  <c r="Y201" i="17" s="1"/>
  <c r="L496" i="17"/>
  <c r="Y496" i="17" s="1"/>
  <c r="AA496" i="17" s="1"/>
  <c r="L410" i="17"/>
  <c r="Y410" i="17" s="1"/>
  <c r="AA410" i="17" s="1"/>
  <c r="L200" i="17"/>
  <c r="Y200" i="17" s="1"/>
  <c r="L470" i="17"/>
  <c r="Y470" i="17" s="1"/>
  <c r="AA470" i="17" s="1"/>
  <c r="L231" i="17"/>
  <c r="Y231" i="17" s="1"/>
  <c r="AA231" i="17" s="1"/>
  <c r="L140" i="17"/>
  <c r="Y140" i="17" s="1"/>
  <c r="AA140" i="17" s="1"/>
  <c r="L110" i="17"/>
  <c r="Y110" i="17" s="1"/>
  <c r="AB110" i="17" s="1"/>
  <c r="W316" i="17"/>
  <c r="W313" i="17"/>
  <c r="AA313" i="17" s="1"/>
  <c r="L441" i="17"/>
  <c r="Y441" i="17" s="1"/>
  <c r="AB441" i="17" s="1"/>
  <c r="L106" i="17"/>
  <c r="Y106" i="17" s="1"/>
  <c r="L346" i="17"/>
  <c r="Y346" i="17" s="1"/>
  <c r="L440" i="17"/>
  <c r="Y440" i="17" s="1"/>
  <c r="AB440" i="17" s="1"/>
  <c r="Z16" i="17"/>
  <c r="L80" i="17"/>
  <c r="Y80" i="17" s="1"/>
  <c r="AA80" i="17" s="1"/>
  <c r="L501" i="17"/>
  <c r="Y501" i="17" s="1"/>
  <c r="L286" i="17"/>
  <c r="Y286" i="17" s="1"/>
  <c r="AA286" i="17" s="1"/>
  <c r="L166" i="17"/>
  <c r="Y166" i="17" s="1"/>
  <c r="AA166" i="17" s="1"/>
  <c r="L111" i="17"/>
  <c r="Y111" i="17" s="1"/>
  <c r="Z20" i="17"/>
  <c r="L343" i="17"/>
  <c r="Y343" i="17" s="1"/>
  <c r="L260" i="17"/>
  <c r="Y260" i="17" s="1"/>
  <c r="AA260" i="17" s="1"/>
  <c r="L141" i="17"/>
  <c r="Y141" i="17" s="1"/>
  <c r="AA141" i="17" s="1"/>
  <c r="L286" i="16"/>
  <c r="AI286" i="16" s="1"/>
  <c r="AK286" i="16" s="1"/>
  <c r="AL286" i="16" s="1"/>
  <c r="W436" i="19"/>
  <c r="L110" i="16"/>
  <c r="AI110" i="16" s="1"/>
  <c r="AK110" i="16" s="1"/>
  <c r="AL110" i="16" s="1"/>
  <c r="L76" i="17"/>
  <c r="Y76" i="17" s="1"/>
  <c r="W496" i="16"/>
  <c r="L380" i="17"/>
  <c r="Y380" i="17" s="1"/>
  <c r="AA380" i="17" s="1"/>
  <c r="L16" i="16"/>
  <c r="AI16" i="16" s="1"/>
  <c r="AK16" i="16" s="1"/>
  <c r="AL16" i="16" s="1"/>
  <c r="AK192" i="16"/>
  <c r="AL192" i="16" s="1"/>
  <c r="W76" i="9"/>
  <c r="W183" i="9"/>
  <c r="W395" i="9"/>
  <c r="L164" i="9"/>
  <c r="Y164" i="9" s="1"/>
  <c r="L273" i="9"/>
  <c r="Y273" i="9" s="1"/>
  <c r="L75" i="9"/>
  <c r="Y75" i="9" s="1"/>
  <c r="AA75" i="9" s="1"/>
  <c r="AA364" i="16"/>
  <c r="T253" i="25"/>
  <c r="J253" i="25"/>
  <c r="G135" i="25"/>
  <c r="H135" i="25"/>
  <c r="H285" i="25"/>
  <c r="G285" i="25"/>
  <c r="I463" i="25"/>
  <c r="S463" i="25"/>
  <c r="S133" i="25"/>
  <c r="I133" i="25"/>
  <c r="G105" i="25"/>
  <c r="H105" i="25"/>
  <c r="H15" i="25"/>
  <c r="G15" i="25"/>
  <c r="H345" i="25"/>
  <c r="G345" i="25"/>
  <c r="H75" i="25"/>
  <c r="G75" i="25"/>
  <c r="W495" i="9"/>
  <c r="L320" i="17"/>
  <c r="Y320" i="17" s="1"/>
  <c r="AB320" i="17" s="1"/>
  <c r="W316" i="19"/>
  <c r="L170" i="17"/>
  <c r="Y170" i="17" s="1"/>
  <c r="L496" i="16"/>
  <c r="AI496" i="16" s="1"/>
  <c r="AK496" i="16" s="1"/>
  <c r="AL496" i="16" s="1"/>
  <c r="W256" i="19"/>
  <c r="AA290" i="16"/>
  <c r="W231" i="16"/>
  <c r="AB219" i="16"/>
  <c r="J193" i="25"/>
  <c r="T193" i="25"/>
  <c r="S403" i="25"/>
  <c r="I403" i="25"/>
  <c r="I163" i="25"/>
  <c r="S163" i="25"/>
  <c r="S43" i="25"/>
  <c r="I43" i="25"/>
  <c r="S253" i="25"/>
  <c r="I253" i="25"/>
  <c r="T463" i="25"/>
  <c r="J463" i="25"/>
  <c r="T133" i="25"/>
  <c r="J133" i="25"/>
  <c r="H465" i="25"/>
  <c r="G465" i="25"/>
  <c r="H435" i="25"/>
  <c r="G435" i="25"/>
  <c r="W166" i="9"/>
  <c r="L316" i="16"/>
  <c r="AI316" i="16" s="1"/>
  <c r="AK316" i="16" s="1"/>
  <c r="AL316" i="16" s="1"/>
  <c r="L46" i="9"/>
  <c r="Y46" i="9" s="1"/>
  <c r="L260" i="19"/>
  <c r="Y260" i="19" s="1"/>
  <c r="L10" i="9"/>
  <c r="Y10" i="9" s="1"/>
  <c r="W141" i="19"/>
  <c r="W195" i="9"/>
  <c r="AB195" i="9" s="1"/>
  <c r="W15" i="9"/>
  <c r="L441" i="9"/>
  <c r="Y441" i="9" s="1"/>
  <c r="AA441" i="9" s="1"/>
  <c r="W22" i="9"/>
  <c r="L343" i="9"/>
  <c r="Y343" i="9" s="1"/>
  <c r="AB343" i="9" s="1"/>
  <c r="V19" i="11"/>
  <c r="Z19" i="11" s="1"/>
  <c r="L256" i="17"/>
  <c r="Y256" i="17" s="1"/>
  <c r="T13" i="25"/>
  <c r="J13" i="25"/>
  <c r="S493" i="25"/>
  <c r="I493" i="25"/>
  <c r="S193" i="25"/>
  <c r="I193" i="25"/>
  <c r="H495" i="25"/>
  <c r="G495" i="25"/>
  <c r="T403" i="25"/>
  <c r="J403" i="25"/>
  <c r="J163" i="25"/>
  <c r="T163" i="25"/>
  <c r="H375" i="25"/>
  <c r="G375" i="25"/>
  <c r="T43" i="25"/>
  <c r="J43" i="25"/>
  <c r="I433" i="25"/>
  <c r="S433" i="25"/>
  <c r="W316" i="16"/>
  <c r="AK492" i="16"/>
  <c r="AL492" i="16" s="1"/>
  <c r="L51" i="19"/>
  <c r="Y51" i="19" s="1"/>
  <c r="S13" i="25"/>
  <c r="I13" i="25"/>
  <c r="T493" i="25"/>
  <c r="J493" i="25"/>
  <c r="T73" i="25"/>
  <c r="J73" i="25"/>
  <c r="I343" i="25"/>
  <c r="S343" i="25"/>
  <c r="S283" i="25"/>
  <c r="I283" i="25"/>
  <c r="J433" i="25"/>
  <c r="T433" i="25"/>
  <c r="L315" i="9"/>
  <c r="Y315" i="9" s="1"/>
  <c r="AB315" i="9" s="1"/>
  <c r="L79" i="9"/>
  <c r="Y79" i="9" s="1"/>
  <c r="AA79" i="9" s="1"/>
  <c r="G255" i="25"/>
  <c r="H255" i="25"/>
  <c r="S73" i="25"/>
  <c r="I73" i="25"/>
  <c r="H165" i="25"/>
  <c r="G165" i="25"/>
  <c r="T343" i="25"/>
  <c r="J343" i="25"/>
  <c r="T283" i="25"/>
  <c r="J283" i="25"/>
  <c r="T223" i="25"/>
  <c r="J223" i="25"/>
  <c r="I373" i="25"/>
  <c r="S373" i="25"/>
  <c r="L440" i="16"/>
  <c r="AI440" i="16" s="1"/>
  <c r="AK440" i="16" s="1"/>
  <c r="AL440" i="16" s="1"/>
  <c r="W343" i="17"/>
  <c r="L111" i="16"/>
  <c r="AI111" i="16" s="1"/>
  <c r="AK111" i="16" s="1"/>
  <c r="AL111" i="16" s="1"/>
  <c r="L94" i="9"/>
  <c r="Y94" i="9" s="1"/>
  <c r="AB94" i="9" s="1"/>
  <c r="AB68" i="16"/>
  <c r="Y214" i="16"/>
  <c r="AA214" i="16" s="1"/>
  <c r="W430" i="9"/>
  <c r="G225" i="25"/>
  <c r="H225" i="25"/>
  <c r="S313" i="25"/>
  <c r="I313" i="25"/>
  <c r="T103" i="25"/>
  <c r="J103" i="25"/>
  <c r="G195" i="25"/>
  <c r="H195" i="25"/>
  <c r="I223" i="25"/>
  <c r="S223" i="25"/>
  <c r="T373" i="25"/>
  <c r="J373" i="25"/>
  <c r="AB63" i="16"/>
  <c r="L284" i="9"/>
  <c r="Y284" i="9" s="1"/>
  <c r="AB352" i="16"/>
  <c r="W440" i="16"/>
  <c r="L196" i="16"/>
  <c r="AI196" i="16" s="1"/>
  <c r="AK196" i="16" s="1"/>
  <c r="AL196" i="16" s="1"/>
  <c r="W16" i="16"/>
  <c r="AA365" i="16"/>
  <c r="W454" i="9"/>
  <c r="L366" i="9"/>
  <c r="Y366" i="9" s="1"/>
  <c r="AB366" i="9" s="1"/>
  <c r="AB199" i="16"/>
  <c r="L369" i="9"/>
  <c r="Y369" i="9" s="1"/>
  <c r="L253" i="17"/>
  <c r="Y253" i="17" s="1"/>
  <c r="AA253" i="17" s="1"/>
  <c r="L291" i="17"/>
  <c r="Y291" i="17" s="1"/>
  <c r="AB291" i="17" s="1"/>
  <c r="L441" i="19"/>
  <c r="Y441" i="19" s="1"/>
  <c r="L46" i="17"/>
  <c r="Y46" i="17" s="1"/>
  <c r="H45" i="25"/>
  <c r="G45" i="25"/>
  <c r="H315" i="25"/>
  <c r="G315" i="25"/>
  <c r="T313" i="25"/>
  <c r="J313" i="25"/>
  <c r="S103" i="25"/>
  <c r="I103" i="25"/>
  <c r="H405" i="25"/>
  <c r="G405" i="25"/>
  <c r="AI216" i="16"/>
  <c r="AK216" i="16" s="1"/>
  <c r="AL216" i="16" s="1"/>
  <c r="Y216" i="16"/>
  <c r="L321" i="19"/>
  <c r="Y321" i="19" s="1"/>
  <c r="L471" i="19"/>
  <c r="Y471" i="19" s="1"/>
  <c r="AA471" i="19" s="1"/>
  <c r="L292" i="9"/>
  <c r="Y292" i="9" s="1"/>
  <c r="Z9" i="9"/>
  <c r="L286" i="9"/>
  <c r="Y286" i="9" s="1"/>
  <c r="L184" i="9"/>
  <c r="Y184" i="9" s="1"/>
  <c r="L111" i="9"/>
  <c r="Y111" i="9" s="1"/>
  <c r="L466" i="9"/>
  <c r="Y466" i="9" s="1"/>
  <c r="AA466" i="9" s="1"/>
  <c r="L230" i="9"/>
  <c r="Y230" i="9" s="1"/>
  <c r="AA230" i="9" s="1"/>
  <c r="L274" i="9"/>
  <c r="Y274" i="9" s="1"/>
  <c r="AA274" i="9" s="1"/>
  <c r="L250" i="9"/>
  <c r="Y250" i="9" s="1"/>
  <c r="L186" i="9"/>
  <c r="Y186" i="9" s="1"/>
  <c r="L193" i="9"/>
  <c r="Y193" i="9" s="1"/>
  <c r="L404" i="9"/>
  <c r="Y404" i="9" s="1"/>
  <c r="L246" i="9"/>
  <c r="Y246" i="9" s="1"/>
  <c r="AB246" i="9" s="1"/>
  <c r="L202" i="9"/>
  <c r="Y202" i="9" s="1"/>
  <c r="AA202" i="9" s="1"/>
  <c r="L436" i="9"/>
  <c r="Y436" i="9" s="1"/>
  <c r="Z21" i="9"/>
  <c r="L412" i="9"/>
  <c r="Y412" i="9" s="1"/>
  <c r="L81" i="19"/>
  <c r="Y81" i="19" s="1"/>
  <c r="AB81" i="19" s="1"/>
  <c r="L80" i="19"/>
  <c r="Y80" i="19" s="1"/>
  <c r="L501" i="19"/>
  <c r="Y501" i="19" s="1"/>
  <c r="L196" i="19"/>
  <c r="Y196" i="19" s="1"/>
  <c r="L66" i="9"/>
  <c r="Y66" i="9" s="1"/>
  <c r="AB66" i="9" s="1"/>
  <c r="L200" i="9"/>
  <c r="Y200" i="9" s="1"/>
  <c r="L370" i="9"/>
  <c r="Y370" i="9" s="1"/>
  <c r="L393" i="9"/>
  <c r="Y393" i="9" s="1"/>
  <c r="AB393" i="9" s="1"/>
  <c r="L229" i="9"/>
  <c r="Y229" i="9" s="1"/>
  <c r="L316" i="9"/>
  <c r="Y316" i="9" s="1"/>
  <c r="L456" i="9"/>
  <c r="Y456" i="9" s="1"/>
  <c r="L485" i="9"/>
  <c r="Y485" i="9" s="1"/>
  <c r="AB485" i="9" s="1"/>
  <c r="L232" i="9"/>
  <c r="Y232" i="9" s="1"/>
  <c r="AB232" i="9" s="1"/>
  <c r="L500" i="9"/>
  <c r="Y500" i="9" s="1"/>
  <c r="L310" i="9"/>
  <c r="Y310" i="9" s="1"/>
  <c r="AB310" i="9" s="1"/>
  <c r="L44" i="9"/>
  <c r="Y44" i="9" s="1"/>
  <c r="AB44" i="9" s="1"/>
  <c r="L259" i="9"/>
  <c r="Y259" i="9" s="1"/>
  <c r="AA259" i="9" s="1"/>
  <c r="L51" i="16"/>
  <c r="AI51" i="16" s="1"/>
  <c r="AK51" i="16" s="1"/>
  <c r="AL51" i="16" s="1"/>
  <c r="L351" i="17"/>
  <c r="Y351" i="17" s="1"/>
  <c r="O89" i="25"/>
  <c r="U89" i="25" s="1"/>
  <c r="Z89" i="25" s="1"/>
  <c r="AC89" i="25" s="1"/>
  <c r="O69" i="25"/>
  <c r="U69" i="25" s="1"/>
  <c r="Z69" i="25" s="1"/>
  <c r="AD69" i="25" s="1"/>
  <c r="O79" i="25"/>
  <c r="U79" i="25" s="1"/>
  <c r="Z79" i="25" s="1"/>
  <c r="AD79" i="25" s="1"/>
  <c r="O76" i="25"/>
  <c r="U76" i="25" s="1"/>
  <c r="Z76" i="25" s="1"/>
  <c r="AD76" i="25" s="1"/>
  <c r="AA14" i="16"/>
  <c r="AB44" i="16"/>
  <c r="AI279" i="16"/>
  <c r="AK279" i="16" s="1"/>
  <c r="AL279" i="16" s="1"/>
  <c r="Y279" i="16"/>
  <c r="T73" i="17"/>
  <c r="J73" i="17"/>
  <c r="I193" i="17"/>
  <c r="S193" i="17"/>
  <c r="S375" i="19"/>
  <c r="I375" i="19"/>
  <c r="J195" i="16"/>
  <c r="AH195" i="16" s="1"/>
  <c r="T195" i="16"/>
  <c r="AG163" i="16"/>
  <c r="AK163" i="16" s="1"/>
  <c r="AL163" i="16" s="1"/>
  <c r="W163" i="16"/>
  <c r="J315" i="17"/>
  <c r="T315" i="17"/>
  <c r="S380" i="16"/>
  <c r="I380" i="16"/>
  <c r="T223" i="19"/>
  <c r="J223" i="19"/>
  <c r="AI153" i="16"/>
  <c r="AK153" i="16" s="1"/>
  <c r="AL153" i="16" s="1"/>
  <c r="Y153" i="16"/>
  <c r="I283" i="17"/>
  <c r="S283" i="17"/>
  <c r="S193" i="19"/>
  <c r="I193" i="19"/>
  <c r="J465" i="17"/>
  <c r="T465" i="17"/>
  <c r="AG202" i="16"/>
  <c r="L202" i="16"/>
  <c r="W202" i="16"/>
  <c r="AI274" i="16"/>
  <c r="AK274" i="16" s="1"/>
  <c r="AL274" i="16" s="1"/>
  <c r="Y274" i="16"/>
  <c r="J405" i="17"/>
  <c r="T405" i="17"/>
  <c r="I466" i="16"/>
  <c r="S466" i="16"/>
  <c r="S73" i="19"/>
  <c r="I73" i="19"/>
  <c r="I343" i="19"/>
  <c r="S343" i="19"/>
  <c r="S253" i="19"/>
  <c r="I253" i="19"/>
  <c r="S225" i="19"/>
  <c r="I225" i="19"/>
  <c r="I315" i="16"/>
  <c r="AG315" i="16" s="1"/>
  <c r="S315" i="16"/>
  <c r="T435" i="19"/>
  <c r="J435" i="19"/>
  <c r="I435" i="16"/>
  <c r="AG435" i="16" s="1"/>
  <c r="S435" i="16"/>
  <c r="T345" i="17"/>
  <c r="J345" i="17"/>
  <c r="W55" i="11" s="1"/>
  <c r="AA55" i="11" s="1"/>
  <c r="I435" i="17"/>
  <c r="S435" i="17"/>
  <c r="S43" i="17"/>
  <c r="I43" i="17"/>
  <c r="I165" i="16"/>
  <c r="AG165" i="16" s="1"/>
  <c r="S165" i="16"/>
  <c r="J15" i="17"/>
  <c r="T15" i="17"/>
  <c r="L226" i="16"/>
  <c r="AI226" i="16" s="1"/>
  <c r="AK226" i="16" s="1"/>
  <c r="AL226" i="16" s="1"/>
  <c r="L106" i="16"/>
  <c r="AI106" i="16" s="1"/>
  <c r="AK106" i="16" s="1"/>
  <c r="AL106" i="16" s="1"/>
  <c r="L346" i="19"/>
  <c r="Y346" i="19" s="1"/>
  <c r="AC33" i="25"/>
  <c r="J403" i="16"/>
  <c r="AH403" i="16" s="1"/>
  <c r="T403" i="16"/>
  <c r="I103" i="17"/>
  <c r="S103" i="17"/>
  <c r="I195" i="17"/>
  <c r="S195" i="17"/>
  <c r="S345" i="19"/>
  <c r="I345" i="19"/>
  <c r="I285" i="17"/>
  <c r="S285" i="17"/>
  <c r="T43" i="17"/>
  <c r="J43" i="17"/>
  <c r="J433" i="19"/>
  <c r="T433" i="19"/>
  <c r="J493" i="17"/>
  <c r="T493" i="17"/>
  <c r="J465" i="19"/>
  <c r="T465" i="19"/>
  <c r="C79" i="11" s="1"/>
  <c r="S105" i="16"/>
  <c r="I105" i="16"/>
  <c r="AG105" i="16" s="1"/>
  <c r="T15" i="19"/>
  <c r="J15" i="19"/>
  <c r="I465" i="16"/>
  <c r="AG465" i="16" s="1"/>
  <c r="S465" i="16"/>
  <c r="J133" i="17"/>
  <c r="T133" i="17"/>
  <c r="J171" i="16"/>
  <c r="AH171" i="16" s="1"/>
  <c r="T171" i="16"/>
  <c r="T20" i="16"/>
  <c r="J20" i="16"/>
  <c r="AH20" i="16" s="1"/>
  <c r="S13" i="16"/>
  <c r="I13" i="16"/>
  <c r="J45" i="17"/>
  <c r="T45" i="17"/>
  <c r="AG493" i="16"/>
  <c r="W493" i="16"/>
  <c r="T195" i="19"/>
  <c r="J195" i="19"/>
  <c r="J165" i="16"/>
  <c r="AH165" i="16" s="1"/>
  <c r="T165" i="16"/>
  <c r="J43" i="16"/>
  <c r="AH43" i="16" s="1"/>
  <c r="T43" i="16"/>
  <c r="S141" i="16"/>
  <c r="I141" i="16"/>
  <c r="S163" i="17"/>
  <c r="I163" i="17"/>
  <c r="S256" i="16"/>
  <c r="I256" i="16"/>
  <c r="I223" i="17"/>
  <c r="S223" i="17"/>
  <c r="J313" i="19"/>
  <c r="T313" i="19"/>
  <c r="I15" i="17"/>
  <c r="W15" i="17" s="1"/>
  <c r="S15" i="17"/>
  <c r="AI249" i="16"/>
  <c r="AK249" i="16" s="1"/>
  <c r="AL249" i="16" s="1"/>
  <c r="Y249" i="16"/>
  <c r="AG52" i="16"/>
  <c r="W52" i="16"/>
  <c r="L52" i="16"/>
  <c r="AI33" i="16"/>
  <c r="AK33" i="16" s="1"/>
  <c r="AL33" i="16" s="1"/>
  <c r="Y33" i="16"/>
  <c r="J375" i="19"/>
  <c r="T375" i="19"/>
  <c r="J345" i="19"/>
  <c r="T345" i="19"/>
  <c r="I15" i="19"/>
  <c r="L15" i="19" s="1"/>
  <c r="Y15" i="19" s="1"/>
  <c r="S15" i="19"/>
  <c r="J465" i="16"/>
  <c r="AH465" i="16" s="1"/>
  <c r="T465" i="16"/>
  <c r="J466" i="16"/>
  <c r="AH466" i="16" s="1"/>
  <c r="T466" i="16"/>
  <c r="T73" i="19"/>
  <c r="J73" i="19"/>
  <c r="J343" i="19"/>
  <c r="W75" i="11" s="1"/>
  <c r="AA75" i="11" s="1"/>
  <c r="T343" i="19"/>
  <c r="T225" i="19"/>
  <c r="J225" i="19"/>
  <c r="I195" i="19"/>
  <c r="S195" i="19"/>
  <c r="T256" i="16"/>
  <c r="J256" i="16"/>
  <c r="AH256" i="16" s="1"/>
  <c r="J223" i="17"/>
  <c r="T223" i="17"/>
  <c r="I313" i="19"/>
  <c r="S313" i="19"/>
  <c r="W226" i="16"/>
  <c r="W470" i="16"/>
  <c r="L81" i="16"/>
  <c r="AI81" i="16" s="1"/>
  <c r="AK81" i="16" s="1"/>
  <c r="AL81" i="16" s="1"/>
  <c r="O77" i="25"/>
  <c r="U77" i="25" s="1"/>
  <c r="Z77" i="25" s="1"/>
  <c r="AC77" i="25" s="1"/>
  <c r="O85" i="25"/>
  <c r="U85" i="25" s="1"/>
  <c r="Z85" i="25" s="1"/>
  <c r="AC85" i="25" s="1"/>
  <c r="O82" i="25"/>
  <c r="U82" i="25" s="1"/>
  <c r="Z82" i="25" s="1"/>
  <c r="AD82" i="25" s="1"/>
  <c r="O86" i="25"/>
  <c r="U86" i="25" s="1"/>
  <c r="Z86" i="25" s="1"/>
  <c r="AD86" i="25" s="1"/>
  <c r="I403" i="16"/>
  <c r="S403" i="16"/>
  <c r="T43" i="19"/>
  <c r="J43" i="19"/>
  <c r="J103" i="17"/>
  <c r="T103" i="17"/>
  <c r="J195" i="17"/>
  <c r="T195" i="17"/>
  <c r="C50" i="11" s="1"/>
  <c r="AI95" i="16"/>
  <c r="AK95" i="16" s="1"/>
  <c r="AL95" i="16" s="1"/>
  <c r="Y95" i="16"/>
  <c r="S405" i="19"/>
  <c r="I405" i="19"/>
  <c r="V77" i="11" s="1"/>
  <c r="Z77" i="11" s="1"/>
  <c r="S345" i="16"/>
  <c r="I345" i="16"/>
  <c r="AG345" i="16" s="1"/>
  <c r="I166" i="16"/>
  <c r="S166" i="16"/>
  <c r="J403" i="17"/>
  <c r="T403" i="17"/>
  <c r="I493" i="17"/>
  <c r="S493" i="17"/>
  <c r="AG382" i="16"/>
  <c r="W382" i="16"/>
  <c r="L382" i="16"/>
  <c r="AI424" i="16"/>
  <c r="AK424" i="16" s="1"/>
  <c r="AL424" i="16" s="1"/>
  <c r="Y424" i="16"/>
  <c r="I495" i="19"/>
  <c r="S495" i="19"/>
  <c r="J375" i="16"/>
  <c r="AH375" i="16" s="1"/>
  <c r="T375" i="16"/>
  <c r="AG22" i="16"/>
  <c r="L22" i="16"/>
  <c r="W22" i="16"/>
  <c r="S45" i="19"/>
  <c r="I45" i="19"/>
  <c r="T255" i="16"/>
  <c r="J255" i="16"/>
  <c r="AH255" i="16" s="1"/>
  <c r="T225" i="17"/>
  <c r="J225" i="17"/>
  <c r="I133" i="17"/>
  <c r="S133" i="17"/>
  <c r="I171" i="16"/>
  <c r="S171" i="16"/>
  <c r="I20" i="16"/>
  <c r="S20" i="16"/>
  <c r="J13" i="16"/>
  <c r="AH13" i="16" s="1"/>
  <c r="T13" i="16"/>
  <c r="I45" i="17"/>
  <c r="S45" i="17"/>
  <c r="Z45" i="17" s="1"/>
  <c r="J255" i="17"/>
  <c r="W52" i="11" s="1"/>
  <c r="AA52" i="11" s="1"/>
  <c r="T255" i="17"/>
  <c r="I43" i="16"/>
  <c r="S43" i="16"/>
  <c r="J141" i="16"/>
  <c r="AH141" i="16" s="1"/>
  <c r="T141" i="16"/>
  <c r="T163" i="17"/>
  <c r="J163" i="17"/>
  <c r="T103" i="19"/>
  <c r="J103" i="19"/>
  <c r="I261" i="16"/>
  <c r="S261" i="16"/>
  <c r="I433" i="17"/>
  <c r="S433" i="17"/>
  <c r="S135" i="19"/>
  <c r="I135" i="19"/>
  <c r="L135" i="19" s="1"/>
  <c r="Y135" i="19" s="1"/>
  <c r="S45" i="16"/>
  <c r="I45" i="16"/>
  <c r="AG45" i="16" s="1"/>
  <c r="I73" i="17"/>
  <c r="S73" i="17"/>
  <c r="I195" i="16"/>
  <c r="AG195" i="16" s="1"/>
  <c r="S195" i="16"/>
  <c r="J285" i="17"/>
  <c r="T285" i="17"/>
  <c r="I433" i="19"/>
  <c r="S433" i="19"/>
  <c r="J283" i="17"/>
  <c r="T283" i="17"/>
  <c r="T193" i="19"/>
  <c r="J193" i="19"/>
  <c r="S465" i="19"/>
  <c r="I465" i="19"/>
  <c r="V79" i="11" s="1"/>
  <c r="Z79" i="11" s="1"/>
  <c r="T105" i="16"/>
  <c r="C27" i="11" s="1"/>
  <c r="J105" i="16"/>
  <c r="AH105" i="16" s="1"/>
  <c r="J253" i="19"/>
  <c r="T253" i="19"/>
  <c r="J315" i="16"/>
  <c r="AH315" i="16" s="1"/>
  <c r="T315" i="16"/>
  <c r="AG322" i="16"/>
  <c r="L322" i="16"/>
  <c r="W322" i="16"/>
  <c r="W81" i="16"/>
  <c r="W80" i="16"/>
  <c r="L470" i="16"/>
  <c r="AI470" i="16" s="1"/>
  <c r="AK470" i="16" s="1"/>
  <c r="AL470" i="16" s="1"/>
  <c r="W321" i="19"/>
  <c r="L471" i="17"/>
  <c r="Y471" i="17" s="1"/>
  <c r="AA471" i="17" s="1"/>
  <c r="O78" i="25"/>
  <c r="U78" i="25" s="1"/>
  <c r="Z78" i="25" s="1"/>
  <c r="O67" i="25"/>
  <c r="O90" i="25"/>
  <c r="U90" i="25" s="1"/>
  <c r="Z90" i="25" s="1"/>
  <c r="AD90" i="25" s="1"/>
  <c r="I283" i="19"/>
  <c r="S283" i="19"/>
  <c r="AI289" i="16"/>
  <c r="AK289" i="16" s="1"/>
  <c r="AL289" i="16" s="1"/>
  <c r="Y289" i="16"/>
  <c r="S43" i="19"/>
  <c r="I43" i="19"/>
  <c r="I373" i="17"/>
  <c r="S373" i="17"/>
  <c r="B56" i="11" s="1"/>
  <c r="I75" i="19"/>
  <c r="S75" i="19"/>
  <c r="S75" i="17"/>
  <c r="I75" i="17"/>
  <c r="W75" i="17" s="1"/>
  <c r="T405" i="19"/>
  <c r="C77" i="11" s="1"/>
  <c r="J405" i="19"/>
  <c r="J345" i="16"/>
  <c r="AH345" i="16" s="1"/>
  <c r="T345" i="16"/>
  <c r="J166" i="16"/>
  <c r="AH166" i="16" s="1"/>
  <c r="T166" i="16"/>
  <c r="I403" i="17"/>
  <c r="S403" i="17"/>
  <c r="S433" i="16"/>
  <c r="I433" i="16"/>
  <c r="T381" i="16"/>
  <c r="J381" i="16"/>
  <c r="AH381" i="16" s="1"/>
  <c r="T495" i="19"/>
  <c r="J495" i="19"/>
  <c r="I375" i="16"/>
  <c r="AG375" i="16" s="1"/>
  <c r="S375" i="16"/>
  <c r="T45" i="19"/>
  <c r="J45" i="19"/>
  <c r="S255" i="16"/>
  <c r="I255" i="16"/>
  <c r="AG255" i="16" s="1"/>
  <c r="S225" i="17"/>
  <c r="I225" i="17"/>
  <c r="T463" i="17"/>
  <c r="J463" i="17"/>
  <c r="S493" i="19"/>
  <c r="I493" i="19"/>
  <c r="V80" i="11" s="1"/>
  <c r="Z80" i="11" s="1"/>
  <c r="T105" i="17"/>
  <c r="C47" i="11" s="1"/>
  <c r="J105" i="17"/>
  <c r="I165" i="19"/>
  <c r="V69" i="11" s="1"/>
  <c r="Z69" i="11" s="1"/>
  <c r="S165" i="19"/>
  <c r="AI79" i="16"/>
  <c r="Y79" i="16"/>
  <c r="I255" i="17"/>
  <c r="S255" i="17"/>
  <c r="B52" i="11" s="1"/>
  <c r="T76" i="16"/>
  <c r="C26" i="11" s="1"/>
  <c r="J76" i="16"/>
  <c r="AH76" i="16" s="1"/>
  <c r="S441" i="16"/>
  <c r="I441" i="16"/>
  <c r="T13" i="19"/>
  <c r="J13" i="19"/>
  <c r="I103" i="19"/>
  <c r="S103" i="19"/>
  <c r="T261" i="16"/>
  <c r="J261" i="16"/>
  <c r="AH261" i="16" s="1"/>
  <c r="J433" i="17"/>
  <c r="T433" i="17"/>
  <c r="T135" i="19"/>
  <c r="J135" i="19"/>
  <c r="J45" i="16"/>
  <c r="AH45" i="16" s="1"/>
  <c r="T45" i="16"/>
  <c r="AI246" i="16"/>
  <c r="AK246" i="16" s="1"/>
  <c r="AL246" i="16" s="1"/>
  <c r="Y246" i="16"/>
  <c r="T405" i="16"/>
  <c r="J405" i="16"/>
  <c r="AH405" i="16" s="1"/>
  <c r="S373" i="19"/>
  <c r="I373" i="19"/>
  <c r="J283" i="19"/>
  <c r="W73" i="11" s="1"/>
  <c r="AA73" i="11" s="1"/>
  <c r="T283" i="19"/>
  <c r="C73" i="11" s="1"/>
  <c r="AG412" i="16"/>
  <c r="W412" i="16"/>
  <c r="L412" i="16"/>
  <c r="J373" i="17"/>
  <c r="T373" i="17"/>
  <c r="J75" i="19"/>
  <c r="T75" i="19"/>
  <c r="J75" i="17"/>
  <c r="T75" i="17"/>
  <c r="I135" i="17"/>
  <c r="V48" i="11" s="1"/>
  <c r="Z48" i="11" s="1"/>
  <c r="S135" i="17"/>
  <c r="J15" i="16"/>
  <c r="AH15" i="16" s="1"/>
  <c r="T15" i="16"/>
  <c r="S320" i="16"/>
  <c r="I320" i="16"/>
  <c r="J433" i="16"/>
  <c r="AH433" i="16" s="1"/>
  <c r="T433" i="16"/>
  <c r="C38" i="11" s="1"/>
  <c r="S381" i="16"/>
  <c r="I381" i="16"/>
  <c r="T495" i="17"/>
  <c r="J495" i="17"/>
  <c r="T495" i="16"/>
  <c r="J495" i="16"/>
  <c r="AH495" i="16" s="1"/>
  <c r="AG112" i="16"/>
  <c r="W112" i="16"/>
  <c r="L112" i="16"/>
  <c r="T375" i="17"/>
  <c r="J375" i="17"/>
  <c r="I463" i="17"/>
  <c r="S463" i="17"/>
  <c r="T493" i="19"/>
  <c r="C80" i="11" s="1"/>
  <c r="J493" i="19"/>
  <c r="I105" i="17"/>
  <c r="W105" i="17" s="1"/>
  <c r="S105" i="17"/>
  <c r="J165" i="19"/>
  <c r="T165" i="19"/>
  <c r="AK79" i="16"/>
  <c r="AL79" i="16" s="1"/>
  <c r="I165" i="17"/>
  <c r="S165" i="17"/>
  <c r="I76" i="16"/>
  <c r="V26" i="11" s="1"/>
  <c r="Z26" i="11" s="1"/>
  <c r="S76" i="16"/>
  <c r="J441" i="16"/>
  <c r="AH441" i="16" s="1"/>
  <c r="T441" i="16"/>
  <c r="S13" i="19"/>
  <c r="I13" i="19"/>
  <c r="I285" i="19"/>
  <c r="S285" i="19"/>
  <c r="B73" i="11" s="1"/>
  <c r="I285" i="16"/>
  <c r="AG285" i="16" s="1"/>
  <c r="S285" i="16"/>
  <c r="B33" i="11" s="1"/>
  <c r="I315" i="19"/>
  <c r="S315" i="19"/>
  <c r="AK402" i="16"/>
  <c r="AL402" i="16" s="1"/>
  <c r="L381" i="17"/>
  <c r="Y381" i="17" s="1"/>
  <c r="AB381" i="17" s="1"/>
  <c r="L136" i="17"/>
  <c r="Y136" i="17" s="1"/>
  <c r="AB136" i="17" s="1"/>
  <c r="W46" i="17"/>
  <c r="W106" i="16"/>
  <c r="L320" i="19"/>
  <c r="Y320" i="19" s="1"/>
  <c r="AA320" i="19" s="1"/>
  <c r="L196" i="17"/>
  <c r="Y196" i="17" s="1"/>
  <c r="AA196" i="17" s="1"/>
  <c r="W441" i="19"/>
  <c r="L261" i="17"/>
  <c r="Y261" i="17" s="1"/>
  <c r="AA261" i="17" s="1"/>
  <c r="AK493" i="16"/>
  <c r="AL493" i="16" s="1"/>
  <c r="AA213" i="16"/>
  <c r="S405" i="16"/>
  <c r="I405" i="16"/>
  <c r="AG405" i="16" s="1"/>
  <c r="T373" i="19"/>
  <c r="C76" i="11" s="1"/>
  <c r="J373" i="19"/>
  <c r="I260" i="16"/>
  <c r="S260" i="16"/>
  <c r="T105" i="19"/>
  <c r="J105" i="19"/>
  <c r="T135" i="16"/>
  <c r="J135" i="16"/>
  <c r="AH135" i="16" s="1"/>
  <c r="J135" i="17"/>
  <c r="T135" i="17"/>
  <c r="C48" i="11" s="1"/>
  <c r="I15" i="16"/>
  <c r="AG15" i="16" s="1"/>
  <c r="S15" i="16"/>
  <c r="T320" i="16"/>
  <c r="C34" i="11" s="1"/>
  <c r="J320" i="16"/>
  <c r="AH320" i="16" s="1"/>
  <c r="S133" i="19"/>
  <c r="B68" i="11" s="1"/>
  <c r="I133" i="19"/>
  <c r="I495" i="17"/>
  <c r="W495" i="17" s="1"/>
  <c r="S495" i="17"/>
  <c r="I495" i="16"/>
  <c r="AG495" i="16" s="1"/>
  <c r="S495" i="16"/>
  <c r="I375" i="17"/>
  <c r="S375" i="17"/>
  <c r="J13" i="17"/>
  <c r="T13" i="17"/>
  <c r="I255" i="19"/>
  <c r="L255" i="19" s="1"/>
  <c r="Y255" i="19" s="1"/>
  <c r="S255" i="19"/>
  <c r="J75" i="16"/>
  <c r="AH75" i="16" s="1"/>
  <c r="T75" i="16"/>
  <c r="S225" i="16"/>
  <c r="B31" i="11" s="1"/>
  <c r="I225" i="16"/>
  <c r="AG225" i="16" s="1"/>
  <c r="J165" i="17"/>
  <c r="T165" i="17"/>
  <c r="AI224" i="16"/>
  <c r="AK224" i="16" s="1"/>
  <c r="AL224" i="16" s="1"/>
  <c r="Y224" i="16"/>
  <c r="J285" i="19"/>
  <c r="T285" i="19"/>
  <c r="J285" i="16"/>
  <c r="AH285" i="16" s="1"/>
  <c r="T285" i="16"/>
  <c r="J315" i="19"/>
  <c r="T315" i="19"/>
  <c r="AK282" i="16"/>
  <c r="AL282" i="16" s="1"/>
  <c r="L406" i="19"/>
  <c r="Y406" i="19" s="1"/>
  <c r="AB406" i="19" s="1"/>
  <c r="L80" i="16"/>
  <c r="AI80" i="16" s="1"/>
  <c r="AK80" i="16" s="1"/>
  <c r="AL80" i="16" s="1"/>
  <c r="W51" i="16"/>
  <c r="J260" i="16"/>
  <c r="AH260" i="16" s="1"/>
  <c r="T260" i="16"/>
  <c r="T193" i="17"/>
  <c r="J193" i="17"/>
  <c r="S105" i="19"/>
  <c r="B67" i="11" s="1"/>
  <c r="I105" i="19"/>
  <c r="I135" i="16"/>
  <c r="AG135" i="16" s="1"/>
  <c r="S135" i="16"/>
  <c r="I315" i="17"/>
  <c r="V54" i="11" s="1"/>
  <c r="Z54" i="11" s="1"/>
  <c r="S315" i="17"/>
  <c r="T380" i="16"/>
  <c r="J380" i="16"/>
  <c r="AH380" i="16" s="1"/>
  <c r="I223" i="19"/>
  <c r="S223" i="19"/>
  <c r="J133" i="19"/>
  <c r="T133" i="19"/>
  <c r="S465" i="17"/>
  <c r="B59" i="11" s="1"/>
  <c r="I465" i="17"/>
  <c r="AI374" i="16"/>
  <c r="AK374" i="16" s="1"/>
  <c r="AL374" i="16" s="1"/>
  <c r="Y374" i="16"/>
  <c r="I405" i="17"/>
  <c r="L405" i="17" s="1"/>
  <c r="Y405" i="17" s="1"/>
  <c r="S405" i="17"/>
  <c r="B57" i="11" s="1"/>
  <c r="I13" i="17"/>
  <c r="S13" i="17"/>
  <c r="T255" i="19"/>
  <c r="J255" i="19"/>
  <c r="I75" i="16"/>
  <c r="AG75" i="16" s="1"/>
  <c r="S75" i="16"/>
  <c r="T225" i="16"/>
  <c r="C31" i="11" s="1"/>
  <c r="J225" i="16"/>
  <c r="AH225" i="16" s="1"/>
  <c r="S435" i="19"/>
  <c r="I435" i="19"/>
  <c r="J435" i="16"/>
  <c r="AH435" i="16" s="1"/>
  <c r="T435" i="16"/>
  <c r="S345" i="17"/>
  <c r="I345" i="17"/>
  <c r="V55" i="11" s="1"/>
  <c r="Z55" i="11" s="1"/>
  <c r="J435" i="17"/>
  <c r="W58" i="11" s="1"/>
  <c r="AA58" i="11" s="1"/>
  <c r="T435" i="17"/>
  <c r="AD3" i="25"/>
  <c r="AB97" i="25"/>
  <c r="AB67" i="25"/>
  <c r="G86" i="11"/>
  <c r="AB7" i="25"/>
  <c r="G84" i="11"/>
  <c r="AB277" i="25"/>
  <c r="G93" i="11"/>
  <c r="AB397" i="25"/>
  <c r="G97" i="11"/>
  <c r="AB247" i="25"/>
  <c r="G92" i="11"/>
  <c r="AB187" i="25"/>
  <c r="G90" i="11"/>
  <c r="AB337" i="25"/>
  <c r="G95" i="11"/>
  <c r="AB427" i="25"/>
  <c r="G98" i="11"/>
  <c r="AB457" i="25"/>
  <c r="G99" i="11"/>
  <c r="AB367" i="25"/>
  <c r="G96" i="11"/>
  <c r="AB127" i="25"/>
  <c r="G88" i="11"/>
  <c r="AB157" i="25"/>
  <c r="G89" i="11"/>
  <c r="AB37" i="25"/>
  <c r="G85" i="11"/>
  <c r="AB307" i="25"/>
  <c r="G94" i="11"/>
  <c r="AB217" i="25"/>
  <c r="G91" i="11"/>
  <c r="AB487" i="25"/>
  <c r="G100" i="11"/>
  <c r="L471" i="9"/>
  <c r="Y471" i="9" s="1"/>
  <c r="L219" i="9"/>
  <c r="Y219" i="9" s="1"/>
  <c r="AA219" i="9" s="1"/>
  <c r="AA82" i="9"/>
  <c r="L472" i="9"/>
  <c r="Y472" i="9" s="1"/>
  <c r="AA472" i="9" s="1"/>
  <c r="L304" i="9"/>
  <c r="Y304" i="9" s="1"/>
  <c r="AB304" i="9" s="1"/>
  <c r="W229" i="9"/>
  <c r="AB229" i="9" s="1"/>
  <c r="L373" i="9"/>
  <c r="Y373" i="9" s="1"/>
  <c r="AB373" i="9" s="1"/>
  <c r="L490" i="9"/>
  <c r="Y490" i="9" s="1"/>
  <c r="L484" i="9"/>
  <c r="Y484" i="9" s="1"/>
  <c r="AB484" i="9" s="1"/>
  <c r="L424" i="9"/>
  <c r="Y424" i="9" s="1"/>
  <c r="AB424" i="9" s="1"/>
  <c r="W456" i="9"/>
  <c r="AB456" i="9" s="1"/>
  <c r="L333" i="9"/>
  <c r="Z14" i="9"/>
  <c r="Z34" i="9"/>
  <c r="Z6" i="9"/>
  <c r="W19" i="11"/>
  <c r="AA19" i="11" s="1"/>
  <c r="W6" i="11"/>
  <c r="AA6" i="11" s="1"/>
  <c r="W16" i="11"/>
  <c r="AA16" i="11" s="1"/>
  <c r="L275" i="9"/>
  <c r="Y275" i="9" s="1"/>
  <c r="AB275" i="9" s="1"/>
  <c r="L215" i="9"/>
  <c r="Y215" i="9" s="1"/>
  <c r="AB215" i="9" s="1"/>
  <c r="L336" i="9"/>
  <c r="Y336" i="9" s="1"/>
  <c r="W8" i="11"/>
  <c r="AA8" i="11" s="1"/>
  <c r="W5" i="11"/>
  <c r="AA5" i="11" s="1"/>
  <c r="L201" i="9"/>
  <c r="Y201" i="9" s="1"/>
  <c r="L494" i="9"/>
  <c r="Y494" i="9" s="1"/>
  <c r="L334" i="9"/>
  <c r="Y334" i="9" s="1"/>
  <c r="AA334" i="9" s="1"/>
  <c r="L350" i="9"/>
  <c r="Y350" i="9" s="1"/>
  <c r="L43" i="9"/>
  <c r="Y43" i="9" s="1"/>
  <c r="AA43" i="9" s="1"/>
  <c r="W14" i="11"/>
  <c r="AA14" i="11" s="1"/>
  <c r="L289" i="9"/>
  <c r="Y289" i="9" s="1"/>
  <c r="L319" i="9"/>
  <c r="Y319" i="9" s="1"/>
  <c r="AA319" i="9" s="1"/>
  <c r="L159" i="9"/>
  <c r="Y159" i="9" s="1"/>
  <c r="L14" i="9"/>
  <c r="Y14" i="9" s="1"/>
  <c r="AB14" i="9" s="1"/>
  <c r="L49" i="9"/>
  <c r="Y49" i="9" s="1"/>
  <c r="AB49" i="9" s="1"/>
  <c r="L103" i="9"/>
  <c r="Y103" i="9" s="1"/>
  <c r="L280" i="9"/>
  <c r="Y280" i="9" s="1"/>
  <c r="AB280" i="9" s="1"/>
  <c r="L223" i="9"/>
  <c r="Y223" i="9" s="1"/>
  <c r="L345" i="9"/>
  <c r="Y345" i="9" s="1"/>
  <c r="U84" i="19"/>
  <c r="Z84" i="19" s="1"/>
  <c r="AC84" i="19" s="1"/>
  <c r="AB408" i="16"/>
  <c r="AB425" i="16"/>
  <c r="AA232" i="16"/>
  <c r="AB74" i="16"/>
  <c r="U84" i="16"/>
  <c r="AK42" i="16"/>
  <c r="AL42" i="16" s="1"/>
  <c r="AB70" i="16"/>
  <c r="AB174" i="16"/>
  <c r="AB464" i="16"/>
  <c r="U42" i="16"/>
  <c r="Z42" i="16" s="1"/>
  <c r="AA200" i="16"/>
  <c r="AB432" i="16"/>
  <c r="U53" i="16"/>
  <c r="Z53" i="16" s="1"/>
  <c r="AC53" i="16" s="1"/>
  <c r="C16" i="11"/>
  <c r="C11" i="11"/>
  <c r="C7" i="11"/>
  <c r="C19" i="11"/>
  <c r="C14" i="11"/>
  <c r="W13" i="11"/>
  <c r="AA13" i="11" s="1"/>
  <c r="W10" i="11"/>
  <c r="AA10" i="11" s="1"/>
  <c r="W7" i="11"/>
  <c r="AA7" i="11" s="1"/>
  <c r="W18" i="11"/>
  <c r="AA18" i="11" s="1"/>
  <c r="W4" i="11"/>
  <c r="AA4" i="11" s="1"/>
  <c r="V16" i="11"/>
  <c r="Z16" i="11" s="1"/>
  <c r="W15" i="11"/>
  <c r="AA15" i="11" s="1"/>
  <c r="W17" i="11"/>
  <c r="AA17" i="11" s="1"/>
  <c r="L70" i="9"/>
  <c r="Y70" i="9" s="1"/>
  <c r="AA70" i="9" s="1"/>
  <c r="Z39" i="9"/>
  <c r="L135" i="9"/>
  <c r="Y135" i="9" s="1"/>
  <c r="AB135" i="9" s="1"/>
  <c r="V5" i="11"/>
  <c r="Z5" i="11" s="1"/>
  <c r="AA500" i="9"/>
  <c r="AA373" i="9"/>
  <c r="Z52" i="9"/>
  <c r="AB193" i="9"/>
  <c r="AA193" i="9"/>
  <c r="W336" i="9"/>
  <c r="AB336" i="9" s="1"/>
  <c r="W459" i="9"/>
  <c r="AB459" i="9" s="1"/>
  <c r="W112" i="9"/>
  <c r="W249" i="9"/>
  <c r="L249" i="9"/>
  <c r="Y249" i="9" s="1"/>
  <c r="W290" i="9"/>
  <c r="L382" i="9"/>
  <c r="Y382" i="9" s="1"/>
  <c r="W382" i="9"/>
  <c r="AA382" i="9" s="1"/>
  <c r="AA486" i="9"/>
  <c r="W224" i="9"/>
  <c r="L19" i="9"/>
  <c r="Y19" i="9" s="1"/>
  <c r="AB19" i="9" s="1"/>
  <c r="I243" i="9"/>
  <c r="W243" i="9" s="1"/>
  <c r="S243" i="9"/>
  <c r="B12" i="11" s="1"/>
  <c r="W396" i="9"/>
  <c r="W279" i="9"/>
  <c r="AB279" i="9" s="1"/>
  <c r="L216" i="9"/>
  <c r="Y216" i="9" s="1"/>
  <c r="W216" i="9"/>
  <c r="W185" i="9"/>
  <c r="AB185" i="9" s="1"/>
  <c r="W65" i="9"/>
  <c r="L65" i="9"/>
  <c r="Y65" i="9" s="1"/>
  <c r="V7" i="11"/>
  <c r="Z7" i="11" s="1"/>
  <c r="W404" i="9"/>
  <c r="AB404" i="9" s="1"/>
  <c r="W349" i="9"/>
  <c r="L136" i="9"/>
  <c r="Y136" i="9" s="1"/>
  <c r="L21" i="9"/>
  <c r="Y21" i="9" s="1"/>
  <c r="L51" i="9"/>
  <c r="Y51" i="9" s="1"/>
  <c r="W225" i="9"/>
  <c r="W9" i="11"/>
  <c r="AA9" i="11" s="1"/>
  <c r="V9" i="11"/>
  <c r="Z9" i="11" s="1"/>
  <c r="L183" i="9"/>
  <c r="Y183" i="9" s="1"/>
  <c r="L365" i="9"/>
  <c r="Y365" i="9" s="1"/>
  <c r="AA365" i="9" s="1"/>
  <c r="L380" i="9"/>
  <c r="Y380" i="9" s="1"/>
  <c r="AA380" i="9" s="1"/>
  <c r="L124" i="9"/>
  <c r="Y124" i="9" s="1"/>
  <c r="AA124" i="9" s="1"/>
  <c r="AA256" i="9"/>
  <c r="L33" i="9"/>
  <c r="Y33" i="9" s="1"/>
  <c r="AB33" i="9" s="1"/>
  <c r="L123" i="9"/>
  <c r="Y123" i="9" s="1"/>
  <c r="AB123" i="9" s="1"/>
  <c r="J243" i="9"/>
  <c r="W12" i="11" s="1"/>
  <c r="AA12" i="11" s="1"/>
  <c r="T243" i="9"/>
  <c r="C12" i="11" s="1"/>
  <c r="W96" i="9"/>
  <c r="AB96" i="9" s="1"/>
  <c r="W39" i="9"/>
  <c r="L39" i="9"/>
  <c r="Y39" i="9" s="1"/>
  <c r="W346" i="9"/>
  <c r="L346" i="9"/>
  <c r="Y346" i="9" s="1"/>
  <c r="W93" i="9"/>
  <c r="L93" i="9"/>
  <c r="Y93" i="9" s="1"/>
  <c r="W350" i="9"/>
  <c r="L423" i="9"/>
  <c r="Y423" i="9" s="1"/>
  <c r="AB423" i="9" s="1"/>
  <c r="W305" i="9"/>
  <c r="F14" i="11" s="1"/>
  <c r="L305" i="9"/>
  <c r="Y305" i="9" s="1"/>
  <c r="W289" i="9"/>
  <c r="W194" i="9"/>
  <c r="AA194" i="9" s="1"/>
  <c r="W159" i="9"/>
  <c r="W345" i="9"/>
  <c r="AB345" i="9" s="1"/>
  <c r="W370" i="9"/>
  <c r="AB370" i="9" s="1"/>
  <c r="W455" i="9"/>
  <c r="W339" i="9"/>
  <c r="L349" i="9"/>
  <c r="Y349" i="9" s="1"/>
  <c r="V17" i="11"/>
  <c r="Z17" i="11" s="1"/>
  <c r="Z33" i="9"/>
  <c r="AA410" i="9"/>
  <c r="Z50" i="9"/>
  <c r="L225" i="9"/>
  <c r="Y225" i="9" s="1"/>
  <c r="AA225" i="9" s="1"/>
  <c r="W21" i="9"/>
  <c r="Z51" i="9"/>
  <c r="W412" i="9"/>
  <c r="AB412" i="9" s="1"/>
  <c r="W320" i="9"/>
  <c r="J502" i="9"/>
  <c r="W20" i="11" s="1"/>
  <c r="AA20" i="11" s="1"/>
  <c r="T502" i="9"/>
  <c r="C20" i="11" s="1"/>
  <c r="W34" i="9"/>
  <c r="W73" i="9"/>
  <c r="L73" i="9"/>
  <c r="Y73" i="9" s="1"/>
  <c r="L463" i="9"/>
  <c r="Y463" i="9" s="1"/>
  <c r="AA463" i="9" s="1"/>
  <c r="L52" i="9"/>
  <c r="Y52" i="9" s="1"/>
  <c r="W52" i="9"/>
  <c r="W283" i="9"/>
  <c r="L409" i="9"/>
  <c r="Y409" i="9" s="1"/>
  <c r="AB409" i="9" s="1"/>
  <c r="L226" i="9"/>
  <c r="Y226" i="9" s="1"/>
  <c r="AB226" i="9" s="1"/>
  <c r="W136" i="9"/>
  <c r="V15" i="11"/>
  <c r="Z15" i="11" s="1"/>
  <c r="V6" i="11"/>
  <c r="Z6" i="11" s="1"/>
  <c r="L403" i="9"/>
  <c r="Y403" i="9" s="1"/>
  <c r="AA403" i="9" s="1"/>
  <c r="L112" i="9"/>
  <c r="Y112" i="9" s="1"/>
  <c r="AB112" i="9" s="1"/>
  <c r="L165" i="9"/>
  <c r="Y165" i="9" s="1"/>
  <c r="I502" i="9"/>
  <c r="V20" i="11" s="1"/>
  <c r="Z20" i="11" s="1"/>
  <c r="S502" i="9"/>
  <c r="B20" i="11" s="1"/>
  <c r="W155" i="9"/>
  <c r="AA155" i="9" s="1"/>
  <c r="W364" i="9"/>
  <c r="L364" i="9"/>
  <c r="Y364" i="9" s="1"/>
  <c r="W129" i="9"/>
  <c r="L129" i="9"/>
  <c r="Y129" i="9" s="1"/>
  <c r="W45" i="9"/>
  <c r="AA45" i="9" s="1"/>
  <c r="W244" i="9"/>
  <c r="AB244" i="9" s="1"/>
  <c r="L429" i="9"/>
  <c r="Y429" i="9" s="1"/>
  <c r="W429" i="9"/>
  <c r="W351" i="9"/>
  <c r="AA351" i="9" s="1"/>
  <c r="W470" i="9"/>
  <c r="W453" i="9"/>
  <c r="AB453" i="9" s="1"/>
  <c r="W172" i="9"/>
  <c r="W125" i="9"/>
  <c r="AB125" i="9" s="1"/>
  <c r="W153" i="9"/>
  <c r="L153" i="9"/>
  <c r="Y153" i="9" s="1"/>
  <c r="L460" i="9"/>
  <c r="Y460" i="9" s="1"/>
  <c r="W460" i="9"/>
  <c r="L74" i="9"/>
  <c r="Y74" i="9" s="1"/>
  <c r="W74" i="9"/>
  <c r="L426" i="9"/>
  <c r="Y426" i="9" s="1"/>
  <c r="W426" i="9"/>
  <c r="W255" i="9"/>
  <c r="AA255" i="9" s="1"/>
  <c r="L496" i="9"/>
  <c r="Y496" i="9" s="1"/>
  <c r="W309" i="9"/>
  <c r="L262" i="9"/>
  <c r="Y262" i="9" s="1"/>
  <c r="W262" i="9"/>
  <c r="L339" i="9"/>
  <c r="Y339" i="9" s="1"/>
  <c r="V14" i="11"/>
  <c r="Z14" i="11" s="1"/>
  <c r="V11" i="11"/>
  <c r="Z11" i="11" s="1"/>
  <c r="W156" i="9"/>
  <c r="W95" i="9"/>
  <c r="L399" i="9"/>
  <c r="Y399" i="9" s="1"/>
  <c r="L95" i="9"/>
  <c r="Y95" i="9" s="1"/>
  <c r="L156" i="9"/>
  <c r="Y156" i="9" s="1"/>
  <c r="L455" i="9"/>
  <c r="Y455" i="9" s="1"/>
  <c r="W496" i="9"/>
  <c r="W399" i="9"/>
  <c r="W369" i="9"/>
  <c r="L381" i="9"/>
  <c r="Y381" i="9" s="1"/>
  <c r="AA381" i="9" s="1"/>
  <c r="W321" i="9"/>
  <c r="L321" i="9"/>
  <c r="Y321" i="9" s="1"/>
  <c r="W254" i="9"/>
  <c r="W260" i="9"/>
  <c r="W436" i="9"/>
  <c r="W226" i="9"/>
  <c r="W170" i="9"/>
  <c r="V4" i="11"/>
  <c r="Z4" i="11" s="1"/>
  <c r="W11" i="11"/>
  <c r="AA11" i="11" s="1"/>
  <c r="V8" i="11"/>
  <c r="Z8" i="11" s="1"/>
  <c r="V13" i="11"/>
  <c r="Z13" i="11" s="1"/>
  <c r="Z19" i="9"/>
  <c r="AD19" i="9" s="1"/>
  <c r="W165" i="9"/>
  <c r="L320" i="9"/>
  <c r="Y320" i="9" s="1"/>
  <c r="W291" i="9"/>
  <c r="AA291" i="9" s="1"/>
  <c r="W433" i="9"/>
  <c r="L433" i="9"/>
  <c r="Y433" i="9" s="1"/>
  <c r="W394" i="9"/>
  <c r="W184" i="9"/>
  <c r="AB184" i="9" s="1"/>
  <c r="W4" i="9"/>
  <c r="F4" i="11" s="1"/>
  <c r="W501" i="9"/>
  <c r="L501" i="9"/>
  <c r="Y501" i="9" s="1"/>
  <c r="W493" i="9"/>
  <c r="AA493" i="9" s="1"/>
  <c r="L213" i="9"/>
  <c r="Y213" i="9" s="1"/>
  <c r="W213" i="9"/>
  <c r="W103" i="9"/>
  <c r="L363" i="9"/>
  <c r="Y363" i="9" s="1"/>
  <c r="W363" i="9"/>
  <c r="L254" i="9"/>
  <c r="Y254" i="9" s="1"/>
  <c r="V18" i="11"/>
  <c r="Z18" i="11" s="1"/>
  <c r="L34" i="9"/>
  <c r="Y34" i="9" s="1"/>
  <c r="L224" i="9"/>
  <c r="Y224" i="9" s="1"/>
  <c r="L309" i="9"/>
  <c r="Y309" i="9" s="1"/>
  <c r="L290" i="9"/>
  <c r="Y290" i="9" s="1"/>
  <c r="L260" i="9"/>
  <c r="Y260" i="9" s="1"/>
  <c r="W344" i="9"/>
  <c r="W36" i="9"/>
  <c r="L425" i="9"/>
  <c r="Y425" i="9" s="1"/>
  <c r="W425" i="9"/>
  <c r="W109" i="9"/>
  <c r="AA304" i="9"/>
  <c r="U84" i="9"/>
  <c r="Z84" i="9" s="1"/>
  <c r="AD84" i="9" s="1"/>
  <c r="AB250" i="9"/>
  <c r="AB408" i="9"/>
  <c r="AB199" i="9"/>
  <c r="C18" i="11"/>
  <c r="AA229" i="9"/>
  <c r="G19" i="11"/>
  <c r="AB313" i="9"/>
  <c r="AB292" i="9"/>
  <c r="AB324" i="9"/>
  <c r="AB406" i="9"/>
  <c r="AA408" i="9"/>
  <c r="AB312" i="9"/>
  <c r="AB490" i="9"/>
  <c r="AA310" i="9"/>
  <c r="AB99" i="9"/>
  <c r="U72" i="9"/>
  <c r="Z72" i="9" s="1"/>
  <c r="AD72" i="9" s="1"/>
  <c r="G13" i="11"/>
  <c r="AA490" i="9"/>
  <c r="G20" i="11"/>
  <c r="Z75" i="9"/>
  <c r="AC75" i="9" s="1"/>
  <c r="G14" i="11"/>
  <c r="AB454" i="16"/>
  <c r="AB169" i="9"/>
  <c r="AB430" i="16"/>
  <c r="AB218" i="16"/>
  <c r="AC14" i="16"/>
  <c r="AB365" i="9"/>
  <c r="AA322" i="9"/>
  <c r="AA246" i="9"/>
  <c r="AB335" i="16"/>
  <c r="AB503" i="16"/>
  <c r="AB471" i="9"/>
  <c r="AB283" i="16"/>
  <c r="AB293" i="16"/>
  <c r="AA455" i="16"/>
  <c r="AB280" i="16"/>
  <c r="AB24" i="16"/>
  <c r="AA336" i="16"/>
  <c r="AB430" i="9"/>
  <c r="AB49" i="16"/>
  <c r="AD49" i="16" s="1"/>
  <c r="AB186" i="16"/>
  <c r="AA316" i="9"/>
  <c r="AB316" i="9"/>
  <c r="AA199" i="16"/>
  <c r="AA499" i="16"/>
  <c r="AB354" i="16"/>
  <c r="AB253" i="16"/>
  <c r="AB274" i="9"/>
  <c r="AA18" i="9"/>
  <c r="AA292" i="9"/>
  <c r="AB256" i="9"/>
  <c r="AA33" i="9"/>
  <c r="AB34" i="16"/>
  <c r="AB409" i="16"/>
  <c r="AB250" i="16"/>
  <c r="AB346" i="16"/>
  <c r="AA130" i="16"/>
  <c r="Z13" i="16"/>
  <c r="AA471" i="16"/>
  <c r="AB5" i="9"/>
  <c r="AB438" i="16"/>
  <c r="AC34" i="16"/>
  <c r="AA94" i="16"/>
  <c r="AA250" i="9"/>
  <c r="AB54" i="16"/>
  <c r="AB286" i="9"/>
  <c r="Z50" i="16"/>
  <c r="AB253" i="9"/>
  <c r="AB486" i="9"/>
  <c r="AB366" i="16"/>
  <c r="AB486" i="16"/>
  <c r="AA189" i="16"/>
  <c r="AA220" i="16"/>
  <c r="AA104" i="16"/>
  <c r="AA286" i="9"/>
  <c r="AA245" i="16"/>
  <c r="AA459" i="16"/>
  <c r="AA292" i="16"/>
  <c r="AB65" i="16"/>
  <c r="AB378" i="16"/>
  <c r="AB404" i="16"/>
  <c r="AA472" i="16"/>
  <c r="AB245" i="9"/>
  <c r="AA244" i="16"/>
  <c r="AB114" i="16"/>
  <c r="AB466" i="9"/>
  <c r="AA169" i="9"/>
  <c r="AA190" i="16"/>
  <c r="AB223" i="9"/>
  <c r="AA44" i="16"/>
  <c r="AC44" i="16" s="1"/>
  <c r="AB214" i="16"/>
  <c r="AA484" i="9"/>
  <c r="AA223" i="16"/>
  <c r="AA155" i="16"/>
  <c r="AB474" i="16"/>
  <c r="AA6" i="16"/>
  <c r="AC6" i="16" s="1"/>
  <c r="AA376" i="9"/>
  <c r="AD35" i="16"/>
  <c r="AB494" i="16"/>
  <c r="AA393" i="9"/>
  <c r="AA411" i="16"/>
  <c r="AA172" i="16"/>
  <c r="AB160" i="16"/>
  <c r="AA215" i="16"/>
  <c r="AA46" i="16"/>
  <c r="AC46" i="16" s="1"/>
  <c r="AB324" i="16"/>
  <c r="AB254" i="16"/>
  <c r="AA366" i="9"/>
  <c r="AB349" i="16"/>
  <c r="AA14" i="9"/>
  <c r="AB370" i="16"/>
  <c r="AB8" i="16"/>
  <c r="AB504" i="16"/>
  <c r="AB263" i="16"/>
  <c r="AB288" i="16"/>
  <c r="AA140" i="16"/>
  <c r="AB443" i="16"/>
  <c r="AB108" i="16"/>
  <c r="AB264" i="16"/>
  <c r="AB353" i="16"/>
  <c r="AB444" i="16"/>
  <c r="AB15" i="9"/>
  <c r="AD15" i="9" s="1"/>
  <c r="AB348" i="16"/>
  <c r="AA22" i="9"/>
  <c r="AA284" i="16"/>
  <c r="AB12" i="16"/>
  <c r="Z16" i="16"/>
  <c r="AA460" i="16"/>
  <c r="AB82" i="16"/>
  <c r="AB18" i="16"/>
  <c r="AB323" i="16"/>
  <c r="AB384" i="16"/>
  <c r="AA253" i="9"/>
  <c r="AC49" i="16"/>
  <c r="AA144" i="9"/>
  <c r="AB276" i="9"/>
  <c r="AB468" i="16"/>
  <c r="AD44" i="16"/>
  <c r="G17" i="11"/>
  <c r="AA313" i="9"/>
  <c r="AB96" i="16"/>
  <c r="U78" i="19"/>
  <c r="AA173" i="9"/>
  <c r="AD23" i="9"/>
  <c r="AC23" i="9"/>
  <c r="AA163" i="9"/>
  <c r="AB234" i="16"/>
  <c r="AB500" i="9"/>
  <c r="AB159" i="16"/>
  <c r="AA340" i="16"/>
  <c r="AA468" i="16"/>
  <c r="AB258" i="16"/>
  <c r="AB259" i="9"/>
  <c r="AB24" i="9"/>
  <c r="AD24" i="9" s="1"/>
  <c r="AA501" i="16"/>
  <c r="AB10" i="16"/>
  <c r="AB144" i="9"/>
  <c r="AA259" i="16"/>
  <c r="AB5" i="16"/>
  <c r="AD5" i="16" s="1"/>
  <c r="AB36" i="16"/>
  <c r="AD36" i="16" s="1"/>
  <c r="AC19" i="16"/>
  <c r="AA105" i="9"/>
  <c r="AB174" i="9"/>
  <c r="AD19" i="16"/>
  <c r="AA500" i="16"/>
  <c r="AB413" i="16"/>
  <c r="AB233" i="16"/>
  <c r="G4" i="11"/>
  <c r="AA344" i="16"/>
  <c r="AB203" i="16"/>
  <c r="AA109" i="16"/>
  <c r="AB243" i="16"/>
  <c r="AB488" i="16"/>
  <c r="AB398" i="16"/>
  <c r="AB485" i="16"/>
  <c r="AA229" i="16"/>
  <c r="AB64" i="16"/>
  <c r="U78" i="17"/>
  <c r="Z78" i="17" s="1"/>
  <c r="AD78" i="17" s="1"/>
  <c r="AB222" i="16"/>
  <c r="Z21" i="16"/>
  <c r="AB439" i="16"/>
  <c r="AB144" i="16"/>
  <c r="Z70" i="9"/>
  <c r="G8" i="11"/>
  <c r="AA69" i="9"/>
  <c r="AB6" i="9"/>
  <c r="AB82" i="9"/>
  <c r="AA6" i="9"/>
  <c r="AA471" i="9"/>
  <c r="AB79" i="9"/>
  <c r="AB379" i="16"/>
  <c r="AA185" i="16"/>
  <c r="AC36" i="16"/>
  <c r="AB372" i="16"/>
  <c r="G10" i="11"/>
  <c r="B15" i="11"/>
  <c r="AA35" i="16"/>
  <c r="AC35" i="16" s="1"/>
  <c r="G9" i="11"/>
  <c r="AB364" i="16"/>
  <c r="AA164" i="9"/>
  <c r="AA490" i="16"/>
  <c r="AB338" i="16"/>
  <c r="AA125" i="16"/>
  <c r="AB173" i="16"/>
  <c r="AB291" i="16"/>
  <c r="AB275" i="16"/>
  <c r="AB204" i="16"/>
  <c r="AB294" i="16"/>
  <c r="AA261" i="9"/>
  <c r="AA502" i="16"/>
  <c r="AD37" i="9"/>
  <c r="AB194" i="16"/>
  <c r="AA314" i="16"/>
  <c r="AA156" i="16"/>
  <c r="Y376" i="16"/>
  <c r="AB376" i="16" s="1"/>
  <c r="U67" i="16"/>
  <c r="Z67" i="16" s="1"/>
  <c r="AD67" i="16" s="1"/>
  <c r="AB168" i="16"/>
  <c r="Y462" i="16"/>
  <c r="Y350" i="16"/>
  <c r="Y16" i="16"/>
  <c r="Y192" i="16"/>
  <c r="AA192" i="16" s="1"/>
  <c r="U18" i="16"/>
  <c r="Z18" i="16" s="1"/>
  <c r="AC18" i="16" s="1"/>
  <c r="U48" i="16"/>
  <c r="Z48" i="16" s="1"/>
  <c r="AC48" i="16" s="1"/>
  <c r="AA66" i="16"/>
  <c r="AB66" i="16"/>
  <c r="Y252" i="16"/>
  <c r="AB252" i="16" s="1"/>
  <c r="C33" i="11"/>
  <c r="V31" i="11"/>
  <c r="Z31" i="11" s="1"/>
  <c r="V24" i="11"/>
  <c r="Z24" i="11" s="1"/>
  <c r="Y132" i="16"/>
  <c r="AB132" i="16" s="1"/>
  <c r="Y51" i="16"/>
  <c r="AA51" i="16" s="1"/>
  <c r="AC51" i="16" s="1"/>
  <c r="U12" i="16"/>
  <c r="Z12" i="16" s="1"/>
  <c r="AC12" i="16" s="1"/>
  <c r="AB173" i="9"/>
  <c r="Y163" i="16"/>
  <c r="AB73" i="16"/>
  <c r="AA73" i="16"/>
  <c r="AB164" i="16"/>
  <c r="AA169" i="16"/>
  <c r="AB169" i="16"/>
  <c r="U23" i="16"/>
  <c r="Z23" i="16" s="1"/>
  <c r="AC23" i="16" s="1"/>
  <c r="AB164" i="9"/>
  <c r="Y496" i="16"/>
  <c r="U17" i="16"/>
  <c r="Z17" i="16" s="1"/>
  <c r="Y470" i="16"/>
  <c r="AB470" i="16" s="1"/>
  <c r="V40" i="11"/>
  <c r="Z40" i="11" s="1"/>
  <c r="AB84" i="16"/>
  <c r="AB14" i="16"/>
  <c r="AD14" i="16" s="1"/>
  <c r="U8" i="16"/>
  <c r="Z8" i="16" s="1"/>
  <c r="U37" i="16"/>
  <c r="Z37" i="16" s="1"/>
  <c r="AC37" i="16" s="1"/>
  <c r="AB53" i="16"/>
  <c r="AB4" i="16"/>
  <c r="AD4" i="16" s="1"/>
  <c r="AA4" i="16"/>
  <c r="AC4" i="16" s="1"/>
  <c r="AB334" i="16"/>
  <c r="AA334" i="16"/>
  <c r="AA124" i="16"/>
  <c r="AB124" i="16"/>
  <c r="U68" i="16"/>
  <c r="Z68" i="16" s="1"/>
  <c r="AC68" i="16" s="1"/>
  <c r="Y286" i="16"/>
  <c r="AA286" i="16" s="1"/>
  <c r="Y230" i="16"/>
  <c r="AB230" i="16" s="1"/>
  <c r="Y282" i="16"/>
  <c r="L407" i="16"/>
  <c r="AI407" i="16" s="1"/>
  <c r="AK407" i="16" s="1"/>
  <c r="AL407" i="16" s="1"/>
  <c r="V30" i="11"/>
  <c r="Z30" i="11" s="1"/>
  <c r="Y72" i="16"/>
  <c r="AB72" i="16" s="1"/>
  <c r="Y42" i="16"/>
  <c r="AB42" i="16" s="1"/>
  <c r="Y463" i="16"/>
  <c r="Y231" i="16"/>
  <c r="AA231" i="16" s="1"/>
  <c r="Y201" i="16"/>
  <c r="AA201" i="16" s="1"/>
  <c r="U24" i="16"/>
  <c r="Z24" i="16" s="1"/>
  <c r="AB319" i="16"/>
  <c r="AA319" i="16"/>
  <c r="AB395" i="16"/>
  <c r="AA395" i="16"/>
  <c r="AA184" i="16"/>
  <c r="AB184" i="16"/>
  <c r="Y50" i="16"/>
  <c r="AB50" i="16" s="1"/>
  <c r="C30" i="11"/>
  <c r="Y133" i="16"/>
  <c r="AB133" i="16" s="1"/>
  <c r="U38" i="16"/>
  <c r="Z38" i="16" s="1"/>
  <c r="AC38" i="16" s="1"/>
  <c r="AB142" i="16"/>
  <c r="AA142" i="16"/>
  <c r="AA442" i="16"/>
  <c r="AB442" i="16"/>
  <c r="AA126" i="16"/>
  <c r="AB126" i="16"/>
  <c r="Y106" i="16"/>
  <c r="L377" i="16"/>
  <c r="AI377" i="16" s="1"/>
  <c r="AK377" i="16" s="1"/>
  <c r="AL377" i="16" s="1"/>
  <c r="U47" i="16"/>
  <c r="Z47" i="16" s="1"/>
  <c r="Y373" i="16"/>
  <c r="AA373" i="16" s="1"/>
  <c r="Y193" i="16"/>
  <c r="AB193" i="16" s="1"/>
  <c r="Y321" i="16"/>
  <c r="AB321" i="16" s="1"/>
  <c r="Y351" i="16"/>
  <c r="AA351" i="16" s="1"/>
  <c r="Y21" i="16"/>
  <c r="AB21" i="16" s="1"/>
  <c r="Y102" i="16"/>
  <c r="AA102" i="16" s="1"/>
  <c r="AB83" i="16"/>
  <c r="AA484" i="16"/>
  <c r="AB484" i="16"/>
  <c r="AB103" i="16"/>
  <c r="AA103" i="16"/>
  <c r="Y410" i="16"/>
  <c r="AA410" i="16" s="1"/>
  <c r="L77" i="16"/>
  <c r="AI77" i="16" s="1"/>
  <c r="AK77" i="16" s="1"/>
  <c r="AL77" i="16" s="1"/>
  <c r="Y80" i="16"/>
  <c r="AB80" i="16" s="1"/>
  <c r="Y343" i="16"/>
  <c r="AA343" i="16" s="1"/>
  <c r="Y493" i="16"/>
  <c r="AA273" i="16"/>
  <c r="Y316" i="16"/>
  <c r="AA316" i="16" s="1"/>
  <c r="Y136" i="16"/>
  <c r="AA136" i="16" s="1"/>
  <c r="C37" i="11"/>
  <c r="Y402" i="16"/>
  <c r="AA402" i="16" s="1"/>
  <c r="Y436" i="16"/>
  <c r="AB436" i="16" s="1"/>
  <c r="Y492" i="16"/>
  <c r="AB492" i="16" s="1"/>
  <c r="Y313" i="16"/>
  <c r="AA313" i="16" s="1"/>
  <c r="U54" i="16"/>
  <c r="Z54" i="16" s="1"/>
  <c r="AC54" i="16" s="1"/>
  <c r="AB456" i="16"/>
  <c r="AD11" i="9"/>
  <c r="AD12" i="9"/>
  <c r="U53" i="25"/>
  <c r="Z53" i="25" s="1"/>
  <c r="AC53" i="25" s="1"/>
  <c r="U7" i="25"/>
  <c r="U68" i="25"/>
  <c r="Z68" i="25" s="1"/>
  <c r="AD68" i="25" s="1"/>
  <c r="U48" i="25"/>
  <c r="Z48" i="25" s="1"/>
  <c r="AC48" i="25" s="1"/>
  <c r="U54" i="25"/>
  <c r="Z54" i="25" s="1"/>
  <c r="AC54" i="25" s="1"/>
  <c r="U18" i="25"/>
  <c r="Z18" i="25" s="1"/>
  <c r="AC18" i="25" s="1"/>
  <c r="U23" i="25"/>
  <c r="Z23" i="25" s="1"/>
  <c r="AC23" i="25" s="1"/>
  <c r="U11" i="25"/>
  <c r="Z11" i="25" s="1"/>
  <c r="AC11" i="25" s="1"/>
  <c r="U47" i="25"/>
  <c r="Z47" i="25" s="1"/>
  <c r="AD47" i="25" s="1"/>
  <c r="U8" i="25"/>
  <c r="Z8" i="25" s="1"/>
  <c r="AC8" i="25" s="1"/>
  <c r="U17" i="25"/>
  <c r="Z17" i="25" s="1"/>
  <c r="AD17" i="25" s="1"/>
  <c r="U72" i="25"/>
  <c r="Z72" i="25" s="1"/>
  <c r="AC72" i="25" s="1"/>
  <c r="U37" i="25"/>
  <c r="U38" i="25"/>
  <c r="Z38" i="25" s="1"/>
  <c r="AC38" i="25" s="1"/>
  <c r="U12" i="25"/>
  <c r="Z12" i="25" s="1"/>
  <c r="AD12" i="25" s="1"/>
  <c r="U42" i="25"/>
  <c r="Z42" i="25" s="1"/>
  <c r="AD42" i="25" s="1"/>
  <c r="U24" i="25"/>
  <c r="Z24" i="25" s="1"/>
  <c r="AD24" i="25" s="1"/>
  <c r="U71" i="25"/>
  <c r="Z71" i="25" s="1"/>
  <c r="AD71" i="25" s="1"/>
  <c r="U84" i="25"/>
  <c r="Z84" i="25" s="1"/>
  <c r="AC84" i="25" s="1"/>
  <c r="U41" i="25"/>
  <c r="Z41" i="25" s="1"/>
  <c r="AD41" i="25" s="1"/>
  <c r="AC12" i="9"/>
  <c r="AD41" i="16"/>
  <c r="AC7" i="9"/>
  <c r="AC42" i="9"/>
  <c r="AD42" i="9"/>
  <c r="U83" i="16"/>
  <c r="Z83" i="16" s="1"/>
  <c r="AC83" i="16" s="1"/>
  <c r="G6" i="11"/>
  <c r="AC91" i="25"/>
  <c r="AD91" i="25"/>
  <c r="U83" i="17"/>
  <c r="Z83" i="17" s="1"/>
  <c r="AC83" i="17" s="1"/>
  <c r="AB306" i="9"/>
  <c r="U78" i="16"/>
  <c r="Z78" i="16" s="1"/>
  <c r="AB139" i="9"/>
  <c r="U68" i="17"/>
  <c r="Z68" i="17" s="1"/>
  <c r="AD68" i="17" s="1"/>
  <c r="AB155" i="9"/>
  <c r="AA13" i="9"/>
  <c r="O116" i="25"/>
  <c r="U116" i="25" s="1"/>
  <c r="Z116" i="25" s="1"/>
  <c r="O108" i="25"/>
  <c r="U108" i="25" s="1"/>
  <c r="Z108" i="25" s="1"/>
  <c r="O100" i="25"/>
  <c r="U100" i="25" s="1"/>
  <c r="Z100" i="25" s="1"/>
  <c r="O122" i="25"/>
  <c r="U122" i="25" s="1"/>
  <c r="Z122" i="25" s="1"/>
  <c r="O121" i="25"/>
  <c r="U121" i="25" s="1"/>
  <c r="Z121" i="25" s="1"/>
  <c r="O120" i="25"/>
  <c r="U120" i="25" s="1"/>
  <c r="Z120" i="25" s="1"/>
  <c r="O112" i="25"/>
  <c r="U112" i="25" s="1"/>
  <c r="Z112" i="25" s="1"/>
  <c r="O104" i="25"/>
  <c r="U104" i="25" s="1"/>
  <c r="Z104" i="25" s="1"/>
  <c r="O118" i="25"/>
  <c r="U118" i="25" s="1"/>
  <c r="Z118" i="25" s="1"/>
  <c r="O94" i="25"/>
  <c r="U94" i="25" s="1"/>
  <c r="Z94" i="25" s="1"/>
  <c r="O102" i="25"/>
  <c r="U102" i="25" s="1"/>
  <c r="Z102" i="25" s="1"/>
  <c r="O98" i="25"/>
  <c r="U98" i="25" s="1"/>
  <c r="Z98" i="25" s="1"/>
  <c r="O93" i="25"/>
  <c r="U93" i="25" s="1"/>
  <c r="O110" i="25"/>
  <c r="U110" i="25" s="1"/>
  <c r="Z110" i="25" s="1"/>
  <c r="O106" i="25"/>
  <c r="U106" i="25" s="1"/>
  <c r="Z106" i="25" s="1"/>
  <c r="O114" i="25"/>
  <c r="U114" i="25" s="1"/>
  <c r="Z114" i="25" s="1"/>
  <c r="O119" i="25"/>
  <c r="U119" i="25" s="1"/>
  <c r="Z119" i="25" s="1"/>
  <c r="O103" i="25"/>
  <c r="U103" i="25" s="1"/>
  <c r="O99" i="25"/>
  <c r="U99" i="25" s="1"/>
  <c r="Z99" i="25" s="1"/>
  <c r="O117" i="25"/>
  <c r="U117" i="25" s="1"/>
  <c r="Z117" i="25" s="1"/>
  <c r="O115" i="25"/>
  <c r="U115" i="25" s="1"/>
  <c r="Z115" i="25" s="1"/>
  <c r="O113" i="25"/>
  <c r="U113" i="25" s="1"/>
  <c r="Z113" i="25" s="1"/>
  <c r="O109" i="25"/>
  <c r="U109" i="25" s="1"/>
  <c r="Z109" i="25" s="1"/>
  <c r="O95" i="25"/>
  <c r="U95" i="25" s="1"/>
  <c r="Z95" i="25" s="1"/>
  <c r="O96" i="25"/>
  <c r="U96" i="25" s="1"/>
  <c r="Z96" i="25" s="1"/>
  <c r="O101" i="25"/>
  <c r="U101" i="25" s="1"/>
  <c r="Z101" i="25" s="1"/>
  <c r="O97" i="25"/>
  <c r="U97" i="25" s="1"/>
  <c r="Z97" i="25" s="1"/>
  <c r="O105" i="25"/>
  <c r="U105" i="25" s="1"/>
  <c r="O107" i="25"/>
  <c r="U107" i="25" s="1"/>
  <c r="Z107" i="25" s="1"/>
  <c r="O111" i="25"/>
  <c r="U111" i="25" s="1"/>
  <c r="Z111" i="25" s="1"/>
  <c r="AB142" i="9"/>
  <c r="U84" i="17"/>
  <c r="Z84" i="17" s="1"/>
  <c r="AD84" i="17" s="1"/>
  <c r="Z76" i="9"/>
  <c r="AB376" i="9"/>
  <c r="U83" i="19"/>
  <c r="Z83" i="19" s="1"/>
  <c r="AC83" i="19" s="1"/>
  <c r="U67" i="25"/>
  <c r="Z67" i="25" s="1"/>
  <c r="AD7" i="16"/>
  <c r="AB411" i="9"/>
  <c r="AB75" i="9"/>
  <c r="Z81" i="16"/>
  <c r="G12" i="11"/>
  <c r="U68" i="19"/>
  <c r="Z68" i="19" s="1"/>
  <c r="AC68" i="19" s="1"/>
  <c r="AA400" i="9"/>
  <c r="AB214" i="9"/>
  <c r="AD8" i="9"/>
  <c r="AC8" i="9"/>
  <c r="AB352" i="9"/>
  <c r="AB17" i="9"/>
  <c r="AD17" i="9" s="1"/>
  <c r="U77" i="16"/>
  <c r="AA199" i="9"/>
  <c r="AA440" i="17"/>
  <c r="Z81" i="9"/>
  <c r="AC37" i="17"/>
  <c r="B19" i="11"/>
  <c r="AA352" i="9"/>
  <c r="AB22" i="9"/>
  <c r="AA195" i="9"/>
  <c r="AB440" i="9"/>
  <c r="AB294" i="9"/>
  <c r="AA214" i="9"/>
  <c r="AA96" i="9"/>
  <c r="AA442" i="9"/>
  <c r="G25" i="11"/>
  <c r="AA423" i="9"/>
  <c r="G52" i="11"/>
  <c r="AB194" i="9"/>
  <c r="AB467" i="9"/>
  <c r="Z50" i="19"/>
  <c r="AD18" i="17"/>
  <c r="G47" i="11"/>
  <c r="AB167" i="9"/>
  <c r="AA15" i="9"/>
  <c r="AC15" i="9" s="1"/>
  <c r="G72" i="11"/>
  <c r="B16" i="11"/>
  <c r="AA223" i="9"/>
  <c r="Z79" i="9"/>
  <c r="AC79" i="9" s="1"/>
  <c r="AA134" i="9"/>
  <c r="AA5" i="9"/>
  <c r="G26" i="11"/>
  <c r="G34" i="11"/>
  <c r="G38" i="11"/>
  <c r="B8" i="11"/>
  <c r="AA440" i="9"/>
  <c r="AC24" i="9"/>
  <c r="AC3" i="17"/>
  <c r="AD48" i="17"/>
  <c r="AB136" i="19"/>
  <c r="G51" i="11"/>
  <c r="G77" i="11"/>
  <c r="B6" i="11"/>
  <c r="B11" i="11"/>
  <c r="B18" i="11"/>
  <c r="B7" i="11"/>
  <c r="B9" i="11"/>
  <c r="B17" i="11"/>
  <c r="AC48" i="17"/>
  <c r="AD53" i="17"/>
  <c r="AD46" i="16"/>
  <c r="AC18" i="17"/>
  <c r="AD18" i="19"/>
  <c r="AC18" i="19"/>
  <c r="AC24" i="19"/>
  <c r="AD24" i="19"/>
  <c r="AC38" i="19"/>
  <c r="AD38" i="19"/>
  <c r="AC23" i="19"/>
  <c r="AD23" i="19"/>
  <c r="AD48" i="19"/>
  <c r="AC48" i="19"/>
  <c r="AC8" i="17"/>
  <c r="AD8" i="17"/>
  <c r="AC54" i="17"/>
  <c r="AD54" i="17"/>
  <c r="AC53" i="19"/>
  <c r="AD53" i="19"/>
  <c r="AC38" i="17"/>
  <c r="AD38" i="17"/>
  <c r="AC24" i="17"/>
  <c r="AD24" i="17"/>
  <c r="AD23" i="17"/>
  <c r="AC23" i="17"/>
  <c r="AD8" i="19"/>
  <c r="AC8" i="19"/>
  <c r="AC54" i="19"/>
  <c r="AD54" i="19"/>
  <c r="G69" i="11"/>
  <c r="G46" i="11"/>
  <c r="B14" i="11"/>
  <c r="G40" i="11"/>
  <c r="G71" i="11"/>
  <c r="B13" i="11"/>
  <c r="B10" i="11"/>
  <c r="B4" i="11"/>
  <c r="L308" i="16"/>
  <c r="AI308" i="16" s="1"/>
  <c r="AK308" i="16" s="1"/>
  <c r="AL308" i="16" s="1"/>
  <c r="W308" i="16"/>
  <c r="Y303" i="9"/>
  <c r="Y333" i="9"/>
  <c r="Y63" i="9"/>
  <c r="C6" i="11"/>
  <c r="G54" i="11"/>
  <c r="B5" i="11"/>
  <c r="G16" i="11"/>
  <c r="G15" i="11"/>
  <c r="G18" i="11"/>
  <c r="G5" i="11"/>
  <c r="G7" i="11"/>
  <c r="G11" i="11"/>
  <c r="AC33" i="17"/>
  <c r="AC5" i="16"/>
  <c r="G53" i="11"/>
  <c r="AD40" i="16"/>
  <c r="G45" i="11"/>
  <c r="G44" i="11"/>
  <c r="AA40" i="16"/>
  <c r="AC40" i="16" s="1"/>
  <c r="G73" i="11"/>
  <c r="AA483" i="16"/>
  <c r="D5" i="11"/>
  <c r="AC3" i="16"/>
  <c r="D4" i="11"/>
  <c r="G68" i="11"/>
  <c r="G55" i="11"/>
  <c r="G70" i="11"/>
  <c r="G74" i="11"/>
  <c r="G31" i="11"/>
  <c r="G60" i="11"/>
  <c r="AB256" i="19"/>
  <c r="AB393" i="16"/>
  <c r="G36" i="11"/>
  <c r="G24" i="11"/>
  <c r="G78" i="11"/>
  <c r="G58" i="11"/>
  <c r="G50" i="11"/>
  <c r="G57" i="11"/>
  <c r="G30" i="11"/>
  <c r="G67" i="11"/>
  <c r="G79" i="11"/>
  <c r="G65" i="11"/>
  <c r="G59" i="11"/>
  <c r="G29" i="11"/>
  <c r="AB166" i="19"/>
  <c r="G39" i="11"/>
  <c r="W54" i="11"/>
  <c r="AA54" i="11" s="1"/>
  <c r="G49" i="11"/>
  <c r="G33" i="11"/>
  <c r="G37" i="11"/>
  <c r="G76" i="11"/>
  <c r="G48" i="11"/>
  <c r="G80" i="11"/>
  <c r="G56" i="11"/>
  <c r="G28" i="11"/>
  <c r="G35" i="11"/>
  <c r="C40" i="11"/>
  <c r="G32" i="11"/>
  <c r="C69" i="11"/>
  <c r="W68" i="11"/>
  <c r="AA68" i="11" s="1"/>
  <c r="W37" i="11"/>
  <c r="AA37" i="11" s="1"/>
  <c r="G66" i="11"/>
  <c r="G75" i="11"/>
  <c r="G27" i="11"/>
  <c r="G64" i="11"/>
  <c r="W30" i="11"/>
  <c r="AA30" i="11" s="1"/>
  <c r="Y12" i="17"/>
  <c r="AA12" i="17" s="1"/>
  <c r="AC12" i="17" s="1"/>
  <c r="C35" i="11"/>
  <c r="AA123" i="16"/>
  <c r="C54" i="11"/>
  <c r="W74" i="11"/>
  <c r="AA74" i="11" s="1"/>
  <c r="C68" i="11"/>
  <c r="AB213" i="16"/>
  <c r="W79" i="11"/>
  <c r="AA79" i="11" s="1"/>
  <c r="V35" i="11"/>
  <c r="Z35" i="11" s="1"/>
  <c r="AB363" i="16"/>
  <c r="AA363" i="16"/>
  <c r="C28" i="11"/>
  <c r="Y282" i="17"/>
  <c r="AB282" i="17" s="1"/>
  <c r="Y162" i="17"/>
  <c r="AA162" i="17" s="1"/>
  <c r="Y72" i="17"/>
  <c r="AB72" i="17" s="1"/>
  <c r="AC10" i="16"/>
  <c r="AB123" i="16"/>
  <c r="V34" i="11"/>
  <c r="Z34" i="11" s="1"/>
  <c r="C78" i="11"/>
  <c r="Y372" i="17"/>
  <c r="Y492" i="17"/>
  <c r="AA492" i="17" s="1"/>
  <c r="Z80" i="16"/>
  <c r="Y463" i="19"/>
  <c r="AA463" i="19" s="1"/>
  <c r="Y402" i="17"/>
  <c r="AA402" i="17" s="1"/>
  <c r="Y403" i="19"/>
  <c r="AB403" i="19" s="1"/>
  <c r="W31" i="11"/>
  <c r="AA31" i="11" s="1"/>
  <c r="Y42" i="17"/>
  <c r="AB42" i="17" s="1"/>
  <c r="AD42" i="17" s="1"/>
  <c r="Y222" i="17"/>
  <c r="AA222" i="17" s="1"/>
  <c r="W76" i="11"/>
  <c r="AA76" i="11" s="1"/>
  <c r="W64" i="11"/>
  <c r="AA64" i="11" s="1"/>
  <c r="D65" i="11"/>
  <c r="W24" i="11"/>
  <c r="AA24" i="11" s="1"/>
  <c r="AB333" i="16"/>
  <c r="V36" i="11"/>
  <c r="Z36" i="11" s="1"/>
  <c r="Z43" i="17"/>
  <c r="Y42" i="19"/>
  <c r="AB42" i="19" s="1"/>
  <c r="AD42" i="19" s="1"/>
  <c r="AB93" i="16"/>
  <c r="AA93" i="16"/>
  <c r="D64" i="11"/>
  <c r="W34" i="11"/>
  <c r="AA34" i="11" s="1"/>
  <c r="W53" i="11"/>
  <c r="AA53" i="11" s="1"/>
  <c r="V25" i="11"/>
  <c r="Z25" i="11" s="1"/>
  <c r="Y102" i="17"/>
  <c r="AB102" i="17" s="1"/>
  <c r="Y462" i="17"/>
  <c r="AB462" i="17" s="1"/>
  <c r="V65" i="11"/>
  <c r="Z65" i="11" s="1"/>
  <c r="AB453" i="16"/>
  <c r="AA453" i="16"/>
  <c r="V49" i="11"/>
  <c r="Z49" i="11" s="1"/>
  <c r="W44" i="11"/>
  <c r="AA44" i="11" s="1"/>
  <c r="W67" i="11"/>
  <c r="AA67" i="11" s="1"/>
  <c r="Y342" i="17"/>
  <c r="AB342" i="17" s="1"/>
  <c r="Y163" i="19"/>
  <c r="AB163" i="19" s="1"/>
  <c r="Y312" i="16"/>
  <c r="AA312" i="16" s="1"/>
  <c r="W77" i="11"/>
  <c r="AA77" i="11" s="1"/>
  <c r="AB423" i="16"/>
  <c r="AA423" i="16"/>
  <c r="V52" i="11"/>
  <c r="Z52" i="11" s="1"/>
  <c r="W66" i="11"/>
  <c r="AA66" i="11" s="1"/>
  <c r="D45" i="11"/>
  <c r="W59" i="11"/>
  <c r="AA59" i="11" s="1"/>
  <c r="D44" i="11"/>
  <c r="AB3" i="16"/>
  <c r="AD3" i="16" s="1"/>
  <c r="W25" i="11"/>
  <c r="AA25" i="11" s="1"/>
  <c r="W26" i="11"/>
  <c r="AA26" i="11" s="1"/>
  <c r="Y192" i="17"/>
  <c r="AB192" i="17" s="1"/>
  <c r="W27" i="11"/>
  <c r="AA27" i="11" s="1"/>
  <c r="C60" i="11"/>
  <c r="W29" i="11"/>
  <c r="AA29" i="11" s="1"/>
  <c r="C55" i="11"/>
  <c r="Y312" i="17"/>
  <c r="AA312" i="17" s="1"/>
  <c r="W80" i="11"/>
  <c r="AA80" i="11" s="1"/>
  <c r="C75" i="11"/>
  <c r="AA63" i="16"/>
  <c r="W69" i="11"/>
  <c r="AA69" i="11" s="1"/>
  <c r="C66" i="11"/>
  <c r="W70" i="11"/>
  <c r="AA70" i="11" s="1"/>
  <c r="W72" i="11"/>
  <c r="AA72" i="11" s="1"/>
  <c r="W40" i="11"/>
  <c r="AA40" i="11" s="1"/>
  <c r="AB183" i="16"/>
  <c r="AA183" i="16"/>
  <c r="W50" i="11"/>
  <c r="AA50" i="11" s="1"/>
  <c r="Y252" i="17"/>
  <c r="V39" i="11"/>
  <c r="Z39" i="11" s="1"/>
  <c r="AD10" i="16"/>
  <c r="AB410" i="19"/>
  <c r="AA76" i="19"/>
  <c r="U77" i="17"/>
  <c r="Z20" i="19"/>
  <c r="AD41" i="17"/>
  <c r="AC11" i="19"/>
  <c r="AD7" i="17"/>
  <c r="Z46" i="9"/>
  <c r="AA126" i="9"/>
  <c r="AB106" i="17"/>
  <c r="AA289" i="9"/>
  <c r="AB126" i="9"/>
  <c r="AA135" i="9"/>
  <c r="AD11" i="17"/>
  <c r="AD37" i="19"/>
  <c r="AA104" i="9"/>
  <c r="AA94" i="9"/>
  <c r="AB196" i="9"/>
  <c r="AA186" i="9"/>
  <c r="Z18" i="9"/>
  <c r="AD18" i="9" s="1"/>
  <c r="Z64" i="9"/>
  <c r="AB186" i="9"/>
  <c r="U77" i="9"/>
  <c r="Z77" i="9" s="1"/>
  <c r="AC77" i="9" s="1"/>
  <c r="Z81" i="17"/>
  <c r="AB200" i="19"/>
  <c r="AC41" i="19"/>
  <c r="AD7" i="19"/>
  <c r="AD53" i="9"/>
  <c r="AC53" i="9"/>
  <c r="AC9" i="16"/>
  <c r="AB260" i="19"/>
  <c r="AB256" i="17"/>
  <c r="AB231" i="19"/>
  <c r="AB501" i="19"/>
  <c r="AB197" i="9"/>
  <c r="AA411" i="19"/>
  <c r="AB257" i="9"/>
  <c r="AB40" i="9"/>
  <c r="AB500" i="19"/>
  <c r="AA35" i="9"/>
  <c r="AC35" i="9" s="1"/>
  <c r="Z76" i="16"/>
  <c r="AA316" i="19"/>
  <c r="AB201" i="19"/>
  <c r="AB287" i="9"/>
  <c r="AB9" i="16"/>
  <c r="AD9" i="16" s="1"/>
  <c r="AB317" i="9"/>
  <c r="AB230" i="17"/>
  <c r="AB351" i="19"/>
  <c r="AB102" i="16"/>
  <c r="AB13" i="9"/>
  <c r="AC17" i="9"/>
  <c r="AB339" i="16"/>
  <c r="AA501" i="17"/>
  <c r="AB171" i="19"/>
  <c r="AB497" i="9"/>
  <c r="AB407" i="9"/>
  <c r="AB133" i="9"/>
  <c r="AA140" i="9"/>
  <c r="AB171" i="9"/>
  <c r="AB230" i="19"/>
  <c r="AB291" i="19"/>
  <c r="Z21" i="17"/>
  <c r="AB111" i="17"/>
  <c r="Z51" i="19"/>
  <c r="AB51" i="9"/>
  <c r="AA21" i="17"/>
  <c r="AA351" i="17"/>
  <c r="AA351" i="19"/>
  <c r="AA111" i="19"/>
  <c r="AB81" i="9"/>
  <c r="AB346" i="19"/>
  <c r="AA21" i="19"/>
  <c r="AB351" i="16"/>
  <c r="AB321" i="17"/>
  <c r="AA201" i="9"/>
  <c r="AB21" i="19"/>
  <c r="AB261" i="19"/>
  <c r="AA441" i="19"/>
  <c r="AB501" i="17"/>
  <c r="AA201" i="17"/>
  <c r="Z80" i="19"/>
  <c r="U77" i="19"/>
  <c r="Z77" i="19" s="1"/>
  <c r="AC77" i="19" s="1"/>
  <c r="AA51" i="19"/>
  <c r="AB381" i="19"/>
  <c r="AB21" i="17"/>
  <c r="AA141" i="9"/>
  <c r="AB141" i="9"/>
  <c r="Z72" i="16"/>
  <c r="AA50" i="19"/>
  <c r="AA201" i="19"/>
  <c r="AA21" i="9"/>
  <c r="AB21" i="9"/>
  <c r="AA51" i="17"/>
  <c r="AB201" i="9"/>
  <c r="AA470" i="19"/>
  <c r="AB351" i="17"/>
  <c r="AA501" i="19"/>
  <c r="AA261" i="19"/>
  <c r="AB441" i="19"/>
  <c r="AA111" i="9"/>
  <c r="AB111" i="9"/>
  <c r="AB51" i="19"/>
  <c r="AB51" i="17"/>
  <c r="AB471" i="17"/>
  <c r="AA291" i="19"/>
  <c r="AA381" i="19"/>
  <c r="AB111" i="19"/>
  <c r="AB201" i="17"/>
  <c r="AA111" i="17"/>
  <c r="AA231" i="9"/>
  <c r="AB231" i="9"/>
  <c r="AA81" i="9"/>
  <c r="AB411" i="19"/>
  <c r="Z80" i="9"/>
  <c r="AB399" i="16"/>
  <c r="AB106" i="19"/>
  <c r="AA286" i="19"/>
  <c r="AA290" i="19"/>
  <c r="AA441" i="17"/>
  <c r="AA81" i="19"/>
  <c r="AA171" i="9"/>
  <c r="AA51" i="9"/>
  <c r="AA321" i="17"/>
  <c r="AA171" i="19"/>
  <c r="AA170" i="17"/>
  <c r="AB496" i="19"/>
  <c r="AB350" i="16"/>
  <c r="AA346" i="17"/>
  <c r="AB376" i="17"/>
  <c r="AA46" i="9"/>
  <c r="AB466" i="19"/>
  <c r="AB463" i="16"/>
  <c r="AA463" i="16"/>
  <c r="AA350" i="19"/>
  <c r="AB160" i="9"/>
  <c r="AA440" i="19"/>
  <c r="AA406" i="19"/>
  <c r="AA140" i="19"/>
  <c r="AA230" i="19"/>
  <c r="AB286" i="19"/>
  <c r="AA80" i="19"/>
  <c r="AA220" i="9"/>
  <c r="AA500" i="19"/>
  <c r="AA260" i="19"/>
  <c r="AA76" i="17"/>
  <c r="AB350" i="17"/>
  <c r="AA256" i="17"/>
  <c r="AB226" i="17"/>
  <c r="Z80" i="17"/>
  <c r="AA316" i="17"/>
  <c r="AA46" i="19"/>
  <c r="AC46" i="19" s="1"/>
  <c r="AA226" i="17"/>
  <c r="AB130" i="9"/>
  <c r="AB470" i="17"/>
  <c r="AB196" i="19"/>
  <c r="AB350" i="19"/>
  <c r="AB286" i="17"/>
  <c r="AB470" i="19"/>
  <c r="AA196" i="9"/>
  <c r="AB376" i="19"/>
  <c r="AB140" i="19"/>
  <c r="AA136" i="19"/>
  <c r="AA466" i="19"/>
  <c r="AB50" i="9"/>
  <c r="AA200" i="19"/>
  <c r="AB226" i="19"/>
  <c r="AB496" i="17"/>
  <c r="AB290" i="17"/>
  <c r="AA200" i="17"/>
  <c r="AA406" i="17"/>
  <c r="Z17" i="19"/>
  <c r="B72" i="11"/>
  <c r="L407" i="17"/>
  <c r="Y407" i="17" s="1"/>
  <c r="AA407" i="17" s="1"/>
  <c r="L195" i="19"/>
  <c r="Y195" i="19" s="1"/>
  <c r="W195" i="19"/>
  <c r="B70" i="11"/>
  <c r="AB230" i="9"/>
  <c r="AB282" i="16"/>
  <c r="AA282" i="16"/>
  <c r="W347" i="16"/>
  <c r="L347" i="16"/>
  <c r="AI347" i="16" s="1"/>
  <c r="AK347" i="16" s="1"/>
  <c r="AL347" i="16" s="1"/>
  <c r="B55" i="11"/>
  <c r="W345" i="17"/>
  <c r="W225" i="16"/>
  <c r="L225" i="16"/>
  <c r="AI225" i="16" s="1"/>
  <c r="AK225" i="16" s="1"/>
  <c r="AL225" i="16" s="1"/>
  <c r="AA110" i="9"/>
  <c r="AB110" i="9"/>
  <c r="AB316" i="17"/>
  <c r="L47" i="17"/>
  <c r="Y47" i="17" s="1"/>
  <c r="AA47" i="17" s="1"/>
  <c r="AA252" i="16"/>
  <c r="AA16" i="9"/>
  <c r="AB16" i="9"/>
  <c r="AA346" i="19"/>
  <c r="L107" i="17"/>
  <c r="Y107" i="17" s="1"/>
  <c r="W107" i="17"/>
  <c r="W45" i="19"/>
  <c r="W465" i="16"/>
  <c r="L465" i="16"/>
  <c r="AI465" i="16" s="1"/>
  <c r="AK465" i="16" s="1"/>
  <c r="AL465" i="16" s="1"/>
  <c r="L377" i="17"/>
  <c r="Y377" i="17" s="1"/>
  <c r="W377" i="17"/>
  <c r="AA80" i="9"/>
  <c r="AB80" i="9"/>
  <c r="AA170" i="19"/>
  <c r="AA106" i="19"/>
  <c r="AB290" i="19"/>
  <c r="AA350" i="16"/>
  <c r="AA46" i="17"/>
  <c r="L285" i="19"/>
  <c r="Y285" i="19" s="1"/>
  <c r="W285" i="19"/>
  <c r="L45" i="16"/>
  <c r="AI45" i="16" s="1"/>
  <c r="AK45" i="16" s="1"/>
  <c r="AL45" i="16" s="1"/>
  <c r="W45" i="16"/>
  <c r="AA170" i="9"/>
  <c r="AB170" i="9"/>
  <c r="L227" i="17"/>
  <c r="Y227" i="17" s="1"/>
  <c r="AA227" i="17" s="1"/>
  <c r="AA376" i="19"/>
  <c r="L17" i="17"/>
  <c r="Y17" i="17" s="1"/>
  <c r="AA17" i="17" s="1"/>
  <c r="AA200" i="9"/>
  <c r="AB200" i="9"/>
  <c r="L495" i="19"/>
  <c r="Y495" i="19" s="1"/>
  <c r="W495" i="19"/>
  <c r="AA160" i="9"/>
  <c r="AA106" i="17"/>
  <c r="AA230" i="17"/>
  <c r="AA369" i="16"/>
  <c r="AB128" i="16"/>
  <c r="B71" i="11"/>
  <c r="AA462" i="16"/>
  <c r="AB462" i="16"/>
  <c r="AA380" i="19"/>
  <c r="W435" i="16"/>
  <c r="AA166" i="9"/>
  <c r="AB166" i="9"/>
  <c r="L197" i="17"/>
  <c r="Y197" i="17" s="1"/>
  <c r="W197" i="17"/>
  <c r="L315" i="19"/>
  <c r="Y315" i="19" s="1"/>
  <c r="W315" i="19"/>
  <c r="L375" i="19"/>
  <c r="Y375" i="19" s="1"/>
  <c r="W375" i="19"/>
  <c r="B76" i="11"/>
  <c r="W135" i="16"/>
  <c r="AB76" i="17"/>
  <c r="L345" i="19"/>
  <c r="Y345" i="19" s="1"/>
  <c r="B75" i="11"/>
  <c r="W345" i="19"/>
  <c r="W345" i="16"/>
  <c r="AB140" i="9"/>
  <c r="AB253" i="17"/>
  <c r="AA100" i="9"/>
  <c r="AB100" i="9"/>
  <c r="AB170" i="19"/>
  <c r="AB380" i="19"/>
  <c r="Z76" i="19"/>
  <c r="AA436" i="17"/>
  <c r="W167" i="16"/>
  <c r="L167" i="16"/>
  <c r="AI167" i="16" s="1"/>
  <c r="AK167" i="16" s="1"/>
  <c r="AL167" i="16" s="1"/>
  <c r="W255" i="17"/>
  <c r="F52" i="11" s="1"/>
  <c r="B29" i="11"/>
  <c r="L165" i="16"/>
  <c r="AI165" i="16" s="1"/>
  <c r="AK165" i="16" s="1"/>
  <c r="AL165" i="16" s="1"/>
  <c r="W165" i="16"/>
  <c r="AA106" i="9"/>
  <c r="AB106" i="9"/>
  <c r="W227" i="16"/>
  <c r="L227" i="16"/>
  <c r="AI227" i="16" s="1"/>
  <c r="AK227" i="16" s="1"/>
  <c r="AL227" i="16" s="1"/>
  <c r="B58" i="11"/>
  <c r="AA500" i="17"/>
  <c r="AA130" i="9"/>
  <c r="L287" i="17"/>
  <c r="Y287" i="17" s="1"/>
  <c r="AA287" i="17" s="1"/>
  <c r="W437" i="16"/>
  <c r="L437" i="16"/>
  <c r="AI437" i="16" s="1"/>
  <c r="AK437" i="16" s="1"/>
  <c r="AL437" i="16" s="1"/>
  <c r="AA50" i="9"/>
  <c r="AB170" i="17"/>
  <c r="B27" i="11"/>
  <c r="AB346" i="17"/>
  <c r="AB436" i="17"/>
  <c r="L347" i="17"/>
  <c r="Y347" i="17" s="1"/>
  <c r="W347" i="17"/>
  <c r="L287" i="16"/>
  <c r="AI287" i="16" s="1"/>
  <c r="AK287" i="16" s="1"/>
  <c r="AL287" i="16" s="1"/>
  <c r="W287" i="16"/>
  <c r="L75" i="16"/>
  <c r="AI75" i="16" s="1"/>
  <c r="AK75" i="16" s="1"/>
  <c r="AL75" i="16" s="1"/>
  <c r="W75" i="16"/>
  <c r="AB76" i="19"/>
  <c r="AA496" i="19"/>
  <c r="AB80" i="19"/>
  <c r="L17" i="19"/>
  <c r="Y17" i="19" s="1"/>
  <c r="W17" i="19"/>
  <c r="L437" i="17"/>
  <c r="Y437" i="17" s="1"/>
  <c r="W437" i="17"/>
  <c r="B51" i="11"/>
  <c r="W225" i="17"/>
  <c r="C52" i="11"/>
  <c r="L257" i="17"/>
  <c r="Y257" i="17" s="1"/>
  <c r="AA257" i="17" s="1"/>
  <c r="L75" i="19"/>
  <c r="Y75" i="19" s="1"/>
  <c r="W75" i="19"/>
  <c r="B50" i="11"/>
  <c r="AB500" i="17"/>
  <c r="B54" i="11"/>
  <c r="W15" i="16"/>
  <c r="L15" i="16"/>
  <c r="AI15" i="16" s="1"/>
  <c r="AK15" i="16" s="1"/>
  <c r="AL15" i="16" s="1"/>
  <c r="L77" i="17"/>
  <c r="Y77" i="17" s="1"/>
  <c r="W77" i="17"/>
  <c r="AB320" i="19"/>
  <c r="W375" i="17"/>
  <c r="AB380" i="17"/>
  <c r="AA76" i="9"/>
  <c r="AB76" i="9"/>
  <c r="L167" i="17"/>
  <c r="Y167" i="17" s="1"/>
  <c r="AA167" i="17" s="1"/>
  <c r="C65" i="11"/>
  <c r="L47" i="19"/>
  <c r="Y47" i="19" s="1"/>
  <c r="AA47" i="19" s="1"/>
  <c r="L467" i="17"/>
  <c r="Y467" i="17" s="1"/>
  <c r="AA467" i="17" s="1"/>
  <c r="AB406" i="17"/>
  <c r="L165" i="19"/>
  <c r="Y165" i="19" s="1"/>
  <c r="W165" i="19"/>
  <c r="F69" i="11" s="1"/>
  <c r="B69" i="11"/>
  <c r="W197" i="16"/>
  <c r="L197" i="16"/>
  <c r="AI197" i="16" s="1"/>
  <c r="AK197" i="16" s="1"/>
  <c r="AL197" i="16" s="1"/>
  <c r="W195" i="16"/>
  <c r="L195" i="16"/>
  <c r="AI195" i="16" s="1"/>
  <c r="AK195" i="16" s="1"/>
  <c r="AL195" i="16" s="1"/>
  <c r="B30" i="11"/>
  <c r="W405" i="19"/>
  <c r="F77" i="11" s="1"/>
  <c r="B77" i="11"/>
  <c r="AA40" i="9"/>
  <c r="W255" i="16"/>
  <c r="L255" i="16"/>
  <c r="AI255" i="16" s="1"/>
  <c r="AK255" i="16" s="1"/>
  <c r="AL255" i="16" s="1"/>
  <c r="L137" i="17"/>
  <c r="Y137" i="17" s="1"/>
  <c r="W137" i="17"/>
  <c r="L45" i="17"/>
  <c r="Y45" i="17" s="1"/>
  <c r="W45" i="17"/>
  <c r="L257" i="16"/>
  <c r="AI257" i="16" s="1"/>
  <c r="AK257" i="16" s="1"/>
  <c r="AL257" i="16" s="1"/>
  <c r="W257" i="16"/>
  <c r="L435" i="19"/>
  <c r="Y435" i="19" s="1"/>
  <c r="W435" i="19"/>
  <c r="B78" i="11"/>
  <c r="AB50" i="19"/>
  <c r="AA196" i="19"/>
  <c r="AA290" i="17"/>
  <c r="L105" i="19"/>
  <c r="Y105" i="19" s="1"/>
  <c r="W105" i="19"/>
  <c r="AB200" i="17"/>
  <c r="AB46" i="19"/>
  <c r="AD46" i="19" s="1"/>
  <c r="W17" i="16"/>
  <c r="L17" i="16"/>
  <c r="AI17" i="16" s="1"/>
  <c r="AK17" i="16" s="1"/>
  <c r="AL17" i="16" s="1"/>
  <c r="L285" i="17"/>
  <c r="Y285" i="17" s="1"/>
  <c r="W285" i="17"/>
  <c r="B53" i="11"/>
  <c r="AA226" i="19"/>
  <c r="W465" i="19"/>
  <c r="F79" i="11" s="1"/>
  <c r="B79" i="11"/>
  <c r="L375" i="16"/>
  <c r="AI375" i="16" s="1"/>
  <c r="AK375" i="16" s="1"/>
  <c r="AL375" i="16" s="1"/>
  <c r="W375" i="16"/>
  <c r="AA376" i="17"/>
  <c r="AB46" i="9"/>
  <c r="AA350" i="17"/>
  <c r="AB440" i="19"/>
  <c r="W47" i="16"/>
  <c r="L47" i="16"/>
  <c r="AI47" i="16" s="1"/>
  <c r="AK47" i="16" s="1"/>
  <c r="AL47" i="16" s="1"/>
  <c r="AA10" i="9"/>
  <c r="AC10" i="9" s="1"/>
  <c r="AB10" i="9"/>
  <c r="AD10" i="9" s="1"/>
  <c r="W15" i="19"/>
  <c r="Z43" i="19"/>
  <c r="B34" i="11"/>
  <c r="W165" i="17"/>
  <c r="AA20" i="9"/>
  <c r="AC20" i="9" s="1"/>
  <c r="AB20" i="9"/>
  <c r="AD20" i="9" s="1"/>
  <c r="AA136" i="9"/>
  <c r="AB410" i="17"/>
  <c r="W317" i="16"/>
  <c r="L317" i="16"/>
  <c r="AI317" i="16" s="1"/>
  <c r="AK317" i="16" s="1"/>
  <c r="AL317" i="16" s="1"/>
  <c r="L405" i="16"/>
  <c r="AI405" i="16" s="1"/>
  <c r="AK405" i="16" s="1"/>
  <c r="AL405" i="16" s="1"/>
  <c r="B37" i="11"/>
  <c r="W405" i="16"/>
  <c r="AA166" i="19"/>
  <c r="AB220" i="9"/>
  <c r="L497" i="17"/>
  <c r="Y497" i="17" s="1"/>
  <c r="W497" i="17"/>
  <c r="L75" i="17"/>
  <c r="Y75" i="17" s="1"/>
  <c r="AB316" i="19"/>
  <c r="AB343" i="17"/>
  <c r="AA343" i="17"/>
  <c r="AA470" i="16"/>
  <c r="L317" i="17"/>
  <c r="Y317" i="17" s="1"/>
  <c r="W317" i="17"/>
  <c r="L465" i="17"/>
  <c r="Y465" i="17" s="1"/>
  <c r="W495" i="16"/>
  <c r="L495" i="16"/>
  <c r="AI495" i="16" s="1"/>
  <c r="AK495" i="16" s="1"/>
  <c r="AL495" i="16" s="1"/>
  <c r="AB46" i="17"/>
  <c r="AB38" i="16"/>
  <c r="AB129" i="16"/>
  <c r="AA368" i="16"/>
  <c r="AB368" i="16"/>
  <c r="AA428" i="16"/>
  <c r="AB428" i="16"/>
  <c r="AA338" i="16"/>
  <c r="AB188" i="16"/>
  <c r="AB429" i="16"/>
  <c r="AA429" i="16"/>
  <c r="AA99" i="16"/>
  <c r="AB99" i="16"/>
  <c r="AA168" i="16"/>
  <c r="AB497" i="16"/>
  <c r="AA497" i="16"/>
  <c r="AA318" i="16"/>
  <c r="AB318" i="16"/>
  <c r="AB137" i="16"/>
  <c r="AB78" i="16"/>
  <c r="AA78" i="16"/>
  <c r="AA228" i="16"/>
  <c r="AB228" i="16"/>
  <c r="AB467" i="16"/>
  <c r="AB107" i="16"/>
  <c r="AA107" i="16"/>
  <c r="AD3" i="19"/>
  <c r="AD34" i="16"/>
  <c r="AD33" i="19"/>
  <c r="Z63" i="19"/>
  <c r="AC63" i="19" s="1"/>
  <c r="AD35" i="9"/>
  <c r="Z82" i="9"/>
  <c r="AC82" i="9" s="1"/>
  <c r="Z63" i="9"/>
  <c r="Z63" i="16"/>
  <c r="AD63" i="16" s="1"/>
  <c r="Z82" i="16"/>
  <c r="AC82" i="16" s="1"/>
  <c r="Z73" i="16"/>
  <c r="Z79" i="16"/>
  <c r="Z74" i="16"/>
  <c r="AC74" i="16" s="1"/>
  <c r="Z69" i="16"/>
  <c r="AC69" i="16" s="1"/>
  <c r="Z66" i="16"/>
  <c r="Z84" i="16"/>
  <c r="Z65" i="16"/>
  <c r="Z79" i="17"/>
  <c r="AC79" i="17" s="1"/>
  <c r="Z64" i="17"/>
  <c r="AC64" i="17" s="1"/>
  <c r="Z63" i="17"/>
  <c r="AC63" i="17" s="1"/>
  <c r="Z82" i="17"/>
  <c r="AD82" i="17" s="1"/>
  <c r="Z72" i="17"/>
  <c r="Z74" i="17"/>
  <c r="AD74" i="17" s="1"/>
  <c r="Z72" i="19"/>
  <c r="AD72" i="19" s="1"/>
  <c r="Z79" i="19"/>
  <c r="AC79" i="19" s="1"/>
  <c r="Z78" i="19"/>
  <c r="AC78" i="19" s="1"/>
  <c r="AB405" i="9"/>
  <c r="AC48" i="9"/>
  <c r="AD71" i="9"/>
  <c r="AC71" i="9"/>
  <c r="AD48" i="9"/>
  <c r="AD54" i="9"/>
  <c r="AC54" i="9"/>
  <c r="AC91" i="17"/>
  <c r="AD91" i="17"/>
  <c r="AD74" i="19"/>
  <c r="AC74" i="19"/>
  <c r="AD65" i="19"/>
  <c r="AC65" i="19"/>
  <c r="AD85" i="17"/>
  <c r="AC85" i="17"/>
  <c r="AC83" i="9"/>
  <c r="AD47" i="9"/>
  <c r="AC89" i="9"/>
  <c r="AD89" i="9"/>
  <c r="AC89" i="16"/>
  <c r="AD89" i="16"/>
  <c r="AD87" i="17"/>
  <c r="AC87" i="17"/>
  <c r="AC67" i="17"/>
  <c r="AD67" i="17"/>
  <c r="AD71" i="19"/>
  <c r="AC71" i="19"/>
  <c r="AC66" i="19"/>
  <c r="AD66" i="19"/>
  <c r="O94" i="19"/>
  <c r="U94" i="19" s="1"/>
  <c r="Z94" i="19" s="1"/>
  <c r="O95" i="19"/>
  <c r="U95" i="19" s="1"/>
  <c r="Z95" i="19" s="1"/>
  <c r="O100" i="19"/>
  <c r="U100" i="19" s="1"/>
  <c r="Z100" i="19" s="1"/>
  <c r="O104" i="19"/>
  <c r="U104" i="19" s="1"/>
  <c r="Z104" i="19" s="1"/>
  <c r="O108" i="19"/>
  <c r="U108" i="19" s="1"/>
  <c r="Z108" i="19" s="1"/>
  <c r="O113" i="19"/>
  <c r="U113" i="19" s="1"/>
  <c r="Z113" i="19" s="1"/>
  <c r="O116" i="19"/>
  <c r="U116" i="19" s="1"/>
  <c r="Z116" i="19" s="1"/>
  <c r="O112" i="19"/>
  <c r="U112" i="19" s="1"/>
  <c r="Z112" i="19" s="1"/>
  <c r="O115" i="19"/>
  <c r="U115" i="19" s="1"/>
  <c r="Z115" i="19" s="1"/>
  <c r="O117" i="19"/>
  <c r="U117" i="19" s="1"/>
  <c r="Z117" i="19" s="1"/>
  <c r="O118" i="19"/>
  <c r="U118" i="19" s="1"/>
  <c r="Z118" i="19" s="1"/>
  <c r="O103" i="19"/>
  <c r="U103" i="19" s="1"/>
  <c r="O107" i="19"/>
  <c r="U107" i="19" s="1"/>
  <c r="Z107" i="19" s="1"/>
  <c r="O111" i="19"/>
  <c r="U111" i="19" s="1"/>
  <c r="Z111" i="19" s="1"/>
  <c r="O102" i="19"/>
  <c r="U102" i="19" s="1"/>
  <c r="Z102" i="19" s="1"/>
  <c r="O106" i="19"/>
  <c r="U106" i="19" s="1"/>
  <c r="Z106" i="19" s="1"/>
  <c r="O110" i="19"/>
  <c r="U110" i="19" s="1"/>
  <c r="Z110" i="19" s="1"/>
  <c r="O119" i="19"/>
  <c r="U119" i="19" s="1"/>
  <c r="Z119" i="19" s="1"/>
  <c r="O120" i="19"/>
  <c r="U120" i="19" s="1"/>
  <c r="Z120" i="19" s="1"/>
  <c r="O122" i="19"/>
  <c r="U122" i="19" s="1"/>
  <c r="Z122" i="19" s="1"/>
  <c r="O99" i="19"/>
  <c r="U99" i="19" s="1"/>
  <c r="Z99" i="19" s="1"/>
  <c r="O121" i="19"/>
  <c r="U121" i="19" s="1"/>
  <c r="Z121" i="19" s="1"/>
  <c r="O93" i="19"/>
  <c r="U93" i="19" s="1"/>
  <c r="O96" i="19"/>
  <c r="U96" i="19" s="1"/>
  <c r="Z96" i="19" s="1"/>
  <c r="O97" i="19"/>
  <c r="U97" i="19" s="1"/>
  <c r="Z97" i="19" s="1"/>
  <c r="O98" i="19"/>
  <c r="U98" i="19" s="1"/>
  <c r="Z98" i="19" s="1"/>
  <c r="O101" i="19"/>
  <c r="U101" i="19" s="1"/>
  <c r="Z101" i="19" s="1"/>
  <c r="O105" i="19"/>
  <c r="U105" i="19" s="1"/>
  <c r="O109" i="19"/>
  <c r="U109" i="19" s="1"/>
  <c r="Z109" i="19" s="1"/>
  <c r="O114" i="19"/>
  <c r="U114" i="19" s="1"/>
  <c r="Z114" i="19" s="1"/>
  <c r="O114" i="17"/>
  <c r="U114" i="17" s="1"/>
  <c r="Z114" i="17" s="1"/>
  <c r="O120" i="17"/>
  <c r="U120" i="17" s="1"/>
  <c r="Z120" i="17" s="1"/>
  <c r="O121" i="17"/>
  <c r="U121" i="17" s="1"/>
  <c r="Z121" i="17" s="1"/>
  <c r="O122" i="17"/>
  <c r="U122" i="17" s="1"/>
  <c r="Z122" i="17" s="1"/>
  <c r="O96" i="17"/>
  <c r="U96" i="17" s="1"/>
  <c r="Z96" i="17" s="1"/>
  <c r="O98" i="17"/>
  <c r="U98" i="17" s="1"/>
  <c r="Z98" i="17" s="1"/>
  <c r="O99" i="17"/>
  <c r="U99" i="17" s="1"/>
  <c r="Z99" i="17" s="1"/>
  <c r="O111" i="17"/>
  <c r="U111" i="17" s="1"/>
  <c r="Z111" i="17" s="1"/>
  <c r="O113" i="17"/>
  <c r="U113" i="17" s="1"/>
  <c r="Z113" i="17" s="1"/>
  <c r="O94" i="17"/>
  <c r="U94" i="17" s="1"/>
  <c r="Z94" i="17" s="1"/>
  <c r="O95" i="17"/>
  <c r="U95" i="17" s="1"/>
  <c r="Z95" i="17" s="1"/>
  <c r="O97" i="17"/>
  <c r="U97" i="17" s="1"/>
  <c r="Z97" i="17" s="1"/>
  <c r="O112" i="17"/>
  <c r="U112" i="17" s="1"/>
  <c r="Z112" i="17" s="1"/>
  <c r="O93" i="17"/>
  <c r="U93" i="17" s="1"/>
  <c r="O100" i="17"/>
  <c r="U100" i="17" s="1"/>
  <c r="Z100" i="17" s="1"/>
  <c r="O104" i="17"/>
  <c r="U104" i="17" s="1"/>
  <c r="Z104" i="17" s="1"/>
  <c r="O106" i="17"/>
  <c r="U106" i="17" s="1"/>
  <c r="Z106" i="17" s="1"/>
  <c r="O107" i="17"/>
  <c r="U107" i="17" s="1"/>
  <c r="Z107" i="17" s="1"/>
  <c r="O108" i="17"/>
  <c r="U108" i="17" s="1"/>
  <c r="Z108" i="17" s="1"/>
  <c r="O101" i="17"/>
  <c r="U101" i="17" s="1"/>
  <c r="Z101" i="17" s="1"/>
  <c r="O102" i="17"/>
  <c r="U102" i="17" s="1"/>
  <c r="Z102" i="17" s="1"/>
  <c r="O103" i="17"/>
  <c r="U103" i="17" s="1"/>
  <c r="O109" i="17"/>
  <c r="U109" i="17" s="1"/>
  <c r="Z109" i="17" s="1"/>
  <c r="O110" i="17"/>
  <c r="U110" i="17" s="1"/>
  <c r="Z110" i="17" s="1"/>
  <c r="O119" i="17"/>
  <c r="U119" i="17" s="1"/>
  <c r="Z119" i="17" s="1"/>
  <c r="O117" i="17"/>
  <c r="U117" i="17" s="1"/>
  <c r="Z117" i="17" s="1"/>
  <c r="O118" i="17"/>
  <c r="U118" i="17" s="1"/>
  <c r="Z118" i="17" s="1"/>
  <c r="O105" i="17"/>
  <c r="U105" i="17" s="1"/>
  <c r="O115" i="17"/>
  <c r="U115" i="17" s="1"/>
  <c r="Z115" i="17" s="1"/>
  <c r="O116" i="17"/>
  <c r="U116" i="17" s="1"/>
  <c r="Z116" i="17" s="1"/>
  <c r="O98" i="16"/>
  <c r="U98" i="16" s="1"/>
  <c r="Z98" i="16" s="1"/>
  <c r="O101" i="16"/>
  <c r="U101" i="16" s="1"/>
  <c r="Z101" i="16" s="1"/>
  <c r="O119" i="16"/>
  <c r="U119" i="16" s="1"/>
  <c r="Z119" i="16" s="1"/>
  <c r="O96" i="16"/>
  <c r="U96" i="16" s="1"/>
  <c r="Z96" i="16" s="1"/>
  <c r="O97" i="16"/>
  <c r="U97" i="16" s="1"/>
  <c r="Z97" i="16" s="1"/>
  <c r="O105" i="16"/>
  <c r="U105" i="16" s="1"/>
  <c r="O106" i="16"/>
  <c r="U106" i="16" s="1"/>
  <c r="Z106" i="16" s="1"/>
  <c r="O108" i="16"/>
  <c r="U108" i="16" s="1"/>
  <c r="Z108" i="16" s="1"/>
  <c r="O112" i="16"/>
  <c r="U112" i="16" s="1"/>
  <c r="Z112" i="16" s="1"/>
  <c r="O116" i="16"/>
  <c r="U116" i="16" s="1"/>
  <c r="Z116" i="16" s="1"/>
  <c r="O95" i="16"/>
  <c r="U95" i="16" s="1"/>
  <c r="Z95" i="16" s="1"/>
  <c r="O104" i="16"/>
  <c r="U104" i="16" s="1"/>
  <c r="Z104" i="16" s="1"/>
  <c r="O107" i="16"/>
  <c r="U107" i="16" s="1"/>
  <c r="Z107" i="16" s="1"/>
  <c r="O118" i="16"/>
  <c r="U118" i="16" s="1"/>
  <c r="Z118" i="16" s="1"/>
  <c r="O110" i="16"/>
  <c r="U110" i="16" s="1"/>
  <c r="Z110" i="16" s="1"/>
  <c r="O102" i="16"/>
  <c r="U102" i="16" s="1"/>
  <c r="Z102" i="16" s="1"/>
  <c r="O114" i="16"/>
  <c r="U114" i="16" s="1"/>
  <c r="Z114" i="16" s="1"/>
  <c r="O103" i="16"/>
  <c r="U103" i="16" s="1"/>
  <c r="Z103" i="16" s="1"/>
  <c r="O94" i="16"/>
  <c r="U94" i="16" s="1"/>
  <c r="Z94" i="16" s="1"/>
  <c r="O100" i="16"/>
  <c r="U100" i="16" s="1"/>
  <c r="Z100" i="16" s="1"/>
  <c r="O117" i="16"/>
  <c r="U117" i="16" s="1"/>
  <c r="Z117" i="16" s="1"/>
  <c r="O111" i="16"/>
  <c r="U111" i="16" s="1"/>
  <c r="Z111" i="16" s="1"/>
  <c r="O120" i="16"/>
  <c r="U120" i="16" s="1"/>
  <c r="Z120" i="16" s="1"/>
  <c r="O115" i="16"/>
  <c r="U115" i="16" s="1"/>
  <c r="Z115" i="16" s="1"/>
  <c r="O116" i="9"/>
  <c r="U116" i="9" s="1"/>
  <c r="Z116" i="9" s="1"/>
  <c r="O118" i="9"/>
  <c r="U118" i="9" s="1"/>
  <c r="Z118" i="9" s="1"/>
  <c r="O120" i="9"/>
  <c r="U120" i="9" s="1"/>
  <c r="Z120" i="9" s="1"/>
  <c r="O122" i="9"/>
  <c r="U122" i="9" s="1"/>
  <c r="Z122" i="9" s="1"/>
  <c r="O99" i="16"/>
  <c r="U99" i="16" s="1"/>
  <c r="Z99" i="16" s="1"/>
  <c r="O113" i="16"/>
  <c r="U113" i="16" s="1"/>
  <c r="Z113" i="16" s="1"/>
  <c r="O93" i="16"/>
  <c r="U93" i="16" s="1"/>
  <c r="O109" i="16"/>
  <c r="U109" i="16" s="1"/>
  <c r="Z109" i="16" s="1"/>
  <c r="O115" i="9"/>
  <c r="U115" i="9" s="1"/>
  <c r="Z115" i="9" s="1"/>
  <c r="O117" i="9"/>
  <c r="U117" i="9" s="1"/>
  <c r="Z117" i="9" s="1"/>
  <c r="O119" i="9"/>
  <c r="U119" i="9" s="1"/>
  <c r="Z119" i="9" s="1"/>
  <c r="O121" i="9"/>
  <c r="U121" i="9" s="1"/>
  <c r="Z121" i="9" s="1"/>
  <c r="O121" i="16"/>
  <c r="U121" i="16" s="1"/>
  <c r="Z121" i="16" s="1"/>
  <c r="O122" i="16"/>
  <c r="U122" i="16" s="1"/>
  <c r="Z122" i="16" s="1"/>
  <c r="AD83" i="9"/>
  <c r="AC47" i="9"/>
  <c r="AC86" i="16"/>
  <c r="AD86" i="16"/>
  <c r="AD38" i="9"/>
  <c r="AC38" i="9"/>
  <c r="AC85" i="9"/>
  <c r="AD85" i="9"/>
  <c r="AC90" i="16"/>
  <c r="AD90" i="16"/>
  <c r="AC86" i="17"/>
  <c r="AD86" i="17"/>
  <c r="AC65" i="17"/>
  <c r="AD65" i="17"/>
  <c r="AC90" i="19"/>
  <c r="AD90" i="19"/>
  <c r="AC86" i="19"/>
  <c r="AD86" i="19"/>
  <c r="AA312" i="9"/>
  <c r="AA405" i="9"/>
  <c r="AA254" i="9"/>
  <c r="AA495" i="9"/>
  <c r="AB349" i="9"/>
  <c r="AA349" i="9"/>
  <c r="AB342" i="9"/>
  <c r="AA342" i="9"/>
  <c r="AB469" i="9"/>
  <c r="AA469" i="9"/>
  <c r="AB282" i="9"/>
  <c r="AB402" i="9"/>
  <c r="AB255" i="9"/>
  <c r="AA462" i="9"/>
  <c r="AB462" i="9"/>
  <c r="AA404" i="9"/>
  <c r="AA314" i="9"/>
  <c r="AB314" i="9"/>
  <c r="AB435" i="9"/>
  <c r="AA435" i="9"/>
  <c r="AA344" i="9"/>
  <c r="AB344" i="9"/>
  <c r="AA464" i="9"/>
  <c r="AB464" i="9"/>
  <c r="AB319" i="9"/>
  <c r="AB375" i="9"/>
  <c r="AA285" i="9"/>
  <c r="AB285" i="9"/>
  <c r="AB434" i="9"/>
  <c r="AA434" i="9"/>
  <c r="AB499" i="9"/>
  <c r="AA499" i="9"/>
  <c r="AB465" i="9"/>
  <c r="AA465" i="9"/>
  <c r="AA315" i="9"/>
  <c r="AA494" i="9"/>
  <c r="AB494" i="9"/>
  <c r="AB439" i="9"/>
  <c r="AA439" i="9"/>
  <c r="AA432" i="9"/>
  <c r="AB432" i="9"/>
  <c r="AA252" i="9"/>
  <c r="AB252" i="9"/>
  <c r="AA372" i="9"/>
  <c r="AB372" i="9"/>
  <c r="AA284" i="9"/>
  <c r="AB284" i="9"/>
  <c r="AA492" i="9"/>
  <c r="AB492" i="9"/>
  <c r="AA379" i="9"/>
  <c r="AB379" i="9"/>
  <c r="AA374" i="9"/>
  <c r="AB374" i="9"/>
  <c r="I10" i="4"/>
  <c r="J9" i="4"/>
  <c r="O108" i="9"/>
  <c r="U108" i="9" s="1"/>
  <c r="Z108" i="9" s="1"/>
  <c r="O113" i="9"/>
  <c r="U113" i="9" s="1"/>
  <c r="O99" i="9"/>
  <c r="U99" i="9" s="1"/>
  <c r="O112" i="9"/>
  <c r="U112" i="9" s="1"/>
  <c r="O104" i="9"/>
  <c r="U104" i="9" s="1"/>
  <c r="O96" i="9"/>
  <c r="U96" i="9" s="1"/>
  <c r="O106" i="9"/>
  <c r="U106" i="9" s="1"/>
  <c r="Z106" i="9" s="1"/>
  <c r="O100" i="9"/>
  <c r="U100" i="9" s="1"/>
  <c r="Z100" i="9" s="1"/>
  <c r="O111" i="9"/>
  <c r="U111" i="9" s="1"/>
  <c r="Z111" i="9" s="1"/>
  <c r="O101" i="9"/>
  <c r="U101" i="9" s="1"/>
  <c r="Z101" i="9" s="1"/>
  <c r="O93" i="9"/>
  <c r="U93" i="9" s="1"/>
  <c r="O114" i="9"/>
  <c r="U114" i="9" s="1"/>
  <c r="Z114" i="9" s="1"/>
  <c r="O109" i="9"/>
  <c r="U109" i="9" s="1"/>
  <c r="O102" i="9"/>
  <c r="U102" i="9" s="1"/>
  <c r="Z102" i="9" s="1"/>
  <c r="O94" i="9"/>
  <c r="U94" i="9" s="1"/>
  <c r="O107" i="9"/>
  <c r="U107" i="9" s="1"/>
  <c r="O103" i="9"/>
  <c r="U103" i="9" s="1"/>
  <c r="O95" i="9"/>
  <c r="U95" i="9" s="1"/>
  <c r="O98" i="9"/>
  <c r="U98" i="9" s="1"/>
  <c r="O110" i="9"/>
  <c r="U110" i="9" s="1"/>
  <c r="Z110" i="9" s="1"/>
  <c r="O97" i="9"/>
  <c r="U97" i="9" s="1"/>
  <c r="Z97" i="9" s="1"/>
  <c r="O105" i="9"/>
  <c r="U105" i="9" s="1"/>
  <c r="AC71" i="16" l="1"/>
  <c r="AC71" i="17"/>
  <c r="AC90" i="9"/>
  <c r="G87" i="11"/>
  <c r="AD91" i="9"/>
  <c r="AC86" i="9"/>
  <c r="AD70" i="17"/>
  <c r="Z103" i="25"/>
  <c r="AD66" i="25"/>
  <c r="AD67" i="9"/>
  <c r="AB20" i="19"/>
  <c r="AC87" i="19"/>
  <c r="AA110" i="19"/>
  <c r="AC46" i="17"/>
  <c r="AC88" i="25"/>
  <c r="AC92" i="25"/>
  <c r="C71" i="11"/>
  <c r="B47" i="11"/>
  <c r="AD88" i="16"/>
  <c r="AA466" i="17"/>
  <c r="AB140" i="17"/>
  <c r="AC78" i="9"/>
  <c r="AC90" i="17"/>
  <c r="AC74" i="25"/>
  <c r="AC22" i="9"/>
  <c r="AD70" i="16"/>
  <c r="AD22" i="9"/>
  <c r="AC92" i="16"/>
  <c r="AD82" i="19"/>
  <c r="AC87" i="9"/>
  <c r="AC89" i="17"/>
  <c r="AD64" i="19"/>
  <c r="AD66" i="17"/>
  <c r="AC67" i="19"/>
  <c r="AC45" i="9"/>
  <c r="AB260" i="17"/>
  <c r="AA171" i="17"/>
  <c r="AD49" i="9"/>
  <c r="AC85" i="19"/>
  <c r="AC87" i="16"/>
  <c r="AD89" i="19"/>
  <c r="L15" i="17"/>
  <c r="Y15" i="17" s="1"/>
  <c r="AB15" i="17" s="1"/>
  <c r="W135" i="17"/>
  <c r="AD92" i="17"/>
  <c r="AD85" i="16"/>
  <c r="AB80" i="17"/>
  <c r="AA16" i="17"/>
  <c r="AC16" i="17" s="1"/>
  <c r="AD50" i="17"/>
  <c r="AC64" i="16"/>
  <c r="L255" i="17"/>
  <c r="Y255" i="17" s="1"/>
  <c r="AA255" i="17" s="1"/>
  <c r="AB141" i="17"/>
  <c r="AA50" i="17"/>
  <c r="AC50" i="17" s="1"/>
  <c r="AC69" i="19"/>
  <c r="AB196" i="17"/>
  <c r="AA110" i="17"/>
  <c r="AD88" i="17"/>
  <c r="W60" i="11"/>
  <c r="AA60" i="11" s="1"/>
  <c r="AD88" i="19"/>
  <c r="AD87" i="25"/>
  <c r="AC70" i="25"/>
  <c r="AC81" i="25"/>
  <c r="AD80" i="25"/>
  <c r="AD91" i="19"/>
  <c r="L135" i="17"/>
  <c r="Y135" i="17" s="1"/>
  <c r="AC70" i="19"/>
  <c r="AC92" i="19"/>
  <c r="AC65" i="25"/>
  <c r="AD64" i="25"/>
  <c r="AD69" i="17"/>
  <c r="W49" i="11"/>
  <c r="AA49" i="11" s="1"/>
  <c r="AD69" i="9"/>
  <c r="AD91" i="16"/>
  <c r="AC92" i="9"/>
  <c r="AC68" i="9"/>
  <c r="AC88" i="9"/>
  <c r="C44" i="11"/>
  <c r="AA376" i="16"/>
  <c r="AA100" i="16"/>
  <c r="AD5" i="9"/>
  <c r="AB396" i="16"/>
  <c r="AC3" i="9"/>
  <c r="AD66" i="9"/>
  <c r="AD13" i="9"/>
  <c r="AC13" i="9"/>
  <c r="AC5" i="9"/>
  <c r="AD44" i="9"/>
  <c r="AC40" i="9"/>
  <c r="AC21" i="19"/>
  <c r="AD16" i="9"/>
  <c r="AD21" i="19"/>
  <c r="AC16" i="9"/>
  <c r="AD40" i="9"/>
  <c r="Z20" i="16"/>
  <c r="AB426" i="16"/>
  <c r="AA426" i="16"/>
  <c r="AA454" i="9"/>
  <c r="AB410" i="9"/>
  <c r="AA434" i="16"/>
  <c r="AB434" i="16"/>
  <c r="AD51" i="17"/>
  <c r="AD89" i="25"/>
  <c r="AC51" i="17"/>
  <c r="C39" i="11"/>
  <c r="V38" i="11"/>
  <c r="Z38" i="11" s="1"/>
  <c r="AB39" i="16"/>
  <c r="AD39" i="16" s="1"/>
  <c r="AA39" i="16"/>
  <c r="AC39" i="16" s="1"/>
  <c r="AB395" i="9"/>
  <c r="V29" i="11"/>
  <c r="Z29" i="11" s="1"/>
  <c r="Z13" i="19"/>
  <c r="AA489" i="16"/>
  <c r="Z45" i="19"/>
  <c r="W71" i="11"/>
  <c r="AA71" i="11" s="1"/>
  <c r="B74" i="11"/>
  <c r="C70" i="11"/>
  <c r="Z43" i="16"/>
  <c r="AA469" i="16"/>
  <c r="AB469" i="16"/>
  <c r="AA134" i="16"/>
  <c r="AB134" i="16"/>
  <c r="B48" i="11"/>
  <c r="AA412" i="9"/>
  <c r="AA185" i="9"/>
  <c r="AA276" i="16"/>
  <c r="AB276" i="16"/>
  <c r="AB382" i="9"/>
  <c r="B49" i="11"/>
  <c r="AA453" i="9"/>
  <c r="C72" i="11"/>
  <c r="V32" i="11"/>
  <c r="Z32" i="11" s="1"/>
  <c r="AB472" i="9"/>
  <c r="AB496" i="16"/>
  <c r="AA154" i="16"/>
  <c r="AA44" i="9"/>
  <c r="AC44" i="9" s="1"/>
  <c r="AA345" i="9"/>
  <c r="Y170" i="16"/>
  <c r="AB441" i="9"/>
  <c r="AD9" i="9"/>
  <c r="Y111" i="16"/>
  <c r="AA489" i="9"/>
  <c r="C67" i="11"/>
  <c r="C24" i="11"/>
  <c r="C64" i="11"/>
  <c r="W78" i="11"/>
  <c r="AA78" i="11" s="1"/>
  <c r="AB4" i="9"/>
  <c r="AD4" i="9" s="1"/>
  <c r="Z75" i="17"/>
  <c r="C32" i="11"/>
  <c r="B32" i="11"/>
  <c r="C53" i="11"/>
  <c r="C29" i="11"/>
  <c r="L435" i="16"/>
  <c r="AI435" i="16" s="1"/>
  <c r="AK435" i="16" s="1"/>
  <c r="AL435" i="16" s="1"/>
  <c r="W33" i="11"/>
  <c r="AA33" i="11" s="1"/>
  <c r="AA483" i="9"/>
  <c r="Y81" i="16"/>
  <c r="AA81" i="16" s="1"/>
  <c r="AB454" i="9"/>
  <c r="W65" i="11"/>
  <c r="AA65" i="11" s="1"/>
  <c r="L405" i="19"/>
  <c r="Y405" i="19" s="1"/>
  <c r="AA64" i="9"/>
  <c r="L285" i="16"/>
  <c r="AI285" i="16" s="1"/>
  <c r="AK285" i="16" s="1"/>
  <c r="AL285" i="16" s="1"/>
  <c r="W32" i="11"/>
  <c r="AA32" i="11" s="1"/>
  <c r="AA459" i="9"/>
  <c r="AB109" i="9"/>
  <c r="AA336" i="9"/>
  <c r="L105" i="17"/>
  <c r="Y105" i="17" s="1"/>
  <c r="Z15" i="17"/>
  <c r="AA106" i="16"/>
  <c r="F18" i="11"/>
  <c r="H9" i="11"/>
  <c r="AB136" i="9"/>
  <c r="AB225" i="9"/>
  <c r="AB350" i="9"/>
  <c r="AA215" i="9"/>
  <c r="AA280" i="9"/>
  <c r="AB43" i="9"/>
  <c r="AD43" i="9" s="1"/>
  <c r="AB380" i="9"/>
  <c r="AA279" i="9"/>
  <c r="AB339" i="9"/>
  <c r="AA16" i="16"/>
  <c r="Z73" i="25"/>
  <c r="AA256" i="19"/>
  <c r="L195" i="17"/>
  <c r="Y195" i="17" s="1"/>
  <c r="L435" i="17"/>
  <c r="Y435" i="17" s="1"/>
  <c r="B66" i="11"/>
  <c r="F19" i="11"/>
  <c r="AB3" i="9"/>
  <c r="AD3" i="9" s="1"/>
  <c r="F16" i="11"/>
  <c r="H7" i="11"/>
  <c r="W46" i="11"/>
  <c r="AA46" i="11" s="1"/>
  <c r="Z45" i="16"/>
  <c r="V28" i="11"/>
  <c r="Z28" i="11" s="1"/>
  <c r="L225" i="19"/>
  <c r="Y225" i="19" s="1"/>
  <c r="Z73" i="17"/>
  <c r="AA141" i="19"/>
  <c r="AB495" i="9"/>
  <c r="AB436" i="19"/>
  <c r="AA320" i="17"/>
  <c r="W195" i="17"/>
  <c r="W255" i="19"/>
  <c r="AB16" i="16"/>
  <c r="AA395" i="9"/>
  <c r="Z15" i="19"/>
  <c r="AB166" i="17"/>
  <c r="L345" i="16"/>
  <c r="AI345" i="16" s="1"/>
  <c r="AK345" i="16" s="1"/>
  <c r="AL345" i="16" s="1"/>
  <c r="AA20" i="17"/>
  <c r="AC20" i="17" s="1"/>
  <c r="Z73" i="19"/>
  <c r="W35" i="11"/>
  <c r="AA35" i="11" s="1"/>
  <c r="H4" i="11"/>
  <c r="I4" i="11" s="1"/>
  <c r="Y110" i="16"/>
  <c r="AA110" i="16" s="1"/>
  <c r="AA9" i="9"/>
  <c r="AC9" i="9" s="1"/>
  <c r="AA436" i="9"/>
  <c r="AB190" i="9"/>
  <c r="D20" i="13" s="1"/>
  <c r="X19" i="11"/>
  <c r="AB19" i="11" s="1"/>
  <c r="AD19" i="11" s="1"/>
  <c r="AA456" i="9"/>
  <c r="AB290" i="9"/>
  <c r="AA291" i="17"/>
  <c r="AB471" i="19"/>
  <c r="AA189" i="9"/>
  <c r="W405" i="17"/>
  <c r="AB405" i="17" s="1"/>
  <c r="AA370" i="9"/>
  <c r="Y440" i="16"/>
  <c r="AB381" i="9"/>
  <c r="AA103" i="9"/>
  <c r="AB470" i="9"/>
  <c r="W315" i="16"/>
  <c r="W435" i="17"/>
  <c r="Y226" i="16"/>
  <c r="AB226" i="16" s="1"/>
  <c r="AA275" i="9"/>
  <c r="L315" i="16"/>
  <c r="AI315" i="16" s="1"/>
  <c r="AK315" i="16" s="1"/>
  <c r="AL315" i="16" s="1"/>
  <c r="X4" i="11"/>
  <c r="AB4" i="11" s="1"/>
  <c r="AD4" i="11" s="1"/>
  <c r="AA232" i="9"/>
  <c r="AB351" i="9"/>
  <c r="AA19" i="9"/>
  <c r="AC19" i="9" s="1"/>
  <c r="C74" i="11"/>
  <c r="AA493" i="16"/>
  <c r="AB321" i="19"/>
  <c r="F10" i="11"/>
  <c r="AB283" i="9"/>
  <c r="H17" i="11"/>
  <c r="H5" i="11"/>
  <c r="H16" i="11"/>
  <c r="AD24" i="16"/>
  <c r="AB291" i="9"/>
  <c r="AA320" i="9"/>
  <c r="AA226" i="9"/>
  <c r="F17" i="11"/>
  <c r="AA159" i="9"/>
  <c r="X6" i="11"/>
  <c r="AB6" i="11" s="1"/>
  <c r="AD6" i="11" s="1"/>
  <c r="AA244" i="9"/>
  <c r="V33" i="11"/>
  <c r="Z33" i="11" s="1"/>
  <c r="C25" i="11"/>
  <c r="AB493" i="9"/>
  <c r="AA49" i="9"/>
  <c r="AC49" i="9" s="1"/>
  <c r="AB106" i="16"/>
  <c r="AB224" i="9"/>
  <c r="X17" i="11"/>
  <c r="AB17" i="11" s="1"/>
  <c r="AD17" i="11" s="1"/>
  <c r="H8" i="11"/>
  <c r="AB183" i="9"/>
  <c r="X10" i="11"/>
  <c r="AB10" i="11" s="1"/>
  <c r="AD10" i="11" s="1"/>
  <c r="F5" i="11"/>
  <c r="AB334" i="9"/>
  <c r="AA154" i="9"/>
  <c r="AA424" i="9"/>
  <c r="AA36" i="9"/>
  <c r="AC36" i="9" s="1"/>
  <c r="L465" i="19"/>
  <c r="Y465" i="19" s="1"/>
  <c r="H79" i="11" s="1"/>
  <c r="W285" i="16"/>
  <c r="AB70" i="9"/>
  <c r="AB141" i="19"/>
  <c r="X16" i="11"/>
  <c r="AB16" i="11" s="1"/>
  <c r="AD16" i="11" s="1"/>
  <c r="H10" i="11"/>
  <c r="X11" i="11"/>
  <c r="AB11" i="11" s="1"/>
  <c r="AB340" i="9"/>
  <c r="AA4" i="9"/>
  <c r="AC4" i="9" s="1"/>
  <c r="AA375" i="9"/>
  <c r="W105" i="16"/>
  <c r="F27" i="11" s="1"/>
  <c r="L135" i="16"/>
  <c r="AI135" i="16" s="1"/>
  <c r="AK135" i="16" s="1"/>
  <c r="AL135" i="16" s="1"/>
  <c r="W225" i="19"/>
  <c r="AA321" i="19"/>
  <c r="AB81" i="17"/>
  <c r="W38" i="11"/>
  <c r="AA38" i="11" s="1"/>
  <c r="H11" i="11"/>
  <c r="V37" i="11"/>
  <c r="Z37" i="11" s="1"/>
  <c r="Y196" i="16"/>
  <c r="AB196" i="16" s="1"/>
  <c r="AA335" i="9"/>
  <c r="V12" i="11"/>
  <c r="Z12" i="11" s="1"/>
  <c r="AA283" i="9"/>
  <c r="AA66" i="9"/>
  <c r="AC66" i="9" s="1"/>
  <c r="L45" i="19"/>
  <c r="Y45" i="19" s="1"/>
  <c r="AA45" i="19" s="1"/>
  <c r="L345" i="17"/>
  <c r="Y345" i="17" s="1"/>
  <c r="X5" i="11"/>
  <c r="AB5" i="11" s="1"/>
  <c r="AD5" i="11" s="1"/>
  <c r="AB219" i="9"/>
  <c r="AA485" i="9"/>
  <c r="AB202" i="9"/>
  <c r="L105" i="16"/>
  <c r="AI105" i="16" s="1"/>
  <c r="AK105" i="16" s="1"/>
  <c r="AL105" i="16" s="1"/>
  <c r="W36" i="11"/>
  <c r="AA36" i="11" s="1"/>
  <c r="H19" i="11"/>
  <c r="X15" i="11"/>
  <c r="AB15" i="11" s="1"/>
  <c r="AD15" i="11" s="1"/>
  <c r="X8" i="11"/>
  <c r="AB8" i="11" s="1"/>
  <c r="AD8" i="11" s="1"/>
  <c r="V27" i="11"/>
  <c r="Z27" i="11" s="1"/>
  <c r="W45" i="11"/>
  <c r="AA45" i="11" s="1"/>
  <c r="AA409" i="9"/>
  <c r="W135" i="19"/>
  <c r="AA436" i="19"/>
  <c r="W28" i="11"/>
  <c r="AA28" i="11" s="1"/>
  <c r="X13" i="11"/>
  <c r="AB13" i="11" s="1"/>
  <c r="AD13" i="11" s="1"/>
  <c r="H18" i="11"/>
  <c r="AB124" i="9"/>
  <c r="AA394" i="9"/>
  <c r="Z103" i="17"/>
  <c r="Z103" i="19"/>
  <c r="AB313" i="17"/>
  <c r="W39" i="11"/>
  <c r="AA39" i="11" s="1"/>
  <c r="AA16" i="19"/>
  <c r="AC16" i="19" s="1"/>
  <c r="AA183" i="9"/>
  <c r="X14" i="11"/>
  <c r="AB14" i="11" s="1"/>
  <c r="AD14" i="11" s="1"/>
  <c r="AB493" i="16"/>
  <c r="AA93" i="9"/>
  <c r="C58" i="11"/>
  <c r="C56" i="11"/>
  <c r="AD46" i="17"/>
  <c r="AD20" i="17"/>
  <c r="W56" i="11"/>
  <c r="AA56" i="11" s="1"/>
  <c r="L225" i="17"/>
  <c r="Y225" i="17" s="1"/>
  <c r="AB225" i="17" s="1"/>
  <c r="L375" i="17"/>
  <c r="Y375" i="17" s="1"/>
  <c r="AA375" i="17" s="1"/>
  <c r="AA411" i="17"/>
  <c r="AB231" i="17"/>
  <c r="AB261" i="17"/>
  <c r="L315" i="17"/>
  <c r="Y315" i="17" s="1"/>
  <c r="H54" i="11" s="1"/>
  <c r="AD16" i="17"/>
  <c r="C51" i="11"/>
  <c r="W47" i="11"/>
  <c r="AA47" i="11" s="1"/>
  <c r="AD21" i="9"/>
  <c r="AC21" i="9"/>
  <c r="L495" i="17"/>
  <c r="Y495" i="17" s="1"/>
  <c r="AA381" i="17"/>
  <c r="L165" i="17"/>
  <c r="Y165" i="17" s="1"/>
  <c r="AA165" i="17" s="1"/>
  <c r="W315" i="17"/>
  <c r="F54" i="11" s="1"/>
  <c r="W48" i="11"/>
  <c r="AA48" i="11" s="1"/>
  <c r="W57" i="11"/>
  <c r="AA57" i="11" s="1"/>
  <c r="V59" i="11"/>
  <c r="Z59" i="11" s="1"/>
  <c r="W51" i="11"/>
  <c r="AA51" i="11" s="1"/>
  <c r="AA136" i="17"/>
  <c r="W465" i="17"/>
  <c r="AB465" i="17" s="1"/>
  <c r="C46" i="11"/>
  <c r="Z13" i="17"/>
  <c r="AC69" i="25"/>
  <c r="AA34" i="9"/>
  <c r="AG103" i="25"/>
  <c r="L103" i="25"/>
  <c r="W103" i="25"/>
  <c r="AH103" i="25"/>
  <c r="AG373" i="25"/>
  <c r="W373" i="25"/>
  <c r="L373" i="25"/>
  <c r="J165" i="25"/>
  <c r="AH165" i="25" s="1"/>
  <c r="T165" i="25"/>
  <c r="C89" i="11" s="1"/>
  <c r="AH73" i="25"/>
  <c r="I375" i="25"/>
  <c r="V96" i="11" s="1"/>
  <c r="Z96" i="11" s="1"/>
  <c r="S375" i="25"/>
  <c r="B96" i="11" s="1"/>
  <c r="AG193" i="25"/>
  <c r="L193" i="25"/>
  <c r="W193" i="25"/>
  <c r="J465" i="25"/>
  <c r="AH465" i="25" s="1"/>
  <c r="T465" i="25"/>
  <c r="C99" i="11" s="1"/>
  <c r="AG43" i="25"/>
  <c r="L43" i="25"/>
  <c r="W43" i="25"/>
  <c r="T15" i="25"/>
  <c r="C84" i="11" s="1"/>
  <c r="J15" i="25"/>
  <c r="AH15" i="25" s="1"/>
  <c r="J285" i="25"/>
  <c r="AH285" i="25" s="1"/>
  <c r="T285" i="25"/>
  <c r="C93" i="11" s="1"/>
  <c r="AH223" i="25"/>
  <c r="AG73" i="25"/>
  <c r="L73" i="25"/>
  <c r="W73" i="25"/>
  <c r="J375" i="25"/>
  <c r="AH375" i="25" s="1"/>
  <c r="T375" i="25"/>
  <c r="C96" i="11" s="1"/>
  <c r="AH133" i="25"/>
  <c r="Z43" i="25"/>
  <c r="T105" i="25"/>
  <c r="C87" i="11" s="1"/>
  <c r="J105" i="25"/>
  <c r="AH105" i="25" s="1"/>
  <c r="T135" i="25"/>
  <c r="C88" i="11" s="1"/>
  <c r="J135" i="25"/>
  <c r="AH135" i="25" s="1"/>
  <c r="AB165" i="9"/>
  <c r="AH313" i="25"/>
  <c r="AH373" i="25"/>
  <c r="AG313" i="25"/>
  <c r="W313" i="25"/>
  <c r="L313" i="25"/>
  <c r="AH493" i="25"/>
  <c r="AG493" i="25"/>
  <c r="W493" i="25"/>
  <c r="L493" i="25"/>
  <c r="S105" i="25"/>
  <c r="B87" i="11" s="1"/>
  <c r="I105" i="25"/>
  <c r="V87" i="11" s="1"/>
  <c r="Z87" i="11" s="1"/>
  <c r="S135" i="25"/>
  <c r="B88" i="11" s="1"/>
  <c r="I135" i="25"/>
  <c r="V88" i="11" s="1"/>
  <c r="Z88" i="11" s="1"/>
  <c r="AH283" i="25"/>
  <c r="T255" i="25"/>
  <c r="C92" i="11" s="1"/>
  <c r="J255" i="25"/>
  <c r="AH255" i="25" s="1"/>
  <c r="AH433" i="25"/>
  <c r="AH163" i="25"/>
  <c r="AH463" i="25"/>
  <c r="AG163" i="25"/>
  <c r="W163" i="25"/>
  <c r="L163" i="25"/>
  <c r="S75" i="25"/>
  <c r="B86" i="11" s="1"/>
  <c r="I75" i="25"/>
  <c r="AG133" i="25"/>
  <c r="W133" i="25"/>
  <c r="L133" i="25"/>
  <c r="AH253" i="25"/>
  <c r="AA156" i="9"/>
  <c r="AB216" i="16"/>
  <c r="AA216" i="16"/>
  <c r="I315" i="25"/>
  <c r="S315" i="25"/>
  <c r="B94" i="11" s="1"/>
  <c r="J225" i="25"/>
  <c r="AH225" i="25" s="1"/>
  <c r="T225" i="25"/>
  <c r="C91" i="11" s="1"/>
  <c r="I255" i="25"/>
  <c r="V92" i="11" s="1"/>
  <c r="Z92" i="11" s="1"/>
  <c r="S255" i="25"/>
  <c r="B92" i="11" s="1"/>
  <c r="AG283" i="25"/>
  <c r="W283" i="25"/>
  <c r="L283" i="25"/>
  <c r="AG13" i="25"/>
  <c r="L13" i="25"/>
  <c r="W13" i="25"/>
  <c r="AH403" i="25"/>
  <c r="AH13" i="25"/>
  <c r="AG403" i="25"/>
  <c r="L403" i="25"/>
  <c r="W403" i="25"/>
  <c r="J75" i="25"/>
  <c r="AH75" i="25" s="1"/>
  <c r="T75" i="25"/>
  <c r="C86" i="11" s="1"/>
  <c r="T315" i="25"/>
  <c r="C94" i="11" s="1"/>
  <c r="J315" i="25"/>
  <c r="AH315" i="25" s="1"/>
  <c r="AG223" i="25"/>
  <c r="L223" i="25"/>
  <c r="W223" i="25"/>
  <c r="I225" i="25"/>
  <c r="V91" i="11" s="1"/>
  <c r="Z91" i="11" s="1"/>
  <c r="S225" i="25"/>
  <c r="B91" i="11" s="1"/>
  <c r="AH343" i="25"/>
  <c r="Z13" i="25"/>
  <c r="L433" i="25"/>
  <c r="AG433" i="25"/>
  <c r="W433" i="25"/>
  <c r="S435" i="25"/>
  <c r="B98" i="11" s="1"/>
  <c r="I435" i="25"/>
  <c r="AG253" i="25"/>
  <c r="L253" i="25"/>
  <c r="W253" i="25"/>
  <c r="I345" i="25"/>
  <c r="V95" i="11" s="1"/>
  <c r="Z95" i="11" s="1"/>
  <c r="S345" i="25"/>
  <c r="B95" i="11" s="1"/>
  <c r="S405" i="25"/>
  <c r="B97" i="11" s="1"/>
  <c r="I405" i="25"/>
  <c r="S45" i="25"/>
  <c r="I45" i="25"/>
  <c r="V85" i="11" s="1"/>
  <c r="Z85" i="11" s="1"/>
  <c r="J195" i="25"/>
  <c r="AH195" i="25" s="1"/>
  <c r="T195" i="25"/>
  <c r="C90" i="11" s="1"/>
  <c r="AH43" i="25"/>
  <c r="S495" i="25"/>
  <c r="B100" i="11" s="1"/>
  <c r="I495" i="25"/>
  <c r="V100" i="11" s="1"/>
  <c r="Z100" i="11" s="1"/>
  <c r="J435" i="25"/>
  <c r="AH435" i="25" s="1"/>
  <c r="T435" i="25"/>
  <c r="C98" i="11" s="1"/>
  <c r="J345" i="25"/>
  <c r="AH345" i="25" s="1"/>
  <c r="T345" i="25"/>
  <c r="C95" i="11" s="1"/>
  <c r="L463" i="25"/>
  <c r="W463" i="25"/>
  <c r="AG463" i="25"/>
  <c r="T405" i="25"/>
  <c r="C97" i="11" s="1"/>
  <c r="J405" i="25"/>
  <c r="AH405" i="25" s="1"/>
  <c r="J45" i="25"/>
  <c r="AH45" i="25" s="1"/>
  <c r="T45" i="25"/>
  <c r="C85" i="11" s="1"/>
  <c r="S195" i="25"/>
  <c r="B90" i="11" s="1"/>
  <c r="I195" i="25"/>
  <c r="V90" i="11" s="1"/>
  <c r="Z90" i="11" s="1"/>
  <c r="S165" i="25"/>
  <c r="B89" i="11" s="1"/>
  <c r="I165" i="25"/>
  <c r="AG343" i="25"/>
  <c r="W343" i="25"/>
  <c r="L343" i="25"/>
  <c r="J495" i="25"/>
  <c r="AH495" i="25" s="1"/>
  <c r="T495" i="25"/>
  <c r="C100" i="11" s="1"/>
  <c r="I465" i="25"/>
  <c r="V99" i="11" s="1"/>
  <c r="Z99" i="11" s="1"/>
  <c r="S465" i="25"/>
  <c r="B99" i="11" s="1"/>
  <c r="AH193" i="25"/>
  <c r="S15" i="25"/>
  <c r="I15" i="25"/>
  <c r="V84" i="11" s="1"/>
  <c r="Z84" i="11" s="1"/>
  <c r="I285" i="25"/>
  <c r="V93" i="11" s="1"/>
  <c r="Z93" i="11" s="1"/>
  <c r="S285" i="25"/>
  <c r="B93" i="11" s="1"/>
  <c r="AA343" i="9"/>
  <c r="AD85" i="25"/>
  <c r="AD14" i="9"/>
  <c r="C36" i="11"/>
  <c r="F12" i="11"/>
  <c r="AA363" i="9"/>
  <c r="AB260" i="9"/>
  <c r="F9" i="11"/>
  <c r="AA290" i="9"/>
  <c r="F6" i="11"/>
  <c r="F8" i="11"/>
  <c r="AB289" i="9"/>
  <c r="AB213" i="9"/>
  <c r="AC76" i="25"/>
  <c r="AC86" i="25"/>
  <c r="AC79" i="25"/>
  <c r="AC90" i="25"/>
  <c r="AC82" i="25"/>
  <c r="AB224" i="16"/>
  <c r="AA224" i="16"/>
  <c r="AG381" i="16"/>
  <c r="W381" i="16"/>
  <c r="L381" i="16"/>
  <c r="AI412" i="16"/>
  <c r="AK412" i="16" s="1"/>
  <c r="AL412" i="16" s="1"/>
  <c r="Y412" i="16"/>
  <c r="V51" i="11"/>
  <c r="Z51" i="11" s="1"/>
  <c r="L223" i="17"/>
  <c r="Y223" i="17" s="1"/>
  <c r="W223" i="17"/>
  <c r="F51" i="11" s="1"/>
  <c r="V70" i="11"/>
  <c r="Z70" i="11" s="1"/>
  <c r="W193" i="19"/>
  <c r="F70" i="11" s="1"/>
  <c r="L193" i="19"/>
  <c r="Y193" i="19" s="1"/>
  <c r="H70" i="11" s="1"/>
  <c r="AG380" i="16"/>
  <c r="W380" i="16"/>
  <c r="L380" i="16"/>
  <c r="V71" i="11"/>
  <c r="Z71" i="11" s="1"/>
  <c r="L223" i="19"/>
  <c r="Y223" i="19" s="1"/>
  <c r="W223" i="19"/>
  <c r="AI112" i="16"/>
  <c r="AK112" i="16" s="1"/>
  <c r="AL112" i="16" s="1"/>
  <c r="Y112" i="16"/>
  <c r="AB112" i="16" s="1"/>
  <c r="AD112" i="16" s="1"/>
  <c r="AB246" i="16"/>
  <c r="AA246" i="16"/>
  <c r="L283" i="19"/>
  <c r="Y283" i="19" s="1"/>
  <c r="W283" i="19"/>
  <c r="V73" i="11"/>
  <c r="Z73" i="11" s="1"/>
  <c r="V46" i="11"/>
  <c r="Z46" i="11" s="1"/>
  <c r="L73" i="17"/>
  <c r="Y73" i="17" s="1"/>
  <c r="H46" i="11" s="1"/>
  <c r="W73" i="17"/>
  <c r="AG261" i="16"/>
  <c r="L261" i="16"/>
  <c r="W261" i="16"/>
  <c r="AG43" i="16"/>
  <c r="W43" i="16"/>
  <c r="L43" i="16"/>
  <c r="AG20" i="16"/>
  <c r="L20" i="16"/>
  <c r="W20" i="16"/>
  <c r="L493" i="17"/>
  <c r="Y493" i="17" s="1"/>
  <c r="W493" i="17"/>
  <c r="V60" i="11"/>
  <c r="Z60" i="11" s="1"/>
  <c r="AB249" i="16"/>
  <c r="AA249" i="16"/>
  <c r="AG256" i="16"/>
  <c r="L256" i="16"/>
  <c r="W256" i="16"/>
  <c r="AG13" i="16"/>
  <c r="L13" i="16"/>
  <c r="W13" i="16"/>
  <c r="L43" i="17"/>
  <c r="Y43" i="17" s="1"/>
  <c r="H45" i="11" s="1"/>
  <c r="V45" i="11"/>
  <c r="Z45" i="11" s="1"/>
  <c r="W43" i="17"/>
  <c r="F45" i="11" s="1"/>
  <c r="AB274" i="16"/>
  <c r="AA274" i="16"/>
  <c r="AA374" i="16"/>
  <c r="AB374" i="16"/>
  <c r="V68" i="11"/>
  <c r="Z68" i="11" s="1"/>
  <c r="L133" i="19"/>
  <c r="Y133" i="19" s="1"/>
  <c r="H68" i="11" s="1"/>
  <c r="W133" i="19"/>
  <c r="F68" i="11" s="1"/>
  <c r="AA95" i="16"/>
  <c r="AC95" i="16" s="1"/>
  <c r="AB95" i="16"/>
  <c r="V75" i="11"/>
  <c r="Z75" i="11" s="1"/>
  <c r="L343" i="19"/>
  <c r="Y343" i="19" s="1"/>
  <c r="W343" i="19"/>
  <c r="F75" i="11" s="1"/>
  <c r="AG76" i="16"/>
  <c r="W76" i="16"/>
  <c r="F26" i="11" s="1"/>
  <c r="L76" i="16"/>
  <c r="X26" i="11" s="1"/>
  <c r="AB26" i="11" s="1"/>
  <c r="AD26" i="11" s="1"/>
  <c r="L493" i="19"/>
  <c r="Y493" i="19" s="1"/>
  <c r="W493" i="19"/>
  <c r="AG433" i="16"/>
  <c r="W433" i="16"/>
  <c r="L433" i="16"/>
  <c r="L373" i="17"/>
  <c r="Y373" i="17" s="1"/>
  <c r="H56" i="11" s="1"/>
  <c r="V56" i="11"/>
  <c r="Z56" i="11" s="1"/>
  <c r="W373" i="17"/>
  <c r="F56" i="11" s="1"/>
  <c r="AI322" i="16"/>
  <c r="AK322" i="16" s="1"/>
  <c r="AL322" i="16" s="1"/>
  <c r="Y322" i="16"/>
  <c r="AA322" i="16" s="1"/>
  <c r="L433" i="19"/>
  <c r="Y433" i="19" s="1"/>
  <c r="H78" i="11" s="1"/>
  <c r="V78" i="11"/>
  <c r="Z78" i="11" s="1"/>
  <c r="W433" i="19"/>
  <c r="F78" i="11" s="1"/>
  <c r="AG171" i="16"/>
  <c r="L171" i="16"/>
  <c r="W171" i="16"/>
  <c r="AB424" i="16"/>
  <c r="AA424" i="16"/>
  <c r="L163" i="17"/>
  <c r="Y163" i="17" s="1"/>
  <c r="W163" i="17"/>
  <c r="F49" i="11" s="1"/>
  <c r="V66" i="11"/>
  <c r="Z66" i="11" s="1"/>
  <c r="W73" i="19"/>
  <c r="F66" i="11" s="1"/>
  <c r="L73" i="19"/>
  <c r="Y73" i="19" s="1"/>
  <c r="H66" i="11" s="1"/>
  <c r="L283" i="17"/>
  <c r="Y283" i="17" s="1"/>
  <c r="H53" i="11" s="1"/>
  <c r="W283" i="17"/>
  <c r="F53" i="11" s="1"/>
  <c r="V53" i="11"/>
  <c r="Z53" i="11" s="1"/>
  <c r="V50" i="11"/>
  <c r="Z50" i="11" s="1"/>
  <c r="W193" i="17"/>
  <c r="F50" i="11" s="1"/>
  <c r="L193" i="17"/>
  <c r="Y193" i="17" s="1"/>
  <c r="H50" i="11" s="1"/>
  <c r="AG320" i="16"/>
  <c r="W320" i="16"/>
  <c r="L320" i="16"/>
  <c r="X34" i="11" s="1"/>
  <c r="AB34" i="11" s="1"/>
  <c r="AD34" i="11" s="1"/>
  <c r="W103" i="19"/>
  <c r="F67" i="11" s="1"/>
  <c r="V67" i="11"/>
  <c r="Z67" i="11" s="1"/>
  <c r="L103" i="19"/>
  <c r="Y103" i="19" s="1"/>
  <c r="H67" i="11" s="1"/>
  <c r="L43" i="19"/>
  <c r="Y43" i="19" s="1"/>
  <c r="W43" i="19"/>
  <c r="F65" i="11" s="1"/>
  <c r="AG403" i="16"/>
  <c r="L403" i="16"/>
  <c r="X37" i="11" s="1"/>
  <c r="AB37" i="11" s="1"/>
  <c r="AD37" i="11" s="1"/>
  <c r="W403" i="16"/>
  <c r="F37" i="11" s="1"/>
  <c r="AB33" i="16"/>
  <c r="AD33" i="16" s="1"/>
  <c r="AA33" i="16"/>
  <c r="AC33" i="16" s="1"/>
  <c r="AI202" i="16"/>
  <c r="AK202" i="16" s="1"/>
  <c r="AL202" i="16" s="1"/>
  <c r="Y202" i="16"/>
  <c r="AA153" i="16"/>
  <c r="AB153" i="16"/>
  <c r="W373" i="19"/>
  <c r="V76" i="11"/>
  <c r="Z76" i="11" s="1"/>
  <c r="L373" i="19"/>
  <c r="Y373" i="19" s="1"/>
  <c r="AA79" i="16"/>
  <c r="AB79" i="16"/>
  <c r="W133" i="17"/>
  <c r="F48" i="11" s="1"/>
  <c r="L133" i="17"/>
  <c r="Y133" i="17" s="1"/>
  <c r="AI22" i="16"/>
  <c r="AK22" i="16" s="1"/>
  <c r="AL22" i="16" s="1"/>
  <c r="Y22" i="16"/>
  <c r="AI382" i="16"/>
  <c r="AK382" i="16" s="1"/>
  <c r="AL382" i="16" s="1"/>
  <c r="Y382" i="16"/>
  <c r="AG166" i="16"/>
  <c r="W166" i="16"/>
  <c r="L166" i="16"/>
  <c r="V74" i="11"/>
  <c r="Z74" i="11" s="1"/>
  <c r="L313" i="19"/>
  <c r="Y313" i="19" s="1"/>
  <c r="H74" i="11" s="1"/>
  <c r="W313" i="19"/>
  <c r="F74" i="11" s="1"/>
  <c r="AG141" i="16"/>
  <c r="L141" i="16"/>
  <c r="W141" i="16"/>
  <c r="F28" i="11" s="1"/>
  <c r="AD79" i="16"/>
  <c r="L13" i="19"/>
  <c r="Y13" i="19" s="1"/>
  <c r="H64" i="11" s="1"/>
  <c r="V64" i="11"/>
  <c r="Z64" i="11" s="1"/>
  <c r="W13" i="19"/>
  <c r="L463" i="17"/>
  <c r="Y463" i="17" s="1"/>
  <c r="H59" i="11" s="1"/>
  <c r="W463" i="17"/>
  <c r="W403" i="17"/>
  <c r="V57" i="11"/>
  <c r="Z57" i="11" s="1"/>
  <c r="L403" i="17"/>
  <c r="Y403" i="17" s="1"/>
  <c r="H57" i="11" s="1"/>
  <c r="AB289" i="16"/>
  <c r="AA289" i="16"/>
  <c r="AI52" i="16"/>
  <c r="AK52" i="16" s="1"/>
  <c r="AL52" i="16" s="1"/>
  <c r="Y52" i="16"/>
  <c r="L103" i="17"/>
  <c r="Y103" i="17" s="1"/>
  <c r="H47" i="11" s="1"/>
  <c r="W103" i="17"/>
  <c r="F47" i="11" s="1"/>
  <c r="V47" i="11"/>
  <c r="Z47" i="11" s="1"/>
  <c r="AG466" i="16"/>
  <c r="W466" i="16"/>
  <c r="F39" i="11" s="1"/>
  <c r="L466" i="16"/>
  <c r="X39" i="11" s="1"/>
  <c r="AB39" i="11" s="1"/>
  <c r="AB279" i="16"/>
  <c r="AA279" i="16"/>
  <c r="L13" i="17"/>
  <c r="Y13" i="17" s="1"/>
  <c r="V44" i="11"/>
  <c r="Z44" i="11" s="1"/>
  <c r="W13" i="17"/>
  <c r="F44" i="11" s="1"/>
  <c r="AG260" i="16"/>
  <c r="L260" i="16"/>
  <c r="W260" i="16"/>
  <c r="AG441" i="16"/>
  <c r="W441" i="16"/>
  <c r="L441" i="16"/>
  <c r="L433" i="17"/>
  <c r="Y433" i="17" s="1"/>
  <c r="H58" i="11" s="1"/>
  <c r="W433" i="17"/>
  <c r="F58" i="11" s="1"/>
  <c r="V58" i="11"/>
  <c r="Z58" i="11" s="1"/>
  <c r="V72" i="11"/>
  <c r="Z72" i="11" s="1"/>
  <c r="L253" i="19"/>
  <c r="Y253" i="19" s="1"/>
  <c r="H72" i="11" s="1"/>
  <c r="W253" i="19"/>
  <c r="F72" i="11" s="1"/>
  <c r="AD63" i="25"/>
  <c r="Z7" i="25"/>
  <c r="AD7" i="25" s="1"/>
  <c r="D84" i="11"/>
  <c r="D86" i="11"/>
  <c r="Z93" i="25"/>
  <c r="AC93" i="25" s="1"/>
  <c r="D87" i="11"/>
  <c r="Z37" i="25"/>
  <c r="AD37" i="25" s="1"/>
  <c r="D85" i="11"/>
  <c r="AC6" i="9"/>
  <c r="AD6" i="9"/>
  <c r="AC34" i="9"/>
  <c r="AC14" i="9"/>
  <c r="AB34" i="9"/>
  <c r="AD34" i="9" s="1"/>
  <c r="AC33" i="9"/>
  <c r="AA224" i="9"/>
  <c r="AB394" i="9"/>
  <c r="AB95" i="9"/>
  <c r="AB320" i="9"/>
  <c r="AB159" i="9"/>
  <c r="F15" i="11"/>
  <c r="AB254" i="9"/>
  <c r="AA109" i="9"/>
  <c r="AD53" i="16"/>
  <c r="AC50" i="9"/>
  <c r="AD75" i="9"/>
  <c r="AB201" i="16"/>
  <c r="AB51" i="16"/>
  <c r="AD51" i="16" s="1"/>
  <c r="AA196" i="16"/>
  <c r="AA50" i="16"/>
  <c r="AC50" i="16" s="1"/>
  <c r="AA321" i="16"/>
  <c r="AD65" i="16"/>
  <c r="AD51" i="9"/>
  <c r="AC51" i="9"/>
  <c r="AA470" i="9"/>
  <c r="AB403" i="9"/>
  <c r="AB156" i="9"/>
  <c r="L243" i="9"/>
  <c r="F11" i="11"/>
  <c r="AA399" i="9"/>
  <c r="AA153" i="9"/>
  <c r="X18" i="11"/>
  <c r="AB18" i="11" s="1"/>
  <c r="AD18" i="11" s="1"/>
  <c r="X9" i="11"/>
  <c r="AB9" i="11" s="1"/>
  <c r="AD9" i="11" s="1"/>
  <c r="AA95" i="9"/>
  <c r="AA123" i="9"/>
  <c r="AA309" i="9"/>
  <c r="X7" i="11"/>
  <c r="AB7" i="11" s="1"/>
  <c r="AD7" i="11" s="1"/>
  <c r="F13" i="11"/>
  <c r="AB93" i="9"/>
  <c r="AA213" i="9"/>
  <c r="AD33" i="9"/>
  <c r="F7" i="11"/>
  <c r="AB103" i="9"/>
  <c r="AB399" i="9"/>
  <c r="AB346" i="9"/>
  <c r="AA346" i="9"/>
  <c r="AB65" i="9"/>
  <c r="AD65" i="9" s="1"/>
  <c r="AA65" i="9"/>
  <c r="AC65" i="9" s="1"/>
  <c r="AB363" i="9"/>
  <c r="AB45" i="9"/>
  <c r="AD45" i="9" s="1"/>
  <c r="AB309" i="9"/>
  <c r="AA426" i="9"/>
  <c r="AB426" i="9"/>
  <c r="AA112" i="9"/>
  <c r="AB455" i="9"/>
  <c r="AA455" i="9"/>
  <c r="AB463" i="9"/>
  <c r="AA396" i="9"/>
  <c r="AB396" i="9"/>
  <c r="AA165" i="9"/>
  <c r="AB36" i="9"/>
  <c r="AD36" i="9" s="1"/>
  <c r="AA369" i="9"/>
  <c r="AB369" i="9"/>
  <c r="AB153" i="9"/>
  <c r="AA364" i="9"/>
  <c r="AB364" i="9"/>
  <c r="AA249" i="9"/>
  <c r="AB249" i="9"/>
  <c r="AB436" i="9"/>
  <c r="AA184" i="9"/>
  <c r="AB74" i="9"/>
  <c r="AD74" i="9" s="1"/>
  <c r="AA74" i="9"/>
  <c r="AC74" i="9" s="1"/>
  <c r="AB39" i="9"/>
  <c r="AD39" i="9" s="1"/>
  <c r="AA39" i="9"/>
  <c r="AC39" i="9" s="1"/>
  <c r="AA501" i="9"/>
  <c r="AB501" i="9"/>
  <c r="AA321" i="9"/>
  <c r="AB321" i="9"/>
  <c r="AA496" i="9"/>
  <c r="AB496" i="9"/>
  <c r="AA52" i="9"/>
  <c r="AC52" i="9" s="1"/>
  <c r="AB52" i="9"/>
  <c r="AD52" i="9" s="1"/>
  <c r="AA125" i="9"/>
  <c r="AA216" i="9"/>
  <c r="AB216" i="9"/>
  <c r="D21" i="13" s="1"/>
  <c r="AA350" i="9"/>
  <c r="AD11" i="11"/>
  <c r="AA425" i="9"/>
  <c r="AB425" i="9"/>
  <c r="AA260" i="9"/>
  <c r="AA339" i="9"/>
  <c r="AB433" i="9"/>
  <c r="AA433" i="9"/>
  <c r="AB460" i="9"/>
  <c r="AA460" i="9"/>
  <c r="AB129" i="9"/>
  <c r="AA129" i="9"/>
  <c r="L502" i="9"/>
  <c r="W502" i="9"/>
  <c r="AB73" i="9"/>
  <c r="AD73" i="9" s="1"/>
  <c r="AA73" i="9"/>
  <c r="AC73" i="9" s="1"/>
  <c r="AB305" i="9"/>
  <c r="AA305" i="9"/>
  <c r="AA262" i="9"/>
  <c r="AB262" i="9"/>
  <c r="AA172" i="9"/>
  <c r="AB172" i="9"/>
  <c r="AB429" i="9"/>
  <c r="AA429" i="9"/>
  <c r="AC84" i="9"/>
  <c r="AC72" i="9"/>
  <c r="AB343" i="16"/>
  <c r="AA193" i="16"/>
  <c r="AB373" i="16"/>
  <c r="Z15" i="16"/>
  <c r="AA80" i="16"/>
  <c r="AC80" i="16" s="1"/>
  <c r="AD50" i="16"/>
  <c r="AD66" i="16"/>
  <c r="AB410" i="16"/>
  <c r="AD8" i="16"/>
  <c r="AA496" i="16"/>
  <c r="AA72" i="16"/>
  <c r="AC72" i="16" s="1"/>
  <c r="AB402" i="16"/>
  <c r="AC73" i="16"/>
  <c r="AD84" i="16"/>
  <c r="AB136" i="16"/>
  <c r="AA21" i="16"/>
  <c r="AC21" i="16" s="1"/>
  <c r="AA42" i="16"/>
  <c r="AC42" i="16" s="1"/>
  <c r="AB492" i="17"/>
  <c r="AB81" i="16"/>
  <c r="AD81" i="16" s="1"/>
  <c r="AB162" i="17"/>
  <c r="AB286" i="16"/>
  <c r="AA133" i="16"/>
  <c r="AD80" i="16"/>
  <c r="AB231" i="16"/>
  <c r="AB313" i="16"/>
  <c r="AC16" i="16"/>
  <c r="AD16" i="16"/>
  <c r="AD21" i="16"/>
  <c r="AA72" i="17"/>
  <c r="AA462" i="17"/>
  <c r="AA436" i="16"/>
  <c r="D25" i="11"/>
  <c r="AB316" i="16"/>
  <c r="AA226" i="16"/>
  <c r="AB192" i="16"/>
  <c r="AA403" i="19"/>
  <c r="AC70" i="9"/>
  <c r="AC67" i="16"/>
  <c r="AD18" i="16"/>
  <c r="AA132" i="16"/>
  <c r="AC8" i="16"/>
  <c r="AD37" i="16"/>
  <c r="AC24" i="16"/>
  <c r="AD48" i="16"/>
  <c r="AD42" i="16"/>
  <c r="AB222" i="17"/>
  <c r="AA342" i="17"/>
  <c r="AA492" i="16"/>
  <c r="D24" i="11"/>
  <c r="AA230" i="16"/>
  <c r="AD23" i="16"/>
  <c r="AD12" i="16"/>
  <c r="AD38" i="16"/>
  <c r="AD54" i="16"/>
  <c r="Y227" i="16"/>
  <c r="AB227" i="16" s="1"/>
  <c r="Y345" i="16"/>
  <c r="AB345" i="16" s="1"/>
  <c r="AA163" i="16"/>
  <c r="AB163" i="16"/>
  <c r="Y17" i="16"/>
  <c r="AA17" i="16" s="1"/>
  <c r="AC17" i="16" s="1"/>
  <c r="Y47" i="16"/>
  <c r="AB47" i="16" s="1"/>
  <c r="AD47" i="16" s="1"/>
  <c r="Y347" i="16"/>
  <c r="AB347" i="16" s="1"/>
  <c r="Y317" i="16"/>
  <c r="AB317" i="16" s="1"/>
  <c r="Y255" i="16"/>
  <c r="AA255" i="16" s="1"/>
  <c r="Y407" i="16"/>
  <c r="Y287" i="16"/>
  <c r="AA287" i="16" s="1"/>
  <c r="AB312" i="17"/>
  <c r="Y437" i="16"/>
  <c r="Y15" i="16"/>
  <c r="AB15" i="16" s="1"/>
  <c r="Y105" i="16"/>
  <c r="AA105" i="16" s="1"/>
  <c r="Y435" i="16"/>
  <c r="AB435" i="16" s="1"/>
  <c r="Y375" i="16"/>
  <c r="AB375" i="16" s="1"/>
  <c r="Y75" i="16"/>
  <c r="AA75" i="16" s="1"/>
  <c r="Y465" i="16"/>
  <c r="Y308" i="16"/>
  <c r="AB308" i="16" s="1"/>
  <c r="Y195" i="16"/>
  <c r="AA195" i="16" s="1"/>
  <c r="Y197" i="16"/>
  <c r="AA197" i="16" s="1"/>
  <c r="Y257" i="16"/>
  <c r="AB257" i="16" s="1"/>
  <c r="Y167" i="16"/>
  <c r="AA167" i="16" s="1"/>
  <c r="Y45" i="16"/>
  <c r="AB45" i="16" s="1"/>
  <c r="Y495" i="16"/>
  <c r="H40" i="11" s="1"/>
  <c r="Y315" i="16"/>
  <c r="Y377" i="16"/>
  <c r="Y77" i="16"/>
  <c r="AC17" i="25"/>
  <c r="AD84" i="25"/>
  <c r="AC42" i="25"/>
  <c r="AD77" i="25"/>
  <c r="AD48" i="25"/>
  <c r="AD23" i="25"/>
  <c r="AD53" i="25"/>
  <c r="AC12" i="25"/>
  <c r="AC24" i="25"/>
  <c r="AC41" i="25"/>
  <c r="AC83" i="25"/>
  <c r="AD54" i="25"/>
  <c r="AC47" i="25"/>
  <c r="AC71" i="25"/>
  <c r="AD11" i="25"/>
  <c r="AD72" i="25"/>
  <c r="AD8" i="25"/>
  <c r="D46" i="11"/>
  <c r="AD38" i="25"/>
  <c r="AD18" i="25"/>
  <c r="AC68" i="25"/>
  <c r="AB463" i="19"/>
  <c r="AA42" i="17"/>
  <c r="AC42" i="17" s="1"/>
  <c r="D26" i="11"/>
  <c r="AC81" i="19"/>
  <c r="AC76" i="9"/>
  <c r="AC68" i="17"/>
  <c r="AD83" i="16"/>
  <c r="AD83" i="19"/>
  <c r="AC78" i="16"/>
  <c r="AD78" i="16"/>
  <c r="AD76" i="9"/>
  <c r="AD81" i="19"/>
  <c r="AD101" i="25"/>
  <c r="AC101" i="25"/>
  <c r="AC108" i="25"/>
  <c r="AD108" i="25"/>
  <c r="AD114" i="25"/>
  <c r="AC114" i="25"/>
  <c r="AD113" i="25"/>
  <c r="AC113" i="25"/>
  <c r="AD107" i="25"/>
  <c r="AC107" i="25"/>
  <c r="AC98" i="25"/>
  <c r="AD98" i="25"/>
  <c r="AD97" i="25"/>
  <c r="AC97" i="25"/>
  <c r="AD78" i="25"/>
  <c r="AC78" i="25"/>
  <c r="AD96" i="25"/>
  <c r="AC96" i="25"/>
  <c r="AD119" i="25"/>
  <c r="AC119" i="25"/>
  <c r="AD118" i="25"/>
  <c r="AC118" i="25"/>
  <c r="AC116" i="25"/>
  <c r="AD116" i="25"/>
  <c r="AD95" i="25"/>
  <c r="AC95" i="25"/>
  <c r="AC104" i="25"/>
  <c r="AD104" i="25"/>
  <c r="O149" i="25"/>
  <c r="U149" i="25" s="1"/>
  <c r="Z149" i="25" s="1"/>
  <c r="O141" i="25"/>
  <c r="U141" i="25" s="1"/>
  <c r="Z141" i="25" s="1"/>
  <c r="O133" i="25"/>
  <c r="U133" i="25" s="1"/>
  <c r="Z133" i="25" s="1"/>
  <c r="O125" i="25"/>
  <c r="U125" i="25" s="1"/>
  <c r="Z125" i="25" s="1"/>
  <c r="O146" i="25"/>
  <c r="U146" i="25" s="1"/>
  <c r="Z146" i="25" s="1"/>
  <c r="O138" i="25"/>
  <c r="U138" i="25" s="1"/>
  <c r="Z138" i="25" s="1"/>
  <c r="O130" i="25"/>
  <c r="U130" i="25" s="1"/>
  <c r="Z130" i="25" s="1"/>
  <c r="O152" i="25"/>
  <c r="U152" i="25" s="1"/>
  <c r="Z152" i="25" s="1"/>
  <c r="O137" i="25"/>
  <c r="U137" i="25" s="1"/>
  <c r="Z137" i="25" s="1"/>
  <c r="O131" i="25"/>
  <c r="U131" i="25" s="1"/>
  <c r="Z131" i="25" s="1"/>
  <c r="O143" i="25"/>
  <c r="U143" i="25" s="1"/>
  <c r="Z143" i="25" s="1"/>
  <c r="O139" i="25"/>
  <c r="U139" i="25" s="1"/>
  <c r="Z139" i="25" s="1"/>
  <c r="O151" i="25"/>
  <c r="U151" i="25" s="1"/>
  <c r="Z151" i="25" s="1"/>
  <c r="O145" i="25"/>
  <c r="U145" i="25" s="1"/>
  <c r="Z145" i="25" s="1"/>
  <c r="O128" i="25"/>
  <c r="U128" i="25" s="1"/>
  <c r="Z128" i="25" s="1"/>
  <c r="O126" i="25"/>
  <c r="U126" i="25" s="1"/>
  <c r="Z126" i="25" s="1"/>
  <c r="O123" i="25"/>
  <c r="U123" i="25" s="1"/>
  <c r="O147" i="25"/>
  <c r="U147" i="25" s="1"/>
  <c r="Z147" i="25" s="1"/>
  <c r="O136" i="25"/>
  <c r="U136" i="25" s="1"/>
  <c r="Z136" i="25" s="1"/>
  <c r="O134" i="25"/>
  <c r="U134" i="25" s="1"/>
  <c r="Z134" i="25" s="1"/>
  <c r="O132" i="25"/>
  <c r="U132" i="25" s="1"/>
  <c r="Z132" i="25" s="1"/>
  <c r="O124" i="25"/>
  <c r="U124" i="25" s="1"/>
  <c r="Z124" i="25" s="1"/>
  <c r="O144" i="25"/>
  <c r="U144" i="25" s="1"/>
  <c r="Z144" i="25" s="1"/>
  <c r="O142" i="25"/>
  <c r="U142" i="25" s="1"/>
  <c r="Z142" i="25" s="1"/>
  <c r="O140" i="25"/>
  <c r="U140" i="25" s="1"/>
  <c r="Z140" i="25" s="1"/>
  <c r="O135" i="25"/>
  <c r="U135" i="25" s="1"/>
  <c r="O148" i="25"/>
  <c r="U148" i="25" s="1"/>
  <c r="Z148" i="25" s="1"/>
  <c r="O129" i="25"/>
  <c r="U129" i="25" s="1"/>
  <c r="Z129" i="25" s="1"/>
  <c r="O150" i="25"/>
  <c r="U150" i="25" s="1"/>
  <c r="Z150" i="25" s="1"/>
  <c r="O127" i="25"/>
  <c r="U127" i="25" s="1"/>
  <c r="Z127" i="25" s="1"/>
  <c r="AD68" i="19"/>
  <c r="AC102" i="25"/>
  <c r="AD102" i="25"/>
  <c r="AD109" i="25"/>
  <c r="AC109" i="25"/>
  <c r="AD106" i="25"/>
  <c r="AC106" i="25"/>
  <c r="AC112" i="25"/>
  <c r="AD112" i="25"/>
  <c r="AD94" i="25"/>
  <c r="AC94" i="25"/>
  <c r="Z77" i="16"/>
  <c r="AD111" i="25"/>
  <c r="AC111" i="25"/>
  <c r="AD110" i="25"/>
  <c r="AC110" i="25"/>
  <c r="AC120" i="25"/>
  <c r="AD120" i="25"/>
  <c r="AD115" i="25"/>
  <c r="AC115" i="25"/>
  <c r="AD121" i="25"/>
  <c r="AC121" i="25"/>
  <c r="AD117" i="25"/>
  <c r="AC117" i="25"/>
  <c r="AD122" i="25"/>
  <c r="AC122" i="25"/>
  <c r="AC67" i="25"/>
  <c r="AD67" i="25"/>
  <c r="AD99" i="25"/>
  <c r="AC99" i="25"/>
  <c r="AC100" i="25"/>
  <c r="AD100" i="25"/>
  <c r="AD50" i="19"/>
  <c r="AC81" i="16"/>
  <c r="AA102" i="17"/>
  <c r="AC102" i="17" s="1"/>
  <c r="B38" i="11"/>
  <c r="AA282" i="17"/>
  <c r="AA163" i="19"/>
  <c r="AB402" i="17"/>
  <c r="AA42" i="19"/>
  <c r="AC42" i="19" s="1"/>
  <c r="AC50" i="19"/>
  <c r="AD81" i="9"/>
  <c r="AC81" i="9"/>
  <c r="AD79" i="9"/>
  <c r="AA192" i="17"/>
  <c r="F46" i="11"/>
  <c r="AC64" i="9"/>
  <c r="H15" i="11"/>
  <c r="AA333" i="9"/>
  <c r="AB333" i="9"/>
  <c r="H14" i="11"/>
  <c r="AB303" i="9"/>
  <c r="AA303" i="9"/>
  <c r="AB312" i="16"/>
  <c r="H13" i="11"/>
  <c r="AA273" i="9"/>
  <c r="AB273" i="9"/>
  <c r="H6" i="11"/>
  <c r="AA63" i="9"/>
  <c r="AC63" i="9" s="1"/>
  <c r="AB63" i="9"/>
  <c r="AD63" i="9" s="1"/>
  <c r="F35" i="11"/>
  <c r="C45" i="11"/>
  <c r="Z77" i="17"/>
  <c r="D6" i="11"/>
  <c r="D7" i="11"/>
  <c r="F30" i="11"/>
  <c r="F55" i="11"/>
  <c r="F33" i="11"/>
  <c r="H55" i="11"/>
  <c r="F60" i="11"/>
  <c r="C59" i="11"/>
  <c r="D67" i="11"/>
  <c r="Z75" i="16"/>
  <c r="B26" i="11"/>
  <c r="Y165" i="16"/>
  <c r="X73" i="11"/>
  <c r="AB73" i="11" s="1"/>
  <c r="H60" i="11"/>
  <c r="B39" i="11"/>
  <c r="Y405" i="16"/>
  <c r="Y285" i="16"/>
  <c r="X33" i="11"/>
  <c r="AB33" i="11" s="1"/>
  <c r="AB372" i="17"/>
  <c r="AB12" i="17"/>
  <c r="AD12" i="17" s="1"/>
  <c r="H73" i="11"/>
  <c r="X27" i="11"/>
  <c r="AB27" i="11" s="1"/>
  <c r="AD27" i="11" s="1"/>
  <c r="X77" i="11"/>
  <c r="AB77" i="11" s="1"/>
  <c r="AD77" i="11" s="1"/>
  <c r="B40" i="11"/>
  <c r="AA372" i="17"/>
  <c r="C57" i="11"/>
  <c r="H75" i="11"/>
  <c r="B64" i="11"/>
  <c r="H77" i="11"/>
  <c r="B35" i="11"/>
  <c r="F34" i="11"/>
  <c r="B60" i="11"/>
  <c r="H76" i="11"/>
  <c r="B28" i="11"/>
  <c r="X60" i="11"/>
  <c r="AB60" i="11" s="1"/>
  <c r="Z93" i="17"/>
  <c r="AD93" i="17" s="1"/>
  <c r="D47" i="11"/>
  <c r="Z93" i="16"/>
  <c r="AD93" i="16" s="1"/>
  <c r="D27" i="11"/>
  <c r="Y225" i="16"/>
  <c r="X31" i="11"/>
  <c r="AB31" i="11" s="1"/>
  <c r="AD31" i="11" s="1"/>
  <c r="X30" i="11"/>
  <c r="AB30" i="11" s="1"/>
  <c r="AD30" i="11" s="1"/>
  <c r="X69" i="11"/>
  <c r="AB69" i="11" s="1"/>
  <c r="AD69" i="11" s="1"/>
  <c r="B25" i="11"/>
  <c r="B24" i="11"/>
  <c r="B45" i="11"/>
  <c r="C49" i="11"/>
  <c r="D66" i="11"/>
  <c r="B65" i="11"/>
  <c r="B44" i="11"/>
  <c r="AA252" i="17"/>
  <c r="AB252" i="17"/>
  <c r="Z105" i="17"/>
  <c r="F31" i="11"/>
  <c r="H69" i="11"/>
  <c r="X40" i="11"/>
  <c r="AB40" i="11" s="1"/>
  <c r="AD40" i="11" s="1"/>
  <c r="X80" i="11"/>
  <c r="AB80" i="11" s="1"/>
  <c r="AD80" i="11" s="1"/>
  <c r="B46" i="11"/>
  <c r="F25" i="11"/>
  <c r="B36" i="11"/>
  <c r="AC76" i="19"/>
  <c r="H80" i="11"/>
  <c r="B80" i="11"/>
  <c r="X25" i="11"/>
  <c r="AB25" i="11" s="1"/>
  <c r="AD25" i="11" s="1"/>
  <c r="F40" i="11"/>
  <c r="AD20" i="19"/>
  <c r="AC20" i="19"/>
  <c r="AD64" i="9"/>
  <c r="AD77" i="9"/>
  <c r="AC18" i="9"/>
  <c r="AC46" i="9"/>
  <c r="AD46" i="9"/>
  <c r="AC81" i="17"/>
  <c r="AD81" i="17"/>
  <c r="AC76" i="17"/>
  <c r="AD80" i="9"/>
  <c r="AC80" i="19"/>
  <c r="AD77" i="19"/>
  <c r="AD51" i="19"/>
  <c r="AD76" i="17"/>
  <c r="AD80" i="17"/>
  <c r="AC80" i="9"/>
  <c r="AD80" i="19"/>
  <c r="AC51" i="19"/>
  <c r="D18" i="13"/>
  <c r="AD70" i="9"/>
  <c r="Z105" i="16"/>
  <c r="AD72" i="16"/>
  <c r="Z75" i="19"/>
  <c r="AC80" i="17"/>
  <c r="AD21" i="17"/>
  <c r="AC21" i="17"/>
  <c r="AB227" i="17"/>
  <c r="AB47" i="17"/>
  <c r="AD76" i="19"/>
  <c r="AB17" i="17"/>
  <c r="AB407" i="17"/>
  <c r="AD50" i="9"/>
  <c r="Z47" i="17"/>
  <c r="AB47" i="19"/>
  <c r="Z105" i="19"/>
  <c r="AD72" i="17"/>
  <c r="AB317" i="17"/>
  <c r="AA317" i="17"/>
  <c r="AA135" i="19"/>
  <c r="AB135" i="19"/>
  <c r="AA347" i="17"/>
  <c r="AB347" i="17"/>
  <c r="AA497" i="17"/>
  <c r="AB497" i="17"/>
  <c r="AA435" i="19"/>
  <c r="AB435" i="19"/>
  <c r="AA435" i="17"/>
  <c r="AB435" i="17"/>
  <c r="AA377" i="17"/>
  <c r="AB377" i="17"/>
  <c r="AB107" i="17"/>
  <c r="AD107" i="17" s="1"/>
  <c r="AA107" i="17"/>
  <c r="AC107" i="17" s="1"/>
  <c r="AA45" i="17"/>
  <c r="AC45" i="17" s="1"/>
  <c r="AB45" i="17"/>
  <c r="AD45" i="17" s="1"/>
  <c r="AA75" i="19"/>
  <c r="AB75" i="19"/>
  <c r="AB197" i="17"/>
  <c r="AA197" i="17"/>
  <c r="AB285" i="19"/>
  <c r="AA285" i="19"/>
  <c r="Z47" i="19"/>
  <c r="AA15" i="19"/>
  <c r="AB15" i="19"/>
  <c r="AB285" i="17"/>
  <c r="AA285" i="17"/>
  <c r="AB345" i="19"/>
  <c r="AA345" i="19"/>
  <c r="AA315" i="19"/>
  <c r="AB315" i="19"/>
  <c r="AB465" i="19"/>
  <c r="AA465" i="19"/>
  <c r="AB105" i="19"/>
  <c r="AA105" i="19"/>
  <c r="AA495" i="17"/>
  <c r="AB495" i="17"/>
  <c r="AB167" i="16"/>
  <c r="AA375" i="19"/>
  <c r="AB375" i="19"/>
  <c r="AA135" i="17"/>
  <c r="AB135" i="17"/>
  <c r="AA105" i="17"/>
  <c r="AB105" i="17"/>
  <c r="AA465" i="17"/>
  <c r="AA137" i="17"/>
  <c r="AB137" i="17"/>
  <c r="AA165" i="19"/>
  <c r="AB165" i="19"/>
  <c r="J19" i="13" s="1"/>
  <c r="AB437" i="17"/>
  <c r="AA437" i="17"/>
  <c r="AB467" i="17"/>
  <c r="AB167" i="17"/>
  <c r="AA495" i="19"/>
  <c r="AB495" i="19"/>
  <c r="AB345" i="17"/>
  <c r="AA345" i="17"/>
  <c r="D14" i="13"/>
  <c r="AB165" i="17"/>
  <c r="AB405" i="19"/>
  <c r="J27" i="13" s="1"/>
  <c r="AA405" i="19"/>
  <c r="AB45" i="19"/>
  <c r="AA195" i="19"/>
  <c r="AB195" i="19"/>
  <c r="AA255" i="19"/>
  <c r="AB255" i="19"/>
  <c r="AA75" i="17"/>
  <c r="AB75" i="17"/>
  <c r="Z17" i="17"/>
  <c r="AB77" i="17"/>
  <c r="AA77" i="17"/>
  <c r="AA195" i="17"/>
  <c r="AB195" i="17"/>
  <c r="AA17" i="19"/>
  <c r="AC17" i="19" s="1"/>
  <c r="AB17" i="19"/>
  <c r="AB257" i="17"/>
  <c r="AA225" i="19"/>
  <c r="AB225" i="19"/>
  <c r="AB287" i="17"/>
  <c r="AD63" i="19"/>
  <c r="Z93" i="19"/>
  <c r="AD93" i="19" s="1"/>
  <c r="AD78" i="19"/>
  <c r="AC82" i="17"/>
  <c r="AD63" i="17"/>
  <c r="AD82" i="9"/>
  <c r="AD73" i="16"/>
  <c r="AC65" i="16"/>
  <c r="AC63" i="16"/>
  <c r="AD64" i="17"/>
  <c r="Z98" i="9"/>
  <c r="AD98" i="9" s="1"/>
  <c r="Z93" i="9"/>
  <c r="Z99" i="9"/>
  <c r="AD99" i="9" s="1"/>
  <c r="AC84" i="16"/>
  <c r="AC79" i="16"/>
  <c r="AD69" i="16"/>
  <c r="Z95" i="9"/>
  <c r="Z103" i="9"/>
  <c r="AC103" i="9" s="1"/>
  <c r="Z107" i="9"/>
  <c r="AC107" i="9" s="1"/>
  <c r="Z113" i="9"/>
  <c r="AD113" i="9" s="1"/>
  <c r="Z94" i="9"/>
  <c r="AC94" i="9" s="1"/>
  <c r="Z105" i="9"/>
  <c r="AC105" i="9" s="1"/>
  <c r="Z96" i="9"/>
  <c r="AD96" i="9" s="1"/>
  <c r="Z109" i="9"/>
  <c r="AD109" i="9" s="1"/>
  <c r="Z104" i="9"/>
  <c r="AD104" i="9" s="1"/>
  <c r="Z112" i="9"/>
  <c r="AD112" i="9" s="1"/>
  <c r="AD74" i="16"/>
  <c r="AC74" i="17"/>
  <c r="AC66" i="16"/>
  <c r="AD79" i="17"/>
  <c r="AD68" i="16"/>
  <c r="AD82" i="16"/>
  <c r="AD84" i="19"/>
  <c r="AC84" i="17"/>
  <c r="AC72" i="17"/>
  <c r="AC78" i="17"/>
  <c r="AD83" i="17"/>
  <c r="AC72" i="19"/>
  <c r="AD79" i="19"/>
  <c r="AC110" i="9"/>
  <c r="AD110" i="9"/>
  <c r="AD120" i="16"/>
  <c r="AC120" i="16"/>
  <c r="AC110" i="16"/>
  <c r="AC106" i="16"/>
  <c r="AD106" i="16"/>
  <c r="AC115" i="17"/>
  <c r="AD115" i="17"/>
  <c r="AD102" i="17"/>
  <c r="AC112" i="17"/>
  <c r="AD112" i="17"/>
  <c r="AD96" i="17"/>
  <c r="AC96" i="17"/>
  <c r="AC101" i="19"/>
  <c r="AD101" i="19"/>
  <c r="AC120" i="19"/>
  <c r="AD120" i="19"/>
  <c r="AD118" i="19"/>
  <c r="AC118" i="19"/>
  <c r="AC100" i="19"/>
  <c r="AD100" i="19"/>
  <c r="AC101" i="9"/>
  <c r="AD101" i="9"/>
  <c r="AC122" i="16"/>
  <c r="AD122" i="16"/>
  <c r="AC113" i="16"/>
  <c r="AD113" i="16"/>
  <c r="AD118" i="16"/>
  <c r="AC118" i="16"/>
  <c r="AC101" i="17"/>
  <c r="AD101" i="17"/>
  <c r="AC97" i="17"/>
  <c r="AD97" i="17"/>
  <c r="AD122" i="17"/>
  <c r="AC122" i="17"/>
  <c r="AC98" i="19"/>
  <c r="AD98" i="19"/>
  <c r="AC119" i="19"/>
  <c r="AD119" i="19"/>
  <c r="AD117" i="19"/>
  <c r="AC117" i="19"/>
  <c r="AC95" i="19"/>
  <c r="AD95" i="19"/>
  <c r="AC97" i="9"/>
  <c r="AD97" i="9"/>
  <c r="AD111" i="9"/>
  <c r="AC111" i="9"/>
  <c r="AC108" i="9"/>
  <c r="AD108" i="9"/>
  <c r="AC121" i="16"/>
  <c r="AD121" i="16"/>
  <c r="AC99" i="16"/>
  <c r="AD99" i="16"/>
  <c r="AD117" i="16"/>
  <c r="AC117" i="16"/>
  <c r="AC107" i="16"/>
  <c r="AD107" i="16"/>
  <c r="AC97" i="16"/>
  <c r="AD97" i="16"/>
  <c r="AC118" i="17"/>
  <c r="AD118" i="17"/>
  <c r="AD108" i="17"/>
  <c r="AC108" i="17"/>
  <c r="AD95" i="17"/>
  <c r="AC95" i="17"/>
  <c r="AD121" i="17"/>
  <c r="AC121" i="17"/>
  <c r="AD97" i="19"/>
  <c r="AC97" i="19"/>
  <c r="AC110" i="19"/>
  <c r="AD110" i="19"/>
  <c r="AD115" i="19"/>
  <c r="AC115" i="19"/>
  <c r="AD94" i="19"/>
  <c r="AC94" i="19"/>
  <c r="AD114" i="9"/>
  <c r="AC114" i="9"/>
  <c r="AC100" i="9"/>
  <c r="AD100" i="9"/>
  <c r="O125" i="19"/>
  <c r="U125" i="19" s="1"/>
  <c r="Z125" i="19" s="1"/>
  <c r="O127" i="19"/>
  <c r="U127" i="19" s="1"/>
  <c r="Z127" i="19" s="1"/>
  <c r="O130" i="19"/>
  <c r="U130" i="19" s="1"/>
  <c r="Z130" i="19" s="1"/>
  <c r="O132" i="19"/>
  <c r="U132" i="19" s="1"/>
  <c r="Z132" i="19" s="1"/>
  <c r="O126" i="19"/>
  <c r="U126" i="19" s="1"/>
  <c r="Z126" i="19" s="1"/>
  <c r="O143" i="19"/>
  <c r="U143" i="19" s="1"/>
  <c r="Z143" i="19" s="1"/>
  <c r="O144" i="19"/>
  <c r="U144" i="19" s="1"/>
  <c r="Z144" i="19" s="1"/>
  <c r="O124" i="19"/>
  <c r="U124" i="19" s="1"/>
  <c r="Z124" i="19" s="1"/>
  <c r="O131" i="19"/>
  <c r="U131" i="19" s="1"/>
  <c r="Z131" i="19" s="1"/>
  <c r="O142" i="19"/>
  <c r="U142" i="19" s="1"/>
  <c r="Z142" i="19" s="1"/>
  <c r="O146" i="19"/>
  <c r="U146" i="19" s="1"/>
  <c r="Z146" i="19" s="1"/>
  <c r="O151" i="19"/>
  <c r="U151" i="19" s="1"/>
  <c r="Z151" i="19" s="1"/>
  <c r="O123" i="19"/>
  <c r="U123" i="19" s="1"/>
  <c r="O148" i="19"/>
  <c r="U148" i="19" s="1"/>
  <c r="Z148" i="19" s="1"/>
  <c r="O138" i="19"/>
  <c r="U138" i="19" s="1"/>
  <c r="Z138" i="19" s="1"/>
  <c r="O139" i="19"/>
  <c r="U139" i="19" s="1"/>
  <c r="Z139" i="19" s="1"/>
  <c r="O141" i="19"/>
  <c r="U141" i="19" s="1"/>
  <c r="Z141" i="19" s="1"/>
  <c r="O136" i="19"/>
  <c r="U136" i="19" s="1"/>
  <c r="Z136" i="19" s="1"/>
  <c r="O137" i="19"/>
  <c r="U137" i="19" s="1"/>
  <c r="Z137" i="19" s="1"/>
  <c r="O145" i="19"/>
  <c r="U145" i="19" s="1"/>
  <c r="Z145" i="19" s="1"/>
  <c r="O150" i="19"/>
  <c r="U150" i="19" s="1"/>
  <c r="Z150" i="19" s="1"/>
  <c r="O128" i="19"/>
  <c r="U128" i="19" s="1"/>
  <c r="Z128" i="19" s="1"/>
  <c r="O135" i="19"/>
  <c r="U135" i="19" s="1"/>
  <c r="Z135" i="19" s="1"/>
  <c r="O140" i="19"/>
  <c r="U140" i="19" s="1"/>
  <c r="Z140" i="19" s="1"/>
  <c r="O147" i="19"/>
  <c r="U147" i="19" s="1"/>
  <c r="Z147" i="19" s="1"/>
  <c r="O152" i="19"/>
  <c r="U152" i="19" s="1"/>
  <c r="Z152" i="19" s="1"/>
  <c r="O129" i="19"/>
  <c r="U129" i="19" s="1"/>
  <c r="Z129" i="19" s="1"/>
  <c r="O133" i="19"/>
  <c r="U133" i="19" s="1"/>
  <c r="Z133" i="19" s="1"/>
  <c r="O134" i="19"/>
  <c r="U134" i="19" s="1"/>
  <c r="Z134" i="19" s="1"/>
  <c r="O149" i="19"/>
  <c r="U149" i="19" s="1"/>
  <c r="Z149" i="19" s="1"/>
  <c r="O123" i="17"/>
  <c r="U123" i="17" s="1"/>
  <c r="O135" i="17"/>
  <c r="U135" i="17" s="1"/>
  <c r="Z135" i="17" s="1"/>
  <c r="O138" i="17"/>
  <c r="U138" i="17" s="1"/>
  <c r="Z138" i="17" s="1"/>
  <c r="O152" i="17"/>
  <c r="U152" i="17" s="1"/>
  <c r="Z152" i="17" s="1"/>
  <c r="O129" i="17"/>
  <c r="U129" i="17" s="1"/>
  <c r="Z129" i="17" s="1"/>
  <c r="O130" i="17"/>
  <c r="U130" i="17" s="1"/>
  <c r="Z130" i="17" s="1"/>
  <c r="O133" i="17"/>
  <c r="U133" i="17" s="1"/>
  <c r="Z133" i="17" s="1"/>
  <c r="O145" i="17"/>
  <c r="U145" i="17" s="1"/>
  <c r="Z145" i="17" s="1"/>
  <c r="O125" i="17"/>
  <c r="U125" i="17" s="1"/>
  <c r="Z125" i="17" s="1"/>
  <c r="O141" i="17"/>
  <c r="U141" i="17" s="1"/>
  <c r="Z141" i="17" s="1"/>
  <c r="O146" i="17"/>
  <c r="U146" i="17" s="1"/>
  <c r="Z146" i="17" s="1"/>
  <c r="O139" i="17"/>
  <c r="U139" i="17" s="1"/>
  <c r="Z139" i="17" s="1"/>
  <c r="O140" i="17"/>
  <c r="U140" i="17" s="1"/>
  <c r="Z140" i="17" s="1"/>
  <c r="O147" i="17"/>
  <c r="U147" i="17" s="1"/>
  <c r="Z147" i="17" s="1"/>
  <c r="O148" i="17"/>
  <c r="U148" i="17" s="1"/>
  <c r="Z148" i="17" s="1"/>
  <c r="O151" i="17"/>
  <c r="U151" i="17" s="1"/>
  <c r="Z151" i="17" s="1"/>
  <c r="O131" i="17"/>
  <c r="U131" i="17" s="1"/>
  <c r="Z131" i="17" s="1"/>
  <c r="O132" i="17"/>
  <c r="U132" i="17" s="1"/>
  <c r="Z132" i="17" s="1"/>
  <c r="O149" i="17"/>
  <c r="U149" i="17" s="1"/>
  <c r="Z149" i="17" s="1"/>
  <c r="O150" i="17"/>
  <c r="U150" i="17" s="1"/>
  <c r="Z150" i="17" s="1"/>
  <c r="O144" i="17"/>
  <c r="U144" i="17" s="1"/>
  <c r="Z144" i="17" s="1"/>
  <c r="O126" i="17"/>
  <c r="U126" i="17" s="1"/>
  <c r="Z126" i="17" s="1"/>
  <c r="O127" i="17"/>
  <c r="U127" i="17" s="1"/>
  <c r="Z127" i="17" s="1"/>
  <c r="O128" i="17"/>
  <c r="U128" i="17" s="1"/>
  <c r="Z128" i="17" s="1"/>
  <c r="O143" i="17"/>
  <c r="U143" i="17" s="1"/>
  <c r="Z143" i="17" s="1"/>
  <c r="O137" i="17"/>
  <c r="U137" i="17" s="1"/>
  <c r="Z137" i="17" s="1"/>
  <c r="O136" i="17"/>
  <c r="U136" i="17" s="1"/>
  <c r="Z136" i="17" s="1"/>
  <c r="O142" i="17"/>
  <c r="U142" i="17" s="1"/>
  <c r="Z142" i="17" s="1"/>
  <c r="O124" i="17"/>
  <c r="U124" i="17" s="1"/>
  <c r="Z124" i="17" s="1"/>
  <c r="O134" i="17"/>
  <c r="U134" i="17" s="1"/>
  <c r="Z134" i="17" s="1"/>
  <c r="O123" i="16"/>
  <c r="U123" i="16" s="1"/>
  <c r="O124" i="16"/>
  <c r="U124" i="16" s="1"/>
  <c r="Z124" i="16" s="1"/>
  <c r="O126" i="16"/>
  <c r="U126" i="16" s="1"/>
  <c r="Z126" i="16" s="1"/>
  <c r="O131" i="16"/>
  <c r="U131" i="16" s="1"/>
  <c r="Z131" i="16" s="1"/>
  <c r="O142" i="16"/>
  <c r="U142" i="16" s="1"/>
  <c r="Z142" i="16" s="1"/>
  <c r="O143" i="16"/>
  <c r="U143" i="16" s="1"/>
  <c r="Z143" i="16" s="1"/>
  <c r="O144" i="16"/>
  <c r="U144" i="16" s="1"/>
  <c r="Z144" i="16" s="1"/>
  <c r="O148" i="16"/>
  <c r="U148" i="16" s="1"/>
  <c r="Z148" i="16" s="1"/>
  <c r="O125" i="16"/>
  <c r="U125" i="16" s="1"/>
  <c r="Z125" i="16" s="1"/>
  <c r="O149" i="16"/>
  <c r="U149" i="16" s="1"/>
  <c r="Z149" i="16" s="1"/>
  <c r="O129" i="16"/>
  <c r="U129" i="16" s="1"/>
  <c r="Z129" i="16" s="1"/>
  <c r="O130" i="16"/>
  <c r="U130" i="16" s="1"/>
  <c r="Z130" i="16" s="1"/>
  <c r="O145" i="16"/>
  <c r="U145" i="16" s="1"/>
  <c r="Z145" i="16" s="1"/>
  <c r="O150" i="16"/>
  <c r="U150" i="16" s="1"/>
  <c r="Z150" i="16" s="1"/>
  <c r="O135" i="16"/>
  <c r="U135" i="16" s="1"/>
  <c r="Z135" i="16" s="1"/>
  <c r="O138" i="16"/>
  <c r="U138" i="16" s="1"/>
  <c r="Z138" i="16" s="1"/>
  <c r="O127" i="16"/>
  <c r="U127" i="16" s="1"/>
  <c r="Z127" i="16" s="1"/>
  <c r="O134" i="16"/>
  <c r="U134" i="16" s="1"/>
  <c r="Z134" i="16" s="1"/>
  <c r="O137" i="16"/>
  <c r="U137" i="16" s="1"/>
  <c r="Z137" i="16" s="1"/>
  <c r="O147" i="16"/>
  <c r="U147" i="16" s="1"/>
  <c r="Z147" i="16" s="1"/>
  <c r="O152" i="16"/>
  <c r="U152" i="16" s="1"/>
  <c r="Z152" i="16" s="1"/>
  <c r="O146" i="16"/>
  <c r="U146" i="16" s="1"/>
  <c r="Z146" i="16" s="1"/>
  <c r="O133" i="16"/>
  <c r="U133" i="16" s="1"/>
  <c r="Z133" i="16" s="1"/>
  <c r="O141" i="16"/>
  <c r="U141" i="16" s="1"/>
  <c r="Z141" i="16" s="1"/>
  <c r="O136" i="16"/>
  <c r="U136" i="16" s="1"/>
  <c r="Z136" i="16" s="1"/>
  <c r="O146" i="9"/>
  <c r="U146" i="9" s="1"/>
  <c r="Z146" i="9" s="1"/>
  <c r="O148" i="9"/>
  <c r="U148" i="9" s="1"/>
  <c r="Z148" i="9" s="1"/>
  <c r="O150" i="9"/>
  <c r="U150" i="9" s="1"/>
  <c r="Z150" i="9" s="1"/>
  <c r="O152" i="9"/>
  <c r="U152" i="9" s="1"/>
  <c r="Z152" i="9" s="1"/>
  <c r="O132" i="16"/>
  <c r="U132" i="16" s="1"/>
  <c r="Z132" i="16" s="1"/>
  <c r="O128" i="16"/>
  <c r="U128" i="16" s="1"/>
  <c r="Z128" i="16" s="1"/>
  <c r="O139" i="16"/>
  <c r="U139" i="16" s="1"/>
  <c r="Z139" i="16" s="1"/>
  <c r="O140" i="16"/>
  <c r="U140" i="16" s="1"/>
  <c r="Z140" i="16" s="1"/>
  <c r="O151" i="16"/>
  <c r="U151" i="16" s="1"/>
  <c r="Z151" i="16" s="1"/>
  <c r="O145" i="9"/>
  <c r="U145" i="9" s="1"/>
  <c r="Z145" i="9" s="1"/>
  <c r="O147" i="9"/>
  <c r="U147" i="9" s="1"/>
  <c r="Z147" i="9" s="1"/>
  <c r="O149" i="9"/>
  <c r="U149" i="9" s="1"/>
  <c r="Z149" i="9" s="1"/>
  <c r="O151" i="9"/>
  <c r="U151" i="9" s="1"/>
  <c r="Z151" i="9" s="1"/>
  <c r="AD121" i="9"/>
  <c r="AC121" i="9"/>
  <c r="AC122" i="9"/>
  <c r="AD122" i="9"/>
  <c r="AD100" i="16"/>
  <c r="AC100" i="16"/>
  <c r="AD104" i="16"/>
  <c r="AC104" i="16"/>
  <c r="AC96" i="16"/>
  <c r="AD96" i="16"/>
  <c r="AC117" i="17"/>
  <c r="AD117" i="17"/>
  <c r="AD94" i="17"/>
  <c r="AC94" i="17"/>
  <c r="AC120" i="17"/>
  <c r="AD120" i="17"/>
  <c r="AD96" i="19"/>
  <c r="AC96" i="19"/>
  <c r="AD106" i="19"/>
  <c r="AC106" i="19"/>
  <c r="AC112" i="19"/>
  <c r="AD112" i="19"/>
  <c r="AD106" i="9"/>
  <c r="AC106" i="9"/>
  <c r="AC119" i="9"/>
  <c r="AD119" i="9"/>
  <c r="AC120" i="9"/>
  <c r="AD120" i="9"/>
  <c r="AD94" i="16"/>
  <c r="AC94" i="16"/>
  <c r="AD95" i="16"/>
  <c r="AD119" i="16"/>
  <c r="AC119" i="16"/>
  <c r="AD119" i="17"/>
  <c r="AC119" i="17"/>
  <c r="AD106" i="17"/>
  <c r="AC106" i="17"/>
  <c r="AC113" i="17"/>
  <c r="AD113" i="17"/>
  <c r="AC114" i="17"/>
  <c r="AD114" i="17"/>
  <c r="AC102" i="19"/>
  <c r="AD102" i="19"/>
  <c r="AD116" i="19"/>
  <c r="AC116" i="19"/>
  <c r="AC117" i="9"/>
  <c r="AD117" i="9"/>
  <c r="AC118" i="9"/>
  <c r="AD118" i="9"/>
  <c r="AD103" i="16"/>
  <c r="AC103" i="16"/>
  <c r="AD116" i="16"/>
  <c r="AC116" i="16"/>
  <c r="AD101" i="16"/>
  <c r="AC101" i="16"/>
  <c r="AD110" i="17"/>
  <c r="AC110" i="17"/>
  <c r="AC104" i="17"/>
  <c r="AD104" i="17"/>
  <c r="AC111" i="17"/>
  <c r="AD111" i="17"/>
  <c r="AC114" i="19"/>
  <c r="AD114" i="19"/>
  <c r="AD121" i="19"/>
  <c r="AC121" i="19"/>
  <c r="AD111" i="19"/>
  <c r="AC111" i="19"/>
  <c r="AC113" i="19"/>
  <c r="AD113" i="19"/>
  <c r="AC115" i="9"/>
  <c r="AD115" i="9"/>
  <c r="AC116" i="9"/>
  <c r="AD116" i="9"/>
  <c r="AD114" i="16"/>
  <c r="AC114" i="16"/>
  <c r="AD98" i="16"/>
  <c r="AC98" i="16"/>
  <c r="AC109" i="17"/>
  <c r="AD109" i="17"/>
  <c r="AC100" i="17"/>
  <c r="AD100" i="17"/>
  <c r="AD99" i="17"/>
  <c r="AC99" i="17"/>
  <c r="AD109" i="19"/>
  <c r="AC109" i="19"/>
  <c r="AD99" i="19"/>
  <c r="AC99" i="19"/>
  <c r="AD107" i="19"/>
  <c r="AC107" i="19"/>
  <c r="AD108" i="19"/>
  <c r="AC108" i="19"/>
  <c r="AD102" i="9"/>
  <c r="AC102" i="9"/>
  <c r="AD109" i="16"/>
  <c r="AC109" i="16"/>
  <c r="AD115" i="16"/>
  <c r="AC115" i="16"/>
  <c r="AC102" i="16"/>
  <c r="AD102" i="16"/>
  <c r="AC108" i="16"/>
  <c r="AD108" i="16"/>
  <c r="AC116" i="17"/>
  <c r="AD116" i="17"/>
  <c r="AC98" i="17"/>
  <c r="AD98" i="17"/>
  <c r="AC122" i="19"/>
  <c r="AD122" i="19"/>
  <c r="AC104" i="19"/>
  <c r="AD104" i="19"/>
  <c r="I5" i="11"/>
  <c r="O140" i="9"/>
  <c r="U140" i="9" s="1"/>
  <c r="Z140" i="9" s="1"/>
  <c r="O132" i="9"/>
  <c r="U132" i="9" s="1"/>
  <c r="Z132" i="9" s="1"/>
  <c r="O124" i="9"/>
  <c r="U124" i="9" s="1"/>
  <c r="Z124" i="9" s="1"/>
  <c r="O138" i="9"/>
  <c r="U138" i="9" s="1"/>
  <c r="Z138" i="9" s="1"/>
  <c r="O130" i="9"/>
  <c r="U130" i="9" s="1"/>
  <c r="Z130" i="9" s="1"/>
  <c r="O143" i="9"/>
  <c r="U143" i="9" s="1"/>
  <c r="Z143" i="9" s="1"/>
  <c r="O139" i="9"/>
  <c r="U139" i="9" s="1"/>
  <c r="Z139" i="9" s="1"/>
  <c r="O136" i="9"/>
  <c r="U136" i="9" s="1"/>
  <c r="Z136" i="9" s="1"/>
  <c r="O133" i="9"/>
  <c r="U133" i="9" s="1"/>
  <c r="Z133" i="9" s="1"/>
  <c r="O126" i="9"/>
  <c r="U126" i="9" s="1"/>
  <c r="Z126" i="9" s="1"/>
  <c r="O134" i="9"/>
  <c r="U134" i="9" s="1"/>
  <c r="Z134" i="9" s="1"/>
  <c r="O142" i="9"/>
  <c r="U142" i="9" s="1"/>
  <c r="Z142" i="9" s="1"/>
  <c r="O129" i="9"/>
  <c r="U129" i="9" s="1"/>
  <c r="Z129" i="9" s="1"/>
  <c r="O135" i="9"/>
  <c r="U135" i="9" s="1"/>
  <c r="Z135" i="9" s="1"/>
  <c r="O141" i="9"/>
  <c r="U141" i="9" s="1"/>
  <c r="Z141" i="9" s="1"/>
  <c r="O131" i="9"/>
  <c r="U131" i="9" s="1"/>
  <c r="Z131" i="9" s="1"/>
  <c r="O127" i="9"/>
  <c r="U127" i="9" s="1"/>
  <c r="Z127" i="9" s="1"/>
  <c r="O128" i="9"/>
  <c r="U128" i="9" s="1"/>
  <c r="Z128" i="9" s="1"/>
  <c r="O137" i="9"/>
  <c r="U137" i="9" s="1"/>
  <c r="Z137" i="9" s="1"/>
  <c r="O125" i="9"/>
  <c r="U125" i="9" s="1"/>
  <c r="Z125" i="9" s="1"/>
  <c r="O123" i="9"/>
  <c r="U123" i="9" s="1"/>
  <c r="O144" i="9"/>
  <c r="U144" i="9" s="1"/>
  <c r="Z144" i="9" s="1"/>
  <c r="I11" i="4"/>
  <c r="J10" i="4"/>
  <c r="X75" i="11" l="1"/>
  <c r="AB75" i="11" s="1"/>
  <c r="H71" i="11"/>
  <c r="AA225" i="17"/>
  <c r="AA405" i="17"/>
  <c r="H52" i="11"/>
  <c r="X52" i="11"/>
  <c r="AB52" i="11" s="1"/>
  <c r="AD52" i="11" s="1"/>
  <c r="AB255" i="17"/>
  <c r="X51" i="11"/>
  <c r="AB51" i="11" s="1"/>
  <c r="AD51" i="11" s="1"/>
  <c r="AA15" i="17"/>
  <c r="AC15" i="17" s="1"/>
  <c r="F57" i="11"/>
  <c r="H44" i="11"/>
  <c r="I44" i="11" s="1"/>
  <c r="AB375" i="17"/>
  <c r="X28" i="11"/>
  <c r="AB28" i="11" s="1"/>
  <c r="X35" i="11"/>
  <c r="AB35" i="11" s="1"/>
  <c r="AD35" i="11" s="1"/>
  <c r="AD93" i="9"/>
  <c r="Y135" i="16"/>
  <c r="X56" i="11"/>
  <c r="AB56" i="11" s="1"/>
  <c r="AD56" i="11" s="1"/>
  <c r="AD45" i="19"/>
  <c r="AD15" i="19"/>
  <c r="AC15" i="19"/>
  <c r="AD75" i="17"/>
  <c r="AC75" i="17"/>
  <c r="AD45" i="16"/>
  <c r="AD15" i="17"/>
  <c r="X64" i="11"/>
  <c r="AB64" i="11" s="1"/>
  <c r="AD64" i="11" s="1"/>
  <c r="F71" i="11"/>
  <c r="AC45" i="19"/>
  <c r="Z105" i="25"/>
  <c r="D29" i="13"/>
  <c r="W99" i="11"/>
  <c r="AA99" i="11" s="1"/>
  <c r="W89" i="11"/>
  <c r="AA89" i="11" s="1"/>
  <c r="X72" i="11"/>
  <c r="AB72" i="11" s="1"/>
  <c r="AD72" i="11" s="1"/>
  <c r="X36" i="11"/>
  <c r="AB36" i="11" s="1"/>
  <c r="AD36" i="11" s="1"/>
  <c r="D28" i="13"/>
  <c r="F36" i="11"/>
  <c r="X24" i="11"/>
  <c r="AB24" i="11" s="1"/>
  <c r="AD24" i="11" s="1"/>
  <c r="Z15" i="25"/>
  <c r="X70" i="11"/>
  <c r="AB70" i="11" s="1"/>
  <c r="AD70" i="11" s="1"/>
  <c r="W90" i="11"/>
  <c r="AA90" i="11" s="1"/>
  <c r="AB315" i="17"/>
  <c r="H24" i="13" s="1"/>
  <c r="X55" i="11"/>
  <c r="AB55" i="11" s="1"/>
  <c r="AD55" i="11" s="1"/>
  <c r="AD33" i="11"/>
  <c r="X54" i="11"/>
  <c r="AB54" i="11" s="1"/>
  <c r="AD54" i="11" s="1"/>
  <c r="H27" i="11"/>
  <c r="I27" i="11" s="1"/>
  <c r="AB255" i="16"/>
  <c r="X53" i="11"/>
  <c r="AB53" i="11" s="1"/>
  <c r="AD53" i="11" s="1"/>
  <c r="AD95" i="9"/>
  <c r="X79" i="11"/>
  <c r="AB79" i="11" s="1"/>
  <c r="AD79" i="11" s="1"/>
  <c r="AB193" i="19"/>
  <c r="J20" i="13" s="1"/>
  <c r="AA345" i="16"/>
  <c r="X46" i="11"/>
  <c r="AB46" i="11" s="1"/>
  <c r="AD46" i="11" s="1"/>
  <c r="AB315" i="16"/>
  <c r="AB110" i="16"/>
  <c r="AD110" i="16" s="1"/>
  <c r="AB105" i="16"/>
  <c r="D19" i="13"/>
  <c r="X29" i="11"/>
  <c r="AB29" i="11" s="1"/>
  <c r="AD29" i="11" s="1"/>
  <c r="F29" i="11"/>
  <c r="H49" i="11"/>
  <c r="AA15" i="16"/>
  <c r="AA111" i="16"/>
  <c r="AC111" i="16" s="1"/>
  <c r="AB111" i="16"/>
  <c r="AD111" i="16" s="1"/>
  <c r="X57" i="11"/>
  <c r="AB57" i="11" s="1"/>
  <c r="AD57" i="11" s="1"/>
  <c r="AA112" i="16"/>
  <c r="AC112" i="16" s="1"/>
  <c r="AA170" i="16"/>
  <c r="AB170" i="16"/>
  <c r="D27" i="13"/>
  <c r="X66" i="11"/>
  <c r="AB66" i="11" s="1"/>
  <c r="H51" i="11"/>
  <c r="AA257" i="16"/>
  <c r="AD39" i="11"/>
  <c r="AA493" i="19"/>
  <c r="AD28" i="11"/>
  <c r="F38" i="11"/>
  <c r="AA440" i="16"/>
  <c r="AB440" i="16"/>
  <c r="AA13" i="19"/>
  <c r="AC13" i="19" s="1"/>
  <c r="AA73" i="19"/>
  <c r="AC73" i="19" s="1"/>
  <c r="F32" i="11"/>
  <c r="Z135" i="25"/>
  <c r="H65" i="11"/>
  <c r="F80" i="11"/>
  <c r="X32" i="11"/>
  <c r="AB32" i="11" s="1"/>
  <c r="AD32" i="11" s="1"/>
  <c r="W84" i="11"/>
  <c r="AA84" i="11" s="1"/>
  <c r="AA313" i="19"/>
  <c r="B84" i="11"/>
  <c r="W85" i="11"/>
  <c r="AA85" i="11" s="1"/>
  <c r="W98" i="11"/>
  <c r="AA98" i="11" s="1"/>
  <c r="W95" i="11"/>
  <c r="AA95" i="11" s="1"/>
  <c r="W92" i="11"/>
  <c r="AA92" i="11" s="1"/>
  <c r="W93" i="11"/>
  <c r="AA93" i="11" s="1"/>
  <c r="W97" i="11"/>
  <c r="AA97" i="11" s="1"/>
  <c r="AA315" i="17"/>
  <c r="X44" i="11"/>
  <c r="AB44" i="11" s="1"/>
  <c r="AD44" i="11" s="1"/>
  <c r="X47" i="11"/>
  <c r="AB47" i="11" s="1"/>
  <c r="AD47" i="11" s="1"/>
  <c r="X59" i="11"/>
  <c r="AB59" i="11" s="1"/>
  <c r="AD59" i="11" s="1"/>
  <c r="X58" i="11"/>
  <c r="AB58" i="11" s="1"/>
  <c r="AD58" i="11" s="1"/>
  <c r="AI463" i="25"/>
  <c r="Y463" i="25"/>
  <c r="AA463" i="25" s="1"/>
  <c r="Z45" i="25"/>
  <c r="W435" i="25"/>
  <c r="F98" i="11" s="1"/>
  <c r="L435" i="25"/>
  <c r="AG435" i="25"/>
  <c r="AI283" i="25"/>
  <c r="AK283" i="25" s="1"/>
  <c r="AL283" i="25" s="1"/>
  <c r="Y283" i="25"/>
  <c r="AB283" i="25" s="1"/>
  <c r="AI163" i="25"/>
  <c r="AK163" i="25" s="1"/>
  <c r="AL163" i="25" s="1"/>
  <c r="Y163" i="25"/>
  <c r="AB163" i="25" s="1"/>
  <c r="AI493" i="25"/>
  <c r="AK493" i="25" s="1"/>
  <c r="AL493" i="25" s="1"/>
  <c r="Y493" i="25"/>
  <c r="AB493" i="25" s="1"/>
  <c r="W94" i="11"/>
  <c r="AA94" i="11" s="1"/>
  <c r="B85" i="11"/>
  <c r="AI343" i="25"/>
  <c r="AK343" i="25" s="1"/>
  <c r="AL343" i="25" s="1"/>
  <c r="Y343" i="25"/>
  <c r="AA343" i="25" s="1"/>
  <c r="L405" i="25"/>
  <c r="X97" i="11" s="1"/>
  <c r="AB97" i="11" s="1"/>
  <c r="AG405" i="25"/>
  <c r="W405" i="25"/>
  <c r="F97" i="11" s="1"/>
  <c r="AI223" i="25"/>
  <c r="AK223" i="25" s="1"/>
  <c r="AL223" i="25" s="1"/>
  <c r="Y223" i="25"/>
  <c r="AA223" i="25" s="1"/>
  <c r="W88" i="11"/>
  <c r="AA88" i="11" s="1"/>
  <c r="AI73" i="25"/>
  <c r="AK73" i="25" s="1"/>
  <c r="AL73" i="25" s="1"/>
  <c r="Y73" i="25"/>
  <c r="AA73" i="25" s="1"/>
  <c r="AC73" i="25" s="1"/>
  <c r="X71" i="11"/>
  <c r="AB71" i="11" s="1"/>
  <c r="AD71" i="11" s="1"/>
  <c r="AB373" i="19"/>
  <c r="AB343" i="19"/>
  <c r="AG345" i="25"/>
  <c r="L345" i="25"/>
  <c r="W345" i="25"/>
  <c r="F95" i="11" s="1"/>
  <c r="V97" i="11"/>
  <c r="Z97" i="11" s="1"/>
  <c r="AI133" i="25"/>
  <c r="AK133" i="25" s="1"/>
  <c r="AL133" i="25" s="1"/>
  <c r="Y133" i="25"/>
  <c r="AB133" i="25" s="1"/>
  <c r="AD133" i="25" s="1"/>
  <c r="AG135" i="25"/>
  <c r="W135" i="25"/>
  <c r="F88" i="11" s="1"/>
  <c r="L135" i="25"/>
  <c r="X88" i="11" s="1"/>
  <c r="AB88" i="11" s="1"/>
  <c r="AI313" i="25"/>
  <c r="AK313" i="25" s="1"/>
  <c r="AL313" i="25" s="1"/>
  <c r="Y313" i="25"/>
  <c r="AA313" i="25" s="1"/>
  <c r="AI193" i="25"/>
  <c r="AK193" i="25" s="1"/>
  <c r="AL193" i="25" s="1"/>
  <c r="Y193" i="25"/>
  <c r="AA193" i="25" s="1"/>
  <c r="AD73" i="11"/>
  <c r="AA253" i="19"/>
  <c r="AB13" i="19"/>
  <c r="AD13" i="19" s="1"/>
  <c r="AG315" i="25"/>
  <c r="W315" i="25"/>
  <c r="F94" i="11" s="1"/>
  <c r="L315" i="25"/>
  <c r="X94" i="11" s="1"/>
  <c r="AB94" i="11" s="1"/>
  <c r="V94" i="11"/>
  <c r="Z94" i="11" s="1"/>
  <c r="W91" i="11"/>
  <c r="AA91" i="11" s="1"/>
  <c r="AI103" i="25"/>
  <c r="AK103" i="25" s="1"/>
  <c r="AL103" i="25" s="1"/>
  <c r="Y103" i="25"/>
  <c r="AA133" i="19"/>
  <c r="X49" i="11"/>
  <c r="AB49" i="11" s="1"/>
  <c r="AD49" i="11" s="1"/>
  <c r="X68" i="11"/>
  <c r="AB68" i="11" s="1"/>
  <c r="AD68" i="11" s="1"/>
  <c r="X45" i="11"/>
  <c r="AB45" i="11" s="1"/>
  <c r="AD45" i="11" s="1"/>
  <c r="X78" i="11"/>
  <c r="AB78" i="11" s="1"/>
  <c r="AD78" i="11" s="1"/>
  <c r="AD75" i="11"/>
  <c r="AB133" i="17"/>
  <c r="AD133" i="17" s="1"/>
  <c r="AG465" i="25"/>
  <c r="L465" i="25"/>
  <c r="W465" i="25"/>
  <c r="F99" i="11" s="1"/>
  <c r="AG165" i="25"/>
  <c r="W165" i="25"/>
  <c r="F89" i="11" s="1"/>
  <c r="L165" i="25"/>
  <c r="Y403" i="25"/>
  <c r="AI403" i="25"/>
  <c r="AK403" i="25" s="1"/>
  <c r="AL403" i="25" s="1"/>
  <c r="AG105" i="25"/>
  <c r="L105" i="25"/>
  <c r="X87" i="11" s="1"/>
  <c r="AB87" i="11" s="1"/>
  <c r="W105" i="25"/>
  <c r="F87" i="11" s="1"/>
  <c r="Y373" i="25"/>
  <c r="AA373" i="25" s="1"/>
  <c r="AI373" i="25"/>
  <c r="AK373" i="25" s="1"/>
  <c r="AL373" i="25" s="1"/>
  <c r="V98" i="11"/>
  <c r="Z98" i="11" s="1"/>
  <c r="AG255" i="25"/>
  <c r="L255" i="25"/>
  <c r="X92" i="11" s="1"/>
  <c r="AB92" i="11" s="1"/>
  <c r="W255" i="25"/>
  <c r="AG75" i="25"/>
  <c r="W75" i="25"/>
  <c r="F86" i="11" s="1"/>
  <c r="L75" i="25"/>
  <c r="W100" i="11"/>
  <c r="AA100" i="11" s="1"/>
  <c r="Y43" i="25"/>
  <c r="AI43" i="25"/>
  <c r="AK43" i="25" s="1"/>
  <c r="AL43" i="25" s="1"/>
  <c r="X67" i="11"/>
  <c r="AB67" i="11" s="1"/>
  <c r="AD67" i="11" s="1"/>
  <c r="X76" i="11"/>
  <c r="AB76" i="11" s="1"/>
  <c r="AD76" i="11" s="1"/>
  <c r="AB133" i="19"/>
  <c r="X65" i="11"/>
  <c r="AB65" i="11" s="1"/>
  <c r="AD65" i="11" s="1"/>
  <c r="F64" i="11"/>
  <c r="I64" i="11" s="1"/>
  <c r="AG285" i="25"/>
  <c r="W285" i="25"/>
  <c r="L285" i="25"/>
  <c r="X93" i="11" s="1"/>
  <c r="AB93" i="11" s="1"/>
  <c r="AK463" i="25"/>
  <c r="AL463" i="25" s="1"/>
  <c r="AI253" i="25"/>
  <c r="AK253" i="25" s="1"/>
  <c r="AL253" i="25" s="1"/>
  <c r="Y253" i="25"/>
  <c r="AA253" i="25" s="1"/>
  <c r="AG225" i="25"/>
  <c r="L225" i="25"/>
  <c r="W225" i="25"/>
  <c r="AI13" i="25"/>
  <c r="AK13" i="25" s="1"/>
  <c r="AL13" i="25" s="1"/>
  <c r="Y13" i="25"/>
  <c r="AA13" i="25" s="1"/>
  <c r="AC13" i="25" s="1"/>
  <c r="Z75" i="25"/>
  <c r="W96" i="11"/>
  <c r="AA96" i="11" s="1"/>
  <c r="L375" i="25"/>
  <c r="X96" i="11" s="1"/>
  <c r="AB96" i="11" s="1"/>
  <c r="AG375" i="25"/>
  <c r="W375" i="25"/>
  <c r="AB253" i="19"/>
  <c r="D23" i="13"/>
  <c r="AG15" i="25"/>
  <c r="L15" i="25"/>
  <c r="X84" i="11" s="1"/>
  <c r="AB84" i="11" s="1"/>
  <c r="AD84" i="11" s="1"/>
  <c r="W15" i="25"/>
  <c r="F84" i="11" s="1"/>
  <c r="AG195" i="25"/>
  <c r="W195" i="25"/>
  <c r="F90" i="11" s="1"/>
  <c r="L195" i="25"/>
  <c r="X90" i="11" s="1"/>
  <c r="AB90" i="11" s="1"/>
  <c r="AG495" i="25"/>
  <c r="L495" i="25"/>
  <c r="X100" i="11" s="1"/>
  <c r="AB100" i="11" s="1"/>
  <c r="W495" i="25"/>
  <c r="F100" i="11" s="1"/>
  <c r="AG45" i="25"/>
  <c r="L45" i="25"/>
  <c r="X85" i="11" s="1"/>
  <c r="AB85" i="11" s="1"/>
  <c r="W45" i="25"/>
  <c r="F85" i="11" s="1"/>
  <c r="AI433" i="25"/>
  <c r="AK433" i="25" s="1"/>
  <c r="AL433" i="25" s="1"/>
  <c r="X98" i="11"/>
  <c r="AB98" i="11" s="1"/>
  <c r="Y433" i="25"/>
  <c r="AA433" i="25" s="1"/>
  <c r="V89" i="11"/>
  <c r="Z89" i="11" s="1"/>
  <c r="V86" i="11"/>
  <c r="Z86" i="11" s="1"/>
  <c r="W86" i="11"/>
  <c r="AA86" i="11" s="1"/>
  <c r="W87" i="11"/>
  <c r="AA87" i="11" s="1"/>
  <c r="E14" i="13"/>
  <c r="AB313" i="19"/>
  <c r="J24" i="13" s="1"/>
  <c r="X74" i="11"/>
  <c r="AB74" i="11" s="1"/>
  <c r="AD74" i="11" s="1"/>
  <c r="D17" i="13"/>
  <c r="AA193" i="19"/>
  <c r="D24" i="13"/>
  <c r="I7" i="11"/>
  <c r="AA223" i="19"/>
  <c r="AB283" i="19"/>
  <c r="J23" i="13" s="1"/>
  <c r="AA317" i="16"/>
  <c r="F24" i="11"/>
  <c r="AB103" i="19"/>
  <c r="AD103" i="19" s="1"/>
  <c r="AA343" i="19"/>
  <c r="AI433" i="16"/>
  <c r="AK433" i="16" s="1"/>
  <c r="AL433" i="16" s="1"/>
  <c r="Y433" i="16"/>
  <c r="X48" i="11"/>
  <c r="AB48" i="11" s="1"/>
  <c r="AD48" i="11" s="1"/>
  <c r="AA433" i="19"/>
  <c r="AA433" i="17"/>
  <c r="AB433" i="17"/>
  <c r="H28" i="13" s="1"/>
  <c r="AA103" i="17"/>
  <c r="AC103" i="17" s="1"/>
  <c r="AB103" i="17"/>
  <c r="AD103" i="17" s="1"/>
  <c r="AA403" i="17"/>
  <c r="AB403" i="17"/>
  <c r="H27" i="13" s="1"/>
  <c r="AI166" i="16"/>
  <c r="AK166" i="16" s="1"/>
  <c r="AL166" i="16" s="1"/>
  <c r="Y166" i="16"/>
  <c r="AI403" i="16"/>
  <c r="AK403" i="16" s="1"/>
  <c r="AL403" i="16" s="1"/>
  <c r="Y403" i="16"/>
  <c r="AA403" i="16" s="1"/>
  <c r="AI320" i="16"/>
  <c r="AK320" i="16" s="1"/>
  <c r="AL320" i="16" s="1"/>
  <c r="Y320" i="16"/>
  <c r="AA320" i="16" s="1"/>
  <c r="AB193" i="17"/>
  <c r="H20" i="13" s="1"/>
  <c r="AA193" i="17"/>
  <c r="AB163" i="17"/>
  <c r="H19" i="13" s="1"/>
  <c r="AA163" i="17"/>
  <c r="AI13" i="16"/>
  <c r="AK13" i="16" s="1"/>
  <c r="AL13" i="16" s="1"/>
  <c r="Y13" i="16"/>
  <c r="AA13" i="16" s="1"/>
  <c r="AC13" i="16" s="1"/>
  <c r="AA493" i="17"/>
  <c r="AB493" i="17"/>
  <c r="H30" i="13" s="1"/>
  <c r="H31" i="13" s="1"/>
  <c r="AA283" i="19"/>
  <c r="AD66" i="11"/>
  <c r="AI441" i="16"/>
  <c r="AK441" i="16" s="1"/>
  <c r="AL441" i="16" s="1"/>
  <c r="Y441" i="16"/>
  <c r="AA463" i="17"/>
  <c r="AB463" i="17"/>
  <c r="H29" i="13" s="1"/>
  <c r="AB433" i="19"/>
  <c r="J28" i="13" s="1"/>
  <c r="AI261" i="16"/>
  <c r="AK261" i="16" s="1"/>
  <c r="AL261" i="16" s="1"/>
  <c r="Y261" i="16"/>
  <c r="AB261" i="16" s="1"/>
  <c r="AI380" i="16"/>
  <c r="AK380" i="16" s="1"/>
  <c r="AL380" i="16" s="1"/>
  <c r="Y380" i="16"/>
  <c r="AA435" i="16"/>
  <c r="AB73" i="19"/>
  <c r="AD73" i="19" s="1"/>
  <c r="AA52" i="16"/>
  <c r="AC52" i="16" s="1"/>
  <c r="AB52" i="16"/>
  <c r="AD52" i="16" s="1"/>
  <c r="F59" i="11"/>
  <c r="AB322" i="16"/>
  <c r="AB412" i="16"/>
  <c r="AA412" i="16"/>
  <c r="F73" i="11"/>
  <c r="AB13" i="17"/>
  <c r="AD13" i="17" s="1"/>
  <c r="AA13" i="17"/>
  <c r="AC13" i="17" s="1"/>
  <c r="AA223" i="17"/>
  <c r="AB223" i="17"/>
  <c r="H21" i="13" s="1"/>
  <c r="X50" i="11"/>
  <c r="AB50" i="11" s="1"/>
  <c r="AD50" i="11" s="1"/>
  <c r="AI141" i="16"/>
  <c r="AK141" i="16" s="1"/>
  <c r="AL141" i="16" s="1"/>
  <c r="Y141" i="16"/>
  <c r="AA382" i="16"/>
  <c r="AB382" i="16"/>
  <c r="AA373" i="19"/>
  <c r="AA202" i="16"/>
  <c r="AB202" i="16"/>
  <c r="AB43" i="19"/>
  <c r="AD43" i="19" s="1"/>
  <c r="AA43" i="19"/>
  <c r="AC43" i="19" s="1"/>
  <c r="AA283" i="17"/>
  <c r="AB283" i="17"/>
  <c r="H23" i="13" s="1"/>
  <c r="AB493" i="19"/>
  <c r="J30" i="13" s="1"/>
  <c r="J31" i="13" s="1"/>
  <c r="AI256" i="16"/>
  <c r="AK256" i="16" s="1"/>
  <c r="AL256" i="16" s="1"/>
  <c r="Y256" i="16"/>
  <c r="AA256" i="16" s="1"/>
  <c r="AI20" i="16"/>
  <c r="AK20" i="16" s="1"/>
  <c r="AL20" i="16" s="1"/>
  <c r="Y20" i="16"/>
  <c r="AA20" i="16" s="1"/>
  <c r="AC20" i="16" s="1"/>
  <c r="AA73" i="17"/>
  <c r="AC73" i="17" s="1"/>
  <c r="AB73" i="17"/>
  <c r="AD73" i="17" s="1"/>
  <c r="F76" i="11"/>
  <c r="AD60" i="11"/>
  <c r="X38" i="11"/>
  <c r="AB38" i="11" s="1"/>
  <c r="AD38" i="11" s="1"/>
  <c r="H48" i="11"/>
  <c r="AI466" i="16"/>
  <c r="AK466" i="16" s="1"/>
  <c r="AL466" i="16" s="1"/>
  <c r="Y466" i="16"/>
  <c r="H39" i="11" s="1"/>
  <c r="AB373" i="17"/>
  <c r="AA373" i="17"/>
  <c r="AI76" i="16"/>
  <c r="AK76" i="16" s="1"/>
  <c r="AL76" i="16" s="1"/>
  <c r="Y76" i="16"/>
  <c r="AA76" i="16" s="1"/>
  <c r="AC76" i="16" s="1"/>
  <c r="AB43" i="17"/>
  <c r="AD43" i="17" s="1"/>
  <c r="AA43" i="17"/>
  <c r="AC43" i="17" s="1"/>
  <c r="AI381" i="16"/>
  <c r="AK381" i="16" s="1"/>
  <c r="AL381" i="16" s="1"/>
  <c r="Y381" i="16"/>
  <c r="AA133" i="17"/>
  <c r="AC133" i="17" s="1"/>
  <c r="AI260" i="16"/>
  <c r="AK260" i="16" s="1"/>
  <c r="AL260" i="16" s="1"/>
  <c r="Y260" i="16"/>
  <c r="AA260" i="16" s="1"/>
  <c r="AB22" i="16"/>
  <c r="AD22" i="16" s="1"/>
  <c r="AA22" i="16"/>
  <c r="AC22" i="16" s="1"/>
  <c r="AA103" i="19"/>
  <c r="AC103" i="19" s="1"/>
  <c r="AI171" i="16"/>
  <c r="AK171" i="16" s="1"/>
  <c r="AL171" i="16" s="1"/>
  <c r="Y171" i="16"/>
  <c r="AI43" i="16"/>
  <c r="AK43" i="16" s="1"/>
  <c r="AL43" i="16" s="1"/>
  <c r="Y43" i="16"/>
  <c r="H25" i="11" s="1"/>
  <c r="I25" i="11" s="1"/>
  <c r="AB223" i="19"/>
  <c r="J21" i="13" s="1"/>
  <c r="AD93" i="25"/>
  <c r="AC7" i="25"/>
  <c r="Z123" i="25"/>
  <c r="AD123" i="25" s="1"/>
  <c r="D88" i="11"/>
  <c r="AC37" i="25"/>
  <c r="J25" i="13"/>
  <c r="D26" i="13"/>
  <c r="D25" i="13"/>
  <c r="D15" i="13"/>
  <c r="AA465" i="16"/>
  <c r="Y243" i="9"/>
  <c r="X12" i="11"/>
  <c r="AB12" i="11" s="1"/>
  <c r="AD12" i="11" s="1"/>
  <c r="F20" i="11"/>
  <c r="Y502" i="9"/>
  <c r="H20" i="11" s="1"/>
  <c r="X20" i="11"/>
  <c r="AB20" i="11" s="1"/>
  <c r="AD20" i="11" s="1"/>
  <c r="AC15" i="16"/>
  <c r="AB75" i="16"/>
  <c r="AD75" i="16" s="1"/>
  <c r="AA495" i="16"/>
  <c r="AB17" i="16"/>
  <c r="AD17" i="16" s="1"/>
  <c r="AA308" i="16"/>
  <c r="AB287" i="16"/>
  <c r="AB465" i="16"/>
  <c r="AA47" i="16"/>
  <c r="AC47" i="16" s="1"/>
  <c r="F17" i="13"/>
  <c r="AB495" i="16"/>
  <c r="F30" i="13" s="1"/>
  <c r="F31" i="13" s="1"/>
  <c r="AA347" i="16"/>
  <c r="H33" i="11"/>
  <c r="AA315" i="16"/>
  <c r="H35" i="11"/>
  <c r="AB195" i="16"/>
  <c r="AA227" i="16"/>
  <c r="AA375" i="16"/>
  <c r="AB437" i="16"/>
  <c r="AA45" i="16"/>
  <c r="AC45" i="16" s="1"/>
  <c r="H31" i="11"/>
  <c r="AA437" i="16"/>
  <c r="I66" i="11"/>
  <c r="H30" i="11"/>
  <c r="AB197" i="16"/>
  <c r="J29" i="13"/>
  <c r="J26" i="13"/>
  <c r="AB135" i="16"/>
  <c r="AA135" i="16"/>
  <c r="AC135" i="16" s="1"/>
  <c r="AA377" i="16"/>
  <c r="AB377" i="16"/>
  <c r="AA407" i="16"/>
  <c r="AB407" i="16"/>
  <c r="AA77" i="16"/>
  <c r="AC77" i="16" s="1"/>
  <c r="AB77" i="16"/>
  <c r="AD77" i="16" s="1"/>
  <c r="AB405" i="16"/>
  <c r="AA405" i="16"/>
  <c r="J18" i="13"/>
  <c r="AC129" i="25"/>
  <c r="AD129" i="25"/>
  <c r="AC134" i="25"/>
  <c r="AD134" i="25"/>
  <c r="AC139" i="25"/>
  <c r="AD139" i="25"/>
  <c r="AD125" i="25"/>
  <c r="AC125" i="25"/>
  <c r="AD148" i="25"/>
  <c r="AC148" i="25"/>
  <c r="AD136" i="25"/>
  <c r="AC136" i="25"/>
  <c r="AC143" i="25"/>
  <c r="AD143" i="25"/>
  <c r="AD147" i="25"/>
  <c r="AC147" i="25"/>
  <c r="AC131" i="25"/>
  <c r="AD131" i="25"/>
  <c r="AD141" i="25"/>
  <c r="AC141" i="25"/>
  <c r="AD140" i="25"/>
  <c r="AC140" i="25"/>
  <c r="AC137" i="25"/>
  <c r="AD137" i="25"/>
  <c r="AD149" i="25"/>
  <c r="AC149" i="25"/>
  <c r="AC142" i="25"/>
  <c r="AD142" i="25"/>
  <c r="AC126" i="25"/>
  <c r="AD126" i="25"/>
  <c r="AD152" i="25"/>
  <c r="AC152" i="25"/>
  <c r="AD144" i="25"/>
  <c r="AC144" i="25"/>
  <c r="AD128" i="25"/>
  <c r="AC128" i="25"/>
  <c r="AD130" i="25"/>
  <c r="AC130" i="25"/>
  <c r="O179" i="25"/>
  <c r="U179" i="25" s="1"/>
  <c r="Z179" i="25" s="1"/>
  <c r="O171" i="25"/>
  <c r="U171" i="25" s="1"/>
  <c r="Z171" i="25" s="1"/>
  <c r="O178" i="25"/>
  <c r="U178" i="25" s="1"/>
  <c r="Z178" i="25" s="1"/>
  <c r="O176" i="25"/>
  <c r="U176" i="25" s="1"/>
  <c r="Z176" i="25" s="1"/>
  <c r="O168" i="25"/>
  <c r="U168" i="25" s="1"/>
  <c r="Z168" i="25" s="1"/>
  <c r="O167" i="25"/>
  <c r="U167" i="25" s="1"/>
  <c r="Z167" i="25" s="1"/>
  <c r="O165" i="25"/>
  <c r="U165" i="25" s="1"/>
  <c r="Z165" i="25" s="1"/>
  <c r="O157" i="25"/>
  <c r="U157" i="25" s="1"/>
  <c r="Z157" i="25" s="1"/>
  <c r="O169" i="25"/>
  <c r="U169" i="25" s="1"/>
  <c r="Z169" i="25" s="1"/>
  <c r="O181" i="25"/>
  <c r="U181" i="25" s="1"/>
  <c r="Z181" i="25" s="1"/>
  <c r="O180" i="25"/>
  <c r="U180" i="25" s="1"/>
  <c r="Z180" i="25" s="1"/>
  <c r="O177" i="25"/>
  <c r="U177" i="25" s="1"/>
  <c r="Z177" i="25" s="1"/>
  <c r="O175" i="25"/>
  <c r="U175" i="25" s="1"/>
  <c r="Z175" i="25" s="1"/>
  <c r="O174" i="25"/>
  <c r="U174" i="25" s="1"/>
  <c r="Z174" i="25" s="1"/>
  <c r="O166" i="25"/>
  <c r="U166" i="25" s="1"/>
  <c r="Z166" i="25" s="1"/>
  <c r="O162" i="25"/>
  <c r="U162" i="25" s="1"/>
  <c r="Z162" i="25" s="1"/>
  <c r="O154" i="25"/>
  <c r="U154" i="25" s="1"/>
  <c r="Z154" i="25" s="1"/>
  <c r="O170" i="25"/>
  <c r="U170" i="25" s="1"/>
  <c r="Z170" i="25" s="1"/>
  <c r="O160" i="25"/>
  <c r="U160" i="25" s="1"/>
  <c r="Z160" i="25" s="1"/>
  <c r="O173" i="25"/>
  <c r="U173" i="25" s="1"/>
  <c r="Z173" i="25" s="1"/>
  <c r="O153" i="25"/>
  <c r="U153" i="25" s="1"/>
  <c r="O159" i="25"/>
  <c r="U159" i="25" s="1"/>
  <c r="Z159" i="25" s="1"/>
  <c r="O158" i="25"/>
  <c r="U158" i="25" s="1"/>
  <c r="Z158" i="25" s="1"/>
  <c r="O164" i="25"/>
  <c r="U164" i="25" s="1"/>
  <c r="Z164" i="25" s="1"/>
  <c r="O163" i="25"/>
  <c r="U163" i="25" s="1"/>
  <c r="Z163" i="25" s="1"/>
  <c r="O156" i="25"/>
  <c r="U156" i="25" s="1"/>
  <c r="Z156" i="25" s="1"/>
  <c r="O155" i="25"/>
  <c r="U155" i="25" s="1"/>
  <c r="Z155" i="25" s="1"/>
  <c r="O161" i="25"/>
  <c r="U161" i="25" s="1"/>
  <c r="Z161" i="25" s="1"/>
  <c r="O182" i="25"/>
  <c r="U182" i="25" s="1"/>
  <c r="Z182" i="25" s="1"/>
  <c r="O172" i="25"/>
  <c r="U172" i="25" s="1"/>
  <c r="Z172" i="25" s="1"/>
  <c r="AD127" i="25"/>
  <c r="AC127" i="25"/>
  <c r="AC124" i="25"/>
  <c r="AD124" i="25"/>
  <c r="AC145" i="25"/>
  <c r="AD145" i="25"/>
  <c r="AD138" i="25"/>
  <c r="AC138" i="25"/>
  <c r="AC150" i="25"/>
  <c r="AD150" i="25"/>
  <c r="AD132" i="25"/>
  <c r="AC132" i="25"/>
  <c r="AD151" i="25"/>
  <c r="AC151" i="25"/>
  <c r="AD146" i="25"/>
  <c r="AC146" i="25"/>
  <c r="AA225" i="16"/>
  <c r="AB225" i="16"/>
  <c r="F21" i="13" s="1"/>
  <c r="AB285" i="16"/>
  <c r="AA285" i="16"/>
  <c r="I6" i="11"/>
  <c r="AA165" i="16"/>
  <c r="D16" i="13"/>
  <c r="AB165" i="16"/>
  <c r="AC77" i="17"/>
  <c r="AC93" i="17"/>
  <c r="AD77" i="17"/>
  <c r="AC93" i="16"/>
  <c r="Z123" i="9"/>
  <c r="AD123" i="9" s="1"/>
  <c r="D8" i="11"/>
  <c r="I8" i="11" s="1"/>
  <c r="AD105" i="17"/>
  <c r="AC105" i="17"/>
  <c r="J22" i="13"/>
  <c r="Z123" i="17"/>
  <c r="AD123" i="17" s="1"/>
  <c r="D48" i="11"/>
  <c r="AC75" i="16"/>
  <c r="Z123" i="16"/>
  <c r="AC123" i="16" s="1"/>
  <c r="D28" i="11"/>
  <c r="D68" i="11"/>
  <c r="I68" i="11" s="1"/>
  <c r="I45" i="11"/>
  <c r="AD47" i="17"/>
  <c r="I47" i="11"/>
  <c r="AC105" i="16"/>
  <c r="E15" i="13"/>
  <c r="H22" i="13"/>
  <c r="AC75" i="19"/>
  <c r="H25" i="13"/>
  <c r="E16" i="13"/>
  <c r="I65" i="11"/>
  <c r="I46" i="11"/>
  <c r="AD105" i="19"/>
  <c r="AD75" i="19"/>
  <c r="J14" i="13"/>
  <c r="AD105" i="16"/>
  <c r="I67" i="11"/>
  <c r="F25" i="13"/>
  <c r="AD17" i="19"/>
  <c r="AC47" i="17"/>
  <c r="AC105" i="19"/>
  <c r="AD17" i="17"/>
  <c r="AC17" i="17"/>
  <c r="AD15" i="16"/>
  <c r="AC47" i="19"/>
  <c r="AD47" i="19"/>
  <c r="AD105" i="9"/>
  <c r="AC93" i="19"/>
  <c r="Z123" i="19"/>
  <c r="AC123" i="19" s="1"/>
  <c r="AC99" i="9"/>
  <c r="AC95" i="9"/>
  <c r="AC93" i="9"/>
  <c r="AC98" i="9"/>
  <c r="AC113" i="9"/>
  <c r="AD103" i="9"/>
  <c r="AD94" i="9"/>
  <c r="AC104" i="9"/>
  <c r="AC112" i="9"/>
  <c r="AC109" i="9"/>
  <c r="AC96" i="9"/>
  <c r="AD107" i="9"/>
  <c r="AD139" i="16"/>
  <c r="AC139" i="16"/>
  <c r="AD138" i="16"/>
  <c r="AC138" i="16"/>
  <c r="AC148" i="16"/>
  <c r="AD148" i="16"/>
  <c r="AC134" i="17"/>
  <c r="AD134" i="17"/>
  <c r="AC126" i="17"/>
  <c r="AD126" i="17"/>
  <c r="AC147" i="17"/>
  <c r="AD147" i="17"/>
  <c r="AD130" i="17"/>
  <c r="AC130" i="17"/>
  <c r="AD133" i="19"/>
  <c r="AC133" i="19"/>
  <c r="AC145" i="19"/>
  <c r="AD145" i="19"/>
  <c r="AD151" i="19"/>
  <c r="AC151" i="19"/>
  <c r="AC132" i="19"/>
  <c r="AD132" i="19"/>
  <c r="AC129" i="9"/>
  <c r="AD129" i="9"/>
  <c r="AC125" i="9"/>
  <c r="AD125" i="9"/>
  <c r="AD138" i="9"/>
  <c r="AC138" i="9"/>
  <c r="AC128" i="16"/>
  <c r="AD128" i="16"/>
  <c r="AD133" i="16"/>
  <c r="AC133" i="16"/>
  <c r="AD144" i="16"/>
  <c r="AC144" i="16"/>
  <c r="AC124" i="17"/>
  <c r="AD124" i="17"/>
  <c r="AC144" i="17"/>
  <c r="AD144" i="17"/>
  <c r="AC140" i="17"/>
  <c r="AD140" i="17"/>
  <c r="AD129" i="17"/>
  <c r="AC129" i="17"/>
  <c r="AC129" i="19"/>
  <c r="AD129" i="19"/>
  <c r="AC137" i="19"/>
  <c r="AD137" i="19"/>
  <c r="AD146" i="19"/>
  <c r="AC146" i="19"/>
  <c r="AD130" i="19"/>
  <c r="AC130" i="19"/>
  <c r="AC130" i="9"/>
  <c r="AD130" i="9"/>
  <c r="AD142" i="9"/>
  <c r="AC142" i="9"/>
  <c r="AC137" i="9"/>
  <c r="AD137" i="9"/>
  <c r="AC134" i="9"/>
  <c r="AD134" i="9"/>
  <c r="AD124" i="9"/>
  <c r="AC124" i="9"/>
  <c r="AC151" i="9"/>
  <c r="AD151" i="9"/>
  <c r="AD132" i="16"/>
  <c r="AC132" i="16"/>
  <c r="AC146" i="16"/>
  <c r="AD146" i="16"/>
  <c r="AC150" i="16"/>
  <c r="AD150" i="16"/>
  <c r="AD143" i="16"/>
  <c r="AC143" i="16"/>
  <c r="AD142" i="17"/>
  <c r="AC142" i="17"/>
  <c r="AC150" i="17"/>
  <c r="AD150" i="17"/>
  <c r="AC139" i="17"/>
  <c r="AD139" i="17"/>
  <c r="AD152" i="17"/>
  <c r="AC152" i="17"/>
  <c r="AC152" i="19"/>
  <c r="AD152" i="19"/>
  <c r="AD136" i="19"/>
  <c r="AC136" i="19"/>
  <c r="AC142" i="19"/>
  <c r="AD142" i="19"/>
  <c r="AC127" i="19"/>
  <c r="AD127" i="19"/>
  <c r="AC149" i="9"/>
  <c r="AD149" i="9"/>
  <c r="AC152" i="9"/>
  <c r="AD152" i="9"/>
  <c r="AD152" i="16"/>
  <c r="AC152" i="16"/>
  <c r="AD145" i="16"/>
  <c r="AC145" i="16"/>
  <c r="AC142" i="16"/>
  <c r="AD142" i="16"/>
  <c r="AC136" i="17"/>
  <c r="AD136" i="17"/>
  <c r="AD149" i="17"/>
  <c r="AC149" i="17"/>
  <c r="AD146" i="17"/>
  <c r="AC146" i="17"/>
  <c r="AC138" i="17"/>
  <c r="AD138" i="17"/>
  <c r="AC147" i="19"/>
  <c r="AD147" i="19"/>
  <c r="AD141" i="19"/>
  <c r="AC141" i="19"/>
  <c r="AC131" i="19"/>
  <c r="AD131" i="19"/>
  <c r="AC125" i="19"/>
  <c r="AD125" i="19"/>
  <c r="AD128" i="9"/>
  <c r="AC128" i="9"/>
  <c r="AC126" i="9"/>
  <c r="AD126" i="9"/>
  <c r="AD132" i="9"/>
  <c r="AC132" i="9"/>
  <c r="AD127" i="9"/>
  <c r="AC127" i="9"/>
  <c r="AC133" i="9"/>
  <c r="AD133" i="9"/>
  <c r="AC140" i="9"/>
  <c r="AD140" i="9"/>
  <c r="AC147" i="9"/>
  <c r="AD147" i="9"/>
  <c r="AD150" i="9"/>
  <c r="AC150" i="9"/>
  <c r="AD147" i="16"/>
  <c r="AC147" i="16"/>
  <c r="AD130" i="16"/>
  <c r="AC130" i="16"/>
  <c r="AC131" i="16"/>
  <c r="AD131" i="16"/>
  <c r="AC137" i="17"/>
  <c r="AD137" i="17"/>
  <c r="AD132" i="17"/>
  <c r="AC132" i="17"/>
  <c r="AD141" i="17"/>
  <c r="AC141" i="17"/>
  <c r="AD135" i="17"/>
  <c r="AC135" i="17"/>
  <c r="AC140" i="19"/>
  <c r="AD140" i="19"/>
  <c r="AC139" i="19"/>
  <c r="AD139" i="19"/>
  <c r="AC124" i="19"/>
  <c r="AD124" i="19"/>
  <c r="AD145" i="9"/>
  <c r="AC145" i="9"/>
  <c r="AD148" i="9"/>
  <c r="AC148" i="9"/>
  <c r="AD137" i="16"/>
  <c r="AC137" i="16"/>
  <c r="AC129" i="16"/>
  <c r="AD129" i="16"/>
  <c r="AD126" i="16"/>
  <c r="AC126" i="16"/>
  <c r="AD143" i="17"/>
  <c r="AC143" i="17"/>
  <c r="AD131" i="17"/>
  <c r="AC131" i="17"/>
  <c r="AD125" i="17"/>
  <c r="AC125" i="17"/>
  <c r="AC135" i="19"/>
  <c r="AD135" i="19"/>
  <c r="AC138" i="19"/>
  <c r="AD138" i="19"/>
  <c r="AD144" i="19"/>
  <c r="AC144" i="19"/>
  <c r="O162" i="19"/>
  <c r="U162" i="19" s="1"/>
  <c r="Z162" i="19" s="1"/>
  <c r="O168" i="19"/>
  <c r="U168" i="19" s="1"/>
  <c r="Z168" i="19" s="1"/>
  <c r="O174" i="19"/>
  <c r="U174" i="19" s="1"/>
  <c r="Z174" i="19" s="1"/>
  <c r="O161" i="19"/>
  <c r="U161" i="19" s="1"/>
  <c r="Z161" i="19" s="1"/>
  <c r="O167" i="19"/>
  <c r="U167" i="19" s="1"/>
  <c r="Z167" i="19" s="1"/>
  <c r="O156" i="19"/>
  <c r="U156" i="19" s="1"/>
  <c r="Z156" i="19" s="1"/>
  <c r="O172" i="19"/>
  <c r="U172" i="19" s="1"/>
  <c r="Z172" i="19" s="1"/>
  <c r="O179" i="19"/>
  <c r="U179" i="19" s="1"/>
  <c r="Z179" i="19" s="1"/>
  <c r="O155" i="19"/>
  <c r="U155" i="19" s="1"/>
  <c r="Z155" i="19" s="1"/>
  <c r="O160" i="19"/>
  <c r="U160" i="19" s="1"/>
  <c r="Z160" i="19" s="1"/>
  <c r="O165" i="19"/>
  <c r="U165" i="19" s="1"/>
  <c r="Z165" i="19" s="1"/>
  <c r="O166" i="19"/>
  <c r="U166" i="19" s="1"/>
  <c r="Z166" i="19" s="1"/>
  <c r="O153" i="19"/>
  <c r="U153" i="19" s="1"/>
  <c r="O154" i="19"/>
  <c r="U154" i="19" s="1"/>
  <c r="Z154" i="19" s="1"/>
  <c r="O159" i="19"/>
  <c r="U159" i="19" s="1"/>
  <c r="Z159" i="19" s="1"/>
  <c r="O171" i="19"/>
  <c r="U171" i="19" s="1"/>
  <c r="Z171" i="19" s="1"/>
  <c r="O176" i="19"/>
  <c r="U176" i="19" s="1"/>
  <c r="Z176" i="19" s="1"/>
  <c r="O177" i="19"/>
  <c r="U177" i="19" s="1"/>
  <c r="Z177" i="19" s="1"/>
  <c r="O178" i="19"/>
  <c r="U178" i="19" s="1"/>
  <c r="Z178" i="19" s="1"/>
  <c r="O157" i="19"/>
  <c r="U157" i="19" s="1"/>
  <c r="Z157" i="19" s="1"/>
  <c r="O158" i="19"/>
  <c r="U158" i="19" s="1"/>
  <c r="Z158" i="19" s="1"/>
  <c r="O164" i="19"/>
  <c r="U164" i="19" s="1"/>
  <c r="Z164" i="19" s="1"/>
  <c r="O169" i="19"/>
  <c r="U169" i="19" s="1"/>
  <c r="Z169" i="19" s="1"/>
  <c r="O170" i="19"/>
  <c r="U170" i="19" s="1"/>
  <c r="Z170" i="19" s="1"/>
  <c r="O173" i="19"/>
  <c r="U173" i="19" s="1"/>
  <c r="Z173" i="19" s="1"/>
  <c r="O175" i="19"/>
  <c r="U175" i="19" s="1"/>
  <c r="Z175" i="19" s="1"/>
  <c r="O163" i="19"/>
  <c r="U163" i="19" s="1"/>
  <c r="Z163" i="19" s="1"/>
  <c r="O180" i="19"/>
  <c r="U180" i="19" s="1"/>
  <c r="Z180" i="19" s="1"/>
  <c r="O181" i="19"/>
  <c r="U181" i="19" s="1"/>
  <c r="Z181" i="19" s="1"/>
  <c r="O153" i="17"/>
  <c r="U153" i="17" s="1"/>
  <c r="O165" i="17"/>
  <c r="U165" i="17" s="1"/>
  <c r="Z165" i="17" s="1"/>
  <c r="O173" i="17"/>
  <c r="U173" i="17" s="1"/>
  <c r="Z173" i="17" s="1"/>
  <c r="O175" i="17"/>
  <c r="U175" i="17" s="1"/>
  <c r="Z175" i="17" s="1"/>
  <c r="O179" i="17"/>
  <c r="U179" i="17" s="1"/>
  <c r="Z179" i="17" s="1"/>
  <c r="O155" i="17"/>
  <c r="U155" i="17" s="1"/>
  <c r="Z155" i="17" s="1"/>
  <c r="O157" i="17"/>
  <c r="U157" i="17" s="1"/>
  <c r="Z157" i="17" s="1"/>
  <c r="O158" i="17"/>
  <c r="U158" i="17" s="1"/>
  <c r="Z158" i="17" s="1"/>
  <c r="O161" i="17"/>
  <c r="U161" i="17" s="1"/>
  <c r="Z161" i="17" s="1"/>
  <c r="O167" i="17"/>
  <c r="U167" i="17" s="1"/>
  <c r="Z167" i="17" s="1"/>
  <c r="O182" i="19"/>
  <c r="U182" i="19" s="1"/>
  <c r="Z182" i="19" s="1"/>
  <c r="O156" i="17"/>
  <c r="U156" i="17" s="1"/>
  <c r="Z156" i="17" s="1"/>
  <c r="O172" i="17"/>
  <c r="U172" i="17" s="1"/>
  <c r="Z172" i="17" s="1"/>
  <c r="O176" i="17"/>
  <c r="U176" i="17" s="1"/>
  <c r="Z176" i="17" s="1"/>
  <c r="O170" i="17"/>
  <c r="U170" i="17" s="1"/>
  <c r="Z170" i="17" s="1"/>
  <c r="O171" i="17"/>
  <c r="U171" i="17" s="1"/>
  <c r="Z171" i="17" s="1"/>
  <c r="O169" i="17"/>
  <c r="U169" i="17" s="1"/>
  <c r="Z169" i="17" s="1"/>
  <c r="O181" i="17"/>
  <c r="U181" i="17" s="1"/>
  <c r="Z181" i="17" s="1"/>
  <c r="O182" i="17"/>
  <c r="U182" i="17" s="1"/>
  <c r="Z182" i="17" s="1"/>
  <c r="O154" i="17"/>
  <c r="U154" i="17" s="1"/>
  <c r="Z154" i="17" s="1"/>
  <c r="O164" i="17"/>
  <c r="U164" i="17" s="1"/>
  <c r="Z164" i="17" s="1"/>
  <c r="O168" i="17"/>
  <c r="U168" i="17" s="1"/>
  <c r="Z168" i="17" s="1"/>
  <c r="O177" i="17"/>
  <c r="U177" i="17" s="1"/>
  <c r="Z177" i="17" s="1"/>
  <c r="O180" i="17"/>
  <c r="U180" i="17" s="1"/>
  <c r="Z180" i="17" s="1"/>
  <c r="O163" i="17"/>
  <c r="U163" i="17" s="1"/>
  <c r="Z163" i="17" s="1"/>
  <c r="O178" i="17"/>
  <c r="U178" i="17" s="1"/>
  <c r="Z178" i="17" s="1"/>
  <c r="O159" i="17"/>
  <c r="U159" i="17" s="1"/>
  <c r="Z159" i="17" s="1"/>
  <c r="O160" i="17"/>
  <c r="U160" i="17" s="1"/>
  <c r="Z160" i="17" s="1"/>
  <c r="O162" i="17"/>
  <c r="U162" i="17" s="1"/>
  <c r="Z162" i="17" s="1"/>
  <c r="O174" i="17"/>
  <c r="U174" i="17" s="1"/>
  <c r="Z174" i="17" s="1"/>
  <c r="O166" i="17"/>
  <c r="U166" i="17" s="1"/>
  <c r="Z166" i="17" s="1"/>
  <c r="O160" i="16"/>
  <c r="U160" i="16" s="1"/>
  <c r="Z160" i="16" s="1"/>
  <c r="O165" i="16"/>
  <c r="U165" i="16" s="1"/>
  <c r="Z165" i="16" s="1"/>
  <c r="O166" i="16"/>
  <c r="U166" i="16" s="1"/>
  <c r="Z166" i="16" s="1"/>
  <c r="O167" i="16"/>
  <c r="U167" i="16" s="1"/>
  <c r="Z167" i="16" s="1"/>
  <c r="O170" i="16"/>
  <c r="U170" i="16" s="1"/>
  <c r="Z170" i="16" s="1"/>
  <c r="O159" i="16"/>
  <c r="U159" i="16" s="1"/>
  <c r="Z159" i="16" s="1"/>
  <c r="O164" i="16"/>
  <c r="U164" i="16" s="1"/>
  <c r="Z164" i="16" s="1"/>
  <c r="O178" i="16"/>
  <c r="U178" i="16" s="1"/>
  <c r="Z178" i="16" s="1"/>
  <c r="O182" i="16"/>
  <c r="U182" i="16" s="1"/>
  <c r="Z182" i="16" s="1"/>
  <c r="O155" i="16"/>
  <c r="U155" i="16" s="1"/>
  <c r="Z155" i="16" s="1"/>
  <c r="O156" i="16"/>
  <c r="U156" i="16" s="1"/>
  <c r="Z156" i="16" s="1"/>
  <c r="O153" i="16"/>
  <c r="U153" i="16" s="1"/>
  <c r="O162" i="16"/>
  <c r="U162" i="16" s="1"/>
  <c r="Z162" i="16" s="1"/>
  <c r="O169" i="16"/>
  <c r="U169" i="16" s="1"/>
  <c r="Z169" i="16" s="1"/>
  <c r="O181" i="16"/>
  <c r="U181" i="16" s="1"/>
  <c r="Z181" i="16" s="1"/>
  <c r="O161" i="16"/>
  <c r="U161" i="16" s="1"/>
  <c r="Z161" i="16" s="1"/>
  <c r="O176" i="16"/>
  <c r="U176" i="16" s="1"/>
  <c r="Z176" i="16" s="1"/>
  <c r="O175" i="16"/>
  <c r="U175" i="16" s="1"/>
  <c r="Z175" i="16" s="1"/>
  <c r="O174" i="16"/>
  <c r="U174" i="16" s="1"/>
  <c r="Z174" i="16" s="1"/>
  <c r="O179" i="16"/>
  <c r="U179" i="16" s="1"/>
  <c r="Z179" i="16" s="1"/>
  <c r="O176" i="9"/>
  <c r="U176" i="9" s="1"/>
  <c r="Z176" i="9" s="1"/>
  <c r="O178" i="9"/>
  <c r="U178" i="9" s="1"/>
  <c r="Z178" i="9" s="1"/>
  <c r="O180" i="9"/>
  <c r="U180" i="9" s="1"/>
  <c r="Z180" i="9" s="1"/>
  <c r="O182" i="9"/>
  <c r="U182" i="9" s="1"/>
  <c r="Z182" i="9" s="1"/>
  <c r="O168" i="16"/>
  <c r="U168" i="16" s="1"/>
  <c r="Z168" i="16" s="1"/>
  <c r="O173" i="16"/>
  <c r="U173" i="16" s="1"/>
  <c r="Z173" i="16" s="1"/>
  <c r="O180" i="16"/>
  <c r="U180" i="16" s="1"/>
  <c r="Z180" i="16" s="1"/>
  <c r="O154" i="16"/>
  <c r="U154" i="16" s="1"/>
  <c r="Z154" i="16" s="1"/>
  <c r="O163" i="16"/>
  <c r="U163" i="16" s="1"/>
  <c r="Z163" i="16" s="1"/>
  <c r="O171" i="16"/>
  <c r="U171" i="16" s="1"/>
  <c r="Z171" i="16" s="1"/>
  <c r="O172" i="16"/>
  <c r="U172" i="16" s="1"/>
  <c r="Z172" i="16" s="1"/>
  <c r="O177" i="16"/>
  <c r="U177" i="16" s="1"/>
  <c r="Z177" i="16" s="1"/>
  <c r="O158" i="16"/>
  <c r="U158" i="16" s="1"/>
  <c r="Z158" i="16" s="1"/>
  <c r="O175" i="9"/>
  <c r="U175" i="9" s="1"/>
  <c r="Z175" i="9" s="1"/>
  <c r="O177" i="9"/>
  <c r="U177" i="9" s="1"/>
  <c r="Z177" i="9" s="1"/>
  <c r="O179" i="9"/>
  <c r="U179" i="9" s="1"/>
  <c r="Z179" i="9" s="1"/>
  <c r="O181" i="9"/>
  <c r="U181" i="9" s="1"/>
  <c r="Z181" i="9" s="1"/>
  <c r="O157" i="16"/>
  <c r="U157" i="16" s="1"/>
  <c r="Z157" i="16" s="1"/>
  <c r="AC131" i="9"/>
  <c r="AD131" i="9"/>
  <c r="AD136" i="9"/>
  <c r="AC136" i="9"/>
  <c r="AD141" i="9"/>
  <c r="AC141" i="9"/>
  <c r="AD139" i="9"/>
  <c r="AC139" i="9"/>
  <c r="AC151" i="16"/>
  <c r="AD151" i="16"/>
  <c r="AC146" i="9"/>
  <c r="AD146" i="9"/>
  <c r="AD134" i="16"/>
  <c r="AC134" i="16"/>
  <c r="AC149" i="16"/>
  <c r="AD149" i="16"/>
  <c r="AD124" i="16"/>
  <c r="AC124" i="16"/>
  <c r="AD128" i="17"/>
  <c r="AC128" i="17"/>
  <c r="AD151" i="17"/>
  <c r="AC151" i="17"/>
  <c r="AD145" i="17"/>
  <c r="AC145" i="17"/>
  <c r="AD149" i="19"/>
  <c r="AC149" i="19"/>
  <c r="AD128" i="19"/>
  <c r="AC128" i="19"/>
  <c r="AC148" i="19"/>
  <c r="AD148" i="19"/>
  <c r="AD143" i="19"/>
  <c r="AC143" i="19"/>
  <c r="AD144" i="9"/>
  <c r="AC144" i="9"/>
  <c r="AC135" i="9"/>
  <c r="AD135" i="9"/>
  <c r="AC143" i="9"/>
  <c r="AD143" i="9"/>
  <c r="AC140" i="16"/>
  <c r="AD140" i="16"/>
  <c r="AC136" i="16"/>
  <c r="AD136" i="16"/>
  <c r="AD127" i="16"/>
  <c r="AC127" i="16"/>
  <c r="AD125" i="16"/>
  <c r="AC125" i="16"/>
  <c r="AD127" i="17"/>
  <c r="AC127" i="17"/>
  <c r="AD148" i="17"/>
  <c r="AC148" i="17"/>
  <c r="AC134" i="19"/>
  <c r="AD134" i="19"/>
  <c r="AC150" i="19"/>
  <c r="AD150" i="19"/>
  <c r="AD126" i="19"/>
  <c r="AC126" i="19"/>
  <c r="O171" i="9"/>
  <c r="U171" i="9" s="1"/>
  <c r="Z171" i="9" s="1"/>
  <c r="O163" i="9"/>
  <c r="U163" i="9" s="1"/>
  <c r="Z163" i="9" s="1"/>
  <c r="O155" i="9"/>
  <c r="U155" i="9" s="1"/>
  <c r="Z155" i="9" s="1"/>
  <c r="O172" i="9"/>
  <c r="U172" i="9" s="1"/>
  <c r="Z172" i="9" s="1"/>
  <c r="O164" i="9"/>
  <c r="U164" i="9" s="1"/>
  <c r="Z164" i="9" s="1"/>
  <c r="O156" i="9"/>
  <c r="U156" i="9" s="1"/>
  <c r="Z156" i="9" s="1"/>
  <c r="O173" i="9"/>
  <c r="U173" i="9" s="1"/>
  <c r="Z173" i="9" s="1"/>
  <c r="O174" i="9"/>
  <c r="U174" i="9" s="1"/>
  <c r="Z174" i="9" s="1"/>
  <c r="O166" i="9"/>
  <c r="U166" i="9" s="1"/>
  <c r="Z166" i="9" s="1"/>
  <c r="O158" i="9"/>
  <c r="U158" i="9" s="1"/>
  <c r="Z158" i="9" s="1"/>
  <c r="O170" i="9"/>
  <c r="U170" i="9" s="1"/>
  <c r="Z170" i="9" s="1"/>
  <c r="O162" i="9"/>
  <c r="U162" i="9" s="1"/>
  <c r="Z162" i="9" s="1"/>
  <c r="O154" i="9"/>
  <c r="U154" i="9" s="1"/>
  <c r="Z154" i="9" s="1"/>
  <c r="O168" i="9"/>
  <c r="U168" i="9" s="1"/>
  <c r="Z168" i="9" s="1"/>
  <c r="O167" i="9"/>
  <c r="U167" i="9" s="1"/>
  <c r="Z167" i="9" s="1"/>
  <c r="O169" i="9"/>
  <c r="U169" i="9" s="1"/>
  <c r="Z169" i="9" s="1"/>
  <c r="O153" i="9"/>
  <c r="U153" i="9" s="1"/>
  <c r="O165" i="9"/>
  <c r="U165" i="9" s="1"/>
  <c r="Z165" i="9" s="1"/>
  <c r="O161" i="9"/>
  <c r="U161" i="9" s="1"/>
  <c r="Z161" i="9" s="1"/>
  <c r="O160" i="9"/>
  <c r="U160" i="9" s="1"/>
  <c r="Z160" i="9" s="1"/>
  <c r="O157" i="9"/>
  <c r="U157" i="9" s="1"/>
  <c r="Z157" i="9" s="1"/>
  <c r="O159" i="9"/>
  <c r="U159" i="9" s="1"/>
  <c r="Z159" i="9" s="1"/>
  <c r="J11" i="4"/>
  <c r="I12" i="4"/>
  <c r="AD90" i="11" l="1"/>
  <c r="AD85" i="11"/>
  <c r="H26" i="13"/>
  <c r="G17" i="13"/>
  <c r="H36" i="11"/>
  <c r="H29" i="11"/>
  <c r="AD92" i="11"/>
  <c r="AA493" i="25"/>
  <c r="H34" i="11"/>
  <c r="J17" i="13"/>
  <c r="H26" i="11"/>
  <c r="I26" i="11" s="1"/>
  <c r="AB463" i="25"/>
  <c r="J15" i="13"/>
  <c r="J16" i="13"/>
  <c r="F20" i="13"/>
  <c r="AB320" i="16"/>
  <c r="F24" i="13" s="1"/>
  <c r="AD93" i="11"/>
  <c r="AD88" i="11"/>
  <c r="H38" i="11"/>
  <c r="AC123" i="25"/>
  <c r="AD96" i="11"/>
  <c r="H18" i="13"/>
  <c r="H17" i="13"/>
  <c r="H14" i="13"/>
  <c r="H16" i="13"/>
  <c r="I48" i="11"/>
  <c r="H15" i="13"/>
  <c r="I15" i="13"/>
  <c r="K15" i="13"/>
  <c r="K14" i="13"/>
  <c r="I14" i="13"/>
  <c r="AD100" i="11"/>
  <c r="AD87" i="11"/>
  <c r="F92" i="11"/>
  <c r="AD97" i="11"/>
  <c r="AA163" i="25"/>
  <c r="AI255" i="25"/>
  <c r="AK255" i="25" s="1"/>
  <c r="AL255" i="25" s="1"/>
  <c r="Y255" i="25"/>
  <c r="AB255" i="25" s="1"/>
  <c r="Y465" i="25"/>
  <c r="AB465" i="25" s="1"/>
  <c r="L29" i="13" s="1"/>
  <c r="AI465" i="25"/>
  <c r="AK465" i="25" s="1"/>
  <c r="AL465" i="25" s="1"/>
  <c r="AB253" i="25"/>
  <c r="AB433" i="25"/>
  <c r="AD94" i="11"/>
  <c r="AA403" i="25"/>
  <c r="AB313" i="25"/>
  <c r="AI435" i="25"/>
  <c r="AK435" i="25" s="1"/>
  <c r="AL435" i="25" s="1"/>
  <c r="Y435" i="25"/>
  <c r="AB435" i="25" s="1"/>
  <c r="AI45" i="25"/>
  <c r="AK45" i="25" s="1"/>
  <c r="AL45" i="25" s="1"/>
  <c r="Y45" i="25"/>
  <c r="AI195" i="25"/>
  <c r="AK195" i="25" s="1"/>
  <c r="AL195" i="25" s="1"/>
  <c r="Y195" i="25"/>
  <c r="AA195" i="25" s="1"/>
  <c r="AB13" i="25"/>
  <c r="AB403" i="25"/>
  <c r="AA103" i="25"/>
  <c r="AC103" i="25" s="1"/>
  <c r="AI345" i="25"/>
  <c r="AK345" i="25" s="1"/>
  <c r="AL345" i="25" s="1"/>
  <c r="Y345" i="25"/>
  <c r="AA345" i="25" s="1"/>
  <c r="AI405" i="25"/>
  <c r="AK405" i="25" s="1"/>
  <c r="AL405" i="25" s="1"/>
  <c r="Y405" i="25"/>
  <c r="AA405" i="25" s="1"/>
  <c r="AA283" i="25"/>
  <c r="AI105" i="25"/>
  <c r="AK105" i="25" s="1"/>
  <c r="AL105" i="25" s="1"/>
  <c r="Y105" i="25"/>
  <c r="AB105" i="25" s="1"/>
  <c r="AD105" i="25" s="1"/>
  <c r="AB103" i="25"/>
  <c r="AA133" i="25"/>
  <c r="AC133" i="25" s="1"/>
  <c r="AB343" i="25"/>
  <c r="AI285" i="25"/>
  <c r="Y285" i="25"/>
  <c r="AB285" i="25" s="1"/>
  <c r="L23" i="13" s="1"/>
  <c r="Y75" i="25"/>
  <c r="AA75" i="25" s="1"/>
  <c r="AC75" i="25" s="1"/>
  <c r="AI75" i="25"/>
  <c r="AK75" i="25" s="1"/>
  <c r="AL75" i="25" s="1"/>
  <c r="AI165" i="25"/>
  <c r="AK165" i="25" s="1"/>
  <c r="AL165" i="25" s="1"/>
  <c r="Y165" i="25"/>
  <c r="AB165" i="25" s="1"/>
  <c r="L19" i="13" s="1"/>
  <c r="X86" i="11"/>
  <c r="AB86" i="11" s="1"/>
  <c r="AD86" i="11" s="1"/>
  <c r="F91" i="11"/>
  <c r="X99" i="11"/>
  <c r="AB99" i="11" s="1"/>
  <c r="AD99" i="11" s="1"/>
  <c r="Y495" i="25"/>
  <c r="AI495" i="25"/>
  <c r="AK495" i="25" s="1"/>
  <c r="AL495" i="25" s="1"/>
  <c r="AI375" i="25"/>
  <c r="AK375" i="25" s="1"/>
  <c r="AL375" i="25" s="1"/>
  <c r="Y375" i="25"/>
  <c r="AB375" i="25" s="1"/>
  <c r="AI225" i="25"/>
  <c r="AK225" i="25" s="1"/>
  <c r="AL225" i="25" s="1"/>
  <c r="Y225" i="25"/>
  <c r="AB225" i="25" s="1"/>
  <c r="AB43" i="25"/>
  <c r="AI315" i="25"/>
  <c r="AK315" i="25" s="1"/>
  <c r="AL315" i="25" s="1"/>
  <c r="Y315" i="25"/>
  <c r="AB315" i="25" s="1"/>
  <c r="AB193" i="25"/>
  <c r="X91" i="11"/>
  <c r="AB91" i="11" s="1"/>
  <c r="AD91" i="11" s="1"/>
  <c r="X95" i="11"/>
  <c r="AB95" i="11" s="1"/>
  <c r="AD95" i="11" s="1"/>
  <c r="H37" i="11"/>
  <c r="Y15" i="25"/>
  <c r="AA15" i="25" s="1"/>
  <c r="AC15" i="25" s="1"/>
  <c r="AI15" i="25"/>
  <c r="AK15" i="25" s="1"/>
  <c r="AL15" i="25" s="1"/>
  <c r="AK285" i="25"/>
  <c r="AL285" i="25" s="1"/>
  <c r="F96" i="11"/>
  <c r="AD98" i="11"/>
  <c r="AB373" i="25"/>
  <c r="AA43" i="25"/>
  <c r="AC43" i="25" s="1"/>
  <c r="AI135" i="25"/>
  <c r="AK135" i="25" s="1"/>
  <c r="AL135" i="25" s="1"/>
  <c r="Y135" i="25"/>
  <c r="AB135" i="25" s="1"/>
  <c r="AD135" i="25" s="1"/>
  <c r="M18" i="13" s="1"/>
  <c r="F93" i="11"/>
  <c r="AB223" i="25"/>
  <c r="AB73" i="25"/>
  <c r="X89" i="11"/>
  <c r="AB89" i="11" s="1"/>
  <c r="AD89" i="11" s="1"/>
  <c r="K16" i="13"/>
  <c r="I17" i="13"/>
  <c r="H24" i="11"/>
  <c r="I24" i="11" s="1"/>
  <c r="AB76" i="16"/>
  <c r="AD76" i="16" s="1"/>
  <c r="G16" i="13" s="1"/>
  <c r="I16" i="13"/>
  <c r="K17" i="13"/>
  <c r="AA171" i="16"/>
  <c r="AB171" i="16"/>
  <c r="AD171" i="16" s="1"/>
  <c r="AB20" i="16"/>
  <c r="AD20" i="16" s="1"/>
  <c r="AA261" i="16"/>
  <c r="H32" i="11"/>
  <c r="AB380" i="16"/>
  <c r="AA380" i="16"/>
  <c r="AA441" i="16"/>
  <c r="AB441" i="16"/>
  <c r="AB381" i="16"/>
  <c r="AA381" i="16"/>
  <c r="AA466" i="16"/>
  <c r="AB466" i="16"/>
  <c r="F29" i="13" s="1"/>
  <c r="AB256" i="16"/>
  <c r="AB141" i="16"/>
  <c r="AD141" i="16" s="1"/>
  <c r="AA141" i="16"/>
  <c r="AC141" i="16" s="1"/>
  <c r="H28" i="11"/>
  <c r="I28" i="11" s="1"/>
  <c r="AA43" i="16"/>
  <c r="AC43" i="16" s="1"/>
  <c r="AB43" i="16"/>
  <c r="AB260" i="16"/>
  <c r="AA166" i="16"/>
  <c r="AC166" i="16" s="1"/>
  <c r="AB166" i="16"/>
  <c r="F18" i="13"/>
  <c r="AB13" i="16"/>
  <c r="AB433" i="16"/>
  <c r="F28" i="13" s="1"/>
  <c r="AA433" i="16"/>
  <c r="AB403" i="16"/>
  <c r="F27" i="13" s="1"/>
  <c r="Z153" i="25"/>
  <c r="AC153" i="25" s="1"/>
  <c r="D89" i="11"/>
  <c r="AB502" i="9"/>
  <c r="D30" i="13" s="1"/>
  <c r="D31" i="13" s="1"/>
  <c r="AA243" i="9"/>
  <c r="H12" i="11"/>
  <c r="AB243" i="9"/>
  <c r="D22" i="13" s="1"/>
  <c r="AA502" i="9"/>
  <c r="F23" i="13"/>
  <c r="AD135" i="16"/>
  <c r="AC123" i="17"/>
  <c r="AC161" i="25"/>
  <c r="AD161" i="25"/>
  <c r="AD173" i="25"/>
  <c r="AC173" i="25"/>
  <c r="AD177" i="25"/>
  <c r="AC177" i="25"/>
  <c r="AD176" i="25"/>
  <c r="AC176" i="25"/>
  <c r="AD155" i="25"/>
  <c r="AC155" i="25"/>
  <c r="AD160" i="25"/>
  <c r="AC160" i="25"/>
  <c r="AC180" i="25"/>
  <c r="AD180" i="25"/>
  <c r="AD178" i="25"/>
  <c r="AC178" i="25"/>
  <c r="O205" i="25"/>
  <c r="U205" i="25" s="1"/>
  <c r="Z205" i="25" s="1"/>
  <c r="O207" i="25"/>
  <c r="U207" i="25" s="1"/>
  <c r="Z207" i="25" s="1"/>
  <c r="O195" i="25"/>
  <c r="U195" i="25" s="1"/>
  <c r="Z195" i="25" s="1"/>
  <c r="O187" i="25"/>
  <c r="U187" i="25" s="1"/>
  <c r="Z187" i="25" s="1"/>
  <c r="O212" i="25"/>
  <c r="U212" i="25" s="1"/>
  <c r="Z212" i="25" s="1"/>
  <c r="O208" i="25"/>
  <c r="U208" i="25" s="1"/>
  <c r="Z208" i="25" s="1"/>
  <c r="O202" i="25"/>
  <c r="U202" i="25" s="1"/>
  <c r="Z202" i="25" s="1"/>
  <c r="O194" i="25"/>
  <c r="U194" i="25" s="1"/>
  <c r="Z194" i="25" s="1"/>
  <c r="O186" i="25"/>
  <c r="U186" i="25" s="1"/>
  <c r="Z186" i="25" s="1"/>
  <c r="O203" i="25"/>
  <c r="U203" i="25" s="1"/>
  <c r="Z203" i="25" s="1"/>
  <c r="O201" i="25"/>
  <c r="U201" i="25" s="1"/>
  <c r="Z201" i="25" s="1"/>
  <c r="O193" i="25"/>
  <c r="U193" i="25" s="1"/>
  <c r="Z193" i="25" s="1"/>
  <c r="O185" i="25"/>
  <c r="U185" i="25" s="1"/>
  <c r="Z185" i="25" s="1"/>
  <c r="O209" i="25"/>
  <c r="U209" i="25" s="1"/>
  <c r="Z209" i="25" s="1"/>
  <c r="O200" i="25"/>
  <c r="U200" i="25" s="1"/>
  <c r="Z200" i="25" s="1"/>
  <c r="O192" i="25"/>
  <c r="U192" i="25" s="1"/>
  <c r="Z192" i="25" s="1"/>
  <c r="O184" i="25"/>
  <c r="U184" i="25" s="1"/>
  <c r="Z184" i="25" s="1"/>
  <c r="O204" i="25"/>
  <c r="U204" i="25" s="1"/>
  <c r="Z204" i="25" s="1"/>
  <c r="O199" i="25"/>
  <c r="U199" i="25" s="1"/>
  <c r="Z199" i="25" s="1"/>
  <c r="O191" i="25"/>
  <c r="U191" i="25" s="1"/>
  <c r="Z191" i="25" s="1"/>
  <c r="O183" i="25"/>
  <c r="U183" i="25" s="1"/>
  <c r="O197" i="25"/>
  <c r="U197" i="25" s="1"/>
  <c r="Z197" i="25" s="1"/>
  <c r="O190" i="25"/>
  <c r="U190" i="25" s="1"/>
  <c r="Z190" i="25" s="1"/>
  <c r="O188" i="25"/>
  <c r="U188" i="25" s="1"/>
  <c r="Z188" i="25" s="1"/>
  <c r="O211" i="25"/>
  <c r="U211" i="25" s="1"/>
  <c r="Z211" i="25" s="1"/>
  <c r="O206" i="25"/>
  <c r="U206" i="25" s="1"/>
  <c r="Z206" i="25" s="1"/>
  <c r="O189" i="25"/>
  <c r="U189" i="25" s="1"/>
  <c r="Z189" i="25" s="1"/>
  <c r="O210" i="25"/>
  <c r="U210" i="25" s="1"/>
  <c r="Z210" i="25" s="1"/>
  <c r="O198" i="25"/>
  <c r="U198" i="25" s="1"/>
  <c r="Z198" i="25" s="1"/>
  <c r="O196" i="25"/>
  <c r="U196" i="25" s="1"/>
  <c r="Z196" i="25" s="1"/>
  <c r="AC156" i="25"/>
  <c r="AD156" i="25"/>
  <c r="AC170" i="25"/>
  <c r="AD170" i="25"/>
  <c r="AD181" i="25"/>
  <c r="AC181" i="25"/>
  <c r="AD171" i="25"/>
  <c r="AC171" i="25"/>
  <c r="AD163" i="25"/>
  <c r="AC163" i="25"/>
  <c r="AC154" i="25"/>
  <c r="AD154" i="25"/>
  <c r="AC169" i="25"/>
  <c r="AD169" i="25"/>
  <c r="AD179" i="25"/>
  <c r="AC179" i="25"/>
  <c r="AC164" i="25"/>
  <c r="AD164" i="25"/>
  <c r="AD162" i="25"/>
  <c r="AC162" i="25"/>
  <c r="AD157" i="25"/>
  <c r="AC157" i="25"/>
  <c r="AC158" i="25"/>
  <c r="AD158" i="25"/>
  <c r="AD166" i="25"/>
  <c r="AC166" i="25"/>
  <c r="AD165" i="25"/>
  <c r="AC172" i="25"/>
  <c r="AD172" i="25"/>
  <c r="AD159" i="25"/>
  <c r="AC159" i="25"/>
  <c r="AD174" i="25"/>
  <c r="AC174" i="25"/>
  <c r="AC167" i="25"/>
  <c r="AD167" i="25"/>
  <c r="AD182" i="25"/>
  <c r="AC182" i="25"/>
  <c r="AC175" i="25"/>
  <c r="AD175" i="25"/>
  <c r="AD168" i="25"/>
  <c r="AC168" i="25"/>
  <c r="AC123" i="9"/>
  <c r="AD123" i="16"/>
  <c r="Z153" i="9"/>
  <c r="AC153" i="9" s="1"/>
  <c r="D9" i="11"/>
  <c r="I9" i="11" s="1"/>
  <c r="D69" i="11"/>
  <c r="I69" i="11" s="1"/>
  <c r="Z153" i="16"/>
  <c r="AD153" i="16" s="1"/>
  <c r="D29" i="11"/>
  <c r="I29" i="11" s="1"/>
  <c r="Z153" i="17"/>
  <c r="AD153" i="17" s="1"/>
  <c r="D49" i="11"/>
  <c r="I49" i="11" s="1"/>
  <c r="AD123" i="19"/>
  <c r="Z153" i="19"/>
  <c r="AD153" i="19" s="1"/>
  <c r="E17" i="13"/>
  <c r="AD158" i="16"/>
  <c r="AC158" i="16"/>
  <c r="AD168" i="16"/>
  <c r="AC168" i="16"/>
  <c r="AD176" i="16"/>
  <c r="AC176" i="16"/>
  <c r="AD182" i="16"/>
  <c r="AC182" i="16"/>
  <c r="AD160" i="16"/>
  <c r="AC160" i="16"/>
  <c r="AD180" i="17"/>
  <c r="AC180" i="17"/>
  <c r="AD171" i="17"/>
  <c r="AC171" i="17"/>
  <c r="AD158" i="17"/>
  <c r="AC158" i="17"/>
  <c r="AC181" i="19"/>
  <c r="AD181" i="19"/>
  <c r="AC158" i="19"/>
  <c r="AD158" i="19"/>
  <c r="AC167" i="19"/>
  <c r="AD167" i="19"/>
  <c r="AD158" i="9"/>
  <c r="AC158" i="9"/>
  <c r="AD171" i="9"/>
  <c r="AC171" i="9"/>
  <c r="AC182" i="9"/>
  <c r="AD182" i="9"/>
  <c r="AD178" i="16"/>
  <c r="AC178" i="16"/>
  <c r="AD170" i="17"/>
  <c r="AC170" i="17"/>
  <c r="AD180" i="19"/>
  <c r="AC180" i="19"/>
  <c r="AC157" i="19"/>
  <c r="AD157" i="19"/>
  <c r="AC161" i="19"/>
  <c r="AD161" i="19"/>
  <c r="E18" i="13"/>
  <c r="O191" i="19"/>
  <c r="U191" i="19" s="1"/>
  <c r="Z191" i="19" s="1"/>
  <c r="O199" i="19"/>
  <c r="U199" i="19" s="1"/>
  <c r="Z199" i="19" s="1"/>
  <c r="O202" i="19"/>
  <c r="U202" i="19" s="1"/>
  <c r="Z202" i="19" s="1"/>
  <c r="O186" i="19"/>
  <c r="U186" i="19" s="1"/>
  <c r="Z186" i="19" s="1"/>
  <c r="O195" i="19"/>
  <c r="U195" i="19" s="1"/>
  <c r="Z195" i="19" s="1"/>
  <c r="O185" i="19"/>
  <c r="U185" i="19" s="1"/>
  <c r="Z185" i="19" s="1"/>
  <c r="O187" i="19"/>
  <c r="U187" i="19" s="1"/>
  <c r="Z187" i="19" s="1"/>
  <c r="O194" i="19"/>
  <c r="U194" i="19" s="1"/>
  <c r="Z194" i="19" s="1"/>
  <c r="O196" i="19"/>
  <c r="U196" i="19" s="1"/>
  <c r="Z196" i="19" s="1"/>
  <c r="O197" i="19"/>
  <c r="U197" i="19" s="1"/>
  <c r="Z197" i="19" s="1"/>
  <c r="O184" i="19"/>
  <c r="U184" i="19" s="1"/>
  <c r="Z184" i="19" s="1"/>
  <c r="O188" i="19"/>
  <c r="U188" i="19" s="1"/>
  <c r="Z188" i="19" s="1"/>
  <c r="O189" i="19"/>
  <c r="U189" i="19" s="1"/>
  <c r="Z189" i="19" s="1"/>
  <c r="O204" i="19"/>
  <c r="U204" i="19" s="1"/>
  <c r="Z204" i="19" s="1"/>
  <c r="O210" i="19"/>
  <c r="U210" i="19" s="1"/>
  <c r="Z210" i="19" s="1"/>
  <c r="O212" i="19"/>
  <c r="U212" i="19" s="1"/>
  <c r="Z212" i="19" s="1"/>
  <c r="O193" i="19"/>
  <c r="U193" i="19" s="1"/>
  <c r="Z193" i="19" s="1"/>
  <c r="O201" i="19"/>
  <c r="U201" i="19" s="1"/>
  <c r="Z201" i="19" s="1"/>
  <c r="O208" i="19"/>
  <c r="U208" i="19" s="1"/>
  <c r="Z208" i="19" s="1"/>
  <c r="O205" i="19"/>
  <c r="U205" i="19" s="1"/>
  <c r="Z205" i="19" s="1"/>
  <c r="O206" i="19"/>
  <c r="U206" i="19" s="1"/>
  <c r="Z206" i="19" s="1"/>
  <c r="O211" i="19"/>
  <c r="U211" i="19" s="1"/>
  <c r="Z211" i="19" s="1"/>
  <c r="O190" i="19"/>
  <c r="U190" i="19" s="1"/>
  <c r="Z190" i="19" s="1"/>
  <c r="O192" i="19"/>
  <c r="U192" i="19" s="1"/>
  <c r="Z192" i="19" s="1"/>
  <c r="O198" i="19"/>
  <c r="U198" i="19" s="1"/>
  <c r="Z198" i="19" s="1"/>
  <c r="O203" i="19"/>
  <c r="U203" i="19" s="1"/>
  <c r="Z203" i="19" s="1"/>
  <c r="O183" i="19"/>
  <c r="U183" i="19" s="1"/>
  <c r="O207" i="19"/>
  <c r="U207" i="19" s="1"/>
  <c r="Z207" i="19" s="1"/>
  <c r="O200" i="19"/>
  <c r="U200" i="19" s="1"/>
  <c r="Z200" i="19" s="1"/>
  <c r="O189" i="17"/>
  <c r="U189" i="17" s="1"/>
  <c r="Z189" i="17" s="1"/>
  <c r="O193" i="17"/>
  <c r="U193" i="17" s="1"/>
  <c r="Z193" i="17" s="1"/>
  <c r="O199" i="17"/>
  <c r="U199" i="17" s="1"/>
  <c r="Z199" i="17" s="1"/>
  <c r="O209" i="19"/>
  <c r="U209" i="19" s="1"/>
  <c r="Z209" i="19" s="1"/>
  <c r="O196" i="17"/>
  <c r="U196" i="17" s="1"/>
  <c r="Z196" i="17" s="1"/>
  <c r="O183" i="17"/>
  <c r="U183" i="17" s="1"/>
  <c r="O198" i="17"/>
  <c r="U198" i="17" s="1"/>
  <c r="Z198" i="17" s="1"/>
  <c r="O202" i="17"/>
  <c r="U202" i="17" s="1"/>
  <c r="Z202" i="17" s="1"/>
  <c r="O208" i="17"/>
  <c r="U208" i="17" s="1"/>
  <c r="Z208" i="17" s="1"/>
  <c r="O209" i="17"/>
  <c r="U209" i="17" s="1"/>
  <c r="Z209" i="17" s="1"/>
  <c r="O212" i="17"/>
  <c r="U212" i="17" s="1"/>
  <c r="Z212" i="17" s="1"/>
  <c r="O190" i="17"/>
  <c r="U190" i="17" s="1"/>
  <c r="Z190" i="17" s="1"/>
  <c r="O197" i="17"/>
  <c r="U197" i="17" s="1"/>
  <c r="Z197" i="17" s="1"/>
  <c r="O201" i="17"/>
  <c r="U201" i="17" s="1"/>
  <c r="Z201" i="17" s="1"/>
  <c r="O192" i="17"/>
  <c r="U192" i="17" s="1"/>
  <c r="Z192" i="17" s="1"/>
  <c r="O200" i="17"/>
  <c r="U200" i="17" s="1"/>
  <c r="Z200" i="17" s="1"/>
  <c r="O210" i="17"/>
  <c r="U210" i="17" s="1"/>
  <c r="Z210" i="17" s="1"/>
  <c r="O188" i="17"/>
  <c r="U188" i="17" s="1"/>
  <c r="Z188" i="17" s="1"/>
  <c r="O191" i="17"/>
  <c r="U191" i="17" s="1"/>
  <c r="Z191" i="17" s="1"/>
  <c r="O195" i="17"/>
  <c r="U195" i="17" s="1"/>
  <c r="Z195" i="17" s="1"/>
  <c r="O204" i="17"/>
  <c r="U204" i="17" s="1"/>
  <c r="Z204" i="17" s="1"/>
  <c r="O205" i="17"/>
  <c r="U205" i="17" s="1"/>
  <c r="Z205" i="17" s="1"/>
  <c r="O206" i="17"/>
  <c r="U206" i="17" s="1"/>
  <c r="Z206" i="17" s="1"/>
  <c r="O185" i="17"/>
  <c r="U185" i="17" s="1"/>
  <c r="Z185" i="17" s="1"/>
  <c r="O186" i="17"/>
  <c r="U186" i="17" s="1"/>
  <c r="Z186" i="17" s="1"/>
  <c r="O187" i="17"/>
  <c r="U187" i="17" s="1"/>
  <c r="Z187" i="17" s="1"/>
  <c r="O194" i="17"/>
  <c r="U194" i="17" s="1"/>
  <c r="Z194" i="17" s="1"/>
  <c r="O203" i="17"/>
  <c r="U203" i="17" s="1"/>
  <c r="Z203" i="17" s="1"/>
  <c r="O211" i="17"/>
  <c r="U211" i="17" s="1"/>
  <c r="Z211" i="17" s="1"/>
  <c r="O184" i="17"/>
  <c r="U184" i="17" s="1"/>
  <c r="Z184" i="17" s="1"/>
  <c r="O207" i="17"/>
  <c r="U207" i="17" s="1"/>
  <c r="Z207" i="17" s="1"/>
  <c r="O200" i="16"/>
  <c r="U200" i="16" s="1"/>
  <c r="Z200" i="16" s="1"/>
  <c r="O202" i="16"/>
  <c r="U202" i="16" s="1"/>
  <c r="Z202" i="16" s="1"/>
  <c r="O186" i="16"/>
  <c r="U186" i="16" s="1"/>
  <c r="Z186" i="16" s="1"/>
  <c r="O189" i="16"/>
  <c r="U189" i="16" s="1"/>
  <c r="Z189" i="16" s="1"/>
  <c r="O195" i="16"/>
  <c r="U195" i="16" s="1"/>
  <c r="Z195" i="16" s="1"/>
  <c r="O198" i="16"/>
  <c r="U198" i="16" s="1"/>
  <c r="Z198" i="16" s="1"/>
  <c r="O201" i="16"/>
  <c r="U201" i="16" s="1"/>
  <c r="Z201" i="16" s="1"/>
  <c r="O184" i="16"/>
  <c r="U184" i="16" s="1"/>
  <c r="Z184" i="16" s="1"/>
  <c r="O185" i="16"/>
  <c r="U185" i="16" s="1"/>
  <c r="Z185" i="16" s="1"/>
  <c r="O187" i="16"/>
  <c r="U187" i="16" s="1"/>
  <c r="Z187" i="16" s="1"/>
  <c r="O188" i="16"/>
  <c r="U188" i="16" s="1"/>
  <c r="Z188" i="16" s="1"/>
  <c r="O197" i="16"/>
  <c r="U197" i="16" s="1"/>
  <c r="Z197" i="16" s="1"/>
  <c r="O191" i="16"/>
  <c r="U191" i="16" s="1"/>
  <c r="Z191" i="16" s="1"/>
  <c r="O192" i="16"/>
  <c r="U192" i="16" s="1"/>
  <c r="Z192" i="16" s="1"/>
  <c r="O204" i="16"/>
  <c r="U204" i="16" s="1"/>
  <c r="Z204" i="16" s="1"/>
  <c r="O207" i="16"/>
  <c r="U207" i="16" s="1"/>
  <c r="Z207" i="16" s="1"/>
  <c r="O210" i="16"/>
  <c r="U210" i="16" s="1"/>
  <c r="Z210" i="16" s="1"/>
  <c r="O203" i="16"/>
  <c r="U203" i="16" s="1"/>
  <c r="Z203" i="16" s="1"/>
  <c r="O205" i="16"/>
  <c r="U205" i="16" s="1"/>
  <c r="Z205" i="16" s="1"/>
  <c r="O209" i="16"/>
  <c r="U209" i="16" s="1"/>
  <c r="Z209" i="16" s="1"/>
  <c r="O212" i="16"/>
  <c r="U212" i="16" s="1"/>
  <c r="Z212" i="16" s="1"/>
  <c r="O194" i="16"/>
  <c r="U194" i="16" s="1"/>
  <c r="Z194" i="16" s="1"/>
  <c r="O208" i="16"/>
  <c r="U208" i="16" s="1"/>
  <c r="Z208" i="16" s="1"/>
  <c r="O183" i="16"/>
  <c r="U183" i="16" s="1"/>
  <c r="O193" i="16"/>
  <c r="U193" i="16" s="1"/>
  <c r="Z193" i="16" s="1"/>
  <c r="O199" i="16"/>
  <c r="U199" i="16" s="1"/>
  <c r="Z199" i="16" s="1"/>
  <c r="O206" i="16"/>
  <c r="U206" i="16" s="1"/>
  <c r="Z206" i="16" s="1"/>
  <c r="O196" i="16"/>
  <c r="U196" i="16" s="1"/>
  <c r="Z196" i="16" s="1"/>
  <c r="O206" i="9"/>
  <c r="U206" i="9" s="1"/>
  <c r="Z206" i="9" s="1"/>
  <c r="O208" i="9"/>
  <c r="U208" i="9" s="1"/>
  <c r="Z208" i="9" s="1"/>
  <c r="O210" i="9"/>
  <c r="U210" i="9" s="1"/>
  <c r="Z210" i="9" s="1"/>
  <c r="O212" i="9"/>
  <c r="U212" i="9" s="1"/>
  <c r="Z212" i="9" s="1"/>
  <c r="O190" i="16"/>
  <c r="U190" i="16" s="1"/>
  <c r="Z190" i="16" s="1"/>
  <c r="O211" i="16"/>
  <c r="U211" i="16" s="1"/>
  <c r="Z211" i="16" s="1"/>
  <c r="O205" i="9"/>
  <c r="U205" i="9" s="1"/>
  <c r="Z205" i="9" s="1"/>
  <c r="O207" i="9"/>
  <c r="U207" i="9" s="1"/>
  <c r="Z207" i="9" s="1"/>
  <c r="O209" i="9"/>
  <c r="U209" i="9" s="1"/>
  <c r="Z209" i="9" s="1"/>
  <c r="O211" i="9"/>
  <c r="U211" i="9" s="1"/>
  <c r="Z211" i="9" s="1"/>
  <c r="AC169" i="9"/>
  <c r="AD169" i="9"/>
  <c r="AD174" i="9"/>
  <c r="AC174" i="9"/>
  <c r="AC172" i="16"/>
  <c r="AD172" i="16"/>
  <c r="AC180" i="9"/>
  <c r="AD180" i="9"/>
  <c r="AC181" i="16"/>
  <c r="AD181" i="16"/>
  <c r="AC164" i="16"/>
  <c r="AD164" i="16"/>
  <c r="AD174" i="17"/>
  <c r="AC174" i="17"/>
  <c r="AC168" i="17"/>
  <c r="AD168" i="17"/>
  <c r="AD176" i="17"/>
  <c r="AC176" i="17"/>
  <c r="AD155" i="17"/>
  <c r="AC155" i="17"/>
  <c r="AC163" i="19"/>
  <c r="AD163" i="19"/>
  <c r="AD178" i="19"/>
  <c r="AC178" i="19"/>
  <c r="AC165" i="19"/>
  <c r="AD165" i="19"/>
  <c r="AC174" i="19"/>
  <c r="AD174" i="19"/>
  <c r="AC163" i="9"/>
  <c r="AD163" i="9"/>
  <c r="AC166" i="9"/>
  <c r="AD166" i="9"/>
  <c r="AD177" i="16"/>
  <c r="AC177" i="16"/>
  <c r="AC161" i="16"/>
  <c r="AD161" i="16"/>
  <c r="AD166" i="17"/>
  <c r="AC166" i="17"/>
  <c r="AC177" i="17"/>
  <c r="AD177" i="17"/>
  <c r="AD157" i="17"/>
  <c r="AC157" i="17"/>
  <c r="AD166" i="19"/>
  <c r="AC166" i="19"/>
  <c r="AC167" i="9"/>
  <c r="AD167" i="9"/>
  <c r="AC173" i="9"/>
  <c r="AD173" i="9"/>
  <c r="AC157" i="16"/>
  <c r="AD157" i="16"/>
  <c r="AC171" i="16"/>
  <c r="AD178" i="9"/>
  <c r="AC178" i="9"/>
  <c r="AC169" i="16"/>
  <c r="AD169" i="16"/>
  <c r="AC159" i="16"/>
  <c r="AD159" i="16"/>
  <c r="AD162" i="17"/>
  <c r="AC162" i="17"/>
  <c r="AC164" i="17"/>
  <c r="AD164" i="17"/>
  <c r="AD172" i="17"/>
  <c r="AC172" i="17"/>
  <c r="AC179" i="17"/>
  <c r="AD179" i="17"/>
  <c r="AD175" i="19"/>
  <c r="AC175" i="19"/>
  <c r="AC177" i="19"/>
  <c r="AD177" i="19"/>
  <c r="AC160" i="19"/>
  <c r="AD160" i="19"/>
  <c r="AD168" i="19"/>
  <c r="AC168" i="19"/>
  <c r="AC181" i="9"/>
  <c r="AD181" i="9"/>
  <c r="AC163" i="16"/>
  <c r="AD163" i="16"/>
  <c r="AC176" i="9"/>
  <c r="AD176" i="9"/>
  <c r="AC162" i="16"/>
  <c r="AD162" i="16"/>
  <c r="AC170" i="16"/>
  <c r="AD170" i="16"/>
  <c r="AC160" i="17"/>
  <c r="AD160" i="17"/>
  <c r="AC154" i="17"/>
  <c r="AD154" i="17"/>
  <c r="AC156" i="17"/>
  <c r="AD156" i="17"/>
  <c r="AC175" i="17"/>
  <c r="AD175" i="17"/>
  <c r="AD173" i="19"/>
  <c r="AC173" i="19"/>
  <c r="AC176" i="19"/>
  <c r="AD176" i="19"/>
  <c r="AC155" i="19"/>
  <c r="AD155" i="19"/>
  <c r="AD162" i="19"/>
  <c r="AC162" i="19"/>
  <c r="AD179" i="9"/>
  <c r="AC179" i="9"/>
  <c r="AC154" i="16"/>
  <c r="AD154" i="16"/>
  <c r="AD179" i="16"/>
  <c r="AC179" i="16"/>
  <c r="AC167" i="16"/>
  <c r="AD167" i="16"/>
  <c r="AD159" i="17"/>
  <c r="AC159" i="17"/>
  <c r="AC182" i="17"/>
  <c r="AD182" i="17"/>
  <c r="AC182" i="19"/>
  <c r="AD182" i="19"/>
  <c r="AD173" i="17"/>
  <c r="AC173" i="17"/>
  <c r="AC170" i="19"/>
  <c r="AD170" i="19"/>
  <c r="AC171" i="19"/>
  <c r="AD171" i="19"/>
  <c r="AD179" i="19"/>
  <c r="AC179" i="19"/>
  <c r="AC177" i="9"/>
  <c r="AD177" i="9"/>
  <c r="AD180" i="16"/>
  <c r="AC180" i="16"/>
  <c r="AC174" i="16"/>
  <c r="AD174" i="16"/>
  <c r="AD156" i="16"/>
  <c r="AC156" i="16"/>
  <c r="AC178" i="17"/>
  <c r="AD178" i="17"/>
  <c r="AC181" i="17"/>
  <c r="AD181" i="17"/>
  <c r="AD167" i="17"/>
  <c r="AC167" i="17"/>
  <c r="AD165" i="17"/>
  <c r="AC165" i="17"/>
  <c r="AC169" i="19"/>
  <c r="AD169" i="19"/>
  <c r="AD159" i="19"/>
  <c r="AC159" i="19"/>
  <c r="AC172" i="19"/>
  <c r="AD172" i="19"/>
  <c r="AC165" i="9"/>
  <c r="AD165" i="9"/>
  <c r="AC159" i="9"/>
  <c r="AD159" i="9"/>
  <c r="AC168" i="9"/>
  <c r="AD168" i="9"/>
  <c r="AD156" i="9"/>
  <c r="AC156" i="9"/>
  <c r="AC157" i="9"/>
  <c r="AD157" i="9"/>
  <c r="AC154" i="9"/>
  <c r="AD154" i="9"/>
  <c r="AD164" i="9"/>
  <c r="AC164" i="9"/>
  <c r="AC160" i="9"/>
  <c r="AD160" i="9"/>
  <c r="AD162" i="9"/>
  <c r="AC162" i="9"/>
  <c r="AD172" i="9"/>
  <c r="AC172" i="9"/>
  <c r="AD161" i="9"/>
  <c r="AC161" i="9"/>
  <c r="AD170" i="9"/>
  <c r="AC170" i="9"/>
  <c r="AD155" i="9"/>
  <c r="AC155" i="9"/>
  <c r="AD175" i="9"/>
  <c r="AC175" i="9"/>
  <c r="AD173" i="16"/>
  <c r="AC173" i="16"/>
  <c r="AD175" i="16"/>
  <c r="AC175" i="16"/>
  <c r="AC155" i="16"/>
  <c r="AD155" i="16"/>
  <c r="AC165" i="16"/>
  <c r="AD165" i="16"/>
  <c r="AC163" i="17"/>
  <c r="AD163" i="17"/>
  <c r="AC169" i="17"/>
  <c r="AD169" i="17"/>
  <c r="AC161" i="17"/>
  <c r="AD161" i="17"/>
  <c r="AD164" i="19"/>
  <c r="AC164" i="19"/>
  <c r="AD154" i="19"/>
  <c r="AC154" i="19"/>
  <c r="AC156" i="19"/>
  <c r="AD156" i="19"/>
  <c r="I18" i="13"/>
  <c r="O203" i="9"/>
  <c r="U203" i="9" s="1"/>
  <c r="Z203" i="9" s="1"/>
  <c r="O200" i="9"/>
  <c r="U200" i="9" s="1"/>
  <c r="Z200" i="9" s="1"/>
  <c r="O195" i="9"/>
  <c r="U195" i="9" s="1"/>
  <c r="Z195" i="9" s="1"/>
  <c r="O187" i="9"/>
  <c r="U187" i="9" s="1"/>
  <c r="Z187" i="9" s="1"/>
  <c r="O196" i="9"/>
  <c r="U196" i="9" s="1"/>
  <c r="Z196" i="9" s="1"/>
  <c r="O188" i="9"/>
  <c r="U188" i="9" s="1"/>
  <c r="Z188" i="9" s="1"/>
  <c r="O197" i="9"/>
  <c r="U197" i="9" s="1"/>
  <c r="Z197" i="9" s="1"/>
  <c r="O189" i="9"/>
  <c r="U189" i="9" s="1"/>
  <c r="Z189" i="9" s="1"/>
  <c r="O201" i="9"/>
  <c r="U201" i="9" s="1"/>
  <c r="Z201" i="9" s="1"/>
  <c r="O198" i="9"/>
  <c r="U198" i="9" s="1"/>
  <c r="Z198" i="9" s="1"/>
  <c r="O190" i="9"/>
  <c r="U190" i="9" s="1"/>
  <c r="Z190" i="9" s="1"/>
  <c r="O194" i="9"/>
  <c r="U194" i="9" s="1"/>
  <c r="Z194" i="9" s="1"/>
  <c r="O186" i="9"/>
  <c r="U186" i="9" s="1"/>
  <c r="Z186" i="9" s="1"/>
  <c r="O184" i="9"/>
  <c r="U184" i="9" s="1"/>
  <c r="Z184" i="9" s="1"/>
  <c r="O193" i="9"/>
  <c r="U193" i="9" s="1"/>
  <c r="Z193" i="9" s="1"/>
  <c r="O199" i="9"/>
  <c r="U199" i="9" s="1"/>
  <c r="Z199" i="9" s="1"/>
  <c r="O202" i="9"/>
  <c r="U202" i="9" s="1"/>
  <c r="Z202" i="9" s="1"/>
  <c r="O191" i="9"/>
  <c r="U191" i="9" s="1"/>
  <c r="Z191" i="9" s="1"/>
  <c r="O185" i="9"/>
  <c r="U185" i="9" s="1"/>
  <c r="Z185" i="9" s="1"/>
  <c r="O183" i="9"/>
  <c r="U183" i="9" s="1"/>
  <c r="O204" i="9"/>
  <c r="U204" i="9" s="1"/>
  <c r="Z204" i="9" s="1"/>
  <c r="O192" i="9"/>
  <c r="U192" i="9" s="1"/>
  <c r="Z192" i="9" s="1"/>
  <c r="J12" i="4"/>
  <c r="I13" i="4"/>
  <c r="AA315" i="25" l="1"/>
  <c r="H90" i="11"/>
  <c r="F19" i="13"/>
  <c r="AD166" i="16"/>
  <c r="G19" i="13" s="1"/>
  <c r="F16" i="13"/>
  <c r="H99" i="11"/>
  <c r="AA165" i="25"/>
  <c r="AC165" i="25" s="1"/>
  <c r="H95" i="11"/>
  <c r="F26" i="13"/>
  <c r="AA495" i="25"/>
  <c r="H100" i="11"/>
  <c r="H85" i="11"/>
  <c r="I85" i="11" s="1"/>
  <c r="AB45" i="25"/>
  <c r="AD45" i="25" s="1"/>
  <c r="AA465" i="25"/>
  <c r="AA225" i="25"/>
  <c r="AA135" i="25"/>
  <c r="AC135" i="25" s="1"/>
  <c r="L18" i="13"/>
  <c r="H91" i="11"/>
  <c r="H96" i="11"/>
  <c r="AB495" i="25"/>
  <c r="L30" i="13" s="1"/>
  <c r="L31" i="13" s="1"/>
  <c r="AA375" i="25"/>
  <c r="AB345" i="25"/>
  <c r="L25" i="13" s="1"/>
  <c r="H93" i="11"/>
  <c r="AA285" i="25"/>
  <c r="AD73" i="25"/>
  <c r="AB75" i="25"/>
  <c r="AB15" i="25"/>
  <c r="AD15" i="25" s="1"/>
  <c r="AA105" i="25"/>
  <c r="AC105" i="25" s="1"/>
  <c r="AA45" i="25"/>
  <c r="AC45" i="25" s="1"/>
  <c r="H97" i="11"/>
  <c r="AD13" i="25"/>
  <c r="L21" i="13"/>
  <c r="L26" i="13"/>
  <c r="AB195" i="25"/>
  <c r="L20" i="13" s="1"/>
  <c r="H84" i="11"/>
  <c r="I84" i="11" s="1"/>
  <c r="H98" i="11"/>
  <c r="H88" i="11"/>
  <c r="I88" i="11" s="1"/>
  <c r="L28" i="13"/>
  <c r="AB405" i="25"/>
  <c r="L27" i="13" s="1"/>
  <c r="AA435" i="25"/>
  <c r="L15" i="13"/>
  <c r="AD43" i="25"/>
  <c r="L17" i="13"/>
  <c r="AD103" i="25"/>
  <c r="M17" i="13" s="1"/>
  <c r="H94" i="11"/>
  <c r="H92" i="11"/>
  <c r="H89" i="11"/>
  <c r="I89" i="11" s="1"/>
  <c r="AA255" i="25"/>
  <c r="H86" i="11"/>
  <c r="I86" i="11" s="1"/>
  <c r="H87" i="11"/>
  <c r="I87" i="11" s="1"/>
  <c r="L24" i="13"/>
  <c r="L22" i="13"/>
  <c r="F22" i="13"/>
  <c r="AD43" i="16"/>
  <c r="G15" i="13" s="1"/>
  <c r="F15" i="13"/>
  <c r="AD13" i="16"/>
  <c r="G14" i="13" s="1"/>
  <c r="F14" i="13"/>
  <c r="AD153" i="25"/>
  <c r="M19" i="13" s="1"/>
  <c r="Z183" i="25"/>
  <c r="AC183" i="25" s="1"/>
  <c r="D90" i="11"/>
  <c r="I90" i="11" s="1"/>
  <c r="G18" i="13"/>
  <c r="AC153" i="17"/>
  <c r="K18" i="13"/>
  <c r="AD188" i="25"/>
  <c r="AC188" i="25"/>
  <c r="AC192" i="25"/>
  <c r="AD192" i="25"/>
  <c r="AD194" i="25"/>
  <c r="AC194" i="25"/>
  <c r="AD190" i="25"/>
  <c r="AC190" i="25"/>
  <c r="AD200" i="25"/>
  <c r="AC200" i="25"/>
  <c r="AC202" i="25"/>
  <c r="AD202" i="25"/>
  <c r="AD196" i="25"/>
  <c r="AC196" i="25"/>
  <c r="AD197" i="25"/>
  <c r="AC197" i="25"/>
  <c r="AC209" i="25"/>
  <c r="AD209" i="25"/>
  <c r="AD208" i="25"/>
  <c r="AC208" i="25"/>
  <c r="AD198" i="25"/>
  <c r="AC198" i="25"/>
  <c r="AD185" i="25"/>
  <c r="AC185" i="25"/>
  <c r="AD212" i="25"/>
  <c r="AC212" i="25"/>
  <c r="AD210" i="25"/>
  <c r="AC210" i="25"/>
  <c r="AC191" i="25"/>
  <c r="AD191" i="25"/>
  <c r="AD193" i="25"/>
  <c r="AC193" i="25"/>
  <c r="AD187" i="25"/>
  <c r="AC187" i="25"/>
  <c r="AD189" i="25"/>
  <c r="AC189" i="25"/>
  <c r="AC199" i="25"/>
  <c r="AD199" i="25"/>
  <c r="AD201" i="25"/>
  <c r="AC201" i="25"/>
  <c r="AD195" i="25"/>
  <c r="AC195" i="25"/>
  <c r="O238" i="25"/>
  <c r="U238" i="25" s="1"/>
  <c r="Z238" i="25" s="1"/>
  <c r="O230" i="25"/>
  <c r="U230" i="25" s="1"/>
  <c r="Z230" i="25" s="1"/>
  <c r="O222" i="25"/>
  <c r="U222" i="25" s="1"/>
  <c r="Z222" i="25" s="1"/>
  <c r="O237" i="25"/>
  <c r="U237" i="25" s="1"/>
  <c r="Z237" i="25" s="1"/>
  <c r="O229" i="25"/>
  <c r="U229" i="25" s="1"/>
  <c r="Z229" i="25" s="1"/>
  <c r="O221" i="25"/>
  <c r="U221" i="25" s="1"/>
  <c r="Z221" i="25" s="1"/>
  <c r="O213" i="25"/>
  <c r="U213" i="25" s="1"/>
  <c r="O236" i="25"/>
  <c r="U236" i="25" s="1"/>
  <c r="Z236" i="25" s="1"/>
  <c r="O228" i="25"/>
  <c r="U228" i="25" s="1"/>
  <c r="Z228" i="25" s="1"/>
  <c r="O220" i="25"/>
  <c r="U220" i="25" s="1"/>
  <c r="Z220" i="25" s="1"/>
  <c r="O235" i="25"/>
  <c r="U235" i="25" s="1"/>
  <c r="Z235" i="25" s="1"/>
  <c r="O242" i="25"/>
  <c r="U242" i="25" s="1"/>
  <c r="Z242" i="25" s="1"/>
  <c r="O234" i="25"/>
  <c r="U234" i="25" s="1"/>
  <c r="Z234" i="25" s="1"/>
  <c r="O226" i="25"/>
  <c r="U226" i="25" s="1"/>
  <c r="Z226" i="25" s="1"/>
  <c r="O241" i="25"/>
  <c r="U241" i="25" s="1"/>
  <c r="Z241" i="25" s="1"/>
  <c r="O233" i="25"/>
  <c r="U233" i="25" s="1"/>
  <c r="Z233" i="25" s="1"/>
  <c r="O225" i="25"/>
  <c r="U225" i="25" s="1"/>
  <c r="Z225" i="25" s="1"/>
  <c r="O223" i="25"/>
  <c r="U223" i="25" s="1"/>
  <c r="Z223" i="25" s="1"/>
  <c r="O215" i="25"/>
  <c r="U215" i="25" s="1"/>
  <c r="Z215" i="25" s="1"/>
  <c r="O239" i="25"/>
  <c r="U239" i="25" s="1"/>
  <c r="Z239" i="25" s="1"/>
  <c r="O227" i="25"/>
  <c r="U227" i="25" s="1"/>
  <c r="Z227" i="25" s="1"/>
  <c r="O232" i="25"/>
  <c r="U232" i="25" s="1"/>
  <c r="Z232" i="25" s="1"/>
  <c r="O224" i="25"/>
  <c r="U224" i="25" s="1"/>
  <c r="Z224" i="25" s="1"/>
  <c r="O217" i="25"/>
  <c r="U217" i="25" s="1"/>
  <c r="Z217" i="25" s="1"/>
  <c r="O240" i="25"/>
  <c r="U240" i="25" s="1"/>
  <c r="Z240" i="25" s="1"/>
  <c r="O218" i="25"/>
  <c r="U218" i="25" s="1"/>
  <c r="Z218" i="25" s="1"/>
  <c r="O219" i="25"/>
  <c r="U219" i="25" s="1"/>
  <c r="Z219" i="25" s="1"/>
  <c r="O216" i="25"/>
  <c r="U216" i="25" s="1"/>
  <c r="Z216" i="25" s="1"/>
  <c r="O214" i="25"/>
  <c r="U214" i="25" s="1"/>
  <c r="Z214" i="25" s="1"/>
  <c r="O231" i="25"/>
  <c r="U231" i="25" s="1"/>
  <c r="Z231" i="25" s="1"/>
  <c r="AD206" i="25"/>
  <c r="AC206" i="25"/>
  <c r="AD204" i="25"/>
  <c r="AC204" i="25"/>
  <c r="AC203" i="25"/>
  <c r="AD203" i="25"/>
  <c r="AD207" i="25"/>
  <c r="AC207" i="25"/>
  <c r="AD211" i="25"/>
  <c r="AC211" i="25"/>
  <c r="AD184" i="25"/>
  <c r="AC184" i="25"/>
  <c r="AD186" i="25"/>
  <c r="AC186" i="25"/>
  <c r="AD205" i="25"/>
  <c r="AC205" i="25"/>
  <c r="AC153" i="16"/>
  <c r="AD153" i="9"/>
  <c r="Z183" i="9"/>
  <c r="AC183" i="9" s="1"/>
  <c r="D10" i="11"/>
  <c r="I10" i="11" s="1"/>
  <c r="Z183" i="16"/>
  <c r="AD183" i="16" s="1"/>
  <c r="D30" i="11"/>
  <c r="I30" i="11" s="1"/>
  <c r="D70" i="11"/>
  <c r="I70" i="11" s="1"/>
  <c r="Z183" i="17"/>
  <c r="AD183" i="17" s="1"/>
  <c r="D50" i="11"/>
  <c r="I50" i="11" s="1"/>
  <c r="AC153" i="19"/>
  <c r="Z183" i="19"/>
  <c r="AC183" i="19" s="1"/>
  <c r="AC211" i="16"/>
  <c r="AD211" i="16"/>
  <c r="AC187" i="16"/>
  <c r="AD187" i="16"/>
  <c r="AD208" i="17"/>
  <c r="AC208" i="17"/>
  <c r="AC190" i="16"/>
  <c r="AD190" i="16"/>
  <c r="AC193" i="16"/>
  <c r="AD193" i="16"/>
  <c r="AD210" i="16"/>
  <c r="AC210" i="16"/>
  <c r="AD185" i="16"/>
  <c r="AC185" i="16"/>
  <c r="AC200" i="16"/>
  <c r="AD200" i="16"/>
  <c r="AD185" i="17"/>
  <c r="AC185" i="17"/>
  <c r="AD200" i="17"/>
  <c r="AC200" i="17"/>
  <c r="AC202" i="17"/>
  <c r="AD202" i="17"/>
  <c r="AC200" i="19"/>
  <c r="AD200" i="19"/>
  <c r="AC206" i="19"/>
  <c r="AD206" i="19"/>
  <c r="AC189" i="19"/>
  <c r="AD189" i="19"/>
  <c r="AC195" i="19"/>
  <c r="AD195" i="19"/>
  <c r="AC203" i="16"/>
  <c r="AD203" i="16"/>
  <c r="AD186" i="17"/>
  <c r="AC186" i="17"/>
  <c r="AD189" i="17"/>
  <c r="AC189" i="17"/>
  <c r="AC198" i="9"/>
  <c r="AD198" i="9"/>
  <c r="AD202" i="9"/>
  <c r="AC202" i="9"/>
  <c r="AD203" i="9"/>
  <c r="AC203" i="9"/>
  <c r="AD212" i="9"/>
  <c r="AC212" i="9"/>
  <c r="AC207" i="16"/>
  <c r="AD207" i="16"/>
  <c r="AD207" i="17"/>
  <c r="AC207" i="17"/>
  <c r="AD192" i="17"/>
  <c r="AC192" i="17"/>
  <c r="AD207" i="19"/>
  <c r="AC207" i="19"/>
  <c r="AD186" i="19"/>
  <c r="AC186" i="19"/>
  <c r="AD195" i="9"/>
  <c r="AC195" i="9"/>
  <c r="AD199" i="16"/>
  <c r="AC199" i="16"/>
  <c r="AD202" i="16"/>
  <c r="AC202" i="16"/>
  <c r="AC210" i="17"/>
  <c r="AD210" i="17"/>
  <c r="AC191" i="9"/>
  <c r="AD191" i="9"/>
  <c r="AC200" i="9"/>
  <c r="AD200" i="9"/>
  <c r="AC201" i="9"/>
  <c r="AD201" i="9"/>
  <c r="AC184" i="16"/>
  <c r="AD184" i="16"/>
  <c r="AD206" i="17"/>
  <c r="AC206" i="17"/>
  <c r="AD198" i="17"/>
  <c r="AC198" i="17"/>
  <c r="AC205" i="19"/>
  <c r="AD205" i="19"/>
  <c r="AC188" i="19"/>
  <c r="AD188" i="19"/>
  <c r="AC199" i="9"/>
  <c r="AD199" i="9"/>
  <c r="AD189" i="9"/>
  <c r="AC189" i="9"/>
  <c r="AC210" i="9"/>
  <c r="AD210" i="9"/>
  <c r="AC208" i="16"/>
  <c r="AD208" i="16"/>
  <c r="AD204" i="16"/>
  <c r="AC204" i="16"/>
  <c r="AC201" i="16"/>
  <c r="AD201" i="16"/>
  <c r="AD184" i="17"/>
  <c r="AC184" i="17"/>
  <c r="AD205" i="17"/>
  <c r="AC205" i="17"/>
  <c r="AC201" i="17"/>
  <c r="AD201" i="17"/>
  <c r="AC208" i="19"/>
  <c r="AD208" i="19"/>
  <c r="AD184" i="19"/>
  <c r="AC184" i="19"/>
  <c r="AD202" i="19"/>
  <c r="AC202" i="19"/>
  <c r="AC190" i="9"/>
  <c r="AD190" i="9"/>
  <c r="O227" i="19"/>
  <c r="U227" i="19" s="1"/>
  <c r="Z227" i="19" s="1"/>
  <c r="O228" i="19"/>
  <c r="U228" i="19" s="1"/>
  <c r="Z228" i="19" s="1"/>
  <c r="O229" i="19"/>
  <c r="U229" i="19" s="1"/>
  <c r="Z229" i="19" s="1"/>
  <c r="O234" i="19"/>
  <c r="U234" i="19" s="1"/>
  <c r="Z234" i="19" s="1"/>
  <c r="O235" i="19"/>
  <c r="U235" i="19" s="1"/>
  <c r="Z235" i="19" s="1"/>
  <c r="O217" i="19"/>
  <c r="U217" i="19" s="1"/>
  <c r="Z217" i="19" s="1"/>
  <c r="O232" i="19"/>
  <c r="U232" i="19" s="1"/>
  <c r="Z232" i="19" s="1"/>
  <c r="O239" i="19"/>
  <c r="U239" i="19" s="1"/>
  <c r="Z239" i="19" s="1"/>
  <c r="O221" i="19"/>
  <c r="U221" i="19" s="1"/>
  <c r="Z221" i="19" s="1"/>
  <c r="O222" i="19"/>
  <c r="U222" i="19" s="1"/>
  <c r="Z222" i="19" s="1"/>
  <c r="O223" i="19"/>
  <c r="U223" i="19" s="1"/>
  <c r="Z223" i="19" s="1"/>
  <c r="O224" i="19"/>
  <c r="U224" i="19" s="1"/>
  <c r="Z224" i="19" s="1"/>
  <c r="O225" i="19"/>
  <c r="U225" i="19" s="1"/>
  <c r="Z225" i="19" s="1"/>
  <c r="O230" i="19"/>
  <c r="U230" i="19" s="1"/>
  <c r="Z230" i="19" s="1"/>
  <c r="O231" i="19"/>
  <c r="U231" i="19" s="1"/>
  <c r="Z231" i="19" s="1"/>
  <c r="O218" i="19"/>
  <c r="U218" i="19" s="1"/>
  <c r="Z218" i="19" s="1"/>
  <c r="O219" i="19"/>
  <c r="U219" i="19" s="1"/>
  <c r="Z219" i="19" s="1"/>
  <c r="O220" i="19"/>
  <c r="U220" i="19" s="1"/>
  <c r="Z220" i="19" s="1"/>
  <c r="O240" i="19"/>
  <c r="U240" i="19" s="1"/>
  <c r="Z240" i="19" s="1"/>
  <c r="O241" i="19"/>
  <c r="U241" i="19" s="1"/>
  <c r="Z241" i="19" s="1"/>
  <c r="O242" i="19"/>
  <c r="U242" i="19" s="1"/>
  <c r="Z242" i="19" s="1"/>
  <c r="O213" i="19"/>
  <c r="U213" i="19" s="1"/>
  <c r="O214" i="19"/>
  <c r="U214" i="19" s="1"/>
  <c r="Z214" i="19" s="1"/>
  <c r="O215" i="19"/>
  <c r="U215" i="19" s="1"/>
  <c r="Z215" i="19" s="1"/>
  <c r="O216" i="19"/>
  <c r="U216" i="19" s="1"/>
  <c r="Z216" i="19" s="1"/>
  <c r="O226" i="19"/>
  <c r="U226" i="19" s="1"/>
  <c r="Z226" i="19" s="1"/>
  <c r="O236" i="19"/>
  <c r="U236" i="19" s="1"/>
  <c r="Z236" i="19" s="1"/>
  <c r="O238" i="19"/>
  <c r="U238" i="19" s="1"/>
  <c r="Z238" i="19" s="1"/>
  <c r="O237" i="19"/>
  <c r="U237" i="19" s="1"/>
  <c r="Z237" i="19" s="1"/>
  <c r="O233" i="19"/>
  <c r="U233" i="19" s="1"/>
  <c r="Z233" i="19" s="1"/>
  <c r="O227" i="17"/>
  <c r="U227" i="17" s="1"/>
  <c r="Z227" i="17" s="1"/>
  <c r="O232" i="17"/>
  <c r="U232" i="17" s="1"/>
  <c r="Z232" i="17" s="1"/>
  <c r="O242" i="17"/>
  <c r="U242" i="17" s="1"/>
  <c r="Z242" i="17" s="1"/>
  <c r="O224" i="17"/>
  <c r="U224" i="17" s="1"/>
  <c r="Z224" i="17" s="1"/>
  <c r="O226" i="17"/>
  <c r="U226" i="17" s="1"/>
  <c r="Z226" i="17" s="1"/>
  <c r="O216" i="17"/>
  <c r="U216" i="17" s="1"/>
  <c r="Z216" i="17" s="1"/>
  <c r="O219" i="17"/>
  <c r="U219" i="17" s="1"/>
  <c r="Z219" i="17" s="1"/>
  <c r="O217" i="17"/>
  <c r="U217" i="17" s="1"/>
  <c r="Z217" i="17" s="1"/>
  <c r="O218" i="17"/>
  <c r="U218" i="17" s="1"/>
  <c r="Z218" i="17" s="1"/>
  <c r="O223" i="17"/>
  <c r="U223" i="17" s="1"/>
  <c r="Z223" i="17" s="1"/>
  <c r="O215" i="17"/>
  <c r="U215" i="17" s="1"/>
  <c r="Z215" i="17" s="1"/>
  <c r="O222" i="17"/>
  <c r="U222" i="17" s="1"/>
  <c r="Z222" i="17" s="1"/>
  <c r="O235" i="17"/>
  <c r="U235" i="17" s="1"/>
  <c r="Z235" i="17" s="1"/>
  <c r="O214" i="17"/>
  <c r="U214" i="17" s="1"/>
  <c r="Z214" i="17" s="1"/>
  <c r="O238" i="17"/>
  <c r="U238" i="17" s="1"/>
  <c r="Z238" i="17" s="1"/>
  <c r="O239" i="17"/>
  <c r="U239" i="17" s="1"/>
  <c r="Z239" i="17" s="1"/>
  <c r="O220" i="17"/>
  <c r="U220" i="17" s="1"/>
  <c r="Z220" i="17" s="1"/>
  <c r="O221" i="17"/>
  <c r="U221" i="17" s="1"/>
  <c r="Z221" i="17" s="1"/>
  <c r="O229" i="17"/>
  <c r="U229" i="17" s="1"/>
  <c r="Z229" i="17" s="1"/>
  <c r="O230" i="17"/>
  <c r="U230" i="17" s="1"/>
  <c r="Z230" i="17" s="1"/>
  <c r="O233" i="17"/>
  <c r="U233" i="17" s="1"/>
  <c r="Z233" i="17" s="1"/>
  <c r="O234" i="17"/>
  <c r="U234" i="17" s="1"/>
  <c r="Z234" i="17" s="1"/>
  <c r="O236" i="17"/>
  <c r="U236" i="17" s="1"/>
  <c r="Z236" i="17" s="1"/>
  <c r="O237" i="17"/>
  <c r="U237" i="17" s="1"/>
  <c r="Z237" i="17" s="1"/>
  <c r="O240" i="17"/>
  <c r="U240" i="17" s="1"/>
  <c r="Z240" i="17" s="1"/>
  <c r="O241" i="17"/>
  <c r="U241" i="17" s="1"/>
  <c r="Z241" i="17" s="1"/>
  <c r="O213" i="17"/>
  <c r="U213" i="17" s="1"/>
  <c r="O225" i="17"/>
  <c r="U225" i="17" s="1"/>
  <c r="Z225" i="17" s="1"/>
  <c r="O228" i="17"/>
  <c r="U228" i="17" s="1"/>
  <c r="Z228" i="17" s="1"/>
  <c r="O231" i="17"/>
  <c r="U231" i="17" s="1"/>
  <c r="Z231" i="17" s="1"/>
  <c r="O217" i="16"/>
  <c r="U217" i="16" s="1"/>
  <c r="Z217" i="16" s="1"/>
  <c r="O222" i="16"/>
  <c r="U222" i="16" s="1"/>
  <c r="Z222" i="16" s="1"/>
  <c r="O229" i="16"/>
  <c r="U229" i="16" s="1"/>
  <c r="Z229" i="16" s="1"/>
  <c r="O235" i="16"/>
  <c r="U235" i="16" s="1"/>
  <c r="Z235" i="16" s="1"/>
  <c r="O237" i="16"/>
  <c r="U237" i="16" s="1"/>
  <c r="Z237" i="16" s="1"/>
  <c r="O239" i="9"/>
  <c r="U239" i="9" s="1"/>
  <c r="Z239" i="9" s="1"/>
  <c r="O240" i="9"/>
  <c r="U240" i="9" s="1"/>
  <c r="Z240" i="9" s="1"/>
  <c r="O241" i="9"/>
  <c r="U241" i="9" s="1"/>
  <c r="Z241" i="9" s="1"/>
  <c r="O221" i="16"/>
  <c r="U221" i="16" s="1"/>
  <c r="Z221" i="16" s="1"/>
  <c r="O227" i="16"/>
  <c r="U227" i="16" s="1"/>
  <c r="Z227" i="16" s="1"/>
  <c r="O228" i="16"/>
  <c r="U228" i="16" s="1"/>
  <c r="Z228" i="16" s="1"/>
  <c r="O236" i="16"/>
  <c r="U236" i="16" s="1"/>
  <c r="Z236" i="16" s="1"/>
  <c r="O238" i="16"/>
  <c r="U238" i="16" s="1"/>
  <c r="Z238" i="16" s="1"/>
  <c r="O225" i="16"/>
  <c r="U225" i="16" s="1"/>
  <c r="Z225" i="16" s="1"/>
  <c r="O240" i="16"/>
  <c r="U240" i="16" s="1"/>
  <c r="Z240" i="16" s="1"/>
  <c r="O213" i="16"/>
  <c r="U213" i="16" s="1"/>
  <c r="O214" i="16"/>
  <c r="U214" i="16" s="1"/>
  <c r="Z214" i="16" s="1"/>
  <c r="O216" i="16"/>
  <c r="U216" i="16" s="1"/>
  <c r="Z216" i="16" s="1"/>
  <c r="O224" i="16"/>
  <c r="U224" i="16" s="1"/>
  <c r="Z224" i="16" s="1"/>
  <c r="O232" i="16"/>
  <c r="U232" i="16" s="1"/>
  <c r="Z232" i="16" s="1"/>
  <c r="O242" i="16"/>
  <c r="U242" i="16" s="1"/>
  <c r="Z242" i="16" s="1"/>
  <c r="O235" i="9"/>
  <c r="U235" i="9" s="1"/>
  <c r="Z235" i="9" s="1"/>
  <c r="O230" i="16"/>
  <c r="U230" i="16" s="1"/>
  <c r="Z230" i="16" s="1"/>
  <c r="O231" i="16"/>
  <c r="U231" i="16" s="1"/>
  <c r="Z231" i="16" s="1"/>
  <c r="O215" i="16"/>
  <c r="U215" i="16" s="1"/>
  <c r="Z215" i="16" s="1"/>
  <c r="O223" i="16"/>
  <c r="U223" i="16" s="1"/>
  <c r="Z223" i="16" s="1"/>
  <c r="O236" i="9"/>
  <c r="U236" i="9" s="1"/>
  <c r="Z236" i="9" s="1"/>
  <c r="O219" i="16"/>
  <c r="U219" i="16" s="1"/>
  <c r="Z219" i="16" s="1"/>
  <c r="O237" i="9"/>
  <c r="U237" i="9" s="1"/>
  <c r="Z237" i="9" s="1"/>
  <c r="O218" i="16"/>
  <c r="U218" i="16" s="1"/>
  <c r="Z218" i="16" s="1"/>
  <c r="O239" i="16"/>
  <c r="U239" i="16" s="1"/>
  <c r="Z239" i="16" s="1"/>
  <c r="O226" i="16"/>
  <c r="U226" i="16" s="1"/>
  <c r="Z226" i="16" s="1"/>
  <c r="O233" i="16"/>
  <c r="U233" i="16" s="1"/>
  <c r="Z233" i="16" s="1"/>
  <c r="O234" i="16"/>
  <c r="U234" i="16" s="1"/>
  <c r="Z234" i="16" s="1"/>
  <c r="O242" i="9"/>
  <c r="U242" i="9" s="1"/>
  <c r="Z242" i="9" s="1"/>
  <c r="O238" i="9"/>
  <c r="U238" i="9" s="1"/>
  <c r="Z238" i="9" s="1"/>
  <c r="O241" i="16"/>
  <c r="U241" i="16" s="1"/>
  <c r="Z241" i="16" s="1"/>
  <c r="O220" i="16"/>
  <c r="U220" i="16" s="1"/>
  <c r="Z220" i="16" s="1"/>
  <c r="AC193" i="9"/>
  <c r="AD193" i="9"/>
  <c r="AC197" i="9"/>
  <c r="AD197" i="9"/>
  <c r="AD211" i="9"/>
  <c r="AC211" i="9"/>
  <c r="AD208" i="9"/>
  <c r="AC208" i="9"/>
  <c r="AC194" i="16"/>
  <c r="AD194" i="16"/>
  <c r="AC192" i="16"/>
  <c r="AD192" i="16"/>
  <c r="AD198" i="16"/>
  <c r="AC198" i="16"/>
  <c r="AC211" i="17"/>
  <c r="AD211" i="17"/>
  <c r="AC204" i="17"/>
  <c r="AD204" i="17"/>
  <c r="AD197" i="17"/>
  <c r="AC197" i="17"/>
  <c r="AD196" i="17"/>
  <c r="AC196" i="17"/>
  <c r="AD203" i="19"/>
  <c r="AC203" i="19"/>
  <c r="AD201" i="19"/>
  <c r="AC201" i="19"/>
  <c r="AC197" i="19"/>
  <c r="AD197" i="19"/>
  <c r="AC199" i="19"/>
  <c r="AD199" i="19"/>
  <c r="AD192" i="9"/>
  <c r="AC192" i="9"/>
  <c r="AD188" i="9"/>
  <c r="AC188" i="9"/>
  <c r="AD209" i="9"/>
  <c r="AC209" i="9"/>
  <c r="AC206" i="9"/>
  <c r="AD206" i="9"/>
  <c r="AC212" i="16"/>
  <c r="AD212" i="16"/>
  <c r="AD191" i="16"/>
  <c r="AC191" i="16"/>
  <c r="AC195" i="16"/>
  <c r="AD195" i="16"/>
  <c r="AD203" i="17"/>
  <c r="AC203" i="17"/>
  <c r="AD195" i="17"/>
  <c r="AC195" i="17"/>
  <c r="AC190" i="17"/>
  <c r="AD190" i="17"/>
  <c r="AC209" i="19"/>
  <c r="AD209" i="19"/>
  <c r="AC198" i="19"/>
  <c r="AD198" i="19"/>
  <c r="AD193" i="19"/>
  <c r="AC193" i="19"/>
  <c r="AC196" i="19"/>
  <c r="AD196" i="19"/>
  <c r="AD191" i="19"/>
  <c r="AC191" i="19"/>
  <c r="AC207" i="9"/>
  <c r="AD207" i="9"/>
  <c r="AC196" i="16"/>
  <c r="AD196" i="16"/>
  <c r="AC209" i="16"/>
  <c r="AD209" i="16"/>
  <c r="AC197" i="16"/>
  <c r="AD197" i="16"/>
  <c r="AC189" i="16"/>
  <c r="AD189" i="16"/>
  <c r="AC194" i="17"/>
  <c r="AD194" i="17"/>
  <c r="AC191" i="17"/>
  <c r="AD191" i="17"/>
  <c r="AD212" i="17"/>
  <c r="AC212" i="17"/>
  <c r="AD199" i="17"/>
  <c r="AC199" i="17"/>
  <c r="AC192" i="19"/>
  <c r="AD192" i="19"/>
  <c r="AD212" i="19"/>
  <c r="AC212" i="19"/>
  <c r="AC194" i="19"/>
  <c r="AD194" i="19"/>
  <c r="AC185" i="9"/>
  <c r="AD185" i="9"/>
  <c r="AD184" i="9"/>
  <c r="AC184" i="9"/>
  <c r="AD204" i="9"/>
  <c r="AC204" i="9"/>
  <c r="AD186" i="9"/>
  <c r="AC186" i="9"/>
  <c r="AC196" i="9"/>
  <c r="AD196" i="9"/>
  <c r="AD194" i="9"/>
  <c r="AC194" i="9"/>
  <c r="AC187" i="9"/>
  <c r="AD187" i="9"/>
  <c r="AD205" i="9"/>
  <c r="AC205" i="9"/>
  <c r="AC206" i="16"/>
  <c r="AD206" i="16"/>
  <c r="AD205" i="16"/>
  <c r="AC205" i="16"/>
  <c r="AD188" i="16"/>
  <c r="AC188" i="16"/>
  <c r="AC186" i="16"/>
  <c r="AD186" i="16"/>
  <c r="AD187" i="17"/>
  <c r="AC187" i="17"/>
  <c r="AC188" i="17"/>
  <c r="AD188" i="17"/>
  <c r="AD209" i="17"/>
  <c r="AC209" i="17"/>
  <c r="AD193" i="17"/>
  <c r="AC193" i="17"/>
  <c r="AC190" i="19"/>
  <c r="AD190" i="19"/>
  <c r="AD210" i="19"/>
  <c r="AC210" i="19"/>
  <c r="AC187" i="19"/>
  <c r="AD187" i="19"/>
  <c r="AD211" i="19"/>
  <c r="AC211" i="19"/>
  <c r="AC204" i="19"/>
  <c r="AD204" i="19"/>
  <c r="AC185" i="19"/>
  <c r="AD185" i="19"/>
  <c r="K19" i="13"/>
  <c r="I19" i="13"/>
  <c r="O233" i="9"/>
  <c r="U233" i="9" s="1"/>
  <c r="Z233" i="9" s="1"/>
  <c r="O225" i="9"/>
  <c r="U225" i="9" s="1"/>
  <c r="Z225" i="9" s="1"/>
  <c r="O234" i="9"/>
  <c r="U234" i="9" s="1"/>
  <c r="Z234" i="9" s="1"/>
  <c r="O226" i="9"/>
  <c r="U226" i="9" s="1"/>
  <c r="Z226" i="9" s="1"/>
  <c r="O227" i="9"/>
  <c r="U227" i="9" s="1"/>
  <c r="Z227" i="9" s="1"/>
  <c r="O219" i="9"/>
  <c r="U219" i="9" s="1"/>
  <c r="Z219" i="9" s="1"/>
  <c r="O232" i="9"/>
  <c r="U232" i="9" s="1"/>
  <c r="Z232" i="9" s="1"/>
  <c r="O218" i="9"/>
  <c r="U218" i="9" s="1"/>
  <c r="Z218" i="9" s="1"/>
  <c r="O213" i="9"/>
  <c r="U213" i="9" s="1"/>
  <c r="O231" i="9"/>
  <c r="U231" i="9" s="1"/>
  <c r="Z231" i="9" s="1"/>
  <c r="O221" i="9"/>
  <c r="U221" i="9" s="1"/>
  <c r="Z221" i="9" s="1"/>
  <c r="O216" i="9"/>
  <c r="U216" i="9" s="1"/>
  <c r="Z216" i="9" s="1"/>
  <c r="O230" i="9"/>
  <c r="U230" i="9" s="1"/>
  <c r="Z230" i="9" s="1"/>
  <c r="O229" i="9"/>
  <c r="U229" i="9" s="1"/>
  <c r="Z229" i="9" s="1"/>
  <c r="O228" i="9"/>
  <c r="U228" i="9" s="1"/>
  <c r="Z228" i="9" s="1"/>
  <c r="O224" i="9"/>
  <c r="U224" i="9" s="1"/>
  <c r="Z224" i="9" s="1"/>
  <c r="O223" i="9"/>
  <c r="U223" i="9" s="1"/>
  <c r="Z223" i="9" s="1"/>
  <c r="O214" i="9"/>
  <c r="U214" i="9" s="1"/>
  <c r="Z214" i="9" s="1"/>
  <c r="O222" i="9"/>
  <c r="U222" i="9" s="1"/>
  <c r="Z222" i="9" s="1"/>
  <c r="O220" i="9"/>
  <c r="U220" i="9" s="1"/>
  <c r="Z220" i="9" s="1"/>
  <c r="O215" i="9"/>
  <c r="U215" i="9" s="1"/>
  <c r="Z215" i="9" s="1"/>
  <c r="O217" i="9"/>
  <c r="U217" i="9" s="1"/>
  <c r="Z217" i="9" s="1"/>
  <c r="J13" i="4"/>
  <c r="I14" i="4"/>
  <c r="M15" i="13" l="1"/>
  <c r="L14" i="13"/>
  <c r="AD75" i="25"/>
  <c r="M16" i="13" s="1"/>
  <c r="L16" i="13"/>
  <c r="M14" i="13"/>
  <c r="AD183" i="25"/>
  <c r="M20" i="13" s="1"/>
  <c r="Z213" i="25"/>
  <c r="AD213" i="25" s="1"/>
  <c r="D91" i="11"/>
  <c r="I91" i="11" s="1"/>
  <c r="O271" i="25"/>
  <c r="U271" i="25" s="1"/>
  <c r="Z271" i="25" s="1"/>
  <c r="O263" i="25"/>
  <c r="U263" i="25" s="1"/>
  <c r="Z263" i="25" s="1"/>
  <c r="O255" i="25"/>
  <c r="U255" i="25" s="1"/>
  <c r="Z255" i="25" s="1"/>
  <c r="O247" i="25"/>
  <c r="U247" i="25" s="1"/>
  <c r="Z247" i="25" s="1"/>
  <c r="O269" i="25"/>
  <c r="U269" i="25" s="1"/>
  <c r="Z269" i="25" s="1"/>
  <c r="O268" i="25"/>
  <c r="U268" i="25" s="1"/>
  <c r="Z268" i="25" s="1"/>
  <c r="O260" i="25"/>
  <c r="U260" i="25" s="1"/>
  <c r="Z260" i="25" s="1"/>
  <c r="O252" i="25"/>
  <c r="U252" i="25" s="1"/>
  <c r="Z252" i="25" s="1"/>
  <c r="O244" i="25"/>
  <c r="U244" i="25" s="1"/>
  <c r="Z244" i="25" s="1"/>
  <c r="O267" i="25"/>
  <c r="U267" i="25" s="1"/>
  <c r="Z267" i="25" s="1"/>
  <c r="O259" i="25"/>
  <c r="U259" i="25" s="1"/>
  <c r="Z259" i="25" s="1"/>
  <c r="O270" i="25"/>
  <c r="U270" i="25" s="1"/>
  <c r="Z270" i="25" s="1"/>
  <c r="O262" i="25"/>
  <c r="U262" i="25" s="1"/>
  <c r="Z262" i="25" s="1"/>
  <c r="O258" i="25"/>
  <c r="U258" i="25" s="1"/>
  <c r="Z258" i="25" s="1"/>
  <c r="O256" i="25"/>
  <c r="U256" i="25" s="1"/>
  <c r="Z256" i="25" s="1"/>
  <c r="O254" i="25"/>
  <c r="U254" i="25" s="1"/>
  <c r="Z254" i="25" s="1"/>
  <c r="O272" i="25"/>
  <c r="U272" i="25" s="1"/>
  <c r="Z272" i="25" s="1"/>
  <c r="O265" i="25"/>
  <c r="U265" i="25" s="1"/>
  <c r="Z265" i="25" s="1"/>
  <c r="O264" i="25"/>
  <c r="U264" i="25" s="1"/>
  <c r="Z264" i="25" s="1"/>
  <c r="O249" i="25"/>
  <c r="U249" i="25" s="1"/>
  <c r="Z249" i="25" s="1"/>
  <c r="O243" i="25"/>
  <c r="U243" i="25" s="1"/>
  <c r="O261" i="25"/>
  <c r="U261" i="25" s="1"/>
  <c r="Z261" i="25" s="1"/>
  <c r="O251" i="25"/>
  <c r="U251" i="25" s="1"/>
  <c r="Z251" i="25" s="1"/>
  <c r="O257" i="25"/>
  <c r="U257" i="25" s="1"/>
  <c r="Z257" i="25" s="1"/>
  <c r="O253" i="25"/>
  <c r="U253" i="25" s="1"/>
  <c r="Z253" i="25" s="1"/>
  <c r="O246" i="25"/>
  <c r="U246" i="25" s="1"/>
  <c r="Z246" i="25" s="1"/>
  <c r="O245" i="25"/>
  <c r="U245" i="25" s="1"/>
  <c r="Z245" i="25" s="1"/>
  <c r="O248" i="25"/>
  <c r="U248" i="25" s="1"/>
  <c r="Z248" i="25" s="1"/>
  <c r="O266" i="25"/>
  <c r="U266" i="25" s="1"/>
  <c r="Z266" i="25" s="1"/>
  <c r="O250" i="25"/>
  <c r="U250" i="25" s="1"/>
  <c r="Z250" i="25" s="1"/>
  <c r="AD216" i="25"/>
  <c r="AC216" i="25"/>
  <c r="AD239" i="25"/>
  <c r="AC239" i="25"/>
  <c r="AC242" i="25"/>
  <c r="AD242" i="25"/>
  <c r="AD237" i="25"/>
  <c r="AC237" i="25"/>
  <c r="AC218" i="25"/>
  <c r="AD218" i="25"/>
  <c r="AD223" i="25"/>
  <c r="AC223" i="25"/>
  <c r="AD220" i="25"/>
  <c r="AC220" i="25"/>
  <c r="AC230" i="25"/>
  <c r="AD230" i="25"/>
  <c r="AD215" i="25"/>
  <c r="AC215" i="25"/>
  <c r="AC222" i="25"/>
  <c r="AD222" i="25"/>
  <c r="AD240" i="25"/>
  <c r="AC240" i="25"/>
  <c r="AD225" i="25"/>
  <c r="AC225" i="25"/>
  <c r="AD228" i="25"/>
  <c r="AC228" i="25"/>
  <c r="AD238" i="25"/>
  <c r="AC238" i="25"/>
  <c r="AD219" i="25"/>
  <c r="AC219" i="25"/>
  <c r="AD235" i="25"/>
  <c r="AC235" i="25"/>
  <c r="AD217" i="25"/>
  <c r="AC217" i="25"/>
  <c r="AD233" i="25"/>
  <c r="AC233" i="25"/>
  <c r="AD236" i="25"/>
  <c r="AC236" i="25"/>
  <c r="AD224" i="25"/>
  <c r="AC224" i="25"/>
  <c r="AD241" i="25"/>
  <c r="AC241" i="25"/>
  <c r="AD231" i="25"/>
  <c r="AC231" i="25"/>
  <c r="AD232" i="25"/>
  <c r="AC232" i="25"/>
  <c r="AC226" i="25"/>
  <c r="AD226" i="25"/>
  <c r="AD221" i="25"/>
  <c r="AC221" i="25"/>
  <c r="AD214" i="25"/>
  <c r="AC214" i="25"/>
  <c r="AD227" i="25"/>
  <c r="AC227" i="25"/>
  <c r="AC234" i="25"/>
  <c r="AD234" i="25"/>
  <c r="AD229" i="25"/>
  <c r="AC229" i="25"/>
  <c r="AD183" i="9"/>
  <c r="E20" i="13" s="1"/>
  <c r="E19" i="13"/>
  <c r="AC183" i="17"/>
  <c r="Z213" i="9"/>
  <c r="AC213" i="9" s="1"/>
  <c r="D11" i="11"/>
  <c r="I11" i="11" s="1"/>
  <c r="AC183" i="16"/>
  <c r="Z213" i="17"/>
  <c r="AC213" i="17" s="1"/>
  <c r="D51" i="11"/>
  <c r="I51" i="11" s="1"/>
  <c r="D71" i="11"/>
  <c r="I71" i="11" s="1"/>
  <c r="Z213" i="16"/>
  <c r="AD213" i="16" s="1"/>
  <c r="D31" i="11"/>
  <c r="I31" i="11" s="1"/>
  <c r="AD183" i="19"/>
  <c r="Z213" i="19"/>
  <c r="AD213" i="19" s="1"/>
  <c r="AD230" i="9"/>
  <c r="AC230" i="9"/>
  <c r="AC220" i="16"/>
  <c r="AD220" i="16"/>
  <c r="AC218" i="16"/>
  <c r="AD218" i="16"/>
  <c r="AC235" i="9"/>
  <c r="AD235" i="9"/>
  <c r="AD225" i="16"/>
  <c r="AC225" i="16"/>
  <c r="AC239" i="9"/>
  <c r="AD239" i="9"/>
  <c r="AD225" i="17"/>
  <c r="AC225" i="17"/>
  <c r="AD230" i="17"/>
  <c r="AC230" i="17"/>
  <c r="AC222" i="17"/>
  <c r="AD222" i="17"/>
  <c r="AC224" i="17"/>
  <c r="AD224" i="17"/>
  <c r="AD226" i="19"/>
  <c r="AC226" i="19"/>
  <c r="AD220" i="19"/>
  <c r="AC220" i="19"/>
  <c r="AC222" i="19"/>
  <c r="AD222" i="19"/>
  <c r="AD228" i="19"/>
  <c r="AC228" i="19"/>
  <c r="AD239" i="16"/>
  <c r="AC239" i="16"/>
  <c r="AD222" i="9"/>
  <c r="AC222" i="9"/>
  <c r="AD221" i="9"/>
  <c r="AC221" i="9"/>
  <c r="AD234" i="9"/>
  <c r="AC234" i="9"/>
  <c r="AC214" i="9"/>
  <c r="AD214" i="9"/>
  <c r="AD231" i="9"/>
  <c r="AC231" i="9"/>
  <c r="AD225" i="9"/>
  <c r="AC225" i="9"/>
  <c r="AC241" i="16"/>
  <c r="AD241" i="16"/>
  <c r="AC237" i="9"/>
  <c r="AD237" i="9"/>
  <c r="AC242" i="16"/>
  <c r="AD242" i="16"/>
  <c r="AD238" i="16"/>
  <c r="AC238" i="16"/>
  <c r="AC237" i="16"/>
  <c r="AD237" i="16"/>
  <c r="AD229" i="17"/>
  <c r="AC229" i="17"/>
  <c r="AD215" i="17"/>
  <c r="AC215" i="17"/>
  <c r="AD242" i="17"/>
  <c r="AC242" i="17"/>
  <c r="AD216" i="19"/>
  <c r="AC216" i="19"/>
  <c r="AC219" i="19"/>
  <c r="AD219" i="19"/>
  <c r="AC221" i="19"/>
  <c r="AD221" i="19"/>
  <c r="AD227" i="19"/>
  <c r="AC227" i="19"/>
  <c r="AD217" i="9"/>
  <c r="AC217" i="9"/>
  <c r="AD223" i="9"/>
  <c r="AC223" i="9"/>
  <c r="AD233" i="9"/>
  <c r="AC233" i="9"/>
  <c r="AC238" i="9"/>
  <c r="AD238" i="9"/>
  <c r="AC219" i="16"/>
  <c r="AD219" i="16"/>
  <c r="AC232" i="16"/>
  <c r="AD232" i="16"/>
  <c r="AD236" i="16"/>
  <c r="AC236" i="16"/>
  <c r="AD235" i="16"/>
  <c r="AC235" i="16"/>
  <c r="AC241" i="17"/>
  <c r="AD241" i="17"/>
  <c r="AD221" i="17"/>
  <c r="AC221" i="17"/>
  <c r="AD223" i="17"/>
  <c r="AC223" i="17"/>
  <c r="AC232" i="17"/>
  <c r="AD232" i="17"/>
  <c r="AD215" i="19"/>
  <c r="AC215" i="19"/>
  <c r="AC218" i="19"/>
  <c r="AD218" i="19"/>
  <c r="AC239" i="19"/>
  <c r="AD239" i="19"/>
  <c r="G20" i="13"/>
  <c r="AD242" i="9"/>
  <c r="AC242" i="9"/>
  <c r="AC236" i="9"/>
  <c r="AD236" i="9"/>
  <c r="AD224" i="16"/>
  <c r="AC224" i="16"/>
  <c r="AC228" i="16"/>
  <c r="AD228" i="16"/>
  <c r="AD229" i="16"/>
  <c r="AC229" i="16"/>
  <c r="AD240" i="17"/>
  <c r="AC240" i="17"/>
  <c r="AC220" i="17"/>
  <c r="AD220" i="17"/>
  <c r="AC218" i="17"/>
  <c r="AD218" i="17"/>
  <c r="AD227" i="17"/>
  <c r="AC227" i="17"/>
  <c r="AC214" i="19"/>
  <c r="AD214" i="19"/>
  <c r="AC231" i="19"/>
  <c r="AD231" i="19"/>
  <c r="AD232" i="19"/>
  <c r="AC232" i="19"/>
  <c r="O247" i="19"/>
  <c r="U247" i="19" s="1"/>
  <c r="Z247" i="19" s="1"/>
  <c r="O251" i="19"/>
  <c r="U251" i="19" s="1"/>
  <c r="Z251" i="19" s="1"/>
  <c r="O259" i="19"/>
  <c r="U259" i="19" s="1"/>
  <c r="Z259" i="19" s="1"/>
  <c r="O263" i="19"/>
  <c r="U263" i="19" s="1"/>
  <c r="Z263" i="19" s="1"/>
  <c r="O265" i="19"/>
  <c r="U265" i="19" s="1"/>
  <c r="Z265" i="19" s="1"/>
  <c r="O267" i="19"/>
  <c r="U267" i="19" s="1"/>
  <c r="Z267" i="19" s="1"/>
  <c r="O243" i="19"/>
  <c r="U243" i="19" s="1"/>
  <c r="O261" i="19"/>
  <c r="U261" i="19" s="1"/>
  <c r="Z261" i="19" s="1"/>
  <c r="O262" i="19"/>
  <c r="U262" i="19" s="1"/>
  <c r="Z262" i="19" s="1"/>
  <c r="O269" i="19"/>
  <c r="U269" i="19" s="1"/>
  <c r="Z269" i="19" s="1"/>
  <c r="O258" i="19"/>
  <c r="U258" i="19" s="1"/>
  <c r="Z258" i="19" s="1"/>
  <c r="O266" i="19"/>
  <c r="U266" i="19" s="1"/>
  <c r="Z266" i="19" s="1"/>
  <c r="O257" i="19"/>
  <c r="U257" i="19" s="1"/>
  <c r="Z257" i="19" s="1"/>
  <c r="O255" i="19"/>
  <c r="U255" i="19" s="1"/>
  <c r="Z255" i="19" s="1"/>
  <c r="O256" i="19"/>
  <c r="U256" i="19" s="1"/>
  <c r="Z256" i="19" s="1"/>
  <c r="O270" i="19"/>
  <c r="U270" i="19" s="1"/>
  <c r="Z270" i="19" s="1"/>
  <c r="O246" i="19"/>
  <c r="U246" i="19" s="1"/>
  <c r="Z246" i="19" s="1"/>
  <c r="O254" i="19"/>
  <c r="U254" i="19" s="1"/>
  <c r="Z254" i="19" s="1"/>
  <c r="O245" i="19"/>
  <c r="U245" i="19" s="1"/>
  <c r="Z245" i="19" s="1"/>
  <c r="O249" i="19"/>
  <c r="U249" i="19" s="1"/>
  <c r="Z249" i="19" s="1"/>
  <c r="O250" i="19"/>
  <c r="U250" i="19" s="1"/>
  <c r="Z250" i="19" s="1"/>
  <c r="O253" i="19"/>
  <c r="U253" i="19" s="1"/>
  <c r="Z253" i="19" s="1"/>
  <c r="O264" i="19"/>
  <c r="U264" i="19" s="1"/>
  <c r="Z264" i="19" s="1"/>
  <c r="O260" i="19"/>
  <c r="U260" i="19" s="1"/>
  <c r="Z260" i="19" s="1"/>
  <c r="O268" i="19"/>
  <c r="U268" i="19" s="1"/>
  <c r="Z268" i="19" s="1"/>
  <c r="O244" i="19"/>
  <c r="U244" i="19" s="1"/>
  <c r="Z244" i="19" s="1"/>
  <c r="O272" i="19"/>
  <c r="U272" i="19" s="1"/>
  <c r="Z272" i="19" s="1"/>
  <c r="O271" i="19"/>
  <c r="U271" i="19" s="1"/>
  <c r="Z271" i="19" s="1"/>
  <c r="O248" i="19"/>
  <c r="U248" i="19" s="1"/>
  <c r="Z248" i="19" s="1"/>
  <c r="O252" i="19"/>
  <c r="U252" i="19" s="1"/>
  <c r="Z252" i="19" s="1"/>
  <c r="O254" i="17"/>
  <c r="U254" i="17" s="1"/>
  <c r="Z254" i="17" s="1"/>
  <c r="O258" i="17"/>
  <c r="U258" i="17" s="1"/>
  <c r="Z258" i="17" s="1"/>
  <c r="O248" i="17"/>
  <c r="U248" i="17" s="1"/>
  <c r="Z248" i="17" s="1"/>
  <c r="O249" i="17"/>
  <c r="U249" i="17" s="1"/>
  <c r="Z249" i="17" s="1"/>
  <c r="O261" i="17"/>
  <c r="U261" i="17" s="1"/>
  <c r="Z261" i="17" s="1"/>
  <c r="O270" i="17"/>
  <c r="U270" i="17" s="1"/>
  <c r="Z270" i="17" s="1"/>
  <c r="O247" i="17"/>
  <c r="U247" i="17" s="1"/>
  <c r="Z247" i="17" s="1"/>
  <c r="O253" i="17"/>
  <c r="U253" i="17" s="1"/>
  <c r="Z253" i="17" s="1"/>
  <c r="O269" i="17"/>
  <c r="U269" i="17" s="1"/>
  <c r="Z269" i="17" s="1"/>
  <c r="O271" i="17"/>
  <c r="U271" i="17" s="1"/>
  <c r="Z271" i="17" s="1"/>
  <c r="O246" i="17"/>
  <c r="U246" i="17" s="1"/>
  <c r="Z246" i="17" s="1"/>
  <c r="O250" i="17"/>
  <c r="U250" i="17" s="1"/>
  <c r="Z250" i="17" s="1"/>
  <c r="O266" i="17"/>
  <c r="U266" i="17" s="1"/>
  <c r="Z266" i="17" s="1"/>
  <c r="O245" i="17"/>
  <c r="U245" i="17" s="1"/>
  <c r="Z245" i="17" s="1"/>
  <c r="O252" i="17"/>
  <c r="U252" i="17" s="1"/>
  <c r="Z252" i="17" s="1"/>
  <c r="O267" i="17"/>
  <c r="U267" i="17" s="1"/>
  <c r="Z267" i="17" s="1"/>
  <c r="O268" i="17"/>
  <c r="U268" i="17" s="1"/>
  <c r="Z268" i="17" s="1"/>
  <c r="O272" i="17"/>
  <c r="U272" i="17" s="1"/>
  <c r="Z272" i="17" s="1"/>
  <c r="O251" i="17"/>
  <c r="U251" i="17" s="1"/>
  <c r="Z251" i="17" s="1"/>
  <c r="O264" i="17"/>
  <c r="U264" i="17" s="1"/>
  <c r="Z264" i="17" s="1"/>
  <c r="O244" i="17"/>
  <c r="U244" i="17" s="1"/>
  <c r="Z244" i="17" s="1"/>
  <c r="O255" i="17"/>
  <c r="U255" i="17" s="1"/>
  <c r="Z255" i="17" s="1"/>
  <c r="O256" i="17"/>
  <c r="U256" i="17" s="1"/>
  <c r="Z256" i="17" s="1"/>
  <c r="O260" i="17"/>
  <c r="U260" i="17" s="1"/>
  <c r="Z260" i="17" s="1"/>
  <c r="O263" i="17"/>
  <c r="U263" i="17" s="1"/>
  <c r="Z263" i="17" s="1"/>
  <c r="O243" i="17"/>
  <c r="U243" i="17" s="1"/>
  <c r="O257" i="17"/>
  <c r="U257" i="17" s="1"/>
  <c r="Z257" i="17" s="1"/>
  <c r="O259" i="17"/>
  <c r="U259" i="17" s="1"/>
  <c r="Z259" i="17" s="1"/>
  <c r="O262" i="17"/>
  <c r="U262" i="17" s="1"/>
  <c r="Z262" i="17" s="1"/>
  <c r="O265" i="17"/>
  <c r="U265" i="17" s="1"/>
  <c r="Z265" i="17" s="1"/>
  <c r="O243" i="16"/>
  <c r="U243" i="16" s="1"/>
  <c r="O253" i="16"/>
  <c r="U253" i="16" s="1"/>
  <c r="Z253" i="16" s="1"/>
  <c r="O258" i="16"/>
  <c r="U258" i="16" s="1"/>
  <c r="Z258" i="16" s="1"/>
  <c r="O263" i="16"/>
  <c r="U263" i="16" s="1"/>
  <c r="Z263" i="16" s="1"/>
  <c r="O269" i="9"/>
  <c r="U269" i="9" s="1"/>
  <c r="Z269" i="9" s="1"/>
  <c r="O257" i="16"/>
  <c r="U257" i="16" s="1"/>
  <c r="Z257" i="16" s="1"/>
  <c r="O262" i="16"/>
  <c r="U262" i="16" s="1"/>
  <c r="Z262" i="16" s="1"/>
  <c r="O268" i="16"/>
  <c r="U268" i="16" s="1"/>
  <c r="Z268" i="16" s="1"/>
  <c r="O270" i="9"/>
  <c r="U270" i="9" s="1"/>
  <c r="Z270" i="9" s="1"/>
  <c r="O249" i="16"/>
  <c r="U249" i="16" s="1"/>
  <c r="Z249" i="16" s="1"/>
  <c r="O250" i="16"/>
  <c r="U250" i="16" s="1"/>
  <c r="Z250" i="16" s="1"/>
  <c r="O251" i="16"/>
  <c r="U251" i="16" s="1"/>
  <c r="Z251" i="16" s="1"/>
  <c r="O252" i="16"/>
  <c r="U252" i="16" s="1"/>
  <c r="Z252" i="16" s="1"/>
  <c r="O261" i="16"/>
  <c r="U261" i="16" s="1"/>
  <c r="Z261" i="16" s="1"/>
  <c r="O245" i="16"/>
  <c r="U245" i="16" s="1"/>
  <c r="Z245" i="16" s="1"/>
  <c r="O265" i="16"/>
  <c r="U265" i="16" s="1"/>
  <c r="Z265" i="16" s="1"/>
  <c r="O271" i="16"/>
  <c r="U271" i="16" s="1"/>
  <c r="Z271" i="16" s="1"/>
  <c r="O272" i="16"/>
  <c r="U272" i="16" s="1"/>
  <c r="Z272" i="16" s="1"/>
  <c r="O267" i="9"/>
  <c r="U267" i="9" s="1"/>
  <c r="Z267" i="9" s="1"/>
  <c r="O272" i="9"/>
  <c r="U272" i="9" s="1"/>
  <c r="Z272" i="9" s="1"/>
  <c r="O254" i="16"/>
  <c r="U254" i="16" s="1"/>
  <c r="Z254" i="16" s="1"/>
  <c r="O259" i="16"/>
  <c r="U259" i="16" s="1"/>
  <c r="Z259" i="16" s="1"/>
  <c r="O270" i="16"/>
  <c r="U270" i="16" s="1"/>
  <c r="Z270" i="16" s="1"/>
  <c r="O268" i="9"/>
  <c r="U268" i="9" s="1"/>
  <c r="Z268" i="9" s="1"/>
  <c r="O266" i="9"/>
  <c r="U266" i="9" s="1"/>
  <c r="Z266" i="9" s="1"/>
  <c r="O244" i="16"/>
  <c r="U244" i="16" s="1"/>
  <c r="Z244" i="16" s="1"/>
  <c r="O269" i="16"/>
  <c r="U269" i="16" s="1"/>
  <c r="Z269" i="16" s="1"/>
  <c r="O260" i="16"/>
  <c r="U260" i="16" s="1"/>
  <c r="Z260" i="16" s="1"/>
  <c r="O264" i="16"/>
  <c r="U264" i="16" s="1"/>
  <c r="Z264" i="16" s="1"/>
  <c r="O255" i="16"/>
  <c r="U255" i="16" s="1"/>
  <c r="Z255" i="16" s="1"/>
  <c r="O246" i="16"/>
  <c r="U246" i="16" s="1"/>
  <c r="Z246" i="16" s="1"/>
  <c r="O247" i="16"/>
  <c r="U247" i="16" s="1"/>
  <c r="Z247" i="16" s="1"/>
  <c r="O248" i="16"/>
  <c r="U248" i="16" s="1"/>
  <c r="Z248" i="16" s="1"/>
  <c r="O271" i="9"/>
  <c r="U271" i="9" s="1"/>
  <c r="Z271" i="9" s="1"/>
  <c r="O266" i="16"/>
  <c r="U266" i="16" s="1"/>
  <c r="Z266" i="16" s="1"/>
  <c r="O256" i="16"/>
  <c r="U256" i="16" s="1"/>
  <c r="Z256" i="16" s="1"/>
  <c r="O267" i="16"/>
  <c r="U267" i="16" s="1"/>
  <c r="Z267" i="16" s="1"/>
  <c r="O265" i="9"/>
  <c r="U265" i="9" s="1"/>
  <c r="Z265" i="9" s="1"/>
  <c r="AC228" i="9"/>
  <c r="AD228" i="9"/>
  <c r="AD232" i="9"/>
  <c r="AC232" i="9"/>
  <c r="AC234" i="16"/>
  <c r="AD234" i="16"/>
  <c r="AC223" i="16"/>
  <c r="AD223" i="16"/>
  <c r="AD216" i="16"/>
  <c r="AC216" i="16"/>
  <c r="AD227" i="16"/>
  <c r="AC227" i="16"/>
  <c r="AD222" i="16"/>
  <c r="AC222" i="16"/>
  <c r="AD237" i="17"/>
  <c r="AC237" i="17"/>
  <c r="AC239" i="17"/>
  <c r="AD239" i="17"/>
  <c r="AD217" i="17"/>
  <c r="AC217" i="17"/>
  <c r="AD233" i="19"/>
  <c r="AC233" i="19"/>
  <c r="AC230" i="19"/>
  <c r="AD230" i="19"/>
  <c r="AD217" i="19"/>
  <c r="AC217" i="19"/>
  <c r="AD224" i="9"/>
  <c r="AC224" i="9"/>
  <c r="AD229" i="9"/>
  <c r="AC229" i="9"/>
  <c r="AD219" i="9"/>
  <c r="AC219" i="9"/>
  <c r="AC233" i="16"/>
  <c r="AD233" i="16"/>
  <c r="AC215" i="16"/>
  <c r="AD215" i="16"/>
  <c r="AD214" i="16"/>
  <c r="AC214" i="16"/>
  <c r="AD221" i="16"/>
  <c r="AC221" i="16"/>
  <c r="AC217" i="16"/>
  <c r="AD217" i="16"/>
  <c r="AC236" i="17"/>
  <c r="AD236" i="17"/>
  <c r="AC238" i="17"/>
  <c r="AD238" i="17"/>
  <c r="AC219" i="17"/>
  <c r="AD219" i="17"/>
  <c r="AC237" i="19"/>
  <c r="AD237" i="19"/>
  <c r="AD242" i="19"/>
  <c r="AC242" i="19"/>
  <c r="AD225" i="19"/>
  <c r="AC225" i="19"/>
  <c r="AC235" i="19"/>
  <c r="AD235" i="19"/>
  <c r="AD226" i="16"/>
  <c r="AC226" i="16"/>
  <c r="AC231" i="16"/>
  <c r="AD231" i="16"/>
  <c r="AC241" i="9"/>
  <c r="AD241" i="9"/>
  <c r="AD231" i="17"/>
  <c r="AC231" i="17"/>
  <c r="AC234" i="17"/>
  <c r="AD234" i="17"/>
  <c r="AC214" i="17"/>
  <c r="AD214" i="17"/>
  <c r="AD216" i="17"/>
  <c r="AC216" i="17"/>
  <c r="AC238" i="19"/>
  <c r="AD238" i="19"/>
  <c r="AD241" i="19"/>
  <c r="AC241" i="19"/>
  <c r="AD224" i="19"/>
  <c r="AC224" i="19"/>
  <c r="AC234" i="19"/>
  <c r="AD234" i="19"/>
  <c r="AC218" i="9"/>
  <c r="AD218" i="9"/>
  <c r="AD215" i="9"/>
  <c r="AC215" i="9"/>
  <c r="AC227" i="9"/>
  <c r="AD227" i="9"/>
  <c r="AC220" i="9"/>
  <c r="AD220" i="9"/>
  <c r="AC216" i="9"/>
  <c r="AD216" i="9"/>
  <c r="AC226" i="9"/>
  <c r="AD226" i="9"/>
  <c r="AC230" i="16"/>
  <c r="AD230" i="16"/>
  <c r="AC240" i="16"/>
  <c r="AD240" i="16"/>
  <c r="AC240" i="9"/>
  <c r="AD240" i="9"/>
  <c r="AD228" i="17"/>
  <c r="AC228" i="17"/>
  <c r="AD233" i="17"/>
  <c r="AC233" i="17"/>
  <c r="AC235" i="17"/>
  <c r="AD235" i="17"/>
  <c r="AC226" i="17"/>
  <c r="AD226" i="17"/>
  <c r="AC236" i="19"/>
  <c r="AD236" i="19"/>
  <c r="AC240" i="19"/>
  <c r="AD240" i="19"/>
  <c r="AD223" i="19"/>
  <c r="AC223" i="19"/>
  <c r="AD229" i="19"/>
  <c r="AC229" i="19"/>
  <c r="I20" i="13"/>
  <c r="I15" i="4"/>
  <c r="J14" i="4"/>
  <c r="O264" i="9"/>
  <c r="U264" i="9" s="1"/>
  <c r="Z264" i="9" s="1"/>
  <c r="O256" i="9"/>
  <c r="U256" i="9" s="1"/>
  <c r="Z256" i="9" s="1"/>
  <c r="O248" i="9"/>
  <c r="U248" i="9" s="1"/>
  <c r="Z248" i="9" s="1"/>
  <c r="O257" i="9"/>
  <c r="U257" i="9" s="1"/>
  <c r="Z257" i="9" s="1"/>
  <c r="O249" i="9"/>
  <c r="U249" i="9" s="1"/>
  <c r="Z249" i="9" s="1"/>
  <c r="O258" i="9"/>
  <c r="U258" i="9" s="1"/>
  <c r="Z258" i="9" s="1"/>
  <c r="O250" i="9"/>
  <c r="U250" i="9" s="1"/>
  <c r="Z250" i="9" s="1"/>
  <c r="O259" i="9"/>
  <c r="U259" i="9" s="1"/>
  <c r="Z259" i="9" s="1"/>
  <c r="O251" i="9"/>
  <c r="U251" i="9" s="1"/>
  <c r="Z251" i="9" s="1"/>
  <c r="O243" i="9"/>
  <c r="U243" i="9" s="1"/>
  <c r="O260" i="9"/>
  <c r="U260" i="9" s="1"/>
  <c r="Z260" i="9" s="1"/>
  <c r="O252" i="9"/>
  <c r="U252" i="9" s="1"/>
  <c r="Z252" i="9" s="1"/>
  <c r="O263" i="9"/>
  <c r="U263" i="9" s="1"/>
  <c r="Z263" i="9" s="1"/>
  <c r="O255" i="9"/>
  <c r="U255" i="9" s="1"/>
  <c r="Z255" i="9" s="1"/>
  <c r="O247" i="9"/>
  <c r="U247" i="9" s="1"/>
  <c r="Z247" i="9" s="1"/>
  <c r="O244" i="9"/>
  <c r="U244" i="9" s="1"/>
  <c r="Z244" i="9" s="1"/>
  <c r="O253" i="9"/>
  <c r="U253" i="9" s="1"/>
  <c r="Z253" i="9" s="1"/>
  <c r="O262" i="9"/>
  <c r="U262" i="9" s="1"/>
  <c r="Z262" i="9" s="1"/>
  <c r="O245" i="9"/>
  <c r="U245" i="9" s="1"/>
  <c r="Z245" i="9" s="1"/>
  <c r="O246" i="9"/>
  <c r="U246" i="9" s="1"/>
  <c r="Z246" i="9" s="1"/>
  <c r="O254" i="9"/>
  <c r="U254" i="9" s="1"/>
  <c r="Z254" i="9" s="1"/>
  <c r="O261" i="9"/>
  <c r="U261" i="9" s="1"/>
  <c r="Z261" i="9" s="1"/>
  <c r="AC213" i="25" l="1"/>
  <c r="Z243" i="25"/>
  <c r="AD243" i="25" s="1"/>
  <c r="D92" i="11"/>
  <c r="I92" i="11" s="1"/>
  <c r="M21" i="13"/>
  <c r="K20" i="13"/>
  <c r="AD257" i="25"/>
  <c r="AC257" i="25"/>
  <c r="AD254" i="25"/>
  <c r="AC254" i="25"/>
  <c r="AC252" i="25"/>
  <c r="AD252" i="25"/>
  <c r="AC251" i="25"/>
  <c r="AD251" i="25"/>
  <c r="AC256" i="25"/>
  <c r="AD256" i="25"/>
  <c r="AD260" i="25"/>
  <c r="AC260" i="25"/>
  <c r="O301" i="25"/>
  <c r="U301" i="25" s="1"/>
  <c r="Z301" i="25" s="1"/>
  <c r="O300" i="25"/>
  <c r="U300" i="25" s="1"/>
  <c r="Z300" i="25" s="1"/>
  <c r="O298" i="25"/>
  <c r="U298" i="25" s="1"/>
  <c r="Z298" i="25" s="1"/>
  <c r="O290" i="25"/>
  <c r="U290" i="25" s="1"/>
  <c r="Z290" i="25" s="1"/>
  <c r="O297" i="25"/>
  <c r="U297" i="25" s="1"/>
  <c r="Z297" i="25" s="1"/>
  <c r="O296" i="25"/>
  <c r="U296" i="25" s="1"/>
  <c r="Z296" i="25" s="1"/>
  <c r="O288" i="25"/>
  <c r="U288" i="25" s="1"/>
  <c r="Z288" i="25" s="1"/>
  <c r="O280" i="25"/>
  <c r="U280" i="25" s="1"/>
  <c r="Z280" i="25" s="1"/>
  <c r="O302" i="25"/>
  <c r="U302" i="25" s="1"/>
  <c r="Z302" i="25" s="1"/>
  <c r="O294" i="25"/>
  <c r="U294" i="25" s="1"/>
  <c r="Z294" i="25" s="1"/>
  <c r="O286" i="25"/>
  <c r="U286" i="25" s="1"/>
  <c r="Z286" i="25" s="1"/>
  <c r="O292" i="25"/>
  <c r="U292" i="25" s="1"/>
  <c r="Z292" i="25" s="1"/>
  <c r="O284" i="25"/>
  <c r="U284" i="25" s="1"/>
  <c r="Z284" i="25" s="1"/>
  <c r="O276" i="25"/>
  <c r="U276" i="25" s="1"/>
  <c r="Z276" i="25" s="1"/>
  <c r="O291" i="25"/>
  <c r="U291" i="25" s="1"/>
  <c r="Z291" i="25" s="1"/>
  <c r="O277" i="25"/>
  <c r="U277" i="25" s="1"/>
  <c r="Z277" i="25" s="1"/>
  <c r="O293" i="25"/>
  <c r="U293" i="25" s="1"/>
  <c r="Z293" i="25" s="1"/>
  <c r="O283" i="25"/>
  <c r="U283" i="25" s="1"/>
  <c r="Z283" i="25" s="1"/>
  <c r="O299" i="25"/>
  <c r="U299" i="25" s="1"/>
  <c r="Z299" i="25" s="1"/>
  <c r="O295" i="25"/>
  <c r="U295" i="25" s="1"/>
  <c r="Z295" i="25" s="1"/>
  <c r="O281" i="25"/>
  <c r="U281" i="25" s="1"/>
  <c r="Z281" i="25" s="1"/>
  <c r="O278" i="25"/>
  <c r="U278" i="25" s="1"/>
  <c r="Z278" i="25" s="1"/>
  <c r="O289" i="25"/>
  <c r="U289" i="25" s="1"/>
  <c r="Z289" i="25" s="1"/>
  <c r="O285" i="25"/>
  <c r="U285" i="25" s="1"/>
  <c r="Z285" i="25" s="1"/>
  <c r="O287" i="25"/>
  <c r="U287" i="25" s="1"/>
  <c r="Z287" i="25" s="1"/>
  <c r="O279" i="25"/>
  <c r="U279" i="25" s="1"/>
  <c r="Z279" i="25" s="1"/>
  <c r="O275" i="25"/>
  <c r="U275" i="25" s="1"/>
  <c r="Z275" i="25" s="1"/>
  <c r="O273" i="25"/>
  <c r="U273" i="25" s="1"/>
  <c r="O282" i="25"/>
  <c r="U282" i="25" s="1"/>
  <c r="Z282" i="25" s="1"/>
  <c r="O274" i="25"/>
  <c r="U274" i="25" s="1"/>
  <c r="Z274" i="25" s="1"/>
  <c r="AD250" i="25"/>
  <c r="AC250" i="25"/>
  <c r="AD261" i="25"/>
  <c r="AC261" i="25"/>
  <c r="AD258" i="25"/>
  <c r="AC258" i="25"/>
  <c r="AD268" i="25"/>
  <c r="AC268" i="25"/>
  <c r="AD266" i="25"/>
  <c r="AC266" i="25"/>
  <c r="AD262" i="25"/>
  <c r="AC262" i="25"/>
  <c r="AC269" i="25"/>
  <c r="AD269" i="25"/>
  <c r="AC248" i="25"/>
  <c r="AD248" i="25"/>
  <c r="AD249" i="25"/>
  <c r="AC249" i="25"/>
  <c r="AD270" i="25"/>
  <c r="AC270" i="25"/>
  <c r="AD247" i="25"/>
  <c r="AC247" i="25"/>
  <c r="AD245" i="25"/>
  <c r="AC245" i="25"/>
  <c r="AD264" i="25"/>
  <c r="AC264" i="25"/>
  <c r="AC259" i="25"/>
  <c r="AD259" i="25"/>
  <c r="AD255" i="25"/>
  <c r="AC255" i="25"/>
  <c r="AD246" i="25"/>
  <c r="AC246" i="25"/>
  <c r="AC265" i="25"/>
  <c r="AD265" i="25"/>
  <c r="AC267" i="25"/>
  <c r="AD267" i="25"/>
  <c r="AD263" i="25"/>
  <c r="AC263" i="25"/>
  <c r="AD253" i="25"/>
  <c r="AC253" i="25"/>
  <c r="AD272" i="25"/>
  <c r="AC272" i="25"/>
  <c r="AD244" i="25"/>
  <c r="AC244" i="25"/>
  <c r="AD271" i="25"/>
  <c r="AC271" i="25"/>
  <c r="AD213" i="9"/>
  <c r="E21" i="13" s="1"/>
  <c r="AC213" i="16"/>
  <c r="AC213" i="19"/>
  <c r="Z243" i="9"/>
  <c r="AD243" i="9" s="1"/>
  <c r="D12" i="11"/>
  <c r="I12" i="11" s="1"/>
  <c r="AD213" i="17"/>
  <c r="I21" i="13" s="1"/>
  <c r="D72" i="11"/>
  <c r="I72" i="11" s="1"/>
  <c r="Z243" i="16"/>
  <c r="AC243" i="16" s="1"/>
  <c r="D32" i="11"/>
  <c r="I32" i="11" s="1"/>
  <c r="Z243" i="17"/>
  <c r="AC243" i="17" s="1"/>
  <c r="D52" i="11"/>
  <c r="I52" i="11" s="1"/>
  <c r="Z243" i="19"/>
  <c r="AD243" i="19" s="1"/>
  <c r="O279" i="19"/>
  <c r="U279" i="19" s="1"/>
  <c r="Z279" i="19" s="1"/>
  <c r="O284" i="19"/>
  <c r="U284" i="19" s="1"/>
  <c r="Z284" i="19" s="1"/>
  <c r="O294" i="19"/>
  <c r="U294" i="19" s="1"/>
  <c r="Z294" i="19" s="1"/>
  <c r="O288" i="19"/>
  <c r="U288" i="19" s="1"/>
  <c r="Z288" i="19" s="1"/>
  <c r="O276" i="19"/>
  <c r="U276" i="19" s="1"/>
  <c r="Z276" i="19" s="1"/>
  <c r="O278" i="19"/>
  <c r="U278" i="19" s="1"/>
  <c r="Z278" i="19" s="1"/>
  <c r="O283" i="19"/>
  <c r="U283" i="19" s="1"/>
  <c r="Z283" i="19" s="1"/>
  <c r="O293" i="19"/>
  <c r="U293" i="19" s="1"/>
  <c r="Z293" i="19" s="1"/>
  <c r="O297" i="19"/>
  <c r="U297" i="19" s="1"/>
  <c r="Z297" i="19" s="1"/>
  <c r="O298" i="19"/>
  <c r="U298" i="19" s="1"/>
  <c r="Z298" i="19" s="1"/>
  <c r="O299" i="19"/>
  <c r="U299" i="19" s="1"/>
  <c r="Z299" i="19" s="1"/>
  <c r="O300" i="19"/>
  <c r="U300" i="19" s="1"/>
  <c r="Z300" i="19" s="1"/>
  <c r="O287" i="19"/>
  <c r="U287" i="19" s="1"/>
  <c r="Z287" i="19" s="1"/>
  <c r="O275" i="19"/>
  <c r="U275" i="19" s="1"/>
  <c r="Z275" i="19" s="1"/>
  <c r="O277" i="19"/>
  <c r="U277" i="19" s="1"/>
  <c r="Z277" i="19" s="1"/>
  <c r="O282" i="19"/>
  <c r="U282" i="19" s="1"/>
  <c r="Z282" i="19" s="1"/>
  <c r="O292" i="19"/>
  <c r="U292" i="19" s="1"/>
  <c r="Z292" i="19" s="1"/>
  <c r="O296" i="19"/>
  <c r="U296" i="19" s="1"/>
  <c r="Z296" i="19" s="1"/>
  <c r="O301" i="19"/>
  <c r="U301" i="19" s="1"/>
  <c r="Z301" i="19" s="1"/>
  <c r="O274" i="19"/>
  <c r="U274" i="19" s="1"/>
  <c r="Z274" i="19" s="1"/>
  <c r="O281" i="19"/>
  <c r="U281" i="19" s="1"/>
  <c r="Z281" i="19" s="1"/>
  <c r="O286" i="19"/>
  <c r="U286" i="19" s="1"/>
  <c r="Z286" i="19" s="1"/>
  <c r="O273" i="19"/>
  <c r="U273" i="19" s="1"/>
  <c r="O280" i="19"/>
  <c r="U280" i="19" s="1"/>
  <c r="Z280" i="19" s="1"/>
  <c r="O285" i="19"/>
  <c r="U285" i="19" s="1"/>
  <c r="Z285" i="19" s="1"/>
  <c r="O291" i="19"/>
  <c r="U291" i="19" s="1"/>
  <c r="Z291" i="19" s="1"/>
  <c r="O295" i="19"/>
  <c r="U295" i="19" s="1"/>
  <c r="Z295" i="19" s="1"/>
  <c r="O302" i="19"/>
  <c r="U302" i="19" s="1"/>
  <c r="Z302" i="19" s="1"/>
  <c r="O290" i="19"/>
  <c r="U290" i="19" s="1"/>
  <c r="Z290" i="19" s="1"/>
  <c r="O289" i="19"/>
  <c r="U289" i="19" s="1"/>
  <c r="Z289" i="19" s="1"/>
  <c r="O276" i="17"/>
  <c r="U276" i="17" s="1"/>
  <c r="Z276" i="17" s="1"/>
  <c r="O281" i="17"/>
  <c r="U281" i="17" s="1"/>
  <c r="Z281" i="17" s="1"/>
  <c r="O288" i="17"/>
  <c r="U288" i="17" s="1"/>
  <c r="Z288" i="17" s="1"/>
  <c r="O295" i="17"/>
  <c r="U295" i="17" s="1"/>
  <c r="Z295" i="17" s="1"/>
  <c r="O297" i="17"/>
  <c r="U297" i="17" s="1"/>
  <c r="Z297" i="17" s="1"/>
  <c r="O300" i="17"/>
  <c r="U300" i="17" s="1"/>
  <c r="Z300" i="17" s="1"/>
  <c r="O275" i="17"/>
  <c r="U275" i="17" s="1"/>
  <c r="Z275" i="17" s="1"/>
  <c r="O287" i="17"/>
  <c r="U287" i="17" s="1"/>
  <c r="Z287" i="17" s="1"/>
  <c r="O293" i="17"/>
  <c r="U293" i="17" s="1"/>
  <c r="Z293" i="17" s="1"/>
  <c r="O298" i="17"/>
  <c r="U298" i="17" s="1"/>
  <c r="Z298" i="17" s="1"/>
  <c r="O274" i="17"/>
  <c r="U274" i="17" s="1"/>
  <c r="Z274" i="17" s="1"/>
  <c r="O286" i="17"/>
  <c r="U286" i="17" s="1"/>
  <c r="Z286" i="17" s="1"/>
  <c r="O299" i="17"/>
  <c r="U299" i="17" s="1"/>
  <c r="Z299" i="17" s="1"/>
  <c r="O301" i="17"/>
  <c r="U301" i="17" s="1"/>
  <c r="Z301" i="17" s="1"/>
  <c r="O273" i="17"/>
  <c r="U273" i="17" s="1"/>
  <c r="O279" i="17"/>
  <c r="U279" i="17" s="1"/>
  <c r="Z279" i="17" s="1"/>
  <c r="O285" i="17"/>
  <c r="U285" i="17" s="1"/>
  <c r="Z285" i="17" s="1"/>
  <c r="O290" i="17"/>
  <c r="U290" i="17" s="1"/>
  <c r="Z290" i="17" s="1"/>
  <c r="O292" i="17"/>
  <c r="U292" i="17" s="1"/>
  <c r="Z292" i="17" s="1"/>
  <c r="O278" i="17"/>
  <c r="U278" i="17" s="1"/>
  <c r="Z278" i="17" s="1"/>
  <c r="O284" i="17"/>
  <c r="U284" i="17" s="1"/>
  <c r="Z284" i="17" s="1"/>
  <c r="O302" i="17"/>
  <c r="U302" i="17" s="1"/>
  <c r="Z302" i="17" s="1"/>
  <c r="O280" i="17"/>
  <c r="U280" i="17" s="1"/>
  <c r="Z280" i="17" s="1"/>
  <c r="O291" i="17"/>
  <c r="U291" i="17" s="1"/>
  <c r="Z291" i="17" s="1"/>
  <c r="O277" i="17"/>
  <c r="U277" i="17" s="1"/>
  <c r="Z277" i="17" s="1"/>
  <c r="O283" i="17"/>
  <c r="U283" i="17" s="1"/>
  <c r="Z283" i="17" s="1"/>
  <c r="O296" i="17"/>
  <c r="U296" i="17" s="1"/>
  <c r="Z296" i="17" s="1"/>
  <c r="O282" i="17"/>
  <c r="U282" i="17" s="1"/>
  <c r="Z282" i="17" s="1"/>
  <c r="O289" i="17"/>
  <c r="U289" i="17" s="1"/>
  <c r="Z289" i="17" s="1"/>
  <c r="O294" i="17"/>
  <c r="U294" i="17" s="1"/>
  <c r="Z294" i="17" s="1"/>
  <c r="O280" i="16"/>
  <c r="U280" i="16" s="1"/>
  <c r="Z280" i="16" s="1"/>
  <c r="O281" i="16"/>
  <c r="U281" i="16" s="1"/>
  <c r="Z281" i="16" s="1"/>
  <c r="O274" i="16"/>
  <c r="U274" i="16" s="1"/>
  <c r="Z274" i="16" s="1"/>
  <c r="O279" i="16"/>
  <c r="U279" i="16" s="1"/>
  <c r="Z279" i="16" s="1"/>
  <c r="O285" i="16"/>
  <c r="U285" i="16" s="1"/>
  <c r="Z285" i="16" s="1"/>
  <c r="O296" i="9"/>
  <c r="U296" i="9" s="1"/>
  <c r="Z296" i="9" s="1"/>
  <c r="O299" i="9"/>
  <c r="U299" i="9" s="1"/>
  <c r="Z299" i="9" s="1"/>
  <c r="O302" i="9"/>
  <c r="U302" i="9" s="1"/>
  <c r="Z302" i="9" s="1"/>
  <c r="O278" i="16"/>
  <c r="U278" i="16" s="1"/>
  <c r="Z278" i="16" s="1"/>
  <c r="O276" i="16"/>
  <c r="U276" i="16" s="1"/>
  <c r="Z276" i="16" s="1"/>
  <c r="O283" i="16"/>
  <c r="U283" i="16" s="1"/>
  <c r="Z283" i="16" s="1"/>
  <c r="O288" i="16"/>
  <c r="U288" i="16" s="1"/>
  <c r="Z288" i="16" s="1"/>
  <c r="O290" i="16"/>
  <c r="U290" i="16" s="1"/>
  <c r="Z290" i="16" s="1"/>
  <c r="O292" i="16"/>
  <c r="U292" i="16" s="1"/>
  <c r="Z292" i="16" s="1"/>
  <c r="O296" i="16"/>
  <c r="U296" i="16" s="1"/>
  <c r="Z296" i="16" s="1"/>
  <c r="O297" i="16"/>
  <c r="U297" i="16" s="1"/>
  <c r="Z297" i="16" s="1"/>
  <c r="O298" i="16"/>
  <c r="U298" i="16" s="1"/>
  <c r="Z298" i="16" s="1"/>
  <c r="O299" i="16"/>
  <c r="U299" i="16" s="1"/>
  <c r="Z299" i="16" s="1"/>
  <c r="O282" i="16"/>
  <c r="U282" i="16" s="1"/>
  <c r="Z282" i="16" s="1"/>
  <c r="O287" i="16"/>
  <c r="U287" i="16" s="1"/>
  <c r="Z287" i="16" s="1"/>
  <c r="O291" i="16"/>
  <c r="U291" i="16" s="1"/>
  <c r="Z291" i="16" s="1"/>
  <c r="O302" i="16"/>
  <c r="U302" i="16" s="1"/>
  <c r="Z302" i="16" s="1"/>
  <c r="O295" i="9"/>
  <c r="U295" i="9" s="1"/>
  <c r="Z295" i="9" s="1"/>
  <c r="O298" i="9"/>
  <c r="U298" i="9" s="1"/>
  <c r="Z298" i="9" s="1"/>
  <c r="O301" i="9"/>
  <c r="U301" i="9" s="1"/>
  <c r="Z301" i="9" s="1"/>
  <c r="O273" i="16"/>
  <c r="U273" i="16" s="1"/>
  <c r="O284" i="16"/>
  <c r="U284" i="16" s="1"/>
  <c r="Z284" i="16" s="1"/>
  <c r="O301" i="16"/>
  <c r="U301" i="16" s="1"/>
  <c r="Z301" i="16" s="1"/>
  <c r="O294" i="16"/>
  <c r="U294" i="16" s="1"/>
  <c r="Z294" i="16" s="1"/>
  <c r="O300" i="9"/>
  <c r="U300" i="9" s="1"/>
  <c r="Z300" i="9" s="1"/>
  <c r="O275" i="16"/>
  <c r="U275" i="16" s="1"/>
  <c r="Z275" i="16" s="1"/>
  <c r="O286" i="16"/>
  <c r="U286" i="16" s="1"/>
  <c r="Z286" i="16" s="1"/>
  <c r="O293" i="16"/>
  <c r="U293" i="16" s="1"/>
  <c r="Z293" i="16" s="1"/>
  <c r="O295" i="16"/>
  <c r="U295" i="16" s="1"/>
  <c r="Z295" i="16" s="1"/>
  <c r="O297" i="9"/>
  <c r="U297" i="9" s="1"/>
  <c r="Z297" i="9" s="1"/>
  <c r="O277" i="16"/>
  <c r="U277" i="16" s="1"/>
  <c r="Z277" i="16" s="1"/>
  <c r="O289" i="16"/>
  <c r="U289" i="16" s="1"/>
  <c r="Z289" i="16" s="1"/>
  <c r="O300" i="16"/>
  <c r="U300" i="16" s="1"/>
  <c r="Z300" i="16" s="1"/>
  <c r="G21" i="13"/>
  <c r="AC265" i="9"/>
  <c r="AD265" i="9"/>
  <c r="AC255" i="16"/>
  <c r="AD255" i="16"/>
  <c r="AC259" i="16"/>
  <c r="AD259" i="16"/>
  <c r="AD261" i="16"/>
  <c r="AC261" i="16"/>
  <c r="AD257" i="16"/>
  <c r="AC257" i="16"/>
  <c r="AD259" i="17"/>
  <c r="AC259" i="17"/>
  <c r="AC264" i="17"/>
  <c r="AD264" i="17"/>
  <c r="AC250" i="17"/>
  <c r="AD250" i="17"/>
  <c r="AD249" i="17"/>
  <c r="AC249" i="17"/>
  <c r="AC244" i="19"/>
  <c r="AD244" i="19"/>
  <c r="AD254" i="19"/>
  <c r="AC254" i="19"/>
  <c r="AD269" i="19"/>
  <c r="AC269" i="19"/>
  <c r="AD251" i="19"/>
  <c r="AC251" i="19"/>
  <c r="AD267" i="16"/>
  <c r="AC267" i="16"/>
  <c r="AC264" i="16"/>
  <c r="AD264" i="16"/>
  <c r="AD254" i="16"/>
  <c r="AC254" i="16"/>
  <c r="AD252" i="16"/>
  <c r="AC252" i="16"/>
  <c r="AC269" i="9"/>
  <c r="AD269" i="9"/>
  <c r="AC257" i="17"/>
  <c r="AD257" i="17"/>
  <c r="AD251" i="17"/>
  <c r="AC251" i="17"/>
  <c r="AC246" i="17"/>
  <c r="AD246" i="17"/>
  <c r="AD248" i="17"/>
  <c r="AC248" i="17"/>
  <c r="AD268" i="19"/>
  <c r="AC268" i="19"/>
  <c r="AD246" i="19"/>
  <c r="AC246" i="19"/>
  <c r="AC262" i="19"/>
  <c r="AD262" i="19"/>
  <c r="AC247" i="19"/>
  <c r="AD247" i="19"/>
  <c r="AC256" i="16"/>
  <c r="AD256" i="16"/>
  <c r="AD260" i="16"/>
  <c r="AC260" i="16"/>
  <c r="AD272" i="9"/>
  <c r="AC272" i="9"/>
  <c r="AD251" i="16"/>
  <c r="AC251" i="16"/>
  <c r="AC263" i="16"/>
  <c r="AD263" i="16"/>
  <c r="AC272" i="17"/>
  <c r="AD272" i="17"/>
  <c r="AC271" i="17"/>
  <c r="AD271" i="17"/>
  <c r="AC258" i="17"/>
  <c r="AD258" i="17"/>
  <c r="AD260" i="19"/>
  <c r="AC260" i="19"/>
  <c r="AD270" i="19"/>
  <c r="AC270" i="19"/>
  <c r="AD261" i="19"/>
  <c r="AC261" i="19"/>
  <c r="AD266" i="16"/>
  <c r="AC266" i="16"/>
  <c r="AC269" i="16"/>
  <c r="AD269" i="16"/>
  <c r="AC267" i="9"/>
  <c r="AD267" i="9"/>
  <c r="AC250" i="16"/>
  <c r="AD250" i="16"/>
  <c r="AD258" i="16"/>
  <c r="AC258" i="16"/>
  <c r="AD263" i="17"/>
  <c r="AC263" i="17"/>
  <c r="AD268" i="17"/>
  <c r="AC268" i="17"/>
  <c r="AC269" i="17"/>
  <c r="AD269" i="17"/>
  <c r="AC254" i="17"/>
  <c r="AD254" i="17"/>
  <c r="AC264" i="19"/>
  <c r="AD264" i="19"/>
  <c r="AC256" i="19"/>
  <c r="AD256" i="19"/>
  <c r="AD271" i="9"/>
  <c r="AC271" i="9"/>
  <c r="AC244" i="16"/>
  <c r="AD244" i="16"/>
  <c r="AC272" i="16"/>
  <c r="AD272" i="16"/>
  <c r="AD249" i="16"/>
  <c r="AC249" i="16"/>
  <c r="AD253" i="16"/>
  <c r="AC253" i="16"/>
  <c r="AD260" i="17"/>
  <c r="AC260" i="17"/>
  <c r="AC267" i="17"/>
  <c r="AD267" i="17"/>
  <c r="AC253" i="17"/>
  <c r="AD253" i="17"/>
  <c r="AC252" i="19"/>
  <c r="AD252" i="19"/>
  <c r="AD253" i="19"/>
  <c r="AC253" i="19"/>
  <c r="AD255" i="19"/>
  <c r="AC255" i="19"/>
  <c r="AC267" i="19"/>
  <c r="AD267" i="19"/>
  <c r="AD248" i="16"/>
  <c r="AC248" i="16"/>
  <c r="AD266" i="9"/>
  <c r="AC266" i="9"/>
  <c r="AC271" i="16"/>
  <c r="AD271" i="16"/>
  <c r="AD270" i="9"/>
  <c r="AC270" i="9"/>
  <c r="AD256" i="17"/>
  <c r="AC256" i="17"/>
  <c r="AC252" i="17"/>
  <c r="AD252" i="17"/>
  <c r="AD247" i="17"/>
  <c r="AC247" i="17"/>
  <c r="AC248" i="19"/>
  <c r="AD248" i="19"/>
  <c r="AD250" i="19"/>
  <c r="AC250" i="19"/>
  <c r="AD257" i="19"/>
  <c r="AC257" i="19"/>
  <c r="AC265" i="19"/>
  <c r="AD265" i="19"/>
  <c r="AD247" i="16"/>
  <c r="AC247" i="16"/>
  <c r="AC265" i="16"/>
  <c r="AD265" i="16"/>
  <c r="AC265" i="17"/>
  <c r="AD265" i="17"/>
  <c r="AD255" i="17"/>
  <c r="AC255" i="17"/>
  <c r="AC270" i="17"/>
  <c r="AD270" i="17"/>
  <c r="AD271" i="19"/>
  <c r="AC271" i="19"/>
  <c r="AD249" i="19"/>
  <c r="AC249" i="19"/>
  <c r="AD266" i="19"/>
  <c r="AC266" i="19"/>
  <c r="AC263" i="19"/>
  <c r="AD263" i="19"/>
  <c r="AC268" i="9"/>
  <c r="AD268" i="9"/>
  <c r="AD268" i="16"/>
  <c r="AC268" i="16"/>
  <c r="AC245" i="17"/>
  <c r="AD245" i="17"/>
  <c r="AC246" i="16"/>
  <c r="AD246" i="16"/>
  <c r="AD270" i="16"/>
  <c r="AC270" i="16"/>
  <c r="AD245" i="16"/>
  <c r="AC245" i="16"/>
  <c r="AD262" i="16"/>
  <c r="AC262" i="16"/>
  <c r="AD262" i="17"/>
  <c r="AC262" i="17"/>
  <c r="AD244" i="17"/>
  <c r="AC244" i="17"/>
  <c r="AD266" i="17"/>
  <c r="AC266" i="17"/>
  <c r="AD261" i="17"/>
  <c r="AC261" i="17"/>
  <c r="AD272" i="19"/>
  <c r="AC272" i="19"/>
  <c r="AD245" i="19"/>
  <c r="AC245" i="19"/>
  <c r="AC258" i="19"/>
  <c r="AD258" i="19"/>
  <c r="AD259" i="19"/>
  <c r="AC259" i="19"/>
  <c r="K21" i="13"/>
  <c r="AD257" i="9"/>
  <c r="AC257" i="9"/>
  <c r="AD260" i="9"/>
  <c r="AC260" i="9"/>
  <c r="AD248" i="9"/>
  <c r="AC248" i="9"/>
  <c r="AD253" i="9"/>
  <c r="AC253" i="9"/>
  <c r="AD251" i="9"/>
  <c r="AC251" i="9"/>
  <c r="AD264" i="9"/>
  <c r="AC264" i="9"/>
  <c r="AC246" i="9"/>
  <c r="AD246" i="9"/>
  <c r="AC245" i="9"/>
  <c r="AD245" i="9"/>
  <c r="AD256" i="9"/>
  <c r="AC256" i="9"/>
  <c r="AC244" i="9"/>
  <c r="AD244" i="9"/>
  <c r="AD247" i="9"/>
  <c r="AC247" i="9"/>
  <c r="AD250" i="9"/>
  <c r="AC250" i="9"/>
  <c r="AD252" i="9"/>
  <c r="AC252" i="9"/>
  <c r="AD261" i="9"/>
  <c r="AC261" i="9"/>
  <c r="AD255" i="9"/>
  <c r="AC255" i="9"/>
  <c r="AD258" i="9"/>
  <c r="AC258" i="9"/>
  <c r="AD262" i="9"/>
  <c r="AC262" i="9"/>
  <c r="AC259" i="9"/>
  <c r="AD259" i="9"/>
  <c r="AD254" i="9"/>
  <c r="AC254" i="9"/>
  <c r="AD263" i="9"/>
  <c r="AC263" i="9"/>
  <c r="AD249" i="9"/>
  <c r="AC249" i="9"/>
  <c r="O289" i="9"/>
  <c r="U289" i="9" s="1"/>
  <c r="Z289" i="9" s="1"/>
  <c r="O294" i="9"/>
  <c r="U294" i="9" s="1"/>
  <c r="Z294" i="9" s="1"/>
  <c r="O286" i="9"/>
  <c r="U286" i="9" s="1"/>
  <c r="Z286" i="9" s="1"/>
  <c r="O287" i="9"/>
  <c r="U287" i="9" s="1"/>
  <c r="Z287" i="9" s="1"/>
  <c r="O284" i="9"/>
  <c r="U284" i="9" s="1"/>
  <c r="Z284" i="9" s="1"/>
  <c r="O280" i="9"/>
  <c r="U280" i="9" s="1"/>
  <c r="Z280" i="9" s="1"/>
  <c r="O293" i="9"/>
  <c r="U293" i="9" s="1"/>
  <c r="Z293" i="9" s="1"/>
  <c r="O290" i="9"/>
  <c r="U290" i="9" s="1"/>
  <c r="Z290" i="9" s="1"/>
  <c r="O281" i="9"/>
  <c r="U281" i="9" s="1"/>
  <c r="Z281" i="9" s="1"/>
  <c r="O273" i="9"/>
  <c r="U273" i="9" s="1"/>
  <c r="O283" i="9"/>
  <c r="U283" i="9" s="1"/>
  <c r="Z283" i="9" s="1"/>
  <c r="O274" i="9"/>
  <c r="U274" i="9" s="1"/>
  <c r="Z274" i="9" s="1"/>
  <c r="O275" i="9"/>
  <c r="U275" i="9" s="1"/>
  <c r="Z275" i="9" s="1"/>
  <c r="O292" i="9"/>
  <c r="U292" i="9" s="1"/>
  <c r="Z292" i="9" s="1"/>
  <c r="O276" i="9"/>
  <c r="U276" i="9" s="1"/>
  <c r="Z276" i="9" s="1"/>
  <c r="O288" i="9"/>
  <c r="U288" i="9" s="1"/>
  <c r="Z288" i="9" s="1"/>
  <c r="O279" i="9"/>
  <c r="U279" i="9" s="1"/>
  <c r="Z279" i="9" s="1"/>
  <c r="O278" i="9"/>
  <c r="U278" i="9" s="1"/>
  <c r="Z278" i="9" s="1"/>
  <c r="O285" i="9"/>
  <c r="U285" i="9" s="1"/>
  <c r="Z285" i="9" s="1"/>
  <c r="O277" i="9"/>
  <c r="U277" i="9" s="1"/>
  <c r="Z277" i="9" s="1"/>
  <c r="O291" i="9"/>
  <c r="U291" i="9" s="1"/>
  <c r="Z291" i="9" s="1"/>
  <c r="O282" i="9"/>
  <c r="U282" i="9" s="1"/>
  <c r="Z282" i="9" s="1"/>
  <c r="J15" i="4"/>
  <c r="I16" i="4"/>
  <c r="AC243" i="25" l="1"/>
  <c r="Z273" i="25"/>
  <c r="AD273" i="25" s="1"/>
  <c r="D93" i="11"/>
  <c r="I93" i="11" s="1"/>
  <c r="M22" i="13"/>
  <c r="AD295" i="25"/>
  <c r="AC295" i="25"/>
  <c r="AD292" i="25"/>
  <c r="AC292" i="25"/>
  <c r="AC290" i="25"/>
  <c r="AD290" i="25"/>
  <c r="AD275" i="25"/>
  <c r="AC275" i="25"/>
  <c r="AD299" i="25"/>
  <c r="AC299" i="25"/>
  <c r="AD286" i="25"/>
  <c r="AC286" i="25"/>
  <c r="AC298" i="25"/>
  <c r="AD298" i="25"/>
  <c r="AD279" i="25"/>
  <c r="AC279" i="25"/>
  <c r="AD283" i="25"/>
  <c r="AC283" i="25"/>
  <c r="AC294" i="25"/>
  <c r="AD294" i="25"/>
  <c r="AD300" i="25"/>
  <c r="AC300" i="25"/>
  <c r="AD287" i="25"/>
  <c r="AC287" i="25"/>
  <c r="AD293" i="25"/>
  <c r="AC293" i="25"/>
  <c r="AC302" i="25"/>
  <c r="AD302" i="25"/>
  <c r="AD301" i="25"/>
  <c r="AC301" i="25"/>
  <c r="AD285" i="25"/>
  <c r="AC285" i="25"/>
  <c r="AC277" i="25"/>
  <c r="AD277" i="25"/>
  <c r="AD280" i="25"/>
  <c r="AC280" i="25"/>
  <c r="AD289" i="25"/>
  <c r="AC289" i="25"/>
  <c r="AD291" i="25"/>
  <c r="AC291" i="25"/>
  <c r="AC288" i="25"/>
  <c r="AD288" i="25"/>
  <c r="O331" i="25"/>
  <c r="U331" i="25" s="1"/>
  <c r="Z331" i="25" s="1"/>
  <c r="O328" i="25"/>
  <c r="U328" i="25" s="1"/>
  <c r="Z328" i="25" s="1"/>
  <c r="O326" i="25"/>
  <c r="U326" i="25" s="1"/>
  <c r="Z326" i="25" s="1"/>
  <c r="O317" i="25"/>
  <c r="U317" i="25" s="1"/>
  <c r="Z317" i="25" s="1"/>
  <c r="O309" i="25"/>
  <c r="U309" i="25" s="1"/>
  <c r="Z309" i="25" s="1"/>
  <c r="O324" i="25"/>
  <c r="U324" i="25" s="1"/>
  <c r="Z324" i="25" s="1"/>
  <c r="O316" i="25"/>
  <c r="U316" i="25" s="1"/>
  <c r="Z316" i="25" s="1"/>
  <c r="O308" i="25"/>
  <c r="U308" i="25" s="1"/>
  <c r="Z308" i="25" s="1"/>
  <c r="O332" i="25"/>
  <c r="U332" i="25" s="1"/>
  <c r="Z332" i="25" s="1"/>
  <c r="O327" i="25"/>
  <c r="U327" i="25" s="1"/>
  <c r="Z327" i="25" s="1"/>
  <c r="O315" i="25"/>
  <c r="U315" i="25" s="1"/>
  <c r="Z315" i="25" s="1"/>
  <c r="O307" i="25"/>
  <c r="U307" i="25" s="1"/>
  <c r="Z307" i="25" s="1"/>
  <c r="O314" i="25"/>
  <c r="U314" i="25" s="1"/>
  <c r="Z314" i="25" s="1"/>
  <c r="O306" i="25"/>
  <c r="U306" i="25" s="1"/>
  <c r="Z306" i="25" s="1"/>
  <c r="O330" i="25"/>
  <c r="U330" i="25" s="1"/>
  <c r="Z330" i="25" s="1"/>
  <c r="O325" i="25"/>
  <c r="U325" i="25" s="1"/>
  <c r="Z325" i="25" s="1"/>
  <c r="O313" i="25"/>
  <c r="U313" i="25" s="1"/>
  <c r="Z313" i="25" s="1"/>
  <c r="O305" i="25"/>
  <c r="U305" i="25" s="1"/>
  <c r="Z305" i="25" s="1"/>
  <c r="O321" i="25"/>
  <c r="U321" i="25" s="1"/>
  <c r="Z321" i="25" s="1"/>
  <c r="O320" i="25"/>
  <c r="U320" i="25" s="1"/>
  <c r="Z320" i="25" s="1"/>
  <c r="O312" i="25"/>
  <c r="U312" i="25" s="1"/>
  <c r="Z312" i="25" s="1"/>
  <c r="O304" i="25"/>
  <c r="U304" i="25" s="1"/>
  <c r="Z304" i="25" s="1"/>
  <c r="O329" i="25"/>
  <c r="U329" i="25" s="1"/>
  <c r="Z329" i="25" s="1"/>
  <c r="O323" i="25"/>
  <c r="U323" i="25" s="1"/>
  <c r="Z323" i="25" s="1"/>
  <c r="O318" i="25"/>
  <c r="U318" i="25" s="1"/>
  <c r="Z318" i="25" s="1"/>
  <c r="O310" i="25"/>
  <c r="U310" i="25" s="1"/>
  <c r="Z310" i="25" s="1"/>
  <c r="O311" i="25"/>
  <c r="U311" i="25" s="1"/>
  <c r="Z311" i="25" s="1"/>
  <c r="O319" i="25"/>
  <c r="U319" i="25" s="1"/>
  <c r="Z319" i="25" s="1"/>
  <c r="O303" i="25"/>
  <c r="U303" i="25" s="1"/>
  <c r="O322" i="25"/>
  <c r="U322" i="25" s="1"/>
  <c r="Z322" i="25" s="1"/>
  <c r="AD274" i="25"/>
  <c r="AC274" i="25"/>
  <c r="AD278" i="25"/>
  <c r="AC278" i="25"/>
  <c r="AC276" i="25"/>
  <c r="AD276" i="25"/>
  <c r="AD296" i="25"/>
  <c r="AC296" i="25"/>
  <c r="AC282" i="25"/>
  <c r="AD282" i="25"/>
  <c r="AD281" i="25"/>
  <c r="AC281" i="25"/>
  <c r="AC284" i="25"/>
  <c r="AD284" i="25"/>
  <c r="AC297" i="25"/>
  <c r="AD297" i="25"/>
  <c r="AD243" i="17"/>
  <c r="I22" i="13" s="1"/>
  <c r="Z273" i="9"/>
  <c r="AC273" i="9" s="1"/>
  <c r="D13" i="11"/>
  <c r="I13" i="11" s="1"/>
  <c r="AD243" i="16"/>
  <c r="G22" i="13" s="1"/>
  <c r="D73" i="11"/>
  <c r="I73" i="11" s="1"/>
  <c r="Z273" i="16"/>
  <c r="AD273" i="16" s="1"/>
  <c r="D33" i="11"/>
  <c r="I33" i="11" s="1"/>
  <c r="Z273" i="17"/>
  <c r="AC273" i="17" s="1"/>
  <c r="D53" i="11"/>
  <c r="I53" i="11" s="1"/>
  <c r="AC243" i="19"/>
  <c r="Z273" i="19"/>
  <c r="AC273" i="19" s="1"/>
  <c r="AC277" i="16"/>
  <c r="AD277" i="16"/>
  <c r="AD301" i="16"/>
  <c r="AC301" i="16"/>
  <c r="AD287" i="16"/>
  <c r="AC287" i="16"/>
  <c r="AD288" i="16"/>
  <c r="AC288" i="16"/>
  <c r="AC279" i="16"/>
  <c r="AD279" i="16"/>
  <c r="AD283" i="17"/>
  <c r="AC283" i="17"/>
  <c r="AD290" i="17"/>
  <c r="AC290" i="17"/>
  <c r="AC298" i="17"/>
  <c r="AD298" i="17"/>
  <c r="AD281" i="17"/>
  <c r="AC281" i="17"/>
  <c r="AC280" i="19"/>
  <c r="AD280" i="19"/>
  <c r="AD282" i="19"/>
  <c r="AC282" i="19"/>
  <c r="AD293" i="19"/>
  <c r="AC293" i="19"/>
  <c r="AD297" i="9"/>
  <c r="AC297" i="9"/>
  <c r="AC284" i="16"/>
  <c r="AD284" i="16"/>
  <c r="AC282" i="16"/>
  <c r="AD282" i="16"/>
  <c r="AC283" i="16"/>
  <c r="AD283" i="16"/>
  <c r="AC274" i="16"/>
  <c r="AD274" i="16"/>
  <c r="AD277" i="17"/>
  <c r="AC277" i="17"/>
  <c r="AC285" i="17"/>
  <c r="AD285" i="17"/>
  <c r="AC293" i="17"/>
  <c r="AD293" i="17"/>
  <c r="AD276" i="17"/>
  <c r="AC276" i="17"/>
  <c r="AD277" i="19"/>
  <c r="AC277" i="19"/>
  <c r="AD283" i="19"/>
  <c r="AC283" i="19"/>
  <c r="AD295" i="16"/>
  <c r="AC295" i="16"/>
  <c r="AD299" i="16"/>
  <c r="AC299" i="16"/>
  <c r="AD276" i="16"/>
  <c r="AC276" i="16"/>
  <c r="AC281" i="16"/>
  <c r="AD281" i="16"/>
  <c r="AD291" i="17"/>
  <c r="AC291" i="17"/>
  <c r="AD279" i="17"/>
  <c r="AC279" i="17"/>
  <c r="AD287" i="17"/>
  <c r="AC287" i="17"/>
  <c r="AD289" i="19"/>
  <c r="AC289" i="19"/>
  <c r="AC286" i="19"/>
  <c r="AD286" i="19"/>
  <c r="AD275" i="19"/>
  <c r="AC275" i="19"/>
  <c r="AC278" i="19"/>
  <c r="AD278" i="19"/>
  <c r="AC301" i="9"/>
  <c r="AD301" i="9"/>
  <c r="AC298" i="16"/>
  <c r="AD298" i="16"/>
  <c r="AD278" i="16"/>
  <c r="AC278" i="16"/>
  <c r="AC280" i="16"/>
  <c r="AD280" i="16"/>
  <c r="AD280" i="17"/>
  <c r="AC280" i="17"/>
  <c r="AD275" i="17"/>
  <c r="AC275" i="17"/>
  <c r="AD290" i="19"/>
  <c r="AC290" i="19"/>
  <c r="AC281" i="19"/>
  <c r="AD281" i="19"/>
  <c r="AD287" i="19"/>
  <c r="AC287" i="19"/>
  <c r="AC276" i="19"/>
  <c r="AD276" i="19"/>
  <c r="AD293" i="16"/>
  <c r="AC293" i="16"/>
  <c r="O320" i="19"/>
  <c r="U320" i="19" s="1"/>
  <c r="Z320" i="19" s="1"/>
  <c r="O324" i="19"/>
  <c r="U324" i="19" s="1"/>
  <c r="Z324" i="19" s="1"/>
  <c r="O328" i="19"/>
  <c r="U328" i="19" s="1"/>
  <c r="Z328" i="19" s="1"/>
  <c r="O310" i="19"/>
  <c r="U310" i="19" s="1"/>
  <c r="Z310" i="19" s="1"/>
  <c r="O311" i="19"/>
  <c r="U311" i="19" s="1"/>
  <c r="Z311" i="19" s="1"/>
  <c r="O319" i="19"/>
  <c r="U319" i="19" s="1"/>
  <c r="Z319" i="19" s="1"/>
  <c r="O323" i="19"/>
  <c r="U323" i="19" s="1"/>
  <c r="Z323" i="19" s="1"/>
  <c r="O326" i="19"/>
  <c r="U326" i="19" s="1"/>
  <c r="Z326" i="19" s="1"/>
  <c r="O327" i="19"/>
  <c r="U327" i="19" s="1"/>
  <c r="Z327" i="19" s="1"/>
  <c r="O332" i="19"/>
  <c r="U332" i="19" s="1"/>
  <c r="Z332" i="19" s="1"/>
  <c r="O306" i="19"/>
  <c r="U306" i="19" s="1"/>
  <c r="Z306" i="19" s="1"/>
  <c r="O322" i="19"/>
  <c r="U322" i="19" s="1"/>
  <c r="Z322" i="19" s="1"/>
  <c r="O325" i="19"/>
  <c r="U325" i="19" s="1"/>
  <c r="Z325" i="19" s="1"/>
  <c r="O305" i="19"/>
  <c r="U305" i="19" s="1"/>
  <c r="Z305" i="19" s="1"/>
  <c r="O307" i="19"/>
  <c r="U307" i="19" s="1"/>
  <c r="Z307" i="19" s="1"/>
  <c r="O309" i="19"/>
  <c r="U309" i="19" s="1"/>
  <c r="Z309" i="19" s="1"/>
  <c r="O318" i="19"/>
  <c r="U318" i="19" s="1"/>
  <c r="Z318" i="19" s="1"/>
  <c r="O321" i="19"/>
  <c r="U321" i="19" s="1"/>
  <c r="Z321" i="19" s="1"/>
  <c r="O329" i="19"/>
  <c r="U329" i="19" s="1"/>
  <c r="Z329" i="19" s="1"/>
  <c r="O330" i="19"/>
  <c r="U330" i="19" s="1"/>
  <c r="Z330" i="19" s="1"/>
  <c r="O304" i="19"/>
  <c r="U304" i="19" s="1"/>
  <c r="Z304" i="19" s="1"/>
  <c r="O308" i="19"/>
  <c r="U308" i="19" s="1"/>
  <c r="Z308" i="19" s="1"/>
  <c r="O315" i="19"/>
  <c r="U315" i="19" s="1"/>
  <c r="Z315" i="19" s="1"/>
  <c r="O314" i="19"/>
  <c r="U314" i="19" s="1"/>
  <c r="Z314" i="19" s="1"/>
  <c r="O317" i="19"/>
  <c r="U317" i="19" s="1"/>
  <c r="Z317" i="19" s="1"/>
  <c r="O331" i="19"/>
  <c r="U331" i="19" s="1"/>
  <c r="Z331" i="19" s="1"/>
  <c r="O303" i="19"/>
  <c r="U303" i="19" s="1"/>
  <c r="O313" i="19"/>
  <c r="U313" i="19" s="1"/>
  <c r="Z313" i="19" s="1"/>
  <c r="O316" i="19"/>
  <c r="U316" i="19" s="1"/>
  <c r="Z316" i="19" s="1"/>
  <c r="O312" i="19"/>
  <c r="U312" i="19" s="1"/>
  <c r="Z312" i="19" s="1"/>
  <c r="O304" i="17"/>
  <c r="U304" i="17" s="1"/>
  <c r="Z304" i="17" s="1"/>
  <c r="O305" i="17"/>
  <c r="U305" i="17" s="1"/>
  <c r="Z305" i="17" s="1"/>
  <c r="O309" i="17"/>
  <c r="U309" i="17" s="1"/>
  <c r="Z309" i="17" s="1"/>
  <c r="O311" i="17"/>
  <c r="U311" i="17" s="1"/>
  <c r="Z311" i="17" s="1"/>
  <c r="O317" i="17"/>
  <c r="U317" i="17" s="1"/>
  <c r="Z317" i="17" s="1"/>
  <c r="O320" i="17"/>
  <c r="U320" i="17" s="1"/>
  <c r="Z320" i="17" s="1"/>
  <c r="O322" i="17"/>
  <c r="U322" i="17" s="1"/>
  <c r="Z322" i="17" s="1"/>
  <c r="O325" i="17"/>
  <c r="U325" i="17" s="1"/>
  <c r="Z325" i="17" s="1"/>
  <c r="O326" i="17"/>
  <c r="U326" i="17" s="1"/>
  <c r="Z326" i="17" s="1"/>
  <c r="O310" i="17"/>
  <c r="U310" i="17" s="1"/>
  <c r="Z310" i="17" s="1"/>
  <c r="O315" i="17"/>
  <c r="U315" i="17" s="1"/>
  <c r="Z315" i="17" s="1"/>
  <c r="O316" i="17"/>
  <c r="U316" i="17" s="1"/>
  <c r="Z316" i="17" s="1"/>
  <c r="O321" i="17"/>
  <c r="U321" i="17" s="1"/>
  <c r="Z321" i="17" s="1"/>
  <c r="O303" i="17"/>
  <c r="U303" i="17" s="1"/>
  <c r="O308" i="17"/>
  <c r="U308" i="17" s="1"/>
  <c r="Z308" i="17" s="1"/>
  <c r="O331" i="17"/>
  <c r="U331" i="17" s="1"/>
  <c r="Z331" i="17" s="1"/>
  <c r="O314" i="17"/>
  <c r="U314" i="17" s="1"/>
  <c r="Z314" i="17" s="1"/>
  <c r="O307" i="17"/>
  <c r="U307" i="17" s="1"/>
  <c r="Z307" i="17" s="1"/>
  <c r="O313" i="17"/>
  <c r="U313" i="17" s="1"/>
  <c r="Z313" i="17" s="1"/>
  <c r="O319" i="17"/>
  <c r="U319" i="17" s="1"/>
  <c r="Z319" i="17" s="1"/>
  <c r="O332" i="17"/>
  <c r="U332" i="17" s="1"/>
  <c r="Z332" i="17" s="1"/>
  <c r="O306" i="17"/>
  <c r="U306" i="17" s="1"/>
  <c r="Z306" i="17" s="1"/>
  <c r="O312" i="17"/>
  <c r="U312" i="17" s="1"/>
  <c r="Z312" i="17" s="1"/>
  <c r="O324" i="17"/>
  <c r="U324" i="17" s="1"/>
  <c r="Z324" i="17" s="1"/>
  <c r="O327" i="17"/>
  <c r="U327" i="17" s="1"/>
  <c r="Z327" i="17" s="1"/>
  <c r="O328" i="17"/>
  <c r="U328" i="17" s="1"/>
  <c r="Z328" i="17" s="1"/>
  <c r="O329" i="17"/>
  <c r="U329" i="17" s="1"/>
  <c r="Z329" i="17" s="1"/>
  <c r="O318" i="17"/>
  <c r="U318" i="17" s="1"/>
  <c r="Z318" i="17" s="1"/>
  <c r="O323" i="17"/>
  <c r="U323" i="17" s="1"/>
  <c r="Z323" i="17" s="1"/>
  <c r="O330" i="17"/>
  <c r="U330" i="17" s="1"/>
  <c r="Z330" i="17" s="1"/>
  <c r="O316" i="16"/>
  <c r="U316" i="16" s="1"/>
  <c r="Z316" i="16" s="1"/>
  <c r="O318" i="16"/>
  <c r="U318" i="16" s="1"/>
  <c r="Z318" i="16" s="1"/>
  <c r="O324" i="16"/>
  <c r="U324" i="16" s="1"/>
  <c r="Z324" i="16" s="1"/>
  <c r="O329" i="16"/>
  <c r="U329" i="16" s="1"/>
  <c r="Z329" i="16" s="1"/>
  <c r="O312" i="16"/>
  <c r="U312" i="16" s="1"/>
  <c r="Z312" i="16" s="1"/>
  <c r="O323" i="16"/>
  <c r="U323" i="16" s="1"/>
  <c r="Z323" i="16" s="1"/>
  <c r="O328" i="16"/>
  <c r="U328" i="16" s="1"/>
  <c r="Z328" i="16" s="1"/>
  <c r="O330" i="16"/>
  <c r="U330" i="16" s="1"/>
  <c r="Z330" i="16" s="1"/>
  <c r="O325" i="9"/>
  <c r="U325" i="9" s="1"/>
  <c r="Z325" i="9" s="1"/>
  <c r="O326" i="9"/>
  <c r="U326" i="9" s="1"/>
  <c r="Z326" i="9" s="1"/>
  <c r="O306" i="16"/>
  <c r="U306" i="16" s="1"/>
  <c r="Z306" i="16" s="1"/>
  <c r="O317" i="16"/>
  <c r="U317" i="16" s="1"/>
  <c r="Z317" i="16" s="1"/>
  <c r="O322" i="16"/>
  <c r="U322" i="16" s="1"/>
  <c r="Z322" i="16" s="1"/>
  <c r="O327" i="16"/>
  <c r="U327" i="16" s="1"/>
  <c r="Z327" i="16" s="1"/>
  <c r="O303" i="16"/>
  <c r="U303" i="16" s="1"/>
  <c r="O315" i="16"/>
  <c r="U315" i="16" s="1"/>
  <c r="Z315" i="16" s="1"/>
  <c r="O314" i="16"/>
  <c r="U314" i="16" s="1"/>
  <c r="Z314" i="16" s="1"/>
  <c r="O319" i="16"/>
  <c r="U319" i="16" s="1"/>
  <c r="Z319" i="16" s="1"/>
  <c r="O332" i="16"/>
  <c r="U332" i="16" s="1"/>
  <c r="Z332" i="16" s="1"/>
  <c r="O331" i="16"/>
  <c r="U331" i="16" s="1"/>
  <c r="Z331" i="16" s="1"/>
  <c r="O328" i="9"/>
  <c r="U328" i="9" s="1"/>
  <c r="Z328" i="9" s="1"/>
  <c r="O329" i="9"/>
  <c r="U329" i="9" s="1"/>
  <c r="Z329" i="9" s="1"/>
  <c r="O330" i="9"/>
  <c r="U330" i="9" s="1"/>
  <c r="Z330" i="9" s="1"/>
  <c r="O331" i="9"/>
  <c r="U331" i="9" s="1"/>
  <c r="Z331" i="9" s="1"/>
  <c r="O332" i="9"/>
  <c r="U332" i="9" s="1"/>
  <c r="Z332" i="9" s="1"/>
  <c r="O304" i="16"/>
  <c r="U304" i="16" s="1"/>
  <c r="Z304" i="16" s="1"/>
  <c r="O325" i="16"/>
  <c r="U325" i="16" s="1"/>
  <c r="Z325" i="16" s="1"/>
  <c r="O321" i="16"/>
  <c r="U321" i="16" s="1"/>
  <c r="Z321" i="16" s="1"/>
  <c r="O313" i="16"/>
  <c r="U313" i="16" s="1"/>
  <c r="Z313" i="16" s="1"/>
  <c r="O309" i="16"/>
  <c r="U309" i="16" s="1"/>
  <c r="Z309" i="16" s="1"/>
  <c r="O310" i="16"/>
  <c r="U310" i="16" s="1"/>
  <c r="Z310" i="16" s="1"/>
  <c r="O311" i="16"/>
  <c r="U311" i="16" s="1"/>
  <c r="Z311" i="16" s="1"/>
  <c r="O320" i="16"/>
  <c r="U320" i="16" s="1"/>
  <c r="Z320" i="16" s="1"/>
  <c r="O305" i="16"/>
  <c r="U305" i="16" s="1"/>
  <c r="Z305" i="16" s="1"/>
  <c r="O307" i="16"/>
  <c r="U307" i="16" s="1"/>
  <c r="Z307" i="16" s="1"/>
  <c r="O308" i="16"/>
  <c r="U308" i="16" s="1"/>
  <c r="Z308" i="16" s="1"/>
  <c r="O326" i="16"/>
  <c r="U326" i="16" s="1"/>
  <c r="Z326" i="16" s="1"/>
  <c r="O327" i="9"/>
  <c r="U327" i="9" s="1"/>
  <c r="Z327" i="9" s="1"/>
  <c r="AD286" i="16"/>
  <c r="AC286" i="16"/>
  <c r="AC298" i="9"/>
  <c r="AD298" i="9"/>
  <c r="AC297" i="16"/>
  <c r="AD297" i="16"/>
  <c r="AC302" i="9"/>
  <c r="AD302" i="9"/>
  <c r="AC294" i="17"/>
  <c r="AD294" i="17"/>
  <c r="AC302" i="17"/>
  <c r="AD302" i="17"/>
  <c r="AD301" i="17"/>
  <c r="AC301" i="17"/>
  <c r="AD300" i="17"/>
  <c r="AC300" i="17"/>
  <c r="AD302" i="19"/>
  <c r="AC302" i="19"/>
  <c r="AD274" i="19"/>
  <c r="AC274" i="19"/>
  <c r="AC300" i="19"/>
  <c r="AD300" i="19"/>
  <c r="AC288" i="19"/>
  <c r="AD288" i="19"/>
  <c r="AD275" i="16"/>
  <c r="AC275" i="16"/>
  <c r="AD295" i="9"/>
  <c r="AC295" i="9"/>
  <c r="AD296" i="16"/>
  <c r="AC296" i="16"/>
  <c r="AC299" i="9"/>
  <c r="AD299" i="9"/>
  <c r="AC289" i="17"/>
  <c r="AD289" i="17"/>
  <c r="AD284" i="17"/>
  <c r="AC284" i="17"/>
  <c r="AD299" i="17"/>
  <c r="AC299" i="17"/>
  <c r="AC297" i="17"/>
  <c r="AD297" i="17"/>
  <c r="AD295" i="19"/>
  <c r="AC295" i="19"/>
  <c r="AC301" i="19"/>
  <c r="AD301" i="19"/>
  <c r="AD299" i="19"/>
  <c r="AC299" i="19"/>
  <c r="AC294" i="19"/>
  <c r="AD294" i="19"/>
  <c r="AC300" i="16"/>
  <c r="AD300" i="16"/>
  <c r="AC300" i="9"/>
  <c r="AD300" i="9"/>
  <c r="AC302" i="16"/>
  <c r="AD302" i="16"/>
  <c r="AD292" i="16"/>
  <c r="AC292" i="16"/>
  <c r="AD296" i="9"/>
  <c r="AC296" i="9"/>
  <c r="AD282" i="17"/>
  <c r="AC282" i="17"/>
  <c r="AD278" i="17"/>
  <c r="AC278" i="17"/>
  <c r="AD286" i="17"/>
  <c r="AC286" i="17"/>
  <c r="AC295" i="17"/>
  <c r="AD295" i="17"/>
  <c r="AD291" i="19"/>
  <c r="AC291" i="19"/>
  <c r="AD296" i="19"/>
  <c r="AC296" i="19"/>
  <c r="AC298" i="19"/>
  <c r="AD298" i="19"/>
  <c r="AC284" i="19"/>
  <c r="AD284" i="19"/>
  <c r="AD289" i="16"/>
  <c r="AC289" i="16"/>
  <c r="AD294" i="16"/>
  <c r="AC294" i="16"/>
  <c r="AC291" i="16"/>
  <c r="AD291" i="16"/>
  <c r="AD290" i="16"/>
  <c r="AC290" i="16"/>
  <c r="AC285" i="16"/>
  <c r="AD285" i="16"/>
  <c r="AD296" i="17"/>
  <c r="AC296" i="17"/>
  <c r="AC292" i="17"/>
  <c r="AD292" i="17"/>
  <c r="AD274" i="17"/>
  <c r="AC274" i="17"/>
  <c r="AC288" i="17"/>
  <c r="AD288" i="17"/>
  <c r="AD285" i="19"/>
  <c r="AC285" i="19"/>
  <c r="AD292" i="19"/>
  <c r="AC292" i="19"/>
  <c r="AC297" i="19"/>
  <c r="AD297" i="19"/>
  <c r="AC279" i="19"/>
  <c r="AD279" i="19"/>
  <c r="E22" i="13"/>
  <c r="K22" i="13"/>
  <c r="AC243" i="9"/>
  <c r="AC281" i="9"/>
  <c r="AD281" i="9"/>
  <c r="AD279" i="9"/>
  <c r="AC279" i="9"/>
  <c r="AC276" i="9"/>
  <c r="AD276" i="9"/>
  <c r="AD293" i="9"/>
  <c r="AC293" i="9"/>
  <c r="AC282" i="9"/>
  <c r="AD282" i="9"/>
  <c r="AD292" i="9"/>
  <c r="AC292" i="9"/>
  <c r="AD280" i="9"/>
  <c r="AC280" i="9"/>
  <c r="AC290" i="9"/>
  <c r="AD290" i="9"/>
  <c r="AD275" i="9"/>
  <c r="AC275" i="9"/>
  <c r="AC289" i="9"/>
  <c r="AD289" i="9"/>
  <c r="AD288" i="9"/>
  <c r="AC288" i="9"/>
  <c r="AC291" i="9"/>
  <c r="AD291" i="9"/>
  <c r="AD284" i="9"/>
  <c r="AC284" i="9"/>
  <c r="AD277" i="9"/>
  <c r="AC277" i="9"/>
  <c r="AD274" i="9"/>
  <c r="AC274" i="9"/>
  <c r="AD287" i="9"/>
  <c r="AC287" i="9"/>
  <c r="AC285" i="9"/>
  <c r="AD285" i="9"/>
  <c r="AD286" i="9"/>
  <c r="AC286" i="9"/>
  <c r="AD283" i="9"/>
  <c r="AC283" i="9"/>
  <c r="AD278" i="9"/>
  <c r="AC278" i="9"/>
  <c r="AD294" i="9"/>
  <c r="AC294" i="9"/>
  <c r="J16" i="4"/>
  <c r="I17" i="4"/>
  <c r="O321" i="9"/>
  <c r="U321" i="9" s="1"/>
  <c r="Z321" i="9" s="1"/>
  <c r="O313" i="9"/>
  <c r="U313" i="9" s="1"/>
  <c r="Z313" i="9" s="1"/>
  <c r="O305" i="9"/>
  <c r="U305" i="9" s="1"/>
  <c r="Z305" i="9" s="1"/>
  <c r="O318" i="9"/>
  <c r="U318" i="9" s="1"/>
  <c r="Z318" i="9" s="1"/>
  <c r="O310" i="9"/>
  <c r="U310" i="9" s="1"/>
  <c r="Z310" i="9" s="1"/>
  <c r="O324" i="9"/>
  <c r="U324" i="9" s="1"/>
  <c r="Z324" i="9" s="1"/>
  <c r="O311" i="9"/>
  <c r="U311" i="9" s="1"/>
  <c r="Z311" i="9" s="1"/>
  <c r="O308" i="9"/>
  <c r="U308" i="9" s="1"/>
  <c r="Z308" i="9" s="1"/>
  <c r="O320" i="9"/>
  <c r="U320" i="9" s="1"/>
  <c r="Z320" i="9" s="1"/>
  <c r="O317" i="9"/>
  <c r="U317" i="9" s="1"/>
  <c r="Z317" i="9" s="1"/>
  <c r="O314" i="9"/>
  <c r="U314" i="9" s="1"/>
  <c r="Z314" i="9" s="1"/>
  <c r="O304" i="9"/>
  <c r="U304" i="9" s="1"/>
  <c r="Z304" i="9" s="1"/>
  <c r="O323" i="9"/>
  <c r="U323" i="9" s="1"/>
  <c r="Z323" i="9" s="1"/>
  <c r="O307" i="9"/>
  <c r="U307" i="9" s="1"/>
  <c r="Z307" i="9" s="1"/>
  <c r="O319" i="9"/>
  <c r="U319" i="9" s="1"/>
  <c r="Z319" i="9" s="1"/>
  <c r="O316" i="9"/>
  <c r="U316" i="9" s="1"/>
  <c r="Z316" i="9" s="1"/>
  <c r="O303" i="9"/>
  <c r="U303" i="9" s="1"/>
  <c r="O322" i="9"/>
  <c r="U322" i="9" s="1"/>
  <c r="Z322" i="9" s="1"/>
  <c r="O312" i="9"/>
  <c r="U312" i="9" s="1"/>
  <c r="Z312" i="9" s="1"/>
  <c r="O309" i="9"/>
  <c r="U309" i="9" s="1"/>
  <c r="Z309" i="9" s="1"/>
  <c r="O306" i="9"/>
  <c r="U306" i="9" s="1"/>
  <c r="Z306" i="9" s="1"/>
  <c r="O315" i="9"/>
  <c r="U315" i="9" s="1"/>
  <c r="Z315" i="9" s="1"/>
  <c r="AC273" i="25" l="1"/>
  <c r="Z303" i="25"/>
  <c r="AD303" i="25" s="1"/>
  <c r="D94" i="11"/>
  <c r="I94" i="11" s="1"/>
  <c r="M23" i="13"/>
  <c r="O360" i="25"/>
  <c r="U360" i="25" s="1"/>
  <c r="Z360" i="25" s="1"/>
  <c r="O361" i="25"/>
  <c r="U361" i="25" s="1"/>
  <c r="Z361" i="25" s="1"/>
  <c r="O347" i="25"/>
  <c r="U347" i="25" s="1"/>
  <c r="Z347" i="25" s="1"/>
  <c r="O339" i="25"/>
  <c r="U339" i="25" s="1"/>
  <c r="Z339" i="25" s="1"/>
  <c r="O346" i="25"/>
  <c r="U346" i="25" s="1"/>
  <c r="Z346" i="25" s="1"/>
  <c r="O338" i="25"/>
  <c r="U338" i="25" s="1"/>
  <c r="Z338" i="25" s="1"/>
  <c r="O358" i="25"/>
  <c r="U358" i="25" s="1"/>
  <c r="Z358" i="25" s="1"/>
  <c r="O354" i="25"/>
  <c r="U354" i="25" s="1"/>
  <c r="Z354" i="25" s="1"/>
  <c r="O353" i="25"/>
  <c r="U353" i="25" s="1"/>
  <c r="Z353" i="25" s="1"/>
  <c r="O345" i="25"/>
  <c r="U345" i="25" s="1"/>
  <c r="Z345" i="25" s="1"/>
  <c r="O362" i="25"/>
  <c r="U362" i="25" s="1"/>
  <c r="Z362" i="25" s="1"/>
  <c r="O355" i="25"/>
  <c r="U355" i="25" s="1"/>
  <c r="Z355" i="25" s="1"/>
  <c r="O352" i="25"/>
  <c r="U352" i="25" s="1"/>
  <c r="Z352" i="25" s="1"/>
  <c r="O344" i="25"/>
  <c r="U344" i="25" s="1"/>
  <c r="Z344" i="25" s="1"/>
  <c r="O336" i="25"/>
  <c r="U336" i="25" s="1"/>
  <c r="Z336" i="25" s="1"/>
  <c r="O351" i="25"/>
  <c r="U351" i="25" s="1"/>
  <c r="Z351" i="25" s="1"/>
  <c r="O343" i="25"/>
  <c r="U343" i="25" s="1"/>
  <c r="Z343" i="25" s="1"/>
  <c r="O356" i="25"/>
  <c r="U356" i="25" s="1"/>
  <c r="Z356" i="25" s="1"/>
  <c r="O350" i="25"/>
  <c r="U350" i="25" s="1"/>
  <c r="Z350" i="25" s="1"/>
  <c r="O342" i="25"/>
  <c r="U342" i="25" s="1"/>
  <c r="Z342" i="25" s="1"/>
  <c r="O334" i="25"/>
  <c r="U334" i="25" s="1"/>
  <c r="Z334" i="25" s="1"/>
  <c r="O349" i="25"/>
  <c r="U349" i="25" s="1"/>
  <c r="Z349" i="25" s="1"/>
  <c r="O341" i="25"/>
  <c r="U341" i="25" s="1"/>
  <c r="Z341" i="25" s="1"/>
  <c r="O335" i="25"/>
  <c r="U335" i="25" s="1"/>
  <c r="Z335" i="25" s="1"/>
  <c r="O333" i="25"/>
  <c r="U333" i="25" s="1"/>
  <c r="O340" i="25"/>
  <c r="U340" i="25" s="1"/>
  <c r="Z340" i="25" s="1"/>
  <c r="O337" i="25"/>
  <c r="U337" i="25" s="1"/>
  <c r="Z337" i="25" s="1"/>
  <c r="O359" i="25"/>
  <c r="U359" i="25" s="1"/>
  <c r="Z359" i="25" s="1"/>
  <c r="O348" i="25"/>
  <c r="U348" i="25" s="1"/>
  <c r="Z348" i="25" s="1"/>
  <c r="O357" i="25"/>
  <c r="U357" i="25" s="1"/>
  <c r="Z357" i="25" s="1"/>
  <c r="AD319" i="25"/>
  <c r="AC319" i="25"/>
  <c r="AD320" i="25"/>
  <c r="AC320" i="25"/>
  <c r="AD307" i="25"/>
  <c r="AC307" i="25"/>
  <c r="AD317" i="25"/>
  <c r="AC317" i="25"/>
  <c r="AD311" i="25"/>
  <c r="AC311" i="25"/>
  <c r="AD321" i="25"/>
  <c r="AC321" i="25"/>
  <c r="AD315" i="25"/>
  <c r="AC315" i="25"/>
  <c r="AD326" i="25"/>
  <c r="AC326" i="25"/>
  <c r="AD310" i="25"/>
  <c r="AC310" i="25"/>
  <c r="AC305" i="25"/>
  <c r="AD305" i="25"/>
  <c r="AC327" i="25"/>
  <c r="AD327" i="25"/>
  <c r="AD328" i="25"/>
  <c r="AC328" i="25"/>
  <c r="AD318" i="25"/>
  <c r="AC318" i="25"/>
  <c r="AC313" i="25"/>
  <c r="AD313" i="25"/>
  <c r="AC332" i="25"/>
  <c r="AD332" i="25"/>
  <c r="AD331" i="25"/>
  <c r="AC331" i="25"/>
  <c r="AD323" i="25"/>
  <c r="AC323" i="25"/>
  <c r="AD325" i="25"/>
  <c r="AC325" i="25"/>
  <c r="AD308" i="25"/>
  <c r="AC308" i="25"/>
  <c r="AD329" i="25"/>
  <c r="AC329" i="25"/>
  <c r="AC330" i="25"/>
  <c r="AD330" i="25"/>
  <c r="AD316" i="25"/>
  <c r="AC316" i="25"/>
  <c r="AD322" i="25"/>
  <c r="AC322" i="25"/>
  <c r="AD304" i="25"/>
  <c r="AC304" i="25"/>
  <c r="AC306" i="25"/>
  <c r="AD306" i="25"/>
  <c r="AC324" i="25"/>
  <c r="AD324" i="25"/>
  <c r="AD312" i="25"/>
  <c r="AC312" i="25"/>
  <c r="AC314" i="25"/>
  <c r="AD314" i="25"/>
  <c r="AD309" i="25"/>
  <c r="AC309" i="25"/>
  <c r="AD273" i="17"/>
  <c r="I23" i="13" s="1"/>
  <c r="Z303" i="9"/>
  <c r="AD303" i="9" s="1"/>
  <c r="D14" i="11"/>
  <c r="I14" i="11" s="1"/>
  <c r="AC273" i="16"/>
  <c r="D74" i="11"/>
  <c r="I74" i="11" s="1"/>
  <c r="Z303" i="16"/>
  <c r="AC303" i="16" s="1"/>
  <c r="D34" i="11"/>
  <c r="I34" i="11" s="1"/>
  <c r="Z303" i="17"/>
  <c r="AC303" i="17" s="1"/>
  <c r="D54" i="11"/>
  <c r="I54" i="11" s="1"/>
  <c r="AD273" i="19"/>
  <c r="K23" i="13" s="1"/>
  <c r="Z303" i="19"/>
  <c r="AC303" i="19" s="1"/>
  <c r="AC308" i="16"/>
  <c r="AD308" i="16"/>
  <c r="AC321" i="16"/>
  <c r="AD321" i="16"/>
  <c r="AC331" i="16"/>
  <c r="AD331" i="16"/>
  <c r="AD317" i="16"/>
  <c r="AC317" i="16"/>
  <c r="AD329" i="16"/>
  <c r="AC329" i="16"/>
  <c r="AD328" i="17"/>
  <c r="AC328" i="17"/>
  <c r="AC307" i="17"/>
  <c r="AD307" i="17"/>
  <c r="AC310" i="17"/>
  <c r="AD310" i="17"/>
  <c r="AD305" i="17"/>
  <c r="AC305" i="17"/>
  <c r="AD314" i="19"/>
  <c r="AC314" i="19"/>
  <c r="AD309" i="19"/>
  <c r="AC309" i="19"/>
  <c r="AC326" i="19"/>
  <c r="AD326" i="19"/>
  <c r="O341" i="19"/>
  <c r="U341" i="19" s="1"/>
  <c r="Z341" i="19" s="1"/>
  <c r="O360" i="19"/>
  <c r="U360" i="19" s="1"/>
  <c r="Z360" i="19" s="1"/>
  <c r="O336" i="19"/>
  <c r="U336" i="19" s="1"/>
  <c r="Z336" i="19" s="1"/>
  <c r="O346" i="19"/>
  <c r="U346" i="19" s="1"/>
  <c r="Z346" i="19" s="1"/>
  <c r="O354" i="19"/>
  <c r="U354" i="19" s="1"/>
  <c r="Z354" i="19" s="1"/>
  <c r="O362" i="19"/>
  <c r="U362" i="19" s="1"/>
  <c r="Z362" i="19" s="1"/>
  <c r="O345" i="19"/>
  <c r="U345" i="19" s="1"/>
  <c r="Z345" i="19" s="1"/>
  <c r="O353" i="19"/>
  <c r="U353" i="19" s="1"/>
  <c r="Z353" i="19" s="1"/>
  <c r="O335" i="19"/>
  <c r="U335" i="19" s="1"/>
  <c r="Z335" i="19" s="1"/>
  <c r="O339" i="19"/>
  <c r="U339" i="19" s="1"/>
  <c r="Z339" i="19" s="1"/>
  <c r="O344" i="19"/>
  <c r="U344" i="19" s="1"/>
  <c r="Z344" i="19" s="1"/>
  <c r="O352" i="19"/>
  <c r="U352" i="19" s="1"/>
  <c r="Z352" i="19" s="1"/>
  <c r="O361" i="19"/>
  <c r="U361" i="19" s="1"/>
  <c r="Z361" i="19" s="1"/>
  <c r="O337" i="19"/>
  <c r="U337" i="19" s="1"/>
  <c r="Z337" i="19" s="1"/>
  <c r="O338" i="19"/>
  <c r="U338" i="19" s="1"/>
  <c r="Z338" i="19" s="1"/>
  <c r="O351" i="19"/>
  <c r="U351" i="19" s="1"/>
  <c r="Z351" i="19" s="1"/>
  <c r="O334" i="19"/>
  <c r="U334" i="19" s="1"/>
  <c r="Z334" i="19" s="1"/>
  <c r="O343" i="19"/>
  <c r="U343" i="19" s="1"/>
  <c r="Z343" i="19" s="1"/>
  <c r="O356" i="19"/>
  <c r="U356" i="19" s="1"/>
  <c r="Z356" i="19" s="1"/>
  <c r="O340" i="19"/>
  <c r="U340" i="19" s="1"/>
  <c r="Z340" i="19" s="1"/>
  <c r="O349" i="19"/>
  <c r="U349" i="19" s="1"/>
  <c r="Z349" i="19" s="1"/>
  <c r="O350" i="19"/>
  <c r="U350" i="19" s="1"/>
  <c r="Z350" i="19" s="1"/>
  <c r="O333" i="19"/>
  <c r="U333" i="19" s="1"/>
  <c r="O342" i="19"/>
  <c r="U342" i="19" s="1"/>
  <c r="Z342" i="19" s="1"/>
  <c r="O355" i="19"/>
  <c r="U355" i="19" s="1"/>
  <c r="Z355" i="19" s="1"/>
  <c r="O359" i="19"/>
  <c r="U359" i="19" s="1"/>
  <c r="Z359" i="19" s="1"/>
  <c r="O358" i="19"/>
  <c r="U358" i="19" s="1"/>
  <c r="Z358" i="19" s="1"/>
  <c r="O347" i="19"/>
  <c r="U347" i="19" s="1"/>
  <c r="Z347" i="19" s="1"/>
  <c r="O335" i="17"/>
  <c r="U335" i="17" s="1"/>
  <c r="Z335" i="17" s="1"/>
  <c r="O350" i="17"/>
  <c r="U350" i="17" s="1"/>
  <c r="Z350" i="17" s="1"/>
  <c r="O359" i="17"/>
  <c r="U359" i="17" s="1"/>
  <c r="Z359" i="17" s="1"/>
  <c r="O342" i="17"/>
  <c r="U342" i="17" s="1"/>
  <c r="Z342" i="17" s="1"/>
  <c r="O354" i="17"/>
  <c r="U354" i="17" s="1"/>
  <c r="Z354" i="17" s="1"/>
  <c r="O334" i="17"/>
  <c r="U334" i="17" s="1"/>
  <c r="Z334" i="17" s="1"/>
  <c r="O341" i="17"/>
  <c r="U341" i="17" s="1"/>
  <c r="Z341" i="17" s="1"/>
  <c r="O349" i="17"/>
  <c r="U349" i="17" s="1"/>
  <c r="Z349" i="17" s="1"/>
  <c r="O360" i="17"/>
  <c r="U360" i="17" s="1"/>
  <c r="Z360" i="17" s="1"/>
  <c r="O345" i="17"/>
  <c r="U345" i="17" s="1"/>
  <c r="Z345" i="17" s="1"/>
  <c r="O348" i="17"/>
  <c r="U348" i="17" s="1"/>
  <c r="Z348" i="17" s="1"/>
  <c r="O353" i="17"/>
  <c r="U353" i="17" s="1"/>
  <c r="Z353" i="17" s="1"/>
  <c r="O355" i="17"/>
  <c r="U355" i="17" s="1"/>
  <c r="Z355" i="17" s="1"/>
  <c r="O361" i="17"/>
  <c r="U361" i="17" s="1"/>
  <c r="Z361" i="17" s="1"/>
  <c r="O357" i="19"/>
  <c r="U357" i="19" s="1"/>
  <c r="Z357" i="19" s="1"/>
  <c r="O333" i="17"/>
  <c r="U333" i="17" s="1"/>
  <c r="O339" i="17"/>
  <c r="U339" i="17" s="1"/>
  <c r="Z339" i="17" s="1"/>
  <c r="O346" i="17"/>
  <c r="U346" i="17" s="1"/>
  <c r="Z346" i="17" s="1"/>
  <c r="O347" i="17"/>
  <c r="U347" i="17" s="1"/>
  <c r="Z347" i="17" s="1"/>
  <c r="O356" i="17"/>
  <c r="U356" i="17" s="1"/>
  <c r="Z356" i="17" s="1"/>
  <c r="O338" i="17"/>
  <c r="U338" i="17" s="1"/>
  <c r="Z338" i="17" s="1"/>
  <c r="O344" i="17"/>
  <c r="U344" i="17" s="1"/>
  <c r="Z344" i="17" s="1"/>
  <c r="O352" i="17"/>
  <c r="U352" i="17" s="1"/>
  <c r="Z352" i="17" s="1"/>
  <c r="O357" i="17"/>
  <c r="U357" i="17" s="1"/>
  <c r="Z357" i="17" s="1"/>
  <c r="O362" i="17"/>
  <c r="U362" i="17" s="1"/>
  <c r="Z362" i="17" s="1"/>
  <c r="O336" i="17"/>
  <c r="U336" i="17" s="1"/>
  <c r="Z336" i="17" s="1"/>
  <c r="O337" i="17"/>
  <c r="U337" i="17" s="1"/>
  <c r="Z337" i="17" s="1"/>
  <c r="O348" i="19"/>
  <c r="U348" i="19" s="1"/>
  <c r="Z348" i="19" s="1"/>
  <c r="O340" i="17"/>
  <c r="U340" i="17" s="1"/>
  <c r="Z340" i="17" s="1"/>
  <c r="O343" i="17"/>
  <c r="U343" i="17" s="1"/>
  <c r="Z343" i="17" s="1"/>
  <c r="O351" i="17"/>
  <c r="U351" i="17" s="1"/>
  <c r="Z351" i="17" s="1"/>
  <c r="O358" i="17"/>
  <c r="U358" i="17" s="1"/>
  <c r="Z358" i="17" s="1"/>
  <c r="O336" i="16"/>
  <c r="U336" i="16" s="1"/>
  <c r="Z336" i="16" s="1"/>
  <c r="O338" i="16"/>
  <c r="U338" i="16" s="1"/>
  <c r="Z338" i="16" s="1"/>
  <c r="O353" i="16"/>
  <c r="U353" i="16" s="1"/>
  <c r="Z353" i="16" s="1"/>
  <c r="O361" i="16"/>
  <c r="U361" i="16" s="1"/>
  <c r="Z361" i="16" s="1"/>
  <c r="O361" i="9"/>
  <c r="U361" i="9" s="1"/>
  <c r="Z361" i="9" s="1"/>
  <c r="O337" i="16"/>
  <c r="U337" i="16" s="1"/>
  <c r="Z337" i="16" s="1"/>
  <c r="O340" i="16"/>
  <c r="U340" i="16" s="1"/>
  <c r="Z340" i="16" s="1"/>
  <c r="O343" i="16"/>
  <c r="U343" i="16" s="1"/>
  <c r="Z343" i="16" s="1"/>
  <c r="O352" i="16"/>
  <c r="U352" i="16" s="1"/>
  <c r="Z352" i="16" s="1"/>
  <c r="O355" i="9"/>
  <c r="U355" i="9" s="1"/>
  <c r="Z355" i="9" s="1"/>
  <c r="O362" i="9"/>
  <c r="U362" i="9" s="1"/>
  <c r="Z362" i="9" s="1"/>
  <c r="O335" i="16"/>
  <c r="U335" i="16" s="1"/>
  <c r="Z335" i="16" s="1"/>
  <c r="O333" i="16"/>
  <c r="U333" i="16" s="1"/>
  <c r="O341" i="16"/>
  <c r="U341" i="16" s="1"/>
  <c r="Z341" i="16" s="1"/>
  <c r="O347" i="16"/>
  <c r="U347" i="16" s="1"/>
  <c r="Z347" i="16" s="1"/>
  <c r="O360" i="16"/>
  <c r="U360" i="16" s="1"/>
  <c r="Z360" i="16" s="1"/>
  <c r="O339" i="16"/>
  <c r="U339" i="16" s="1"/>
  <c r="Z339" i="16" s="1"/>
  <c r="O345" i="16"/>
  <c r="U345" i="16" s="1"/>
  <c r="Z345" i="16" s="1"/>
  <c r="O346" i="16"/>
  <c r="U346" i="16" s="1"/>
  <c r="Z346" i="16" s="1"/>
  <c r="O356" i="16"/>
  <c r="U356" i="16" s="1"/>
  <c r="Z356" i="16" s="1"/>
  <c r="O357" i="16"/>
  <c r="U357" i="16" s="1"/>
  <c r="Z357" i="16" s="1"/>
  <c r="O358" i="9"/>
  <c r="U358" i="9" s="1"/>
  <c r="Z358" i="9" s="1"/>
  <c r="O359" i="9"/>
  <c r="U359" i="9" s="1"/>
  <c r="Z359" i="9" s="1"/>
  <c r="O360" i="9"/>
  <c r="U360" i="9" s="1"/>
  <c r="Z360" i="9" s="1"/>
  <c r="O342" i="16"/>
  <c r="U342" i="16" s="1"/>
  <c r="Z342" i="16" s="1"/>
  <c r="O344" i="16"/>
  <c r="U344" i="16" s="1"/>
  <c r="Z344" i="16" s="1"/>
  <c r="O349" i="16"/>
  <c r="U349" i="16" s="1"/>
  <c r="Z349" i="16" s="1"/>
  <c r="O351" i="16"/>
  <c r="U351" i="16" s="1"/>
  <c r="Z351" i="16" s="1"/>
  <c r="O358" i="16"/>
  <c r="U358" i="16" s="1"/>
  <c r="Z358" i="16" s="1"/>
  <c r="O359" i="16"/>
  <c r="U359" i="16" s="1"/>
  <c r="Z359" i="16" s="1"/>
  <c r="O348" i="16"/>
  <c r="U348" i="16" s="1"/>
  <c r="Z348" i="16" s="1"/>
  <c r="O350" i="16"/>
  <c r="U350" i="16" s="1"/>
  <c r="Z350" i="16" s="1"/>
  <c r="O354" i="16"/>
  <c r="U354" i="16" s="1"/>
  <c r="Z354" i="16" s="1"/>
  <c r="O355" i="16"/>
  <c r="U355" i="16" s="1"/>
  <c r="Z355" i="16" s="1"/>
  <c r="O362" i="16"/>
  <c r="U362" i="16" s="1"/>
  <c r="Z362" i="16" s="1"/>
  <c r="O356" i="9"/>
  <c r="U356" i="9" s="1"/>
  <c r="Z356" i="9" s="1"/>
  <c r="O334" i="16"/>
  <c r="U334" i="16" s="1"/>
  <c r="Z334" i="16" s="1"/>
  <c r="O357" i="9"/>
  <c r="U357" i="9" s="1"/>
  <c r="Z357" i="9" s="1"/>
  <c r="AC307" i="16"/>
  <c r="AD307" i="16"/>
  <c r="AD325" i="16"/>
  <c r="AC325" i="16"/>
  <c r="AD332" i="16"/>
  <c r="AC332" i="16"/>
  <c r="AC306" i="16"/>
  <c r="AD306" i="16"/>
  <c r="AC324" i="16"/>
  <c r="AD324" i="16"/>
  <c r="AD327" i="17"/>
  <c r="AC327" i="17"/>
  <c r="AC314" i="17"/>
  <c r="AD314" i="17"/>
  <c r="AD326" i="17"/>
  <c r="AC326" i="17"/>
  <c r="AC304" i="17"/>
  <c r="AD304" i="17"/>
  <c r="AC315" i="19"/>
  <c r="AD315" i="19"/>
  <c r="AD307" i="19"/>
  <c r="AC307" i="19"/>
  <c r="AC323" i="19"/>
  <c r="AD323" i="19"/>
  <c r="AD305" i="16"/>
  <c r="AC305" i="16"/>
  <c r="AC304" i="16"/>
  <c r="AD304" i="16"/>
  <c r="AC319" i="16"/>
  <c r="AD319" i="16"/>
  <c r="AD326" i="9"/>
  <c r="AC326" i="9"/>
  <c r="AD318" i="16"/>
  <c r="AC318" i="16"/>
  <c r="AD324" i="17"/>
  <c r="AC324" i="17"/>
  <c r="AD331" i="17"/>
  <c r="AC331" i="17"/>
  <c r="AD325" i="17"/>
  <c r="AC325" i="17"/>
  <c r="AC312" i="19"/>
  <c r="AD312" i="19"/>
  <c r="AD308" i="19"/>
  <c r="AC308" i="19"/>
  <c r="AD305" i="19"/>
  <c r="AC305" i="19"/>
  <c r="AC319" i="19"/>
  <c r="AD319" i="19"/>
  <c r="AC320" i="16"/>
  <c r="AD320" i="16"/>
  <c r="AD332" i="9"/>
  <c r="AC332" i="9"/>
  <c r="AD314" i="16"/>
  <c r="AC314" i="16"/>
  <c r="AD325" i="9"/>
  <c r="AC325" i="9"/>
  <c r="AC316" i="16"/>
  <c r="AD316" i="16"/>
  <c r="AC312" i="17"/>
  <c r="AD312" i="17"/>
  <c r="AC308" i="17"/>
  <c r="AD308" i="17"/>
  <c r="AD322" i="17"/>
  <c r="AC322" i="17"/>
  <c r="AD316" i="19"/>
  <c r="AC316" i="19"/>
  <c r="AC304" i="19"/>
  <c r="AD304" i="19"/>
  <c r="AD325" i="19"/>
  <c r="AC325" i="19"/>
  <c r="AD311" i="19"/>
  <c r="AC311" i="19"/>
  <c r="AC311" i="16"/>
  <c r="AD311" i="16"/>
  <c r="AD331" i="9"/>
  <c r="AC331" i="9"/>
  <c r="AC315" i="16"/>
  <c r="AD315" i="16"/>
  <c r="AC330" i="16"/>
  <c r="AD330" i="16"/>
  <c r="AC330" i="17"/>
  <c r="AD330" i="17"/>
  <c r="AD306" i="17"/>
  <c r="AC306" i="17"/>
  <c r="AD320" i="17"/>
  <c r="AC320" i="17"/>
  <c r="AC313" i="19"/>
  <c r="AD313" i="19"/>
  <c r="AC330" i="19"/>
  <c r="AD330" i="19"/>
  <c r="AD322" i="19"/>
  <c r="AC322" i="19"/>
  <c r="AD310" i="19"/>
  <c r="AC310" i="19"/>
  <c r="AD310" i="16"/>
  <c r="AC310" i="16"/>
  <c r="AC330" i="9"/>
  <c r="AD330" i="9"/>
  <c r="AC328" i="16"/>
  <c r="AD328" i="16"/>
  <c r="AC323" i="17"/>
  <c r="AD323" i="17"/>
  <c r="AD332" i="17"/>
  <c r="AC332" i="17"/>
  <c r="AC321" i="17"/>
  <c r="AD321" i="17"/>
  <c r="AC317" i="17"/>
  <c r="AD317" i="17"/>
  <c r="AC329" i="19"/>
  <c r="AD329" i="19"/>
  <c r="AC306" i="19"/>
  <c r="AD306" i="19"/>
  <c r="AC328" i="19"/>
  <c r="AD328" i="19"/>
  <c r="G23" i="13"/>
  <c r="AC327" i="9"/>
  <c r="AD327" i="9"/>
  <c r="AD309" i="16"/>
  <c r="AC309" i="16"/>
  <c r="AD329" i="9"/>
  <c r="AC329" i="9"/>
  <c r="AD327" i="16"/>
  <c r="AC327" i="16"/>
  <c r="AD323" i="16"/>
  <c r="AC323" i="16"/>
  <c r="AD318" i="17"/>
  <c r="AC318" i="17"/>
  <c r="AD319" i="17"/>
  <c r="AC319" i="17"/>
  <c r="AC316" i="17"/>
  <c r="AD316" i="17"/>
  <c r="AC311" i="17"/>
  <c r="AD311" i="17"/>
  <c r="AD331" i="19"/>
  <c r="AC331" i="19"/>
  <c r="AD321" i="19"/>
  <c r="AC321" i="19"/>
  <c r="AD332" i="19"/>
  <c r="AC332" i="19"/>
  <c r="AD324" i="19"/>
  <c r="AC324" i="19"/>
  <c r="AD326" i="16"/>
  <c r="AC326" i="16"/>
  <c r="AD313" i="16"/>
  <c r="AC313" i="16"/>
  <c r="AD328" i="9"/>
  <c r="AC328" i="9"/>
  <c r="AC322" i="16"/>
  <c r="AD322" i="16"/>
  <c r="AC312" i="16"/>
  <c r="AD312" i="16"/>
  <c r="AC329" i="17"/>
  <c r="AD329" i="17"/>
  <c r="AC313" i="17"/>
  <c r="AD313" i="17"/>
  <c r="AC315" i="17"/>
  <c r="AD315" i="17"/>
  <c r="AC309" i="17"/>
  <c r="AD309" i="17"/>
  <c r="AC317" i="19"/>
  <c r="AD317" i="19"/>
  <c r="AD318" i="19"/>
  <c r="AC318" i="19"/>
  <c r="AD327" i="19"/>
  <c r="AC327" i="19"/>
  <c r="AD320" i="19"/>
  <c r="AC320" i="19"/>
  <c r="AD273" i="9"/>
  <c r="E23" i="13" s="1"/>
  <c r="AD323" i="9"/>
  <c r="AC323" i="9"/>
  <c r="AD310" i="9"/>
  <c r="AC310" i="9"/>
  <c r="AD318" i="9"/>
  <c r="AC318" i="9"/>
  <c r="AC305" i="9"/>
  <c r="AD305" i="9"/>
  <c r="AD322" i="9"/>
  <c r="AC322" i="9"/>
  <c r="AC317" i="9"/>
  <c r="AD317" i="9"/>
  <c r="AC313" i="9"/>
  <c r="AD313" i="9"/>
  <c r="AD314" i="9"/>
  <c r="AC314" i="9"/>
  <c r="AD320" i="9"/>
  <c r="AC320" i="9"/>
  <c r="AC321" i="9"/>
  <c r="AD321" i="9"/>
  <c r="AD309" i="9"/>
  <c r="AC309" i="9"/>
  <c r="AD312" i="9"/>
  <c r="AC312" i="9"/>
  <c r="AC316" i="9"/>
  <c r="AD316" i="9"/>
  <c r="AC308" i="9"/>
  <c r="AD308" i="9"/>
  <c r="AD306" i="9"/>
  <c r="AC306" i="9"/>
  <c r="AD304" i="9"/>
  <c r="AC304" i="9"/>
  <c r="AD319" i="9"/>
  <c r="AC319" i="9"/>
  <c r="AD311" i="9"/>
  <c r="AC311" i="9"/>
  <c r="AD315" i="9"/>
  <c r="AC315" i="9"/>
  <c r="AD307" i="9"/>
  <c r="AC307" i="9"/>
  <c r="AC324" i="9"/>
  <c r="AD324" i="9"/>
  <c r="J17" i="4"/>
  <c r="I18" i="4"/>
  <c r="O351" i="9"/>
  <c r="U351" i="9" s="1"/>
  <c r="Z351" i="9" s="1"/>
  <c r="O343" i="9"/>
  <c r="U343" i="9" s="1"/>
  <c r="Z343" i="9" s="1"/>
  <c r="O353" i="9"/>
  <c r="U353" i="9" s="1"/>
  <c r="Z353" i="9" s="1"/>
  <c r="O345" i="9"/>
  <c r="U345" i="9" s="1"/>
  <c r="Z345" i="9" s="1"/>
  <c r="O337" i="9"/>
  <c r="U337" i="9" s="1"/>
  <c r="Z337" i="9" s="1"/>
  <c r="O354" i="9"/>
  <c r="U354" i="9" s="1"/>
  <c r="Z354" i="9" s="1"/>
  <c r="O346" i="9"/>
  <c r="U346" i="9" s="1"/>
  <c r="Z346" i="9" s="1"/>
  <c r="O338" i="9"/>
  <c r="U338" i="9" s="1"/>
  <c r="Z338" i="9" s="1"/>
  <c r="O350" i="9"/>
  <c r="U350" i="9" s="1"/>
  <c r="Z350" i="9" s="1"/>
  <c r="O342" i="9"/>
  <c r="U342" i="9" s="1"/>
  <c r="Z342" i="9" s="1"/>
  <c r="O334" i="9"/>
  <c r="U334" i="9" s="1"/>
  <c r="Z334" i="9" s="1"/>
  <c r="O335" i="9"/>
  <c r="U335" i="9" s="1"/>
  <c r="Z335" i="9" s="1"/>
  <c r="O341" i="9"/>
  <c r="U341" i="9" s="1"/>
  <c r="Z341" i="9" s="1"/>
  <c r="O352" i="9"/>
  <c r="U352" i="9" s="1"/>
  <c r="Z352" i="9" s="1"/>
  <c r="O347" i="9"/>
  <c r="U347" i="9" s="1"/>
  <c r="Z347" i="9" s="1"/>
  <c r="O348" i="9"/>
  <c r="U348" i="9" s="1"/>
  <c r="Z348" i="9" s="1"/>
  <c r="O344" i="9"/>
  <c r="U344" i="9" s="1"/>
  <c r="Z344" i="9" s="1"/>
  <c r="O339" i="9"/>
  <c r="U339" i="9" s="1"/>
  <c r="Z339" i="9" s="1"/>
  <c r="O336" i="9"/>
  <c r="U336" i="9" s="1"/>
  <c r="Z336" i="9" s="1"/>
  <c r="O333" i="9"/>
  <c r="U333" i="9" s="1"/>
  <c r="O340" i="9"/>
  <c r="U340" i="9" s="1"/>
  <c r="Z340" i="9" s="1"/>
  <c r="O349" i="9"/>
  <c r="U349" i="9" s="1"/>
  <c r="Z349" i="9" s="1"/>
  <c r="AC303" i="25" l="1"/>
  <c r="Z333" i="25"/>
  <c r="AD333" i="25" s="1"/>
  <c r="D95" i="11"/>
  <c r="I95" i="11" s="1"/>
  <c r="M24" i="13"/>
  <c r="AC335" i="25"/>
  <c r="AD335" i="25"/>
  <c r="AC351" i="25"/>
  <c r="AD351" i="25"/>
  <c r="AD354" i="25"/>
  <c r="AC354" i="25"/>
  <c r="AD341" i="25"/>
  <c r="AC341" i="25"/>
  <c r="AD336" i="25"/>
  <c r="AC336" i="25"/>
  <c r="AD358" i="25"/>
  <c r="AC358" i="25"/>
  <c r="AD357" i="25"/>
  <c r="AC357" i="25"/>
  <c r="AD349" i="25"/>
  <c r="AC349" i="25"/>
  <c r="AD344" i="25"/>
  <c r="AC344" i="25"/>
  <c r="AC338" i="25"/>
  <c r="AD338" i="25"/>
  <c r="AD348" i="25"/>
  <c r="AC348" i="25"/>
  <c r="AD334" i="25"/>
  <c r="AC334" i="25"/>
  <c r="AD352" i="25"/>
  <c r="AC352" i="25"/>
  <c r="AD346" i="25"/>
  <c r="AC346" i="25"/>
  <c r="O388" i="25"/>
  <c r="U388" i="25" s="1"/>
  <c r="Z388" i="25" s="1"/>
  <c r="O380" i="25"/>
  <c r="U380" i="25" s="1"/>
  <c r="Z380" i="25" s="1"/>
  <c r="O392" i="25"/>
  <c r="U392" i="25" s="1"/>
  <c r="Z392" i="25" s="1"/>
  <c r="O391" i="25"/>
  <c r="U391" i="25" s="1"/>
  <c r="Z391" i="25" s="1"/>
  <c r="O383" i="25"/>
  <c r="U383" i="25" s="1"/>
  <c r="Z383" i="25" s="1"/>
  <c r="O386" i="25"/>
  <c r="U386" i="25" s="1"/>
  <c r="Z386" i="25" s="1"/>
  <c r="O384" i="25"/>
  <c r="U384" i="25" s="1"/>
  <c r="Z384" i="25" s="1"/>
  <c r="O382" i="25"/>
  <c r="U382" i="25" s="1"/>
  <c r="Z382" i="25" s="1"/>
  <c r="O368" i="25"/>
  <c r="U368" i="25" s="1"/>
  <c r="Z368" i="25" s="1"/>
  <c r="O389" i="25"/>
  <c r="U389" i="25" s="1"/>
  <c r="Z389" i="25" s="1"/>
  <c r="O376" i="25"/>
  <c r="U376" i="25" s="1"/>
  <c r="Z376" i="25" s="1"/>
  <c r="O374" i="25"/>
  <c r="U374" i="25" s="1"/>
  <c r="Z374" i="25" s="1"/>
  <c r="O385" i="25"/>
  <c r="U385" i="25" s="1"/>
  <c r="Z385" i="25" s="1"/>
  <c r="O381" i="25"/>
  <c r="U381" i="25" s="1"/>
  <c r="Z381" i="25" s="1"/>
  <c r="O372" i="25"/>
  <c r="U372" i="25" s="1"/>
  <c r="Z372" i="25" s="1"/>
  <c r="O387" i="25"/>
  <c r="U387" i="25" s="1"/>
  <c r="Z387" i="25" s="1"/>
  <c r="O371" i="25"/>
  <c r="U371" i="25" s="1"/>
  <c r="Z371" i="25" s="1"/>
  <c r="O363" i="25"/>
  <c r="U363" i="25" s="1"/>
  <c r="O369" i="25"/>
  <c r="U369" i="25" s="1"/>
  <c r="Z369" i="25" s="1"/>
  <c r="O375" i="25"/>
  <c r="U375" i="25" s="1"/>
  <c r="Z375" i="25" s="1"/>
  <c r="O366" i="25"/>
  <c r="U366" i="25" s="1"/>
  <c r="Z366" i="25" s="1"/>
  <c r="O373" i="25"/>
  <c r="U373" i="25" s="1"/>
  <c r="Z373" i="25" s="1"/>
  <c r="O367" i="25"/>
  <c r="U367" i="25" s="1"/>
  <c r="Z367" i="25" s="1"/>
  <c r="O365" i="25"/>
  <c r="U365" i="25" s="1"/>
  <c r="Z365" i="25" s="1"/>
  <c r="O390" i="25"/>
  <c r="U390" i="25" s="1"/>
  <c r="Z390" i="25" s="1"/>
  <c r="O379" i="25"/>
  <c r="U379" i="25" s="1"/>
  <c r="Z379" i="25" s="1"/>
  <c r="O378" i="25"/>
  <c r="U378" i="25" s="1"/>
  <c r="Z378" i="25" s="1"/>
  <c r="O377" i="25"/>
  <c r="U377" i="25" s="1"/>
  <c r="Z377" i="25" s="1"/>
  <c r="O364" i="25"/>
  <c r="U364" i="25" s="1"/>
  <c r="Z364" i="25" s="1"/>
  <c r="O370" i="25"/>
  <c r="U370" i="25" s="1"/>
  <c r="Z370" i="25" s="1"/>
  <c r="AC359" i="25"/>
  <c r="AD359" i="25"/>
  <c r="AD342" i="25"/>
  <c r="AC342" i="25"/>
  <c r="AD355" i="25"/>
  <c r="AC355" i="25"/>
  <c r="AD339" i="25"/>
  <c r="AC339" i="25"/>
  <c r="AD337" i="25"/>
  <c r="AC337" i="25"/>
  <c r="AD350" i="25"/>
  <c r="AC350" i="25"/>
  <c r="AD362" i="25"/>
  <c r="AC362" i="25"/>
  <c r="AD347" i="25"/>
  <c r="AC347" i="25"/>
  <c r="AC340" i="25"/>
  <c r="AD340" i="25"/>
  <c r="AC356" i="25"/>
  <c r="AD356" i="25"/>
  <c r="AD345" i="25"/>
  <c r="AC345" i="25"/>
  <c r="AD361" i="25"/>
  <c r="AC361" i="25"/>
  <c r="AC343" i="25"/>
  <c r="AD343" i="25"/>
  <c r="AD353" i="25"/>
  <c r="AC353" i="25"/>
  <c r="AD360" i="25"/>
  <c r="AC360" i="25"/>
  <c r="AD303" i="16"/>
  <c r="G24" i="13" s="1"/>
  <c r="AD303" i="17"/>
  <c r="I24" i="13" s="1"/>
  <c r="Z333" i="9"/>
  <c r="D15" i="11"/>
  <c r="I15" i="11" s="1"/>
  <c r="D75" i="11"/>
  <c r="I75" i="11" s="1"/>
  <c r="Z333" i="16"/>
  <c r="AC333" i="16" s="1"/>
  <c r="D35" i="11"/>
  <c r="I35" i="11" s="1"/>
  <c r="Z333" i="17"/>
  <c r="AC333" i="17" s="1"/>
  <c r="D55" i="11"/>
  <c r="I55" i="11" s="1"/>
  <c r="AD303" i="19"/>
  <c r="Z333" i="19"/>
  <c r="AC333" i="19" s="1"/>
  <c r="AD356" i="9"/>
  <c r="AC356" i="9"/>
  <c r="AD351" i="16"/>
  <c r="AC351" i="16"/>
  <c r="AD356" i="16"/>
  <c r="AC356" i="16"/>
  <c r="AD335" i="16"/>
  <c r="AC335" i="16"/>
  <c r="AD361" i="16"/>
  <c r="AC361" i="16"/>
  <c r="AD348" i="19"/>
  <c r="AC348" i="19"/>
  <c r="AC356" i="17"/>
  <c r="AD356" i="17"/>
  <c r="AC353" i="17"/>
  <c r="AD353" i="17"/>
  <c r="AD342" i="17"/>
  <c r="AC342" i="17"/>
  <c r="AD342" i="19"/>
  <c r="AC342" i="19"/>
  <c r="AC351" i="19"/>
  <c r="AD351" i="19"/>
  <c r="AD353" i="19"/>
  <c r="AC353" i="19"/>
  <c r="AD362" i="16"/>
  <c r="AC362" i="16"/>
  <c r="AC349" i="16"/>
  <c r="AD349" i="16"/>
  <c r="AD346" i="16"/>
  <c r="AC346" i="16"/>
  <c r="AC362" i="9"/>
  <c r="AD362" i="9"/>
  <c r="AD353" i="16"/>
  <c r="AC353" i="16"/>
  <c r="AC337" i="17"/>
  <c r="AD337" i="17"/>
  <c r="AD347" i="17"/>
  <c r="AC347" i="17"/>
  <c r="AD348" i="17"/>
  <c r="AC348" i="17"/>
  <c r="AC359" i="17"/>
  <c r="AD359" i="17"/>
  <c r="AD338" i="19"/>
  <c r="AC338" i="19"/>
  <c r="AC345" i="19"/>
  <c r="AD345" i="19"/>
  <c r="AC355" i="16"/>
  <c r="AD355" i="16"/>
  <c r="AD344" i="16"/>
  <c r="AC344" i="16"/>
  <c r="AD345" i="16"/>
  <c r="AC345" i="16"/>
  <c r="AD355" i="9"/>
  <c r="AC355" i="9"/>
  <c r="AC338" i="16"/>
  <c r="AD338" i="16"/>
  <c r="AD336" i="17"/>
  <c r="AC336" i="17"/>
  <c r="AD346" i="17"/>
  <c r="AC346" i="17"/>
  <c r="AC345" i="17"/>
  <c r="AD345" i="17"/>
  <c r="AC350" i="17"/>
  <c r="AD350" i="17"/>
  <c r="AD350" i="19"/>
  <c r="AC350" i="19"/>
  <c r="AD337" i="19"/>
  <c r="AC337" i="19"/>
  <c r="AD362" i="19"/>
  <c r="AC362" i="19"/>
  <c r="AD354" i="16"/>
  <c r="AC354" i="16"/>
  <c r="AD342" i="16"/>
  <c r="AC342" i="16"/>
  <c r="AC339" i="16"/>
  <c r="AD339" i="16"/>
  <c r="AD352" i="16"/>
  <c r="AC352" i="16"/>
  <c r="AD336" i="16"/>
  <c r="AC336" i="16"/>
  <c r="AD362" i="17"/>
  <c r="AC362" i="17"/>
  <c r="AD339" i="17"/>
  <c r="AC339" i="17"/>
  <c r="AD360" i="17"/>
  <c r="AC360" i="17"/>
  <c r="AD335" i="17"/>
  <c r="AC335" i="17"/>
  <c r="AD349" i="19"/>
  <c r="AC349" i="19"/>
  <c r="AD361" i="19"/>
  <c r="AC361" i="19"/>
  <c r="AD354" i="19"/>
  <c r="AC354" i="19"/>
  <c r="AD350" i="16"/>
  <c r="AC350" i="16"/>
  <c r="AC360" i="9"/>
  <c r="AD360" i="9"/>
  <c r="AC360" i="16"/>
  <c r="AD360" i="16"/>
  <c r="AC343" i="16"/>
  <c r="AD343" i="16"/>
  <c r="AC358" i="17"/>
  <c r="AD358" i="17"/>
  <c r="AD357" i="17"/>
  <c r="AC357" i="17"/>
  <c r="AD349" i="17"/>
  <c r="AC349" i="17"/>
  <c r="AD347" i="19"/>
  <c r="AC347" i="19"/>
  <c r="AD340" i="19"/>
  <c r="AC340" i="19"/>
  <c r="AD352" i="19"/>
  <c r="AC352" i="19"/>
  <c r="AC346" i="19"/>
  <c r="AD346" i="19"/>
  <c r="AC348" i="16"/>
  <c r="AD348" i="16"/>
  <c r="AC359" i="9"/>
  <c r="AD359" i="9"/>
  <c r="AC347" i="16"/>
  <c r="AD347" i="16"/>
  <c r="AC340" i="16"/>
  <c r="AD340" i="16"/>
  <c r="AD351" i="17"/>
  <c r="AC351" i="17"/>
  <c r="AC352" i="17"/>
  <c r="AD352" i="17"/>
  <c r="AD357" i="19"/>
  <c r="AC357" i="19"/>
  <c r="AC341" i="17"/>
  <c r="AD341" i="17"/>
  <c r="AD358" i="19"/>
  <c r="AC358" i="19"/>
  <c r="AC356" i="19"/>
  <c r="AD356" i="19"/>
  <c r="AD344" i="19"/>
  <c r="AC344" i="19"/>
  <c r="AD336" i="19"/>
  <c r="AC336" i="19"/>
  <c r="O373" i="19"/>
  <c r="U373" i="19" s="1"/>
  <c r="Z373" i="19" s="1"/>
  <c r="O379" i="19"/>
  <c r="U379" i="19" s="1"/>
  <c r="Z379" i="19" s="1"/>
  <c r="O380" i="19"/>
  <c r="U380" i="19" s="1"/>
  <c r="Z380" i="19" s="1"/>
  <c r="O386" i="19"/>
  <c r="U386" i="19" s="1"/>
  <c r="Z386" i="19" s="1"/>
  <c r="O389" i="19"/>
  <c r="U389" i="19" s="1"/>
  <c r="Z389" i="19" s="1"/>
  <c r="O363" i="19"/>
  <c r="U363" i="19" s="1"/>
  <c r="O364" i="19"/>
  <c r="U364" i="19" s="1"/>
  <c r="Z364" i="19" s="1"/>
  <c r="O369" i="19"/>
  <c r="U369" i="19" s="1"/>
  <c r="Z369" i="19" s="1"/>
  <c r="O372" i="19"/>
  <c r="U372" i="19" s="1"/>
  <c r="Z372" i="19" s="1"/>
  <c r="O378" i="19"/>
  <c r="U378" i="19" s="1"/>
  <c r="Z378" i="19" s="1"/>
  <c r="O381" i="19"/>
  <c r="U381" i="19" s="1"/>
  <c r="Z381" i="19" s="1"/>
  <c r="O382" i="19"/>
  <c r="U382" i="19" s="1"/>
  <c r="Z382" i="19" s="1"/>
  <c r="O383" i="19"/>
  <c r="U383" i="19" s="1"/>
  <c r="Z383" i="19" s="1"/>
  <c r="O371" i="19"/>
  <c r="U371" i="19" s="1"/>
  <c r="Z371" i="19" s="1"/>
  <c r="O368" i="19"/>
  <c r="U368" i="19" s="1"/>
  <c r="Z368" i="19" s="1"/>
  <c r="O370" i="19"/>
  <c r="U370" i="19" s="1"/>
  <c r="Z370" i="19" s="1"/>
  <c r="O377" i="19"/>
  <c r="U377" i="19" s="1"/>
  <c r="Z377" i="19" s="1"/>
  <c r="O390" i="19"/>
  <c r="U390" i="19" s="1"/>
  <c r="Z390" i="19" s="1"/>
  <c r="O367" i="19"/>
  <c r="U367" i="19" s="1"/>
  <c r="Z367" i="19" s="1"/>
  <c r="O376" i="19"/>
  <c r="U376" i="19" s="1"/>
  <c r="Z376" i="19" s="1"/>
  <c r="O366" i="19"/>
  <c r="U366" i="19" s="1"/>
  <c r="Z366" i="19" s="1"/>
  <c r="O385" i="19"/>
  <c r="U385" i="19" s="1"/>
  <c r="Z385" i="19" s="1"/>
  <c r="O391" i="19"/>
  <c r="U391" i="19" s="1"/>
  <c r="Z391" i="19" s="1"/>
  <c r="O392" i="19"/>
  <c r="U392" i="19" s="1"/>
  <c r="Z392" i="19" s="1"/>
  <c r="O384" i="19"/>
  <c r="U384" i="19" s="1"/>
  <c r="Z384" i="19" s="1"/>
  <c r="O388" i="19"/>
  <c r="U388" i="19" s="1"/>
  <c r="Z388" i="19" s="1"/>
  <c r="O375" i="19"/>
  <c r="U375" i="19" s="1"/>
  <c r="Z375" i="19" s="1"/>
  <c r="O387" i="19"/>
  <c r="U387" i="19" s="1"/>
  <c r="Z387" i="19" s="1"/>
  <c r="O365" i="19"/>
  <c r="U365" i="19" s="1"/>
  <c r="Z365" i="19" s="1"/>
  <c r="O374" i="19"/>
  <c r="U374" i="19" s="1"/>
  <c r="Z374" i="19" s="1"/>
  <c r="O365" i="17"/>
  <c r="U365" i="17" s="1"/>
  <c r="Z365" i="17" s="1"/>
  <c r="O369" i="17"/>
  <c r="U369" i="17" s="1"/>
  <c r="Z369" i="17" s="1"/>
  <c r="O370" i="17"/>
  <c r="U370" i="17" s="1"/>
  <c r="Z370" i="17" s="1"/>
  <c r="O374" i="17"/>
  <c r="U374" i="17" s="1"/>
  <c r="Z374" i="17" s="1"/>
  <c r="O379" i="17"/>
  <c r="U379" i="17" s="1"/>
  <c r="Z379" i="17" s="1"/>
  <c r="O383" i="17"/>
  <c r="U383" i="17" s="1"/>
  <c r="Z383" i="17" s="1"/>
  <c r="O364" i="17"/>
  <c r="U364" i="17" s="1"/>
  <c r="Z364" i="17" s="1"/>
  <c r="O368" i="17"/>
  <c r="U368" i="17" s="1"/>
  <c r="Z368" i="17" s="1"/>
  <c r="O387" i="17"/>
  <c r="U387" i="17" s="1"/>
  <c r="Z387" i="17" s="1"/>
  <c r="O363" i="17"/>
  <c r="U363" i="17" s="1"/>
  <c r="O373" i="17"/>
  <c r="U373" i="17" s="1"/>
  <c r="Z373" i="17" s="1"/>
  <c r="O378" i="17"/>
  <c r="U378" i="17" s="1"/>
  <c r="Z378" i="17" s="1"/>
  <c r="O382" i="17"/>
  <c r="U382" i="17" s="1"/>
  <c r="Z382" i="17" s="1"/>
  <c r="O386" i="17"/>
  <c r="U386" i="17" s="1"/>
  <c r="Z386" i="17" s="1"/>
  <c r="O367" i="17"/>
  <c r="U367" i="17" s="1"/>
  <c r="Z367" i="17" s="1"/>
  <c r="O388" i="17"/>
  <c r="U388" i="17" s="1"/>
  <c r="Z388" i="17" s="1"/>
  <c r="O390" i="17"/>
  <c r="U390" i="17" s="1"/>
  <c r="Z390" i="17" s="1"/>
  <c r="O372" i="17"/>
  <c r="U372" i="17" s="1"/>
  <c r="Z372" i="17" s="1"/>
  <c r="O377" i="17"/>
  <c r="U377" i="17" s="1"/>
  <c r="Z377" i="17" s="1"/>
  <c r="O381" i="17"/>
  <c r="U381" i="17" s="1"/>
  <c r="Z381" i="17" s="1"/>
  <c r="O385" i="17"/>
  <c r="U385" i="17" s="1"/>
  <c r="Z385" i="17" s="1"/>
  <c r="O392" i="17"/>
  <c r="U392" i="17" s="1"/>
  <c r="Z392" i="17" s="1"/>
  <c r="O366" i="17"/>
  <c r="U366" i="17" s="1"/>
  <c r="Z366" i="17" s="1"/>
  <c r="O376" i="17"/>
  <c r="U376" i="17" s="1"/>
  <c r="Z376" i="17" s="1"/>
  <c r="O371" i="17"/>
  <c r="U371" i="17" s="1"/>
  <c r="Z371" i="17" s="1"/>
  <c r="O375" i="17"/>
  <c r="U375" i="17" s="1"/>
  <c r="Z375" i="17" s="1"/>
  <c r="O380" i="17"/>
  <c r="U380" i="17" s="1"/>
  <c r="Z380" i="17" s="1"/>
  <c r="O384" i="17"/>
  <c r="U384" i="17" s="1"/>
  <c r="Z384" i="17" s="1"/>
  <c r="O391" i="17"/>
  <c r="U391" i="17" s="1"/>
  <c r="Z391" i="17" s="1"/>
  <c r="O389" i="17"/>
  <c r="U389" i="17" s="1"/>
  <c r="Z389" i="17" s="1"/>
  <c r="O365" i="16"/>
  <c r="U365" i="16" s="1"/>
  <c r="Z365" i="16" s="1"/>
  <c r="O368" i="16"/>
  <c r="U368" i="16" s="1"/>
  <c r="Z368" i="16" s="1"/>
  <c r="O374" i="16"/>
  <c r="U374" i="16" s="1"/>
  <c r="Z374" i="16" s="1"/>
  <c r="O377" i="16"/>
  <c r="U377" i="16" s="1"/>
  <c r="Z377" i="16" s="1"/>
  <c r="O380" i="16"/>
  <c r="U380" i="16" s="1"/>
  <c r="Z380" i="16" s="1"/>
  <c r="O383" i="16"/>
  <c r="U383" i="16" s="1"/>
  <c r="Z383" i="16" s="1"/>
  <c r="O385" i="9"/>
  <c r="U385" i="9" s="1"/>
  <c r="Z385" i="9" s="1"/>
  <c r="O386" i="9"/>
  <c r="U386" i="9" s="1"/>
  <c r="Z386" i="9" s="1"/>
  <c r="O387" i="9"/>
  <c r="U387" i="9" s="1"/>
  <c r="Z387" i="9" s="1"/>
  <c r="O388" i="9"/>
  <c r="U388" i="9" s="1"/>
  <c r="Z388" i="9" s="1"/>
  <c r="O389" i="9"/>
  <c r="U389" i="9" s="1"/>
  <c r="Z389" i="9" s="1"/>
  <c r="O390" i="9"/>
  <c r="U390" i="9" s="1"/>
  <c r="Z390" i="9" s="1"/>
  <c r="O391" i="9"/>
  <c r="U391" i="9" s="1"/>
  <c r="Z391" i="9" s="1"/>
  <c r="O392" i="9"/>
  <c r="U392" i="9" s="1"/>
  <c r="Z392" i="9" s="1"/>
  <c r="O364" i="16"/>
  <c r="U364" i="16" s="1"/>
  <c r="Z364" i="16" s="1"/>
  <c r="O367" i="16"/>
  <c r="U367" i="16" s="1"/>
  <c r="Z367" i="16" s="1"/>
  <c r="O370" i="16"/>
  <c r="U370" i="16" s="1"/>
  <c r="Z370" i="16" s="1"/>
  <c r="O373" i="16"/>
  <c r="U373" i="16" s="1"/>
  <c r="Z373" i="16" s="1"/>
  <c r="O376" i="16"/>
  <c r="U376" i="16" s="1"/>
  <c r="Z376" i="16" s="1"/>
  <c r="O381" i="16"/>
  <c r="U381" i="16" s="1"/>
  <c r="Z381" i="16" s="1"/>
  <c r="O382" i="16"/>
  <c r="U382" i="16" s="1"/>
  <c r="Z382" i="16" s="1"/>
  <c r="O385" i="16"/>
  <c r="U385" i="16" s="1"/>
  <c r="Z385" i="16" s="1"/>
  <c r="O389" i="16"/>
  <c r="U389" i="16" s="1"/>
  <c r="Z389" i="16" s="1"/>
  <c r="O363" i="16"/>
  <c r="U363" i="16" s="1"/>
  <c r="O372" i="16"/>
  <c r="U372" i="16" s="1"/>
  <c r="Z372" i="16" s="1"/>
  <c r="O387" i="16"/>
  <c r="U387" i="16" s="1"/>
  <c r="Z387" i="16" s="1"/>
  <c r="O391" i="16"/>
  <c r="U391" i="16" s="1"/>
  <c r="Z391" i="16" s="1"/>
  <c r="O379" i="16"/>
  <c r="U379" i="16" s="1"/>
  <c r="Z379" i="16" s="1"/>
  <c r="O384" i="16"/>
  <c r="U384" i="16" s="1"/>
  <c r="Z384" i="16" s="1"/>
  <c r="O390" i="16"/>
  <c r="U390" i="16" s="1"/>
  <c r="Z390" i="16" s="1"/>
  <c r="O378" i="16"/>
  <c r="U378" i="16" s="1"/>
  <c r="Z378" i="16" s="1"/>
  <c r="O366" i="16"/>
  <c r="U366" i="16" s="1"/>
  <c r="Z366" i="16" s="1"/>
  <c r="O369" i="16"/>
  <c r="U369" i="16" s="1"/>
  <c r="Z369" i="16" s="1"/>
  <c r="O386" i="16"/>
  <c r="U386" i="16" s="1"/>
  <c r="Z386" i="16" s="1"/>
  <c r="O392" i="16"/>
  <c r="U392" i="16" s="1"/>
  <c r="Z392" i="16" s="1"/>
  <c r="O371" i="16"/>
  <c r="U371" i="16" s="1"/>
  <c r="Z371" i="16" s="1"/>
  <c r="O388" i="16"/>
  <c r="U388" i="16" s="1"/>
  <c r="Z388" i="16" s="1"/>
  <c r="O375" i="16"/>
  <c r="U375" i="16" s="1"/>
  <c r="Z375" i="16" s="1"/>
  <c r="AD357" i="9"/>
  <c r="AC357" i="9"/>
  <c r="AD359" i="16"/>
  <c r="AC359" i="16"/>
  <c r="AC358" i="9"/>
  <c r="AD358" i="9"/>
  <c r="AD341" i="16"/>
  <c r="AC341" i="16"/>
  <c r="AD337" i="16"/>
  <c r="AC337" i="16"/>
  <c r="AD343" i="17"/>
  <c r="AC343" i="17"/>
  <c r="AD344" i="17"/>
  <c r="AC344" i="17"/>
  <c r="AD361" i="17"/>
  <c r="AC361" i="17"/>
  <c r="AC334" i="17"/>
  <c r="AD334" i="17"/>
  <c r="AC359" i="19"/>
  <c r="AD359" i="19"/>
  <c r="AD343" i="19"/>
  <c r="AC343" i="19"/>
  <c r="AD339" i="19"/>
  <c r="AC339" i="19"/>
  <c r="AC360" i="19"/>
  <c r="AD360" i="19"/>
  <c r="AD334" i="16"/>
  <c r="AC334" i="16"/>
  <c r="AD358" i="16"/>
  <c r="AC358" i="16"/>
  <c r="AD357" i="16"/>
  <c r="AC357" i="16"/>
  <c r="AC361" i="9"/>
  <c r="AD361" i="9"/>
  <c r="AD340" i="17"/>
  <c r="AC340" i="17"/>
  <c r="AD338" i="17"/>
  <c r="AC338" i="17"/>
  <c r="AC355" i="17"/>
  <c r="AD355" i="17"/>
  <c r="AD354" i="17"/>
  <c r="AC354" i="17"/>
  <c r="AD355" i="19"/>
  <c r="AC355" i="19"/>
  <c r="AD334" i="19"/>
  <c r="AC334" i="19"/>
  <c r="AC335" i="19"/>
  <c r="AD335" i="19"/>
  <c r="AC341" i="19"/>
  <c r="AD341" i="19"/>
  <c r="E24" i="13"/>
  <c r="AD339" i="9"/>
  <c r="AC339" i="9"/>
  <c r="AD348" i="9"/>
  <c r="AC348" i="9"/>
  <c r="AC338" i="9"/>
  <c r="AD338" i="9"/>
  <c r="AC343" i="9"/>
  <c r="AD343" i="9"/>
  <c r="AD347" i="9"/>
  <c r="AC347" i="9"/>
  <c r="AD346" i="9"/>
  <c r="AC346" i="9"/>
  <c r="AD353" i="9"/>
  <c r="AC353" i="9"/>
  <c r="AD349" i="9"/>
  <c r="AC349" i="9"/>
  <c r="AC354" i="9"/>
  <c r="AD354" i="9"/>
  <c r="AC341" i="9"/>
  <c r="AD341" i="9"/>
  <c r="AD334" i="9"/>
  <c r="AC334" i="9"/>
  <c r="AC352" i="9"/>
  <c r="AD352" i="9"/>
  <c r="AD340" i="9"/>
  <c r="AC340" i="9"/>
  <c r="AD337" i="9"/>
  <c r="AC337" i="9"/>
  <c r="AD335" i="9"/>
  <c r="AC335" i="9"/>
  <c r="AD345" i="9"/>
  <c r="AC345" i="9"/>
  <c r="AC336" i="9"/>
  <c r="AD336" i="9"/>
  <c r="AD342" i="9"/>
  <c r="AC342" i="9"/>
  <c r="AC344" i="9"/>
  <c r="AD344" i="9"/>
  <c r="AC350" i="9"/>
  <c r="AD350" i="9"/>
  <c r="AD351" i="9"/>
  <c r="AC351" i="9"/>
  <c r="AC303" i="9"/>
  <c r="I19" i="4"/>
  <c r="J18" i="4"/>
  <c r="O377" i="9"/>
  <c r="U377" i="9" s="1"/>
  <c r="Z377" i="9" s="1"/>
  <c r="O375" i="9"/>
  <c r="U375" i="9" s="1"/>
  <c r="Z375" i="9" s="1"/>
  <c r="O367" i="9"/>
  <c r="U367" i="9" s="1"/>
  <c r="Z367" i="9" s="1"/>
  <c r="O381" i="9"/>
  <c r="U381" i="9" s="1"/>
  <c r="Z381" i="9" s="1"/>
  <c r="O383" i="9"/>
  <c r="U383" i="9" s="1"/>
  <c r="Z383" i="9" s="1"/>
  <c r="O379" i="9"/>
  <c r="U379" i="9" s="1"/>
  <c r="Z379" i="9" s="1"/>
  <c r="O369" i="9"/>
  <c r="U369" i="9" s="1"/>
  <c r="Z369" i="9" s="1"/>
  <c r="O370" i="9"/>
  <c r="U370" i="9" s="1"/>
  <c r="Z370" i="9" s="1"/>
  <c r="O384" i="9"/>
  <c r="U384" i="9" s="1"/>
  <c r="Z384" i="9" s="1"/>
  <c r="O378" i="9"/>
  <c r="U378" i="9" s="1"/>
  <c r="Z378" i="9" s="1"/>
  <c r="O374" i="9"/>
  <c r="U374" i="9" s="1"/>
  <c r="Z374" i="9" s="1"/>
  <c r="O366" i="9"/>
  <c r="U366" i="9" s="1"/>
  <c r="Z366" i="9" s="1"/>
  <c r="O380" i="9"/>
  <c r="U380" i="9" s="1"/>
  <c r="Z380" i="9" s="1"/>
  <c r="O364" i="9"/>
  <c r="U364" i="9" s="1"/>
  <c r="Z364" i="9" s="1"/>
  <c r="O365" i="9"/>
  <c r="U365" i="9" s="1"/>
  <c r="Z365" i="9" s="1"/>
  <c r="O376" i="9"/>
  <c r="U376" i="9" s="1"/>
  <c r="Z376" i="9" s="1"/>
  <c r="O371" i="9"/>
  <c r="U371" i="9" s="1"/>
  <c r="Z371" i="9" s="1"/>
  <c r="O382" i="9"/>
  <c r="U382" i="9" s="1"/>
  <c r="Z382" i="9" s="1"/>
  <c r="O373" i="9"/>
  <c r="U373" i="9" s="1"/>
  <c r="Z373" i="9" s="1"/>
  <c r="O363" i="9"/>
  <c r="U363" i="9" s="1"/>
  <c r="O372" i="9"/>
  <c r="U372" i="9" s="1"/>
  <c r="Z372" i="9" s="1"/>
  <c r="O368" i="9"/>
  <c r="U368" i="9" s="1"/>
  <c r="Z368" i="9" s="1"/>
  <c r="AC333" i="25" l="1"/>
  <c r="Z363" i="25"/>
  <c r="AD363" i="25" s="1"/>
  <c r="D96" i="11"/>
  <c r="I96" i="11" s="1"/>
  <c r="AD333" i="16"/>
  <c r="G25" i="13" s="1"/>
  <c r="M25" i="13"/>
  <c r="K24" i="13"/>
  <c r="AD377" i="25"/>
  <c r="AC377" i="25"/>
  <c r="AD375" i="25"/>
  <c r="AC375" i="25"/>
  <c r="AD374" i="25"/>
  <c r="AC374" i="25"/>
  <c r="AD391" i="25"/>
  <c r="AC391" i="25"/>
  <c r="AD378" i="25"/>
  <c r="AC378" i="25"/>
  <c r="AC369" i="25"/>
  <c r="AD369" i="25"/>
  <c r="AC392" i="25"/>
  <c r="AD392" i="25"/>
  <c r="AC379" i="25"/>
  <c r="AD379" i="25"/>
  <c r="AD389" i="25"/>
  <c r="AC389" i="25"/>
  <c r="AC380" i="25"/>
  <c r="AD380" i="25"/>
  <c r="AC376" i="25"/>
  <c r="AD376" i="25"/>
  <c r="AC390" i="25"/>
  <c r="AD390" i="25"/>
  <c r="AD371" i="25"/>
  <c r="AC371" i="25"/>
  <c r="AC368" i="25"/>
  <c r="AD368" i="25"/>
  <c r="AD388" i="25"/>
  <c r="AC388" i="25"/>
  <c r="AC365" i="25"/>
  <c r="AD365" i="25"/>
  <c r="AC387" i="25"/>
  <c r="AD387" i="25"/>
  <c r="AD382" i="25"/>
  <c r="AC382" i="25"/>
  <c r="O420" i="25"/>
  <c r="U420" i="25" s="1"/>
  <c r="Z420" i="25" s="1"/>
  <c r="O412" i="25"/>
  <c r="U412" i="25" s="1"/>
  <c r="Z412" i="25" s="1"/>
  <c r="O404" i="25"/>
  <c r="U404" i="25" s="1"/>
  <c r="Z404" i="25" s="1"/>
  <c r="O396" i="25"/>
  <c r="U396" i="25" s="1"/>
  <c r="Z396" i="25" s="1"/>
  <c r="O419" i="25"/>
  <c r="U419" i="25" s="1"/>
  <c r="Z419" i="25" s="1"/>
  <c r="O411" i="25"/>
  <c r="U411" i="25" s="1"/>
  <c r="Z411" i="25" s="1"/>
  <c r="O403" i="25"/>
  <c r="U403" i="25" s="1"/>
  <c r="Z403" i="25" s="1"/>
  <c r="O422" i="25"/>
  <c r="U422" i="25" s="1"/>
  <c r="Z422" i="25" s="1"/>
  <c r="O418" i="25"/>
  <c r="U418" i="25" s="1"/>
  <c r="Z418" i="25" s="1"/>
  <c r="O410" i="25"/>
  <c r="U410" i="25" s="1"/>
  <c r="Z410" i="25" s="1"/>
  <c r="O402" i="25"/>
  <c r="U402" i="25" s="1"/>
  <c r="Z402" i="25" s="1"/>
  <c r="O394" i="25"/>
  <c r="U394" i="25" s="1"/>
  <c r="Z394" i="25" s="1"/>
  <c r="O417" i="25"/>
  <c r="U417" i="25" s="1"/>
  <c r="Z417" i="25" s="1"/>
  <c r="O409" i="25"/>
  <c r="U409" i="25" s="1"/>
  <c r="Z409" i="25" s="1"/>
  <c r="O401" i="25"/>
  <c r="U401" i="25" s="1"/>
  <c r="Z401" i="25" s="1"/>
  <c r="O416" i="25"/>
  <c r="U416" i="25" s="1"/>
  <c r="Z416" i="25" s="1"/>
  <c r="O408" i="25"/>
  <c r="U408" i="25" s="1"/>
  <c r="Z408" i="25" s="1"/>
  <c r="O400" i="25"/>
  <c r="U400" i="25" s="1"/>
  <c r="Z400" i="25" s="1"/>
  <c r="O415" i="25"/>
  <c r="U415" i="25" s="1"/>
  <c r="Z415" i="25" s="1"/>
  <c r="O407" i="25"/>
  <c r="U407" i="25" s="1"/>
  <c r="Z407" i="25" s="1"/>
  <c r="O399" i="25"/>
  <c r="U399" i="25" s="1"/>
  <c r="Z399" i="25" s="1"/>
  <c r="O421" i="25"/>
  <c r="U421" i="25" s="1"/>
  <c r="Z421" i="25" s="1"/>
  <c r="O414" i="25"/>
  <c r="U414" i="25" s="1"/>
  <c r="Z414" i="25" s="1"/>
  <c r="O406" i="25"/>
  <c r="U406" i="25" s="1"/>
  <c r="Z406" i="25" s="1"/>
  <c r="O413" i="25"/>
  <c r="U413" i="25" s="1"/>
  <c r="Z413" i="25" s="1"/>
  <c r="O398" i="25"/>
  <c r="U398" i="25" s="1"/>
  <c r="Z398" i="25" s="1"/>
  <c r="O393" i="25"/>
  <c r="U393" i="25" s="1"/>
  <c r="O395" i="25"/>
  <c r="U395" i="25" s="1"/>
  <c r="Z395" i="25" s="1"/>
  <c r="O405" i="25"/>
  <c r="U405" i="25" s="1"/>
  <c r="Z405" i="25" s="1"/>
  <c r="O397" i="25"/>
  <c r="U397" i="25" s="1"/>
  <c r="Z397" i="25" s="1"/>
  <c r="AD367" i="25"/>
  <c r="AC367" i="25"/>
  <c r="AC372" i="25"/>
  <c r="AD372" i="25"/>
  <c r="AC384" i="25"/>
  <c r="AD384" i="25"/>
  <c r="AD370" i="25"/>
  <c r="AC370" i="25"/>
  <c r="AC373" i="25"/>
  <c r="AD373" i="25"/>
  <c r="AD381" i="25"/>
  <c r="AC381" i="25"/>
  <c r="AD386" i="25"/>
  <c r="AC386" i="25"/>
  <c r="AC364" i="25"/>
  <c r="AD364" i="25"/>
  <c r="AD366" i="25"/>
  <c r="AC366" i="25"/>
  <c r="AD385" i="25"/>
  <c r="AC385" i="25"/>
  <c r="AD383" i="25"/>
  <c r="AC383" i="25"/>
  <c r="AD333" i="17"/>
  <c r="I25" i="13" s="1"/>
  <c r="Z363" i="9"/>
  <c r="D16" i="11"/>
  <c r="I16" i="11" s="1"/>
  <c r="D76" i="11"/>
  <c r="I76" i="11" s="1"/>
  <c r="Z363" i="17"/>
  <c r="AD363" i="17" s="1"/>
  <c r="D56" i="11"/>
  <c r="I56" i="11" s="1"/>
  <c r="Z363" i="16"/>
  <c r="AD363" i="16" s="1"/>
  <c r="D36" i="11"/>
  <c r="I36" i="11" s="1"/>
  <c r="AD333" i="19"/>
  <c r="Z363" i="19"/>
  <c r="AD363" i="19" s="1"/>
  <c r="AC392" i="16"/>
  <c r="AD392" i="16"/>
  <c r="AC391" i="16"/>
  <c r="AD391" i="16"/>
  <c r="AD376" i="16"/>
  <c r="AC376" i="16"/>
  <c r="AD389" i="9"/>
  <c r="AC389" i="9"/>
  <c r="AC374" i="16"/>
  <c r="AD374" i="16"/>
  <c r="AC371" i="17"/>
  <c r="AD371" i="17"/>
  <c r="AD390" i="17"/>
  <c r="AC390" i="17"/>
  <c r="AC387" i="17"/>
  <c r="AD387" i="17"/>
  <c r="AD365" i="17"/>
  <c r="AC365" i="17"/>
  <c r="AC391" i="19"/>
  <c r="AD391" i="19"/>
  <c r="AD368" i="19"/>
  <c r="AC368" i="19"/>
  <c r="AC364" i="19"/>
  <c r="AD364" i="19"/>
  <c r="AC379" i="16"/>
  <c r="AD379" i="16"/>
  <c r="AC390" i="9"/>
  <c r="AD390" i="9"/>
  <c r="AD375" i="17"/>
  <c r="AC375" i="17"/>
  <c r="AD386" i="16"/>
  <c r="AC386" i="16"/>
  <c r="AC387" i="16"/>
  <c r="AD387" i="16"/>
  <c r="AC373" i="16"/>
  <c r="AD373" i="16"/>
  <c r="AD388" i="9"/>
  <c r="AC388" i="9"/>
  <c r="AC368" i="16"/>
  <c r="AD368" i="16"/>
  <c r="AC376" i="17"/>
  <c r="AD376" i="17"/>
  <c r="AD388" i="17"/>
  <c r="AC388" i="17"/>
  <c r="AD368" i="17"/>
  <c r="AC368" i="17"/>
  <c r="AD374" i="19"/>
  <c r="AC374" i="19"/>
  <c r="AC385" i="19"/>
  <c r="AD385" i="19"/>
  <c r="AC371" i="19"/>
  <c r="AD371" i="19"/>
  <c r="AC372" i="16"/>
  <c r="AD372" i="16"/>
  <c r="AD370" i="16"/>
  <c r="AC370" i="16"/>
  <c r="AD387" i="9"/>
  <c r="AC387" i="9"/>
  <c r="AD365" i="16"/>
  <c r="AC365" i="16"/>
  <c r="AD366" i="17"/>
  <c r="AC366" i="17"/>
  <c r="AD367" i="17"/>
  <c r="AC367" i="17"/>
  <c r="AC364" i="17"/>
  <c r="AD364" i="17"/>
  <c r="AC365" i="19"/>
  <c r="AD365" i="19"/>
  <c r="AD366" i="19"/>
  <c r="AC366" i="19"/>
  <c r="AD383" i="19"/>
  <c r="AC383" i="19"/>
  <c r="AC389" i="19"/>
  <c r="AD389" i="19"/>
  <c r="AC369" i="16"/>
  <c r="AD369" i="16"/>
  <c r="AC366" i="16"/>
  <c r="AD366" i="16"/>
  <c r="AD367" i="16"/>
  <c r="AC367" i="16"/>
  <c r="AC386" i="9"/>
  <c r="AD386" i="9"/>
  <c r="AC389" i="17"/>
  <c r="AD389" i="17"/>
  <c r="AD392" i="17"/>
  <c r="AC392" i="17"/>
  <c r="AD386" i="17"/>
  <c r="AC386" i="17"/>
  <c r="AC383" i="17"/>
  <c r="AD383" i="17"/>
  <c r="AD387" i="19"/>
  <c r="AC387" i="19"/>
  <c r="AD376" i="19"/>
  <c r="AC376" i="19"/>
  <c r="AD382" i="19"/>
  <c r="AC382" i="19"/>
  <c r="AC386" i="19"/>
  <c r="AD386" i="19"/>
  <c r="AD389" i="16"/>
  <c r="AC389" i="16"/>
  <c r="AD385" i="9"/>
  <c r="AC385" i="9"/>
  <c r="AD385" i="17"/>
  <c r="AC385" i="17"/>
  <c r="AD382" i="17"/>
  <c r="AC382" i="17"/>
  <c r="AD379" i="17"/>
  <c r="AC379" i="17"/>
  <c r="AD375" i="19"/>
  <c r="AC375" i="19"/>
  <c r="AD367" i="19"/>
  <c r="AC367" i="19"/>
  <c r="AC381" i="19"/>
  <c r="AD381" i="19"/>
  <c r="AD380" i="19"/>
  <c r="AC380" i="19"/>
  <c r="AC378" i="16"/>
  <c r="AD378" i="16"/>
  <c r="AC364" i="16"/>
  <c r="AD364" i="16"/>
  <c r="AC391" i="17"/>
  <c r="AD391" i="17"/>
  <c r="AC375" i="16"/>
  <c r="AD375" i="16"/>
  <c r="AC390" i="16"/>
  <c r="AD390" i="16"/>
  <c r="AC385" i="16"/>
  <c r="AD385" i="16"/>
  <c r="AC392" i="9"/>
  <c r="AD392" i="9"/>
  <c r="AD383" i="16"/>
  <c r="AC383" i="16"/>
  <c r="AD384" i="17"/>
  <c r="AC384" i="17"/>
  <c r="AD381" i="17"/>
  <c r="AC381" i="17"/>
  <c r="AD378" i="17"/>
  <c r="AC378" i="17"/>
  <c r="AD374" i="17"/>
  <c r="AC374" i="17"/>
  <c r="AD388" i="19"/>
  <c r="AC388" i="19"/>
  <c r="AD390" i="19"/>
  <c r="AC390" i="19"/>
  <c r="AC378" i="19"/>
  <c r="AD378" i="19"/>
  <c r="AD379" i="19"/>
  <c r="AC379" i="19"/>
  <c r="AD388" i="16"/>
  <c r="AC388" i="16"/>
  <c r="AC384" i="16"/>
  <c r="AD384" i="16"/>
  <c r="AD382" i="16"/>
  <c r="AC382" i="16"/>
  <c r="AD391" i="9"/>
  <c r="AC391" i="9"/>
  <c r="AD380" i="16"/>
  <c r="AC380" i="16"/>
  <c r="AC380" i="17"/>
  <c r="AD380" i="17"/>
  <c r="AC377" i="17"/>
  <c r="AD377" i="17"/>
  <c r="AC373" i="17"/>
  <c r="AD373" i="17"/>
  <c r="AC370" i="17"/>
  <c r="AD370" i="17"/>
  <c r="AD384" i="19"/>
  <c r="AC384" i="19"/>
  <c r="AC377" i="19"/>
  <c r="AD377" i="19"/>
  <c r="AC372" i="19"/>
  <c r="AD372" i="19"/>
  <c r="AD373" i="19"/>
  <c r="AC373" i="19"/>
  <c r="O395" i="19"/>
  <c r="U395" i="19" s="1"/>
  <c r="Z395" i="19" s="1"/>
  <c r="O397" i="19"/>
  <c r="U397" i="19" s="1"/>
  <c r="Z397" i="19" s="1"/>
  <c r="O398" i="19"/>
  <c r="U398" i="19" s="1"/>
  <c r="Z398" i="19" s="1"/>
  <c r="O409" i="19"/>
  <c r="U409" i="19" s="1"/>
  <c r="Z409" i="19" s="1"/>
  <c r="O413" i="19"/>
  <c r="U413" i="19" s="1"/>
  <c r="Z413" i="19" s="1"/>
  <c r="O414" i="19"/>
  <c r="U414" i="19" s="1"/>
  <c r="Z414" i="19" s="1"/>
  <c r="O416" i="19"/>
  <c r="U416" i="19" s="1"/>
  <c r="Z416" i="19" s="1"/>
  <c r="O420" i="19"/>
  <c r="U420" i="19" s="1"/>
  <c r="Z420" i="19" s="1"/>
  <c r="O399" i="19"/>
  <c r="U399" i="19" s="1"/>
  <c r="Z399" i="19" s="1"/>
  <c r="O412" i="19"/>
  <c r="U412" i="19" s="1"/>
  <c r="Z412" i="19" s="1"/>
  <c r="O394" i="19"/>
  <c r="U394" i="19" s="1"/>
  <c r="Z394" i="19" s="1"/>
  <c r="O402" i="19"/>
  <c r="U402" i="19" s="1"/>
  <c r="Z402" i="19" s="1"/>
  <c r="O406" i="19"/>
  <c r="U406" i="19" s="1"/>
  <c r="Z406" i="19" s="1"/>
  <c r="O393" i="19"/>
  <c r="U393" i="19" s="1"/>
  <c r="O401" i="19"/>
  <c r="U401" i="19" s="1"/>
  <c r="Z401" i="19" s="1"/>
  <c r="O405" i="19"/>
  <c r="U405" i="19" s="1"/>
  <c r="Z405" i="19" s="1"/>
  <c r="O411" i="19"/>
  <c r="U411" i="19" s="1"/>
  <c r="Z411" i="19" s="1"/>
  <c r="O404" i="19"/>
  <c r="U404" i="19" s="1"/>
  <c r="Z404" i="19" s="1"/>
  <c r="O410" i="19"/>
  <c r="U410" i="19" s="1"/>
  <c r="Z410" i="19" s="1"/>
  <c r="O422" i="19"/>
  <c r="U422" i="19" s="1"/>
  <c r="Z422" i="19" s="1"/>
  <c r="O403" i="19"/>
  <c r="U403" i="19" s="1"/>
  <c r="Z403" i="19" s="1"/>
  <c r="O417" i="19"/>
  <c r="U417" i="19" s="1"/>
  <c r="Z417" i="19" s="1"/>
  <c r="O400" i="19"/>
  <c r="U400" i="19" s="1"/>
  <c r="Z400" i="19" s="1"/>
  <c r="O408" i="19"/>
  <c r="U408" i="19" s="1"/>
  <c r="Z408" i="19" s="1"/>
  <c r="O418" i="19"/>
  <c r="U418" i="19" s="1"/>
  <c r="Z418" i="19" s="1"/>
  <c r="O419" i="19"/>
  <c r="U419" i="19" s="1"/>
  <c r="Z419" i="19" s="1"/>
  <c r="O421" i="19"/>
  <c r="U421" i="19" s="1"/>
  <c r="Z421" i="19" s="1"/>
  <c r="O415" i="19"/>
  <c r="U415" i="19" s="1"/>
  <c r="Z415" i="19" s="1"/>
  <c r="O396" i="19"/>
  <c r="U396" i="19" s="1"/>
  <c r="Z396" i="19" s="1"/>
  <c r="O396" i="17"/>
  <c r="U396" i="17" s="1"/>
  <c r="Z396" i="17" s="1"/>
  <c r="O398" i="17"/>
  <c r="U398" i="17" s="1"/>
  <c r="Z398" i="17" s="1"/>
  <c r="O400" i="17"/>
  <c r="U400" i="17" s="1"/>
  <c r="Z400" i="17" s="1"/>
  <c r="O403" i="17"/>
  <c r="U403" i="17" s="1"/>
  <c r="Z403" i="17" s="1"/>
  <c r="O421" i="17"/>
  <c r="U421" i="17" s="1"/>
  <c r="Z421" i="17" s="1"/>
  <c r="O395" i="17"/>
  <c r="U395" i="17" s="1"/>
  <c r="Z395" i="17" s="1"/>
  <c r="O401" i="17"/>
  <c r="U401" i="17" s="1"/>
  <c r="Z401" i="17" s="1"/>
  <c r="O402" i="17"/>
  <c r="U402" i="17" s="1"/>
  <c r="Z402" i="17" s="1"/>
  <c r="O408" i="17"/>
  <c r="U408" i="17" s="1"/>
  <c r="Z408" i="17" s="1"/>
  <c r="O415" i="17"/>
  <c r="U415" i="17" s="1"/>
  <c r="Z415" i="17" s="1"/>
  <c r="O393" i="17"/>
  <c r="U393" i="17" s="1"/>
  <c r="O407" i="17"/>
  <c r="U407" i="17" s="1"/>
  <c r="Z407" i="17" s="1"/>
  <c r="O416" i="17"/>
  <c r="U416" i="17" s="1"/>
  <c r="Z416" i="17" s="1"/>
  <c r="O418" i="17"/>
  <c r="U418" i="17" s="1"/>
  <c r="Z418" i="17" s="1"/>
  <c r="O419" i="17"/>
  <c r="U419" i="17" s="1"/>
  <c r="Z419" i="17" s="1"/>
  <c r="O407" i="19"/>
  <c r="U407" i="19" s="1"/>
  <c r="Z407" i="19" s="1"/>
  <c r="O413" i="17"/>
  <c r="U413" i="17" s="1"/>
  <c r="Z413" i="17" s="1"/>
  <c r="O417" i="17"/>
  <c r="U417" i="17" s="1"/>
  <c r="Z417" i="17" s="1"/>
  <c r="O399" i="17"/>
  <c r="U399" i="17" s="1"/>
  <c r="Z399" i="17" s="1"/>
  <c r="O410" i="17"/>
  <c r="U410" i="17" s="1"/>
  <c r="Z410" i="17" s="1"/>
  <c r="O411" i="17"/>
  <c r="U411" i="17" s="1"/>
  <c r="Z411" i="17" s="1"/>
  <c r="O420" i="17"/>
  <c r="U420" i="17" s="1"/>
  <c r="Z420" i="17" s="1"/>
  <c r="O422" i="17"/>
  <c r="U422" i="17" s="1"/>
  <c r="Z422" i="17" s="1"/>
  <c r="O394" i="17"/>
  <c r="U394" i="17" s="1"/>
  <c r="Z394" i="17" s="1"/>
  <c r="O406" i="17"/>
  <c r="U406" i="17" s="1"/>
  <c r="Z406" i="17" s="1"/>
  <c r="O409" i="17"/>
  <c r="U409" i="17" s="1"/>
  <c r="Z409" i="17" s="1"/>
  <c r="O414" i="17"/>
  <c r="U414" i="17" s="1"/>
  <c r="Z414" i="17" s="1"/>
  <c r="O405" i="17"/>
  <c r="U405" i="17" s="1"/>
  <c r="Z405" i="17" s="1"/>
  <c r="O404" i="17"/>
  <c r="U404" i="17" s="1"/>
  <c r="Z404" i="17" s="1"/>
  <c r="O412" i="17"/>
  <c r="U412" i="17" s="1"/>
  <c r="Z412" i="17" s="1"/>
  <c r="O397" i="17"/>
  <c r="U397" i="17" s="1"/>
  <c r="Z397" i="17" s="1"/>
  <c r="O408" i="16"/>
  <c r="U408" i="16" s="1"/>
  <c r="Z408" i="16" s="1"/>
  <c r="O422" i="16"/>
  <c r="U422" i="16" s="1"/>
  <c r="Z422" i="16" s="1"/>
  <c r="O422" i="9"/>
  <c r="U422" i="9" s="1"/>
  <c r="Z422" i="9" s="1"/>
  <c r="O405" i="16"/>
  <c r="U405" i="16" s="1"/>
  <c r="Z405" i="16" s="1"/>
  <c r="O409" i="16"/>
  <c r="U409" i="16" s="1"/>
  <c r="Z409" i="16" s="1"/>
  <c r="O410" i="16"/>
  <c r="U410" i="16" s="1"/>
  <c r="Z410" i="16" s="1"/>
  <c r="O417" i="16"/>
  <c r="U417" i="16" s="1"/>
  <c r="Z417" i="16" s="1"/>
  <c r="O418" i="16"/>
  <c r="U418" i="16" s="1"/>
  <c r="Z418" i="16" s="1"/>
  <c r="O403" i="16"/>
  <c r="U403" i="16" s="1"/>
  <c r="Z403" i="16" s="1"/>
  <c r="O404" i="16"/>
  <c r="U404" i="16" s="1"/>
  <c r="Z404" i="16" s="1"/>
  <c r="O406" i="16"/>
  <c r="U406" i="16" s="1"/>
  <c r="Z406" i="16" s="1"/>
  <c r="O407" i="16"/>
  <c r="U407" i="16" s="1"/>
  <c r="Z407" i="16" s="1"/>
  <c r="O399" i="16"/>
  <c r="U399" i="16" s="1"/>
  <c r="Z399" i="16" s="1"/>
  <c r="O401" i="16"/>
  <c r="U401" i="16" s="1"/>
  <c r="Z401" i="16" s="1"/>
  <c r="O418" i="9"/>
  <c r="U418" i="9" s="1"/>
  <c r="Z418" i="9" s="1"/>
  <c r="O419" i="9"/>
  <c r="U419" i="9" s="1"/>
  <c r="Z419" i="9" s="1"/>
  <c r="O396" i="16"/>
  <c r="U396" i="16" s="1"/>
  <c r="Z396" i="16" s="1"/>
  <c r="O398" i="16"/>
  <c r="U398" i="16" s="1"/>
  <c r="Z398" i="16" s="1"/>
  <c r="O414" i="16"/>
  <c r="U414" i="16" s="1"/>
  <c r="Z414" i="16" s="1"/>
  <c r="O420" i="9"/>
  <c r="U420" i="9" s="1"/>
  <c r="Z420" i="9" s="1"/>
  <c r="O400" i="16"/>
  <c r="U400" i="16" s="1"/>
  <c r="Z400" i="16" s="1"/>
  <c r="O411" i="16"/>
  <c r="U411" i="16" s="1"/>
  <c r="Z411" i="16" s="1"/>
  <c r="O419" i="16"/>
  <c r="U419" i="16" s="1"/>
  <c r="Z419" i="16" s="1"/>
  <c r="O420" i="16"/>
  <c r="U420" i="16" s="1"/>
  <c r="Z420" i="16" s="1"/>
  <c r="O421" i="16"/>
  <c r="U421" i="16" s="1"/>
  <c r="Z421" i="16" s="1"/>
  <c r="O397" i="16"/>
  <c r="U397" i="16" s="1"/>
  <c r="Z397" i="16" s="1"/>
  <c r="O413" i="16"/>
  <c r="U413" i="16" s="1"/>
  <c r="Z413" i="16" s="1"/>
  <c r="O395" i="16"/>
  <c r="U395" i="16" s="1"/>
  <c r="Z395" i="16" s="1"/>
  <c r="O416" i="16"/>
  <c r="U416" i="16" s="1"/>
  <c r="Z416" i="16" s="1"/>
  <c r="O415" i="9"/>
  <c r="U415" i="9" s="1"/>
  <c r="Z415" i="9" s="1"/>
  <c r="O416" i="9"/>
  <c r="U416" i="9" s="1"/>
  <c r="Z416" i="9" s="1"/>
  <c r="O412" i="16"/>
  <c r="U412" i="16" s="1"/>
  <c r="Z412" i="16" s="1"/>
  <c r="O393" i="16"/>
  <c r="U393" i="16" s="1"/>
  <c r="O394" i="16"/>
  <c r="U394" i="16" s="1"/>
  <c r="Z394" i="16" s="1"/>
  <c r="O402" i="16"/>
  <c r="U402" i="16" s="1"/>
  <c r="Z402" i="16" s="1"/>
  <c r="O415" i="16"/>
  <c r="U415" i="16" s="1"/>
  <c r="Z415" i="16" s="1"/>
  <c r="O417" i="9"/>
  <c r="U417" i="9" s="1"/>
  <c r="Z417" i="9" s="1"/>
  <c r="O421" i="9"/>
  <c r="U421" i="9" s="1"/>
  <c r="Z421" i="9" s="1"/>
  <c r="AD371" i="16"/>
  <c r="AC371" i="16"/>
  <c r="AD381" i="16"/>
  <c r="AC381" i="16"/>
  <c r="AD377" i="16"/>
  <c r="AC377" i="16"/>
  <c r="AD372" i="17"/>
  <c r="AC372" i="17"/>
  <c r="AC369" i="17"/>
  <c r="AD369" i="17"/>
  <c r="AD392" i="19"/>
  <c r="AC392" i="19"/>
  <c r="AD370" i="19"/>
  <c r="AC370" i="19"/>
  <c r="AD369" i="19"/>
  <c r="AC369" i="19"/>
  <c r="AC378" i="9"/>
  <c r="AD378" i="9"/>
  <c r="AC384" i="9"/>
  <c r="AD384" i="9"/>
  <c r="AC379" i="9"/>
  <c r="AD379" i="9"/>
  <c r="AC372" i="9"/>
  <c r="AD372" i="9"/>
  <c r="AC375" i="9"/>
  <c r="AD375" i="9"/>
  <c r="AD371" i="9"/>
  <c r="AC371" i="9"/>
  <c r="AC376" i="9"/>
  <c r="AD376" i="9"/>
  <c r="AC370" i="9"/>
  <c r="AD370" i="9"/>
  <c r="AC333" i="9"/>
  <c r="AD333" i="9"/>
  <c r="E25" i="13" s="1"/>
  <c r="AC368" i="9"/>
  <c r="AD368" i="9"/>
  <c r="AD383" i="9"/>
  <c r="AC383" i="9"/>
  <c r="AD382" i="9"/>
  <c r="AC382" i="9"/>
  <c r="AC377" i="9"/>
  <c r="AD377" i="9"/>
  <c r="AC365" i="9"/>
  <c r="AD365" i="9"/>
  <c r="AC369" i="9"/>
  <c r="AD369" i="9"/>
  <c r="AD366" i="9"/>
  <c r="AC366" i="9"/>
  <c r="AD381" i="9"/>
  <c r="AC381" i="9"/>
  <c r="AC373" i="9"/>
  <c r="AD373" i="9"/>
  <c r="AD374" i="9"/>
  <c r="AC374" i="9"/>
  <c r="AD367" i="9"/>
  <c r="AC367" i="9"/>
  <c r="AC364" i="9"/>
  <c r="AD364" i="9"/>
  <c r="AC380" i="9"/>
  <c r="AD380" i="9"/>
  <c r="O411" i="9"/>
  <c r="U411" i="9" s="1"/>
  <c r="Z411" i="9" s="1"/>
  <c r="O403" i="9"/>
  <c r="U403" i="9" s="1"/>
  <c r="Z403" i="9" s="1"/>
  <c r="O395" i="9"/>
  <c r="U395" i="9" s="1"/>
  <c r="Z395" i="9" s="1"/>
  <c r="O407" i="9"/>
  <c r="U407" i="9" s="1"/>
  <c r="Z407" i="9" s="1"/>
  <c r="O409" i="9"/>
  <c r="U409" i="9" s="1"/>
  <c r="Z409" i="9" s="1"/>
  <c r="O401" i="9"/>
  <c r="U401" i="9" s="1"/>
  <c r="Z401" i="9" s="1"/>
  <c r="O393" i="9"/>
  <c r="U393" i="9" s="1"/>
  <c r="O405" i="9"/>
  <c r="U405" i="9" s="1"/>
  <c r="Z405" i="9" s="1"/>
  <c r="O398" i="9"/>
  <c r="U398" i="9" s="1"/>
  <c r="Z398" i="9" s="1"/>
  <c r="O404" i="9"/>
  <c r="U404" i="9" s="1"/>
  <c r="Z404" i="9" s="1"/>
  <c r="O394" i="9"/>
  <c r="U394" i="9" s="1"/>
  <c r="Z394" i="9" s="1"/>
  <c r="O414" i="9"/>
  <c r="U414" i="9" s="1"/>
  <c r="Z414" i="9" s="1"/>
  <c r="O413" i="9"/>
  <c r="U413" i="9" s="1"/>
  <c r="Z413" i="9" s="1"/>
  <c r="O400" i="9"/>
  <c r="U400" i="9" s="1"/>
  <c r="Z400" i="9" s="1"/>
  <c r="O397" i="9"/>
  <c r="U397" i="9" s="1"/>
  <c r="Z397" i="9" s="1"/>
  <c r="O412" i="9"/>
  <c r="U412" i="9" s="1"/>
  <c r="Z412" i="9" s="1"/>
  <c r="O410" i="9"/>
  <c r="U410" i="9" s="1"/>
  <c r="Z410" i="9" s="1"/>
  <c r="O408" i="9"/>
  <c r="U408" i="9" s="1"/>
  <c r="Z408" i="9" s="1"/>
  <c r="O406" i="9"/>
  <c r="U406" i="9" s="1"/>
  <c r="Z406" i="9" s="1"/>
  <c r="O402" i="9"/>
  <c r="U402" i="9" s="1"/>
  <c r="Z402" i="9" s="1"/>
  <c r="O399" i="9"/>
  <c r="U399" i="9" s="1"/>
  <c r="Z399" i="9" s="1"/>
  <c r="O396" i="9"/>
  <c r="U396" i="9" s="1"/>
  <c r="Z396" i="9" s="1"/>
  <c r="I20" i="4"/>
  <c r="J19" i="4"/>
  <c r="AC363" i="25" l="1"/>
  <c r="Z393" i="25"/>
  <c r="AD393" i="25" s="1"/>
  <c r="D97" i="11"/>
  <c r="I97" i="11" s="1"/>
  <c r="M26" i="13"/>
  <c r="K25" i="13"/>
  <c r="AC398" i="25"/>
  <c r="AD398" i="25"/>
  <c r="AC400" i="25"/>
  <c r="AD400" i="25"/>
  <c r="AD410" i="25"/>
  <c r="AC410" i="25"/>
  <c r="AD412" i="25"/>
  <c r="AC412" i="25"/>
  <c r="AD413" i="25"/>
  <c r="AC413" i="25"/>
  <c r="AC408" i="25"/>
  <c r="AD408" i="25"/>
  <c r="AD418" i="25"/>
  <c r="AC418" i="25"/>
  <c r="AD420" i="25"/>
  <c r="AC420" i="25"/>
  <c r="AD406" i="25"/>
  <c r="AC406" i="25"/>
  <c r="AC416" i="25"/>
  <c r="AD416" i="25"/>
  <c r="AD422" i="25"/>
  <c r="AC422" i="25"/>
  <c r="AD414" i="25"/>
  <c r="AC414" i="25"/>
  <c r="AD401" i="25"/>
  <c r="AC401" i="25"/>
  <c r="AD403" i="25"/>
  <c r="AC403" i="25"/>
  <c r="AD397" i="25"/>
  <c r="AC397" i="25"/>
  <c r="AC421" i="25"/>
  <c r="AD421" i="25"/>
  <c r="AD409" i="25"/>
  <c r="AC409" i="25"/>
  <c r="AD411" i="25"/>
  <c r="AC411" i="25"/>
  <c r="AD405" i="25"/>
  <c r="AC405" i="25"/>
  <c r="AD399" i="25"/>
  <c r="AC399" i="25"/>
  <c r="AD417" i="25"/>
  <c r="AC417" i="25"/>
  <c r="AD419" i="25"/>
  <c r="AC419" i="25"/>
  <c r="AD395" i="25"/>
  <c r="AC395" i="25"/>
  <c r="AD407" i="25"/>
  <c r="AC407" i="25"/>
  <c r="AD394" i="25"/>
  <c r="AC394" i="25"/>
  <c r="AC396" i="25"/>
  <c r="AD396" i="25"/>
  <c r="O452" i="25"/>
  <c r="U452" i="25" s="1"/>
  <c r="Z452" i="25" s="1"/>
  <c r="O444" i="25"/>
  <c r="U444" i="25" s="1"/>
  <c r="Z444" i="25" s="1"/>
  <c r="O451" i="25"/>
  <c r="U451" i="25" s="1"/>
  <c r="Z451" i="25" s="1"/>
  <c r="O449" i="25"/>
  <c r="U449" i="25" s="1"/>
  <c r="Z449" i="25" s="1"/>
  <c r="O436" i="25"/>
  <c r="U436" i="25" s="1"/>
  <c r="Z436" i="25" s="1"/>
  <c r="O428" i="25"/>
  <c r="U428" i="25" s="1"/>
  <c r="Z428" i="25" s="1"/>
  <c r="O446" i="25"/>
  <c r="U446" i="25" s="1"/>
  <c r="Z446" i="25" s="1"/>
  <c r="O442" i="25"/>
  <c r="U442" i="25" s="1"/>
  <c r="Z442" i="25" s="1"/>
  <c r="O434" i="25"/>
  <c r="U434" i="25" s="1"/>
  <c r="Z434" i="25" s="1"/>
  <c r="O426" i="25"/>
  <c r="U426" i="25" s="1"/>
  <c r="Z426" i="25" s="1"/>
  <c r="O433" i="25"/>
  <c r="U433" i="25" s="1"/>
  <c r="Z433" i="25" s="1"/>
  <c r="O425" i="25"/>
  <c r="U425" i="25" s="1"/>
  <c r="Z425" i="25" s="1"/>
  <c r="O450" i="25"/>
  <c r="U450" i="25" s="1"/>
  <c r="Z450" i="25" s="1"/>
  <c r="O445" i="25"/>
  <c r="U445" i="25" s="1"/>
  <c r="Z445" i="25" s="1"/>
  <c r="O443" i="25"/>
  <c r="U443" i="25" s="1"/>
  <c r="Z443" i="25" s="1"/>
  <c r="O440" i="25"/>
  <c r="U440" i="25" s="1"/>
  <c r="Z440" i="25" s="1"/>
  <c r="O439" i="25"/>
  <c r="U439" i="25" s="1"/>
  <c r="Z439" i="25" s="1"/>
  <c r="O431" i="25"/>
  <c r="U431" i="25" s="1"/>
  <c r="Z431" i="25" s="1"/>
  <c r="O448" i="25"/>
  <c r="U448" i="25" s="1"/>
  <c r="Z448" i="25" s="1"/>
  <c r="O438" i="25"/>
  <c r="U438" i="25" s="1"/>
  <c r="Z438" i="25" s="1"/>
  <c r="O437" i="25"/>
  <c r="U437" i="25" s="1"/>
  <c r="Z437" i="25" s="1"/>
  <c r="O435" i="25"/>
  <c r="U435" i="25" s="1"/>
  <c r="Z435" i="25" s="1"/>
  <c r="O430" i="25"/>
  <c r="U430" i="25" s="1"/>
  <c r="Z430" i="25" s="1"/>
  <c r="O429" i="25"/>
  <c r="U429" i="25" s="1"/>
  <c r="Z429" i="25" s="1"/>
  <c r="O447" i="25"/>
  <c r="U447" i="25" s="1"/>
  <c r="Z447" i="25" s="1"/>
  <c r="O424" i="25"/>
  <c r="U424" i="25" s="1"/>
  <c r="Z424" i="25" s="1"/>
  <c r="O432" i="25"/>
  <c r="U432" i="25" s="1"/>
  <c r="Z432" i="25" s="1"/>
  <c r="O427" i="25"/>
  <c r="U427" i="25" s="1"/>
  <c r="Z427" i="25" s="1"/>
  <c r="O441" i="25"/>
  <c r="U441" i="25" s="1"/>
  <c r="Z441" i="25" s="1"/>
  <c r="O423" i="25"/>
  <c r="U423" i="25" s="1"/>
  <c r="AD415" i="25"/>
  <c r="AC415" i="25"/>
  <c r="AD402" i="25"/>
  <c r="AC402" i="25"/>
  <c r="AD404" i="25"/>
  <c r="AC404" i="25"/>
  <c r="AC363" i="17"/>
  <c r="AC363" i="16"/>
  <c r="Z393" i="9"/>
  <c r="D17" i="11"/>
  <c r="I17" i="11" s="1"/>
  <c r="D77" i="11"/>
  <c r="I77" i="11" s="1"/>
  <c r="Z393" i="16"/>
  <c r="AD393" i="16" s="1"/>
  <c r="D37" i="11"/>
  <c r="I37" i="11" s="1"/>
  <c r="Z393" i="17"/>
  <c r="AD393" i="17" s="1"/>
  <c r="D57" i="11"/>
  <c r="I57" i="11" s="1"/>
  <c r="AC363" i="19"/>
  <c r="Z393" i="19"/>
  <c r="AD393" i="19" s="1"/>
  <c r="AC394" i="16"/>
  <c r="AD394" i="16"/>
  <c r="AD397" i="16"/>
  <c r="AC397" i="16"/>
  <c r="AC398" i="16"/>
  <c r="AD398" i="16"/>
  <c r="AC404" i="16"/>
  <c r="AD404" i="16"/>
  <c r="AC422" i="16"/>
  <c r="AD422" i="16"/>
  <c r="AD406" i="17"/>
  <c r="AC406" i="17"/>
  <c r="AC413" i="17"/>
  <c r="AD413" i="17"/>
  <c r="AD408" i="17"/>
  <c r="AC408" i="17"/>
  <c r="AC396" i="17"/>
  <c r="AD396" i="17"/>
  <c r="AC417" i="19"/>
  <c r="AD417" i="19"/>
  <c r="AD414" i="19"/>
  <c r="AC414" i="19"/>
  <c r="AC421" i="16"/>
  <c r="AD421" i="16"/>
  <c r="AD396" i="16"/>
  <c r="AC396" i="16"/>
  <c r="AC403" i="16"/>
  <c r="AD403" i="16"/>
  <c r="AC408" i="16"/>
  <c r="AD408" i="16"/>
  <c r="AD394" i="17"/>
  <c r="AC394" i="17"/>
  <c r="AC407" i="19"/>
  <c r="AD407" i="19"/>
  <c r="AC402" i="17"/>
  <c r="AD402" i="17"/>
  <c r="AD396" i="19"/>
  <c r="AC396" i="19"/>
  <c r="AD403" i="19"/>
  <c r="AC403" i="19"/>
  <c r="AC406" i="19"/>
  <c r="AD406" i="19"/>
  <c r="AC413" i="19"/>
  <c r="AD413" i="19"/>
  <c r="O426" i="19"/>
  <c r="U426" i="19" s="1"/>
  <c r="Z426" i="19" s="1"/>
  <c r="O429" i="19"/>
  <c r="U429" i="19" s="1"/>
  <c r="Z429" i="19" s="1"/>
  <c r="O430" i="19"/>
  <c r="U430" i="19" s="1"/>
  <c r="Z430" i="19" s="1"/>
  <c r="O435" i="19"/>
  <c r="U435" i="19" s="1"/>
  <c r="Z435" i="19" s="1"/>
  <c r="O437" i="19"/>
  <c r="U437" i="19" s="1"/>
  <c r="Z437" i="19" s="1"/>
  <c r="O424" i="19"/>
  <c r="U424" i="19" s="1"/>
  <c r="Z424" i="19" s="1"/>
  <c r="O425" i="19"/>
  <c r="U425" i="19" s="1"/>
  <c r="Z425" i="19" s="1"/>
  <c r="O434" i="19"/>
  <c r="U434" i="19" s="1"/>
  <c r="Z434" i="19" s="1"/>
  <c r="O436" i="19"/>
  <c r="U436" i="19" s="1"/>
  <c r="Z436" i="19" s="1"/>
  <c r="O447" i="19"/>
  <c r="U447" i="19" s="1"/>
  <c r="Z447" i="19" s="1"/>
  <c r="O448" i="19"/>
  <c r="U448" i="19" s="1"/>
  <c r="Z448" i="19" s="1"/>
  <c r="O450" i="19"/>
  <c r="U450" i="19" s="1"/>
  <c r="Z450" i="19" s="1"/>
  <c r="O423" i="19"/>
  <c r="U423" i="19" s="1"/>
  <c r="O427" i="19"/>
  <c r="U427" i="19" s="1"/>
  <c r="Z427" i="19" s="1"/>
  <c r="O428" i="19"/>
  <c r="U428" i="19" s="1"/>
  <c r="Z428" i="19" s="1"/>
  <c r="O433" i="19"/>
  <c r="U433" i="19" s="1"/>
  <c r="Z433" i="19" s="1"/>
  <c r="O449" i="19"/>
  <c r="U449" i="19" s="1"/>
  <c r="Z449" i="19" s="1"/>
  <c r="O431" i="19"/>
  <c r="U431" i="19" s="1"/>
  <c r="Z431" i="19" s="1"/>
  <c r="O432" i="19"/>
  <c r="U432" i="19" s="1"/>
  <c r="Z432" i="19" s="1"/>
  <c r="O443" i="19"/>
  <c r="U443" i="19" s="1"/>
  <c r="Z443" i="19" s="1"/>
  <c r="O444" i="19"/>
  <c r="U444" i="19" s="1"/>
  <c r="Z444" i="19" s="1"/>
  <c r="O445" i="19"/>
  <c r="U445" i="19" s="1"/>
  <c r="Z445" i="19" s="1"/>
  <c r="O451" i="19"/>
  <c r="U451" i="19" s="1"/>
  <c r="Z451" i="19" s="1"/>
  <c r="O441" i="19"/>
  <c r="U441" i="19" s="1"/>
  <c r="Z441" i="19" s="1"/>
  <c r="O452" i="19"/>
  <c r="U452" i="19" s="1"/>
  <c r="Z452" i="19" s="1"/>
  <c r="O438" i="19"/>
  <c r="U438" i="19" s="1"/>
  <c r="Z438" i="19" s="1"/>
  <c r="O442" i="19"/>
  <c r="U442" i="19" s="1"/>
  <c r="Z442" i="19" s="1"/>
  <c r="O426" i="17"/>
  <c r="U426" i="17" s="1"/>
  <c r="Z426" i="17" s="1"/>
  <c r="O427" i="17"/>
  <c r="U427" i="17" s="1"/>
  <c r="Z427" i="17" s="1"/>
  <c r="O428" i="17"/>
  <c r="U428" i="17" s="1"/>
  <c r="Z428" i="17" s="1"/>
  <c r="O445" i="17"/>
  <c r="U445" i="17" s="1"/>
  <c r="Z445" i="17" s="1"/>
  <c r="O447" i="17"/>
  <c r="U447" i="17" s="1"/>
  <c r="Z447" i="17" s="1"/>
  <c r="O450" i="17"/>
  <c r="U450" i="17" s="1"/>
  <c r="Z450" i="17" s="1"/>
  <c r="O440" i="19"/>
  <c r="U440" i="19" s="1"/>
  <c r="Z440" i="19" s="1"/>
  <c r="O425" i="17"/>
  <c r="U425" i="17" s="1"/>
  <c r="Z425" i="17" s="1"/>
  <c r="O429" i="17"/>
  <c r="U429" i="17" s="1"/>
  <c r="Z429" i="17" s="1"/>
  <c r="O442" i="17"/>
  <c r="U442" i="17" s="1"/>
  <c r="Z442" i="17" s="1"/>
  <c r="O443" i="17"/>
  <c r="U443" i="17" s="1"/>
  <c r="Z443" i="17" s="1"/>
  <c r="O448" i="17"/>
  <c r="U448" i="17" s="1"/>
  <c r="Z448" i="17" s="1"/>
  <c r="O449" i="17"/>
  <c r="U449" i="17" s="1"/>
  <c r="Z449" i="17" s="1"/>
  <c r="O446" i="19"/>
  <c r="U446" i="19" s="1"/>
  <c r="Z446" i="19" s="1"/>
  <c r="O433" i="17"/>
  <c r="U433" i="17" s="1"/>
  <c r="Z433" i="17" s="1"/>
  <c r="O440" i="17"/>
  <c r="U440" i="17" s="1"/>
  <c r="Z440" i="17" s="1"/>
  <c r="O441" i="17"/>
  <c r="U441" i="17" s="1"/>
  <c r="Z441" i="17" s="1"/>
  <c r="O439" i="19"/>
  <c r="U439" i="19" s="1"/>
  <c r="Z439" i="19" s="1"/>
  <c r="O423" i="17"/>
  <c r="U423" i="17" s="1"/>
  <c r="O438" i="17"/>
  <c r="U438" i="17" s="1"/>
  <c r="Z438" i="17" s="1"/>
  <c r="O431" i="17"/>
  <c r="U431" i="17" s="1"/>
  <c r="Z431" i="17" s="1"/>
  <c r="O436" i="17"/>
  <c r="U436" i="17" s="1"/>
  <c r="Z436" i="17" s="1"/>
  <c r="O424" i="17"/>
  <c r="U424" i="17" s="1"/>
  <c r="Z424" i="17" s="1"/>
  <c r="O434" i="17"/>
  <c r="U434" i="17" s="1"/>
  <c r="Z434" i="17" s="1"/>
  <c r="O437" i="17"/>
  <c r="U437" i="17" s="1"/>
  <c r="Z437" i="17" s="1"/>
  <c r="O432" i="17"/>
  <c r="U432" i="17" s="1"/>
  <c r="Z432" i="17" s="1"/>
  <c r="O439" i="17"/>
  <c r="U439" i="17" s="1"/>
  <c r="Z439" i="17" s="1"/>
  <c r="O444" i="17"/>
  <c r="U444" i="17" s="1"/>
  <c r="Z444" i="17" s="1"/>
  <c r="O446" i="17"/>
  <c r="U446" i="17" s="1"/>
  <c r="Z446" i="17" s="1"/>
  <c r="O430" i="17"/>
  <c r="U430" i="17" s="1"/>
  <c r="Z430" i="17" s="1"/>
  <c r="O435" i="17"/>
  <c r="U435" i="17" s="1"/>
  <c r="Z435" i="17" s="1"/>
  <c r="O451" i="17"/>
  <c r="U451" i="17" s="1"/>
  <c r="Z451" i="17" s="1"/>
  <c r="O452" i="17"/>
  <c r="U452" i="17" s="1"/>
  <c r="Z452" i="17" s="1"/>
  <c r="O423" i="16"/>
  <c r="U423" i="16" s="1"/>
  <c r="O431" i="16"/>
  <c r="U431" i="16" s="1"/>
  <c r="Z431" i="16" s="1"/>
  <c r="O437" i="16"/>
  <c r="U437" i="16" s="1"/>
  <c r="Z437" i="16" s="1"/>
  <c r="O447" i="16"/>
  <c r="U447" i="16" s="1"/>
  <c r="Z447" i="16" s="1"/>
  <c r="O448" i="16"/>
  <c r="U448" i="16" s="1"/>
  <c r="Z448" i="16" s="1"/>
  <c r="O441" i="16"/>
  <c r="U441" i="16" s="1"/>
  <c r="Z441" i="16" s="1"/>
  <c r="O446" i="16"/>
  <c r="U446" i="16" s="1"/>
  <c r="Z446" i="16" s="1"/>
  <c r="O436" i="16"/>
  <c r="U436" i="16" s="1"/>
  <c r="Z436" i="16" s="1"/>
  <c r="O440" i="16"/>
  <c r="U440" i="16" s="1"/>
  <c r="Z440" i="16" s="1"/>
  <c r="O445" i="16"/>
  <c r="U445" i="16" s="1"/>
  <c r="Z445" i="16" s="1"/>
  <c r="O434" i="16"/>
  <c r="U434" i="16" s="1"/>
  <c r="Z434" i="16" s="1"/>
  <c r="O443" i="16"/>
  <c r="U443" i="16" s="1"/>
  <c r="Z443" i="16" s="1"/>
  <c r="O424" i="16"/>
  <c r="U424" i="16" s="1"/>
  <c r="Z424" i="16" s="1"/>
  <c r="O428" i="16"/>
  <c r="U428" i="16" s="1"/>
  <c r="Z428" i="16" s="1"/>
  <c r="O438" i="16"/>
  <c r="U438" i="16" s="1"/>
  <c r="Z438" i="16" s="1"/>
  <c r="O450" i="16"/>
  <c r="U450" i="16" s="1"/>
  <c r="Z450" i="16" s="1"/>
  <c r="O427" i="16"/>
  <c r="U427" i="16" s="1"/>
  <c r="Z427" i="16" s="1"/>
  <c r="O444" i="16"/>
  <c r="U444" i="16" s="1"/>
  <c r="Z444" i="16" s="1"/>
  <c r="O429" i="16"/>
  <c r="U429" i="16" s="1"/>
  <c r="Z429" i="16" s="1"/>
  <c r="O426" i="16"/>
  <c r="U426" i="16" s="1"/>
  <c r="Z426" i="16" s="1"/>
  <c r="O432" i="16"/>
  <c r="U432" i="16" s="1"/>
  <c r="Z432" i="16" s="1"/>
  <c r="O433" i="16"/>
  <c r="U433" i="16" s="1"/>
  <c r="Z433" i="16" s="1"/>
  <c r="O445" i="9"/>
  <c r="U445" i="9" s="1"/>
  <c r="Z445" i="9" s="1"/>
  <c r="O446" i="9"/>
  <c r="U446" i="9" s="1"/>
  <c r="Z446" i="9" s="1"/>
  <c r="O449" i="16"/>
  <c r="U449" i="16" s="1"/>
  <c r="Z449" i="16" s="1"/>
  <c r="O439" i="16"/>
  <c r="U439" i="16" s="1"/>
  <c r="Z439" i="16" s="1"/>
  <c r="O451" i="16"/>
  <c r="U451" i="16" s="1"/>
  <c r="Z451" i="16" s="1"/>
  <c r="O452" i="16"/>
  <c r="U452" i="16" s="1"/>
  <c r="Z452" i="16" s="1"/>
  <c r="O447" i="9"/>
  <c r="U447" i="9" s="1"/>
  <c r="Z447" i="9" s="1"/>
  <c r="O448" i="9"/>
  <c r="U448" i="9" s="1"/>
  <c r="Z448" i="9" s="1"/>
  <c r="O449" i="9"/>
  <c r="U449" i="9" s="1"/>
  <c r="Z449" i="9" s="1"/>
  <c r="O450" i="9"/>
  <c r="U450" i="9" s="1"/>
  <c r="Z450" i="9" s="1"/>
  <c r="O451" i="9"/>
  <c r="U451" i="9" s="1"/>
  <c r="Z451" i="9" s="1"/>
  <c r="O452" i="9"/>
  <c r="U452" i="9" s="1"/>
  <c r="Z452" i="9" s="1"/>
  <c r="O430" i="16"/>
  <c r="U430" i="16" s="1"/>
  <c r="Z430" i="16" s="1"/>
  <c r="O442" i="16"/>
  <c r="U442" i="16" s="1"/>
  <c r="Z442" i="16" s="1"/>
  <c r="O425" i="16"/>
  <c r="U425" i="16" s="1"/>
  <c r="Z425" i="16" s="1"/>
  <c r="O435" i="16"/>
  <c r="U435" i="16" s="1"/>
  <c r="Z435" i="16" s="1"/>
  <c r="AC412" i="16"/>
  <c r="AD412" i="16"/>
  <c r="AD419" i="9"/>
  <c r="AC419" i="9"/>
  <c r="AC418" i="16"/>
  <c r="AD418" i="16"/>
  <c r="AC397" i="17"/>
  <c r="AD397" i="17"/>
  <c r="AD422" i="17"/>
  <c r="AC422" i="17"/>
  <c r="AC419" i="17"/>
  <c r="AD419" i="17"/>
  <c r="AC401" i="17"/>
  <c r="AD401" i="17"/>
  <c r="AD415" i="19"/>
  <c r="AC415" i="19"/>
  <c r="AD422" i="19"/>
  <c r="AC422" i="19"/>
  <c r="AC402" i="19"/>
  <c r="AD402" i="19"/>
  <c r="AC409" i="19"/>
  <c r="AD409" i="19"/>
  <c r="AC420" i="16"/>
  <c r="AD420" i="16"/>
  <c r="AC416" i="9"/>
  <c r="AD416" i="9"/>
  <c r="AC419" i="16"/>
  <c r="AD419" i="16"/>
  <c r="AD418" i="9"/>
  <c r="AC418" i="9"/>
  <c r="AC417" i="16"/>
  <c r="AD417" i="16"/>
  <c r="AD412" i="17"/>
  <c r="AC412" i="17"/>
  <c r="AC420" i="17"/>
  <c r="AD420" i="17"/>
  <c r="AD418" i="17"/>
  <c r="AC418" i="17"/>
  <c r="AC395" i="17"/>
  <c r="AD395" i="17"/>
  <c r="AC421" i="19"/>
  <c r="AD421" i="19"/>
  <c r="AC410" i="19"/>
  <c r="AD410" i="19"/>
  <c r="AD394" i="19"/>
  <c r="AC394" i="19"/>
  <c r="AD398" i="19"/>
  <c r="AC398" i="19"/>
  <c r="AC421" i="9"/>
  <c r="AD421" i="9"/>
  <c r="AC415" i="9"/>
  <c r="AD415" i="9"/>
  <c r="AC411" i="16"/>
  <c r="AD411" i="16"/>
  <c r="AD401" i="16"/>
  <c r="AC401" i="16"/>
  <c r="AC410" i="16"/>
  <c r="AD410" i="16"/>
  <c r="AD404" i="17"/>
  <c r="AC404" i="17"/>
  <c r="AC411" i="17"/>
  <c r="AD411" i="17"/>
  <c r="AD416" i="17"/>
  <c r="AC416" i="17"/>
  <c r="AC421" i="17"/>
  <c r="AD421" i="17"/>
  <c r="AC419" i="19"/>
  <c r="AD419" i="19"/>
  <c r="AD404" i="19"/>
  <c r="AC404" i="19"/>
  <c r="AD412" i="19"/>
  <c r="AC412" i="19"/>
  <c r="AC397" i="19"/>
  <c r="AD397" i="19"/>
  <c r="AD417" i="9"/>
  <c r="AC417" i="9"/>
  <c r="AD416" i="16"/>
  <c r="AC416" i="16"/>
  <c r="AC400" i="16"/>
  <c r="AD400" i="16"/>
  <c r="AD399" i="16"/>
  <c r="AC399" i="16"/>
  <c r="AD409" i="16"/>
  <c r="AC409" i="16"/>
  <c r="AC405" i="17"/>
  <c r="AD405" i="17"/>
  <c r="AD410" i="17"/>
  <c r="AC410" i="17"/>
  <c r="AD407" i="17"/>
  <c r="AC407" i="17"/>
  <c r="AD403" i="17"/>
  <c r="AC403" i="17"/>
  <c r="AC418" i="19"/>
  <c r="AD418" i="19"/>
  <c r="AD411" i="19"/>
  <c r="AC411" i="19"/>
  <c r="AC399" i="19"/>
  <c r="AD399" i="19"/>
  <c r="AD395" i="19"/>
  <c r="AC395" i="19"/>
  <c r="AC415" i="16"/>
  <c r="AD415" i="16"/>
  <c r="AC395" i="16"/>
  <c r="AD395" i="16"/>
  <c r="AC420" i="9"/>
  <c r="AD420" i="9"/>
  <c r="AC407" i="16"/>
  <c r="AD407" i="16"/>
  <c r="AC405" i="16"/>
  <c r="AD405" i="16"/>
  <c r="AC414" i="17"/>
  <c r="AD414" i="17"/>
  <c r="AD399" i="17"/>
  <c r="AC399" i="17"/>
  <c r="AD400" i="17"/>
  <c r="AC400" i="17"/>
  <c r="AD408" i="19"/>
  <c r="AC408" i="19"/>
  <c r="AD405" i="19"/>
  <c r="AC405" i="19"/>
  <c r="AC420" i="19"/>
  <c r="AD420" i="19"/>
  <c r="AC402" i="16"/>
  <c r="AD402" i="16"/>
  <c r="AC413" i="16"/>
  <c r="AD413" i="16"/>
  <c r="AD414" i="16"/>
  <c r="AC414" i="16"/>
  <c r="AC406" i="16"/>
  <c r="AD406" i="16"/>
  <c r="AD422" i="9"/>
  <c r="AC422" i="9"/>
  <c r="AD409" i="17"/>
  <c r="AC409" i="17"/>
  <c r="AC417" i="17"/>
  <c r="AD417" i="17"/>
  <c r="AD415" i="17"/>
  <c r="AC415" i="17"/>
  <c r="AD398" i="17"/>
  <c r="AC398" i="17"/>
  <c r="AC400" i="19"/>
  <c r="AD400" i="19"/>
  <c r="AD401" i="19"/>
  <c r="AC401" i="19"/>
  <c r="AC416" i="19"/>
  <c r="AD416" i="19"/>
  <c r="G26" i="13"/>
  <c r="K26" i="13"/>
  <c r="AC406" i="9"/>
  <c r="AD406" i="9"/>
  <c r="AC410" i="9"/>
  <c r="AD410" i="9"/>
  <c r="AC412" i="9"/>
  <c r="AD412" i="9"/>
  <c r="AC405" i="9"/>
  <c r="AD405" i="9"/>
  <c r="AD399" i="9"/>
  <c r="AC399" i="9"/>
  <c r="AD407" i="9"/>
  <c r="AC407" i="9"/>
  <c r="AC409" i="9"/>
  <c r="AD409" i="9"/>
  <c r="AC414" i="9"/>
  <c r="AD414" i="9"/>
  <c r="AD395" i="9"/>
  <c r="AC395" i="9"/>
  <c r="AD397" i="9"/>
  <c r="AC397" i="9"/>
  <c r="AC396" i="9"/>
  <c r="AD396" i="9"/>
  <c r="AD400" i="9"/>
  <c r="AC400" i="9"/>
  <c r="AD401" i="9"/>
  <c r="AC401" i="9"/>
  <c r="AC363" i="9"/>
  <c r="AD363" i="9"/>
  <c r="E26" i="13" s="1"/>
  <c r="AC413" i="9"/>
  <c r="AD413" i="9"/>
  <c r="AC402" i="9"/>
  <c r="AD402" i="9"/>
  <c r="AD408" i="9"/>
  <c r="AC408" i="9"/>
  <c r="AC404" i="9"/>
  <c r="AD404" i="9"/>
  <c r="AD403" i="9"/>
  <c r="AC403" i="9"/>
  <c r="AD394" i="9"/>
  <c r="AC394" i="9"/>
  <c r="AD398" i="9"/>
  <c r="AC398" i="9"/>
  <c r="AC411" i="9"/>
  <c r="AD411" i="9"/>
  <c r="I26" i="13"/>
  <c r="O443" i="9"/>
  <c r="U443" i="9" s="1"/>
  <c r="Z443" i="9" s="1"/>
  <c r="O435" i="9"/>
  <c r="U435" i="9" s="1"/>
  <c r="Z435" i="9" s="1"/>
  <c r="O427" i="9"/>
  <c r="U427" i="9" s="1"/>
  <c r="Z427" i="9" s="1"/>
  <c r="O437" i="9"/>
  <c r="U437" i="9" s="1"/>
  <c r="Z437" i="9" s="1"/>
  <c r="O439" i="9"/>
  <c r="U439" i="9" s="1"/>
  <c r="Z439" i="9" s="1"/>
  <c r="O431" i="9"/>
  <c r="U431" i="9" s="1"/>
  <c r="Z431" i="9" s="1"/>
  <c r="O423" i="9"/>
  <c r="U423" i="9" s="1"/>
  <c r="O441" i="9"/>
  <c r="U441" i="9" s="1"/>
  <c r="Z441" i="9" s="1"/>
  <c r="O433" i="9"/>
  <c r="U433" i="9" s="1"/>
  <c r="Z433" i="9" s="1"/>
  <c r="O425" i="9"/>
  <c r="U425" i="9" s="1"/>
  <c r="Z425" i="9" s="1"/>
  <c r="O444" i="9"/>
  <c r="U444" i="9" s="1"/>
  <c r="Z444" i="9" s="1"/>
  <c r="O440" i="9"/>
  <c r="U440" i="9" s="1"/>
  <c r="Z440" i="9" s="1"/>
  <c r="O428" i="9"/>
  <c r="U428" i="9" s="1"/>
  <c r="Z428" i="9" s="1"/>
  <c r="O426" i="9"/>
  <c r="U426" i="9" s="1"/>
  <c r="Z426" i="9" s="1"/>
  <c r="O424" i="9"/>
  <c r="U424" i="9" s="1"/>
  <c r="Z424" i="9" s="1"/>
  <c r="O434" i="9"/>
  <c r="U434" i="9" s="1"/>
  <c r="Z434" i="9" s="1"/>
  <c r="O432" i="9"/>
  <c r="U432" i="9" s="1"/>
  <c r="Z432" i="9" s="1"/>
  <c r="O442" i="9"/>
  <c r="U442" i="9" s="1"/>
  <c r="Z442" i="9" s="1"/>
  <c r="O436" i="9"/>
  <c r="U436" i="9" s="1"/>
  <c r="Z436" i="9" s="1"/>
  <c r="O430" i="9"/>
  <c r="U430" i="9" s="1"/>
  <c r="Z430" i="9" s="1"/>
  <c r="O438" i="9"/>
  <c r="U438" i="9" s="1"/>
  <c r="Z438" i="9" s="1"/>
  <c r="O429" i="9"/>
  <c r="U429" i="9" s="1"/>
  <c r="Z429" i="9" s="1"/>
  <c r="J20" i="4"/>
  <c r="I21" i="4"/>
  <c r="J21" i="4" s="1"/>
  <c r="AC393" i="25" l="1"/>
  <c r="Z423" i="25"/>
  <c r="AD423" i="25" s="1"/>
  <c r="D98" i="11"/>
  <c r="I98" i="11" s="1"/>
  <c r="M27" i="13"/>
  <c r="AD427" i="25"/>
  <c r="AC427" i="25"/>
  <c r="AD438" i="25"/>
  <c r="AC438" i="25"/>
  <c r="AC425" i="25"/>
  <c r="AD425" i="25"/>
  <c r="AC449" i="25"/>
  <c r="AD449" i="25"/>
  <c r="AC432" i="25"/>
  <c r="AD432" i="25"/>
  <c r="AD448" i="25"/>
  <c r="AC448" i="25"/>
  <c r="AD433" i="25"/>
  <c r="AC433" i="25"/>
  <c r="AD451" i="25"/>
  <c r="AC451" i="25"/>
  <c r="AC424" i="25"/>
  <c r="AD424" i="25"/>
  <c r="AD431" i="25"/>
  <c r="AC431" i="25"/>
  <c r="AD426" i="25"/>
  <c r="AC426" i="25"/>
  <c r="AD444" i="25"/>
  <c r="AC444" i="25"/>
  <c r="AD447" i="25"/>
  <c r="AC447" i="25"/>
  <c r="AD439" i="25"/>
  <c r="AC439" i="25"/>
  <c r="AD434" i="25"/>
  <c r="AC434" i="25"/>
  <c r="AD452" i="25"/>
  <c r="AC452" i="25"/>
  <c r="AD429" i="25"/>
  <c r="AC429" i="25"/>
  <c r="AC440" i="25"/>
  <c r="AD440" i="25"/>
  <c r="AC442" i="25"/>
  <c r="AD442" i="25"/>
  <c r="O509" i="25"/>
  <c r="U509" i="25" s="1"/>
  <c r="Z509" i="25" s="1"/>
  <c r="O501" i="25"/>
  <c r="U501" i="25" s="1"/>
  <c r="Z501" i="25" s="1"/>
  <c r="O508" i="25"/>
  <c r="U508" i="25" s="1"/>
  <c r="Z508" i="25" s="1"/>
  <c r="O500" i="25"/>
  <c r="U500" i="25" s="1"/>
  <c r="Z500" i="25" s="1"/>
  <c r="O492" i="25"/>
  <c r="U492" i="25" s="1"/>
  <c r="Z492" i="25" s="1"/>
  <c r="O507" i="25"/>
  <c r="U507" i="25" s="1"/>
  <c r="Z507" i="25" s="1"/>
  <c r="O499" i="25"/>
  <c r="U499" i="25" s="1"/>
  <c r="Z499" i="25" s="1"/>
  <c r="O491" i="25"/>
  <c r="U491" i="25" s="1"/>
  <c r="Z491" i="25" s="1"/>
  <c r="O506" i="25"/>
  <c r="U506" i="25" s="1"/>
  <c r="Z506" i="25" s="1"/>
  <c r="O498" i="25"/>
  <c r="U498" i="25" s="1"/>
  <c r="Z498" i="25" s="1"/>
  <c r="O490" i="25"/>
  <c r="U490" i="25" s="1"/>
  <c r="Z490" i="25" s="1"/>
  <c r="O505" i="25"/>
  <c r="U505" i="25" s="1"/>
  <c r="Z505" i="25" s="1"/>
  <c r="O497" i="25"/>
  <c r="U497" i="25" s="1"/>
  <c r="Z497" i="25" s="1"/>
  <c r="O489" i="25"/>
  <c r="U489" i="25" s="1"/>
  <c r="Z489" i="25" s="1"/>
  <c r="O512" i="25"/>
  <c r="U512" i="25" s="1"/>
  <c r="Z512" i="25" s="1"/>
  <c r="O504" i="25"/>
  <c r="U504" i="25" s="1"/>
  <c r="Z504" i="25" s="1"/>
  <c r="O496" i="25"/>
  <c r="U496" i="25" s="1"/>
  <c r="Z496" i="25" s="1"/>
  <c r="O488" i="25"/>
  <c r="U488" i="25" s="1"/>
  <c r="Z488" i="25" s="1"/>
  <c r="O484" i="25"/>
  <c r="U484" i="25" s="1"/>
  <c r="Z484" i="25" s="1"/>
  <c r="O495" i="25"/>
  <c r="U495" i="25" s="1"/>
  <c r="Z495" i="25" s="1"/>
  <c r="O494" i="25"/>
  <c r="U494" i="25" s="1"/>
  <c r="Z494" i="25" s="1"/>
  <c r="O486" i="25"/>
  <c r="U486" i="25" s="1"/>
  <c r="Z486" i="25" s="1"/>
  <c r="O511" i="25"/>
  <c r="U511" i="25" s="1"/>
  <c r="Z511" i="25" s="1"/>
  <c r="O503" i="25"/>
  <c r="U503" i="25" s="1"/>
  <c r="Z503" i="25" s="1"/>
  <c r="O510" i="25"/>
  <c r="U510" i="25" s="1"/>
  <c r="Z510" i="25" s="1"/>
  <c r="O502" i="25"/>
  <c r="U502" i="25" s="1"/>
  <c r="Z502" i="25" s="1"/>
  <c r="O483" i="25"/>
  <c r="U483" i="25" s="1"/>
  <c r="O485" i="25"/>
  <c r="U485" i="25" s="1"/>
  <c r="Z485" i="25" s="1"/>
  <c r="O493" i="25"/>
  <c r="U493" i="25" s="1"/>
  <c r="Z493" i="25" s="1"/>
  <c r="O487" i="25"/>
  <c r="U487" i="25" s="1"/>
  <c r="Z487" i="25" s="1"/>
  <c r="O481" i="25"/>
  <c r="U481" i="25" s="1"/>
  <c r="Z481" i="25" s="1"/>
  <c r="O476" i="25"/>
  <c r="U476" i="25" s="1"/>
  <c r="Z476" i="25" s="1"/>
  <c r="O468" i="25"/>
  <c r="U468" i="25" s="1"/>
  <c r="Z468" i="25" s="1"/>
  <c r="O482" i="25"/>
  <c r="U482" i="25" s="1"/>
  <c r="Z482" i="25" s="1"/>
  <c r="O475" i="25"/>
  <c r="U475" i="25" s="1"/>
  <c r="Z475" i="25" s="1"/>
  <c r="O474" i="25"/>
  <c r="U474" i="25" s="1"/>
  <c r="Z474" i="25" s="1"/>
  <c r="O466" i="25"/>
  <c r="U466" i="25" s="1"/>
  <c r="Z466" i="25" s="1"/>
  <c r="O473" i="25"/>
  <c r="U473" i="25" s="1"/>
  <c r="Z473" i="25" s="1"/>
  <c r="O465" i="25"/>
  <c r="U465" i="25" s="1"/>
  <c r="Z465" i="25" s="1"/>
  <c r="O479" i="25"/>
  <c r="U479" i="25" s="1"/>
  <c r="Z479" i="25" s="1"/>
  <c r="O471" i="25"/>
  <c r="U471" i="25" s="1"/>
  <c r="Z471" i="25" s="1"/>
  <c r="O463" i="25"/>
  <c r="U463" i="25" s="1"/>
  <c r="Z463" i="25" s="1"/>
  <c r="O478" i="25"/>
  <c r="U478" i="25" s="1"/>
  <c r="Z478" i="25" s="1"/>
  <c r="O477" i="25"/>
  <c r="U477" i="25" s="1"/>
  <c r="Z477" i="25" s="1"/>
  <c r="O469" i="25"/>
  <c r="U469" i="25" s="1"/>
  <c r="Z469" i="25" s="1"/>
  <c r="O459" i="25"/>
  <c r="U459" i="25" s="1"/>
  <c r="Z459" i="25" s="1"/>
  <c r="O455" i="25"/>
  <c r="U455" i="25" s="1"/>
  <c r="Z455" i="25" s="1"/>
  <c r="O454" i="25"/>
  <c r="U454" i="25" s="1"/>
  <c r="Z454" i="25" s="1"/>
  <c r="O480" i="25"/>
  <c r="U480" i="25" s="1"/>
  <c r="Z480" i="25" s="1"/>
  <c r="O460" i="25"/>
  <c r="U460" i="25" s="1"/>
  <c r="Z460" i="25" s="1"/>
  <c r="O453" i="25"/>
  <c r="U453" i="25" s="1"/>
  <c r="O464" i="25"/>
  <c r="U464" i="25" s="1"/>
  <c r="Z464" i="25" s="1"/>
  <c r="O470" i="25"/>
  <c r="U470" i="25" s="1"/>
  <c r="Z470" i="25" s="1"/>
  <c r="O461" i="25"/>
  <c r="U461" i="25" s="1"/>
  <c r="Z461" i="25" s="1"/>
  <c r="O472" i="25"/>
  <c r="U472" i="25" s="1"/>
  <c r="Z472" i="25" s="1"/>
  <c r="O462" i="25"/>
  <c r="U462" i="25" s="1"/>
  <c r="Z462" i="25" s="1"/>
  <c r="O458" i="25"/>
  <c r="U458" i="25" s="1"/>
  <c r="Z458" i="25" s="1"/>
  <c r="O457" i="25"/>
  <c r="U457" i="25" s="1"/>
  <c r="Z457" i="25" s="1"/>
  <c r="O456" i="25"/>
  <c r="U456" i="25" s="1"/>
  <c r="Z456" i="25" s="1"/>
  <c r="O467" i="25"/>
  <c r="U467" i="25" s="1"/>
  <c r="Z467" i="25" s="1"/>
  <c r="AC430" i="25"/>
  <c r="AD430" i="25"/>
  <c r="AD443" i="25"/>
  <c r="AC443" i="25"/>
  <c r="AD446" i="25"/>
  <c r="AC446" i="25"/>
  <c r="AC435" i="25"/>
  <c r="AD435" i="25"/>
  <c r="AC445" i="25"/>
  <c r="AD445" i="25"/>
  <c r="AD428" i="25"/>
  <c r="AC428" i="25"/>
  <c r="AD441" i="25"/>
  <c r="AC441" i="25"/>
  <c r="AD437" i="25"/>
  <c r="AC437" i="25"/>
  <c r="AD450" i="25"/>
  <c r="AC450" i="25"/>
  <c r="AD436" i="25"/>
  <c r="AC436" i="25"/>
  <c r="AC393" i="17"/>
  <c r="Z423" i="9"/>
  <c r="D18" i="11"/>
  <c r="I18" i="11" s="1"/>
  <c r="AC393" i="16"/>
  <c r="D78" i="11"/>
  <c r="I78" i="11" s="1"/>
  <c r="Z423" i="17"/>
  <c r="AC423" i="17" s="1"/>
  <c r="D58" i="11"/>
  <c r="I58" i="11" s="1"/>
  <c r="Z423" i="16"/>
  <c r="AD423" i="16" s="1"/>
  <c r="D38" i="11"/>
  <c r="I38" i="11" s="1"/>
  <c r="AC393" i="19"/>
  <c r="Z423" i="19"/>
  <c r="AD423" i="19" s="1"/>
  <c r="AD442" i="16"/>
  <c r="AC442" i="16"/>
  <c r="AC452" i="16"/>
  <c r="AD452" i="16"/>
  <c r="AC426" i="16"/>
  <c r="AD426" i="16"/>
  <c r="AD443" i="16"/>
  <c r="AC443" i="16"/>
  <c r="AC447" i="16"/>
  <c r="AD447" i="16"/>
  <c r="AC446" i="17"/>
  <c r="AD446" i="17"/>
  <c r="AD431" i="17"/>
  <c r="AC431" i="17"/>
  <c r="AD449" i="17"/>
  <c r="AC449" i="17"/>
  <c r="AC447" i="17"/>
  <c r="AD447" i="17"/>
  <c r="AC441" i="19"/>
  <c r="AD441" i="19"/>
  <c r="AC433" i="19"/>
  <c r="AD433" i="19"/>
  <c r="AD434" i="19"/>
  <c r="AC434" i="19"/>
  <c r="AC425" i="16"/>
  <c r="AD425" i="16"/>
  <c r="AD430" i="16"/>
  <c r="AC430" i="16"/>
  <c r="AD451" i="16"/>
  <c r="AC451" i="16"/>
  <c r="AC429" i="16"/>
  <c r="AD429" i="16"/>
  <c r="AC434" i="16"/>
  <c r="AD434" i="16"/>
  <c r="AD437" i="16"/>
  <c r="AC437" i="16"/>
  <c r="AD444" i="17"/>
  <c r="AC444" i="17"/>
  <c r="AD438" i="17"/>
  <c r="AC438" i="17"/>
  <c r="AC448" i="17"/>
  <c r="AD448" i="17"/>
  <c r="AD445" i="17"/>
  <c r="AC445" i="17"/>
  <c r="AC451" i="19"/>
  <c r="AD451" i="19"/>
  <c r="AC428" i="19"/>
  <c r="AD428" i="19"/>
  <c r="AC425" i="19"/>
  <c r="AD425" i="19"/>
  <c r="AD439" i="16"/>
  <c r="AC439" i="16"/>
  <c r="AC444" i="16"/>
  <c r="AD444" i="16"/>
  <c r="AC445" i="16"/>
  <c r="AD445" i="16"/>
  <c r="AC431" i="16"/>
  <c r="AD431" i="16"/>
  <c r="AD439" i="17"/>
  <c r="AC439" i="17"/>
  <c r="AD443" i="17"/>
  <c r="AC443" i="17"/>
  <c r="AD428" i="17"/>
  <c r="AC428" i="17"/>
  <c r="AC445" i="19"/>
  <c r="AD445" i="19"/>
  <c r="AC427" i="19"/>
  <c r="AD427" i="19"/>
  <c r="AD424" i="19"/>
  <c r="AC424" i="19"/>
  <c r="AC451" i="9"/>
  <c r="AD451" i="9"/>
  <c r="AD449" i="16"/>
  <c r="AC449" i="16"/>
  <c r="AC440" i="16"/>
  <c r="AD440" i="16"/>
  <c r="AD432" i="17"/>
  <c r="AC432" i="17"/>
  <c r="AD439" i="19"/>
  <c r="AC439" i="19"/>
  <c r="AD442" i="17"/>
  <c r="AC442" i="17"/>
  <c r="AC427" i="17"/>
  <c r="AD427" i="17"/>
  <c r="AD444" i="19"/>
  <c r="AC444" i="19"/>
  <c r="AC437" i="19"/>
  <c r="AD437" i="19"/>
  <c r="AC450" i="9"/>
  <c r="AD450" i="9"/>
  <c r="AC446" i="9"/>
  <c r="AD446" i="9"/>
  <c r="AC450" i="16"/>
  <c r="AD450" i="16"/>
  <c r="AD436" i="16"/>
  <c r="AC436" i="16"/>
  <c r="AD452" i="17"/>
  <c r="AC452" i="17"/>
  <c r="AC437" i="17"/>
  <c r="AD437" i="17"/>
  <c r="AD441" i="17"/>
  <c r="AC441" i="17"/>
  <c r="AC429" i="17"/>
  <c r="AD429" i="17"/>
  <c r="AC426" i="17"/>
  <c r="AD426" i="17"/>
  <c r="AC443" i="19"/>
  <c r="AD443" i="19"/>
  <c r="AD450" i="19"/>
  <c r="AC450" i="19"/>
  <c r="AD435" i="19"/>
  <c r="AC435" i="19"/>
  <c r="AD452" i="9"/>
  <c r="AC452" i="9"/>
  <c r="O483" i="19"/>
  <c r="U483" i="19" s="1"/>
  <c r="O494" i="19"/>
  <c r="U494" i="19" s="1"/>
  <c r="Z494" i="19" s="1"/>
  <c r="O491" i="19"/>
  <c r="U491" i="19" s="1"/>
  <c r="Z491" i="19" s="1"/>
  <c r="O492" i="19"/>
  <c r="U492" i="19" s="1"/>
  <c r="Z492" i="19" s="1"/>
  <c r="O493" i="19"/>
  <c r="U493" i="19" s="1"/>
  <c r="Z493" i="19" s="1"/>
  <c r="O504" i="19"/>
  <c r="U504" i="19" s="1"/>
  <c r="Z504" i="19" s="1"/>
  <c r="O505" i="19"/>
  <c r="U505" i="19" s="1"/>
  <c r="Z505" i="19" s="1"/>
  <c r="O506" i="19"/>
  <c r="U506" i="19" s="1"/>
  <c r="Z506" i="19" s="1"/>
  <c r="O507" i="19"/>
  <c r="U507" i="19" s="1"/>
  <c r="Z507" i="19" s="1"/>
  <c r="O503" i="19"/>
  <c r="U503" i="19" s="1"/>
  <c r="Z503" i="19" s="1"/>
  <c r="O508" i="19"/>
  <c r="U508" i="19" s="1"/>
  <c r="Z508" i="19" s="1"/>
  <c r="O509" i="19"/>
  <c r="U509" i="19" s="1"/>
  <c r="Z509" i="19" s="1"/>
  <c r="O510" i="19"/>
  <c r="U510" i="19" s="1"/>
  <c r="Z510" i="19" s="1"/>
  <c r="O511" i="19"/>
  <c r="U511" i="19" s="1"/>
  <c r="Z511" i="19" s="1"/>
  <c r="O499" i="19"/>
  <c r="U499" i="19" s="1"/>
  <c r="Z499" i="19" s="1"/>
  <c r="O500" i="19"/>
  <c r="U500" i="19" s="1"/>
  <c r="Z500" i="19" s="1"/>
  <c r="O502" i="19"/>
  <c r="U502" i="19" s="1"/>
  <c r="Z502" i="19" s="1"/>
  <c r="O512" i="19"/>
  <c r="U512" i="19" s="1"/>
  <c r="Z512" i="19" s="1"/>
  <c r="O485" i="19"/>
  <c r="U485" i="19" s="1"/>
  <c r="Z485" i="19" s="1"/>
  <c r="O486" i="19"/>
  <c r="U486" i="19" s="1"/>
  <c r="Z486" i="19" s="1"/>
  <c r="O489" i="19"/>
  <c r="U489" i="19" s="1"/>
  <c r="Z489" i="19" s="1"/>
  <c r="O497" i="19"/>
  <c r="U497" i="19" s="1"/>
  <c r="Z497" i="19" s="1"/>
  <c r="O498" i="19"/>
  <c r="U498" i="19" s="1"/>
  <c r="Z498" i="19" s="1"/>
  <c r="O488" i="19"/>
  <c r="U488" i="19" s="1"/>
  <c r="Z488" i="19" s="1"/>
  <c r="O487" i="19"/>
  <c r="U487" i="19" s="1"/>
  <c r="Z487" i="19" s="1"/>
  <c r="O496" i="19"/>
  <c r="U496" i="19" s="1"/>
  <c r="Z496" i="19" s="1"/>
  <c r="O495" i="19"/>
  <c r="U495" i="19" s="1"/>
  <c r="Z495" i="19" s="1"/>
  <c r="O501" i="19"/>
  <c r="U501" i="19" s="1"/>
  <c r="Z501" i="19" s="1"/>
  <c r="O484" i="19"/>
  <c r="U484" i="19" s="1"/>
  <c r="Z484" i="19" s="1"/>
  <c r="O490" i="19"/>
  <c r="U490" i="19" s="1"/>
  <c r="Z490" i="19" s="1"/>
  <c r="O489" i="17"/>
  <c r="U489" i="17" s="1"/>
  <c r="Z489" i="17" s="1"/>
  <c r="O510" i="17"/>
  <c r="U510" i="17" s="1"/>
  <c r="Z510" i="17" s="1"/>
  <c r="O483" i="17"/>
  <c r="U483" i="17" s="1"/>
  <c r="O487" i="17"/>
  <c r="U487" i="17" s="1"/>
  <c r="Z487" i="17" s="1"/>
  <c r="O488" i="17"/>
  <c r="U488" i="17" s="1"/>
  <c r="Z488" i="17" s="1"/>
  <c r="O499" i="17"/>
  <c r="U499" i="17" s="1"/>
  <c r="Z499" i="17" s="1"/>
  <c r="O507" i="17"/>
  <c r="U507" i="17" s="1"/>
  <c r="Z507" i="17" s="1"/>
  <c r="O511" i="17"/>
  <c r="U511" i="17" s="1"/>
  <c r="Z511" i="17" s="1"/>
  <c r="O490" i="17"/>
  <c r="U490" i="17" s="1"/>
  <c r="Z490" i="17" s="1"/>
  <c r="O495" i="17"/>
  <c r="U495" i="17" s="1"/>
  <c r="Z495" i="17" s="1"/>
  <c r="O498" i="17"/>
  <c r="U498" i="17" s="1"/>
  <c r="Z498" i="17" s="1"/>
  <c r="O504" i="17"/>
  <c r="U504" i="17" s="1"/>
  <c r="Z504" i="17" s="1"/>
  <c r="O494" i="17"/>
  <c r="U494" i="17" s="1"/>
  <c r="Z494" i="17" s="1"/>
  <c r="O497" i="17"/>
  <c r="U497" i="17" s="1"/>
  <c r="Z497" i="17" s="1"/>
  <c r="O500" i="17"/>
  <c r="U500" i="17" s="1"/>
  <c r="Z500" i="17" s="1"/>
  <c r="O503" i="17"/>
  <c r="U503" i="17" s="1"/>
  <c r="Z503" i="17" s="1"/>
  <c r="O508" i="17"/>
  <c r="U508" i="17" s="1"/>
  <c r="Z508" i="17" s="1"/>
  <c r="O512" i="17"/>
  <c r="U512" i="17" s="1"/>
  <c r="Z512" i="17" s="1"/>
  <c r="O491" i="17"/>
  <c r="U491" i="17" s="1"/>
  <c r="Z491" i="17" s="1"/>
  <c r="O493" i="17"/>
  <c r="U493" i="17" s="1"/>
  <c r="Z493" i="17" s="1"/>
  <c r="O496" i="17"/>
  <c r="U496" i="17" s="1"/>
  <c r="Z496" i="17" s="1"/>
  <c r="O502" i="17"/>
  <c r="U502" i="17" s="1"/>
  <c r="Z502" i="17" s="1"/>
  <c r="O505" i="17"/>
  <c r="U505" i="17" s="1"/>
  <c r="Z505" i="17" s="1"/>
  <c r="O485" i="17"/>
  <c r="U485" i="17" s="1"/>
  <c r="Z485" i="17" s="1"/>
  <c r="O486" i="17"/>
  <c r="U486" i="17" s="1"/>
  <c r="Z486" i="17" s="1"/>
  <c r="O492" i="17"/>
  <c r="U492" i="17" s="1"/>
  <c r="Z492" i="17" s="1"/>
  <c r="O501" i="17"/>
  <c r="U501" i="17" s="1"/>
  <c r="Z501" i="17" s="1"/>
  <c r="O509" i="17"/>
  <c r="U509" i="17" s="1"/>
  <c r="Z509" i="17" s="1"/>
  <c r="O484" i="17"/>
  <c r="U484" i="17" s="1"/>
  <c r="Z484" i="17" s="1"/>
  <c r="O506" i="17"/>
  <c r="U506" i="17" s="1"/>
  <c r="Z506" i="17" s="1"/>
  <c r="O485" i="16"/>
  <c r="U485" i="16" s="1"/>
  <c r="Z485" i="16" s="1"/>
  <c r="O498" i="16"/>
  <c r="U498" i="16" s="1"/>
  <c r="Z498" i="16" s="1"/>
  <c r="O509" i="16"/>
  <c r="U509" i="16" s="1"/>
  <c r="Z509" i="16" s="1"/>
  <c r="O510" i="16"/>
  <c r="U510" i="16" s="1"/>
  <c r="Z510" i="16" s="1"/>
  <c r="O511" i="16"/>
  <c r="U511" i="16" s="1"/>
  <c r="Z511" i="16" s="1"/>
  <c r="O484" i="16"/>
  <c r="U484" i="16" s="1"/>
  <c r="Z484" i="16" s="1"/>
  <c r="O497" i="16"/>
  <c r="U497" i="16" s="1"/>
  <c r="Z497" i="16" s="1"/>
  <c r="O512" i="16"/>
  <c r="U512" i="16" s="1"/>
  <c r="Z512" i="16" s="1"/>
  <c r="O488" i="16"/>
  <c r="U488" i="16" s="1"/>
  <c r="Z488" i="16" s="1"/>
  <c r="O489" i="16"/>
  <c r="U489" i="16" s="1"/>
  <c r="Z489" i="16" s="1"/>
  <c r="O493" i="16"/>
  <c r="U493" i="16" s="1"/>
  <c r="Z493" i="16" s="1"/>
  <c r="O503" i="16"/>
  <c r="U503" i="16" s="1"/>
  <c r="Z503" i="16" s="1"/>
  <c r="O487" i="16"/>
  <c r="U487" i="16" s="1"/>
  <c r="Z487" i="16" s="1"/>
  <c r="O490" i="16"/>
  <c r="U490" i="16" s="1"/>
  <c r="Z490" i="16" s="1"/>
  <c r="O491" i="16"/>
  <c r="U491" i="16" s="1"/>
  <c r="Z491" i="16" s="1"/>
  <c r="O492" i="16"/>
  <c r="U492" i="16" s="1"/>
  <c r="Z492" i="16" s="1"/>
  <c r="O502" i="16"/>
  <c r="U502" i="16" s="1"/>
  <c r="Z502" i="16" s="1"/>
  <c r="O506" i="16"/>
  <c r="U506" i="16" s="1"/>
  <c r="Z506" i="16" s="1"/>
  <c r="O506" i="9"/>
  <c r="U506" i="9" s="1"/>
  <c r="Z506" i="9" s="1"/>
  <c r="O496" i="16"/>
  <c r="U496" i="16" s="1"/>
  <c r="Z496" i="16" s="1"/>
  <c r="O507" i="16"/>
  <c r="U507" i="16" s="1"/>
  <c r="Z507" i="16" s="1"/>
  <c r="O508" i="16"/>
  <c r="U508" i="16" s="1"/>
  <c r="Z508" i="16" s="1"/>
  <c r="O508" i="9"/>
  <c r="U508" i="9" s="1"/>
  <c r="Z508" i="9" s="1"/>
  <c r="O495" i="16"/>
  <c r="U495" i="16" s="1"/>
  <c r="Z495" i="16" s="1"/>
  <c r="O510" i="9"/>
  <c r="U510" i="9" s="1"/>
  <c r="Z510" i="9" s="1"/>
  <c r="O512" i="9"/>
  <c r="U512" i="9" s="1"/>
  <c r="Z512" i="9" s="1"/>
  <c r="O505" i="16"/>
  <c r="U505" i="16" s="1"/>
  <c r="Z505" i="16" s="1"/>
  <c r="O483" i="16"/>
  <c r="U483" i="16" s="1"/>
  <c r="O494" i="16"/>
  <c r="U494" i="16" s="1"/>
  <c r="Z494" i="16" s="1"/>
  <c r="O505" i="9"/>
  <c r="U505" i="9" s="1"/>
  <c r="Z505" i="9" s="1"/>
  <c r="O499" i="16"/>
  <c r="U499" i="16" s="1"/>
  <c r="Z499" i="16" s="1"/>
  <c r="O500" i="16"/>
  <c r="U500" i="16" s="1"/>
  <c r="Z500" i="16" s="1"/>
  <c r="O501" i="16"/>
  <c r="U501" i="16" s="1"/>
  <c r="Z501" i="16" s="1"/>
  <c r="O507" i="9"/>
  <c r="U507" i="9" s="1"/>
  <c r="Z507" i="9" s="1"/>
  <c r="O509" i="9"/>
  <c r="U509" i="9" s="1"/>
  <c r="Z509" i="9" s="1"/>
  <c r="O486" i="16"/>
  <c r="U486" i="16" s="1"/>
  <c r="Z486" i="16" s="1"/>
  <c r="O511" i="9"/>
  <c r="U511" i="9" s="1"/>
  <c r="Z511" i="9" s="1"/>
  <c r="O504" i="16"/>
  <c r="U504" i="16" s="1"/>
  <c r="Z504" i="16" s="1"/>
  <c r="AC427" i="16"/>
  <c r="AD427" i="16"/>
  <c r="O465" i="19"/>
  <c r="U465" i="19" s="1"/>
  <c r="Z465" i="19" s="1"/>
  <c r="O481" i="19"/>
  <c r="U481" i="19" s="1"/>
  <c r="Z481" i="19" s="1"/>
  <c r="O459" i="19"/>
  <c r="U459" i="19" s="1"/>
  <c r="Z459" i="19" s="1"/>
  <c r="O464" i="19"/>
  <c r="U464" i="19" s="1"/>
  <c r="Z464" i="19" s="1"/>
  <c r="O477" i="19"/>
  <c r="U477" i="19" s="1"/>
  <c r="Z477" i="19" s="1"/>
  <c r="O482" i="19"/>
  <c r="U482" i="19" s="1"/>
  <c r="Z482" i="19" s="1"/>
  <c r="O456" i="19"/>
  <c r="U456" i="19" s="1"/>
  <c r="Z456" i="19" s="1"/>
  <c r="O458" i="19"/>
  <c r="U458" i="19" s="1"/>
  <c r="Z458" i="19" s="1"/>
  <c r="O462" i="19"/>
  <c r="U462" i="19" s="1"/>
  <c r="Z462" i="19" s="1"/>
  <c r="O463" i="19"/>
  <c r="U463" i="19" s="1"/>
  <c r="Z463" i="19" s="1"/>
  <c r="O478" i="19"/>
  <c r="U478" i="19" s="1"/>
  <c r="Z478" i="19" s="1"/>
  <c r="O454" i="19"/>
  <c r="U454" i="19" s="1"/>
  <c r="Z454" i="19" s="1"/>
  <c r="O455" i="19"/>
  <c r="U455" i="19" s="1"/>
  <c r="Z455" i="19" s="1"/>
  <c r="O457" i="19"/>
  <c r="U457" i="19" s="1"/>
  <c r="Z457" i="19" s="1"/>
  <c r="O460" i="19"/>
  <c r="U460" i="19" s="1"/>
  <c r="Z460" i="19" s="1"/>
  <c r="O461" i="19"/>
  <c r="U461" i="19" s="1"/>
  <c r="Z461" i="19" s="1"/>
  <c r="O469" i="19"/>
  <c r="U469" i="19" s="1"/>
  <c r="Z469" i="19" s="1"/>
  <c r="O470" i="19"/>
  <c r="U470" i="19" s="1"/>
  <c r="Z470" i="19" s="1"/>
  <c r="O474" i="19"/>
  <c r="U474" i="19" s="1"/>
  <c r="Z474" i="19" s="1"/>
  <c r="O453" i="19"/>
  <c r="U453" i="19" s="1"/>
  <c r="O473" i="19"/>
  <c r="U473" i="19" s="1"/>
  <c r="Z473" i="19" s="1"/>
  <c r="O479" i="19"/>
  <c r="U479" i="19" s="1"/>
  <c r="Z479" i="19" s="1"/>
  <c r="O466" i="19"/>
  <c r="U466" i="19" s="1"/>
  <c r="Z466" i="19" s="1"/>
  <c r="O471" i="19"/>
  <c r="U471" i="19" s="1"/>
  <c r="Z471" i="19" s="1"/>
  <c r="O480" i="19"/>
  <c r="U480" i="19" s="1"/>
  <c r="Z480" i="19" s="1"/>
  <c r="O475" i="19"/>
  <c r="U475" i="19" s="1"/>
  <c r="Z475" i="19" s="1"/>
  <c r="O476" i="19"/>
  <c r="U476" i="19" s="1"/>
  <c r="Z476" i="19" s="1"/>
  <c r="O468" i="19"/>
  <c r="U468" i="19" s="1"/>
  <c r="Z468" i="19" s="1"/>
  <c r="O467" i="19"/>
  <c r="U467" i="19" s="1"/>
  <c r="Z467" i="19" s="1"/>
  <c r="O472" i="19"/>
  <c r="U472" i="19" s="1"/>
  <c r="Z472" i="19" s="1"/>
  <c r="O469" i="17"/>
  <c r="U469" i="17" s="1"/>
  <c r="Z469" i="17" s="1"/>
  <c r="O459" i="17"/>
  <c r="U459" i="17" s="1"/>
  <c r="Z459" i="17" s="1"/>
  <c r="O460" i="17"/>
  <c r="U460" i="17" s="1"/>
  <c r="Z460" i="17" s="1"/>
  <c r="O475" i="17"/>
  <c r="U475" i="17" s="1"/>
  <c r="Z475" i="17" s="1"/>
  <c r="O456" i="17"/>
  <c r="U456" i="17" s="1"/>
  <c r="Z456" i="17" s="1"/>
  <c r="O458" i="17"/>
  <c r="U458" i="17" s="1"/>
  <c r="Z458" i="17" s="1"/>
  <c r="O468" i="17"/>
  <c r="U468" i="17" s="1"/>
  <c r="Z468" i="17" s="1"/>
  <c r="O477" i="17"/>
  <c r="U477" i="17" s="1"/>
  <c r="Z477" i="17" s="1"/>
  <c r="O479" i="17"/>
  <c r="U479" i="17" s="1"/>
  <c r="Z479" i="17" s="1"/>
  <c r="O480" i="17"/>
  <c r="U480" i="17" s="1"/>
  <c r="Z480" i="17" s="1"/>
  <c r="O455" i="17"/>
  <c r="U455" i="17" s="1"/>
  <c r="Z455" i="17" s="1"/>
  <c r="O470" i="17"/>
  <c r="U470" i="17" s="1"/>
  <c r="Z470" i="17" s="1"/>
  <c r="O481" i="17"/>
  <c r="U481" i="17" s="1"/>
  <c r="Z481" i="17" s="1"/>
  <c r="O454" i="17"/>
  <c r="U454" i="17" s="1"/>
  <c r="Z454" i="17" s="1"/>
  <c r="O457" i="17"/>
  <c r="U457" i="17" s="1"/>
  <c r="Z457" i="17" s="1"/>
  <c r="O465" i="17"/>
  <c r="U465" i="17" s="1"/>
  <c r="Z465" i="17" s="1"/>
  <c r="O467" i="17"/>
  <c r="U467" i="17" s="1"/>
  <c r="Z467" i="17" s="1"/>
  <c r="O453" i="17"/>
  <c r="U453" i="17" s="1"/>
  <c r="O463" i="17"/>
  <c r="U463" i="17" s="1"/>
  <c r="Z463" i="17" s="1"/>
  <c r="O464" i="17"/>
  <c r="U464" i="17" s="1"/>
  <c r="Z464" i="17" s="1"/>
  <c r="O466" i="17"/>
  <c r="U466" i="17" s="1"/>
  <c r="Z466" i="17" s="1"/>
  <c r="O472" i="17"/>
  <c r="U472" i="17" s="1"/>
  <c r="Z472" i="17" s="1"/>
  <c r="O473" i="17"/>
  <c r="U473" i="17" s="1"/>
  <c r="Z473" i="17" s="1"/>
  <c r="O474" i="17"/>
  <c r="U474" i="17" s="1"/>
  <c r="Z474" i="17" s="1"/>
  <c r="O462" i="17"/>
  <c r="U462" i="17" s="1"/>
  <c r="Z462" i="17" s="1"/>
  <c r="O471" i="17"/>
  <c r="U471" i="17" s="1"/>
  <c r="Z471" i="17" s="1"/>
  <c r="O476" i="17"/>
  <c r="U476" i="17" s="1"/>
  <c r="Z476" i="17" s="1"/>
  <c r="O478" i="17"/>
  <c r="U478" i="17" s="1"/>
  <c r="Z478" i="17" s="1"/>
  <c r="O461" i="17"/>
  <c r="U461" i="17" s="1"/>
  <c r="Z461" i="17" s="1"/>
  <c r="O482" i="17"/>
  <c r="U482" i="17" s="1"/>
  <c r="Z482" i="17" s="1"/>
  <c r="O454" i="16"/>
  <c r="U454" i="16" s="1"/>
  <c r="Z454" i="16" s="1"/>
  <c r="O462" i="16"/>
  <c r="U462" i="16" s="1"/>
  <c r="Z462" i="16" s="1"/>
  <c r="O471" i="16"/>
  <c r="U471" i="16" s="1"/>
  <c r="Z471" i="16" s="1"/>
  <c r="O478" i="16"/>
  <c r="U478" i="16" s="1"/>
  <c r="Z478" i="16" s="1"/>
  <c r="O479" i="16"/>
  <c r="U479" i="16" s="1"/>
  <c r="Z479" i="16" s="1"/>
  <c r="O480" i="16"/>
  <c r="U480" i="16" s="1"/>
  <c r="Z480" i="16" s="1"/>
  <c r="O481" i="16"/>
  <c r="U481" i="16" s="1"/>
  <c r="Z481" i="16" s="1"/>
  <c r="O480" i="9"/>
  <c r="U480" i="9" s="1"/>
  <c r="Z480" i="9" s="1"/>
  <c r="O469" i="16"/>
  <c r="U469" i="16" s="1"/>
  <c r="Z469" i="16" s="1"/>
  <c r="O481" i="9"/>
  <c r="U481" i="9" s="1"/>
  <c r="Z481" i="9" s="1"/>
  <c r="O453" i="16"/>
  <c r="U453" i="16" s="1"/>
  <c r="O456" i="16"/>
  <c r="U456" i="16" s="1"/>
  <c r="Z456" i="16" s="1"/>
  <c r="O466" i="16"/>
  <c r="U466" i="16" s="1"/>
  <c r="Z466" i="16" s="1"/>
  <c r="O474" i="16"/>
  <c r="U474" i="16" s="1"/>
  <c r="Z474" i="16" s="1"/>
  <c r="O475" i="16"/>
  <c r="U475" i="16" s="1"/>
  <c r="Z475" i="16" s="1"/>
  <c r="O476" i="16"/>
  <c r="U476" i="16" s="1"/>
  <c r="Z476" i="16" s="1"/>
  <c r="O475" i="9"/>
  <c r="U475" i="9" s="1"/>
  <c r="Z475" i="9" s="1"/>
  <c r="O476" i="9"/>
  <c r="U476" i="9" s="1"/>
  <c r="Z476" i="9" s="1"/>
  <c r="O463" i="16"/>
  <c r="U463" i="16" s="1"/>
  <c r="Z463" i="16" s="1"/>
  <c r="O464" i="16"/>
  <c r="U464" i="16" s="1"/>
  <c r="Z464" i="16" s="1"/>
  <c r="O473" i="16"/>
  <c r="U473" i="16" s="1"/>
  <c r="Z473" i="16" s="1"/>
  <c r="O477" i="16"/>
  <c r="U477" i="16" s="1"/>
  <c r="Z477" i="16" s="1"/>
  <c r="O477" i="9"/>
  <c r="U477" i="9" s="1"/>
  <c r="Z477" i="9" s="1"/>
  <c r="O457" i="16"/>
  <c r="U457" i="16" s="1"/>
  <c r="Z457" i="16" s="1"/>
  <c r="O467" i="16"/>
  <c r="U467" i="16" s="1"/>
  <c r="Z467" i="16" s="1"/>
  <c r="O460" i="16"/>
  <c r="U460" i="16" s="1"/>
  <c r="Z460" i="16" s="1"/>
  <c r="O478" i="9"/>
  <c r="U478" i="9" s="1"/>
  <c r="Z478" i="9" s="1"/>
  <c r="O479" i="9"/>
  <c r="U479" i="9" s="1"/>
  <c r="Z479" i="9" s="1"/>
  <c r="O458" i="16"/>
  <c r="U458" i="16" s="1"/>
  <c r="Z458" i="16" s="1"/>
  <c r="O472" i="16"/>
  <c r="U472" i="16" s="1"/>
  <c r="Z472" i="16" s="1"/>
  <c r="O482" i="9"/>
  <c r="U482" i="9" s="1"/>
  <c r="Z482" i="9" s="1"/>
  <c r="O461" i="16"/>
  <c r="U461" i="16" s="1"/>
  <c r="Z461" i="16" s="1"/>
  <c r="O465" i="16"/>
  <c r="U465" i="16" s="1"/>
  <c r="Z465" i="16" s="1"/>
  <c r="O482" i="16"/>
  <c r="U482" i="16" s="1"/>
  <c r="Z482" i="16" s="1"/>
  <c r="O455" i="16"/>
  <c r="U455" i="16" s="1"/>
  <c r="Z455" i="16" s="1"/>
  <c r="O459" i="16"/>
  <c r="U459" i="16" s="1"/>
  <c r="Z459" i="16" s="1"/>
  <c r="O470" i="16"/>
  <c r="U470" i="16" s="1"/>
  <c r="Z470" i="16" s="1"/>
  <c r="O468" i="16"/>
  <c r="U468" i="16" s="1"/>
  <c r="Z468" i="16" s="1"/>
  <c r="AC449" i="9"/>
  <c r="AD449" i="9"/>
  <c r="AD445" i="9"/>
  <c r="AC445" i="9"/>
  <c r="AD438" i="16"/>
  <c r="AC438" i="16"/>
  <c r="AD446" i="16"/>
  <c r="AC446" i="16"/>
  <c r="AC451" i="17"/>
  <c r="AD451" i="17"/>
  <c r="AD434" i="17"/>
  <c r="AC434" i="17"/>
  <c r="AC440" i="17"/>
  <c r="AD440" i="17"/>
  <c r="AD425" i="17"/>
  <c r="AC425" i="17"/>
  <c r="AC442" i="19"/>
  <c r="AD442" i="19"/>
  <c r="AD432" i="19"/>
  <c r="AC432" i="19"/>
  <c r="AC448" i="19"/>
  <c r="AD448" i="19"/>
  <c r="AC430" i="19"/>
  <c r="AD430" i="19"/>
  <c r="AC435" i="16"/>
  <c r="AD435" i="16"/>
  <c r="AC448" i="9"/>
  <c r="AD448" i="9"/>
  <c r="AC433" i="16"/>
  <c r="AD433" i="16"/>
  <c r="AD428" i="16"/>
  <c r="AC428" i="16"/>
  <c r="AD441" i="16"/>
  <c r="AC441" i="16"/>
  <c r="AC435" i="17"/>
  <c r="AD435" i="17"/>
  <c r="AD424" i="17"/>
  <c r="AC424" i="17"/>
  <c r="AD433" i="17"/>
  <c r="AC433" i="17"/>
  <c r="AD440" i="19"/>
  <c r="AC440" i="19"/>
  <c r="AC438" i="19"/>
  <c r="AD438" i="19"/>
  <c r="AC431" i="19"/>
  <c r="AD431" i="19"/>
  <c r="AC447" i="19"/>
  <c r="AD447" i="19"/>
  <c r="AD429" i="19"/>
  <c r="AC429" i="19"/>
  <c r="AD447" i="9"/>
  <c r="AC447" i="9"/>
  <c r="AD432" i="16"/>
  <c r="AC432" i="16"/>
  <c r="AC424" i="16"/>
  <c r="AD424" i="16"/>
  <c r="AD448" i="16"/>
  <c r="AC448" i="16"/>
  <c r="AD430" i="17"/>
  <c r="AC430" i="17"/>
  <c r="AC436" i="17"/>
  <c r="AD436" i="17"/>
  <c r="AC446" i="19"/>
  <c r="AD446" i="19"/>
  <c r="AD450" i="17"/>
  <c r="AC450" i="17"/>
  <c r="AD452" i="19"/>
  <c r="AC452" i="19"/>
  <c r="AD449" i="19"/>
  <c r="AC449" i="19"/>
  <c r="AD436" i="19"/>
  <c r="AC436" i="19"/>
  <c r="AC426" i="19"/>
  <c r="AD426" i="19"/>
  <c r="G27" i="13"/>
  <c r="K27" i="13"/>
  <c r="AD438" i="9"/>
  <c r="AC438" i="9"/>
  <c r="AD436" i="9"/>
  <c r="AC436" i="9"/>
  <c r="AD427" i="9"/>
  <c r="AC427" i="9"/>
  <c r="AD425" i="9"/>
  <c r="AC425" i="9"/>
  <c r="AD434" i="9"/>
  <c r="AC434" i="9"/>
  <c r="AC441" i="9"/>
  <c r="AD441" i="9"/>
  <c r="AD429" i="9"/>
  <c r="AC429" i="9"/>
  <c r="AC393" i="9"/>
  <c r="AD393" i="9"/>
  <c r="E27" i="13" s="1"/>
  <c r="AD439" i="9"/>
  <c r="AC439" i="9"/>
  <c r="AD430" i="9"/>
  <c r="AC430" i="9"/>
  <c r="AD440" i="9"/>
  <c r="AC440" i="9"/>
  <c r="AC437" i="9"/>
  <c r="AD437" i="9"/>
  <c r="AC424" i="9"/>
  <c r="AD424" i="9"/>
  <c r="AC426" i="9"/>
  <c r="AD426" i="9"/>
  <c r="AC431" i="9"/>
  <c r="AD431" i="9"/>
  <c r="AC428" i="9"/>
  <c r="AD428" i="9"/>
  <c r="AD444" i="9"/>
  <c r="AC444" i="9"/>
  <c r="AD442" i="9"/>
  <c r="AC442" i="9"/>
  <c r="AC435" i="9"/>
  <c r="AD435" i="9"/>
  <c r="AD432" i="9"/>
  <c r="AC432" i="9"/>
  <c r="AD433" i="9"/>
  <c r="AC433" i="9"/>
  <c r="AD443" i="9"/>
  <c r="AC443" i="9"/>
  <c r="I27" i="13"/>
  <c r="O498" i="9"/>
  <c r="U498" i="9" s="1"/>
  <c r="Z498" i="9" s="1"/>
  <c r="O499" i="9"/>
  <c r="U499" i="9" s="1"/>
  <c r="Z499" i="9" s="1"/>
  <c r="O491" i="9"/>
  <c r="U491" i="9" s="1"/>
  <c r="Z491" i="9" s="1"/>
  <c r="O500" i="9"/>
  <c r="U500" i="9" s="1"/>
  <c r="Z500" i="9" s="1"/>
  <c r="O492" i="9"/>
  <c r="U492" i="9" s="1"/>
  <c r="Z492" i="9" s="1"/>
  <c r="O502" i="9"/>
  <c r="U502" i="9" s="1"/>
  <c r="Z502" i="9" s="1"/>
  <c r="O504" i="9"/>
  <c r="U504" i="9" s="1"/>
  <c r="Z504" i="9" s="1"/>
  <c r="O496" i="9"/>
  <c r="U496" i="9" s="1"/>
  <c r="Z496" i="9" s="1"/>
  <c r="O495" i="9"/>
  <c r="U495" i="9" s="1"/>
  <c r="Z495" i="9" s="1"/>
  <c r="O494" i="9"/>
  <c r="U494" i="9" s="1"/>
  <c r="Z494" i="9" s="1"/>
  <c r="O493" i="9"/>
  <c r="U493" i="9" s="1"/>
  <c r="Z493" i="9" s="1"/>
  <c r="O489" i="9"/>
  <c r="U489" i="9" s="1"/>
  <c r="Z489" i="9" s="1"/>
  <c r="O483" i="9"/>
  <c r="U483" i="9" s="1"/>
  <c r="O503" i="9"/>
  <c r="U503" i="9" s="1"/>
  <c r="Z503" i="9" s="1"/>
  <c r="O501" i="9"/>
  <c r="U501" i="9" s="1"/>
  <c r="Z501" i="9" s="1"/>
  <c r="O485" i="9"/>
  <c r="U485" i="9" s="1"/>
  <c r="Z485" i="9" s="1"/>
  <c r="O486" i="9"/>
  <c r="U486" i="9" s="1"/>
  <c r="Z486" i="9" s="1"/>
  <c r="O487" i="9"/>
  <c r="U487" i="9" s="1"/>
  <c r="Z487" i="9" s="1"/>
  <c r="O490" i="9"/>
  <c r="U490" i="9" s="1"/>
  <c r="Z490" i="9" s="1"/>
  <c r="O488" i="9"/>
  <c r="U488" i="9" s="1"/>
  <c r="Z488" i="9" s="1"/>
  <c r="O497" i="9"/>
  <c r="U497" i="9" s="1"/>
  <c r="Z497" i="9" s="1"/>
  <c r="O484" i="9"/>
  <c r="U484" i="9" s="1"/>
  <c r="Z484" i="9" s="1"/>
  <c r="O474" i="9"/>
  <c r="U474" i="9" s="1"/>
  <c r="Z474" i="9" s="1"/>
  <c r="O466" i="9"/>
  <c r="U466" i="9" s="1"/>
  <c r="Z466" i="9" s="1"/>
  <c r="O467" i="9"/>
  <c r="U467" i="9" s="1"/>
  <c r="Z467" i="9" s="1"/>
  <c r="O459" i="9"/>
  <c r="U459" i="9" s="1"/>
  <c r="Z459" i="9" s="1"/>
  <c r="O469" i="9"/>
  <c r="U469" i="9" s="1"/>
  <c r="Z469" i="9" s="1"/>
  <c r="O461" i="9"/>
  <c r="U461" i="9" s="1"/>
  <c r="Z461" i="9" s="1"/>
  <c r="O453" i="9"/>
  <c r="U453" i="9" s="1"/>
  <c r="O471" i="9"/>
  <c r="U471" i="9" s="1"/>
  <c r="Z471" i="9" s="1"/>
  <c r="O463" i="9"/>
  <c r="U463" i="9" s="1"/>
  <c r="Z463" i="9" s="1"/>
  <c r="O455" i="9"/>
  <c r="U455" i="9" s="1"/>
  <c r="Z455" i="9" s="1"/>
  <c r="O473" i="9"/>
  <c r="U473" i="9" s="1"/>
  <c r="Z473" i="9" s="1"/>
  <c r="O465" i="9"/>
  <c r="U465" i="9" s="1"/>
  <c r="Z465" i="9" s="1"/>
  <c r="O457" i="9"/>
  <c r="U457" i="9" s="1"/>
  <c r="Z457" i="9" s="1"/>
  <c r="O468" i="9"/>
  <c r="U468" i="9" s="1"/>
  <c r="Z468" i="9" s="1"/>
  <c r="O464" i="9"/>
  <c r="U464" i="9" s="1"/>
  <c r="Z464" i="9" s="1"/>
  <c r="O458" i="9"/>
  <c r="U458" i="9" s="1"/>
  <c r="Z458" i="9" s="1"/>
  <c r="O454" i="9"/>
  <c r="U454" i="9" s="1"/>
  <c r="Z454" i="9" s="1"/>
  <c r="O460" i="9"/>
  <c r="U460" i="9" s="1"/>
  <c r="Z460" i="9" s="1"/>
  <c r="O456" i="9"/>
  <c r="U456" i="9" s="1"/>
  <c r="Z456" i="9" s="1"/>
  <c r="O472" i="9"/>
  <c r="U472" i="9" s="1"/>
  <c r="Z472" i="9" s="1"/>
  <c r="O462" i="9"/>
  <c r="U462" i="9" s="1"/>
  <c r="Z462" i="9" s="1"/>
  <c r="O470" i="9"/>
  <c r="U470" i="9" s="1"/>
  <c r="Z470" i="9" s="1"/>
  <c r="AC423" i="25" l="1"/>
  <c r="Z453" i="25"/>
  <c r="AC453" i="25" s="1"/>
  <c r="D99" i="11"/>
  <c r="I99" i="11" s="1"/>
  <c r="Z483" i="25"/>
  <c r="AC483" i="25" s="1"/>
  <c r="D100" i="11"/>
  <c r="I100" i="11" s="1"/>
  <c r="AC504" i="16"/>
  <c r="AD504" i="16"/>
  <c r="AC505" i="9"/>
  <c r="AD505" i="9"/>
  <c r="AD508" i="16"/>
  <c r="AC508" i="16"/>
  <c r="AD490" i="16"/>
  <c r="AC490" i="16"/>
  <c r="AD484" i="16"/>
  <c r="AC484" i="16"/>
  <c r="AC509" i="17"/>
  <c r="AD509" i="17"/>
  <c r="AD493" i="17"/>
  <c r="AC493" i="17"/>
  <c r="AC504" i="17"/>
  <c r="AD504" i="17"/>
  <c r="AC487" i="17"/>
  <c r="AD487" i="17"/>
  <c r="AD496" i="19"/>
  <c r="AC496" i="19"/>
  <c r="AC512" i="19"/>
  <c r="AD512" i="19"/>
  <c r="AC503" i="19"/>
  <c r="AD503" i="19"/>
  <c r="AD494" i="19"/>
  <c r="AC494" i="19"/>
  <c r="AC511" i="9"/>
  <c r="AD511" i="9"/>
  <c r="AC494" i="16"/>
  <c r="AD494" i="16"/>
  <c r="AC507" i="16"/>
  <c r="AD507" i="16"/>
  <c r="AD487" i="16"/>
  <c r="AC487" i="16"/>
  <c r="AC511" i="16"/>
  <c r="AD511" i="16"/>
  <c r="AD501" i="17"/>
  <c r="AC501" i="17"/>
  <c r="AC491" i="17"/>
  <c r="AD491" i="17"/>
  <c r="AC498" i="17"/>
  <c r="AD498" i="17"/>
  <c r="Z483" i="17"/>
  <c r="D60" i="11"/>
  <c r="I60" i="11" s="1"/>
  <c r="AD487" i="19"/>
  <c r="AC487" i="19"/>
  <c r="AD502" i="19"/>
  <c r="AC502" i="19"/>
  <c r="AC507" i="19"/>
  <c r="AD507" i="19"/>
  <c r="Z483" i="19"/>
  <c r="D80" i="11"/>
  <c r="I80" i="11" s="1"/>
  <c r="AC487" i="9"/>
  <c r="AD487" i="9"/>
  <c r="AC494" i="9"/>
  <c r="AD494" i="9"/>
  <c r="AC499" i="9"/>
  <c r="AD499" i="9"/>
  <c r="AC486" i="9"/>
  <c r="AD486" i="9"/>
  <c r="AC495" i="9"/>
  <c r="AD495" i="9"/>
  <c r="AC498" i="9"/>
  <c r="AD498" i="9"/>
  <c r="AC486" i="16"/>
  <c r="AD486" i="16"/>
  <c r="Z483" i="16"/>
  <c r="D40" i="11"/>
  <c r="I40" i="11" s="1"/>
  <c r="AC496" i="16"/>
  <c r="AD496" i="16"/>
  <c r="AC503" i="16"/>
  <c r="AD503" i="16"/>
  <c r="AC510" i="16"/>
  <c r="AD510" i="16"/>
  <c r="AC492" i="17"/>
  <c r="AD492" i="17"/>
  <c r="AC512" i="17"/>
  <c r="AD512" i="17"/>
  <c r="AD495" i="17"/>
  <c r="AC495" i="17"/>
  <c r="AC510" i="17"/>
  <c r="AD510" i="17"/>
  <c r="AC488" i="19"/>
  <c r="AD488" i="19"/>
  <c r="AC500" i="19"/>
  <c r="AD500" i="19"/>
  <c r="AC506" i="19"/>
  <c r="AD506" i="19"/>
  <c r="AC493" i="9"/>
  <c r="AD493" i="9"/>
  <c r="AD485" i="9"/>
  <c r="AC485" i="9"/>
  <c r="AD496" i="9"/>
  <c r="AC496" i="9"/>
  <c r="AC509" i="9"/>
  <c r="AD509" i="9"/>
  <c r="AC505" i="16"/>
  <c r="AD505" i="16"/>
  <c r="AC506" i="9"/>
  <c r="AD506" i="9"/>
  <c r="AD493" i="16"/>
  <c r="AC493" i="16"/>
  <c r="AC509" i="16"/>
  <c r="AD509" i="16"/>
  <c r="AC486" i="17"/>
  <c r="AD486" i="17"/>
  <c r="AC508" i="17"/>
  <c r="AD508" i="17"/>
  <c r="AD490" i="17"/>
  <c r="AC490" i="17"/>
  <c r="AD489" i="17"/>
  <c r="AC489" i="17"/>
  <c r="AC498" i="19"/>
  <c r="AD498" i="19"/>
  <c r="AC499" i="19"/>
  <c r="AD499" i="19"/>
  <c r="AC505" i="19"/>
  <c r="AD505" i="19"/>
  <c r="AC512" i="9"/>
  <c r="AD512" i="9"/>
  <c r="AC506" i="16"/>
  <c r="AD506" i="16"/>
  <c r="AD489" i="16"/>
  <c r="AC489" i="16"/>
  <c r="AC498" i="16"/>
  <c r="AD498" i="16"/>
  <c r="AC485" i="17"/>
  <c r="AD485" i="17"/>
  <c r="AC503" i="17"/>
  <c r="AD503" i="17"/>
  <c r="AC511" i="17"/>
  <c r="AD511" i="17"/>
  <c r="AC490" i="19"/>
  <c r="AD490" i="19"/>
  <c r="AC497" i="19"/>
  <c r="AD497" i="19"/>
  <c r="AC511" i="19"/>
  <c r="AD511" i="19"/>
  <c r="AC504" i="19"/>
  <c r="AD504" i="19"/>
  <c r="AD491" i="9"/>
  <c r="AC491" i="9"/>
  <c r="AD504" i="9"/>
  <c r="AC504" i="9"/>
  <c r="AC507" i="9"/>
  <c r="AD507" i="9"/>
  <c r="AD484" i="9"/>
  <c r="AC484" i="9"/>
  <c r="AD503" i="9"/>
  <c r="AC503" i="9"/>
  <c r="AD502" i="9"/>
  <c r="AC502" i="9"/>
  <c r="AD501" i="16"/>
  <c r="AC501" i="16"/>
  <c r="AC510" i="9"/>
  <c r="AD510" i="9"/>
  <c r="AD502" i="16"/>
  <c r="AC502" i="16"/>
  <c r="AC488" i="16"/>
  <c r="AD488" i="16"/>
  <c r="AC485" i="16"/>
  <c r="AD485" i="16"/>
  <c r="AC505" i="17"/>
  <c r="AD505" i="17"/>
  <c r="AC500" i="17"/>
  <c r="AD500" i="17"/>
  <c r="AC507" i="17"/>
  <c r="AD507" i="17"/>
  <c r="AD484" i="19"/>
  <c r="AC484" i="19"/>
  <c r="AC489" i="19"/>
  <c r="AD489" i="19"/>
  <c r="AC510" i="19"/>
  <c r="AD510" i="19"/>
  <c r="AC493" i="19"/>
  <c r="AD493" i="19"/>
  <c r="AD490" i="9"/>
  <c r="AC490" i="9"/>
  <c r="AD501" i="9"/>
  <c r="AC501" i="9"/>
  <c r="AC497" i="9"/>
  <c r="AD497" i="9"/>
  <c r="Z483" i="9"/>
  <c r="D20" i="11"/>
  <c r="I20" i="11" s="1"/>
  <c r="AD492" i="9"/>
  <c r="AC492" i="9"/>
  <c r="AC500" i="16"/>
  <c r="AD500" i="16"/>
  <c r="AD495" i="16"/>
  <c r="AC495" i="16"/>
  <c r="AD492" i="16"/>
  <c r="AC492" i="16"/>
  <c r="AC512" i="16"/>
  <c r="AD512" i="16"/>
  <c r="AC506" i="17"/>
  <c r="AD506" i="17"/>
  <c r="AD502" i="17"/>
  <c r="AC502" i="17"/>
  <c r="AC497" i="17"/>
  <c r="AD497" i="17"/>
  <c r="AC499" i="17"/>
  <c r="AD499" i="17"/>
  <c r="AD501" i="19"/>
  <c r="AC501" i="19"/>
  <c r="AD486" i="19"/>
  <c r="AC486" i="19"/>
  <c r="AC509" i="19"/>
  <c r="AD509" i="19"/>
  <c r="AD492" i="19"/>
  <c r="AC492" i="19"/>
  <c r="AC488" i="9"/>
  <c r="AD488" i="9"/>
  <c r="AD489" i="9"/>
  <c r="AC489" i="9"/>
  <c r="AD500" i="9"/>
  <c r="AC500" i="9"/>
  <c r="AC499" i="16"/>
  <c r="AD499" i="16"/>
  <c r="AC508" i="9"/>
  <c r="AD508" i="9"/>
  <c r="AC491" i="16"/>
  <c r="AD491" i="16"/>
  <c r="AC497" i="16"/>
  <c r="AD497" i="16"/>
  <c r="AC484" i="17"/>
  <c r="AD484" i="17"/>
  <c r="AC496" i="17"/>
  <c r="AD496" i="17"/>
  <c r="AC494" i="17"/>
  <c r="AD494" i="17"/>
  <c r="AC488" i="17"/>
  <c r="AD488" i="17"/>
  <c r="AC495" i="19"/>
  <c r="AD495" i="19"/>
  <c r="AC485" i="19"/>
  <c r="AD485" i="19"/>
  <c r="AC508" i="19"/>
  <c r="AD508" i="19"/>
  <c r="AC491" i="19"/>
  <c r="AD491" i="19"/>
  <c r="AD510" i="25"/>
  <c r="AC510" i="25"/>
  <c r="AD496" i="25"/>
  <c r="AC496" i="25"/>
  <c r="AD506" i="25"/>
  <c r="AC506" i="25"/>
  <c r="AD509" i="25"/>
  <c r="AC509" i="25"/>
  <c r="AD504" i="25"/>
  <c r="AC504" i="25"/>
  <c r="AD511" i="25"/>
  <c r="AC511" i="25"/>
  <c r="AD512" i="25"/>
  <c r="AC512" i="25"/>
  <c r="AD499" i="25"/>
  <c r="AC499" i="25"/>
  <c r="AC487" i="25"/>
  <c r="AD487" i="25"/>
  <c r="AD486" i="25"/>
  <c r="AC486" i="25"/>
  <c r="AD489" i="25"/>
  <c r="AC489" i="25"/>
  <c r="AD507" i="25"/>
  <c r="AC507" i="25"/>
  <c r="AD503" i="25"/>
  <c r="AC503" i="25"/>
  <c r="AD491" i="25"/>
  <c r="AC491" i="25"/>
  <c r="AD493" i="25"/>
  <c r="AC493" i="25"/>
  <c r="AD494" i="25"/>
  <c r="AC494" i="25"/>
  <c r="AC497" i="25"/>
  <c r="AD497" i="25"/>
  <c r="AD492" i="25"/>
  <c r="AC492" i="25"/>
  <c r="AC485" i="25"/>
  <c r="AD485" i="25"/>
  <c r="AD495" i="25"/>
  <c r="AC495" i="25"/>
  <c r="AC505" i="25"/>
  <c r="AD505" i="25"/>
  <c r="AD500" i="25"/>
  <c r="AC500" i="25"/>
  <c r="AD484" i="25"/>
  <c r="AC484" i="25"/>
  <c r="AD490" i="25"/>
  <c r="AC490" i="25"/>
  <c r="AD508" i="25"/>
  <c r="AC508" i="25"/>
  <c r="AD502" i="25"/>
  <c r="AC502" i="25"/>
  <c r="AC488" i="25"/>
  <c r="AD488" i="25"/>
  <c r="AC498" i="25"/>
  <c r="AD498" i="25"/>
  <c r="AD501" i="25"/>
  <c r="AC501" i="25"/>
  <c r="M28" i="13"/>
  <c r="AD457" i="25"/>
  <c r="AC457" i="25"/>
  <c r="AD460" i="25"/>
  <c r="AC460" i="25"/>
  <c r="AC463" i="25"/>
  <c r="AD463" i="25"/>
  <c r="AD482" i="25"/>
  <c r="AC482" i="25"/>
  <c r="AD458" i="25"/>
  <c r="AC458" i="25"/>
  <c r="AD480" i="25"/>
  <c r="AC480" i="25"/>
  <c r="AD471" i="25"/>
  <c r="AC471" i="25"/>
  <c r="AD468" i="25"/>
  <c r="AC468" i="25"/>
  <c r="AD462" i="25"/>
  <c r="AC462" i="25"/>
  <c r="AD454" i="25"/>
  <c r="AC454" i="25"/>
  <c r="AD479" i="25"/>
  <c r="AC479" i="25"/>
  <c r="AD476" i="25"/>
  <c r="AC476" i="25"/>
  <c r="AC472" i="25"/>
  <c r="AD472" i="25"/>
  <c r="AD455" i="25"/>
  <c r="AC455" i="25"/>
  <c r="AD465" i="25"/>
  <c r="AC465" i="25"/>
  <c r="AD481" i="25"/>
  <c r="AC481" i="25"/>
  <c r="AD461" i="25"/>
  <c r="AC461" i="25"/>
  <c r="AC459" i="25"/>
  <c r="AD459" i="25"/>
  <c r="AD473" i="25"/>
  <c r="AC473" i="25"/>
  <c r="AD470" i="25"/>
  <c r="AC470" i="25"/>
  <c r="AD469" i="25"/>
  <c r="AC469" i="25"/>
  <c r="AD466" i="25"/>
  <c r="AC466" i="25"/>
  <c r="AC467" i="25"/>
  <c r="AD467" i="25"/>
  <c r="AD464" i="25"/>
  <c r="AC464" i="25"/>
  <c r="AD477" i="25"/>
  <c r="AC477" i="25"/>
  <c r="AD474" i="25"/>
  <c r="AC474" i="25"/>
  <c r="AD456" i="25"/>
  <c r="AC456" i="25"/>
  <c r="AD478" i="25"/>
  <c r="AC478" i="25"/>
  <c r="AC475" i="25"/>
  <c r="AD475" i="25"/>
  <c r="AC423" i="16"/>
  <c r="AD423" i="17"/>
  <c r="Z453" i="9"/>
  <c r="D19" i="11"/>
  <c r="I19" i="11" s="1"/>
  <c r="Z453" i="16"/>
  <c r="AD453" i="16" s="1"/>
  <c r="D39" i="11"/>
  <c r="I39" i="11" s="1"/>
  <c r="D79" i="11"/>
  <c r="I79" i="11" s="1"/>
  <c r="Z453" i="17"/>
  <c r="AD453" i="17" s="1"/>
  <c r="D59" i="11"/>
  <c r="I59" i="11" s="1"/>
  <c r="AC423" i="19"/>
  <c r="Z453" i="19"/>
  <c r="AC453" i="19" s="1"/>
  <c r="AD461" i="16"/>
  <c r="AC461" i="16"/>
  <c r="AC457" i="16"/>
  <c r="AD457" i="16"/>
  <c r="AC476" i="16"/>
  <c r="AD476" i="16"/>
  <c r="AC480" i="9"/>
  <c r="AD480" i="9"/>
  <c r="AC482" i="17"/>
  <c r="AD482" i="17"/>
  <c r="AD472" i="17"/>
  <c r="AC472" i="17"/>
  <c r="AD454" i="17"/>
  <c r="AC454" i="17"/>
  <c r="AD458" i="17"/>
  <c r="AC458" i="17"/>
  <c r="AC468" i="19"/>
  <c r="AD468" i="19"/>
  <c r="AC454" i="19"/>
  <c r="AD454" i="19"/>
  <c r="AD464" i="19"/>
  <c r="AC464" i="19"/>
  <c r="AC482" i="9"/>
  <c r="AD482" i="9"/>
  <c r="AD475" i="16"/>
  <c r="AC475" i="16"/>
  <c r="AD461" i="17"/>
  <c r="AC461" i="17"/>
  <c r="AD466" i="17"/>
  <c r="AC466" i="17"/>
  <c r="AD481" i="17"/>
  <c r="AC481" i="17"/>
  <c r="AD456" i="17"/>
  <c r="AC456" i="17"/>
  <c r="AC476" i="19"/>
  <c r="AD476" i="19"/>
  <c r="AC474" i="19"/>
  <c r="AD474" i="19"/>
  <c r="AD478" i="19"/>
  <c r="AC478" i="19"/>
  <c r="AC459" i="19"/>
  <c r="AD459" i="19"/>
  <c r="G28" i="13"/>
  <c r="AC477" i="9"/>
  <c r="AD477" i="9"/>
  <c r="AD481" i="16"/>
  <c r="AC481" i="16"/>
  <c r="AD468" i="16"/>
  <c r="AC468" i="16"/>
  <c r="AC472" i="16"/>
  <c r="AD472" i="16"/>
  <c r="AD477" i="16"/>
  <c r="AC477" i="16"/>
  <c r="AC474" i="16"/>
  <c r="AD474" i="16"/>
  <c r="AD480" i="16"/>
  <c r="AC480" i="16"/>
  <c r="AD478" i="17"/>
  <c r="AC478" i="17"/>
  <c r="AC464" i="17"/>
  <c r="AD464" i="17"/>
  <c r="AD470" i="17"/>
  <c r="AC470" i="17"/>
  <c r="AC475" i="17"/>
  <c r="AD475" i="17"/>
  <c r="AD475" i="19"/>
  <c r="AC475" i="19"/>
  <c r="AC470" i="19"/>
  <c r="AD470" i="19"/>
  <c r="AD463" i="19"/>
  <c r="AC463" i="19"/>
  <c r="AC481" i="19"/>
  <c r="AD481" i="19"/>
  <c r="AC470" i="16"/>
  <c r="AD470" i="16"/>
  <c r="AC458" i="16"/>
  <c r="AD458" i="16"/>
  <c r="AD473" i="16"/>
  <c r="AC473" i="16"/>
  <c r="AC466" i="16"/>
  <c r="AD466" i="16"/>
  <c r="AC479" i="16"/>
  <c r="AD479" i="16"/>
  <c r="AC476" i="17"/>
  <c r="AD476" i="17"/>
  <c r="AD463" i="17"/>
  <c r="AC463" i="17"/>
  <c r="AD455" i="17"/>
  <c r="AC455" i="17"/>
  <c r="AD460" i="17"/>
  <c r="AC460" i="17"/>
  <c r="AC480" i="19"/>
  <c r="AD480" i="19"/>
  <c r="AC469" i="19"/>
  <c r="AD469" i="19"/>
  <c r="AC462" i="19"/>
  <c r="AD462" i="19"/>
  <c r="AD465" i="19"/>
  <c r="AC465" i="19"/>
  <c r="AD459" i="16"/>
  <c r="AC459" i="16"/>
  <c r="AC479" i="9"/>
  <c r="AD479" i="9"/>
  <c r="AD464" i="16"/>
  <c r="AC464" i="16"/>
  <c r="AC456" i="16"/>
  <c r="AD456" i="16"/>
  <c r="AD478" i="16"/>
  <c r="AC478" i="16"/>
  <c r="AD471" i="17"/>
  <c r="AC471" i="17"/>
  <c r="AC480" i="17"/>
  <c r="AD480" i="17"/>
  <c r="AC459" i="17"/>
  <c r="AD459" i="17"/>
  <c r="AD471" i="19"/>
  <c r="AC471" i="19"/>
  <c r="AC461" i="19"/>
  <c r="AD461" i="19"/>
  <c r="AD458" i="19"/>
  <c r="AC458" i="19"/>
  <c r="AD455" i="16"/>
  <c r="AC455" i="16"/>
  <c r="AD478" i="9"/>
  <c r="AC478" i="9"/>
  <c r="AD463" i="16"/>
  <c r="AC463" i="16"/>
  <c r="AC471" i="16"/>
  <c r="AD471" i="16"/>
  <c r="AD462" i="17"/>
  <c r="AC462" i="17"/>
  <c r="AD467" i="17"/>
  <c r="AC467" i="17"/>
  <c r="AD479" i="17"/>
  <c r="AC479" i="17"/>
  <c r="AD469" i="17"/>
  <c r="AC469" i="17"/>
  <c r="AC466" i="19"/>
  <c r="AD466" i="19"/>
  <c r="AD460" i="19"/>
  <c r="AC460" i="19"/>
  <c r="AD456" i="19"/>
  <c r="AC456" i="19"/>
  <c r="AD482" i="16"/>
  <c r="AC482" i="16"/>
  <c r="AD460" i="16"/>
  <c r="AC460" i="16"/>
  <c r="AC476" i="9"/>
  <c r="AD476" i="9"/>
  <c r="AD481" i="9"/>
  <c r="AC481" i="9"/>
  <c r="AD462" i="16"/>
  <c r="AC462" i="16"/>
  <c r="AC474" i="17"/>
  <c r="AD474" i="17"/>
  <c r="AD465" i="17"/>
  <c r="AC465" i="17"/>
  <c r="AC477" i="17"/>
  <c r="AD477" i="17"/>
  <c r="AD472" i="19"/>
  <c r="AC472" i="19"/>
  <c r="AD479" i="19"/>
  <c r="AC479" i="19"/>
  <c r="AC457" i="19"/>
  <c r="AD457" i="19"/>
  <c r="AC482" i="19"/>
  <c r="AD482" i="19"/>
  <c r="AC465" i="16"/>
  <c r="AD465" i="16"/>
  <c r="AC467" i="16"/>
  <c r="AD467" i="16"/>
  <c r="AC475" i="9"/>
  <c r="AD475" i="9"/>
  <c r="AC469" i="16"/>
  <c r="AD469" i="16"/>
  <c r="AD454" i="16"/>
  <c r="AC454" i="16"/>
  <c r="AD473" i="17"/>
  <c r="AC473" i="17"/>
  <c r="AD457" i="17"/>
  <c r="AC457" i="17"/>
  <c r="AD468" i="17"/>
  <c r="AC468" i="17"/>
  <c r="AD467" i="19"/>
  <c r="AC467" i="19"/>
  <c r="AD473" i="19"/>
  <c r="AC473" i="19"/>
  <c r="AD455" i="19"/>
  <c r="AC455" i="19"/>
  <c r="AD477" i="19"/>
  <c r="AC477" i="19"/>
  <c r="K28" i="13"/>
  <c r="AC468" i="9"/>
  <c r="AD468" i="9"/>
  <c r="AD465" i="9"/>
  <c r="AC465" i="9"/>
  <c r="AD455" i="9"/>
  <c r="AC455" i="9"/>
  <c r="AC464" i="9"/>
  <c r="AD464" i="9"/>
  <c r="AC423" i="9"/>
  <c r="AD423" i="9"/>
  <c r="E28" i="13" s="1"/>
  <c r="AC462" i="9"/>
  <c r="AD462" i="9"/>
  <c r="AC457" i="9"/>
  <c r="AD457" i="9"/>
  <c r="AC469" i="9"/>
  <c r="AD469" i="9"/>
  <c r="AC470" i="9"/>
  <c r="AD470" i="9"/>
  <c r="AD473" i="9"/>
  <c r="AC473" i="9"/>
  <c r="AC459" i="9"/>
  <c r="AD459" i="9"/>
  <c r="AD456" i="9"/>
  <c r="AC456" i="9"/>
  <c r="AD466" i="9"/>
  <c r="AC466" i="9"/>
  <c r="AC454" i="9"/>
  <c r="AD454" i="9"/>
  <c r="AD463" i="9"/>
  <c r="AC463" i="9"/>
  <c r="AC474" i="9"/>
  <c r="AD474" i="9"/>
  <c r="AC461" i="9"/>
  <c r="AD461" i="9"/>
  <c r="AD472" i="9"/>
  <c r="AC472" i="9"/>
  <c r="AC467" i="9"/>
  <c r="AD467" i="9"/>
  <c r="AC460" i="9"/>
  <c r="AD460" i="9"/>
  <c r="AD458" i="9"/>
  <c r="AC458" i="9"/>
  <c r="AD471" i="9"/>
  <c r="AC471" i="9"/>
  <c r="I28" i="13" l="1"/>
  <c r="AD483" i="25"/>
  <c r="AD453" i="25"/>
  <c r="M29" i="13" s="1"/>
  <c r="AD483" i="9"/>
  <c r="E30" i="13" s="1"/>
  <c r="AC483" i="9"/>
  <c r="AD483" i="16"/>
  <c r="G30" i="13" s="1"/>
  <c r="AC483" i="16"/>
  <c r="AC483" i="19"/>
  <c r="AD483" i="19"/>
  <c r="K30" i="13" s="1"/>
  <c r="AC483" i="17"/>
  <c r="AD483" i="17"/>
  <c r="I30" i="13" s="1"/>
  <c r="M30" i="13"/>
  <c r="AC453" i="16"/>
  <c r="AC453" i="17"/>
  <c r="AD453" i="19"/>
  <c r="G29" i="13"/>
  <c r="AD453" i="9"/>
  <c r="E29" i="13" s="1"/>
  <c r="AC453" i="9"/>
  <c r="I29" i="13"/>
  <c r="K29" i="13" l="1"/>
  <c r="AW14" i="23"/>
  <c r="AW11" i="23"/>
  <c r="AW4" i="23"/>
  <c r="AW16" i="23"/>
  <c r="AW7" i="23"/>
  <c r="AW6" i="23"/>
  <c r="AW18" i="23"/>
  <c r="AW19" i="23"/>
  <c r="AW9" i="23"/>
  <c r="AW13" i="23"/>
  <c r="AW3" i="23"/>
  <c r="W17" i="23"/>
  <c r="E46" i="23" s="1"/>
  <c r="W10" i="23"/>
  <c r="E39" i="23" s="1"/>
  <c r="E34" i="23"/>
  <c r="W12" i="23"/>
  <c r="E41" i="23" s="1"/>
  <c r="W8" i="23"/>
  <c r="E37" i="23" s="1"/>
  <c r="W20" i="23"/>
  <c r="E49" i="23" s="1"/>
  <c r="W15" i="23"/>
  <c r="E44" i="23" s="1"/>
  <c r="AD7" i="23"/>
  <c r="AD18" i="23"/>
  <c r="AD4" i="23"/>
  <c r="AD6" i="23"/>
  <c r="AD9" i="23"/>
  <c r="AD16" i="23"/>
  <c r="AD14" i="23"/>
  <c r="AD13" i="23"/>
  <c r="AD11" i="23"/>
  <c r="AD19" i="23"/>
  <c r="AD3" i="23"/>
  <c r="AB6" i="23"/>
  <c r="AB14" i="23"/>
  <c r="AB13" i="23"/>
  <c r="AB9" i="23"/>
  <c r="AB11" i="23"/>
  <c r="AB7" i="23"/>
  <c r="AB18" i="23"/>
  <c r="AB19" i="23"/>
  <c r="AB4" i="23"/>
  <c r="AB3" i="23"/>
  <c r="AG3" i="23" s="1"/>
  <c r="AI3" i="23" s="1"/>
  <c r="AB16" i="23"/>
  <c r="AE4" i="23"/>
  <c r="AE6" i="23"/>
  <c r="AE13" i="23"/>
  <c r="AE16" i="23"/>
  <c r="AE11" i="23"/>
  <c r="AE7" i="23"/>
  <c r="AE19" i="23"/>
  <c r="AE3" i="23"/>
  <c r="AE18" i="23"/>
  <c r="AE9" i="23"/>
  <c r="AE14" i="23"/>
  <c r="AW21" i="23" l="1"/>
  <c r="AZ19" i="23"/>
  <c r="AY19" i="23"/>
  <c r="AZ18" i="23"/>
  <c r="AY18" i="23"/>
  <c r="AY14" i="23"/>
  <c r="AZ14" i="23"/>
  <c r="AY6" i="23"/>
  <c r="AZ6" i="23"/>
  <c r="AY3" i="23"/>
  <c r="AZ3" i="23"/>
  <c r="AY7" i="23"/>
  <c r="AZ7" i="23"/>
  <c r="AZ13" i="23"/>
  <c r="AY13" i="23"/>
  <c r="AY16" i="23"/>
  <c r="AZ16" i="23"/>
  <c r="AY9" i="23"/>
  <c r="AZ9" i="23"/>
  <c r="AZ4" i="23"/>
  <c r="AY4" i="23"/>
  <c r="AY11" i="23"/>
  <c r="AZ11" i="23"/>
  <c r="AH7" i="23"/>
  <c r="AH13" i="23"/>
  <c r="AG18" i="23"/>
  <c r="AG11" i="23"/>
  <c r="AH9" i="23"/>
  <c r="AO12" i="23"/>
  <c r="AP12" i="23" s="1"/>
  <c r="H41" i="23" s="1"/>
  <c r="AB12" i="23"/>
  <c r="AG12" i="23" s="1"/>
  <c r="AI12" i="23" s="1"/>
  <c r="AH14" i="23"/>
  <c r="AG16" i="23"/>
  <c r="AB15" i="23"/>
  <c r="AG15" i="23" s="1"/>
  <c r="AI15" i="23" s="1"/>
  <c r="AO15" i="23"/>
  <c r="AP15" i="23" s="1"/>
  <c r="AH16" i="23"/>
  <c r="AG6" i="23"/>
  <c r="AB5" i="23"/>
  <c r="AG5" i="23" s="1"/>
  <c r="AI5" i="23" s="1"/>
  <c r="AO5" i="23"/>
  <c r="W21" i="23"/>
  <c r="AH11" i="23"/>
  <c r="Z21" i="23"/>
  <c r="AG4" i="23"/>
  <c r="AB10" i="23"/>
  <c r="AG10" i="23" s="1"/>
  <c r="AI10" i="23" s="1"/>
  <c r="AO10" i="23"/>
  <c r="AP10" i="23" s="1"/>
  <c r="AE21" i="23"/>
  <c r="AH6" i="23"/>
  <c r="AG14" i="23"/>
  <c r="AG9" i="23"/>
  <c r="AB20" i="23"/>
  <c r="AG20" i="23" s="1"/>
  <c r="AI20" i="23" s="1"/>
  <c r="AO20" i="23"/>
  <c r="AP20" i="23" s="1"/>
  <c r="AH3" i="23"/>
  <c r="AD21" i="23"/>
  <c r="AH4" i="23"/>
  <c r="AG13" i="23"/>
  <c r="AG7" i="23"/>
  <c r="AB8" i="23"/>
  <c r="AG8" i="23" s="1"/>
  <c r="AI8" i="23" s="1"/>
  <c r="AO8" i="23"/>
  <c r="AP8" i="23" s="1"/>
  <c r="H37" i="23" s="1"/>
  <c r="AB17" i="23"/>
  <c r="AG17" i="23" s="1"/>
  <c r="AI17" i="23" s="1"/>
  <c r="AO17" i="23"/>
  <c r="AP17" i="23" s="1"/>
  <c r="AH19" i="23"/>
  <c r="AH18" i="23"/>
  <c r="AG19" i="23"/>
  <c r="AZ21" i="23" l="1"/>
  <c r="AY21" i="23"/>
  <c r="F43" i="23"/>
  <c r="K43" i="23" s="1"/>
  <c r="F48" i="23"/>
  <c r="K48" i="23" s="1"/>
  <c r="AS15" i="23"/>
  <c r="J44" i="23" s="1"/>
  <c r="H44" i="23"/>
  <c r="F50" i="23"/>
  <c r="K50" i="23" s="1"/>
  <c r="F49" i="23"/>
  <c r="F40" i="23"/>
  <c r="K40" i="23" s="1"/>
  <c r="F39" i="23"/>
  <c r="AS17" i="23"/>
  <c r="J46" i="23" s="1"/>
  <c r="H46" i="23"/>
  <c r="F47" i="23"/>
  <c r="K47" i="23" s="1"/>
  <c r="F46" i="23"/>
  <c r="AS20" i="23"/>
  <c r="J49" i="23" s="1"/>
  <c r="H49" i="23"/>
  <c r="AS10" i="23"/>
  <c r="J39" i="23" s="1"/>
  <c r="H39" i="23"/>
  <c r="F45" i="23"/>
  <c r="K45" i="23" s="1"/>
  <c r="F44" i="23"/>
  <c r="F42" i="23"/>
  <c r="K42" i="23" s="1"/>
  <c r="F41" i="23"/>
  <c r="F35" i="23"/>
  <c r="K35" i="23" s="1"/>
  <c r="F34" i="23"/>
  <c r="F36" i="23"/>
  <c r="K36" i="23" s="1"/>
  <c r="F38" i="23"/>
  <c r="K38" i="23" s="1"/>
  <c r="F37" i="23"/>
  <c r="F33" i="23"/>
  <c r="K33" i="23" s="1"/>
  <c r="AS12" i="23"/>
  <c r="J41" i="23" s="1"/>
  <c r="AI7" i="23"/>
  <c r="AI13" i="23"/>
  <c r="AS8" i="23"/>
  <c r="AI9" i="23"/>
  <c r="AI18" i="23"/>
  <c r="G49" i="23" s="1"/>
  <c r="AI11" i="23"/>
  <c r="AI19" i="23"/>
  <c r="AI4" i="23"/>
  <c r="AI6" i="23"/>
  <c r="AH21" i="23"/>
  <c r="H24" i="23" s="1"/>
  <c r="AB21" i="23"/>
  <c r="AI14" i="23"/>
  <c r="AP5" i="23"/>
  <c r="AO21" i="23"/>
  <c r="AI16" i="23"/>
  <c r="G47" i="23" s="1"/>
  <c r="AG21" i="23"/>
  <c r="L47" i="23" l="1"/>
  <c r="K41" i="23"/>
  <c r="K46" i="23"/>
  <c r="K49" i="23"/>
  <c r="K39" i="23"/>
  <c r="K44" i="23"/>
  <c r="G50" i="23"/>
  <c r="L49" i="23"/>
  <c r="G48" i="23"/>
  <c r="G46" i="23"/>
  <c r="G45" i="23"/>
  <c r="G44" i="23"/>
  <c r="G43" i="23"/>
  <c r="G41" i="23"/>
  <c r="G42" i="23"/>
  <c r="G39" i="23"/>
  <c r="G40" i="23"/>
  <c r="H34" i="23"/>
  <c r="J37" i="23"/>
  <c r="K37" i="23" s="1"/>
  <c r="G38" i="23"/>
  <c r="G34" i="23"/>
  <c r="G35" i="23"/>
  <c r="G36" i="23"/>
  <c r="G37" i="23"/>
  <c r="G33" i="23"/>
  <c r="AI21" i="23"/>
  <c r="H25" i="23" s="1"/>
  <c r="AS5" i="23"/>
  <c r="J34" i="23" s="1"/>
  <c r="K34" i="23" s="1"/>
  <c r="AP21" i="23"/>
  <c r="H26" i="23" s="1"/>
  <c r="L50" i="23" l="1"/>
  <c r="L38" i="23"/>
  <c r="L44" i="23"/>
  <c r="L42" i="23"/>
  <c r="L41" i="23"/>
  <c r="L45" i="23"/>
  <c r="L48" i="23"/>
  <c r="L39" i="23"/>
  <c r="L46" i="23"/>
  <c r="L40" i="23"/>
  <c r="L36" i="23"/>
  <c r="L35" i="23"/>
  <c r="L43" i="23"/>
  <c r="L33" i="23"/>
  <c r="L34" i="23"/>
  <c r="L37" i="23"/>
  <c r="AS21" i="23"/>
</calcChain>
</file>

<file path=xl/comments1.xml><?xml version="1.0" encoding="utf-8"?>
<comments xmlns="http://schemas.openxmlformats.org/spreadsheetml/2006/main">
  <authors>
    <author>tc={D10BE95C-B51A-477D-8F44-09541369EAFF}</author>
    <author>tc={11A162C9-5F48-474B-90C1-2AF32969BA7B}</author>
    <author>tc={8667C0C7-B762-4870-8968-273444513B71}</author>
  </authors>
  <commentList>
    <comment ref="G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Muuttuja kuvaa satamatoiminnan kasvua siten, että mallissa työkoneiden käyttöä on tehostettu eli käyttötunnit kasvavat</t>
        </r>
      </text>
    </comment>
    <comment ref="E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Tämän muuttaminen ei vaikuta suoraan laskentaan, muuttaa vain vertailuarvoja</t>
        </r>
      </text>
    </comment>
    <comment ref="E8"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Vapaasti muutettavissa. Oletusarvo -2% Suomen keskimääräisen sähkön päästökertoimen vuosialeneman mukaisesti (mm. Markkanen 2018)</t>
        </r>
      </text>
    </comment>
  </commentList>
</comments>
</file>

<file path=xl/comments2.xml><?xml version="1.0" encoding="utf-8"?>
<comments xmlns="http://schemas.openxmlformats.org/spreadsheetml/2006/main">
  <authors>
    <author>tc={3CA8C6F1-BDE9-4830-A93F-1AA6CBA18538}</author>
    <author>tc={8C6641B0-2C65-4263-BE08-91C7FA5AE731}</author>
    <author>tc={8210A8B0-A394-437F-9BD0-2BD04FCBD881}</author>
    <author>tc={20CE2848-50F5-4E46-8A89-7534AF45F1B0}</author>
    <author>tc={F7DF99BB-1B43-4C25-80E6-D756CE13C414}</author>
    <author>tc={7FCB125B-451B-4334-B3D3-9AFE1EA5868A}</author>
    <author>tc={0810FCDD-2007-485F-B85B-734D9B0ED285}</author>
    <author>tc={032762BD-D00A-4999-B0DD-65D3B119681D}</author>
    <author>tc={05E2F6B6-15FA-4509-9025-55F6FF006C05}</author>
    <author>tc={F151E27B-B020-4EE3-AAA9-3DD58065B239}</author>
    <author>tc={7BD057EA-2B35-4D26-9EA3-212E3A225A9D}</author>
    <author>tc={5A1FCF38-92D0-4D5E-B19D-E15216C43BFC}</author>
    <author>tc={2BB2F776-563F-440D-BF14-EDEC97373811}</author>
    <author>tc={E2E2EBD0-95F5-4A49-B621-9924EBE30E4B}</author>
  </authors>
  <commentList>
    <comment ref="D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pom = moottoripolttoöljy</t>
        </r>
      </text>
    </comment>
    <comment ref="F2"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Lukumäärä kuvastaa työkonekannan tilannetta vuonna 2019, HelSa:n antamien tietojen perusteella</t>
        </r>
      </text>
    </comment>
    <comment ref="G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Yksikkö l/h tai kWh/h. Kulutus määritelty haastattelujen varman tiedon sekä sen pohjalta muodostetun jakauman perusteella eri konetyypeille</t>
        </r>
      </text>
    </comment>
    <comment ref="H2"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Käyttötunnit määritelty haastattelujen varman tiedon sekä sen pohjalta muodostetun jakauman perusteella eri konetyypeille</t>
        </r>
      </text>
    </comment>
    <comment ref="I2"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Adbluen käyttö määritelty haastattelujen varman tiedon sekä sen pohjalta muodostetun jakauman perusteella</t>
        </r>
      </text>
    </comment>
    <comment ref="J2"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kWh, vain täyssähkökoneille</t>
        </r>
      </text>
    </comment>
    <comment ref="H7"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keskiarvo datan perusteella</t>
        </r>
      </text>
    </comment>
    <comment ref="H8"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keskiarvo datan perusteella</t>
        </r>
      </text>
    </comment>
    <comment ref="J11"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Oletus: Kalmar Ottawa sähköisen terminaalitraktorin pienin akku</t>
        </r>
      </text>
    </comment>
    <comment ref="J12"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Oletus: suurin tällä hetkellä esiintyvä akkukoko (Terbergin sähköinen terminaalitraktori)</t>
        </r>
      </text>
    </comment>
    <comment ref="C14"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kurottajia kokoluokassa 10t &gt; x &lt; 40t ei ilmennyt haastettelujen perusteella, sen vuoksi konetyyppi puuttuu mallista</t>
        </r>
      </text>
    </comment>
    <comment ref="J23"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Keskimääräinen akkukoko Toyota Forklifts 5t ja pienempien trukkien valikoimasta</t>
        </r>
      </text>
    </comment>
    <comment ref="J24"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Kalmarin sähkötrukin akun koon mukaan (Li-Ion)</t>
        </r>
      </text>
    </comment>
    <comment ref="A25"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Optiona lisätä näille tyhjille riveille muita työkoneluokkia, jotka laskenta huomioi automaattisesti</t>
        </r>
      </text>
    </comment>
  </commentList>
</comments>
</file>

<file path=xl/comments3.xml><?xml version="1.0" encoding="utf-8"?>
<comments xmlns="http://schemas.openxmlformats.org/spreadsheetml/2006/main">
  <authors>
    <author>tc={4C1999C5-C170-412A-AD21-8B4AD0699DD5}</author>
  </authors>
  <commentList>
    <comment ref="AC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Sisältää osin CH4 ja N2O:n lämpenemisvaikutuksen, sillä WTT ne sisältyvät WTT kertoimiin</t>
        </r>
      </text>
    </comment>
  </commentList>
</comments>
</file>

<file path=xl/comments4.xml><?xml version="1.0" encoding="utf-8"?>
<comments xmlns="http://schemas.openxmlformats.org/spreadsheetml/2006/main">
  <authors>
    <author>tc={CC4E575A-5675-4CE3-A0DE-4829ACE65C4D}</author>
  </authors>
  <commentList>
    <comment ref="AC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Sisältää osin CH4 ja N2O:n lämpenemisvaikutuksen, sillä WTT ne sisältyvät WTT kertoimiin</t>
        </r>
      </text>
    </comment>
  </commentList>
</comments>
</file>

<file path=xl/comments5.xml><?xml version="1.0" encoding="utf-8"?>
<comments xmlns="http://schemas.openxmlformats.org/spreadsheetml/2006/main">
  <authors>
    <author>tc={EA56FC41-26B9-40D1-AAFD-70EBC601041D}</author>
  </authors>
  <commentList>
    <comment ref="AC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Sisältää osin CH4 ja N2O:n lämpenemisvaikutuksen, sillä WTT ne sisältyvät WTT kertoimiin</t>
        </r>
      </text>
    </comment>
  </commentList>
</comments>
</file>

<file path=xl/comments6.xml><?xml version="1.0" encoding="utf-8"?>
<comments xmlns="http://schemas.openxmlformats.org/spreadsheetml/2006/main">
  <authors>
    <author>tc={B69A5577-C6BA-4A2C-B6D4-B7C4771B3463}</author>
  </authors>
  <commentList>
    <comment ref="AC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Sisältää osin CH4 ja N2O:n lämpenemisvaikutuksen, sillä WTT ne sisältyvät WTT kertoimiin</t>
        </r>
      </text>
    </comment>
  </commentList>
</comments>
</file>

<file path=xl/comments7.xml><?xml version="1.0" encoding="utf-8"?>
<comments xmlns="http://schemas.openxmlformats.org/spreadsheetml/2006/main">
  <authors>
    <author>tc={57A8A7EC-E529-429D-9668-A50BF67261FF}</author>
  </authors>
  <commentList>
    <comment ref="AC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Sisältää osin CH4 ja N2O:n lämpenemisvaikutuksen, sillä WTT ne sisältyvät WTT kertoimiin</t>
        </r>
      </text>
    </comment>
  </commentList>
</comments>
</file>

<file path=xl/comments8.xml><?xml version="1.0" encoding="utf-8"?>
<comments xmlns="http://schemas.openxmlformats.org/spreadsheetml/2006/main">
  <authors>
    <author>tc={9F26C20A-28ED-45C2-9E06-CE5D81BFF1F5}</author>
    <author>tc={ED25D8D3-6A5B-4920-B749-3B44DBB0FADD}</author>
    <author>tc={5E5806BF-63C2-4E97-ABD4-4259656498B8}</author>
    <author>tc={5874A455-E058-4844-83CA-0298CA2FF5E6}</author>
    <author>tc={B9318ACB-E981-41AD-8DCF-E7C02019F775}</author>
    <author>tc={E3C3D17E-1FE4-43DE-862D-783DBB3A92C4}</author>
  </authors>
  <commentList>
    <comment ref="D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pom = moottoripolttoöljy</t>
        </r>
      </text>
    </comment>
    <comment ref="F2"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Lukumäärä tarkasteluvuonna</t>
        </r>
      </text>
    </comment>
    <comment ref="G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Yksikkö l/h jos polttoainekäyttöinen, tai kWh/h jos sähkökäyttöinen.</t>
        </r>
      </text>
    </comment>
    <comment ref="H2"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Arvio vuosittaisista käyttötunneista</t>
        </r>
      </text>
    </comment>
    <comment ref="I2"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100% = kaikki koneet käyttävät adblueta. 0% yksikään kone ei käytä. 50% = puolet koneista käyttää</t>
        </r>
      </text>
    </comment>
    <comment ref="J2"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kWh, vain täyssähkökoneille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<sst xmlns="http://schemas.openxmlformats.org/spreadsheetml/2006/main" count="1031" uniqueCount="432">
  <si>
    <t>Info</t>
  </si>
  <si>
    <t>Skenaariot</t>
  </si>
  <si>
    <t>t CO2 eq</t>
  </si>
  <si>
    <t>S0a Baseline Vakio</t>
  </si>
  <si>
    <t>S0b Baseline Kasvu</t>
  </si>
  <si>
    <t>S1 Sähköistyminen</t>
  </si>
  <si>
    <t>S2 Biopolttoaineet</t>
  </si>
  <si>
    <t>S3 Tiekartta</t>
  </si>
  <si>
    <t>HelSa 2015 työkonepäästöt</t>
  </si>
  <si>
    <t>Ostosähkön alkuperä vuonna 2020</t>
  </si>
  <si>
    <t>jäännössähkö</t>
  </si>
  <si>
    <t>Käyttötuntien vuosittainen kasvu</t>
  </si>
  <si>
    <t>Baseline</t>
  </si>
  <si>
    <t>S0b</t>
  </si>
  <si>
    <t>Vuosaaren osuus</t>
  </si>
  <si>
    <t>Siirtyminen alkuperävarmennettuun tuulisähköön</t>
  </si>
  <si>
    <t>Korvattava työkone1</t>
  </si>
  <si>
    <t>trukki &lt;= 5t</t>
  </si>
  <si>
    <t>Siirtymä biopolttoaineisiin</t>
  </si>
  <si>
    <t>kpl lukki, sähkö</t>
  </si>
  <si>
    <t>Korvaava työkone1</t>
  </si>
  <si>
    <t>trukki, sähkö &lt;= 5t</t>
  </si>
  <si>
    <t>Siirtymän luonne</t>
  </si>
  <si>
    <t>asteittainen</t>
  </si>
  <si>
    <t>kpl lukki, hybridi</t>
  </si>
  <si>
    <t>TTW</t>
  </si>
  <si>
    <t>Päästövähennystavoite</t>
  </si>
  <si>
    <t>Korvausvuosi1</t>
  </si>
  <si>
    <t>kpl terminaalitraktori, 100% sähkö</t>
  </si>
  <si>
    <t>kpl kurottaja &gt; 50% sähkö, 50% hybridi</t>
  </si>
  <si>
    <t>Jäännössähkön päästöjen vuosimuutos</t>
  </si>
  <si>
    <t>Korvattava työkone2</t>
  </si>
  <si>
    <t>trukki &gt; 5t</t>
  </si>
  <si>
    <t>Korvaava työkone2</t>
  </si>
  <si>
    <t>trukki, sähkö &gt; 5t</t>
  </si>
  <si>
    <t>per vuosi</t>
  </si>
  <si>
    <t>Sähkö- ja hybridilukkien vaiheittainen käyttöönotto</t>
  </si>
  <si>
    <t>Korvausvuosi2</t>
  </si>
  <si>
    <t>Bion lisäys% vuosittain</t>
  </si>
  <si>
    <t>Uusiutuvan dieselin/polttoöljyn vaiheittainen käyttöönotto</t>
  </si>
  <si>
    <t>Bion% v. 2035, jolla tavoitteet saavutetaan</t>
  </si>
  <si>
    <t>t CO2eq/v</t>
  </si>
  <si>
    <t>Vuosi</t>
  </si>
  <si>
    <t>WTW</t>
  </si>
  <si>
    <t>Ero tavoitteeseen</t>
  </si>
  <si>
    <t>Muuttujat</t>
  </si>
  <si>
    <t>kategoria</t>
  </si>
  <si>
    <t>muuttuja_selkokielinen</t>
  </si>
  <si>
    <t>muuttuja</t>
  </si>
  <si>
    <t>arvo</t>
  </si>
  <si>
    <t>yksikkö</t>
  </si>
  <si>
    <t>lähde</t>
  </si>
  <si>
    <t>polttoaineiden ominaisuudet</t>
  </si>
  <si>
    <t>päästökerroin, CO2/l, moottoripolttoöljy</t>
  </si>
  <si>
    <t>ef_v_co2_pom</t>
  </si>
  <si>
    <t>gCO2/l</t>
  </si>
  <si>
    <t>VTT TYKO 2019</t>
  </si>
  <si>
    <t>Sähköntuotannon päästöjen kehitys Suomessa</t>
  </si>
  <si>
    <t>Biopolttoöljyn jakeluvelvoite</t>
  </si>
  <si>
    <t>Hinnat (VTT:n laskelmista)</t>
  </si>
  <si>
    <t>päästökerroin, CH4/kg, diesel/moottoripolttoöljy</t>
  </si>
  <si>
    <t>ef_m_ch4_pom</t>
  </si>
  <si>
    <t>gCH4/kg</t>
  </si>
  <si>
    <t>EMEP/EEA Guidebook 2019</t>
  </si>
  <si>
    <t>gCO2/kWh</t>
  </si>
  <si>
    <t>gCO2/MJ</t>
  </si>
  <si>
    <t>muutos</t>
  </si>
  <si>
    <t>Velvoite</t>
  </si>
  <si>
    <t>vol% bio</t>
  </si>
  <si>
    <t>MJ fos/l</t>
  </si>
  <si>
    <t>MJ bio/l</t>
  </si>
  <si>
    <t>toteuma</t>
  </si>
  <si>
    <t>Biopolttoöljy</t>
  </si>
  <si>
    <t>Polttoöljy</t>
  </si>
  <si>
    <t>päästökerroin, N2O/kg, diesel/moottoripolttoöljy</t>
  </si>
  <si>
    <t>ef_m_n2o_pom</t>
  </si>
  <si>
    <t>gN2O/kg</t>
  </si>
  <si>
    <t>päästökerroin, CH4/l, diesel/moottoripolttoöljy</t>
  </si>
  <si>
    <t>ef_v_ch4_pom</t>
  </si>
  <si>
    <t>gCH4/l</t>
  </si>
  <si>
    <t>johdettu</t>
  </si>
  <si>
    <t>päästökerroin, N2O/l, diesel/moottoripolttoöljy</t>
  </si>
  <si>
    <t>ef_v_n2o_pom</t>
  </si>
  <si>
    <t>gN2O/l</t>
  </si>
  <si>
    <t>päästökerroin, CO2/l, diesel</t>
  </si>
  <si>
    <t>ef_v_co2_dies</t>
  </si>
  <si>
    <t>VTT LIPASTO 2017</t>
  </si>
  <si>
    <t>tiheys, diesel / MPÖ</t>
  </si>
  <si>
    <t>roo_dies</t>
  </si>
  <si>
    <t>kg/l</t>
  </si>
  <si>
    <t>JEC WTW v5</t>
  </si>
  <si>
    <t>roo_dies2</t>
  </si>
  <si>
    <t>Tilastokeskus 2020</t>
  </si>
  <si>
    <t>päästökerroin, CO2/kg, diesel</t>
  </si>
  <si>
    <t>ef_m_co2_dies</t>
  </si>
  <si>
    <t>gCO2/kg</t>
  </si>
  <si>
    <t>tiheys, biodiesel</t>
  </si>
  <si>
    <t>roo_biodies</t>
  </si>
  <si>
    <t>Neste 2021</t>
  </si>
  <si>
    <t>lämpöarvo, diesel</t>
  </si>
  <si>
    <t>hv_dies</t>
  </si>
  <si>
    <t>MJ/l</t>
  </si>
  <si>
    <t>lämpöarvo, biodiesel</t>
  </si>
  <si>
    <t>hv_biodies</t>
  </si>
  <si>
    <t>Neste; johdettu</t>
  </si>
  <si>
    <t>tiheys, urea/adblue</t>
  </si>
  <si>
    <t>roo_adblue</t>
  </si>
  <si>
    <t>EMEP/EEA</t>
  </si>
  <si>
    <t>päästökerroin, CO2/l, urea/adblue</t>
  </si>
  <si>
    <t>ef_v_co2_adblue</t>
  </si>
  <si>
    <t>päästökerroin, CO2/kg, urea/adblue</t>
  </si>
  <si>
    <t>ef_m_co2_adblue</t>
  </si>
  <si>
    <t>päästökerroin, CH4/kg, lpg</t>
  </si>
  <si>
    <t>ef_m_ch4_lpg</t>
  </si>
  <si>
    <t>EMEP/EEA 2019 Table 3-1_05</t>
  </si>
  <si>
    <t>päästökerroin, CO2/kg, lpg</t>
  </si>
  <si>
    <t>ef_m_co2_lpg</t>
  </si>
  <si>
    <t>päästökerroin, N2O/kg, lpg</t>
  </si>
  <si>
    <t>ef_m_n2o_lpg</t>
  </si>
  <si>
    <t>WTT päästökerroin, CO2eq/MJ, diesel</t>
  </si>
  <si>
    <t>wtt_ef_e_co2_dies</t>
  </si>
  <si>
    <t>gCO2eq/MJ</t>
  </si>
  <si>
    <t>WTT päästökerroin, CO2eq/MJ, lng</t>
  </si>
  <si>
    <t>wtt_ef_e_co2_lng</t>
  </si>
  <si>
    <t>WTT päästökerroin, CO2eq/MJ, cng</t>
  </si>
  <si>
    <t>wtt_ef_e_co2_cng</t>
  </si>
  <si>
    <t>WTT päästökerroin, CO2eq/MJ, biokaasu biojätepohjainen</t>
  </si>
  <si>
    <t>wtt_ef_e_co2_cbg</t>
  </si>
  <si>
    <t>WTT päästökerroin, CO2eq/MJ, synLNG (P2X)</t>
  </si>
  <si>
    <t>wtt_ef_e_co2_synlng</t>
  </si>
  <si>
    <t>WTT päästökerroin, CO2eq/MJ, bioLNG (biomass thermal gasification)</t>
  </si>
  <si>
    <t>wtt_ef_e_co2_biolng</t>
  </si>
  <si>
    <t>WTT päästökerroin, CO2eq/MJ, LPG</t>
  </si>
  <si>
    <t>wtt_ef_e_co2_lpg</t>
  </si>
  <si>
    <t>WTT päästökerroin, CO2eq/MJ, nexbtl worst case</t>
  </si>
  <si>
    <t>wtt_ef_e_co2_biodies</t>
  </si>
  <si>
    <t>WTT päästökerroin, CO2eq/MJ, syndiesel (P2X)</t>
  </si>
  <si>
    <t>wtt_ef_e_co2_syndies</t>
  </si>
  <si>
    <t>sähkön ominaisuudet</t>
  </si>
  <si>
    <t>WTT päästökerroin, CO2eq/MJ, sähkö EU-mix low 2020</t>
  </si>
  <si>
    <t>wtt_ef_e_co2_el_eumix2020</t>
  </si>
  <si>
    <t>WTT päästökerroin, CO2eq/MJ, sähkö EU-mix low 2030</t>
  </si>
  <si>
    <t>wtt_ef_e_co2_el_eumix2030</t>
  </si>
  <si>
    <t>WTT päästökerroin, CO2eq/MJ, sähkö, tuuli offshore</t>
  </si>
  <si>
    <t>wtt_ef_e_co2_el_wind</t>
  </si>
  <si>
    <t>päästökerroin, CO2/kg, lng EU-mix</t>
  </si>
  <si>
    <t>ef_m_co2_lng</t>
  </si>
  <si>
    <t>lämpöarvo, diesel / MPÖ</t>
  </si>
  <si>
    <t>hv_pom</t>
  </si>
  <si>
    <t>hv_pom2</t>
  </si>
  <si>
    <t>kerroin</t>
  </si>
  <si>
    <t>muuntokerroin, sähkö</t>
  </si>
  <si>
    <t>conv_kwh_mj</t>
  </si>
  <si>
    <t>MJ/kWh</t>
  </si>
  <si>
    <t>lämpenemisvaikutus 100v, CH4</t>
  </si>
  <si>
    <t>gwp100_ch4</t>
  </si>
  <si>
    <t>IPCC AR5</t>
  </si>
  <si>
    <t>lämpenemisvaikutus 100v, N2O</t>
  </si>
  <si>
    <t>gwp100_n2o</t>
  </si>
  <si>
    <t>WTT päästökerroin, CO2/MJ, sähkö, jäännös, FI 2019</t>
  </si>
  <si>
    <t>ef_e_co2_el_fimix</t>
  </si>
  <si>
    <t>Energiavirasto 2020; johdettu</t>
  </si>
  <si>
    <t>kulutuskerroin, AdBluen määrä suhteessa polttoaineen määrään</t>
  </si>
  <si>
    <t>f_adblue</t>
  </si>
  <si>
    <t>hintatiedot</t>
  </si>
  <si>
    <t>hinta, diesel, jakeluvelvoitteen mukainen 2021, sis.verot</t>
  </si>
  <si>
    <t>hinta_dies</t>
  </si>
  <si>
    <t>€/l</t>
  </si>
  <si>
    <t>VTT:n laskelma 2021</t>
  </si>
  <si>
    <t>hinta, diesel sis.verot</t>
  </si>
  <si>
    <t>hinta_dies2</t>
  </si>
  <si>
    <t>hinta, kevyt polttoöljy / MPÖ sis. verot</t>
  </si>
  <si>
    <t>hinta_pom_pok</t>
  </si>
  <si>
    <t>hinta_pom_pok2</t>
  </si>
  <si>
    <t>hinta, sähkö (yritys/yhteisöasiakkat, &lt; 20 MWh/v)</t>
  </si>
  <si>
    <t>hinta_sähkö1</t>
  </si>
  <si>
    <t>€/kWh</t>
  </si>
  <si>
    <t>hinta, sähkö (yritys/yhteisöasiakkat, 20-499 MWh/v)</t>
  </si>
  <si>
    <t>hinta_sähkö2</t>
  </si>
  <si>
    <t>hinta, sähkö (yritys/yhteisöasiakkat, 500-1999 MWh/v)</t>
  </si>
  <si>
    <t>hinta_sähkö3</t>
  </si>
  <si>
    <t>hinta, sähkö (yritys/yhteisöasiakkat, 2000-19999 MWh/v)</t>
  </si>
  <si>
    <t>hinta_sähkö4</t>
  </si>
  <si>
    <t>hinta, sähkö (yritys/yhteisöasiakkat, 20000-69999 MWh/v)</t>
  </si>
  <si>
    <t>hinta_sähkö5</t>
  </si>
  <si>
    <t>hinta, sähkö (yritys/yhteisöasiakkat, 70000-150000 MWh/v)</t>
  </si>
  <si>
    <t>hinta_sähkö6</t>
  </si>
  <si>
    <t>hinta, biodiesel, myyty tieliikennekäyttöön</t>
  </si>
  <si>
    <t>hinta_biodiesel</t>
  </si>
  <si>
    <t>hinta_biodiesel3</t>
  </si>
  <si>
    <t>Åfry (VN/3364/2020 Jakeluvelvoitteen laajentaminen)</t>
  </si>
  <si>
    <t>hinta, biodiesel myyty biopolttoöljynä</t>
  </si>
  <si>
    <t>hinta_biodiesel4</t>
  </si>
  <si>
    <t>hinta, adblue</t>
  </si>
  <si>
    <t>hinta_adblue</t>
  </si>
  <si>
    <t>VTT</t>
  </si>
  <si>
    <t>akkujen ominaisuudet</t>
  </si>
  <si>
    <t>päästökerroin, akun tuotanto, LFP-akku keskimäärin</t>
  </si>
  <si>
    <t>ef_li_ion_akku</t>
  </si>
  <si>
    <t>gCO2eq/kWh</t>
  </si>
  <si>
    <t>johdettu; weighed average; suurin painoarvo uusimmalla tiedolla</t>
  </si>
  <si>
    <t>weights</t>
  </si>
  <si>
    <t>LFP-akut yleisesti esim. sähkölinja-autoissa, sopii raskaan kaluston käyttöön</t>
  </si>
  <si>
    <t>päästökerroin, akun tuotanto, LFP-akku</t>
  </si>
  <si>
    <t>ef_lfp1</t>
  </si>
  <si>
    <t xml:space="preserve">kg CO2eq./kWh storage capacity </t>
  </si>
  <si>
    <t>Zackrisson et al 2010</t>
  </si>
  <si>
    <t>ef_lfp2</t>
  </si>
  <si>
    <t>Majeau-Bettez et al 2011</t>
  </si>
  <si>
    <t>ef_lfp3</t>
  </si>
  <si>
    <t>Mc Manus 2012</t>
  </si>
  <si>
    <t>ef_lfp4</t>
  </si>
  <si>
    <t>US-EPA 2013</t>
  </si>
  <si>
    <t>ef_lfp5</t>
  </si>
  <si>
    <t>Hawkins et al. 2013</t>
  </si>
  <si>
    <t>ef_lfp6</t>
  </si>
  <si>
    <t>Ambrose &amp; Kendall 2013</t>
  </si>
  <si>
    <t>ef_lfp7</t>
  </si>
  <si>
    <t>Zackrisson et al. 2016</t>
  </si>
  <si>
    <t>S0a Baselinen mukainen työkonekanta</t>
  </si>
  <si>
    <t>id_kone</t>
  </si>
  <si>
    <t>konetyyppi</t>
  </si>
  <si>
    <t>konetyyppi_tarkennus</t>
  </si>
  <si>
    <t>kv1</t>
  </si>
  <si>
    <t>kv2</t>
  </si>
  <si>
    <t>lukumäärä_2019</t>
  </si>
  <si>
    <t>kv1_kulutus</t>
  </si>
  <si>
    <t>käyttötunnit/v</t>
  </si>
  <si>
    <t>urea/adblue</t>
  </si>
  <si>
    <t>akun_koko</t>
  </si>
  <si>
    <t>koneen käyttöikä</t>
  </si>
  <si>
    <t>hinta_keskiarvo</t>
  </si>
  <si>
    <t>konekannan uusiutumistahti (uutta konetta/vuosi)</t>
  </si>
  <si>
    <t>lukki</t>
  </si>
  <si>
    <t>lukki &lt; 40t</t>
  </si>
  <si>
    <t>pom</t>
  </si>
  <si>
    <t>lukki =&gt; 40t</t>
  </si>
  <si>
    <t>lukki, hybridi &lt; 40t</t>
  </si>
  <si>
    <t>sähkö</t>
  </si>
  <si>
    <t>lukki, hybridi =&gt; 40t</t>
  </si>
  <si>
    <t>lukki, sähkö &lt; 40t</t>
  </si>
  <si>
    <t>lukki, sähkö =&gt; 40t</t>
  </si>
  <si>
    <t>terminaalitraktori</t>
  </si>
  <si>
    <t>terminaalitraktori &lt;= 36t</t>
  </si>
  <si>
    <t>terminaalitraktori &gt; 36t</t>
  </si>
  <si>
    <t>terminaalitraktori, sähkö &lt;= 36t</t>
  </si>
  <si>
    <t>terminaalitraktori, sähkö &gt; 36t</t>
  </si>
  <si>
    <t>kurottaja</t>
  </si>
  <si>
    <t>kurottaja &lt;= 10t</t>
  </si>
  <si>
    <t>kurottaja =&gt; 40 t</t>
  </si>
  <si>
    <t>kurottaja, hybridi &lt;= 10t</t>
  </si>
  <si>
    <t>kurottaja, hybridi =&gt; 40t</t>
  </si>
  <si>
    <t>kurottaja, sähkö &lt;= 10t</t>
  </si>
  <si>
    <t>kurottaja, sähkö =&gt; 40t</t>
  </si>
  <si>
    <t>trukki</t>
  </si>
  <si>
    <t>trukki, hybridi &lt;= 5t</t>
  </si>
  <si>
    <t>trukki, hybridi &gt; 5t</t>
  </si>
  <si>
    <t>PERUSTIEDOT</t>
  </si>
  <si>
    <t>KULUTUSLASKENTA</t>
  </si>
  <si>
    <t>LISÄTIETOJA</t>
  </si>
  <si>
    <t>PÄÄSTÖT: WELL-TO-TANK (tCO2eq)</t>
  </si>
  <si>
    <t>PÄÄSTÖT: TANK-TO-WHEEL (tCO2eq)</t>
  </si>
  <si>
    <t>PÄÄSTÖSUMMAT</t>
  </si>
  <si>
    <t>Luku-määrä</t>
  </si>
  <si>
    <t>Kv1</t>
  </si>
  <si>
    <t>Kulutus, yhteensä</t>
  </si>
  <si>
    <t>Kulutus yhteensä (MJ)</t>
  </si>
  <si>
    <t>Fossiilinen kulutus (MJ)</t>
  </si>
  <si>
    <t>Bion kulutus (MJ)</t>
  </si>
  <si>
    <t>Fossiilinen kulutus (l)</t>
  </si>
  <si>
    <t>Bion kulutus (l)</t>
  </si>
  <si>
    <t>Yksikkö</t>
  </si>
  <si>
    <t>Adblue, urea, kulutus</t>
  </si>
  <si>
    <t>Sähköenergia (MJ)</t>
  </si>
  <si>
    <t>Ostosähkö</t>
  </si>
  <si>
    <t>Jäännös-sähkön päästökerroin</t>
  </si>
  <si>
    <t>Fos. %-osuus energiasisällöstä</t>
  </si>
  <si>
    <t>Bion %-osuus energiasisällöstä</t>
  </si>
  <si>
    <t>Biopolttoöljyn määrä litrassa seosta</t>
  </si>
  <si>
    <t>Fossiilisen polttoaineen tuotanto</t>
  </si>
  <si>
    <t>Biopolttoaineen tuotanto</t>
  </si>
  <si>
    <t>Sähkön tuotanto</t>
  </si>
  <si>
    <t>Akun tuotanto</t>
  </si>
  <si>
    <t>Fossiilisen polttoaineen poltto</t>
  </si>
  <si>
    <t>Polttoaine-seoksen poltto, muut khk:t</t>
  </si>
  <si>
    <t>Urean käytön päästöt</t>
  </si>
  <si>
    <t>WTT</t>
  </si>
  <si>
    <t>TTW, pelkkä CO2</t>
  </si>
  <si>
    <t>WTW, pelkkä CO2</t>
  </si>
  <si>
    <t>KUSTANNUKSET</t>
  </si>
  <si>
    <t>konekannan uusiutumisen investoinnit</t>
  </si>
  <si>
    <t>uusia koneita / vuosi</t>
  </si>
  <si>
    <t>fossiilisen polttoaineen käyttö (€/v)</t>
  </si>
  <si>
    <t>biopolttoaineen käyttö (€/v)</t>
  </si>
  <si>
    <t>adbluen käyttö (€/v)</t>
  </si>
  <si>
    <t>sähkön käyttö (€/v)</t>
  </si>
  <si>
    <t>vuosikustannus, käyttö (€)</t>
  </si>
  <si>
    <t>työkonekohtainen käyttökustannus/vuosi</t>
  </si>
  <si>
    <t>Fossiilinen kulutus</t>
  </si>
  <si>
    <t>Bion kulutus</t>
  </si>
  <si>
    <t>increment</t>
  </si>
  <si>
    <t>Kasvukerroin</t>
  </si>
  <si>
    <t>%Muutettu, ei tarpeellinen sarake enää, ei poisteta alkuperäisen formaatin säilymisen vuoksi%</t>
  </si>
  <si>
    <t>Biopolttoöljyn jakelu</t>
  </si>
  <si>
    <t>Äkillinen</t>
  </si>
  <si>
    <t>Asteittainen</t>
  </si>
  <si>
    <t>step</t>
  </si>
  <si>
    <t>Bion määrä</t>
  </si>
  <si>
    <t>Kerroin v. 2027-&gt;</t>
  </si>
  <si>
    <t>Vuosaaren oma sekoite</t>
  </si>
  <si>
    <t>Lain velvoite</t>
  </si>
  <si>
    <t>Päästöt komponeittain ja kulutustiedot</t>
  </si>
  <si>
    <t>S0a Baseline vakio</t>
  </si>
  <si>
    <t>WTW total</t>
  </si>
  <si>
    <t>Fossiilisen polttoaineen kulutus (l)</t>
  </si>
  <si>
    <t>Biopoltto-aineen kulutus (l)</t>
  </si>
  <si>
    <t>Adblue/urean käyttö (l)</t>
  </si>
  <si>
    <t>Sähkön kulutus (MWh)</t>
  </si>
  <si>
    <t>Fossiilisen polttoaineen käyttö (€)</t>
  </si>
  <si>
    <t>Biopolttoaineen käyttö (€)</t>
  </si>
  <si>
    <t>Adblue/urean käyttö (€)</t>
  </si>
  <si>
    <t>Sähkön käyttö (€)</t>
  </si>
  <si>
    <t>Käyttökustannukset (€)</t>
  </si>
  <si>
    <t>S0b Baseline kasvu</t>
  </si>
  <si>
    <t>TYÖKONEKANTA</t>
  </si>
  <si>
    <t>PÄÄSTÖLASKENTA</t>
  </si>
  <si>
    <t>yksikkö t CO2eq/vuosi</t>
  </si>
  <si>
    <t>KUSTANNUSLASKENTA</t>
  </si>
  <si>
    <t>100% BIO</t>
  </si>
  <si>
    <t>Erillinen laskenta jos käytettäisiin 100% bioa</t>
  </si>
  <si>
    <t>konetyyppi, tarkennus</t>
  </si>
  <si>
    <t>lukumäärä</t>
  </si>
  <si>
    <t>kv1 kulutus</t>
  </si>
  <si>
    <t>käyttötunnit</t>
  </si>
  <si>
    <t>akun koko</t>
  </si>
  <si>
    <t>huolto €/v</t>
  </si>
  <si>
    <t>ostohinta</t>
  </si>
  <si>
    <t>jäännösarvo %</t>
  </si>
  <si>
    <t>korkokanta %</t>
  </si>
  <si>
    <t>polttoöljyn kulutus yhteensä (l/v)</t>
  </si>
  <si>
    <t>fossiilinen_kulutus (l/v)</t>
  </si>
  <si>
    <t>bio_kulutus (l/v)</t>
  </si>
  <si>
    <t>lataussähkön kulutus (kWh/v)</t>
  </si>
  <si>
    <t>adbluen kulutus (l/v)</t>
  </si>
  <si>
    <t>Polttoaineen polton muut khk-päästöt</t>
  </si>
  <si>
    <t>suorat päästöt TTW</t>
  </si>
  <si>
    <t>elinkaaripäästöt WTW</t>
  </si>
  <si>
    <t>huolto (€/v)</t>
  </si>
  <si>
    <t>jäännösarvo (€)</t>
  </si>
  <si>
    <t>vuosikustannus, investointi (€)</t>
  </si>
  <si>
    <t>vuosikustannukset yhteensä (€)</t>
  </si>
  <si>
    <t>Bion kulutus (l/v)</t>
  </si>
  <si>
    <t>AdBluen poltto</t>
  </si>
  <si>
    <t>vuosikustannus, käyttö</t>
  </si>
  <si>
    <t>SUMMAT</t>
  </si>
  <si>
    <t>Muunneltavat tiedot</t>
  </si>
  <si>
    <t>Lasketut kokonaispäästöt ja kustannukset per vuosi</t>
  </si>
  <si>
    <t>Sähkön hinta</t>
  </si>
  <si>
    <t xml:space="preserve">Suorat päästöt </t>
  </si>
  <si>
    <t>t CO2eq</t>
  </si>
  <si>
    <t>Polttoöljyn hinta</t>
  </si>
  <si>
    <t>Elinkaaripäästöt</t>
  </si>
  <si>
    <t>Dieselin hinta</t>
  </si>
  <si>
    <t>Käyttökustannukset</t>
  </si>
  <si>
    <t>Biopolttoöljyn hinta</t>
  </si>
  <si>
    <t>Investointikustannukset</t>
  </si>
  <si>
    <t>AdBluen hinta</t>
  </si>
  <si>
    <t>Ostosähkön tyyppi</t>
  </si>
  <si>
    <t>Bion määrä (HV%)</t>
  </si>
  <si>
    <t>Työkonetyyppi</t>
  </si>
  <si>
    <t>Muutos</t>
  </si>
  <si>
    <t>Polttoaineen kulutus</t>
  </si>
  <si>
    <t>Sähkönkulutus</t>
  </si>
  <si>
    <t>TTW päästöt (tCO2eq)</t>
  </si>
  <si>
    <t>WTW päästöt</t>
  </si>
  <si>
    <t>Käyttö-kustannukset</t>
  </si>
  <si>
    <t>Investointi-kustannukset</t>
  </si>
  <si>
    <t>Kokonais-kustannukset</t>
  </si>
  <si>
    <t>TTW säästetyn CO2-tonnin hinta</t>
  </si>
  <si>
    <t>WTW säästetyn CO2-tonnin hinta</t>
  </si>
  <si>
    <t>Lukki &lt; 40t</t>
  </si>
  <si>
    <t>Vaihto hybridiin</t>
  </si>
  <si>
    <t>Vaihto täyssähköön</t>
  </si>
  <si>
    <t>Vaihto bioon</t>
  </si>
  <si>
    <t>Lukki =&gt; 40t</t>
  </si>
  <si>
    <t>Terminaalitraktori &lt;= 36t</t>
  </si>
  <si>
    <t>Terminaalitraktori &gt; 36t</t>
  </si>
  <si>
    <t>Kurottaja =&gt; 40t</t>
  </si>
  <si>
    <t>posiivinen luku= päästötonnin säästäminen maksaa</t>
  </si>
  <si>
    <t>Trukki &lt;= 5t</t>
  </si>
  <si>
    <t>negatiivinen luku= päästötonnin säästäminen tuo rahallista säästöä</t>
  </si>
  <si>
    <t>Trukki &gt; 5t</t>
  </si>
  <si>
    <t>TÄYTTÖOHJE:</t>
  </si>
  <si>
    <t>sarakkeen nimi</t>
  </si>
  <si>
    <t>ohje</t>
  </si>
  <si>
    <t>anna yksinkertainen nimi konetyypille esim. lukki. Tietoa ei käytetä suoraan laskennassa, havainnollistaa vain taulukon tietoja</t>
  </si>
  <si>
    <t>anna tarkempi nimi koneryhmälle, josta käy ilmi kokoluokka ja mahdollinen vaihtoehtoinen käyttövoima. Käytetään hyödyksi laskennassa</t>
  </si>
  <si>
    <t>anna tähän koneryhmään kuuluvien koneiden lukumäärä</t>
  </si>
  <si>
    <t>anna koneryhmän käyttövoima. pom = polttomoottoriöljy. Jos kone on hybridi, pom on kv1 ja sähkö on kv2</t>
  </si>
  <si>
    <t>anna kulutusluku, joko litraa tunnissa tai kilowattituntia tunnissa</t>
  </si>
  <si>
    <t>anna koneryhmän toinen käyttövoima, jos kyseessä hybridi</t>
  </si>
  <si>
    <t>anna koneryhmän keskimääräiset käyttötunnit (tuntia vuodessa) per kone</t>
  </si>
  <si>
    <t>adblue</t>
  </si>
  <si>
    <t>anna arvio koneryhmän adbluen käytöstä. 100% = kaikki koneet käyttävät adblueta. 50% = puolet koneista käyttää. 0% = yksikään kone tässä koneryhmässä ei käytä adblueta</t>
  </si>
  <si>
    <t>anna täyssähkökäyttöisen työkoneen akun koko kilowattitunteina</t>
  </si>
  <si>
    <t>hinta</t>
  </si>
  <si>
    <t>anna uuden tähän ryhmään kuuluvan työkoneen hankintahinta</t>
  </si>
  <si>
    <t>Hinta</t>
  </si>
  <si>
    <t>Åfry: https://tem.fi/documents/1410877/2132212/Jakeluvelvoitteen_laajentaminen_loppuraportti_julkaisu.pdf/732b8c4d-c07d-b6ca-d4a7-8af1f2a00b37/Jakeluvelvoitteen_laajentaminen_loppuraportti_julkaisu.pdf/Jakeluvelvoitteen_laajentaminen_loppuraportti_julkaisu.pdf?t=1599738665281</t>
  </si>
  <si>
    <t>Dieselöljy, snt/l</t>
  </si>
  <si>
    <t>Kevyt polttoöljy, snt/l</t>
  </si>
  <si>
    <t>2020M01</t>
  </si>
  <si>
    <t>2020M02</t>
  </si>
  <si>
    <t>2020M03</t>
  </si>
  <si>
    <t>2020M04</t>
  </si>
  <si>
    <t>2020M05</t>
  </si>
  <si>
    <t>2020M06</t>
  </si>
  <si>
    <t>2020M07</t>
  </si>
  <si>
    <t>2020M08</t>
  </si>
  <si>
    <t>2020M09</t>
  </si>
  <si>
    <t>Sähkön hinta kuluttajatyypeittäin (sis. sähköenergian, siirtomaksun ja verot) muuttujina Kuukausi, Tiedot ja Sähkön kuluttajatyyppi</t>
  </si>
  <si>
    <t>Sähkön hinta (snt/kWh)</t>
  </si>
  <si>
    <t>T5 (Yritys- ja yhteisöasiakkaat, vuosikulutus &lt; 20 MWh/vuosi) (2007M6- )</t>
  </si>
  <si>
    <t>T6 (Yritys- ja yhteisöasiakkaat 20 - 499 MWh/vuosi) (2007M6- )</t>
  </si>
  <si>
    <t>T7 (Yritys- ja yhteisöasiakkaat 500 - 1 999 MWh/vuosi) (2007M6- )</t>
  </si>
  <si>
    <t>T8 (Yritys- ja yhteisöasiakkaat 2 000 - 19 999 MWh/vuosi) (2007M6- )</t>
  </si>
  <si>
    <t>T9 (Yritys- ja yhteisöasiakkaat20 000 - 69 999 MWh/vuosi) (2007M6- )</t>
  </si>
  <si>
    <t>T10 (Yritys- ja yhteisöasiakkaat 70 000 - 150 000 MWh/vuosi) (2007M6- )</t>
  </si>
  <si>
    <t>Tilasto: Energian hinnat [verkkojulkaisu].</t>
  </si>
  <si>
    <t>ISSN=1799-7984. 3. Vuosineljännes 2020. Helsinki: Tilastokeskus [viitattu: 13.1.2021].</t>
  </si>
  <si>
    <t>Saantitapa: http://www.stat.fi/til/ehi/2020/03/ehi_2020_03_2020-12-10_tie_001_fi.html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</si>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</sst>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0"/>
    <numFmt numFmtId="165" formatCode="0.0"/>
    <numFmt numFmtId="166" formatCode="0.0\ %"/>
    <numFmt numFmtId="167" formatCode="0.000\ %"/>
    <numFmt numFmtId="168" formatCode="#,##0\ &quot;€&quot;"/>
    <numFmt numFmtId="169" formatCode="#,##0.00\ &quot;€&quot;"/>
    <numFmt numFmtId="170" formatCode="0.00000000\ %"/>
    <numFmt numFmtId="171" formatCode="#,##0.0"/>
    <numFmt numFmtId="172" formatCode="#,##0.000"/>
  </numFmts>
  <fonts count="41">
    <font>
      <sz val="11"/>
      <color theme="1"/>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b/>
      <sz val="10"/>
      <color theme="1"/>
      <name val="Calibri"/>
      <family val="2"/>
      <scheme val="minor"/>
    </font>
    <font>
      <sz val="10"/>
      <color theme="1"/>
      <name val="Calibri"/>
      <family val="2"/>
      <scheme val="minor"/>
    </font>
    <font>
      <b/>
      <sz val="16"/>
      <color theme="1"/>
      <name val="Calibri"/>
      <family val="2"/>
      <scheme val="minor"/>
    </font>
    <font>
      <sz val="16"/>
      <color theme="1"/>
      <name val="Calibri"/>
      <family val="2"/>
      <scheme val="minor"/>
    </font>
    <font>
      <sz val="10"/>
      <name val="Calibri"/>
      <family val="2"/>
      <scheme val="minor"/>
    </font>
    <font>
      <sz val="9"/>
      <color theme="1"/>
      <name val="Calibri"/>
      <family val="2"/>
      <scheme val="minor"/>
    </font>
    <font>
      <sz val="10"/>
      <color theme="0"/>
      <name val="Calibri"/>
      <family val="2"/>
      <scheme val="minor"/>
    </font>
    <font>
      <b/>
      <sz val="10"/>
      <color theme="9" tint="0.79998168889431442"/>
      <name val="Calibri"/>
      <family val="2"/>
      <scheme val="minor"/>
    </font>
    <font>
      <sz val="8"/>
      <name val="Calibri"/>
      <family val="2"/>
      <scheme val="minor"/>
    </font>
    <font>
      <b/>
      <sz val="10"/>
      <color theme="2"/>
      <name val="Calibri"/>
      <family val="2"/>
      <scheme val="minor"/>
    </font>
    <font>
      <i/>
      <sz val="10"/>
      <color rgb="FFFF0000"/>
      <name val="Calibri"/>
      <family val="2"/>
      <scheme val="minor"/>
    </font>
    <font>
      <sz val="10"/>
      <color rgb="FFFF0000"/>
      <name val="Calibri"/>
      <family val="2"/>
      <scheme val="minor"/>
    </font>
    <font>
      <b/>
      <sz val="11"/>
      <color theme="1"/>
      <name val="Calibri"/>
      <family val="2"/>
      <scheme val="minor"/>
    </font>
    <font>
      <sz val="10"/>
      <color theme="7" tint="0.59999389629810485"/>
      <name val="Calibri"/>
      <family val="2"/>
      <scheme val="minor"/>
    </font>
    <font>
      <sz val="10"/>
      <color theme="7" tint="0.39997558519241921"/>
      <name val="Calibri"/>
      <family val="2"/>
      <scheme val="minor"/>
    </font>
    <font>
      <sz val="10"/>
      <color theme="7"/>
      <name val="Calibri"/>
      <family val="2"/>
      <scheme val="minor"/>
    </font>
    <font>
      <sz val="10"/>
      <color theme="0" tint="-0.499984740745262"/>
      <name val="Calibri"/>
      <family val="2"/>
      <scheme val="minor"/>
    </font>
    <font>
      <b/>
      <sz val="10"/>
      <color theme="0"/>
      <name val="Calibri"/>
      <family val="2"/>
      <scheme val="minor"/>
    </font>
    <font>
      <b/>
      <sz val="9"/>
      <color theme="1"/>
      <name val="Calibri"/>
      <family val="2"/>
      <scheme val="minor"/>
    </font>
    <font>
      <sz val="10"/>
      <color theme="2" tint="-0.499984740745262"/>
      <name val="Calibri"/>
      <family val="2"/>
      <scheme val="minor"/>
    </font>
    <font>
      <b/>
      <sz val="11"/>
      <color theme="0"/>
      <name val="Calibri"/>
      <family val="2"/>
      <scheme val="minor"/>
    </font>
    <font>
      <b/>
      <sz val="10"/>
      <color rgb="FF000000"/>
      <name val="Inherit"/>
    </font>
    <font>
      <b/>
      <sz val="10"/>
      <color rgb="FF222222"/>
      <name val="Inherit"/>
    </font>
    <font>
      <sz val="10"/>
      <color rgb="FF222222"/>
      <name val="Inherit"/>
    </font>
    <font>
      <sz val="10"/>
      <color rgb="FF000000"/>
      <name val="Inherit"/>
    </font>
    <font>
      <sz val="10"/>
      <color rgb="FF000000"/>
      <name val="Arial"/>
      <family val="2"/>
    </font>
    <font>
      <b/>
      <sz val="14"/>
      <color theme="0"/>
      <name val="Calibri"/>
      <family val="2"/>
      <scheme val="minor"/>
    </font>
    <font>
      <b/>
      <sz val="10"/>
      <color theme="2" tint="-0.749992370372631"/>
      <name val="Calibri"/>
      <family val="2"/>
      <scheme val="minor"/>
    </font>
    <font>
      <i/>
      <sz val="10"/>
      <color theme="1"/>
      <name val="Calibri"/>
      <family val="2"/>
      <scheme val="minor"/>
    </font>
    <font>
      <i/>
      <sz val="10"/>
      <color theme="2" tint="-0.499984740745262"/>
      <name val="Calibri"/>
      <family val="2"/>
      <scheme val="minor"/>
    </font>
    <font>
      <i/>
      <sz val="9"/>
      <color theme="1"/>
      <name val="Calibri"/>
      <family val="2"/>
      <scheme val="minor"/>
    </font>
    <font>
      <b/>
      <sz val="10"/>
      <color theme="0" tint="-0.14999847407452621"/>
      <name val="Calibri"/>
      <family val="2"/>
      <scheme val="minor"/>
    </font>
    <font>
      <sz val="10"/>
      <color theme="9" tint="-0.499984740745262"/>
      <name val="Calibri"/>
      <family val="2"/>
      <scheme val="minor"/>
    </font>
    <font>
      <sz val="10"/>
      <color theme="9" tint="-0.249977111117893"/>
      <name val="Calibri"/>
      <family val="2"/>
      <scheme val="minor"/>
    </font>
    <font>
      <b/>
      <sz val="10"/>
      <name val="Calibri"/>
      <family val="2"/>
      <scheme val="minor"/>
    </font>
    <font>
      <b/>
      <sz val="10"/>
      <color theme="9"/>
      <name val="Calibri"/>
      <family val="2"/>
      <scheme val="minor"/>
    </font>
    <font>
      <sz val="10"/>
      <color theme="9"/>
      <name val="Calibri"/>
      <family val="2"/>
      <scheme val="minor"/>
    </font>
  </fonts>
  <fills count="30">
    <fill>
      <patternFill patternType="none"/>
    </fill>
    <fill>
      <patternFill patternType="gray125"/>
    </fill>
    <fill>
      <patternFill patternType="solid">
        <fgColor theme="7" tint="0.59999389629810485"/>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D6F6D8"/>
        <bgColor indexed="64"/>
      </patternFill>
    </fill>
    <fill>
      <patternFill patternType="solid">
        <fgColor theme="0" tint="-0.499984740745262"/>
        <bgColor indexed="64"/>
      </patternFill>
    </fill>
    <fill>
      <patternFill patternType="solid">
        <fgColor rgb="FFEBF0F1"/>
        <bgColor indexed="64"/>
      </patternFill>
    </fill>
    <fill>
      <patternFill patternType="solid">
        <fgColor rgb="FFDBE3E5"/>
        <bgColor indexed="64"/>
      </patternFill>
    </fill>
    <fill>
      <patternFill patternType="solid">
        <fgColor theme="2" tint="-0.49998474074526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E1E1E1"/>
        <bgColor indexed="64"/>
      </patternFill>
    </fill>
    <fill>
      <patternFill patternType="solid">
        <fgColor rgb="FFFFFFFF"/>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2" tint="-0.749992370372631"/>
        <bgColor indexed="64"/>
      </patternFill>
    </fill>
    <fill>
      <patternFill patternType="solid">
        <fgColor theme="0" tint="-0.249977111117893"/>
        <bgColor indexed="64"/>
      </patternFill>
    </fill>
    <fill>
      <patternFill patternType="solid">
        <fgColor theme="2"/>
        <bgColor indexed="64"/>
      </patternFill>
    </fill>
  </fills>
  <borders count="64">
    <border>
      <left/>
      <right/>
      <top/>
      <bottom/>
      <diagonal/>
    </border>
    <border>
      <left/>
      <right/>
      <top/>
      <bottom style="thin">
        <color indexed="64"/>
      </bottom>
      <diagonal/>
    </border>
    <border>
      <left/>
      <right/>
      <top/>
      <bottom style="medium">
        <color theme="2"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499984740745262"/>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bottom style="thin">
        <color indexed="64"/>
      </bottom>
      <diagonal/>
    </border>
    <border>
      <left/>
      <right style="medium">
        <color rgb="FFA9A9A9"/>
      </right>
      <top/>
      <bottom/>
      <diagonal/>
    </border>
    <border>
      <left style="medium">
        <color rgb="FFA9A9A9"/>
      </left>
      <right/>
      <top/>
      <bottom style="medium">
        <color rgb="FFA9A9A9"/>
      </bottom>
      <diagonal/>
    </border>
    <border>
      <left/>
      <right/>
      <top/>
      <bottom style="medium">
        <color rgb="FFA9A9A9"/>
      </bottom>
      <diagonal/>
    </border>
    <border>
      <left/>
      <right style="medium">
        <color rgb="FFA9A9A9"/>
      </right>
      <top/>
      <bottom style="medium">
        <color rgb="FFA9A9A9"/>
      </bottom>
      <diagonal/>
    </border>
    <border>
      <left style="medium">
        <color rgb="FFA9A9A9"/>
      </left>
      <right style="medium">
        <color rgb="FFA9A9A9"/>
      </right>
      <top style="medium">
        <color rgb="FFA9A9A9"/>
      </top>
      <bottom style="medium">
        <color rgb="FFA9A9A9"/>
      </bottom>
      <diagonal/>
    </border>
    <border>
      <left style="medium">
        <color rgb="FFA9A9A9"/>
      </left>
      <right/>
      <top style="medium">
        <color rgb="FFA9A9A9"/>
      </top>
      <bottom style="medium">
        <color rgb="FFA9A9A9"/>
      </bottom>
      <diagonal/>
    </border>
    <border>
      <left/>
      <right style="medium">
        <color rgb="FFA9A9A9"/>
      </right>
      <top style="medium">
        <color rgb="FFA9A9A9"/>
      </top>
      <bottom style="medium">
        <color rgb="FFA9A9A9"/>
      </bottom>
      <diagonal/>
    </border>
    <border>
      <left/>
      <right style="medium">
        <color rgb="FFA9A9A9"/>
      </right>
      <top style="medium">
        <color rgb="FFA9A9A9"/>
      </top>
      <bottom/>
      <diagonal/>
    </border>
    <border>
      <left/>
      <right/>
      <top style="medium">
        <color rgb="FFA9A9A9"/>
      </top>
      <bottom style="medium">
        <color rgb="FFA9A9A9"/>
      </bottom>
      <diagonal/>
    </border>
    <border>
      <left/>
      <right/>
      <top style="thin">
        <color indexed="64"/>
      </top>
      <bottom style="double">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style="thin">
        <color indexed="64"/>
      </top>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0" tint="-0.249977111117893"/>
      </left>
      <right style="thin">
        <color theme="0" tint="-0.249977111117893"/>
      </right>
      <top style="thin">
        <color theme="0" tint="-0.249977111117893"/>
      </top>
      <bottom/>
      <diagonal/>
    </border>
    <border>
      <left/>
      <right/>
      <top/>
      <bottom style="medium">
        <color theme="0" tint="-0.499984740745262"/>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406">
    <xf numFmtId="0" fontId="0" fillId="0" borderId="0" xfId="0"/>
    <xf numFmtId="0" fontId="4" fillId="2" borderId="1" xfId="0" applyFont="1" applyFill="1" applyBorder="1" applyAlignment="1">
      <alignment horizontal="left" vertical="top" wrapText="1"/>
    </xf>
    <xf numFmtId="0" fontId="5" fillId="0" borderId="0" xfId="0" applyFont="1"/>
    <xf numFmtId="0" fontId="6" fillId="3" borderId="0" xfId="0" applyFont="1" applyFill="1"/>
    <xf numFmtId="0" fontId="7" fillId="3" borderId="0" xfId="0" applyFont="1" applyFill="1"/>
    <xf numFmtId="0" fontId="4" fillId="2" borderId="1" xfId="0" applyFont="1" applyFill="1" applyBorder="1"/>
    <xf numFmtId="0" fontId="8" fillId="0" borderId="0" xfId="0" applyFont="1"/>
    <xf numFmtId="0" fontId="2" fillId="3" borderId="0" xfId="0" applyFont="1" applyFill="1"/>
    <xf numFmtId="0" fontId="3" fillId="3" borderId="0" xfId="0" applyFont="1" applyFill="1"/>
    <xf numFmtId="0" fontId="4" fillId="0" borderId="0" xfId="0" applyFont="1"/>
    <xf numFmtId="0" fontId="5" fillId="10" borderId="0" xfId="0" applyFont="1" applyFill="1"/>
    <xf numFmtId="0" fontId="13" fillId="10" borderId="0" xfId="0" applyFont="1" applyFill="1" applyAlignment="1">
      <alignment horizontal="center" vertical="center"/>
    </xf>
    <xf numFmtId="0" fontId="10" fillId="13" borderId="2" xfId="0" applyFont="1" applyFill="1" applyBorder="1" applyAlignment="1">
      <alignment vertical="center" wrapText="1"/>
    </xf>
    <xf numFmtId="0" fontId="10" fillId="13" borderId="2" xfId="0" applyFont="1" applyFill="1" applyBorder="1" applyAlignment="1">
      <alignment vertical="center"/>
    </xf>
    <xf numFmtId="0" fontId="5" fillId="13" borderId="0" xfId="0" applyFont="1" applyFill="1"/>
    <xf numFmtId="0" fontId="13" fillId="13" borderId="1" xfId="0" applyFont="1" applyFill="1" applyBorder="1" applyAlignment="1">
      <alignment horizontal="center" vertical="center"/>
    </xf>
    <xf numFmtId="0" fontId="11" fillId="13" borderId="1" xfId="0" applyFont="1" applyFill="1" applyBorder="1" applyAlignment="1">
      <alignment vertical="center"/>
    </xf>
    <xf numFmtId="0" fontId="9" fillId="14" borderId="0" xfId="0" applyFont="1" applyFill="1"/>
    <xf numFmtId="0" fontId="5" fillId="14" borderId="0" xfId="0" applyFont="1" applyFill="1"/>
    <xf numFmtId="0" fontId="5" fillId="0" borderId="0" xfId="0" applyFont="1" applyBorder="1"/>
    <xf numFmtId="1" fontId="5" fillId="0" borderId="0" xfId="0" applyNumberFormat="1" applyFont="1" applyBorder="1"/>
    <xf numFmtId="9" fontId="0" fillId="0" borderId="0" xfId="1" applyNumberFormat="1" applyFont="1"/>
    <xf numFmtId="0" fontId="9" fillId="0" borderId="0" xfId="0" applyFont="1"/>
    <xf numFmtId="0" fontId="4" fillId="4" borderId="0" xfId="0" applyFont="1" applyFill="1" applyBorder="1" applyAlignment="1">
      <alignment horizontal="right"/>
    </xf>
    <xf numFmtId="1" fontId="8" fillId="0" borderId="0" xfId="0" applyNumberFormat="1" applyFont="1"/>
    <xf numFmtId="2" fontId="5" fillId="0" borderId="0" xfId="0" applyNumberFormat="1" applyFont="1" applyBorder="1"/>
    <xf numFmtId="0" fontId="0" fillId="0" borderId="0" xfId="0" applyAlignment="1">
      <alignment horizontal="center" vertical="center"/>
    </xf>
    <xf numFmtId="9" fontId="9" fillId="8" borderId="3" xfId="1" applyFont="1" applyFill="1" applyBorder="1" applyAlignment="1">
      <alignment horizontal="center" vertical="center"/>
    </xf>
    <xf numFmtId="1" fontId="20" fillId="0" borderId="0" xfId="0" applyNumberFormat="1" applyFont="1" applyFill="1" applyBorder="1"/>
    <xf numFmtId="0" fontId="20" fillId="0" borderId="0" xfId="0" applyFont="1" applyBorder="1"/>
    <xf numFmtId="1" fontId="5" fillId="17" borderId="0" xfId="0" applyNumberFormat="1" applyFont="1" applyFill="1"/>
    <xf numFmtId="0" fontId="5" fillId="17" borderId="0" xfId="0" applyFont="1" applyFill="1"/>
    <xf numFmtId="1" fontId="8" fillId="17" borderId="0" xfId="0" applyNumberFormat="1" applyFont="1" applyFill="1"/>
    <xf numFmtId="0" fontId="8" fillId="17" borderId="0" xfId="0" applyFont="1" applyFill="1"/>
    <xf numFmtId="1" fontId="5" fillId="8" borderId="0" xfId="0" applyNumberFormat="1" applyFont="1" applyFill="1"/>
    <xf numFmtId="1" fontId="8" fillId="8" borderId="0" xfId="0" applyNumberFormat="1" applyFont="1" applyFill="1"/>
    <xf numFmtId="0" fontId="10" fillId="13" borderId="0" xfId="0" applyFont="1" applyFill="1"/>
    <xf numFmtId="0" fontId="8" fillId="5" borderId="0" xfId="0" applyFont="1" applyFill="1"/>
    <xf numFmtId="0" fontId="10" fillId="13" borderId="2" xfId="0" applyFont="1" applyFill="1" applyBorder="1" applyAlignment="1"/>
    <xf numFmtId="0" fontId="10" fillId="13" borderId="2" xfId="0" applyFont="1" applyFill="1" applyBorder="1" applyAlignment="1">
      <alignment wrapText="1"/>
    </xf>
    <xf numFmtId="0" fontId="8" fillId="8" borderId="0" xfId="0" applyFont="1" applyFill="1"/>
    <xf numFmtId="0" fontId="5" fillId="8" borderId="0" xfId="0" applyFont="1" applyFill="1" applyBorder="1"/>
    <xf numFmtId="0" fontId="5" fillId="18" borderId="12" xfId="0" applyFont="1" applyFill="1" applyBorder="1"/>
    <xf numFmtId="0" fontId="5" fillId="18" borderId="13" xfId="0" applyFont="1" applyFill="1" applyBorder="1"/>
    <xf numFmtId="0" fontId="5" fillId="18" borderId="14" xfId="0" applyFont="1" applyFill="1" applyBorder="1"/>
    <xf numFmtId="0" fontId="5" fillId="18" borderId="11" xfId="0" applyFont="1" applyFill="1" applyBorder="1"/>
    <xf numFmtId="165" fontId="5" fillId="18" borderId="0" xfId="0" applyNumberFormat="1" applyFont="1" applyFill="1" applyBorder="1"/>
    <xf numFmtId="0" fontId="5" fillId="18" borderId="0" xfId="0" applyFont="1" applyFill="1" applyBorder="1"/>
    <xf numFmtId="0" fontId="5" fillId="18" borderId="15" xfId="0" applyFont="1" applyFill="1" applyBorder="1"/>
    <xf numFmtId="9" fontId="5" fillId="18" borderId="15" xfId="1" applyFont="1" applyFill="1" applyBorder="1"/>
    <xf numFmtId="0" fontId="5" fillId="18" borderId="16" xfId="0" applyFont="1" applyFill="1" applyBorder="1"/>
    <xf numFmtId="165" fontId="5" fillId="18" borderId="17" xfId="0" applyNumberFormat="1" applyFont="1" applyFill="1" applyBorder="1"/>
    <xf numFmtId="0" fontId="5" fillId="18" borderId="17" xfId="0" applyFont="1" applyFill="1" applyBorder="1"/>
    <xf numFmtId="9" fontId="5" fillId="18" borderId="18" xfId="1" applyFont="1" applyFill="1" applyBorder="1"/>
    <xf numFmtId="0" fontId="5" fillId="18" borderId="4" xfId="0" applyFont="1" applyFill="1" applyBorder="1"/>
    <xf numFmtId="0" fontId="5" fillId="18" borderId="5" xfId="0" applyFont="1" applyFill="1" applyBorder="1"/>
    <xf numFmtId="0" fontId="5" fillId="18" borderId="6" xfId="0" applyFont="1" applyFill="1" applyBorder="1"/>
    <xf numFmtId="0" fontId="5" fillId="18" borderId="7" xfId="0" applyFont="1" applyFill="1" applyBorder="1"/>
    <xf numFmtId="9" fontId="5" fillId="18" borderId="0" xfId="1" applyFont="1" applyFill="1" applyBorder="1"/>
    <xf numFmtId="167" fontId="5" fillId="18" borderId="8" xfId="1" applyNumberFormat="1" applyFont="1" applyFill="1" applyBorder="1"/>
    <xf numFmtId="0" fontId="5" fillId="18" borderId="9" xfId="0" applyFont="1" applyFill="1" applyBorder="1"/>
    <xf numFmtId="9" fontId="5" fillId="18" borderId="1" xfId="1" applyFont="1" applyFill="1" applyBorder="1"/>
    <xf numFmtId="0" fontId="5" fillId="18" borderId="1" xfId="0" applyFont="1" applyFill="1" applyBorder="1"/>
    <xf numFmtId="167" fontId="5" fillId="18" borderId="10" xfId="1" applyNumberFormat="1" applyFont="1" applyFill="1" applyBorder="1"/>
    <xf numFmtId="0" fontId="5" fillId="4" borderId="0" xfId="0" applyFont="1" applyFill="1"/>
    <xf numFmtId="164" fontId="5" fillId="14" borderId="0" xfId="0" applyNumberFormat="1" applyFont="1" applyFill="1"/>
    <xf numFmtId="165" fontId="5" fillId="14" borderId="0" xfId="0" applyNumberFormat="1" applyFont="1" applyFill="1"/>
    <xf numFmtId="170" fontId="8" fillId="0" borderId="0" xfId="0" applyNumberFormat="1" applyFont="1"/>
    <xf numFmtId="0" fontId="8" fillId="4" borderId="5" xfId="0" applyFont="1" applyFill="1" applyBorder="1"/>
    <xf numFmtId="0" fontId="8" fillId="4" borderId="6" xfId="0" applyFont="1" applyFill="1" applyBorder="1"/>
    <xf numFmtId="166" fontId="8" fillId="4" borderId="0" xfId="1" applyNumberFormat="1" applyFont="1" applyFill="1" applyBorder="1"/>
    <xf numFmtId="166" fontId="8" fillId="4" borderId="8" xfId="1" applyNumberFormat="1" applyFont="1" applyFill="1" applyBorder="1"/>
    <xf numFmtId="0" fontId="23" fillId="5" borderId="0" xfId="0" applyFont="1" applyFill="1"/>
    <xf numFmtId="0" fontId="23" fillId="5" borderId="0" xfId="0" applyFont="1" applyFill="1" applyAlignment="1">
      <alignment horizontal="right"/>
    </xf>
    <xf numFmtId="0" fontId="23" fillId="17" borderId="0" xfId="0" applyFont="1" applyFill="1"/>
    <xf numFmtId="0" fontId="23" fillId="17" borderId="0" xfId="0" applyFont="1" applyFill="1" applyAlignment="1">
      <alignment horizontal="right"/>
    </xf>
    <xf numFmtId="0" fontId="26" fillId="19" borderId="24" xfId="0" applyFont="1" applyFill="1" applyBorder="1" applyAlignment="1">
      <alignment horizontal="left" vertical="center" wrapText="1"/>
    </xf>
    <xf numFmtId="0" fontId="27" fillId="19" borderId="26" xfId="0" applyFont="1" applyFill="1" applyBorder="1" applyAlignment="1">
      <alignment horizontal="left" vertical="center" wrapText="1"/>
    </xf>
    <xf numFmtId="0" fontId="28" fillId="20" borderId="24" xfId="0" applyFont="1" applyFill="1" applyBorder="1" applyAlignment="1">
      <alignment horizontal="right" vertical="center"/>
    </xf>
    <xf numFmtId="0" fontId="28" fillId="20" borderId="25" xfId="0" applyFont="1" applyFill="1" applyBorder="1" applyAlignment="1">
      <alignment horizontal="right" vertical="center"/>
    </xf>
    <xf numFmtId="0" fontId="29" fillId="0" borderId="0" xfId="0" applyFont="1"/>
    <xf numFmtId="0" fontId="5" fillId="2" borderId="0" xfId="0" applyFont="1" applyFill="1" applyAlignment="1">
      <alignment horizontal="center" vertical="center"/>
    </xf>
    <xf numFmtId="0" fontId="9" fillId="14" borderId="0" xfId="0" applyFont="1" applyFill="1" applyAlignment="1">
      <alignment horizontal="center" vertical="center"/>
    </xf>
    <xf numFmtId="165" fontId="5" fillId="2" borderId="0" xfId="0" applyNumberFormat="1" applyFont="1" applyFill="1" applyAlignment="1">
      <alignment horizontal="center" vertical="center"/>
    </xf>
    <xf numFmtId="3" fontId="9" fillId="14" borderId="0" xfId="0" applyNumberFormat="1" applyFont="1" applyFill="1" applyAlignment="1">
      <alignment horizontal="center" vertical="center"/>
    </xf>
    <xf numFmtId="9" fontId="9" fillId="2" borderId="0" xfId="1" applyFont="1" applyFill="1" applyAlignment="1">
      <alignment horizontal="center" vertical="center"/>
    </xf>
    <xf numFmtId="1" fontId="9" fillId="14" borderId="0" xfId="2"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1" fontId="9" fillId="2" borderId="0" xfId="2" applyNumberFormat="1" applyFont="1" applyFill="1" applyAlignment="1">
      <alignment horizontal="center" vertical="center"/>
    </xf>
    <xf numFmtId="0" fontId="11" fillId="13" borderId="1" xfId="0" applyFont="1" applyFill="1" applyBorder="1" applyAlignment="1">
      <alignment horizontal="center" vertical="center"/>
    </xf>
    <xf numFmtId="0" fontId="11" fillId="13" borderId="1" xfId="0" applyFont="1" applyFill="1" applyBorder="1" applyAlignment="1">
      <alignment horizontal="center" vertical="center" wrapText="1"/>
    </xf>
    <xf numFmtId="1" fontId="11" fillId="13" borderId="1" xfId="2" applyNumberFormat="1" applyFont="1" applyFill="1" applyBorder="1" applyAlignment="1">
      <alignment horizontal="center" vertical="center"/>
    </xf>
    <xf numFmtId="0" fontId="13" fillId="0" borderId="0" xfId="0" applyFont="1" applyFill="1" applyAlignment="1">
      <alignment horizontal="center" vertical="center"/>
    </xf>
    <xf numFmtId="0" fontId="5" fillId="0" borderId="0" xfId="0" applyFont="1" applyFill="1"/>
    <xf numFmtId="1" fontId="5" fillId="0" borderId="0" xfId="2" applyNumberFormat="1" applyFont="1" applyFill="1"/>
    <xf numFmtId="0" fontId="24" fillId="13" borderId="0" xfId="0" applyFont="1" applyFill="1"/>
    <xf numFmtId="0" fontId="21" fillId="13" borderId="0" xfId="0" applyFont="1" applyFill="1"/>
    <xf numFmtId="0" fontId="13" fillId="13" borderId="1" xfId="0" applyFont="1" applyFill="1" applyBorder="1" applyAlignment="1">
      <alignment horizontal="center" wrapText="1"/>
    </xf>
    <xf numFmtId="0" fontId="11" fillId="13" borderId="1" xfId="0" applyFont="1" applyFill="1" applyBorder="1" applyAlignment="1">
      <alignment wrapText="1"/>
    </xf>
    <xf numFmtId="0" fontId="11" fillId="13" borderId="1" xfId="0" applyFont="1" applyFill="1" applyBorder="1" applyAlignment="1">
      <alignment horizontal="center" wrapText="1"/>
    </xf>
    <xf numFmtId="1" fontId="11" fillId="13" borderId="1" xfId="2" applyNumberFormat="1" applyFont="1" applyFill="1" applyBorder="1" applyAlignment="1">
      <alignment horizontal="center" wrapText="1"/>
    </xf>
    <xf numFmtId="3" fontId="5" fillId="5" borderId="0" xfId="0" applyNumberFormat="1" applyFont="1" applyFill="1"/>
    <xf numFmtId="0" fontId="5" fillId="21" borderId="0" xfId="0" applyFont="1" applyFill="1"/>
    <xf numFmtId="1" fontId="5" fillId="22" borderId="0" xfId="0" applyNumberFormat="1" applyFont="1" applyFill="1"/>
    <xf numFmtId="1" fontId="5" fillId="23" borderId="0" xfId="0" applyNumberFormat="1" applyFont="1" applyFill="1"/>
    <xf numFmtId="168" fontId="5" fillId="4" borderId="0" xfId="0" applyNumberFormat="1" applyFont="1" applyFill="1"/>
    <xf numFmtId="168" fontId="5" fillId="8" borderId="0" xfId="0" applyNumberFormat="1" applyFont="1" applyFill="1"/>
    <xf numFmtId="168" fontId="5" fillId="24" borderId="0" xfId="0" applyNumberFormat="1" applyFont="1" applyFill="1"/>
    <xf numFmtId="169" fontId="5" fillId="21" borderId="0" xfId="0" applyNumberFormat="1" applyFont="1" applyFill="1"/>
    <xf numFmtId="0" fontId="13" fillId="21" borderId="0" xfId="0" applyFont="1" applyFill="1" applyAlignment="1">
      <alignment horizontal="center" vertical="center"/>
    </xf>
    <xf numFmtId="0" fontId="5" fillId="21" borderId="0" xfId="0" applyFont="1" applyFill="1" applyAlignment="1">
      <alignment horizontal="center" vertical="center"/>
    </xf>
    <xf numFmtId="1" fontId="5" fillId="21" borderId="0" xfId="2" applyNumberFormat="1" applyFont="1" applyFill="1" applyAlignment="1">
      <alignment horizontal="center" vertical="center"/>
    </xf>
    <xf numFmtId="1" fontId="21" fillId="21" borderId="0" xfId="0" applyNumberFormat="1" applyFont="1" applyFill="1"/>
    <xf numFmtId="168" fontId="21" fillId="21" borderId="0" xfId="0" applyNumberFormat="1" applyFont="1" applyFill="1"/>
    <xf numFmtId="0" fontId="13" fillId="0" borderId="0" xfId="0" applyFont="1" applyAlignment="1">
      <alignment horizontal="center" vertical="center"/>
    </xf>
    <xf numFmtId="0" fontId="10" fillId="0" borderId="0" xfId="0" applyFont="1"/>
    <xf numFmtId="2" fontId="9" fillId="8" borderId="19" xfId="0" applyNumberFormat="1" applyFont="1" applyFill="1" applyBorder="1" applyAlignment="1">
      <alignment horizontal="center" vertical="center"/>
    </xf>
    <xf numFmtId="0" fontId="5" fillId="25" borderId="0" xfId="0" applyFont="1" applyFill="1"/>
    <xf numFmtId="1" fontId="5" fillId="6" borderId="0" xfId="2" applyNumberFormat="1" applyFont="1" applyFill="1"/>
    <xf numFmtId="1" fontId="4" fillId="6" borderId="0" xfId="0" applyNumberFormat="1" applyFont="1" applyFill="1"/>
    <xf numFmtId="1" fontId="5" fillId="6" borderId="0" xfId="0" applyNumberFormat="1" applyFont="1" applyFill="1"/>
    <xf numFmtId="2" fontId="9" fillId="8" borderId="3" xfId="0" applyNumberFormat="1" applyFont="1" applyFill="1" applyBorder="1" applyAlignment="1">
      <alignment horizontal="center" vertical="center"/>
    </xf>
    <xf numFmtId="0" fontId="5" fillId="26" borderId="0" xfId="0" applyFont="1" applyFill="1"/>
    <xf numFmtId="168" fontId="4" fillId="26" borderId="0" xfId="0" applyNumberFormat="1" applyFont="1" applyFill="1"/>
    <xf numFmtId="1" fontId="5" fillId="26" borderId="0" xfId="2" applyNumberFormat="1" applyFont="1" applyFill="1"/>
    <xf numFmtId="9" fontId="9" fillId="0" borderId="0" xfId="1" applyFont="1" applyFill="1" applyBorder="1" applyAlignment="1">
      <alignment horizontal="center" vertical="center"/>
    </xf>
    <xf numFmtId="0" fontId="31" fillId="0" borderId="0" xfId="0" applyFont="1" applyAlignment="1">
      <alignment horizontal="left" vertical="center"/>
    </xf>
    <xf numFmtId="1" fontId="5" fillId="21" borderId="0" xfId="2" applyNumberFormat="1" applyFont="1" applyFill="1"/>
    <xf numFmtId="0" fontId="32" fillId="0" borderId="0" xfId="0" applyFont="1"/>
    <xf numFmtId="0" fontId="33" fillId="0" borderId="0" xfId="0" applyFont="1"/>
    <xf numFmtId="0" fontId="8" fillId="27" borderId="0" xfId="0" applyFont="1" applyFill="1"/>
    <xf numFmtId="0" fontId="10" fillId="13" borderId="32" xfId="0" applyNumberFormat="1" applyFont="1" applyFill="1" applyBorder="1" applyAlignment="1">
      <alignment horizontal="left" vertical="center" wrapText="1" indent="1"/>
    </xf>
    <xf numFmtId="0" fontId="10" fillId="13" borderId="33" xfId="0" applyNumberFormat="1" applyFont="1" applyFill="1" applyBorder="1" applyAlignment="1">
      <alignment horizontal="left" vertical="center" wrapText="1" indent="1"/>
    </xf>
    <xf numFmtId="0" fontId="17" fillId="16" borderId="32" xfId="0" applyNumberFormat="1" applyFont="1" applyFill="1" applyBorder="1" applyAlignment="1">
      <alignment horizontal="left" vertical="center" wrapText="1" indent="1"/>
    </xf>
    <xf numFmtId="0" fontId="17" fillId="16" borderId="33" xfId="0" applyNumberFormat="1" applyFont="1" applyFill="1" applyBorder="1" applyAlignment="1">
      <alignment horizontal="left" vertical="center" wrapText="1" indent="1"/>
    </xf>
    <xf numFmtId="0" fontId="17" fillId="13" borderId="32" xfId="0" applyNumberFormat="1" applyFont="1" applyFill="1" applyBorder="1" applyAlignment="1">
      <alignment horizontal="left" vertical="center" wrapText="1" indent="1"/>
    </xf>
    <xf numFmtId="0" fontId="18" fillId="13" borderId="33" xfId="0" applyNumberFormat="1" applyFont="1" applyFill="1" applyBorder="1" applyAlignment="1">
      <alignment horizontal="left" vertical="center" wrapText="1" indent="1"/>
    </xf>
    <xf numFmtId="0" fontId="19" fillId="13" borderId="33" xfId="0" applyNumberFormat="1" applyFont="1" applyFill="1" applyBorder="1" applyAlignment="1">
      <alignment horizontal="left" vertical="center" wrapText="1" indent="1"/>
    </xf>
    <xf numFmtId="0" fontId="8" fillId="5" borderId="0" xfId="0" applyNumberFormat="1" applyFont="1" applyFill="1" applyBorder="1" applyAlignment="1">
      <alignment horizontal="left" vertical="center" indent="1"/>
    </xf>
    <xf numFmtId="0" fontId="8" fillId="5" borderId="0" xfId="0" applyNumberFormat="1" applyFont="1" applyFill="1" applyAlignment="1">
      <alignment horizontal="left" vertical="center" indent="1"/>
    </xf>
    <xf numFmtId="0" fontId="8" fillId="11" borderId="31" xfId="0" applyNumberFormat="1" applyFont="1" applyFill="1" applyBorder="1" applyAlignment="1">
      <alignment horizontal="left" indent="1"/>
    </xf>
    <xf numFmtId="0" fontId="8" fillId="11" borderId="0" xfId="0" applyNumberFormat="1" applyFont="1" applyFill="1" applyAlignment="1">
      <alignment horizontal="left" indent="1"/>
    </xf>
    <xf numFmtId="0" fontId="8" fillId="12" borderId="31" xfId="0" applyNumberFormat="1" applyFont="1" applyFill="1" applyBorder="1" applyAlignment="1">
      <alignment horizontal="left" indent="1"/>
    </xf>
    <xf numFmtId="0" fontId="8" fillId="0" borderId="0" xfId="0" applyNumberFormat="1" applyFont="1" applyAlignment="1">
      <alignment horizontal="left" indent="1"/>
    </xf>
    <xf numFmtId="3" fontId="8" fillId="11" borderId="0" xfId="0" applyNumberFormat="1" applyFont="1" applyFill="1" applyBorder="1" applyAlignment="1">
      <alignment horizontal="right" indent="1"/>
    </xf>
    <xf numFmtId="3" fontId="8" fillId="11" borderId="0" xfId="0" applyNumberFormat="1" applyFont="1" applyFill="1" applyAlignment="1">
      <alignment horizontal="right" indent="1"/>
    </xf>
    <xf numFmtId="171" fontId="8" fillId="12" borderId="0" xfId="0" applyNumberFormat="1" applyFont="1" applyFill="1" applyAlignment="1">
      <alignment horizontal="right" indent="1"/>
    </xf>
    <xf numFmtId="166" fontId="8" fillId="12" borderId="0" xfId="1" applyNumberFormat="1" applyFont="1" applyFill="1" applyAlignment="1">
      <alignment horizontal="right" indent="1"/>
    </xf>
    <xf numFmtId="3" fontId="8" fillId="4" borderId="31" xfId="1" applyNumberFormat="1" applyFont="1" applyFill="1" applyBorder="1" applyAlignment="1">
      <alignment horizontal="right" indent="1"/>
    </xf>
    <xf numFmtId="3" fontId="8" fillId="4" borderId="0" xfId="1" applyNumberFormat="1" applyFont="1" applyFill="1" applyAlignment="1">
      <alignment horizontal="right" indent="1"/>
    </xf>
    <xf numFmtId="3" fontId="8" fillId="4" borderId="0" xfId="0" applyNumberFormat="1" applyFont="1" applyFill="1" applyBorder="1" applyAlignment="1">
      <alignment horizontal="right" indent="1"/>
    </xf>
    <xf numFmtId="3" fontId="8" fillId="9" borderId="31" xfId="0" applyNumberFormat="1" applyFont="1" applyFill="1" applyBorder="1" applyAlignment="1">
      <alignment horizontal="right" indent="1"/>
    </xf>
    <xf numFmtId="3" fontId="8" fillId="6" borderId="0" xfId="0" applyNumberFormat="1" applyFont="1" applyFill="1" applyAlignment="1">
      <alignment horizontal="right" indent="1"/>
    </xf>
    <xf numFmtId="3" fontId="8" fillId="7" borderId="0" xfId="0" applyNumberFormat="1" applyFont="1" applyFill="1" applyAlignment="1">
      <alignment horizontal="right" indent="1"/>
    </xf>
    <xf numFmtId="0" fontId="19" fillId="13" borderId="38" xfId="0" applyNumberFormat="1" applyFont="1" applyFill="1" applyBorder="1" applyAlignment="1">
      <alignment horizontal="left" vertical="center" wrapText="1" indent="1"/>
    </xf>
    <xf numFmtId="3" fontId="8" fillId="7" borderId="37" xfId="0" applyNumberFormat="1" applyFont="1" applyFill="1" applyBorder="1" applyAlignment="1">
      <alignment horizontal="right" indent="1"/>
    </xf>
    <xf numFmtId="0" fontId="8" fillId="0" borderId="0" xfId="0" applyFont="1" applyFill="1" applyBorder="1"/>
    <xf numFmtId="0" fontId="10" fillId="0" borderId="0" xfId="0" applyNumberFormat="1" applyFont="1" applyFill="1" applyBorder="1" applyAlignment="1">
      <alignment horizontal="left" vertical="center" indent="1"/>
    </xf>
    <xf numFmtId="0" fontId="8" fillId="0" borderId="0" xfId="0" applyFont="1" applyFill="1" applyBorder="1" applyAlignment="1">
      <alignment horizontal="center" vertical="center"/>
    </xf>
    <xf numFmtId="1" fontId="8" fillId="0" borderId="0" xfId="0" applyNumberFormat="1" applyFont="1" applyFill="1" applyBorder="1"/>
    <xf numFmtId="165" fontId="8" fillId="0" borderId="0" xfId="0" applyNumberFormat="1" applyFont="1" applyFill="1" applyBorder="1"/>
    <xf numFmtId="166" fontId="8" fillId="0" borderId="0" xfId="1" applyNumberFormat="1" applyFont="1" applyFill="1" applyBorder="1"/>
    <xf numFmtId="1" fontId="8" fillId="0" borderId="0" xfId="1" applyNumberFormat="1" applyFont="1" applyFill="1" applyBorder="1"/>
    <xf numFmtId="2" fontId="8" fillId="0" borderId="0" xfId="0" applyNumberFormat="1" applyFont="1" applyFill="1" applyBorder="1"/>
    <xf numFmtId="0" fontId="8" fillId="5" borderId="35" xfId="0" applyNumberFormat="1" applyFont="1" applyFill="1" applyBorder="1" applyAlignment="1">
      <alignment horizontal="left" vertical="center" indent="1"/>
    </xf>
    <xf numFmtId="0" fontId="8" fillId="11" borderId="34" xfId="0" applyNumberFormat="1" applyFont="1" applyFill="1" applyBorder="1" applyAlignment="1">
      <alignment horizontal="left" indent="1"/>
    </xf>
    <xf numFmtId="3" fontId="8" fillId="11" borderId="35" xfId="0" applyNumberFormat="1" applyFont="1" applyFill="1" applyBorder="1" applyAlignment="1">
      <alignment horizontal="right" indent="1"/>
    </xf>
    <xf numFmtId="0" fontId="8" fillId="11" borderId="35" xfId="0" applyNumberFormat="1" applyFont="1" applyFill="1" applyBorder="1" applyAlignment="1">
      <alignment horizontal="left" indent="1"/>
    </xf>
    <xf numFmtId="0" fontId="8" fillId="12" borderId="34" xfId="0" applyNumberFormat="1" applyFont="1" applyFill="1" applyBorder="1" applyAlignment="1">
      <alignment horizontal="left" indent="1"/>
    </xf>
    <xf numFmtId="171" fontId="8" fillId="12" borderId="35" xfId="0" applyNumberFormat="1" applyFont="1" applyFill="1" applyBorder="1" applyAlignment="1">
      <alignment horizontal="right" indent="1"/>
    </xf>
    <xf numFmtId="166" fontId="8" fillId="12" borderId="35" xfId="1" applyNumberFormat="1" applyFont="1" applyFill="1" applyBorder="1" applyAlignment="1">
      <alignment horizontal="right" indent="1"/>
    </xf>
    <xf numFmtId="3" fontId="8" fillId="4" borderId="34" xfId="1" applyNumberFormat="1" applyFont="1" applyFill="1" applyBorder="1" applyAlignment="1">
      <alignment horizontal="right" indent="1"/>
    </xf>
    <xf numFmtId="3" fontId="8" fillId="4" borderId="35" xfId="1" applyNumberFormat="1" applyFont="1" applyFill="1" applyBorder="1" applyAlignment="1">
      <alignment horizontal="right" indent="1"/>
    </xf>
    <xf numFmtId="3" fontId="8" fillId="4" borderId="35" xfId="0" applyNumberFormat="1" applyFont="1" applyFill="1" applyBorder="1" applyAlignment="1">
      <alignment horizontal="right" indent="1"/>
    </xf>
    <xf numFmtId="3" fontId="8" fillId="9" borderId="34" xfId="0" applyNumberFormat="1" applyFont="1" applyFill="1" applyBorder="1" applyAlignment="1">
      <alignment horizontal="right" indent="1"/>
    </xf>
    <xf numFmtId="3" fontId="8" fillId="6" borderId="35" xfId="0" applyNumberFormat="1" applyFont="1" applyFill="1" applyBorder="1" applyAlignment="1">
      <alignment horizontal="right" indent="1"/>
    </xf>
    <xf numFmtId="3" fontId="8" fillId="7" borderId="35" xfId="0" applyNumberFormat="1" applyFont="1" applyFill="1" applyBorder="1" applyAlignment="1">
      <alignment horizontal="right" indent="1"/>
    </xf>
    <xf numFmtId="3" fontId="8" fillId="7" borderId="36" xfId="0" applyNumberFormat="1" applyFont="1" applyFill="1" applyBorder="1" applyAlignment="1">
      <alignment horizontal="right" indent="1"/>
    </xf>
    <xf numFmtId="3" fontId="8" fillId="6" borderId="0" xfId="0" applyNumberFormat="1" applyFont="1" applyFill="1" applyBorder="1" applyAlignment="1">
      <alignment horizontal="right" indent="1"/>
    </xf>
    <xf numFmtId="3" fontId="8" fillId="7" borderId="0" xfId="0" applyNumberFormat="1" applyFont="1" applyFill="1" applyBorder="1" applyAlignment="1">
      <alignment horizontal="right" indent="1"/>
    </xf>
    <xf numFmtId="0" fontId="10" fillId="0" borderId="0" xfId="0" applyFont="1" applyFill="1" applyBorder="1" applyAlignment="1">
      <alignment vertical="center" wrapText="1"/>
    </xf>
    <xf numFmtId="1" fontId="8" fillId="13" borderId="0" xfId="0" applyNumberFormat="1" applyFont="1" applyFill="1"/>
    <xf numFmtId="0" fontId="10" fillId="0" borderId="2" xfId="0" applyFont="1" applyFill="1" applyBorder="1" applyAlignment="1">
      <alignment vertical="center"/>
    </xf>
    <xf numFmtId="0" fontId="5" fillId="0" borderId="0" xfId="0" applyFont="1" applyFill="1" applyBorder="1" applyAlignment="1"/>
    <xf numFmtId="0" fontId="5" fillId="4" borderId="0" xfId="0" applyFont="1" applyFill="1" applyBorder="1"/>
    <xf numFmtId="0" fontId="5" fillId="4" borderId="1" xfId="0" applyFont="1" applyFill="1" applyBorder="1"/>
    <xf numFmtId="0" fontId="5" fillId="4" borderId="0" xfId="0" applyNumberFormat="1" applyFont="1" applyFill="1" applyBorder="1" applyAlignment="1">
      <alignment horizontal="left" vertical="center" wrapText="1" indent="1"/>
    </xf>
    <xf numFmtId="3" fontId="5" fillId="0" borderId="0" xfId="0" applyNumberFormat="1" applyFont="1" applyBorder="1"/>
    <xf numFmtId="171" fontId="5" fillId="0" borderId="0" xfId="0" applyNumberFormat="1" applyFont="1" applyBorder="1"/>
    <xf numFmtId="0" fontId="4" fillId="4" borderId="39" xfId="0" applyFont="1" applyFill="1" applyBorder="1"/>
    <xf numFmtId="0" fontId="4" fillId="4" borderId="40" xfId="0" applyFont="1" applyFill="1" applyBorder="1" applyAlignment="1">
      <alignment horizontal="right"/>
    </xf>
    <xf numFmtId="0" fontId="4" fillId="4" borderId="41" xfId="0" applyFont="1" applyFill="1" applyBorder="1" applyAlignment="1">
      <alignment horizontal="right"/>
    </xf>
    <xf numFmtId="0" fontId="4" fillId="4" borderId="31" xfId="0" applyFont="1" applyFill="1" applyBorder="1" applyAlignment="1">
      <alignment horizontal="right"/>
    </xf>
    <xf numFmtId="0" fontId="4" fillId="4" borderId="37" xfId="0" applyFont="1" applyFill="1" applyBorder="1" applyAlignment="1">
      <alignment horizontal="right"/>
    </xf>
    <xf numFmtId="0" fontId="5" fillId="4" borderId="31" xfId="0" applyFont="1" applyFill="1" applyBorder="1"/>
    <xf numFmtId="3" fontId="5" fillId="4" borderId="37" xfId="0" applyNumberFormat="1" applyFont="1" applyFill="1" applyBorder="1"/>
    <xf numFmtId="0" fontId="5" fillId="4" borderId="34" xfId="0" applyFont="1" applyFill="1" applyBorder="1"/>
    <xf numFmtId="3" fontId="5" fillId="0" borderId="35" xfId="0" applyNumberFormat="1" applyFont="1" applyBorder="1"/>
    <xf numFmtId="3" fontId="5" fillId="4" borderId="36" xfId="0" applyNumberFormat="1" applyFont="1" applyFill="1" applyBorder="1"/>
    <xf numFmtId="171" fontId="5" fillId="0" borderId="35" xfId="0" applyNumberFormat="1" applyFont="1" applyBorder="1"/>
    <xf numFmtId="0" fontId="9" fillId="0" borderId="0" xfId="0" applyFont="1" applyFill="1" applyBorder="1"/>
    <xf numFmtId="0" fontId="0" fillId="0" borderId="0" xfId="0" applyFill="1" applyBorder="1"/>
    <xf numFmtId="0" fontId="9" fillId="0" borderId="0" xfId="0" applyFont="1" applyFill="1" applyBorder="1" applyAlignment="1"/>
    <xf numFmtId="0" fontId="22" fillId="14" borderId="30" xfId="0" applyFont="1" applyFill="1" applyBorder="1" applyAlignment="1">
      <alignment horizontal="center" wrapText="1"/>
    </xf>
    <xf numFmtId="0" fontId="22" fillId="14" borderId="30" xfId="0" applyFont="1" applyFill="1" applyBorder="1" applyAlignment="1">
      <alignment horizontal="center"/>
    </xf>
    <xf numFmtId="0" fontId="9" fillId="2" borderId="30" xfId="0" applyFont="1" applyFill="1" applyBorder="1" applyAlignment="1">
      <alignment horizontal="center" vertical="center"/>
    </xf>
    <xf numFmtId="1" fontId="22" fillId="2" borderId="30" xfId="0" applyNumberFormat="1" applyFont="1" applyFill="1" applyBorder="1" applyAlignment="1">
      <alignment horizontal="center" vertical="center"/>
    </xf>
    <xf numFmtId="0" fontId="34" fillId="2" borderId="30" xfId="0" applyFont="1" applyFill="1" applyBorder="1" applyAlignment="1">
      <alignment horizontal="center" vertical="center" wrapText="1"/>
    </xf>
    <xf numFmtId="1" fontId="34" fillId="2" borderId="30" xfId="0" applyNumberFormat="1" applyFont="1" applyFill="1" applyBorder="1" applyAlignment="1">
      <alignment horizontal="center" vertical="center"/>
    </xf>
    <xf numFmtId="0" fontId="34" fillId="2" borderId="30" xfId="0" applyFont="1" applyFill="1" applyBorder="1" applyAlignment="1">
      <alignment horizontal="center" vertical="center"/>
    </xf>
    <xf numFmtId="9" fontId="34" fillId="2" borderId="30" xfId="1" applyFont="1" applyFill="1" applyBorder="1" applyAlignment="1">
      <alignment horizontal="center" vertical="center"/>
    </xf>
    <xf numFmtId="0" fontId="16" fillId="14" borderId="30" xfId="0" applyFont="1" applyFill="1" applyBorder="1" applyAlignment="1">
      <alignment horizontal="center" vertical="center"/>
    </xf>
    <xf numFmtId="0" fontId="0" fillId="14" borderId="30" xfId="0" applyFill="1" applyBorder="1" applyAlignment="1">
      <alignment horizontal="center" vertical="center"/>
    </xf>
    <xf numFmtId="0" fontId="0" fillId="14" borderId="30" xfId="0" applyFill="1" applyBorder="1" applyAlignment="1">
      <alignment horizontal="center"/>
    </xf>
    <xf numFmtId="0" fontId="0" fillId="14" borderId="30" xfId="0" applyFill="1" applyBorder="1"/>
    <xf numFmtId="0" fontId="0" fillId="0" borderId="0" xfId="0" applyBorder="1" applyAlignment="1"/>
    <xf numFmtId="0" fontId="5" fillId="4" borderId="31" xfId="0" applyFont="1" applyFill="1" applyBorder="1" applyAlignment="1">
      <alignment horizontal="center"/>
    </xf>
    <xf numFmtId="1" fontId="5" fillId="0" borderId="37" xfId="0" applyNumberFormat="1" applyFont="1" applyBorder="1"/>
    <xf numFmtId="0" fontId="4" fillId="4" borderId="39" xfId="0" applyFont="1" applyFill="1" applyBorder="1" applyAlignment="1">
      <alignment horizontal="right"/>
    </xf>
    <xf numFmtId="1" fontId="5" fillId="0" borderId="31" xfId="0" applyNumberFormat="1" applyFont="1" applyBorder="1"/>
    <xf numFmtId="0" fontId="4" fillId="6" borderId="34" xfId="0" applyFont="1" applyFill="1" applyBorder="1" applyAlignment="1">
      <alignment horizontal="right"/>
    </xf>
    <xf numFmtId="1" fontId="5" fillId="6" borderId="35" xfId="0" applyNumberFormat="1" applyFont="1" applyFill="1" applyBorder="1" applyAlignment="1">
      <alignment horizontal="right"/>
    </xf>
    <xf numFmtId="1" fontId="5" fillId="6" borderId="36" xfId="0" applyNumberFormat="1" applyFont="1" applyFill="1" applyBorder="1" applyAlignment="1">
      <alignment horizontal="right"/>
    </xf>
    <xf numFmtId="0" fontId="9" fillId="0" borderId="39" xfId="0" applyFont="1" applyBorder="1" applyAlignment="1">
      <alignment horizontal="center" vertical="center" wrapText="1"/>
    </xf>
    <xf numFmtId="0" fontId="9" fillId="0" borderId="31" xfId="0" applyFont="1" applyBorder="1" applyAlignment="1">
      <alignment horizontal="center" vertical="center" wrapText="1"/>
    </xf>
    <xf numFmtId="0" fontId="0" fillId="0" borderId="37" xfId="0" applyFill="1" applyBorder="1"/>
    <xf numFmtId="0" fontId="0" fillId="0" borderId="37" xfId="0" applyBorder="1"/>
    <xf numFmtId="0" fontId="9" fillId="0" borderId="34" xfId="0" applyFont="1" applyBorder="1" applyAlignment="1">
      <alignment horizontal="center" vertical="center" wrapText="1"/>
    </xf>
    <xf numFmtId="0" fontId="0" fillId="0" borderId="36" xfId="0" applyBorder="1"/>
    <xf numFmtId="0" fontId="0" fillId="0" borderId="0" xfId="0" applyBorder="1" applyAlignment="1">
      <alignment horizontal="center" vertical="center"/>
    </xf>
    <xf numFmtId="0" fontId="9" fillId="0" borderId="31" xfId="0" applyFont="1" applyBorder="1" applyAlignment="1">
      <alignment horizontal="center"/>
    </xf>
    <xf numFmtId="0" fontId="0" fillId="0" borderId="31" xfId="0" applyBorder="1"/>
    <xf numFmtId="0" fontId="0" fillId="0" borderId="34" xfId="0" applyBorder="1"/>
    <xf numFmtId="0" fontId="9" fillId="0" borderId="31" xfId="0" applyFont="1" applyBorder="1" applyAlignment="1">
      <alignment horizontal="center" vertical="center"/>
    </xf>
    <xf numFmtId="0" fontId="9" fillId="0" borderId="37" xfId="0" applyFont="1" applyBorder="1" applyAlignment="1">
      <alignment horizontal="center" vertical="center"/>
    </xf>
    <xf numFmtId="0" fontId="0" fillId="0" borderId="31" xfId="0" applyBorder="1" applyAlignment="1">
      <alignment horizontal="center" vertical="center"/>
    </xf>
    <xf numFmtId="0" fontId="0" fillId="0" borderId="37" xfId="0" applyBorder="1" applyAlignment="1">
      <alignment horizontal="center" vertical="center"/>
    </xf>
    <xf numFmtId="0" fontId="0" fillId="0" borderId="34" xfId="0" applyBorder="1" applyAlignment="1"/>
    <xf numFmtId="0" fontId="0" fillId="0" borderId="36" xfId="0" applyBorder="1" applyAlignment="1"/>
    <xf numFmtId="1" fontId="5" fillId="0" borderId="31" xfId="0" applyNumberFormat="1" applyFont="1" applyFill="1" applyBorder="1"/>
    <xf numFmtId="1" fontId="5" fillId="0" borderId="37" xfId="0" applyNumberFormat="1" applyFont="1" applyFill="1" applyBorder="1"/>
    <xf numFmtId="1" fontId="5" fillId="0" borderId="34" xfId="0" applyNumberFormat="1" applyFont="1" applyFill="1" applyBorder="1"/>
    <xf numFmtId="1" fontId="5" fillId="0" borderId="36" xfId="0" applyNumberFormat="1" applyFont="1" applyFill="1" applyBorder="1"/>
    <xf numFmtId="0" fontId="9" fillId="8" borderId="30" xfId="0" applyFont="1" applyFill="1" applyBorder="1" applyAlignment="1">
      <alignment horizontal="center" vertical="center" wrapText="1"/>
    </xf>
    <xf numFmtId="0" fontId="9" fillId="8" borderId="30" xfId="0" applyFont="1" applyFill="1" applyBorder="1" applyAlignment="1">
      <alignment horizontal="center" vertical="center"/>
    </xf>
    <xf numFmtId="0" fontId="9" fillId="0" borderId="0" xfId="0" applyFont="1" applyBorder="1" applyAlignment="1">
      <alignment horizontal="center" vertical="center" wrapText="1"/>
    </xf>
    <xf numFmtId="166" fontId="9" fillId="8" borderId="30" xfId="1" applyNumberFormat="1" applyFont="1" applyFill="1" applyBorder="1" applyAlignment="1">
      <alignment horizontal="center" vertical="center"/>
    </xf>
    <xf numFmtId="9" fontId="9" fillId="8" borderId="30" xfId="1" applyFont="1" applyFill="1" applyBorder="1" applyAlignment="1">
      <alignment horizontal="center" vertical="center"/>
    </xf>
    <xf numFmtId="9" fontId="9" fillId="15" borderId="30" xfId="1" applyNumberFormat="1" applyFont="1" applyFill="1" applyBorder="1" applyAlignment="1">
      <alignment horizontal="center" vertical="center"/>
    </xf>
    <xf numFmtId="0" fontId="9" fillId="8" borderId="0" xfId="0" applyFont="1" applyFill="1" applyAlignment="1">
      <alignment horizontal="center" vertical="center"/>
    </xf>
    <xf numFmtId="165" fontId="5" fillId="8" borderId="0" xfId="0" applyNumberFormat="1" applyFont="1" applyFill="1" applyAlignment="1">
      <alignment horizontal="center" vertical="center"/>
    </xf>
    <xf numFmtId="3" fontId="9" fillId="8" borderId="0" xfId="0" applyNumberFormat="1" applyFont="1" applyFill="1" applyAlignment="1">
      <alignment horizontal="center" vertical="center"/>
    </xf>
    <xf numFmtId="9" fontId="9" fillId="8" borderId="0" xfId="1" applyFont="1" applyFill="1" applyAlignment="1">
      <alignment horizontal="center" vertical="center"/>
    </xf>
    <xf numFmtId="1" fontId="9" fillId="8" borderId="0" xfId="2" applyNumberFormat="1" applyFont="1" applyFill="1" applyAlignment="1">
      <alignment horizontal="center" vertical="center"/>
    </xf>
    <xf numFmtId="3" fontId="5" fillId="0" borderId="0" xfId="0" applyNumberFormat="1" applyFont="1"/>
    <xf numFmtId="168" fontId="5" fillId="5" borderId="0" xfId="0" applyNumberFormat="1" applyFont="1" applyFill="1"/>
    <xf numFmtId="0" fontId="4" fillId="0" borderId="0" xfId="0" applyFont="1" applyBorder="1"/>
    <xf numFmtId="1" fontId="5" fillId="0" borderId="0" xfId="2" applyNumberFormat="1" applyFont="1" applyFill="1" applyBorder="1"/>
    <xf numFmtId="9" fontId="5" fillId="0" borderId="0" xfId="1" applyFont="1" applyFill="1" applyBorder="1"/>
    <xf numFmtId="168" fontId="5" fillId="0" borderId="0" xfId="0" applyNumberFormat="1" applyFont="1" applyBorder="1"/>
    <xf numFmtId="168" fontId="5" fillId="0" borderId="43" xfId="0" applyNumberFormat="1" applyFont="1" applyBorder="1"/>
    <xf numFmtId="168" fontId="5" fillId="0" borderId="45" xfId="0" applyNumberFormat="1" applyFont="1" applyBorder="1"/>
    <xf numFmtId="168" fontId="5" fillId="0" borderId="46" xfId="0" applyNumberFormat="1" applyFont="1" applyBorder="1"/>
    <xf numFmtId="3" fontId="5" fillId="18" borderId="0" xfId="0" applyNumberFormat="1" applyFont="1" applyFill="1" applyBorder="1"/>
    <xf numFmtId="1" fontId="5" fillId="18" borderId="0" xfId="0" applyNumberFormat="1" applyFont="1" applyFill="1" applyBorder="1"/>
    <xf numFmtId="168" fontId="5" fillId="18" borderId="0" xfId="0" applyNumberFormat="1" applyFont="1" applyFill="1" applyBorder="1"/>
    <xf numFmtId="0" fontId="4" fillId="4" borderId="42" xfId="0" applyFont="1" applyFill="1" applyBorder="1" applyAlignment="1">
      <alignment horizontal="center"/>
    </xf>
    <xf numFmtId="0" fontId="4" fillId="4" borderId="44" xfId="0" applyFont="1" applyFill="1" applyBorder="1" applyAlignment="1">
      <alignment horizontal="center"/>
    </xf>
    <xf numFmtId="3" fontId="5" fillId="18" borderId="42" xfId="0" applyNumberFormat="1" applyFont="1" applyFill="1" applyBorder="1"/>
    <xf numFmtId="168" fontId="5" fillId="18" borderId="43" xfId="0" applyNumberFormat="1" applyFont="1" applyFill="1" applyBorder="1"/>
    <xf numFmtId="1" fontId="21" fillId="21" borderId="0" xfId="2" applyNumberFormat="1" applyFont="1" applyFill="1" applyAlignment="1">
      <alignment horizontal="center" vertical="center"/>
    </xf>
    <xf numFmtId="0" fontId="5" fillId="28" borderId="0" xfId="0" applyFont="1" applyFill="1" applyAlignment="1">
      <alignment horizontal="center" vertical="center"/>
    </xf>
    <xf numFmtId="0" fontId="14" fillId="28" borderId="0" xfId="0" applyFont="1" applyFill="1" applyAlignment="1">
      <alignment horizontal="center" vertical="center"/>
    </xf>
    <xf numFmtId="172" fontId="5" fillId="0" borderId="0" xfId="0" applyNumberFormat="1" applyFont="1"/>
    <xf numFmtId="0" fontId="5" fillId="4" borderId="0" xfId="0" applyNumberFormat="1" applyFont="1" applyFill="1" applyBorder="1" applyAlignment="1">
      <alignment horizontal="center" vertical="center" wrapText="1"/>
    </xf>
    <xf numFmtId="3" fontId="5" fillId="4" borderId="0" xfId="0" applyNumberFormat="1" applyFont="1" applyFill="1" applyBorder="1"/>
    <xf numFmtId="0" fontId="4" fillId="4" borderId="47" xfId="0" applyFont="1" applyFill="1" applyBorder="1" applyAlignment="1">
      <alignment horizontal="right"/>
    </xf>
    <xf numFmtId="0" fontId="4" fillId="4" borderId="48" xfId="0" applyFont="1" applyFill="1" applyBorder="1" applyAlignment="1">
      <alignment horizontal="right"/>
    </xf>
    <xf numFmtId="0" fontId="4" fillId="4" borderId="49" xfId="0" applyFont="1" applyFill="1" applyBorder="1" applyAlignment="1">
      <alignment horizontal="right"/>
    </xf>
    <xf numFmtId="0" fontId="5" fillId="4" borderId="50" xfId="0" applyNumberFormat="1" applyFont="1" applyFill="1" applyBorder="1" applyAlignment="1">
      <alignment horizontal="center" vertical="center" wrapText="1"/>
    </xf>
    <xf numFmtId="0" fontId="5" fillId="4" borderId="51" xfId="0" applyFont="1" applyFill="1" applyBorder="1" applyAlignment="1">
      <alignment horizontal="center" vertical="center" wrapText="1"/>
    </xf>
    <xf numFmtId="3" fontId="5" fillId="4" borderId="50" xfId="0" applyNumberFormat="1" applyFont="1" applyFill="1" applyBorder="1"/>
    <xf numFmtId="3" fontId="5" fillId="4" borderId="51" xfId="0" applyNumberFormat="1" applyFont="1" applyFill="1" applyBorder="1"/>
    <xf numFmtId="3" fontId="5" fillId="4" borderId="52" xfId="0" applyNumberFormat="1" applyFont="1" applyFill="1" applyBorder="1"/>
    <xf numFmtId="3" fontId="5" fillId="4" borderId="53" xfId="0" applyNumberFormat="1" applyFont="1" applyFill="1" applyBorder="1"/>
    <xf numFmtId="3" fontId="5" fillId="4" borderId="54" xfId="0" applyNumberFormat="1" applyFont="1" applyFill="1" applyBorder="1"/>
    <xf numFmtId="0" fontId="4" fillId="4" borderId="47" xfId="0" applyFont="1" applyFill="1" applyBorder="1"/>
    <xf numFmtId="0" fontId="4" fillId="4" borderId="50" xfId="0" applyFont="1" applyFill="1" applyBorder="1" applyAlignment="1">
      <alignment horizontal="right"/>
    </xf>
    <xf numFmtId="0" fontId="5" fillId="4" borderId="50" xfId="0" applyFont="1" applyFill="1" applyBorder="1"/>
    <xf numFmtId="0" fontId="5" fillId="4" borderId="52" xfId="0" applyFont="1" applyFill="1" applyBorder="1"/>
    <xf numFmtId="3" fontId="5" fillId="0" borderId="53" xfId="0" applyNumberFormat="1" applyFont="1" applyBorder="1"/>
    <xf numFmtId="0" fontId="36" fillId="4" borderId="0" xfId="0" applyFont="1" applyFill="1" applyBorder="1"/>
    <xf numFmtId="3" fontId="36" fillId="18" borderId="42" xfId="0" applyNumberFormat="1" applyFont="1" applyFill="1" applyBorder="1"/>
    <xf numFmtId="0" fontId="36" fillId="18" borderId="0" xfId="0" applyFont="1" applyFill="1" applyBorder="1"/>
    <xf numFmtId="1" fontId="36" fillId="18" borderId="0" xfId="0" applyNumberFormat="1" applyFont="1" applyFill="1" applyBorder="1"/>
    <xf numFmtId="168" fontId="36" fillId="18" borderId="0" xfId="0" applyNumberFormat="1" applyFont="1" applyFill="1" applyBorder="1"/>
    <xf numFmtId="168" fontId="36" fillId="18" borderId="43" xfId="0" applyNumberFormat="1" applyFont="1" applyFill="1" applyBorder="1"/>
    <xf numFmtId="0" fontId="36" fillId="4" borderId="45" xfId="0" applyFont="1" applyFill="1" applyBorder="1"/>
    <xf numFmtId="3" fontId="36" fillId="18" borderId="44" xfId="0" applyNumberFormat="1" applyFont="1" applyFill="1" applyBorder="1"/>
    <xf numFmtId="0" fontId="36" fillId="18" borderId="45" xfId="0" applyFont="1" applyFill="1" applyBorder="1"/>
    <xf numFmtId="1" fontId="36" fillId="18" borderId="45" xfId="0" applyNumberFormat="1" applyFont="1" applyFill="1" applyBorder="1"/>
    <xf numFmtId="168" fontId="36" fillId="18" borderId="45" xfId="0" applyNumberFormat="1" applyFont="1" applyFill="1" applyBorder="1"/>
    <xf numFmtId="168" fontId="36" fillId="18" borderId="46" xfId="0" applyNumberFormat="1" applyFont="1" applyFill="1" applyBorder="1"/>
    <xf numFmtId="0" fontId="4" fillId="5" borderId="55" xfId="0" applyFont="1" applyFill="1" applyBorder="1" applyAlignment="1">
      <alignment horizontal="center"/>
    </xf>
    <xf numFmtId="0" fontId="4" fillId="5" borderId="56" xfId="0" applyFont="1" applyFill="1" applyBorder="1" applyAlignment="1">
      <alignment horizontal="center" wrapText="1"/>
    </xf>
    <xf numFmtId="0" fontId="4" fillId="5" borderId="57" xfId="0" applyFont="1" applyFill="1" applyBorder="1" applyAlignment="1">
      <alignment horizontal="center" wrapText="1"/>
    </xf>
    <xf numFmtId="0" fontId="4" fillId="4" borderId="4" xfId="0" applyFont="1" applyFill="1" applyBorder="1" applyAlignment="1">
      <alignment horizontal="center"/>
    </xf>
    <xf numFmtId="0" fontId="5" fillId="4" borderId="5" xfId="0" applyFont="1" applyFill="1" applyBorder="1"/>
    <xf numFmtId="3" fontId="5" fillId="18" borderId="58" xfId="0" applyNumberFormat="1" applyFont="1" applyFill="1" applyBorder="1"/>
    <xf numFmtId="3" fontId="5" fillId="18" borderId="5" xfId="0" applyNumberFormat="1" applyFont="1" applyFill="1" applyBorder="1"/>
    <xf numFmtId="1" fontId="5" fillId="18" borderId="5" xfId="0" applyNumberFormat="1" applyFont="1" applyFill="1" applyBorder="1"/>
    <xf numFmtId="168" fontId="5" fillId="18" borderId="5" xfId="0" applyNumberFormat="1" applyFont="1" applyFill="1" applyBorder="1"/>
    <xf numFmtId="168" fontId="5" fillId="18" borderId="59" xfId="0" applyNumberFormat="1" applyFont="1" applyFill="1" applyBorder="1"/>
    <xf numFmtId="168" fontId="5" fillId="0" borderId="5" xfId="0" applyNumberFormat="1" applyFont="1" applyBorder="1"/>
    <xf numFmtId="168" fontId="5" fillId="0" borderId="6" xfId="0" applyNumberFormat="1" applyFont="1" applyBorder="1"/>
    <xf numFmtId="0" fontId="4" fillId="4" borderId="7" xfId="0" applyFont="1" applyFill="1" applyBorder="1" applyAlignment="1">
      <alignment horizontal="center"/>
    </xf>
    <xf numFmtId="168" fontId="5" fillId="0" borderId="8" xfId="0" applyNumberFormat="1" applyFont="1" applyBorder="1"/>
    <xf numFmtId="0" fontId="4" fillId="4" borderId="9" xfId="0" applyFont="1" applyFill="1" applyBorder="1" applyAlignment="1">
      <alignment horizontal="center"/>
    </xf>
    <xf numFmtId="0" fontId="36" fillId="4" borderId="1" xfId="0" applyFont="1" applyFill="1" applyBorder="1"/>
    <xf numFmtId="3" fontId="36" fillId="18" borderId="60" xfId="0" applyNumberFormat="1" applyFont="1" applyFill="1" applyBorder="1"/>
    <xf numFmtId="0" fontId="36" fillId="18" borderId="1" xfId="0" applyFont="1" applyFill="1" applyBorder="1"/>
    <xf numFmtId="1" fontId="36" fillId="18" borderId="1" xfId="0" applyNumberFormat="1" applyFont="1" applyFill="1" applyBorder="1"/>
    <xf numFmtId="168" fontId="36" fillId="18" borderId="1" xfId="0" applyNumberFormat="1" applyFont="1" applyFill="1" applyBorder="1"/>
    <xf numFmtId="168" fontId="36" fillId="18" borderId="61" xfId="0" applyNumberFormat="1" applyFont="1" applyFill="1" applyBorder="1"/>
    <xf numFmtId="168" fontId="5" fillId="0" borderId="1" xfId="0" applyNumberFormat="1" applyFont="1" applyBorder="1"/>
    <xf numFmtId="168" fontId="5" fillId="0" borderId="10" xfId="0" applyNumberFormat="1" applyFont="1" applyBorder="1"/>
    <xf numFmtId="3" fontId="5" fillId="4" borderId="0" xfId="0" applyNumberFormat="1" applyFont="1" applyFill="1"/>
    <xf numFmtId="3" fontId="5" fillId="14" borderId="0" xfId="0" applyNumberFormat="1" applyFont="1" applyFill="1"/>
    <xf numFmtId="0" fontId="9" fillId="8" borderId="0" xfId="0" applyFont="1" applyFill="1"/>
    <xf numFmtId="0" fontId="5" fillId="8" borderId="0" xfId="0" applyFont="1" applyFill="1"/>
    <xf numFmtId="0" fontId="37" fillId="0" borderId="0" xfId="0" applyFont="1" applyAlignment="1">
      <alignment vertical="center" wrapText="1"/>
    </xf>
    <xf numFmtId="168" fontId="8" fillId="11" borderId="0" xfId="0" applyNumberFormat="1" applyFont="1" applyFill="1" applyAlignment="1">
      <alignment horizontal="right" indent="1"/>
    </xf>
    <xf numFmtId="168" fontId="38" fillId="11" borderId="0" xfId="0" applyNumberFormat="1" applyFont="1" applyFill="1" applyAlignment="1">
      <alignment horizontal="right" indent="1"/>
    </xf>
    <xf numFmtId="0" fontId="38" fillId="0" borderId="0" xfId="0" applyFont="1"/>
    <xf numFmtId="0" fontId="39" fillId="0" borderId="0" xfId="0" applyFont="1"/>
    <xf numFmtId="0" fontId="40" fillId="0" borderId="0" xfId="0" applyFont="1" applyFill="1" applyBorder="1" applyAlignment="1">
      <alignment vertical="center" wrapText="1"/>
    </xf>
    <xf numFmtId="0" fontId="40" fillId="0" borderId="0" xfId="0" applyFont="1" applyAlignment="1">
      <alignment vertical="center" wrapText="1"/>
    </xf>
    <xf numFmtId="0" fontId="38" fillId="0" borderId="1" xfId="0" applyFont="1" applyBorder="1"/>
    <xf numFmtId="0" fontId="16" fillId="14" borderId="62" xfId="0" applyFont="1" applyFill="1" applyBorder="1" applyAlignment="1">
      <alignment horizontal="center" vertical="center"/>
    </xf>
    <xf numFmtId="1" fontId="5" fillId="0" borderId="0" xfId="0" applyNumberFormat="1" applyFont="1"/>
    <xf numFmtId="165" fontId="15" fillId="0" borderId="0" xfId="0" applyNumberFormat="1" applyFont="1" applyFill="1" applyBorder="1"/>
    <xf numFmtId="9" fontId="8" fillId="12" borderId="0" xfId="1" applyFont="1" applyFill="1" applyAlignment="1">
      <alignment horizontal="right" indent="1"/>
    </xf>
    <xf numFmtId="0" fontId="10" fillId="13" borderId="33" xfId="0" applyNumberFormat="1" applyFont="1" applyFill="1" applyBorder="1" applyAlignment="1">
      <alignment horizontal="left" vertical="center" indent="1"/>
    </xf>
    <xf numFmtId="3" fontId="5" fillId="11" borderId="0" xfId="0" applyNumberFormat="1" applyFont="1" applyFill="1" applyBorder="1" applyAlignment="1">
      <alignment horizontal="right" indent="1"/>
    </xf>
    <xf numFmtId="1" fontId="9" fillId="0" borderId="0" xfId="0" applyNumberFormat="1" applyFont="1" applyFill="1" applyBorder="1"/>
    <xf numFmtId="3" fontId="8" fillId="0" borderId="0" xfId="0" applyNumberFormat="1" applyFont="1" applyFill="1" applyBorder="1" applyAlignment="1">
      <alignment horizontal="right" indent="1"/>
    </xf>
    <xf numFmtId="166" fontId="8" fillId="0" borderId="0" xfId="1" applyNumberFormat="1" applyFont="1" applyFill="1" applyAlignment="1">
      <alignment horizontal="right" indent="1"/>
    </xf>
    <xf numFmtId="3" fontId="8" fillId="0" borderId="0" xfId="0" applyNumberFormat="1" applyFont="1" applyFill="1" applyAlignment="1">
      <alignment horizontal="right" indent="1"/>
    </xf>
    <xf numFmtId="168" fontId="8" fillId="0" borderId="0" xfId="0" applyNumberFormat="1" applyFont="1" applyFill="1" applyAlignment="1">
      <alignment horizontal="right" indent="1"/>
    </xf>
    <xf numFmtId="168" fontId="38" fillId="0" borderId="0" xfId="0" applyNumberFormat="1" applyFont="1" applyFill="1" applyAlignment="1">
      <alignment horizontal="right" indent="1"/>
    </xf>
    <xf numFmtId="2" fontId="8" fillId="0" borderId="0" xfId="0" applyNumberFormat="1" applyFont="1"/>
    <xf numFmtId="3" fontId="21" fillId="21" borderId="0" xfId="0" applyNumberFormat="1" applyFont="1" applyFill="1"/>
    <xf numFmtId="0" fontId="13" fillId="10" borderId="63" xfId="0" applyFont="1" applyFill="1" applyBorder="1" applyAlignment="1">
      <alignment horizontal="center" vertical="top"/>
    </xf>
    <xf numFmtId="0" fontId="9" fillId="8" borderId="63" xfId="0" applyFont="1" applyFill="1" applyBorder="1" applyAlignment="1">
      <alignment vertical="top"/>
    </xf>
    <xf numFmtId="0" fontId="5" fillId="8" borderId="63" xfId="0" applyFont="1" applyFill="1" applyBorder="1" applyAlignment="1">
      <alignment vertical="top"/>
    </xf>
    <xf numFmtId="0" fontId="5" fillId="28" borderId="63" xfId="0" applyFont="1" applyFill="1" applyBorder="1" applyAlignment="1">
      <alignment horizontal="center" vertical="top"/>
    </xf>
    <xf numFmtId="0" fontId="15" fillId="28" borderId="63" xfId="0" applyFont="1" applyFill="1" applyBorder="1" applyAlignment="1">
      <alignment horizontal="center" vertical="top"/>
    </xf>
    <xf numFmtId="0" fontId="9" fillId="8" borderId="63" xfId="0" applyFont="1" applyFill="1" applyBorder="1" applyAlignment="1">
      <alignment horizontal="center" vertical="top"/>
    </xf>
    <xf numFmtId="165" fontId="5" fillId="8" borderId="63" xfId="0" applyNumberFormat="1" applyFont="1" applyFill="1" applyBorder="1" applyAlignment="1">
      <alignment horizontal="center" vertical="top"/>
    </xf>
    <xf numFmtId="3" fontId="9" fillId="8" borderId="63" xfId="0" applyNumberFormat="1" applyFont="1" applyFill="1" applyBorder="1" applyAlignment="1">
      <alignment horizontal="center" vertical="top"/>
    </xf>
    <xf numFmtId="9" fontId="9" fillId="8" borderId="63" xfId="1" applyFont="1" applyFill="1" applyBorder="1" applyAlignment="1">
      <alignment horizontal="center" vertical="top"/>
    </xf>
    <xf numFmtId="1" fontId="9" fillId="8" borderId="63" xfId="2" applyNumberFormat="1" applyFont="1" applyFill="1" applyBorder="1" applyAlignment="1">
      <alignment horizontal="center" vertical="top"/>
    </xf>
    <xf numFmtId="0" fontId="5" fillId="10" borderId="63" xfId="0" applyFont="1" applyFill="1" applyBorder="1" applyAlignment="1">
      <alignment vertical="top"/>
    </xf>
    <xf numFmtId="3" fontId="5" fillId="5" borderId="63" xfId="0" applyNumberFormat="1" applyFont="1" applyFill="1" applyBorder="1" applyAlignment="1">
      <alignment vertical="top"/>
    </xf>
    <xf numFmtId="0" fontId="5" fillId="21" borderId="63" xfId="0" applyFont="1" applyFill="1" applyBorder="1" applyAlignment="1">
      <alignment vertical="top"/>
    </xf>
    <xf numFmtId="1" fontId="5" fillId="22" borderId="63" xfId="0" applyNumberFormat="1" applyFont="1" applyFill="1" applyBorder="1" applyAlignment="1">
      <alignment vertical="top"/>
    </xf>
    <xf numFmtId="1" fontId="5" fillId="23" borderId="63" xfId="0" applyNumberFormat="1" applyFont="1" applyFill="1" applyBorder="1" applyAlignment="1">
      <alignment vertical="top"/>
    </xf>
    <xf numFmtId="168" fontId="5" fillId="4" borderId="63" xfId="0" applyNumberFormat="1" applyFont="1" applyFill="1" applyBorder="1" applyAlignment="1">
      <alignment vertical="top"/>
    </xf>
    <xf numFmtId="168" fontId="5" fillId="8" borderId="63" xfId="0" applyNumberFormat="1" applyFont="1" applyFill="1" applyBorder="1" applyAlignment="1">
      <alignment vertical="top"/>
    </xf>
    <xf numFmtId="168" fontId="5" fillId="24" borderId="63" xfId="0" applyNumberFormat="1" applyFont="1" applyFill="1" applyBorder="1" applyAlignment="1">
      <alignment vertical="top"/>
    </xf>
    <xf numFmtId="169" fontId="5" fillId="21" borderId="63" xfId="0" applyNumberFormat="1" applyFont="1" applyFill="1" applyBorder="1" applyAlignment="1">
      <alignment vertical="top"/>
    </xf>
    <xf numFmtId="168" fontId="5" fillId="5" borderId="63" xfId="0" applyNumberFormat="1" applyFont="1" applyFill="1" applyBorder="1" applyAlignment="1">
      <alignment vertical="top"/>
    </xf>
    <xf numFmtId="0" fontId="5" fillId="0" borderId="63" xfId="0" applyFont="1" applyBorder="1" applyAlignment="1">
      <alignment vertical="top"/>
    </xf>
    <xf numFmtId="0" fontId="14" fillId="28" borderId="63" xfId="0" applyFont="1" applyFill="1" applyBorder="1" applyAlignment="1">
      <alignment horizontal="center" vertical="top"/>
    </xf>
    <xf numFmtId="0" fontId="22" fillId="0" borderId="40" xfId="0" applyFont="1" applyBorder="1" applyAlignment="1">
      <alignment horizontal="center" vertical="center" wrapText="1"/>
    </xf>
    <xf numFmtId="0" fontId="22" fillId="0" borderId="0" xfId="0" applyFont="1" applyAlignment="1">
      <alignment horizontal="center" vertical="center"/>
    </xf>
    <xf numFmtId="9" fontId="39" fillId="29" borderId="0" xfId="1" applyFont="1" applyFill="1"/>
    <xf numFmtId="0" fontId="26" fillId="19" borderId="25" xfId="0" applyFont="1" applyFill="1" applyBorder="1" applyAlignment="1">
      <alignment horizontal="left" vertical="center" wrapText="1"/>
    </xf>
    <xf numFmtId="0" fontId="0" fillId="18" borderId="0" xfId="0" applyFill="1"/>
    <xf numFmtId="2" fontId="5" fillId="14" borderId="0" xfId="0" applyNumberFormat="1" applyFont="1" applyFill="1"/>
    <xf numFmtId="0" fontId="4" fillId="13" borderId="0" xfId="0" applyFont="1" applyFill="1" applyAlignment="1">
      <alignment horizontal="center"/>
    </xf>
    <xf numFmtId="0" fontId="35" fillId="27" borderId="31" xfId="0" applyFont="1" applyFill="1" applyBorder="1" applyAlignment="1">
      <alignment horizontal="center"/>
    </xf>
    <xf numFmtId="0" fontId="35" fillId="27" borderId="0" xfId="0" applyFont="1" applyFill="1" applyAlignment="1">
      <alignment horizontal="center"/>
    </xf>
    <xf numFmtId="0" fontId="35" fillId="27" borderId="0" xfId="0" applyFont="1" applyFill="1" applyBorder="1" applyAlignment="1">
      <alignment horizontal="center" vertic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1" fontId="35" fillId="27" borderId="34" xfId="0" applyNumberFormat="1" applyFont="1" applyFill="1" applyBorder="1" applyAlignment="1">
      <alignment horizontal="center"/>
    </xf>
    <xf numFmtId="1" fontId="35" fillId="27" borderId="35" xfId="0" applyNumberFormat="1" applyFont="1" applyFill="1" applyBorder="1" applyAlignment="1">
      <alignment horizontal="center"/>
    </xf>
    <xf numFmtId="1" fontId="35" fillId="27" borderId="36" xfId="0" applyNumberFormat="1" applyFont="1" applyFill="1" applyBorder="1" applyAlignment="1">
      <alignment horizontal="center"/>
    </xf>
    <xf numFmtId="0" fontId="35" fillId="27" borderId="36" xfId="0" applyFont="1" applyFill="1" applyBorder="1" applyAlignment="1">
      <alignment horizontal="center"/>
    </xf>
    <xf numFmtId="0" fontId="4" fillId="0" borderId="1" xfId="0" applyFont="1" applyFill="1" applyBorder="1" applyAlignment="1">
      <alignment horizontal="center" wrapText="1"/>
    </xf>
    <xf numFmtId="0" fontId="9" fillId="25" borderId="0" xfId="0" applyFont="1" applyFill="1" applyAlignment="1">
      <alignment horizontal="right"/>
    </xf>
    <xf numFmtId="0" fontId="9" fillId="25" borderId="8" xfId="0" applyFont="1" applyFill="1" applyBorder="1" applyAlignment="1">
      <alignment horizontal="right"/>
    </xf>
    <xf numFmtId="0" fontId="5" fillId="25" borderId="0" xfId="0" applyFont="1" applyFill="1" applyAlignment="1">
      <alignment horizontal="right"/>
    </xf>
    <xf numFmtId="0" fontId="5" fillId="25" borderId="8" xfId="0" applyFont="1" applyFill="1" applyBorder="1" applyAlignment="1">
      <alignment horizontal="right"/>
    </xf>
    <xf numFmtId="0" fontId="30" fillId="13" borderId="0" xfId="0" applyFont="1" applyFill="1" applyAlignment="1">
      <alignment horizontal="center"/>
    </xf>
    <xf numFmtId="0" fontId="4" fillId="5" borderId="29" xfId="0" applyFont="1" applyFill="1" applyBorder="1" applyAlignment="1">
      <alignment horizontal="center"/>
    </xf>
    <xf numFmtId="0" fontId="25" fillId="19" borderId="20" xfId="0" applyFont="1" applyFill="1" applyBorder="1" applyAlignment="1">
      <alignment horizontal="right" vertical="center" wrapText="1"/>
    </xf>
    <xf numFmtId="0" fontId="25" fillId="19" borderId="23" xfId="0" applyFont="1" applyFill="1" applyBorder="1" applyAlignment="1">
      <alignment horizontal="right" vertical="center" wrapText="1"/>
    </xf>
    <xf numFmtId="0" fontId="26" fillId="19" borderId="21" xfId="0" applyFont="1" applyFill="1" applyBorder="1" applyAlignment="1">
      <alignment horizontal="left" vertical="center" wrapText="1"/>
    </xf>
    <xf numFmtId="0" fontId="26" fillId="19" borderId="22" xfId="0" applyFont="1" applyFill="1" applyBorder="1" applyAlignment="1">
      <alignment horizontal="left" vertical="center" wrapText="1"/>
    </xf>
    <xf numFmtId="0" fontId="26" fillId="20" borderId="22" xfId="0" applyFont="1" applyFill="1" applyBorder="1" applyAlignment="1">
      <alignment horizontal="left" vertical="center" wrapText="1"/>
    </xf>
    <xf numFmtId="0" fontId="25" fillId="19" borderId="27" xfId="0" applyFont="1" applyFill="1" applyBorder="1" applyAlignment="1">
      <alignment horizontal="right" vertical="center" wrapText="1"/>
    </xf>
    <xf numFmtId="0" fontId="26" fillId="19" borderId="25" xfId="0" applyFont="1" applyFill="1" applyBorder="1" applyAlignment="1">
      <alignment horizontal="left" vertical="center" wrapText="1"/>
    </xf>
    <xf numFmtId="0" fontId="26" fillId="19" borderId="28" xfId="0" applyFont="1" applyFill="1" applyBorder="1" applyAlignment="1">
      <alignment horizontal="left" vertical="center" wrapText="1"/>
    </xf>
  </cellXfs>
  <cellStyles count="3">
    <cellStyle name="Normaali" xfId="0" builtinId="0"/>
    <cellStyle name="Pilkku" xfId="2" builtinId="3"/>
    <cellStyle name="Prosenttia" xfId="1" builtinId="5"/>
  </cellStyles>
  <dxfs count="4">
    <dxf>
      <font>
        <color rgb="FF9C0006"/>
      </font>
    </dxf>
    <dxf>
      <font>
        <color rgb="FF9C0006"/>
      </font>
    </dxf>
    <dxf>
      <font>
        <color rgb="FF9C0006"/>
      </font>
    </dxf>
    <dxf>
      <font>
        <color rgb="FF9C0006"/>
      </font>
    </dxf>
  </dxfs>
  <tableStyles count="0" defaultTableStyle="TableStyleMedium2" defaultPivotStyle="PivotStyleLight16"/>
  <colors>
    <mruColors>
      <color rgb="FFF7F7F3"/>
      <color rgb="FFECEBE0"/>
      <color rgb="FFEBF0F1"/>
      <color rgb="FFD6F6D8"/>
      <color rgb="FFDBE3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S0a</a:t>
            </a:r>
            <a:r>
              <a:rPr lang="en-US" baseline="0"/>
              <a:t> Baseline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'Lyhyt yhteenveto'!$E$13</c:f>
              <c:strCache>
                <c:ptCount val="1"/>
                <c:pt idx="0">
                  <c:v>WTW</c:v>
                </c:pt>
              </c:strCache>
            </c:strRef>
          </c:tx>
          <c:spPr>
            <a:ln w="28575" cap="rnd">
              <a:solidFill>
                <a:schemeClr val="accent1"/>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yhteenveto'!$E$14:$E$30</c:f>
              <c:numCache>
                <c:formatCode>0</c:formatCode>
                <c:ptCount val="17"/>
                <c:pt idx="0">
                  <c:v>481.77646971284901</c:v>
                </c:pt>
                <c:pt idx="1">
                  <c:v>480.7613631410897</c:v>
                </c:pt>
                <c:pt idx="2">
                  <c:v>476.49380958219268</c:v>
                </c:pt>
                <c:pt idx="3">
                  <c:v>474.41137094692624</c:v>
                </c:pt>
                <c:pt idx="4">
                  <c:v>472.33888137116975</c:v>
                </c:pt>
                <c:pt idx="5">
                  <c:v>470.27624136432792</c:v>
                </c:pt>
                <c:pt idx="6">
                  <c:v>468.22335243071166</c:v>
                </c:pt>
                <c:pt idx="7">
                  <c:v>466.18011705958867</c:v>
                </c:pt>
                <c:pt idx="8">
                  <c:v>464.146438715334</c:v>
                </c:pt>
                <c:pt idx="9">
                  <c:v>462.12222182767914</c:v>
                </c:pt>
                <c:pt idx="10">
                  <c:v>461.19490446634302</c:v>
                </c:pt>
                <c:pt idx="11">
                  <c:v>460.27686027862035</c:v>
                </c:pt>
                <c:pt idx="12">
                  <c:v>459.3679965327749</c:v>
                </c:pt>
                <c:pt idx="13">
                  <c:v>458.46822142438782</c:v>
                </c:pt>
                <c:pt idx="14">
                  <c:v>457.57744406708468</c:v>
                </c:pt>
                <c:pt idx="15">
                  <c:v>456.69557448335456</c:v>
                </c:pt>
                <c:pt idx="16">
                  <c:v>455.82252359546169</c:v>
                </c:pt>
              </c:numCache>
            </c:numRef>
          </c:val>
          <c:smooth val="0"/>
          <c:extLst>
            <c:ext xmlns:c16="http://schemas.microsoft.com/office/drawing/2014/chart" uri="{C3380CC4-5D6E-409C-BE32-E72D297353CC}">
              <c16:uniqueId val="{00000000-5893-4273-811C-6E27F338B8D7}"/>
            </c:ext>
          </c:extLst>
        </c:ser>
        <c:ser>
          <c:idx val="1"/>
          <c:order val="1"/>
          <c:tx>
            <c:strRef>
              <c:f>'Lyhyt yhteenveto'!$D$13</c:f>
              <c:strCache>
                <c:ptCount val="1"/>
                <c:pt idx="0">
                  <c:v>TTW</c:v>
                </c:pt>
              </c:strCache>
            </c:strRef>
          </c:tx>
          <c:spPr>
            <a:ln w="28575" cap="rnd">
              <a:solidFill>
                <a:schemeClr val="accent2"/>
              </a:solidFill>
              <a:round/>
            </a:ln>
            <a:effectLst/>
          </c:spPr>
          <c:marker>
            <c:symbol val="none"/>
          </c:marker>
          <c:val>
            <c:numRef>
              <c:f>'Lyhyt yhteenveto'!$D$14:$D$30</c:f>
              <c:numCache>
                <c:formatCode>0</c:formatCode>
                <c:ptCount val="17"/>
                <c:pt idx="0">
                  <c:v>269.29308945999998</c:v>
                </c:pt>
                <c:pt idx="1">
                  <c:v>269.29308945999998</c:v>
                </c:pt>
                <c:pt idx="2">
                  <c:v>261.34554140714454</c:v>
                </c:pt>
                <c:pt idx="3">
                  <c:v>258.69635872285949</c:v>
                </c:pt>
                <c:pt idx="4">
                  <c:v>256.04717603857432</c:v>
                </c:pt>
                <c:pt idx="5">
                  <c:v>253.39799335428924</c:v>
                </c:pt>
                <c:pt idx="6">
                  <c:v>250.74881067000408</c:v>
                </c:pt>
                <c:pt idx="7">
                  <c:v>248.099627985719</c:v>
                </c:pt>
                <c:pt idx="8">
                  <c:v>245.45044530143377</c:v>
                </c:pt>
                <c:pt idx="9">
                  <c:v>242.80126261714875</c:v>
                </c:pt>
                <c:pt idx="10">
                  <c:v>242.80126261714875</c:v>
                </c:pt>
                <c:pt idx="11">
                  <c:v>242.80126261714875</c:v>
                </c:pt>
                <c:pt idx="12">
                  <c:v>242.80126261714875</c:v>
                </c:pt>
                <c:pt idx="13">
                  <c:v>242.80126261714875</c:v>
                </c:pt>
                <c:pt idx="14">
                  <c:v>242.80126261714875</c:v>
                </c:pt>
                <c:pt idx="15">
                  <c:v>242.80126261714875</c:v>
                </c:pt>
                <c:pt idx="16">
                  <c:v>242.80126261714875</c:v>
                </c:pt>
              </c:numCache>
            </c:numRef>
          </c:val>
          <c:smooth val="0"/>
          <c:extLst>
            <c:ext xmlns:c16="http://schemas.microsoft.com/office/drawing/2014/chart" uri="{C3380CC4-5D6E-409C-BE32-E72D297353CC}">
              <c16:uniqueId val="{00000000-8584-4C89-8C18-2FF9BE7D47ED}"/>
            </c:ext>
          </c:extLst>
        </c:ser>
        <c:dLbls>
          <c:showLegendKey val="0"/>
          <c:showVal val="0"/>
          <c:showCatName val="0"/>
          <c:showSerName val="0"/>
          <c:showPercent val="0"/>
          <c:showBubbleSize val="0"/>
        </c:dLbls>
        <c:smooth val="0"/>
        <c:axId val="591409791"/>
        <c:axId val="1067732527"/>
      </c:lineChart>
      <c:catAx>
        <c:axId val="591409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732527"/>
        <c:crosses val="autoZero"/>
        <c:auto val="1"/>
        <c:lblAlgn val="ctr"/>
        <c:lblOffset val="100"/>
        <c:noMultiLvlLbl val="0"/>
      </c:catAx>
      <c:valAx>
        <c:axId val="1067732527"/>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591409791"/>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S3 Tiekartta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areaChart>
        <c:grouping val="stacked"/>
        <c:varyColors val="0"/>
        <c:ser>
          <c:idx val="6"/>
          <c:order val="0"/>
          <c:tx>
            <c:strRef>
              <c:f>'Laaja yhteenveto'!$F$83</c:f>
              <c:strCache>
                <c:ptCount val="1"/>
                <c:pt idx="0">
                  <c:v>Fossiilisen polttoaineen poltto</c:v>
                </c:pt>
              </c:strCache>
            </c:strRef>
          </c:tx>
          <c:spPr>
            <a:solidFill>
              <a:schemeClr val="tx2"/>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yhteenveto'!$F$84:$F$100</c:f>
              <c:numCache>
                <c:formatCode>#,##0</c:formatCode>
                <c:ptCount val="17"/>
                <c:pt idx="0">
                  <c:v>264.97163285999994</c:v>
                </c:pt>
                <c:pt idx="1">
                  <c:v>267.62134918859999</c:v>
                </c:pt>
                <c:pt idx="2">
                  <c:v>262.16293355168398</c:v>
                </c:pt>
                <c:pt idx="3">
                  <c:v>262.00395057196795</c:v>
                </c:pt>
                <c:pt idx="4">
                  <c:v>261.79197326567993</c:v>
                </c:pt>
                <c:pt idx="5">
                  <c:v>261.52700163281997</c:v>
                </c:pt>
                <c:pt idx="6">
                  <c:v>261.20903567338809</c:v>
                </c:pt>
                <c:pt idx="7">
                  <c:v>260.83807538738404</c:v>
                </c:pt>
                <c:pt idx="8">
                  <c:v>252.94510038775033</c:v>
                </c:pt>
                <c:pt idx="9">
                  <c:v>245.56293505222783</c:v>
                </c:pt>
                <c:pt idx="10">
                  <c:v>235.1564388783126</c:v>
                </c:pt>
                <c:pt idx="11">
                  <c:v>220.81518122768952</c:v>
                </c:pt>
                <c:pt idx="12">
                  <c:v>201.35502791532932</c:v>
                </c:pt>
                <c:pt idx="13">
                  <c:v>175.23596036907756</c:v>
                </c:pt>
                <c:pt idx="14">
                  <c:v>140.45524837008185</c:v>
                </c:pt>
                <c:pt idx="15">
                  <c:v>94.408592859625415</c:v>
                </c:pt>
                <c:pt idx="16">
                  <c:v>33.709645623412044</c:v>
                </c:pt>
              </c:numCache>
            </c:numRef>
          </c:val>
          <c:extLst>
            <c:ext xmlns:c16="http://schemas.microsoft.com/office/drawing/2014/chart" uri="{C3380CC4-5D6E-409C-BE32-E72D297353CC}">
              <c16:uniqueId val="{00000000-539D-4841-AA55-FFB114E85E10}"/>
            </c:ext>
          </c:extLst>
        </c:ser>
        <c:ser>
          <c:idx val="2"/>
          <c:order val="1"/>
          <c:tx>
            <c:strRef>
              <c:f>'Laaja yhteenveto'!$B$83</c:f>
              <c:strCache>
                <c:ptCount val="1"/>
                <c:pt idx="0">
                  <c:v>Fossiilisen polttoaineen tuotanto</c:v>
                </c:pt>
              </c:strCache>
            </c:strRef>
          </c:tx>
          <c:spPr>
            <a:solidFill>
              <a:schemeClr val="bg1">
                <a:lumMod val="50000"/>
              </a:schemeClr>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yhteenveto'!$B$84:$B$100</c:f>
              <c:numCache>
                <c:formatCode>#,##0</c:formatCode>
                <c:ptCount val="17"/>
                <c:pt idx="0">
                  <c:v>67.850999999999985</c:v>
                </c:pt>
                <c:pt idx="1">
                  <c:v>68.529509999999988</c:v>
                </c:pt>
                <c:pt idx="2">
                  <c:v>67.131779399999999</c:v>
                </c:pt>
                <c:pt idx="3">
                  <c:v>67.091068800000002</c:v>
                </c:pt>
                <c:pt idx="4">
                  <c:v>67.036788000000001</c:v>
                </c:pt>
                <c:pt idx="5">
                  <c:v>66.968936999999983</c:v>
                </c:pt>
                <c:pt idx="6">
                  <c:v>66.887515800000003</c:v>
                </c:pt>
                <c:pt idx="7">
                  <c:v>66.792524400000005</c:v>
                </c:pt>
                <c:pt idx="8">
                  <c:v>64.771378811999995</c:v>
                </c:pt>
                <c:pt idx="9">
                  <c:v>62.881035703289989</c:v>
                </c:pt>
                <c:pt idx="10">
                  <c:v>60.216255461439005</c:v>
                </c:pt>
                <c:pt idx="11">
                  <c:v>56.543905095667732</c:v>
                </c:pt>
                <c:pt idx="12">
                  <c:v>51.560764643442106</c:v>
                </c:pt>
                <c:pt idx="13">
                  <c:v>44.872483211379965</c:v>
                </c:pt>
                <c:pt idx="14">
                  <c:v>35.966223834208286</c:v>
                </c:pt>
                <c:pt idx="15">
                  <c:v>24.175106463199999</c:v>
                </c:pt>
                <c:pt idx="16">
                  <c:v>8.6319925665499824</c:v>
                </c:pt>
              </c:numCache>
            </c:numRef>
          </c:val>
          <c:extLst>
            <c:ext xmlns:c16="http://schemas.microsoft.com/office/drawing/2014/chart" uri="{C3380CC4-5D6E-409C-BE32-E72D297353CC}">
              <c16:uniqueId val="{00000001-539D-4841-AA55-FFB114E85E10}"/>
            </c:ext>
          </c:extLst>
        </c:ser>
        <c:ser>
          <c:idx val="3"/>
          <c:order val="2"/>
          <c:tx>
            <c:strRef>
              <c:f>'Laaja yhteenveto'!$C$83</c:f>
              <c:strCache>
                <c:ptCount val="1"/>
                <c:pt idx="0">
                  <c:v>Biopolttoaineen tuotanto</c:v>
                </c:pt>
              </c:strCache>
            </c:strRef>
          </c:tx>
          <c:spPr>
            <a:solidFill>
              <a:srgbClr val="00B05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yhteenveto'!$C$84:$C$100</c:f>
              <c:numCache>
                <c:formatCode>#,##0</c:formatCode>
                <c:ptCount val="17"/>
                <c:pt idx="0">
                  <c:v>0</c:v>
                </c:pt>
                <c:pt idx="1">
                  <c:v>0</c:v>
                </c:pt>
                <c:pt idx="2">
                  <c:v>6.854889599999999</c:v>
                </c:pt>
                <c:pt idx="3">
                  <c:v>9.2294591999999991</c:v>
                </c:pt>
                <c:pt idx="4">
                  <c:v>11.648832000000001</c:v>
                </c:pt>
                <c:pt idx="5">
                  <c:v>14.113007999999997</c:v>
                </c:pt>
                <c:pt idx="6">
                  <c:v>16.621987199999996</c:v>
                </c:pt>
                <c:pt idx="7">
                  <c:v>19.175769599999995</c:v>
                </c:pt>
                <c:pt idx="8">
                  <c:v>28.088918207999999</c:v>
                </c:pt>
                <c:pt idx="9">
                  <c:v>36.570211011360001</c:v>
                </c:pt>
                <c:pt idx="10">
                  <c:v>47.608375619375991</c:v>
                </c:pt>
                <c:pt idx="11">
                  <c:v>61.973120953985898</c:v>
                </c:pt>
                <c:pt idx="12">
                  <c:v>80.665554193080041</c:v>
                </c:pt>
                <c:pt idx="13">
                  <c:v>104.98765923861853</c:v>
                </c:pt>
                <c:pt idx="14">
                  <c:v>136.6326121029314</c:v>
                </c:pt>
                <c:pt idx="15">
                  <c:v>177.8021754865778</c:v>
                </c:pt>
                <c:pt idx="16">
                  <c:v>231.35928295488267</c:v>
                </c:pt>
              </c:numCache>
            </c:numRef>
          </c:val>
          <c:extLst>
            <c:ext xmlns:c16="http://schemas.microsoft.com/office/drawing/2014/chart" uri="{C3380CC4-5D6E-409C-BE32-E72D297353CC}">
              <c16:uniqueId val="{00000002-539D-4841-AA55-FFB114E85E10}"/>
            </c:ext>
          </c:extLst>
        </c:ser>
        <c:ser>
          <c:idx val="0"/>
          <c:order val="3"/>
          <c:tx>
            <c:strRef>
              <c:f>'Laaja yhteenveto'!$G$83</c:f>
              <c:strCache>
                <c:ptCount val="1"/>
                <c:pt idx="0">
                  <c:v>Polttoaine-seoksen poltto, muut khk:t</c:v>
                </c:pt>
              </c:strCache>
            </c:strRef>
          </c:tx>
          <c:spPr>
            <a:solidFill>
              <a:srgbClr val="92D05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yhteenveto'!$G$84:$G$100</c:f>
              <c:numCache>
                <c:formatCode>#,##0</c:formatCode>
                <c:ptCount val="17"/>
                <c:pt idx="0">
                  <c:v>3.1774565999999997</c:v>
                </c:pt>
                <c:pt idx="1">
                  <c:v>3.2092311659999999</c:v>
                </c:pt>
                <c:pt idx="2">
                  <c:v>3.2410057319999996</c:v>
                </c:pt>
                <c:pt idx="3">
                  <c:v>3.2727802980000003</c:v>
                </c:pt>
                <c:pt idx="4">
                  <c:v>3.304554864</c:v>
                </c:pt>
                <c:pt idx="5">
                  <c:v>3.3363294300000002</c:v>
                </c:pt>
                <c:pt idx="6">
                  <c:v>3.3681039959999999</c:v>
                </c:pt>
                <c:pt idx="7">
                  <c:v>3.399878562</c:v>
                </c:pt>
                <c:pt idx="8">
                  <c:v>3.4316531280000002</c:v>
                </c:pt>
                <c:pt idx="9">
                  <c:v>3.4634276940000004</c:v>
                </c:pt>
                <c:pt idx="10">
                  <c:v>3.4952022600000006</c:v>
                </c:pt>
                <c:pt idx="11">
                  <c:v>3.5269768260000007</c:v>
                </c:pt>
                <c:pt idx="12">
                  <c:v>3.5587513920000009</c:v>
                </c:pt>
                <c:pt idx="13">
                  <c:v>3.5905259579999989</c:v>
                </c:pt>
                <c:pt idx="14">
                  <c:v>3.6223005240000012</c:v>
                </c:pt>
                <c:pt idx="15">
                  <c:v>3.654075090000001</c:v>
                </c:pt>
                <c:pt idx="16">
                  <c:v>3.6858496560000003</c:v>
                </c:pt>
              </c:numCache>
            </c:numRef>
          </c:val>
          <c:extLst>
            <c:ext xmlns:c16="http://schemas.microsoft.com/office/drawing/2014/chart" uri="{C3380CC4-5D6E-409C-BE32-E72D297353CC}">
              <c16:uniqueId val="{00000003-539D-4841-AA55-FFB114E85E10}"/>
            </c:ext>
          </c:extLst>
        </c:ser>
        <c:ser>
          <c:idx val="1"/>
          <c:order val="4"/>
          <c:tx>
            <c:strRef>
              <c:f>'Laaja yhteenveto'!$H$83</c:f>
              <c:strCache>
                <c:ptCount val="1"/>
                <c:pt idx="0">
                  <c:v>Urean käytön päästöt</c:v>
                </c:pt>
              </c:strCache>
            </c:strRef>
          </c:tx>
          <c:spPr>
            <a:solidFill>
              <a:schemeClr val="accent1"/>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yhteenveto'!$H$84:$H$100</c:f>
              <c:numCache>
                <c:formatCode>#,##0</c:formatCode>
                <c:ptCount val="17"/>
                <c:pt idx="0">
                  <c:v>1.1440000000000001</c:v>
                </c:pt>
                <c:pt idx="1">
                  <c:v>1.15544</c:v>
                </c:pt>
                <c:pt idx="2">
                  <c:v>1.1685129516034987</c:v>
                </c:pt>
                <c:pt idx="3">
                  <c:v>1.1805186145772595</c:v>
                </c:pt>
                <c:pt idx="4">
                  <c:v>1.1925349504373177</c:v>
                </c:pt>
                <c:pt idx="5">
                  <c:v>1.2045619591836734</c:v>
                </c:pt>
                <c:pt idx="6">
                  <c:v>1.2165996408163267</c:v>
                </c:pt>
                <c:pt idx="7">
                  <c:v>1.2286479953352769</c:v>
                </c:pt>
                <c:pt idx="8">
                  <c:v>1.242211259335277</c:v>
                </c:pt>
                <c:pt idx="9">
                  <c:v>1.2556716479179011</c:v>
                </c:pt>
                <c:pt idx="10">
                  <c:v>1.2697411269683498</c:v>
                </c:pt>
                <c:pt idx="11">
                  <c:v>1.2846030542781643</c:v>
                </c:pt>
                <c:pt idx="12">
                  <c:v>1.3004959106496319</c:v>
                </c:pt>
                <c:pt idx="13">
                  <c:v>1.317729850851757</c:v>
                </c:pt>
                <c:pt idx="14">
                  <c:v>1.3367082182854815</c:v>
                </c:pt>
                <c:pt idx="15">
                  <c:v>1.357955510374133</c:v>
                </c:pt>
                <c:pt idx="16">
                  <c:v>1.3821537267163935</c:v>
                </c:pt>
              </c:numCache>
            </c:numRef>
          </c:val>
          <c:extLst>
            <c:ext xmlns:c16="http://schemas.microsoft.com/office/drawing/2014/chart" uri="{C3380CC4-5D6E-409C-BE32-E72D297353CC}">
              <c16:uniqueId val="{00000004-539D-4841-AA55-FFB114E85E10}"/>
            </c:ext>
          </c:extLst>
        </c:ser>
        <c:ser>
          <c:idx val="4"/>
          <c:order val="5"/>
          <c:tx>
            <c:strRef>
              <c:f>'Laaja yhteenveto'!$D$83</c:f>
              <c:strCache>
                <c:ptCount val="1"/>
                <c:pt idx="0">
                  <c:v>Sähkön tuotanto</c:v>
                </c:pt>
              </c:strCache>
            </c:strRef>
          </c:tx>
          <c:spPr>
            <a:solidFill>
              <a:schemeClr val="accent4"/>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yhteenveto'!$D$84:$D$100</c:f>
              <c:numCache>
                <c:formatCode>#,##0</c:formatCode>
                <c:ptCount val="17"/>
                <c:pt idx="0">
                  <c:v>101.51065717592591</c:v>
                </c:pt>
                <c:pt idx="1">
                  <c:v>101.50050611020835</c:v>
                </c:pt>
                <c:pt idx="2">
                  <c:v>101.4804070000875</c:v>
                </c:pt>
                <c:pt idx="3">
                  <c:v>101.45055982155806</c:v>
                </c:pt>
                <c:pt idx="4">
                  <c:v>101.4111615458992</c:v>
                </c:pt>
                <c:pt idx="5">
                  <c:v>101.3624061797714</c:v>
                </c:pt>
                <c:pt idx="6">
                  <c:v>101.30448480481151</c:v>
                </c:pt>
                <c:pt idx="7">
                  <c:v>101.23758561673287</c:v>
                </c:pt>
                <c:pt idx="8">
                  <c:v>101.1618939639353</c:v>
                </c:pt>
                <c:pt idx="9">
                  <c:v>101.07759238563203</c:v>
                </c:pt>
                <c:pt idx="10">
                  <c:v>100.98486064949843</c:v>
                </c:pt>
                <c:pt idx="11">
                  <c:v>100.88387578884894</c:v>
                </c:pt>
                <c:pt idx="12">
                  <c:v>100.77481213934747</c:v>
                </c:pt>
                <c:pt idx="13">
                  <c:v>100.65784137525714</c:v>
                </c:pt>
                <c:pt idx="14">
                  <c:v>100.53313254523472</c:v>
                </c:pt>
                <c:pt idx="15">
                  <c:v>100.40085210767519</c:v>
                </c:pt>
                <c:pt idx="16">
                  <c:v>100.26116396561231</c:v>
                </c:pt>
              </c:numCache>
            </c:numRef>
          </c:val>
          <c:extLst>
            <c:ext xmlns:c16="http://schemas.microsoft.com/office/drawing/2014/chart" uri="{C3380CC4-5D6E-409C-BE32-E72D297353CC}">
              <c16:uniqueId val="{00000005-539D-4841-AA55-FFB114E85E10}"/>
            </c:ext>
          </c:extLst>
        </c:ser>
        <c:ser>
          <c:idx val="5"/>
          <c:order val="6"/>
          <c:tx>
            <c:strRef>
              <c:f>'Laaja yhteenveto'!$E$83</c:f>
              <c:strCache>
                <c:ptCount val="1"/>
                <c:pt idx="0">
                  <c:v>Akun tuotanto</c:v>
                </c:pt>
              </c:strCache>
            </c:strRef>
          </c:tx>
          <c:spPr>
            <a:solidFill>
              <a:srgbClr val="C0000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yhteenveto'!$E$84:$E$100</c:f>
              <c:numCache>
                <c:formatCode>#\ ##0.0</c:formatCode>
                <c:ptCount val="17"/>
                <c:pt idx="0">
                  <c:v>43.121723076923082</c:v>
                </c:pt>
                <c:pt idx="1">
                  <c:v>43.121723076923082</c:v>
                </c:pt>
                <c:pt idx="2">
                  <c:v>43.121723076923082</c:v>
                </c:pt>
                <c:pt idx="3">
                  <c:v>43.121723076923082</c:v>
                </c:pt>
                <c:pt idx="4">
                  <c:v>43.121723076923082</c:v>
                </c:pt>
                <c:pt idx="5">
                  <c:v>43.121723076923082</c:v>
                </c:pt>
                <c:pt idx="6">
                  <c:v>43.121723076923082</c:v>
                </c:pt>
                <c:pt idx="7">
                  <c:v>43.121723076923082</c:v>
                </c:pt>
                <c:pt idx="8">
                  <c:v>43.121723076923082</c:v>
                </c:pt>
                <c:pt idx="9">
                  <c:v>43.121723076923082</c:v>
                </c:pt>
                <c:pt idx="10">
                  <c:v>43.121723076923082</c:v>
                </c:pt>
                <c:pt idx="11">
                  <c:v>43.121723076923082</c:v>
                </c:pt>
                <c:pt idx="12">
                  <c:v>43.121723076923082</c:v>
                </c:pt>
                <c:pt idx="13">
                  <c:v>43.121723076923082</c:v>
                </c:pt>
                <c:pt idx="14">
                  <c:v>43.121723076923082</c:v>
                </c:pt>
                <c:pt idx="15">
                  <c:v>43.121723076923082</c:v>
                </c:pt>
                <c:pt idx="16">
                  <c:v>43.121723076923082</c:v>
                </c:pt>
              </c:numCache>
            </c:numRef>
          </c:val>
          <c:extLst>
            <c:ext xmlns:c16="http://schemas.microsoft.com/office/drawing/2014/chart" uri="{C3380CC4-5D6E-409C-BE32-E72D297353CC}">
              <c16:uniqueId val="{00000006-539D-4841-AA55-FFB114E85E10}"/>
            </c:ext>
          </c:extLst>
        </c:ser>
        <c:dLbls>
          <c:showLegendKey val="0"/>
          <c:showVal val="0"/>
          <c:showCatName val="0"/>
          <c:showSerName val="0"/>
          <c:showPercent val="0"/>
          <c:showBubbleSize val="0"/>
        </c:dLbls>
        <c:axId val="1459904336"/>
        <c:axId val="1235358848"/>
      </c:areaChart>
      <c:catAx>
        <c:axId val="1459904336"/>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35358848"/>
        <c:crosses val="autoZero"/>
        <c:auto val="1"/>
        <c:lblAlgn val="ctr"/>
        <c:lblOffset val="100"/>
        <c:noMultiLvlLbl val="0"/>
      </c:catAx>
      <c:valAx>
        <c:axId val="1235358848"/>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459904336"/>
        <c:crosses val="autoZero"/>
        <c:crossBetween val="midCat"/>
        <c:minorUnit val="2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S0b</a:t>
            </a:r>
            <a:r>
              <a:rPr lang="fi-FI" baseline="0"/>
              <a:t> Baseline Kasvu</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'Lyhyt yhteenveto'!$G$13</c:f>
              <c:strCache>
                <c:ptCount val="1"/>
                <c:pt idx="0">
                  <c:v>WTW</c:v>
                </c:pt>
              </c:strCache>
            </c:strRef>
          </c:tx>
          <c:spPr>
            <a:ln w="28575" cap="rnd">
              <a:solidFill>
                <a:schemeClr val="accent1"/>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yhteenveto'!$G$14:$G$30</c:f>
              <c:numCache>
                <c:formatCode>0</c:formatCode>
                <c:ptCount val="17"/>
                <c:pt idx="0">
                  <c:v>481.77646971284901</c:v>
                </c:pt>
                <c:pt idx="1">
                  <c:v>485.13775954173138</c:v>
                </c:pt>
                <c:pt idx="2">
                  <c:v>485.16125131229796</c:v>
                </c:pt>
                <c:pt idx="3">
                  <c:v>487.3500603830264</c:v>
                </c:pt>
                <c:pt idx="4">
                  <c:v>489.50756770293958</c:v>
                </c:pt>
                <c:pt idx="5">
                  <c:v>491.63396727869815</c:v>
                </c:pt>
                <c:pt idx="6">
                  <c:v>493.72945019193889</c:v>
                </c:pt>
                <c:pt idx="7">
                  <c:v>495.79420463837528</c:v>
                </c:pt>
                <c:pt idx="8">
                  <c:v>497.82841596640685</c:v>
                </c:pt>
                <c:pt idx="9">
                  <c:v>499.83226671524721</c:v>
                </c:pt>
                <c:pt idx="10">
                  <c:v>503.00222260528506</c:v>
                </c:pt>
                <c:pt idx="11">
                  <c:v>506.16392537080714</c:v>
                </c:pt>
                <c:pt idx="12">
                  <c:v>509.31754934747721</c:v>
                </c:pt>
                <c:pt idx="13">
                  <c:v>512.46326620955813</c:v>
                </c:pt>
                <c:pt idx="14">
                  <c:v>515.60124500570748</c:v>
                </c:pt>
                <c:pt idx="15">
                  <c:v>518.73165219431928</c:v>
                </c:pt>
                <c:pt idx="16">
                  <c:v>521.8546516784279</c:v>
                </c:pt>
              </c:numCache>
            </c:numRef>
          </c:val>
          <c:smooth val="0"/>
          <c:extLst>
            <c:ext xmlns:c16="http://schemas.microsoft.com/office/drawing/2014/chart" uri="{C3380CC4-5D6E-409C-BE32-E72D297353CC}">
              <c16:uniqueId val="{00000000-9EDB-4205-886A-33238219F636}"/>
            </c:ext>
          </c:extLst>
        </c:ser>
        <c:ser>
          <c:idx val="1"/>
          <c:order val="1"/>
          <c:tx>
            <c:strRef>
              <c:f>'Lyhyt yhteenveto'!$F$13</c:f>
              <c:strCache>
                <c:ptCount val="1"/>
                <c:pt idx="0">
                  <c:v>TTW</c:v>
                </c:pt>
              </c:strCache>
            </c:strRef>
          </c:tx>
          <c:spPr>
            <a:ln w="28575" cap="rnd">
              <a:solidFill>
                <a:schemeClr val="accent2"/>
              </a:solidFill>
              <a:round/>
            </a:ln>
            <a:effectLst/>
          </c:spPr>
          <c:marker>
            <c:symbol val="none"/>
          </c:marker>
          <c:val>
            <c:numRef>
              <c:f>'Lyhyt yhteenveto'!$F$14:$F$30</c:f>
              <c:numCache>
                <c:formatCode>0</c:formatCode>
                <c:ptCount val="17"/>
                <c:pt idx="0">
                  <c:v>269.29308945999998</c:v>
                </c:pt>
                <c:pt idx="1">
                  <c:v>271.98602035459999</c:v>
                </c:pt>
                <c:pt idx="2">
                  <c:v>266.57245223528747</c:v>
                </c:pt>
                <c:pt idx="3">
                  <c:v>266.45724948454517</c:v>
                </c:pt>
                <c:pt idx="4">
                  <c:v>266.28906308011733</c:v>
                </c:pt>
                <c:pt idx="5">
                  <c:v>266.06789302200372</c:v>
                </c:pt>
                <c:pt idx="6">
                  <c:v>265.79373931020433</c:v>
                </c:pt>
                <c:pt idx="7">
                  <c:v>265.46660194471934</c:v>
                </c:pt>
                <c:pt idx="8">
                  <c:v>265.08648092554853</c:v>
                </c:pt>
                <c:pt idx="9">
                  <c:v>264.65337625269211</c:v>
                </c:pt>
                <c:pt idx="10">
                  <c:v>267.08138887886355</c:v>
                </c:pt>
                <c:pt idx="11">
                  <c:v>269.5094015050351</c:v>
                </c:pt>
                <c:pt idx="12">
                  <c:v>271.93741413120665</c:v>
                </c:pt>
                <c:pt idx="13">
                  <c:v>274.36542675737797</c:v>
                </c:pt>
                <c:pt idx="14">
                  <c:v>276.79343938354958</c:v>
                </c:pt>
                <c:pt idx="15">
                  <c:v>279.22145200972102</c:v>
                </c:pt>
                <c:pt idx="16">
                  <c:v>281.64946463589251</c:v>
                </c:pt>
              </c:numCache>
            </c:numRef>
          </c:val>
          <c:smooth val="0"/>
          <c:extLst>
            <c:ext xmlns:c16="http://schemas.microsoft.com/office/drawing/2014/chart" uri="{C3380CC4-5D6E-409C-BE32-E72D297353CC}">
              <c16:uniqueId val="{00000000-9760-4AA3-916B-862100AE0849}"/>
            </c:ext>
          </c:extLst>
        </c:ser>
        <c:dLbls>
          <c:showLegendKey val="0"/>
          <c:showVal val="0"/>
          <c:showCatName val="0"/>
          <c:showSerName val="0"/>
          <c:showPercent val="0"/>
          <c:showBubbleSize val="0"/>
        </c:dLbls>
        <c:smooth val="0"/>
        <c:axId val="591409791"/>
        <c:axId val="1067732527"/>
      </c:lineChart>
      <c:catAx>
        <c:axId val="591409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732527"/>
        <c:crosses val="autoZero"/>
        <c:auto val="1"/>
        <c:lblAlgn val="ctr"/>
        <c:lblOffset val="100"/>
        <c:noMultiLvlLbl val="0"/>
      </c:catAx>
      <c:valAx>
        <c:axId val="1067732527"/>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591409791"/>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S1</a:t>
            </a:r>
            <a:r>
              <a:rPr lang="fi-FI" baseline="0"/>
              <a:t> Sähkö</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'Lyhyt yhteenveto'!$I$13</c:f>
              <c:strCache>
                <c:ptCount val="1"/>
                <c:pt idx="0">
                  <c:v>WTW</c:v>
                </c:pt>
              </c:strCache>
            </c:strRef>
          </c:tx>
          <c:spPr>
            <a:ln w="28575" cap="rnd">
              <a:solidFill>
                <a:schemeClr val="accent1"/>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yhteenveto'!$I$14:$I$30</c:f>
              <c:numCache>
                <c:formatCode>0</c:formatCode>
                <c:ptCount val="17"/>
                <c:pt idx="0">
                  <c:v>481.77646971284901</c:v>
                </c:pt>
                <c:pt idx="1">
                  <c:v>485.13775954173138</c:v>
                </c:pt>
                <c:pt idx="2">
                  <c:v>437.54396452054743</c:v>
                </c:pt>
                <c:pt idx="3">
                  <c:v>439.28487007784406</c:v>
                </c:pt>
                <c:pt idx="4">
                  <c:v>440.99750630498636</c:v>
                </c:pt>
                <c:pt idx="5">
                  <c:v>442.68209397363546</c:v>
                </c:pt>
                <c:pt idx="6">
                  <c:v>444.33885052689465</c:v>
                </c:pt>
                <c:pt idx="7">
                  <c:v>445.96799012380444</c:v>
                </c:pt>
                <c:pt idx="8">
                  <c:v>447.56972368327843</c:v>
                </c:pt>
                <c:pt idx="9">
                  <c:v>449.14425892749091</c:v>
                </c:pt>
                <c:pt idx="10">
                  <c:v>451.64883185511121</c:v>
                </c:pt>
                <c:pt idx="11">
                  <c:v>454.14401306389476</c:v>
                </c:pt>
                <c:pt idx="12">
                  <c:v>456.63000094071134</c:v>
                </c:pt>
                <c:pt idx="13">
                  <c:v>459.10699084386476</c:v>
                </c:pt>
                <c:pt idx="14">
                  <c:v>461.57517514382744</c:v>
                </c:pt>
                <c:pt idx="15">
                  <c:v>464.0347432634577</c:v>
                </c:pt>
                <c:pt idx="16">
                  <c:v>466.4858817177186</c:v>
                </c:pt>
              </c:numCache>
            </c:numRef>
          </c:val>
          <c:smooth val="0"/>
          <c:extLst>
            <c:ext xmlns:c16="http://schemas.microsoft.com/office/drawing/2014/chart" uri="{C3380CC4-5D6E-409C-BE32-E72D297353CC}">
              <c16:uniqueId val="{00000000-D86E-445D-B723-473AA8F2227E}"/>
            </c:ext>
          </c:extLst>
        </c:ser>
        <c:ser>
          <c:idx val="1"/>
          <c:order val="1"/>
          <c:tx>
            <c:strRef>
              <c:f>'Lyhyt yhteenveto'!$H$13</c:f>
              <c:strCache>
                <c:ptCount val="1"/>
                <c:pt idx="0">
                  <c:v>TTW</c:v>
                </c:pt>
              </c:strCache>
            </c:strRef>
          </c:tx>
          <c:spPr>
            <a:ln w="28575" cap="rnd">
              <a:solidFill>
                <a:schemeClr val="accent2"/>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yhteenveto'!$H$14:$H$30</c:f>
              <c:numCache>
                <c:formatCode>0</c:formatCode>
                <c:ptCount val="17"/>
                <c:pt idx="0">
                  <c:v>269.29308945999998</c:v>
                </c:pt>
                <c:pt idx="1">
                  <c:v>271.98602035459999</c:v>
                </c:pt>
                <c:pt idx="2">
                  <c:v>213.25265036572267</c:v>
                </c:pt>
                <c:pt idx="3">
                  <c:v>213.16043359393353</c:v>
                </c:pt>
                <c:pt idx="4">
                  <c:v>213.02582985068278</c:v>
                </c:pt>
                <c:pt idx="5">
                  <c:v>212.84883913597031</c:v>
                </c:pt>
                <c:pt idx="6">
                  <c:v>212.62946144979611</c:v>
                </c:pt>
                <c:pt idx="7">
                  <c:v>212.36769679216033</c:v>
                </c:pt>
                <c:pt idx="8">
                  <c:v>212.06354516306271</c:v>
                </c:pt>
                <c:pt idx="9">
                  <c:v>211.71700656250354</c:v>
                </c:pt>
                <c:pt idx="10">
                  <c:v>213.65936442087508</c:v>
                </c:pt>
                <c:pt idx="11">
                  <c:v>215.60172227924676</c:v>
                </c:pt>
                <c:pt idx="12">
                  <c:v>217.54408013761838</c:v>
                </c:pt>
                <c:pt idx="13">
                  <c:v>219.48643799598986</c:v>
                </c:pt>
                <c:pt idx="14">
                  <c:v>221.42879585436154</c:v>
                </c:pt>
                <c:pt idx="15">
                  <c:v>223.37115371273308</c:v>
                </c:pt>
                <c:pt idx="16">
                  <c:v>225.3135115711047</c:v>
                </c:pt>
              </c:numCache>
            </c:numRef>
          </c:val>
          <c:smooth val="0"/>
          <c:extLst>
            <c:ext xmlns:c16="http://schemas.microsoft.com/office/drawing/2014/chart" uri="{C3380CC4-5D6E-409C-BE32-E72D297353CC}">
              <c16:uniqueId val="{00000001-D86E-445D-B723-473AA8F2227E}"/>
            </c:ext>
          </c:extLst>
        </c:ser>
        <c:dLbls>
          <c:showLegendKey val="0"/>
          <c:showVal val="0"/>
          <c:showCatName val="0"/>
          <c:showSerName val="0"/>
          <c:showPercent val="0"/>
          <c:showBubbleSize val="0"/>
        </c:dLbls>
        <c:smooth val="0"/>
        <c:axId val="591409791"/>
        <c:axId val="1067732527"/>
      </c:lineChart>
      <c:catAx>
        <c:axId val="591409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732527"/>
        <c:crosses val="autoZero"/>
        <c:auto val="1"/>
        <c:lblAlgn val="ctr"/>
        <c:lblOffset val="100"/>
        <c:noMultiLvlLbl val="0"/>
      </c:catAx>
      <c:valAx>
        <c:axId val="1067732527"/>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591409791"/>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S2 Bio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'Lyhyt yhteenveto'!$K$13</c:f>
              <c:strCache>
                <c:ptCount val="1"/>
                <c:pt idx="0">
                  <c:v>WTW</c:v>
                </c:pt>
              </c:strCache>
            </c:strRef>
          </c:tx>
          <c:spPr>
            <a:ln w="28575" cap="rnd">
              <a:solidFill>
                <a:schemeClr val="accent1"/>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yhteenveto'!$K$14:$K$30</c:f>
              <c:numCache>
                <c:formatCode>0</c:formatCode>
                <c:ptCount val="17"/>
                <c:pt idx="0">
                  <c:v>481.77646971284901</c:v>
                </c:pt>
                <c:pt idx="1">
                  <c:v>485.13775954173138</c:v>
                </c:pt>
                <c:pt idx="2">
                  <c:v>477.98788572675335</c:v>
                </c:pt>
                <c:pt idx="3">
                  <c:v>473.98283364958303</c:v>
                </c:pt>
                <c:pt idx="4">
                  <c:v>469.82757624811592</c:v>
                </c:pt>
                <c:pt idx="5">
                  <c:v>465.52230752901221</c:v>
                </c:pt>
                <c:pt idx="6">
                  <c:v>461.0672185739088</c:v>
                </c:pt>
                <c:pt idx="7">
                  <c:v>456.46249757851922</c:v>
                </c:pt>
                <c:pt idx="8">
                  <c:v>451.70832989124301</c:v>
                </c:pt>
                <c:pt idx="9">
                  <c:v>446.80489805129378</c:v>
                </c:pt>
                <c:pt idx="10">
                  <c:v>441.75238182634644</c:v>
                </c:pt>
                <c:pt idx="11">
                  <c:v>436.5509582497159</c:v>
                </c:pt>
                <c:pt idx="12">
                  <c:v>431.20080165706565</c:v>
                </c:pt>
                <c:pt idx="13">
                  <c:v>425.70208372265893</c:v>
                </c:pt>
                <c:pt idx="14">
                  <c:v>420.05497349515286</c:v>
                </c:pt>
                <c:pt idx="15">
                  <c:v>414.25963743294199</c:v>
                </c:pt>
                <c:pt idx="16">
                  <c:v>408.31623943906021</c:v>
                </c:pt>
              </c:numCache>
            </c:numRef>
          </c:val>
          <c:smooth val="0"/>
          <c:extLst>
            <c:ext xmlns:c16="http://schemas.microsoft.com/office/drawing/2014/chart" uri="{C3380CC4-5D6E-409C-BE32-E72D297353CC}">
              <c16:uniqueId val="{00000000-3363-4704-9C79-39D7E043699C}"/>
            </c:ext>
          </c:extLst>
        </c:ser>
        <c:ser>
          <c:idx val="1"/>
          <c:order val="1"/>
          <c:tx>
            <c:strRef>
              <c:f>'Lyhyt yhteenveto'!$J$13</c:f>
              <c:strCache>
                <c:ptCount val="1"/>
                <c:pt idx="0">
                  <c:v>TTW</c:v>
                </c:pt>
              </c:strCache>
            </c:strRef>
          </c:tx>
          <c:spPr>
            <a:ln w="28575" cap="rnd">
              <a:solidFill>
                <a:schemeClr val="accent2"/>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yhteenveto'!$J$14:$J$30</c:f>
              <c:numCache>
                <c:formatCode>0</c:formatCode>
                <c:ptCount val="17"/>
                <c:pt idx="0">
                  <c:v>269.29308945999998</c:v>
                </c:pt>
                <c:pt idx="1">
                  <c:v>271.98602035459999</c:v>
                </c:pt>
                <c:pt idx="2">
                  <c:v>249.09844324974284</c:v>
                </c:pt>
                <c:pt idx="3">
                  <c:v>233.89526205110198</c:v>
                </c:pt>
                <c:pt idx="4">
                  <c:v>218.34945322529364</c:v>
                </c:pt>
                <c:pt idx="5">
                  <c:v>202.46101677231769</c:v>
                </c:pt>
                <c:pt idx="6">
                  <c:v>186.22995269217427</c:v>
                </c:pt>
                <c:pt idx="7">
                  <c:v>169.65626098486325</c:v>
                </c:pt>
                <c:pt idx="8">
                  <c:v>152.73994165038468</c:v>
                </c:pt>
                <c:pt idx="9">
                  <c:v>135.48099468873863</c:v>
                </c:pt>
                <c:pt idx="10">
                  <c:v>117.87942009992501</c:v>
                </c:pt>
                <c:pt idx="11">
                  <c:v>99.935217883943821</c:v>
                </c:pt>
                <c:pt idx="12">
                  <c:v>81.648388040795112</c:v>
                </c:pt>
                <c:pt idx="13">
                  <c:v>63.018930570478815</c:v>
                </c:pt>
                <c:pt idx="14">
                  <c:v>44.046845472995017</c:v>
                </c:pt>
                <c:pt idx="15">
                  <c:v>24.73213274834367</c:v>
                </c:pt>
                <c:pt idx="16">
                  <c:v>5.0747923965247814</c:v>
                </c:pt>
              </c:numCache>
            </c:numRef>
          </c:val>
          <c:smooth val="0"/>
          <c:extLst>
            <c:ext xmlns:c16="http://schemas.microsoft.com/office/drawing/2014/chart" uri="{C3380CC4-5D6E-409C-BE32-E72D297353CC}">
              <c16:uniqueId val="{00000001-3363-4704-9C79-39D7E043699C}"/>
            </c:ext>
          </c:extLst>
        </c:ser>
        <c:dLbls>
          <c:showLegendKey val="0"/>
          <c:showVal val="0"/>
          <c:showCatName val="0"/>
          <c:showSerName val="0"/>
          <c:showPercent val="0"/>
          <c:showBubbleSize val="0"/>
        </c:dLbls>
        <c:smooth val="0"/>
        <c:axId val="591409791"/>
        <c:axId val="1067732527"/>
      </c:lineChart>
      <c:catAx>
        <c:axId val="591409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732527"/>
        <c:crosses val="autoZero"/>
        <c:auto val="1"/>
        <c:lblAlgn val="ctr"/>
        <c:lblOffset val="100"/>
        <c:noMultiLvlLbl val="0"/>
      </c:catAx>
      <c:valAx>
        <c:axId val="1067732527"/>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591409791"/>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S3</a:t>
            </a:r>
            <a:r>
              <a:rPr lang="fi-FI" baseline="0"/>
              <a:t> Tiekartta</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'Lyhyt yhteenveto'!$M$13</c:f>
              <c:strCache>
                <c:ptCount val="1"/>
                <c:pt idx="0">
                  <c:v>WTW</c:v>
                </c:pt>
              </c:strCache>
            </c:strRef>
          </c:tx>
          <c:spPr>
            <a:ln w="28575" cap="rnd">
              <a:solidFill>
                <a:schemeClr val="accent1"/>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yhteenveto'!$M$14:$M$30</c:f>
              <c:numCache>
                <c:formatCode>0</c:formatCode>
                <c:ptCount val="17"/>
                <c:pt idx="0">
                  <c:v>481.77646971284901</c:v>
                </c:pt>
                <c:pt idx="1">
                  <c:v>485.13775954173138</c:v>
                </c:pt>
                <c:pt idx="2">
                  <c:v>485.16125131229796</c:v>
                </c:pt>
                <c:pt idx="3">
                  <c:v>487.3500603830264</c:v>
                </c:pt>
                <c:pt idx="4">
                  <c:v>489.50756770293958</c:v>
                </c:pt>
                <c:pt idx="5">
                  <c:v>491.63396727869815</c:v>
                </c:pt>
                <c:pt idx="6">
                  <c:v>493.72945019193889</c:v>
                </c:pt>
                <c:pt idx="7">
                  <c:v>495.79420463837528</c:v>
                </c:pt>
                <c:pt idx="8">
                  <c:v>494.76287883594398</c:v>
                </c:pt>
                <c:pt idx="9">
                  <c:v>493.93259657135081</c:v>
                </c:pt>
                <c:pt idx="10">
                  <c:v>491.85259707251748</c:v>
                </c:pt>
                <c:pt idx="11">
                  <c:v>488.14938602339333</c:v>
                </c:pt>
                <c:pt idx="12">
                  <c:v>482.3371292707717</c:v>
                </c:pt>
                <c:pt idx="13">
                  <c:v>473.78392308010814</c:v>
                </c:pt>
                <c:pt idx="14">
                  <c:v>461.66794867166482</c:v>
                </c:pt>
                <c:pt idx="15">
                  <c:v>444.92048059437559</c:v>
                </c:pt>
                <c:pt idx="16">
                  <c:v>422.15181157009641</c:v>
                </c:pt>
              </c:numCache>
            </c:numRef>
          </c:val>
          <c:smooth val="0"/>
          <c:extLst>
            <c:ext xmlns:c16="http://schemas.microsoft.com/office/drawing/2014/chart" uri="{C3380CC4-5D6E-409C-BE32-E72D297353CC}">
              <c16:uniqueId val="{00000000-B5CE-4F19-AC03-755C6F6194EE}"/>
            </c:ext>
          </c:extLst>
        </c:ser>
        <c:ser>
          <c:idx val="1"/>
          <c:order val="1"/>
          <c:tx>
            <c:strRef>
              <c:f>'Lyhyt yhteenveto'!$L$13</c:f>
              <c:strCache>
                <c:ptCount val="1"/>
                <c:pt idx="0">
                  <c:v>TTW</c:v>
                </c:pt>
              </c:strCache>
            </c:strRef>
          </c:tx>
          <c:spPr>
            <a:ln w="28575" cap="rnd">
              <a:solidFill>
                <a:schemeClr val="accent2"/>
              </a:solidFill>
              <a:round/>
            </a:ln>
            <a:effectLst/>
          </c:spPr>
          <c:marker>
            <c:symbol val="none"/>
          </c:marker>
          <c:cat>
            <c:numRef>
              <c:f>'Lyhyt yhteenveto'!$C$14:$C$30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'Lyhyt yhteenveto'!$L$14:$L$30</c:f>
              <c:numCache>
                <c:formatCode>0</c:formatCode>
                <c:ptCount val="17"/>
                <c:pt idx="0">
                  <c:v>269.29308945999998</c:v>
                </c:pt>
                <c:pt idx="1">
                  <c:v>271.98602035459999</c:v>
                </c:pt>
                <c:pt idx="2">
                  <c:v>266.57245223528747</c:v>
                </c:pt>
                <c:pt idx="3">
                  <c:v>266.45724948454517</c:v>
                </c:pt>
                <c:pt idx="4">
                  <c:v>266.28906308011733</c:v>
                </c:pt>
                <c:pt idx="5">
                  <c:v>266.06789302200372</c:v>
                </c:pt>
                <c:pt idx="6">
                  <c:v>265.79373931020433</c:v>
                </c:pt>
                <c:pt idx="7">
                  <c:v>265.46660194471934</c:v>
                </c:pt>
                <c:pt idx="8">
                  <c:v>257.6189647750856</c:v>
                </c:pt>
                <c:pt idx="9">
                  <c:v>250.28203439414568</c:v>
                </c:pt>
                <c:pt idx="10">
                  <c:v>239.92138226528095</c:v>
                </c:pt>
                <c:pt idx="11">
                  <c:v>225.62676110796767</c:v>
                </c:pt>
                <c:pt idx="12">
                  <c:v>206.21427521797898</c:v>
                </c:pt>
                <c:pt idx="13">
                  <c:v>180.14421617792934</c:v>
                </c:pt>
                <c:pt idx="14">
                  <c:v>145.4142571123673</c:v>
                </c:pt>
                <c:pt idx="15">
                  <c:v>99.420623459999533</c:v>
                </c:pt>
                <c:pt idx="16">
                  <c:v>38.777649006128442</c:v>
                </c:pt>
              </c:numCache>
            </c:numRef>
          </c:val>
          <c:smooth val="0"/>
          <c:extLst>
            <c:ext xmlns:c16="http://schemas.microsoft.com/office/drawing/2014/chart" uri="{C3380CC4-5D6E-409C-BE32-E72D297353CC}">
              <c16:uniqueId val="{00000001-B5CE-4F19-AC03-755C6F6194EE}"/>
            </c:ext>
          </c:extLst>
        </c:ser>
        <c:dLbls>
          <c:showLegendKey val="0"/>
          <c:showVal val="0"/>
          <c:showCatName val="0"/>
          <c:showSerName val="0"/>
          <c:showPercent val="0"/>
          <c:showBubbleSize val="0"/>
        </c:dLbls>
        <c:smooth val="0"/>
        <c:axId val="591409791"/>
        <c:axId val="1067732527"/>
      </c:lineChart>
      <c:catAx>
        <c:axId val="591409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67732527"/>
        <c:crosses val="autoZero"/>
        <c:auto val="1"/>
        <c:lblAlgn val="ctr"/>
        <c:lblOffset val="100"/>
        <c:noMultiLvlLbl val="0"/>
      </c:catAx>
      <c:valAx>
        <c:axId val="1067732527"/>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591409791"/>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S0a Baseline vakio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areaChart>
        <c:grouping val="stacked"/>
        <c:varyColors val="0"/>
        <c:ser>
          <c:idx val="4"/>
          <c:order val="0"/>
          <c:tx>
            <c:strRef>
              <c:f>'Laaja yhteenveto'!$F$3</c:f>
              <c:strCache>
                <c:ptCount val="1"/>
                <c:pt idx="0">
                  <c:v>Fossiilisen polttoaineen poltto</c:v>
                </c:pt>
              </c:strCache>
            </c:strRef>
          </c:tx>
          <c:spPr>
            <a:solidFill>
              <a:schemeClr val="tx2"/>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yhteenveto'!$F$4:$F$20</c:f>
              <c:numCache>
                <c:formatCode>#,##0</c:formatCode>
                <c:ptCount val="17"/>
                <c:pt idx="0">
                  <c:v>264.97163285999994</c:v>
                </c:pt>
                <c:pt idx="1">
                  <c:v>264.97163285999994</c:v>
                </c:pt>
                <c:pt idx="2">
                  <c:v>257.02248387419991</c:v>
                </c:pt>
                <c:pt idx="3">
                  <c:v>254.3727675456</c:v>
                </c:pt>
                <c:pt idx="4">
                  <c:v>251.72305121699995</c:v>
                </c:pt>
                <c:pt idx="5">
                  <c:v>249.07333488840004</c:v>
                </c:pt>
                <c:pt idx="6">
                  <c:v>246.42361855980002</c:v>
                </c:pt>
                <c:pt idx="7">
                  <c:v>243.77390223120005</c:v>
                </c:pt>
                <c:pt idx="8">
                  <c:v>241.12418590260003</c:v>
                </c:pt>
                <c:pt idx="9">
                  <c:v>238.47446957399998</c:v>
                </c:pt>
                <c:pt idx="10">
                  <c:v>238.47446957399998</c:v>
                </c:pt>
                <c:pt idx="11">
                  <c:v>238.47446957399998</c:v>
                </c:pt>
                <c:pt idx="12">
                  <c:v>238.47446957399998</c:v>
                </c:pt>
                <c:pt idx="13">
                  <c:v>238.47446957399998</c:v>
                </c:pt>
                <c:pt idx="14">
                  <c:v>238.47446957399998</c:v>
                </c:pt>
                <c:pt idx="15">
                  <c:v>238.47446957399998</c:v>
                </c:pt>
                <c:pt idx="16">
                  <c:v>238.47446957399998</c:v>
                </c:pt>
              </c:numCache>
            </c:numRef>
          </c:val>
          <c:extLst>
            <c:ext xmlns:c16="http://schemas.microsoft.com/office/drawing/2014/chart" uri="{C3380CC4-5D6E-409C-BE32-E72D297353CC}">
              <c16:uniqueId val="{00000004-A0C5-467F-A38E-BD4F648CA0CB}"/>
            </c:ext>
          </c:extLst>
        </c:ser>
        <c:ser>
          <c:idx val="1"/>
          <c:order val="1"/>
          <c:tx>
            <c:strRef>
              <c:f>'Laaja yhteenveto'!$B$3</c:f>
              <c:strCache>
                <c:ptCount val="1"/>
                <c:pt idx="0">
                  <c:v>Fossiilisen polttoaineen tuotanto</c:v>
                </c:pt>
              </c:strCache>
            </c:strRef>
          </c:tx>
          <c:spPr>
            <a:solidFill>
              <a:schemeClr val="bg2">
                <a:lumMod val="50000"/>
              </a:schemeClr>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yhteenveto'!$B$4:$B$20</c:f>
              <c:numCache>
                <c:formatCode>#,##0</c:formatCode>
                <c:ptCount val="17"/>
                <c:pt idx="0">
                  <c:v>67.850999999999985</c:v>
                </c:pt>
                <c:pt idx="1">
                  <c:v>67.850999999999985</c:v>
                </c:pt>
                <c:pt idx="2">
                  <c:v>65.815469999999991</c:v>
                </c:pt>
                <c:pt idx="3">
                  <c:v>65.136959999999974</c:v>
                </c:pt>
                <c:pt idx="4">
                  <c:v>64.458449999999999</c:v>
                </c:pt>
                <c:pt idx="5">
                  <c:v>63.779939999999996</c:v>
                </c:pt>
                <c:pt idx="6">
                  <c:v>63.101429999999979</c:v>
                </c:pt>
                <c:pt idx="7">
                  <c:v>62.422919999999991</c:v>
                </c:pt>
                <c:pt idx="8">
                  <c:v>61.744410000000009</c:v>
                </c:pt>
                <c:pt idx="9">
                  <c:v>61.065899999999985</c:v>
                </c:pt>
                <c:pt idx="10">
                  <c:v>61.065899999999985</c:v>
                </c:pt>
                <c:pt idx="11">
                  <c:v>61.065899999999985</c:v>
                </c:pt>
                <c:pt idx="12">
                  <c:v>61.065899999999985</c:v>
                </c:pt>
                <c:pt idx="13">
                  <c:v>61.065899999999985</c:v>
                </c:pt>
                <c:pt idx="14">
                  <c:v>61.065899999999985</c:v>
                </c:pt>
                <c:pt idx="15">
                  <c:v>61.065899999999985</c:v>
                </c:pt>
                <c:pt idx="16">
                  <c:v>61.065899999999985</c:v>
                </c:pt>
              </c:numCache>
            </c:numRef>
          </c:val>
          <c:extLst>
            <c:ext xmlns:c16="http://schemas.microsoft.com/office/drawing/2014/chart" uri="{C3380CC4-5D6E-409C-BE32-E72D297353CC}">
              <c16:uniqueId val="{00000001-A0C5-467F-A38E-BD4F648CA0CB}"/>
            </c:ext>
          </c:extLst>
        </c:ser>
        <c:ser>
          <c:idx val="2"/>
          <c:order val="2"/>
          <c:tx>
            <c:strRef>
              <c:f>'Laaja yhteenveto'!$C$3</c:f>
              <c:strCache>
                <c:ptCount val="1"/>
                <c:pt idx="0">
                  <c:v>Biopolttoaineen tuotanto</c:v>
                </c:pt>
              </c:strCache>
            </c:strRef>
          </c:tx>
          <c:spPr>
            <a:solidFill>
              <a:srgbClr val="00B050"/>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yhteenveto'!$C$4:$C$20</c:f>
              <c:numCache>
                <c:formatCode>#,##0</c:formatCode>
                <c:ptCount val="17"/>
                <c:pt idx="0">
                  <c:v>0</c:v>
                </c:pt>
                <c:pt idx="1">
                  <c:v>0</c:v>
                </c:pt>
                <c:pt idx="2">
                  <c:v>6.7204800000000011</c:v>
                </c:pt>
                <c:pt idx="3">
                  <c:v>8.9606399999999979</c:v>
                </c:pt>
                <c:pt idx="4">
                  <c:v>11.200799999999999</c:v>
                </c:pt>
                <c:pt idx="5">
                  <c:v>13.440960000000002</c:v>
                </c:pt>
                <c:pt idx="6">
                  <c:v>15.681120000000007</c:v>
                </c:pt>
                <c:pt idx="7">
                  <c:v>17.921279999999996</c:v>
                </c:pt>
                <c:pt idx="8">
                  <c:v>20.161440000000002</c:v>
                </c:pt>
                <c:pt idx="9">
                  <c:v>22.401599999999998</c:v>
                </c:pt>
                <c:pt idx="10">
                  <c:v>22.401599999999998</c:v>
                </c:pt>
                <c:pt idx="11">
                  <c:v>22.401599999999998</c:v>
                </c:pt>
                <c:pt idx="12">
                  <c:v>22.401599999999998</c:v>
                </c:pt>
                <c:pt idx="13">
                  <c:v>22.401599999999998</c:v>
                </c:pt>
                <c:pt idx="14">
                  <c:v>22.401599999999998</c:v>
                </c:pt>
                <c:pt idx="15">
                  <c:v>22.401599999999998</c:v>
                </c:pt>
                <c:pt idx="16">
                  <c:v>22.401599999999998</c:v>
                </c:pt>
              </c:numCache>
            </c:numRef>
          </c:val>
          <c:extLst>
            <c:ext xmlns:c16="http://schemas.microsoft.com/office/drawing/2014/chart" uri="{C3380CC4-5D6E-409C-BE32-E72D297353CC}">
              <c16:uniqueId val="{00000002-A0C5-467F-A38E-BD4F648CA0CB}"/>
            </c:ext>
          </c:extLst>
        </c:ser>
        <c:ser>
          <c:idx val="5"/>
          <c:order val="3"/>
          <c:tx>
            <c:strRef>
              <c:f>'Laaja yhteenveto'!$G$3</c:f>
              <c:strCache>
                <c:ptCount val="1"/>
                <c:pt idx="0">
                  <c:v>Polttoaine-seoksen poltto, muut khk:t</c:v>
                </c:pt>
              </c:strCache>
            </c:strRef>
          </c:tx>
          <c:spPr>
            <a:solidFill>
              <a:srgbClr val="92D050"/>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yhteenveto'!$G$4:$G$20</c:f>
              <c:numCache>
                <c:formatCode>#,##0</c:formatCode>
                <c:ptCount val="17"/>
                <c:pt idx="0">
                  <c:v>3.1774565999999997</c:v>
                </c:pt>
                <c:pt idx="1">
                  <c:v>3.1774565999999997</c:v>
                </c:pt>
                <c:pt idx="2">
                  <c:v>3.1774565999999997</c:v>
                </c:pt>
                <c:pt idx="3">
                  <c:v>3.1774565999999997</c:v>
                </c:pt>
                <c:pt idx="4">
                  <c:v>3.1774565999999997</c:v>
                </c:pt>
                <c:pt idx="5">
                  <c:v>3.1774565999999997</c:v>
                </c:pt>
                <c:pt idx="6">
                  <c:v>3.1774565999999997</c:v>
                </c:pt>
                <c:pt idx="7">
                  <c:v>3.1774565999999997</c:v>
                </c:pt>
                <c:pt idx="8">
                  <c:v>3.1774565999999997</c:v>
                </c:pt>
                <c:pt idx="9">
                  <c:v>3.1774565999999997</c:v>
                </c:pt>
                <c:pt idx="10">
                  <c:v>3.1774565999999997</c:v>
                </c:pt>
                <c:pt idx="11">
                  <c:v>3.1774565999999997</c:v>
                </c:pt>
                <c:pt idx="12">
                  <c:v>3.1774565999999997</c:v>
                </c:pt>
                <c:pt idx="13">
                  <c:v>3.1774565999999997</c:v>
                </c:pt>
                <c:pt idx="14">
                  <c:v>3.1774565999999997</c:v>
                </c:pt>
                <c:pt idx="15">
                  <c:v>3.1774565999999997</c:v>
                </c:pt>
                <c:pt idx="16">
                  <c:v>3.1774565999999997</c:v>
                </c:pt>
              </c:numCache>
            </c:numRef>
          </c:val>
          <c:extLst>
            <c:ext xmlns:c16="http://schemas.microsoft.com/office/drawing/2014/chart" uri="{C3380CC4-5D6E-409C-BE32-E72D297353CC}">
              <c16:uniqueId val="{00000005-A0C5-467F-A38E-BD4F648CA0CB}"/>
            </c:ext>
          </c:extLst>
        </c:ser>
        <c:ser>
          <c:idx val="6"/>
          <c:order val="4"/>
          <c:tx>
            <c:strRef>
              <c:f>'Laaja yhteenveto'!$H$3</c:f>
              <c:strCache>
                <c:ptCount val="1"/>
                <c:pt idx="0">
                  <c:v>Urean käytön päästöt</c:v>
                </c:pt>
              </c:strCache>
            </c:strRef>
          </c:tx>
          <c:spPr>
            <a:solidFill>
              <a:schemeClr val="accent1"/>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yhteenveto'!$H$4:$H$20</c:f>
              <c:numCache>
                <c:formatCode>#,##0</c:formatCode>
                <c:ptCount val="17"/>
                <c:pt idx="0">
                  <c:v>1.1440000000000001</c:v>
                </c:pt>
                <c:pt idx="1">
                  <c:v>1.1440000000000001</c:v>
                </c:pt>
                <c:pt idx="2">
                  <c:v>1.1456009329446064</c:v>
                </c:pt>
                <c:pt idx="3">
                  <c:v>1.1461345772594755</c:v>
                </c:pt>
                <c:pt idx="4">
                  <c:v>1.1466682215743447</c:v>
                </c:pt>
                <c:pt idx="5">
                  <c:v>1.1472018658892129</c:v>
                </c:pt>
                <c:pt idx="6">
                  <c:v>1.1477355102040816</c:v>
                </c:pt>
                <c:pt idx="7">
                  <c:v>1.1482691545189507</c:v>
                </c:pt>
                <c:pt idx="8">
                  <c:v>1.1488027988338194</c:v>
                </c:pt>
                <c:pt idx="9">
                  <c:v>1.1493364431486879</c:v>
                </c:pt>
                <c:pt idx="10">
                  <c:v>1.1493364431486879</c:v>
                </c:pt>
                <c:pt idx="11">
                  <c:v>1.1493364431486879</c:v>
                </c:pt>
                <c:pt idx="12">
                  <c:v>1.1493364431486879</c:v>
                </c:pt>
                <c:pt idx="13">
                  <c:v>1.1493364431486879</c:v>
                </c:pt>
                <c:pt idx="14">
                  <c:v>1.1493364431486879</c:v>
                </c:pt>
                <c:pt idx="15">
                  <c:v>1.1493364431486879</c:v>
                </c:pt>
                <c:pt idx="16">
                  <c:v>1.1493364431486879</c:v>
                </c:pt>
              </c:numCache>
            </c:numRef>
          </c:val>
          <c:extLst>
            <c:ext xmlns:c16="http://schemas.microsoft.com/office/drawing/2014/chart" uri="{C3380CC4-5D6E-409C-BE32-E72D297353CC}">
              <c16:uniqueId val="{00000006-A0C5-467F-A38E-BD4F648CA0CB}"/>
            </c:ext>
          </c:extLst>
        </c:ser>
        <c:ser>
          <c:idx val="3"/>
          <c:order val="5"/>
          <c:tx>
            <c:strRef>
              <c:f>'Laaja yhteenveto'!$D$3</c:f>
              <c:strCache>
                <c:ptCount val="1"/>
                <c:pt idx="0">
                  <c:v>Sähkön tuotanto</c:v>
                </c:pt>
              </c:strCache>
            </c:strRef>
          </c:tx>
          <c:spPr>
            <a:solidFill>
              <a:schemeClr val="accent4"/>
            </a:solidFill>
            <a:ln>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yhteenveto'!$D$4:$D$20</c:f>
              <c:numCache>
                <c:formatCode>#,##0</c:formatCode>
                <c:ptCount val="17"/>
                <c:pt idx="0">
                  <c:v>101.51065717592591</c:v>
                </c:pt>
                <c:pt idx="1">
                  <c:v>100.49555060416665</c:v>
                </c:pt>
                <c:pt idx="2">
                  <c:v>99.490595098124999</c:v>
                </c:pt>
                <c:pt idx="3">
                  <c:v>98.495689147143736</c:v>
                </c:pt>
                <c:pt idx="4">
                  <c:v>97.510732255672309</c:v>
                </c:pt>
                <c:pt idx="5">
                  <c:v>96.535624933115585</c:v>
                </c:pt>
                <c:pt idx="6">
                  <c:v>95.57026868378442</c:v>
                </c:pt>
                <c:pt idx="7">
                  <c:v>94.614565996946595</c:v>
                </c:pt>
                <c:pt idx="8">
                  <c:v>93.668420336977107</c:v>
                </c:pt>
                <c:pt idx="9">
                  <c:v>92.731736133607342</c:v>
                </c:pt>
                <c:pt idx="10">
                  <c:v>91.804418772271276</c:v>
                </c:pt>
                <c:pt idx="11">
                  <c:v>90.886374584548562</c:v>
                </c:pt>
                <c:pt idx="12">
                  <c:v>89.977510838703083</c:v>
                </c:pt>
                <c:pt idx="13">
                  <c:v>89.077735730316036</c:v>
                </c:pt>
                <c:pt idx="14">
                  <c:v>88.186958373012885</c:v>
                </c:pt>
                <c:pt idx="15">
                  <c:v>87.305088789282763</c:v>
                </c:pt>
                <c:pt idx="16">
                  <c:v>86.432037901389933</c:v>
                </c:pt>
              </c:numCache>
            </c:numRef>
          </c:val>
          <c:extLst>
            <c:ext xmlns:c16="http://schemas.microsoft.com/office/drawing/2014/chart" uri="{C3380CC4-5D6E-409C-BE32-E72D297353CC}">
              <c16:uniqueId val="{00000003-A0C5-467F-A38E-BD4F648CA0CB}"/>
            </c:ext>
          </c:extLst>
        </c:ser>
        <c:ser>
          <c:idx val="0"/>
          <c:order val="6"/>
          <c:tx>
            <c:strRef>
              <c:f>'Laaja yhteenveto'!$E$3</c:f>
              <c:strCache>
                <c:ptCount val="1"/>
                <c:pt idx="0">
                  <c:v>Akun tuotanto</c:v>
                </c:pt>
              </c:strCache>
            </c:strRef>
          </c:tx>
          <c:spPr>
            <a:solidFill>
              <a:srgbClr val="C00000"/>
            </a:solidFill>
            <a:ln w="25400">
              <a:noFill/>
            </a:ln>
            <a:effectLst/>
          </c:spPr>
          <c:cat>
            <c:numRef>
              <c:f>'Laaja yhteenveto'!$A$4:$A$20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yhteenveto'!$E$4:$E$20</c:f>
              <c:numCache>
                <c:formatCode>#,##0</c:formatCode>
                <c:ptCount val="17"/>
                <c:pt idx="0">
                  <c:v>43.121723076923082</c:v>
                </c:pt>
                <c:pt idx="1">
                  <c:v>43.121723076923082</c:v>
                </c:pt>
                <c:pt idx="2">
                  <c:v>43.121723076923082</c:v>
                </c:pt>
                <c:pt idx="3">
                  <c:v>43.121723076923082</c:v>
                </c:pt>
                <c:pt idx="4">
                  <c:v>43.121723076923082</c:v>
                </c:pt>
                <c:pt idx="5">
                  <c:v>43.121723076923082</c:v>
                </c:pt>
                <c:pt idx="6">
                  <c:v>43.121723076923082</c:v>
                </c:pt>
                <c:pt idx="7">
                  <c:v>43.121723076923082</c:v>
                </c:pt>
                <c:pt idx="8">
                  <c:v>43.121723076923082</c:v>
                </c:pt>
                <c:pt idx="9">
                  <c:v>43.121723076923082</c:v>
                </c:pt>
                <c:pt idx="10">
                  <c:v>43.121723076923082</c:v>
                </c:pt>
                <c:pt idx="11">
                  <c:v>43.121723076923082</c:v>
                </c:pt>
                <c:pt idx="12">
                  <c:v>43.121723076923082</c:v>
                </c:pt>
                <c:pt idx="13">
                  <c:v>43.121723076923082</c:v>
                </c:pt>
                <c:pt idx="14">
                  <c:v>43.121723076923082</c:v>
                </c:pt>
                <c:pt idx="15">
                  <c:v>43.121723076923082</c:v>
                </c:pt>
                <c:pt idx="16">
                  <c:v>43.121723076923082</c:v>
                </c:pt>
              </c:numCache>
            </c:numRef>
          </c:val>
          <c:extLst>
            <c:ext xmlns:c16="http://schemas.microsoft.com/office/drawing/2014/chart" uri="{C3380CC4-5D6E-409C-BE32-E72D297353CC}">
              <c16:uniqueId val="{00000000-5F94-47BC-9309-2C43FE2780F0}"/>
            </c:ext>
          </c:extLst>
        </c:ser>
        <c:dLbls>
          <c:showLegendKey val="0"/>
          <c:showVal val="0"/>
          <c:showCatName val="0"/>
          <c:showSerName val="0"/>
          <c:showPercent val="0"/>
          <c:showBubbleSize val="0"/>
        </c:dLbls>
        <c:axId val="1459904336"/>
        <c:axId val="1235358848"/>
      </c:areaChart>
      <c:catAx>
        <c:axId val="1459904336"/>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35358848"/>
        <c:crosses val="autoZero"/>
        <c:auto val="1"/>
        <c:lblAlgn val="ctr"/>
        <c:lblOffset val="100"/>
        <c:noMultiLvlLbl val="0"/>
      </c:catAx>
      <c:valAx>
        <c:axId val="1235358848"/>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459904336"/>
        <c:crosses val="autoZero"/>
        <c:crossBetween val="midCat"/>
        <c:minorUnit val="2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S1b Baseline kasvu</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areaChart>
        <c:grouping val="stacked"/>
        <c:varyColors val="0"/>
        <c:ser>
          <c:idx val="5"/>
          <c:order val="0"/>
          <c:tx>
            <c:strRef>
              <c:f>'Laaja yhteenveto'!$F$23</c:f>
              <c:strCache>
                <c:ptCount val="1"/>
                <c:pt idx="0">
                  <c:v>Fossiilisen polttoaineen poltto</c:v>
                </c:pt>
              </c:strCache>
            </c:strRef>
          </c:tx>
          <c:spPr>
            <a:solidFill>
              <a:schemeClr val="tx2"/>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yhteenveto'!$F$24:$F$40</c:f>
              <c:numCache>
                <c:formatCode>#,##0</c:formatCode>
                <c:ptCount val="17"/>
                <c:pt idx="0">
                  <c:v>264.97163285999994</c:v>
                </c:pt>
                <c:pt idx="1">
                  <c:v>267.62134918859999</c:v>
                </c:pt>
                <c:pt idx="2">
                  <c:v>262.16293355168398</c:v>
                </c:pt>
                <c:pt idx="3">
                  <c:v>262.00395057196795</c:v>
                </c:pt>
                <c:pt idx="4">
                  <c:v>261.79197326567993</c:v>
                </c:pt>
                <c:pt idx="5">
                  <c:v>261.52700163281997</c:v>
                </c:pt>
                <c:pt idx="6">
                  <c:v>261.20903567338809</c:v>
                </c:pt>
                <c:pt idx="7">
                  <c:v>260.83807538738404</c:v>
                </c:pt>
                <c:pt idx="8">
                  <c:v>260.414120774808</c:v>
                </c:pt>
                <c:pt idx="9">
                  <c:v>259.93717183565997</c:v>
                </c:pt>
                <c:pt idx="10">
                  <c:v>262.32191653140001</c:v>
                </c:pt>
                <c:pt idx="11">
                  <c:v>264.70666122714016</c:v>
                </c:pt>
                <c:pt idx="12">
                  <c:v>267.09140592288009</c:v>
                </c:pt>
                <c:pt idx="13">
                  <c:v>269.47615061861995</c:v>
                </c:pt>
                <c:pt idx="14">
                  <c:v>271.86089531436005</c:v>
                </c:pt>
                <c:pt idx="15">
                  <c:v>274.24564001010003</c:v>
                </c:pt>
                <c:pt idx="16">
                  <c:v>276.63038470584007</c:v>
                </c:pt>
              </c:numCache>
            </c:numRef>
          </c:val>
          <c:extLst>
            <c:ext xmlns:c16="http://schemas.microsoft.com/office/drawing/2014/chart" uri="{C3380CC4-5D6E-409C-BE32-E72D297353CC}">
              <c16:uniqueId val="{00000004-DC11-4C7C-AFB1-F00A31F28E30}"/>
            </c:ext>
          </c:extLst>
        </c:ser>
        <c:ser>
          <c:idx val="2"/>
          <c:order val="1"/>
          <c:tx>
            <c:strRef>
              <c:f>'Laaja yhteenveto'!$B$23</c:f>
              <c:strCache>
                <c:ptCount val="1"/>
                <c:pt idx="0">
                  <c:v>Fossiilisen polttoaineen tuotanto</c:v>
                </c:pt>
              </c:strCache>
            </c:strRef>
          </c:tx>
          <c:spPr>
            <a:solidFill>
              <a:schemeClr val="bg2">
                <a:lumMod val="50000"/>
              </a:schemeClr>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yhteenveto'!$B$24:$B$40</c:f>
              <c:numCache>
                <c:formatCode>#,##0</c:formatCode>
                <c:ptCount val="17"/>
                <c:pt idx="0">
                  <c:v>67.850999999999985</c:v>
                </c:pt>
                <c:pt idx="1">
                  <c:v>68.529509999999988</c:v>
                </c:pt>
                <c:pt idx="2">
                  <c:v>67.131779399999999</c:v>
                </c:pt>
                <c:pt idx="3">
                  <c:v>67.091068800000002</c:v>
                </c:pt>
                <c:pt idx="4">
                  <c:v>67.036788000000001</c:v>
                </c:pt>
                <c:pt idx="5">
                  <c:v>66.968936999999983</c:v>
                </c:pt>
                <c:pt idx="6">
                  <c:v>66.887515800000003</c:v>
                </c:pt>
                <c:pt idx="7">
                  <c:v>66.792524400000005</c:v>
                </c:pt>
                <c:pt idx="8">
                  <c:v>66.683962799999975</c:v>
                </c:pt>
                <c:pt idx="9">
                  <c:v>66.561830999999984</c:v>
                </c:pt>
                <c:pt idx="10">
                  <c:v>67.172489999999968</c:v>
                </c:pt>
                <c:pt idx="11">
                  <c:v>67.783148999999995</c:v>
                </c:pt>
                <c:pt idx="12">
                  <c:v>68.393808000000007</c:v>
                </c:pt>
                <c:pt idx="13">
                  <c:v>69.004466999999977</c:v>
                </c:pt>
                <c:pt idx="14">
                  <c:v>69.615126000000004</c:v>
                </c:pt>
                <c:pt idx="15">
                  <c:v>70.225785000000002</c:v>
                </c:pt>
                <c:pt idx="16">
                  <c:v>70.836443999999986</c:v>
                </c:pt>
              </c:numCache>
            </c:numRef>
          </c:val>
          <c:extLst>
            <c:ext xmlns:c16="http://schemas.microsoft.com/office/drawing/2014/chart" uri="{C3380CC4-5D6E-409C-BE32-E72D297353CC}">
              <c16:uniqueId val="{00000001-DC11-4C7C-AFB1-F00A31F28E30}"/>
            </c:ext>
          </c:extLst>
        </c:ser>
        <c:ser>
          <c:idx val="3"/>
          <c:order val="2"/>
          <c:tx>
            <c:strRef>
              <c:f>'Laaja yhteenveto'!$C$23</c:f>
              <c:strCache>
                <c:ptCount val="1"/>
                <c:pt idx="0">
                  <c:v>Biopolttoaineen tuotanto</c:v>
                </c:pt>
              </c:strCache>
            </c:strRef>
          </c:tx>
          <c:spPr>
            <a:solidFill>
              <a:srgbClr val="00B050"/>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yhteenveto'!$C$24:$C$40</c:f>
              <c:numCache>
                <c:formatCode>#,##0</c:formatCode>
                <c:ptCount val="17"/>
                <c:pt idx="0">
                  <c:v>0</c:v>
                </c:pt>
                <c:pt idx="1">
                  <c:v>0</c:v>
                </c:pt>
                <c:pt idx="2">
                  <c:v>6.854889599999999</c:v>
                </c:pt>
                <c:pt idx="3">
                  <c:v>9.2294591999999991</c:v>
                </c:pt>
                <c:pt idx="4">
                  <c:v>11.648832000000001</c:v>
                </c:pt>
                <c:pt idx="5">
                  <c:v>14.113007999999997</c:v>
                </c:pt>
                <c:pt idx="6">
                  <c:v>16.621987199999996</c:v>
                </c:pt>
                <c:pt idx="7">
                  <c:v>19.175769599999995</c:v>
                </c:pt>
                <c:pt idx="8">
                  <c:v>21.774355199999995</c:v>
                </c:pt>
                <c:pt idx="9">
                  <c:v>24.417743999999999</c:v>
                </c:pt>
                <c:pt idx="10">
                  <c:v>24.641760000000005</c:v>
                </c:pt>
                <c:pt idx="11">
                  <c:v>24.865776000000004</c:v>
                </c:pt>
                <c:pt idx="12">
                  <c:v>25.089791999999999</c:v>
                </c:pt>
                <c:pt idx="13">
                  <c:v>25.313808000000005</c:v>
                </c:pt>
                <c:pt idx="14">
                  <c:v>25.537824000000004</c:v>
                </c:pt>
                <c:pt idx="15">
                  <c:v>25.761840000000003</c:v>
                </c:pt>
                <c:pt idx="16">
                  <c:v>25.985855999999998</c:v>
                </c:pt>
              </c:numCache>
            </c:numRef>
          </c:val>
          <c:extLst>
            <c:ext xmlns:c16="http://schemas.microsoft.com/office/drawing/2014/chart" uri="{C3380CC4-5D6E-409C-BE32-E72D297353CC}">
              <c16:uniqueId val="{00000002-DC11-4C7C-AFB1-F00A31F28E30}"/>
            </c:ext>
          </c:extLst>
        </c:ser>
        <c:ser>
          <c:idx val="6"/>
          <c:order val="3"/>
          <c:tx>
            <c:strRef>
              <c:f>'Laaja yhteenveto'!$G$23</c:f>
              <c:strCache>
                <c:ptCount val="1"/>
                <c:pt idx="0">
                  <c:v>Polttoaine-seoksen poltto, muut khk:t</c:v>
                </c:pt>
              </c:strCache>
            </c:strRef>
          </c:tx>
          <c:spPr>
            <a:solidFill>
              <a:srgbClr val="92D050"/>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yhteenveto'!$G$24:$G$40</c:f>
              <c:numCache>
                <c:formatCode>#,##0</c:formatCode>
                <c:ptCount val="17"/>
                <c:pt idx="0">
                  <c:v>3.1774565999999997</c:v>
                </c:pt>
                <c:pt idx="1">
                  <c:v>3.2092311659999999</c:v>
                </c:pt>
                <c:pt idx="2">
                  <c:v>3.2410057319999996</c:v>
                </c:pt>
                <c:pt idx="3">
                  <c:v>3.2727802980000003</c:v>
                </c:pt>
                <c:pt idx="4">
                  <c:v>3.304554864</c:v>
                </c:pt>
                <c:pt idx="5">
                  <c:v>3.3363294300000002</c:v>
                </c:pt>
                <c:pt idx="6">
                  <c:v>3.3681039959999999</c:v>
                </c:pt>
                <c:pt idx="7">
                  <c:v>3.399878562</c:v>
                </c:pt>
                <c:pt idx="8">
                  <c:v>3.4316531280000002</c:v>
                </c:pt>
                <c:pt idx="9">
                  <c:v>3.4634276940000004</c:v>
                </c:pt>
                <c:pt idx="10">
                  <c:v>3.4952022600000006</c:v>
                </c:pt>
                <c:pt idx="11">
                  <c:v>3.5269768260000007</c:v>
                </c:pt>
                <c:pt idx="12">
                  <c:v>3.5587513920000009</c:v>
                </c:pt>
                <c:pt idx="13">
                  <c:v>3.5905259579999989</c:v>
                </c:pt>
                <c:pt idx="14">
                  <c:v>3.6223005240000012</c:v>
                </c:pt>
                <c:pt idx="15">
                  <c:v>3.654075090000001</c:v>
                </c:pt>
                <c:pt idx="16">
                  <c:v>3.6858496560000003</c:v>
                </c:pt>
              </c:numCache>
            </c:numRef>
          </c:val>
          <c:extLst>
            <c:ext xmlns:c16="http://schemas.microsoft.com/office/drawing/2014/chart" uri="{C3380CC4-5D6E-409C-BE32-E72D297353CC}">
              <c16:uniqueId val="{00000005-DC11-4C7C-AFB1-F00A31F28E30}"/>
            </c:ext>
          </c:extLst>
        </c:ser>
        <c:ser>
          <c:idx val="0"/>
          <c:order val="4"/>
          <c:tx>
            <c:strRef>
              <c:f>'Laaja yhteenveto'!$H$23</c:f>
              <c:strCache>
                <c:ptCount val="1"/>
                <c:pt idx="0">
                  <c:v>Urean käytön päästöt</c:v>
                </c:pt>
              </c:strCache>
            </c:strRef>
          </c:tx>
          <c:spPr>
            <a:solidFill>
              <a:schemeClr val="accent1"/>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yhteenveto'!$H$24:$H$40</c:f>
              <c:numCache>
                <c:formatCode>#,##0</c:formatCode>
                <c:ptCount val="17"/>
                <c:pt idx="0">
                  <c:v>1.1440000000000001</c:v>
                </c:pt>
                <c:pt idx="1">
                  <c:v>1.15544</c:v>
                </c:pt>
                <c:pt idx="2">
                  <c:v>1.1685129516034987</c:v>
                </c:pt>
                <c:pt idx="3">
                  <c:v>1.1805186145772595</c:v>
                </c:pt>
                <c:pt idx="4">
                  <c:v>1.1925349504373177</c:v>
                </c:pt>
                <c:pt idx="5">
                  <c:v>1.2045619591836734</c:v>
                </c:pt>
                <c:pt idx="6">
                  <c:v>1.2165996408163267</c:v>
                </c:pt>
                <c:pt idx="7">
                  <c:v>1.2286479953352769</c:v>
                </c:pt>
                <c:pt idx="8">
                  <c:v>1.240707022740525</c:v>
                </c:pt>
                <c:pt idx="9">
                  <c:v>1.2527767230320701</c:v>
                </c:pt>
                <c:pt idx="10">
                  <c:v>1.2642700874635564</c:v>
                </c:pt>
                <c:pt idx="11">
                  <c:v>1.275763451895044</c:v>
                </c:pt>
                <c:pt idx="12">
                  <c:v>1.2872568163265312</c:v>
                </c:pt>
                <c:pt idx="13">
                  <c:v>1.2987501807580173</c:v>
                </c:pt>
                <c:pt idx="14">
                  <c:v>1.3102435451895045</c:v>
                </c:pt>
                <c:pt idx="15">
                  <c:v>1.3217369096209912</c:v>
                </c:pt>
                <c:pt idx="16">
                  <c:v>1.333230274052478</c:v>
                </c:pt>
              </c:numCache>
            </c:numRef>
          </c:val>
          <c:extLst>
            <c:ext xmlns:c16="http://schemas.microsoft.com/office/drawing/2014/chart" uri="{C3380CC4-5D6E-409C-BE32-E72D297353CC}">
              <c16:uniqueId val="{00000006-DC11-4C7C-AFB1-F00A31F28E30}"/>
            </c:ext>
          </c:extLst>
        </c:ser>
        <c:ser>
          <c:idx val="4"/>
          <c:order val="5"/>
          <c:tx>
            <c:strRef>
              <c:f>'Laaja yhteenveto'!$D$23</c:f>
              <c:strCache>
                <c:ptCount val="1"/>
                <c:pt idx="0">
                  <c:v>Sähkön tuotanto</c:v>
                </c:pt>
              </c:strCache>
            </c:strRef>
          </c:tx>
          <c:spPr>
            <a:solidFill>
              <a:schemeClr val="accent4"/>
            </a:solidFill>
            <a:ln>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yhteenveto'!$D$24:$D$40</c:f>
              <c:numCache>
                <c:formatCode>#,##0</c:formatCode>
                <c:ptCount val="17"/>
                <c:pt idx="0">
                  <c:v>101.51065717592591</c:v>
                </c:pt>
                <c:pt idx="1">
                  <c:v>101.50050611020835</c:v>
                </c:pt>
                <c:pt idx="2">
                  <c:v>101.4804070000875</c:v>
                </c:pt>
                <c:pt idx="3">
                  <c:v>101.45055982155806</c:v>
                </c:pt>
                <c:pt idx="4">
                  <c:v>101.4111615458992</c:v>
                </c:pt>
                <c:pt idx="5">
                  <c:v>101.3624061797714</c:v>
                </c:pt>
                <c:pt idx="6">
                  <c:v>101.30448480481151</c:v>
                </c:pt>
                <c:pt idx="7">
                  <c:v>101.23758561673287</c:v>
                </c:pt>
                <c:pt idx="8">
                  <c:v>101.1618939639353</c:v>
                </c:pt>
                <c:pt idx="9">
                  <c:v>101.07759238563203</c:v>
                </c:pt>
                <c:pt idx="10">
                  <c:v>100.98486064949843</c:v>
                </c:pt>
                <c:pt idx="11">
                  <c:v>100.88387578884894</c:v>
                </c:pt>
                <c:pt idx="12">
                  <c:v>100.77481213934747</c:v>
                </c:pt>
                <c:pt idx="13">
                  <c:v>100.65784137525714</c:v>
                </c:pt>
                <c:pt idx="14">
                  <c:v>100.53313254523472</c:v>
                </c:pt>
                <c:pt idx="15">
                  <c:v>100.40085210767519</c:v>
                </c:pt>
                <c:pt idx="16">
                  <c:v>100.26116396561231</c:v>
                </c:pt>
              </c:numCache>
            </c:numRef>
          </c:val>
          <c:extLst>
            <c:ext xmlns:c16="http://schemas.microsoft.com/office/drawing/2014/chart" uri="{C3380CC4-5D6E-409C-BE32-E72D297353CC}">
              <c16:uniqueId val="{00000003-DC11-4C7C-AFB1-F00A31F28E30}"/>
            </c:ext>
          </c:extLst>
        </c:ser>
        <c:ser>
          <c:idx val="1"/>
          <c:order val="6"/>
          <c:tx>
            <c:strRef>
              <c:f>'Laaja yhteenveto'!$E$23</c:f>
              <c:strCache>
                <c:ptCount val="1"/>
                <c:pt idx="0">
                  <c:v>Akun tuotanto</c:v>
                </c:pt>
              </c:strCache>
            </c:strRef>
          </c:tx>
          <c:spPr>
            <a:solidFill>
              <a:srgbClr val="C00000"/>
            </a:solidFill>
            <a:ln w="25400">
              <a:noFill/>
            </a:ln>
            <a:effectLst/>
          </c:spPr>
          <c:cat>
            <c:numRef>
              <c:f>'Laaja yhteenveto'!$A$24:$A$40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yhteenveto'!$E$24:$E$40</c:f>
              <c:numCache>
                <c:formatCode>#\ ##0.0</c:formatCode>
                <c:ptCount val="17"/>
                <c:pt idx="0">
                  <c:v>43.121723076923082</c:v>
                </c:pt>
                <c:pt idx="1">
                  <c:v>43.121723076923082</c:v>
                </c:pt>
                <c:pt idx="2">
                  <c:v>43.121723076923082</c:v>
                </c:pt>
                <c:pt idx="3">
                  <c:v>43.121723076923082</c:v>
                </c:pt>
                <c:pt idx="4">
                  <c:v>43.121723076923082</c:v>
                </c:pt>
                <c:pt idx="5">
                  <c:v>43.121723076923082</c:v>
                </c:pt>
                <c:pt idx="6">
                  <c:v>43.121723076923082</c:v>
                </c:pt>
                <c:pt idx="7">
                  <c:v>43.121723076923082</c:v>
                </c:pt>
                <c:pt idx="8">
                  <c:v>43.121723076923082</c:v>
                </c:pt>
                <c:pt idx="9">
                  <c:v>43.121723076923082</c:v>
                </c:pt>
                <c:pt idx="10">
                  <c:v>43.121723076923082</c:v>
                </c:pt>
                <c:pt idx="11">
                  <c:v>43.121723076923082</c:v>
                </c:pt>
                <c:pt idx="12">
                  <c:v>43.121723076923082</c:v>
                </c:pt>
                <c:pt idx="13">
                  <c:v>43.121723076923082</c:v>
                </c:pt>
                <c:pt idx="14">
                  <c:v>43.121723076923082</c:v>
                </c:pt>
                <c:pt idx="15">
                  <c:v>43.121723076923082</c:v>
                </c:pt>
                <c:pt idx="16">
                  <c:v>43.121723076923082</c:v>
                </c:pt>
              </c:numCache>
            </c:numRef>
          </c:val>
          <c:extLst>
            <c:ext xmlns:c16="http://schemas.microsoft.com/office/drawing/2014/chart" uri="{C3380CC4-5D6E-409C-BE32-E72D297353CC}">
              <c16:uniqueId val="{00000000-35EC-4525-BB69-E57B96757A2A}"/>
            </c:ext>
          </c:extLst>
        </c:ser>
        <c:dLbls>
          <c:showLegendKey val="0"/>
          <c:showVal val="0"/>
          <c:showCatName val="0"/>
          <c:showSerName val="0"/>
          <c:showPercent val="0"/>
          <c:showBubbleSize val="0"/>
        </c:dLbls>
        <c:axId val="1459904336"/>
        <c:axId val="1235358848"/>
      </c:areaChart>
      <c:catAx>
        <c:axId val="1459904336"/>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35358848"/>
        <c:crosses val="autoZero"/>
        <c:auto val="1"/>
        <c:lblAlgn val="ctr"/>
        <c:lblOffset val="100"/>
        <c:noMultiLvlLbl val="0"/>
      </c:catAx>
      <c:valAx>
        <c:axId val="1235358848"/>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459904336"/>
        <c:crosses val="autoZero"/>
        <c:crossBetween val="midCat"/>
        <c:minorUnit val="2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S1 Sähköistyminen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areaChart>
        <c:grouping val="stacked"/>
        <c:varyColors val="0"/>
        <c:ser>
          <c:idx val="5"/>
          <c:order val="0"/>
          <c:tx>
            <c:strRef>
              <c:f>'Laaja yhteenveto'!$F$43</c:f>
              <c:strCache>
                <c:ptCount val="1"/>
                <c:pt idx="0">
                  <c:v>Fossiilisen polttoaineen poltto</c:v>
                </c:pt>
              </c:strCache>
            </c:strRef>
          </c:tx>
          <c:spPr>
            <a:solidFill>
              <a:schemeClr val="tx2"/>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yhteenveto'!$F$44:$F$60</c:f>
              <c:numCache>
                <c:formatCode>#,##0</c:formatCode>
                <c:ptCount val="17"/>
                <c:pt idx="0">
                  <c:v>264.97163285999994</c:v>
                </c:pt>
                <c:pt idx="1">
                  <c:v>267.62134918859999</c:v>
                </c:pt>
                <c:pt idx="2">
                  <c:v>209.7303468413472</c:v>
                </c:pt>
                <c:pt idx="3">
                  <c:v>209.60316045757438</c:v>
                </c:pt>
                <c:pt idx="4">
                  <c:v>209.43357861254395</c:v>
                </c:pt>
                <c:pt idx="5">
                  <c:v>209.22160130625596</c:v>
                </c:pt>
                <c:pt idx="6">
                  <c:v>208.96722853871046</c:v>
                </c:pt>
                <c:pt idx="7">
                  <c:v>208.67046030990721</c:v>
                </c:pt>
                <c:pt idx="8">
                  <c:v>208.3312966198464</c:v>
                </c:pt>
                <c:pt idx="9">
                  <c:v>207.94973746852799</c:v>
                </c:pt>
                <c:pt idx="10">
                  <c:v>209.85753322512002</c:v>
                </c:pt>
                <c:pt idx="11">
                  <c:v>211.76532898171212</c:v>
                </c:pt>
                <c:pt idx="12">
                  <c:v>213.67312473830407</c:v>
                </c:pt>
                <c:pt idx="13">
                  <c:v>215.58092049489596</c:v>
                </c:pt>
                <c:pt idx="14">
                  <c:v>217.48871625148806</c:v>
                </c:pt>
                <c:pt idx="15">
                  <c:v>219.39651200808001</c:v>
                </c:pt>
                <c:pt idx="16">
                  <c:v>221.30430776467205</c:v>
                </c:pt>
              </c:numCache>
            </c:numRef>
          </c:val>
          <c:extLst>
            <c:ext xmlns:c16="http://schemas.microsoft.com/office/drawing/2014/chart" uri="{C3380CC4-5D6E-409C-BE32-E72D297353CC}">
              <c16:uniqueId val="{00000003-8EC7-4050-A79F-11738E329D1D}"/>
            </c:ext>
          </c:extLst>
        </c:ser>
        <c:ser>
          <c:idx val="2"/>
          <c:order val="1"/>
          <c:tx>
            <c:strRef>
              <c:f>'Laaja yhteenveto'!$B$43</c:f>
              <c:strCache>
                <c:ptCount val="1"/>
                <c:pt idx="0">
                  <c:v>Fossiilisen polttoaineen tuotanto</c:v>
                </c:pt>
              </c:strCache>
            </c:strRef>
          </c:tx>
          <c:spPr>
            <a:solidFill>
              <a:schemeClr val="tx1">
                <a:lumMod val="50000"/>
                <a:lumOff val="50000"/>
              </a:schemeClr>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yhteenveto'!$B$44:$B$60</c:f>
              <c:numCache>
                <c:formatCode>#,##0</c:formatCode>
                <c:ptCount val="17"/>
                <c:pt idx="0">
                  <c:v>67.850999999999985</c:v>
                </c:pt>
                <c:pt idx="1">
                  <c:v>68.529509999999988</c:v>
                </c:pt>
                <c:pt idx="2">
                  <c:v>53.705423520000004</c:v>
                </c:pt>
                <c:pt idx="3">
                  <c:v>53.672855040000002</c:v>
                </c:pt>
                <c:pt idx="4">
                  <c:v>53.629430399999997</c:v>
                </c:pt>
                <c:pt idx="5">
                  <c:v>53.575149599999989</c:v>
                </c:pt>
                <c:pt idx="6">
                  <c:v>53.510012639999999</c:v>
                </c:pt>
                <c:pt idx="7">
                  <c:v>53.43401952</c:v>
                </c:pt>
                <c:pt idx="8">
                  <c:v>53.347170239999983</c:v>
                </c:pt>
                <c:pt idx="9">
                  <c:v>53.249464799999991</c:v>
                </c:pt>
                <c:pt idx="10">
                  <c:v>53.737991999999977</c:v>
                </c:pt>
                <c:pt idx="11">
                  <c:v>54.226519199999998</c:v>
                </c:pt>
                <c:pt idx="12">
                  <c:v>54.715046400000006</c:v>
                </c:pt>
                <c:pt idx="13">
                  <c:v>55.203573599999984</c:v>
                </c:pt>
                <c:pt idx="14">
                  <c:v>55.692100799999999</c:v>
                </c:pt>
                <c:pt idx="15">
                  <c:v>56.180627999999999</c:v>
                </c:pt>
                <c:pt idx="16">
                  <c:v>56.669155199999985</c:v>
                </c:pt>
              </c:numCache>
            </c:numRef>
          </c:val>
          <c:extLst>
            <c:ext xmlns:c16="http://schemas.microsoft.com/office/drawing/2014/chart" uri="{C3380CC4-5D6E-409C-BE32-E72D297353CC}">
              <c16:uniqueId val="{00000000-8EC7-4050-A79F-11738E329D1D}"/>
            </c:ext>
          </c:extLst>
        </c:ser>
        <c:ser>
          <c:idx val="3"/>
          <c:order val="2"/>
          <c:tx>
            <c:strRef>
              <c:f>'Laaja yhteenveto'!$C$43</c:f>
              <c:strCache>
                <c:ptCount val="1"/>
                <c:pt idx="0">
                  <c:v>Biopolttoaineen tuotanto</c:v>
                </c:pt>
              </c:strCache>
            </c:strRef>
          </c:tx>
          <c:spPr>
            <a:solidFill>
              <a:srgbClr val="00B050"/>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yhteenveto'!$C$44:$C$60</c:f>
              <c:numCache>
                <c:formatCode>#,##0</c:formatCode>
                <c:ptCount val="17"/>
                <c:pt idx="0">
                  <c:v>0</c:v>
                </c:pt>
                <c:pt idx="1">
                  <c:v>0</c:v>
                </c:pt>
                <c:pt idx="2">
                  <c:v>5.4839116799999994</c:v>
                </c:pt>
                <c:pt idx="3">
                  <c:v>7.3835673599999998</c:v>
                </c:pt>
                <c:pt idx="4">
                  <c:v>9.3190656000000001</c:v>
                </c:pt>
                <c:pt idx="5">
                  <c:v>11.290406399999998</c:v>
                </c:pt>
                <c:pt idx="6">
                  <c:v>13.297589759999997</c:v>
                </c:pt>
                <c:pt idx="7">
                  <c:v>15.340615679999999</c:v>
                </c:pt>
                <c:pt idx="8">
                  <c:v>17.419484159999996</c:v>
                </c:pt>
                <c:pt idx="9">
                  <c:v>19.534195199999999</c:v>
                </c:pt>
                <c:pt idx="10">
                  <c:v>19.713408000000001</c:v>
                </c:pt>
                <c:pt idx="11">
                  <c:v>19.892620800000003</c:v>
                </c:pt>
                <c:pt idx="12">
                  <c:v>20.071833600000001</c:v>
                </c:pt>
                <c:pt idx="13">
                  <c:v>20.251046400000003</c:v>
                </c:pt>
                <c:pt idx="14">
                  <c:v>20.430259200000005</c:v>
                </c:pt>
                <c:pt idx="15">
                  <c:v>20.609472</c:v>
                </c:pt>
                <c:pt idx="16">
                  <c:v>20.788684799999999</c:v>
                </c:pt>
              </c:numCache>
            </c:numRef>
          </c:val>
          <c:extLst>
            <c:ext xmlns:c16="http://schemas.microsoft.com/office/drawing/2014/chart" uri="{C3380CC4-5D6E-409C-BE32-E72D297353CC}">
              <c16:uniqueId val="{00000001-8EC7-4050-A79F-11738E329D1D}"/>
            </c:ext>
          </c:extLst>
        </c:ser>
        <c:ser>
          <c:idx val="6"/>
          <c:order val="3"/>
          <c:tx>
            <c:strRef>
              <c:f>'Laaja yhteenveto'!$G$43</c:f>
              <c:strCache>
                <c:ptCount val="1"/>
                <c:pt idx="0">
                  <c:v>Polttoaine-seoksen poltto, muut khk:t</c:v>
                </c:pt>
              </c:strCache>
            </c:strRef>
          </c:tx>
          <c:spPr>
            <a:solidFill>
              <a:srgbClr val="92D050"/>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yhteenveto'!$G$44:$G$60</c:f>
              <c:numCache>
                <c:formatCode>#,##0</c:formatCode>
                <c:ptCount val="17"/>
                <c:pt idx="0">
                  <c:v>3.1774565999999997</c:v>
                </c:pt>
                <c:pt idx="1">
                  <c:v>3.2092311659999999</c:v>
                </c:pt>
                <c:pt idx="2">
                  <c:v>2.5928045855999997</c:v>
                </c:pt>
                <c:pt idx="3">
                  <c:v>2.6182242384000003</c:v>
                </c:pt>
                <c:pt idx="4">
                  <c:v>2.6436438912</c:v>
                </c:pt>
                <c:pt idx="5">
                  <c:v>2.6690635440000001</c:v>
                </c:pt>
                <c:pt idx="6">
                  <c:v>2.6944831967999998</c:v>
                </c:pt>
                <c:pt idx="7">
                  <c:v>2.7199028495999999</c:v>
                </c:pt>
                <c:pt idx="8">
                  <c:v>2.7453225024000001</c:v>
                </c:pt>
                <c:pt idx="9">
                  <c:v>2.7707421552000002</c:v>
                </c:pt>
                <c:pt idx="10">
                  <c:v>2.7961618080000004</c:v>
                </c:pt>
                <c:pt idx="11">
                  <c:v>2.8215814608000005</c:v>
                </c:pt>
                <c:pt idx="12">
                  <c:v>2.8470011136000006</c:v>
                </c:pt>
                <c:pt idx="13">
                  <c:v>2.8724207663999994</c:v>
                </c:pt>
                <c:pt idx="14">
                  <c:v>2.8978404192000009</c:v>
                </c:pt>
                <c:pt idx="15">
                  <c:v>2.9232600720000006</c:v>
                </c:pt>
                <c:pt idx="16">
                  <c:v>2.9486797247999998</c:v>
                </c:pt>
              </c:numCache>
            </c:numRef>
          </c:val>
          <c:extLst>
            <c:ext xmlns:c16="http://schemas.microsoft.com/office/drawing/2014/chart" uri="{C3380CC4-5D6E-409C-BE32-E72D297353CC}">
              <c16:uniqueId val="{00000004-8EC7-4050-A79F-11738E329D1D}"/>
            </c:ext>
          </c:extLst>
        </c:ser>
        <c:ser>
          <c:idx val="0"/>
          <c:order val="4"/>
          <c:tx>
            <c:strRef>
              <c:f>'Laaja yhteenveto'!$H$43</c:f>
              <c:strCache>
                <c:ptCount val="1"/>
                <c:pt idx="0">
                  <c:v>Urean käytön päästöt</c:v>
                </c:pt>
              </c:strCache>
            </c:strRef>
          </c:tx>
          <c:spPr>
            <a:solidFill>
              <a:schemeClr val="accent1"/>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yhteenveto'!$H$44:$H$60</c:f>
              <c:numCache>
                <c:formatCode>#,##0</c:formatCode>
                <c:ptCount val="17"/>
                <c:pt idx="0">
                  <c:v>1.1440000000000001</c:v>
                </c:pt>
                <c:pt idx="1">
                  <c:v>1.15544</c:v>
                </c:pt>
                <c:pt idx="2">
                  <c:v>0.92949893877551026</c:v>
                </c:pt>
                <c:pt idx="3">
                  <c:v>0.93904889795918378</c:v>
                </c:pt>
                <c:pt idx="4">
                  <c:v>0.94860734693877546</c:v>
                </c:pt>
                <c:pt idx="5">
                  <c:v>0.95817428571428565</c:v>
                </c:pt>
                <c:pt idx="6">
                  <c:v>0.96774971428571432</c:v>
                </c:pt>
                <c:pt idx="7">
                  <c:v>0.97733363265306128</c:v>
                </c:pt>
                <c:pt idx="8">
                  <c:v>0.98692604081632662</c:v>
                </c:pt>
                <c:pt idx="9">
                  <c:v>0.99652693877551024</c:v>
                </c:pt>
                <c:pt idx="10">
                  <c:v>1.0056693877551017</c:v>
                </c:pt>
                <c:pt idx="11">
                  <c:v>1.0148118367346941</c:v>
                </c:pt>
                <c:pt idx="12">
                  <c:v>1.0239542857142863</c:v>
                </c:pt>
                <c:pt idx="13">
                  <c:v>1.0330967346938775</c:v>
                </c:pt>
                <c:pt idx="14">
                  <c:v>1.0422391836734695</c:v>
                </c:pt>
                <c:pt idx="15">
                  <c:v>1.0513816326530612</c:v>
                </c:pt>
                <c:pt idx="16">
                  <c:v>1.0605240816326531</c:v>
                </c:pt>
              </c:numCache>
            </c:numRef>
          </c:val>
          <c:extLst>
            <c:ext xmlns:c16="http://schemas.microsoft.com/office/drawing/2014/chart" uri="{C3380CC4-5D6E-409C-BE32-E72D297353CC}">
              <c16:uniqueId val="{00000005-8EC7-4050-A79F-11738E329D1D}"/>
            </c:ext>
          </c:extLst>
        </c:ser>
        <c:ser>
          <c:idx val="4"/>
          <c:order val="5"/>
          <c:tx>
            <c:strRef>
              <c:f>'Laaja yhteenveto'!$D$43</c:f>
              <c:strCache>
                <c:ptCount val="1"/>
                <c:pt idx="0">
                  <c:v>Sähkön tuotanto</c:v>
                </c:pt>
              </c:strCache>
            </c:strRef>
          </c:tx>
          <c:spPr>
            <a:solidFill>
              <a:schemeClr val="accent4"/>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yhteenveto'!$D$44:$D$60</c:f>
              <c:numCache>
                <c:formatCode>#,##0</c:formatCode>
                <c:ptCount val="17"/>
                <c:pt idx="0">
                  <c:v>101.51065717592591</c:v>
                </c:pt>
                <c:pt idx="1">
                  <c:v>101.50050611020835</c:v>
                </c:pt>
                <c:pt idx="2">
                  <c:v>115.48056110867101</c:v>
                </c:pt>
                <c:pt idx="3">
                  <c:v>115.44659623775668</c:v>
                </c:pt>
                <c:pt idx="4">
                  <c:v>115.4017626081498</c:v>
                </c:pt>
                <c:pt idx="5">
                  <c:v>115.34628099151126</c:v>
                </c:pt>
                <c:pt idx="6">
                  <c:v>115.28036883094468</c:v>
                </c:pt>
                <c:pt idx="7">
                  <c:v>115.20424028549031</c:v>
                </c:pt>
                <c:pt idx="8">
                  <c:v>115.11810627406189</c:v>
                </c:pt>
                <c:pt idx="9">
                  <c:v>115.02217451883351</c:v>
                </c:pt>
                <c:pt idx="10">
                  <c:v>114.91664958808227</c:v>
                </c:pt>
                <c:pt idx="11">
                  <c:v>114.80173293849421</c:v>
                </c:pt>
                <c:pt idx="12">
                  <c:v>114.67762295693909</c:v>
                </c:pt>
                <c:pt idx="13">
                  <c:v>114.54451500172118</c:v>
                </c:pt>
                <c:pt idx="14">
                  <c:v>114.40260144331199</c:v>
                </c:pt>
                <c:pt idx="15">
                  <c:v>114.25207170457078</c:v>
                </c:pt>
                <c:pt idx="16">
                  <c:v>114.09311230046009</c:v>
                </c:pt>
              </c:numCache>
            </c:numRef>
          </c:val>
          <c:extLst>
            <c:ext xmlns:c16="http://schemas.microsoft.com/office/drawing/2014/chart" uri="{C3380CC4-5D6E-409C-BE32-E72D297353CC}">
              <c16:uniqueId val="{00000002-8EC7-4050-A79F-11738E329D1D}"/>
            </c:ext>
          </c:extLst>
        </c:ser>
        <c:ser>
          <c:idx val="1"/>
          <c:order val="6"/>
          <c:tx>
            <c:strRef>
              <c:f>'Laaja yhteenveto'!$E$43</c:f>
              <c:strCache>
                <c:ptCount val="1"/>
                <c:pt idx="0">
                  <c:v>Akun tuotanto</c:v>
                </c:pt>
              </c:strCache>
            </c:strRef>
          </c:tx>
          <c:spPr>
            <a:solidFill>
              <a:srgbClr val="C00000"/>
            </a:solidFill>
            <a:ln w="25400">
              <a:noFill/>
            </a:ln>
            <a:effectLst/>
          </c:spPr>
          <c:cat>
            <c:numRef>
              <c:f>'Laaja yhteenveto'!$A$44:$A$60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yhteenveto'!$E$44:$E$60</c:f>
              <c:numCache>
                <c:formatCode>#\ ##0.0</c:formatCode>
                <c:ptCount val="17"/>
                <c:pt idx="0">
                  <c:v>43.121723076923082</c:v>
                </c:pt>
                <c:pt idx="1">
                  <c:v>43.121723076923082</c:v>
                </c:pt>
                <c:pt idx="2">
                  <c:v>49.62141784615384</c:v>
                </c:pt>
                <c:pt idx="3">
                  <c:v>49.62141784615384</c:v>
                </c:pt>
                <c:pt idx="4">
                  <c:v>49.62141784615384</c:v>
                </c:pt>
                <c:pt idx="5">
                  <c:v>49.62141784615384</c:v>
                </c:pt>
                <c:pt idx="6">
                  <c:v>49.62141784615384</c:v>
                </c:pt>
                <c:pt idx="7">
                  <c:v>49.62141784615384</c:v>
                </c:pt>
                <c:pt idx="8">
                  <c:v>49.62141784615384</c:v>
                </c:pt>
                <c:pt idx="9">
                  <c:v>49.62141784615384</c:v>
                </c:pt>
                <c:pt idx="10">
                  <c:v>49.62141784615384</c:v>
                </c:pt>
                <c:pt idx="11">
                  <c:v>49.62141784615384</c:v>
                </c:pt>
                <c:pt idx="12">
                  <c:v>49.62141784615384</c:v>
                </c:pt>
                <c:pt idx="13">
                  <c:v>49.62141784615384</c:v>
                </c:pt>
                <c:pt idx="14">
                  <c:v>49.62141784615384</c:v>
                </c:pt>
                <c:pt idx="15">
                  <c:v>49.62141784615384</c:v>
                </c:pt>
                <c:pt idx="16">
                  <c:v>49.62141784615384</c:v>
                </c:pt>
              </c:numCache>
            </c:numRef>
          </c:val>
          <c:extLst>
            <c:ext xmlns:c16="http://schemas.microsoft.com/office/drawing/2014/chart" uri="{C3380CC4-5D6E-409C-BE32-E72D297353CC}">
              <c16:uniqueId val="{00000000-3C88-4A68-A66A-782A56D47509}"/>
            </c:ext>
          </c:extLst>
        </c:ser>
        <c:dLbls>
          <c:showLegendKey val="0"/>
          <c:showVal val="0"/>
          <c:showCatName val="0"/>
          <c:showSerName val="0"/>
          <c:showPercent val="0"/>
          <c:showBubbleSize val="0"/>
        </c:dLbls>
        <c:axId val="1459904336"/>
        <c:axId val="1235358848"/>
      </c:areaChart>
      <c:catAx>
        <c:axId val="1459904336"/>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35358848"/>
        <c:crosses val="autoZero"/>
        <c:auto val="1"/>
        <c:lblAlgn val="ctr"/>
        <c:lblOffset val="100"/>
        <c:noMultiLvlLbl val="0"/>
      </c:catAx>
      <c:valAx>
        <c:axId val="1235358848"/>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459904336"/>
        <c:crosses val="autoZero"/>
        <c:crossBetween val="midCat"/>
        <c:minorUnit val="2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S2 Biopolttoaineet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areaChart>
        <c:grouping val="stacked"/>
        <c:varyColors val="0"/>
        <c:ser>
          <c:idx val="6"/>
          <c:order val="0"/>
          <c:tx>
            <c:strRef>
              <c:f>'Laaja yhteenveto'!$F$63</c:f>
              <c:strCache>
                <c:ptCount val="1"/>
                <c:pt idx="0">
                  <c:v>Fossiilisen polttoaineen poltto</c:v>
                </c:pt>
              </c:strCache>
            </c:strRef>
          </c:tx>
          <c:spPr>
            <a:solidFill>
              <a:schemeClr val="tx2"/>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yhteenveto'!$F$64:$F$80</c:f>
              <c:numCache>
                <c:formatCode>#,##0</c:formatCode>
                <c:ptCount val="17"/>
                <c:pt idx="0">
                  <c:v>264.97163285999994</c:v>
                </c:pt>
                <c:pt idx="1">
                  <c:v>267.62134918859999</c:v>
                </c:pt>
                <c:pt idx="2">
                  <c:v>244.68540464823838</c:v>
                </c:pt>
                <c:pt idx="3">
                  <c:v>229.43540393836915</c:v>
                </c:pt>
                <c:pt idx="4">
                  <c:v>213.84270658333438</c:v>
                </c:pt>
                <c:pt idx="5">
                  <c:v>197.907312583134</c:v>
                </c:pt>
                <c:pt idx="6">
                  <c:v>181.62922193776805</c:v>
                </c:pt>
                <c:pt idx="7">
                  <c:v>165.00843464723638</c:v>
                </c:pt>
                <c:pt idx="8">
                  <c:v>148.0449507115392</c:v>
                </c:pt>
                <c:pt idx="9">
                  <c:v>130.73877013067641</c:v>
                </c:pt>
                <c:pt idx="10">
                  <c:v>113.08989290464805</c:v>
                </c:pt>
                <c:pt idx="11">
                  <c:v>95.098319033454018</c:v>
                </c:pt>
                <c:pt idx="12">
                  <c:v>76.764048517094437</c:v>
                </c:pt>
                <c:pt idx="13">
                  <c:v>58.08708135556919</c:v>
                </c:pt>
                <c:pt idx="14">
                  <c:v>39.067417548878396</c:v>
                </c:pt>
                <c:pt idx="15">
                  <c:v>19.705057097021989</c:v>
                </c:pt>
                <c:pt idx="16">
                  <c:v>0</c:v>
                </c:pt>
              </c:numCache>
            </c:numRef>
          </c:val>
          <c:extLst>
            <c:ext xmlns:c16="http://schemas.microsoft.com/office/drawing/2014/chart" uri="{C3380CC4-5D6E-409C-BE32-E72D297353CC}">
              <c16:uniqueId val="{00000004-F0BC-462F-BBC5-87DEF20F85EC}"/>
            </c:ext>
          </c:extLst>
        </c:ser>
        <c:ser>
          <c:idx val="2"/>
          <c:order val="1"/>
          <c:tx>
            <c:strRef>
              <c:f>'Laaja yhteenveto'!$B$63</c:f>
              <c:strCache>
                <c:ptCount val="1"/>
                <c:pt idx="0">
                  <c:v>Fossiilisen polttoaineen tuotanto</c:v>
                </c:pt>
              </c:strCache>
            </c:strRef>
          </c:tx>
          <c:spPr>
            <a:solidFill>
              <a:schemeClr val="bg1">
                <a:lumMod val="50000"/>
              </a:schemeClr>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yhteenveto'!$B$64:$B$80</c:f>
              <c:numCache>
                <c:formatCode>#,##0</c:formatCode>
                <c:ptCount val="17"/>
                <c:pt idx="0">
                  <c:v>67.850999999999985</c:v>
                </c:pt>
                <c:pt idx="1">
                  <c:v>68.529509999999988</c:v>
                </c:pt>
                <c:pt idx="2">
                  <c:v>62.656327440000005</c:v>
                </c:pt>
                <c:pt idx="3">
                  <c:v>58.751276220000001</c:v>
                </c:pt>
                <c:pt idx="4">
                  <c:v>54.758471039999989</c:v>
                </c:pt>
                <c:pt idx="5">
                  <c:v>50.677911900000012</c:v>
                </c:pt>
                <c:pt idx="6">
                  <c:v>46.509598800000013</c:v>
                </c:pt>
                <c:pt idx="7">
                  <c:v>42.253531739999993</c:v>
                </c:pt>
                <c:pt idx="8">
                  <c:v>37.909710719999985</c:v>
                </c:pt>
                <c:pt idx="9">
                  <c:v>33.478135739999992</c:v>
                </c:pt>
                <c:pt idx="10">
                  <c:v>28.958806800000009</c:v>
                </c:pt>
                <c:pt idx="11">
                  <c:v>24.351723900000014</c:v>
                </c:pt>
                <c:pt idx="12">
                  <c:v>19.656887040000012</c:v>
                </c:pt>
                <c:pt idx="13">
                  <c:v>14.874296219999989</c:v>
                </c:pt>
                <c:pt idx="14">
                  <c:v>10.003951439999994</c:v>
                </c:pt>
                <c:pt idx="15">
                  <c:v>5.0458526999999984</c:v>
                </c:pt>
                <c:pt idx="16">
                  <c:v>0</c:v>
                </c:pt>
              </c:numCache>
            </c:numRef>
          </c:val>
          <c:extLst>
            <c:ext xmlns:c16="http://schemas.microsoft.com/office/drawing/2014/chart" uri="{C3380CC4-5D6E-409C-BE32-E72D297353CC}">
              <c16:uniqueId val="{00000000-F0BC-462F-BBC5-87DEF20F85EC}"/>
            </c:ext>
          </c:extLst>
        </c:ser>
        <c:ser>
          <c:idx val="3"/>
          <c:order val="2"/>
          <c:tx>
            <c:strRef>
              <c:f>'Laaja yhteenveto'!$C$63</c:f>
              <c:strCache>
                <c:ptCount val="1"/>
                <c:pt idx="0">
                  <c:v>Biopolttoaineen tuotanto</c:v>
                </c:pt>
              </c:strCache>
            </c:strRef>
          </c:tx>
          <c:spPr>
            <a:solidFill>
              <a:srgbClr val="00B05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yhteenveto'!$C$64:$C$80</c:f>
              <c:numCache>
                <c:formatCode>#,##0</c:formatCode>
                <c:ptCount val="17"/>
                <c:pt idx="0">
                  <c:v>0</c:v>
                </c:pt>
                <c:pt idx="1">
                  <c:v>0</c:v>
                </c:pt>
                <c:pt idx="2">
                  <c:v>21.630984959999996</c:v>
                </c:pt>
                <c:pt idx="3">
                  <c:v>36.764012479999984</c:v>
                </c:pt>
                <c:pt idx="4">
                  <c:v>52.18676735999999</c:v>
                </c:pt>
                <c:pt idx="5">
                  <c:v>67.89924959999999</c:v>
                </c:pt>
                <c:pt idx="6">
                  <c:v>83.901459199999962</c:v>
                </c:pt>
                <c:pt idx="7">
                  <c:v>100.19339616000002</c:v>
                </c:pt>
                <c:pt idx="8">
                  <c:v>116.77506047999999</c:v>
                </c:pt>
                <c:pt idx="9">
                  <c:v>133.64645216000002</c:v>
                </c:pt>
                <c:pt idx="10">
                  <c:v>150.80757119999998</c:v>
                </c:pt>
                <c:pt idx="11">
                  <c:v>168.25841760000003</c:v>
                </c:pt>
                <c:pt idx="12">
                  <c:v>185.99899136000002</c:v>
                </c:pt>
                <c:pt idx="13">
                  <c:v>204.02929247999995</c:v>
                </c:pt>
                <c:pt idx="14">
                  <c:v>222.34932095999997</c:v>
                </c:pt>
                <c:pt idx="15">
                  <c:v>240.95907680000005</c:v>
                </c:pt>
                <c:pt idx="16">
                  <c:v>259.85856000000007</c:v>
                </c:pt>
              </c:numCache>
            </c:numRef>
          </c:val>
          <c:extLst>
            <c:ext xmlns:c16="http://schemas.microsoft.com/office/drawing/2014/chart" uri="{C3380CC4-5D6E-409C-BE32-E72D297353CC}">
              <c16:uniqueId val="{00000001-F0BC-462F-BBC5-87DEF20F85EC}"/>
            </c:ext>
          </c:extLst>
        </c:ser>
        <c:ser>
          <c:idx val="0"/>
          <c:order val="3"/>
          <c:tx>
            <c:strRef>
              <c:f>'Laaja yhteenveto'!$G$63</c:f>
              <c:strCache>
                <c:ptCount val="1"/>
                <c:pt idx="0">
                  <c:v>Polttoaine-seoksen poltto, muut khk:t</c:v>
                </c:pt>
              </c:strCache>
            </c:strRef>
          </c:tx>
          <c:spPr>
            <a:solidFill>
              <a:srgbClr val="92D05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yhteenveto'!$G$64:$G$80</c:f>
              <c:numCache>
                <c:formatCode>#,##0</c:formatCode>
                <c:ptCount val="17"/>
                <c:pt idx="0">
                  <c:v>3.1774565999999997</c:v>
                </c:pt>
                <c:pt idx="1">
                  <c:v>3.2092311659999999</c:v>
                </c:pt>
                <c:pt idx="2">
                  <c:v>3.2410057319999996</c:v>
                </c:pt>
                <c:pt idx="3">
                  <c:v>3.2727802980000003</c:v>
                </c:pt>
                <c:pt idx="4">
                  <c:v>3.304554864</c:v>
                </c:pt>
                <c:pt idx="5">
                  <c:v>3.3363294300000002</c:v>
                </c:pt>
                <c:pt idx="6">
                  <c:v>3.3681039959999999</c:v>
                </c:pt>
                <c:pt idx="7">
                  <c:v>3.399878562</c:v>
                </c:pt>
                <c:pt idx="8">
                  <c:v>3.4316531280000002</c:v>
                </c:pt>
                <c:pt idx="9">
                  <c:v>3.4634276940000004</c:v>
                </c:pt>
                <c:pt idx="10">
                  <c:v>3.4952022600000006</c:v>
                </c:pt>
                <c:pt idx="11">
                  <c:v>3.5269768260000007</c:v>
                </c:pt>
                <c:pt idx="12">
                  <c:v>3.5587513920000009</c:v>
                </c:pt>
                <c:pt idx="13">
                  <c:v>3.5905259579999989</c:v>
                </c:pt>
                <c:pt idx="14">
                  <c:v>3.6223005240000012</c:v>
                </c:pt>
                <c:pt idx="15">
                  <c:v>3.654075090000001</c:v>
                </c:pt>
                <c:pt idx="16">
                  <c:v>3.6858496560000003</c:v>
                </c:pt>
              </c:numCache>
            </c:numRef>
          </c:val>
          <c:extLst>
            <c:ext xmlns:c16="http://schemas.microsoft.com/office/drawing/2014/chart" uri="{C3380CC4-5D6E-409C-BE32-E72D297353CC}">
              <c16:uniqueId val="{00000005-F0BC-462F-BBC5-87DEF20F85EC}"/>
            </c:ext>
          </c:extLst>
        </c:ser>
        <c:ser>
          <c:idx val="1"/>
          <c:order val="4"/>
          <c:tx>
            <c:strRef>
              <c:f>'Laaja yhteenveto'!$H$63</c:f>
              <c:strCache>
                <c:ptCount val="1"/>
                <c:pt idx="0">
                  <c:v>Urean käytön päästöt</c:v>
                </c:pt>
              </c:strCache>
            </c:strRef>
          </c:tx>
          <c:spPr>
            <a:solidFill>
              <a:schemeClr val="accent1"/>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yhteenveto'!$H$64:$H$80</c:f>
              <c:numCache>
                <c:formatCode>#,##0</c:formatCode>
                <c:ptCount val="17"/>
                <c:pt idx="0">
                  <c:v>1.1440000000000001</c:v>
                </c:pt>
                <c:pt idx="1">
                  <c:v>1.15544</c:v>
                </c:pt>
                <c:pt idx="2">
                  <c:v>1.1720328695043731</c:v>
                </c:pt>
                <c:pt idx="3">
                  <c:v>1.1870778147327503</c:v>
                </c:pt>
                <c:pt idx="4">
                  <c:v>1.202191777959184</c:v>
                </c:pt>
                <c:pt idx="5">
                  <c:v>1.2173747591836734</c:v>
                </c:pt>
                <c:pt idx="6">
                  <c:v>1.2326267584062198</c:v>
                </c:pt>
                <c:pt idx="7">
                  <c:v>1.2479477756268222</c:v>
                </c:pt>
                <c:pt idx="8">
                  <c:v>1.2633378108454814</c:v>
                </c:pt>
                <c:pt idx="9">
                  <c:v>1.2787968640621965</c:v>
                </c:pt>
                <c:pt idx="10">
                  <c:v>1.2943249352769679</c:v>
                </c:pt>
                <c:pt idx="11">
                  <c:v>1.3099220244897962</c:v>
                </c:pt>
                <c:pt idx="12">
                  <c:v>1.3255881317006808</c:v>
                </c:pt>
                <c:pt idx="13">
                  <c:v>1.3413232569096212</c:v>
                </c:pt>
                <c:pt idx="14">
                  <c:v>1.3571274001166189</c:v>
                </c:pt>
                <c:pt idx="15">
                  <c:v>1.3730005613216718</c:v>
                </c:pt>
                <c:pt idx="16">
                  <c:v>1.3889427405247816</c:v>
                </c:pt>
              </c:numCache>
            </c:numRef>
          </c:val>
          <c:extLst>
            <c:ext xmlns:c16="http://schemas.microsoft.com/office/drawing/2014/chart" uri="{C3380CC4-5D6E-409C-BE32-E72D297353CC}">
              <c16:uniqueId val="{00000006-F0BC-462F-BBC5-87DEF20F85EC}"/>
            </c:ext>
          </c:extLst>
        </c:ser>
        <c:ser>
          <c:idx val="4"/>
          <c:order val="5"/>
          <c:tx>
            <c:strRef>
              <c:f>'Laaja yhteenveto'!$D$63</c:f>
              <c:strCache>
                <c:ptCount val="1"/>
                <c:pt idx="0">
                  <c:v>Sähkön tuotanto</c:v>
                </c:pt>
              </c:strCache>
            </c:strRef>
          </c:tx>
          <c:spPr>
            <a:solidFill>
              <a:schemeClr val="accent4"/>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yhteenveto'!$D$64:$D$80</c:f>
              <c:numCache>
                <c:formatCode>#,##0</c:formatCode>
                <c:ptCount val="17"/>
                <c:pt idx="0">
                  <c:v>101.51065717592591</c:v>
                </c:pt>
                <c:pt idx="1">
                  <c:v>101.50050611020835</c:v>
                </c:pt>
                <c:pt idx="2">
                  <c:v>101.4804070000875</c:v>
                </c:pt>
                <c:pt idx="3">
                  <c:v>101.45055982155806</c:v>
                </c:pt>
                <c:pt idx="4">
                  <c:v>101.4111615458992</c:v>
                </c:pt>
                <c:pt idx="5">
                  <c:v>101.3624061797714</c:v>
                </c:pt>
                <c:pt idx="6">
                  <c:v>101.30448480481151</c:v>
                </c:pt>
                <c:pt idx="7">
                  <c:v>101.23758561673287</c:v>
                </c:pt>
                <c:pt idx="8">
                  <c:v>101.1618939639353</c:v>
                </c:pt>
                <c:pt idx="9">
                  <c:v>101.07759238563203</c:v>
                </c:pt>
                <c:pt idx="10">
                  <c:v>100.98486064949843</c:v>
                </c:pt>
                <c:pt idx="11">
                  <c:v>100.88387578884894</c:v>
                </c:pt>
                <c:pt idx="12">
                  <c:v>100.77481213934747</c:v>
                </c:pt>
                <c:pt idx="13">
                  <c:v>100.65784137525714</c:v>
                </c:pt>
                <c:pt idx="14">
                  <c:v>100.53313254523472</c:v>
                </c:pt>
                <c:pt idx="15">
                  <c:v>100.40085210767519</c:v>
                </c:pt>
                <c:pt idx="16">
                  <c:v>100.26116396561231</c:v>
                </c:pt>
              </c:numCache>
            </c:numRef>
          </c:val>
          <c:extLst>
            <c:ext xmlns:c16="http://schemas.microsoft.com/office/drawing/2014/chart" uri="{C3380CC4-5D6E-409C-BE32-E72D297353CC}">
              <c16:uniqueId val="{00000002-F0BC-462F-BBC5-87DEF20F85EC}"/>
            </c:ext>
          </c:extLst>
        </c:ser>
        <c:ser>
          <c:idx val="5"/>
          <c:order val="6"/>
          <c:tx>
            <c:strRef>
              <c:f>'Laaja yhteenveto'!$E$63</c:f>
              <c:strCache>
                <c:ptCount val="1"/>
                <c:pt idx="0">
                  <c:v>Akun tuotanto</c:v>
                </c:pt>
              </c:strCache>
            </c:strRef>
          </c:tx>
          <c:spPr>
            <a:solidFill>
              <a:srgbClr val="C00000"/>
            </a:solidFill>
            <a:ln w="25400">
              <a:noFill/>
            </a:ln>
            <a:effectLst/>
          </c:spPr>
          <c:cat>
            <c:numRef>
              <c:f>'Laaja yhteenveto'!$A$64:$A$80</c:f>
              <c:numCache>
                <c:formatCode>General</c:formatCode>
                <c:ptCount val="17"/>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numCache>
            </c:numRef>
          </c:cat>
          <c:val>
            <c:numRef>
              <c:f>'Laaja yhteenveto'!$E$64:$E$80</c:f>
              <c:numCache>
                <c:formatCode>#\ ##0.0</c:formatCode>
                <c:ptCount val="17"/>
                <c:pt idx="0">
                  <c:v>43.121723076923082</c:v>
                </c:pt>
                <c:pt idx="1">
                  <c:v>43.121723076923082</c:v>
                </c:pt>
                <c:pt idx="2">
                  <c:v>43.121723076923082</c:v>
                </c:pt>
                <c:pt idx="3">
                  <c:v>43.121723076923082</c:v>
                </c:pt>
                <c:pt idx="4">
                  <c:v>43.121723076923082</c:v>
                </c:pt>
                <c:pt idx="5">
                  <c:v>43.121723076923082</c:v>
                </c:pt>
                <c:pt idx="6">
                  <c:v>43.121723076923082</c:v>
                </c:pt>
                <c:pt idx="7">
                  <c:v>43.121723076923082</c:v>
                </c:pt>
                <c:pt idx="8">
                  <c:v>43.121723076923082</c:v>
                </c:pt>
                <c:pt idx="9">
                  <c:v>43.121723076923082</c:v>
                </c:pt>
                <c:pt idx="10">
                  <c:v>43.121723076923082</c:v>
                </c:pt>
                <c:pt idx="11">
                  <c:v>43.121723076923082</c:v>
                </c:pt>
                <c:pt idx="12">
                  <c:v>43.121723076923082</c:v>
                </c:pt>
                <c:pt idx="13">
                  <c:v>43.121723076923082</c:v>
                </c:pt>
                <c:pt idx="14">
                  <c:v>43.121723076923082</c:v>
                </c:pt>
                <c:pt idx="15">
                  <c:v>43.121723076923082</c:v>
                </c:pt>
                <c:pt idx="16">
                  <c:v>43.121723076923082</c:v>
                </c:pt>
              </c:numCache>
            </c:numRef>
          </c:val>
          <c:extLst>
            <c:ext xmlns:c16="http://schemas.microsoft.com/office/drawing/2014/chart" uri="{C3380CC4-5D6E-409C-BE32-E72D297353CC}">
              <c16:uniqueId val="{00000003-F0BC-462F-BBC5-87DEF20F85EC}"/>
            </c:ext>
          </c:extLst>
        </c:ser>
        <c:dLbls>
          <c:showLegendKey val="0"/>
          <c:showVal val="0"/>
          <c:showCatName val="0"/>
          <c:showSerName val="0"/>
          <c:showPercent val="0"/>
          <c:showBubbleSize val="0"/>
        </c:dLbls>
        <c:axId val="1459904336"/>
        <c:axId val="1235358848"/>
      </c:areaChart>
      <c:catAx>
        <c:axId val="1459904336"/>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235358848"/>
        <c:crosses val="autoZero"/>
        <c:auto val="1"/>
        <c:lblAlgn val="ctr"/>
        <c:lblOffset val="100"/>
        <c:noMultiLvlLbl val="0"/>
      </c:catAx>
      <c:valAx>
        <c:axId val="1235358848"/>
        <c:scaling>
          <c:orientation val="minMax"/>
          <c:max val="2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459904336"/>
        <c:crosses val="autoZero"/>
        <c:crossBetween val="midCat"/>
        <c:minorUnit val="2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22860</xdr:rowOff>
    </xdr:from>
    <xdr:to>
      <xdr:col>7</xdr:col>
      <xdr:colOff>476250</xdr:colOff>
      <xdr:row>20</xdr:row>
      <xdr:rowOff>3810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575" y="251460"/>
          <a:ext cx="4821555" cy="345567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400" b="1">
              <a:solidFill>
                <a:schemeClr val="accent2"/>
              </a:solidFill>
            </a:rPr>
            <a:t>Työkoneiden</a:t>
          </a:r>
          <a:r>
            <a:rPr lang="fi-FI" sz="1400" b="1" baseline="0">
              <a:solidFill>
                <a:schemeClr val="accent2"/>
              </a:solidFill>
            </a:rPr>
            <a:t> päästöjen ja kustannusten laskentamalli</a:t>
          </a:r>
        </a:p>
        <a:p>
          <a:endParaRPr lang="fi-FI" sz="1100" baseline="0"/>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schemeClr val="tx1"/>
              </a:solidFill>
              <a:effectLst/>
              <a:uLnTx/>
              <a:uFillTx/>
              <a:latin typeface="+mn-lt"/>
              <a:ea typeface="+mn-ea"/>
              <a:cs typeface="+mn-cs"/>
            </a:rPr>
            <a:t>Tämän laskentamallin on kehittänyt VTT  helmikuussa 2021 Helsingin kaupungille Vuosaaren sataman työkoneliikenteen päästövähennyksiä koskevan selvityksen ja tiekarttatyön yhteydessä. </a:t>
          </a:r>
        </a:p>
        <a:p>
          <a:pPr marL="0" marR="0" lvl="0" indent="0" defTabSz="914400" eaLnBrk="1" fontAlgn="auto" latinLnBrk="0" hangingPunct="1">
            <a:lnSpc>
              <a:spcPct val="100000"/>
            </a:lnSpc>
            <a:spcBef>
              <a:spcPts val="0"/>
            </a:spcBef>
            <a:spcAft>
              <a:spcPts val="0"/>
            </a:spcAft>
            <a:buClrTx/>
            <a:buSzTx/>
            <a:buFontTx/>
            <a:buNone/>
            <a:tabLst/>
            <a:defRPr/>
          </a:pP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Malli laskee suorat kasvihuonekaasupäästöt (TTW) ja elinkaaripäästöt (WTW) pohjautuen kulutetun polttoaineen määrään.</a:t>
          </a:r>
        </a:p>
        <a:p>
          <a:pPr marL="0" marR="0" lvl="0" indent="0" defTabSz="914400" eaLnBrk="1" fontAlgn="auto" latinLnBrk="0" hangingPunct="1">
            <a:lnSpc>
              <a:spcPct val="100000"/>
            </a:lnSpc>
            <a:spcBef>
              <a:spcPts val="0"/>
            </a:spcBef>
            <a:spcAft>
              <a:spcPts val="0"/>
            </a:spcAft>
            <a:buClrTx/>
            <a:buSzTx/>
            <a:buFontTx/>
            <a:buNone/>
            <a:tabLst/>
            <a:defRPr/>
          </a:pP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Mallissa on kaksi osaa:</a:t>
          </a: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1) Geneerinen malli, joka laskee yksittäisen vuoden päästöt ja kustannukset.</a:t>
          </a: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2) Skenaariomalli, joka sisältää samat ominaisuudet kuin geneerinen malli mutta laskee sen lisäksi aikasarjan vuosille 2019-2035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schemeClr val="tx1"/>
              </a:solidFill>
              <a:effectLst/>
              <a:uLnTx/>
              <a:uFillTx/>
              <a:latin typeface="+mn-lt"/>
              <a:ea typeface="+mn-ea"/>
              <a:cs typeface="+mn-cs"/>
            </a:rPr>
            <a:t>Malli soveltuu etenkin satamatyökoneita omistavien toimijoiden käyttöön (erit. satamaoperaattorit). Mallia voi kuitenkin soveltaa myös muut toimijat, joilla on polttoöljykäyttöisiä työkoneita, mutta se edellyttää lähtötietojen lisäämistä omasta konekannasta.</a:t>
          </a:r>
        </a:p>
        <a:p>
          <a:endParaRPr lang="fi-FI" sz="1100"/>
        </a:p>
      </xdr:txBody>
    </xdr:sp>
    <xdr:clientData/>
  </xdr:twoCellAnchor>
  <xdr:twoCellAnchor>
    <xdr:from>
      <xdr:col>7</xdr:col>
      <xdr:colOff>521334</xdr:colOff>
      <xdr:row>1</xdr:row>
      <xdr:rowOff>31747</xdr:rowOff>
    </xdr:from>
    <xdr:to>
      <xdr:col>19</xdr:col>
      <xdr:colOff>539932</xdr:colOff>
      <xdr:row>51</xdr:row>
      <xdr:rowOff>28575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21884" y="260347"/>
          <a:ext cx="7200448" cy="9045578"/>
        </a:xfrm>
        <a:prstGeom prst="rect">
          <a:avLst/>
        </a:prstGeom>
        <a:solidFill>
          <a:srgbClr val="F7F7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Skenaariomalli laskee työkoneiden hiilidioksidipäästöjä vuoteen 2035 asti.</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Malli toimii työkaluna pitkän aikavälin päästövähennysten suunnitteluun. Sillä voi tarkastella eri toimenpiteiden vaikutuksia kokonaisuuteen, ja täten löytää tehokkaimmat toimenpiteet. Skenaariomalli on tarkoitettu niin suuremmille kuin pienemmillekin toimijoille, jotka ovat kiinnostuneita asettamaan todellisia päästövähennystavoitteita toiminnalleen, päästö--</a:t>
          </a:r>
          <a:r>
            <a:rPr lang="fi-FI" sz="1100" baseline="0">
              <a:solidFill>
                <a:schemeClr val="dk1"/>
              </a:solidFill>
              <a:effectLst/>
              <a:latin typeface="+mn-lt"/>
              <a:ea typeface="+mn-ea"/>
              <a:cs typeface="+mn-cs"/>
            </a:rPr>
            <a:t> ja</a:t>
          </a:r>
          <a:r>
            <a:rPr lang="fi-FI" sz="1100">
              <a:solidFill>
                <a:schemeClr val="dk1"/>
              </a:solidFill>
              <a:effectLst/>
              <a:latin typeface="+mn-lt"/>
              <a:ea typeface="+mn-ea"/>
              <a:cs typeface="+mn-cs"/>
            </a:rPr>
            <a:t> kustannustehokkaiden investointien tarkastelun ohella (geneerinen malli). </a:t>
          </a:r>
          <a:endParaRPr lang="en-US" sz="1400">
            <a:effectLst/>
          </a:endParaRPr>
        </a:p>
        <a:p>
          <a:endParaRPr lang="fi-FI" sz="1400" b="1">
            <a:solidFill>
              <a:schemeClr val="tx1"/>
            </a:solidFill>
          </a:endParaRPr>
        </a:p>
        <a:p>
          <a:r>
            <a:rPr lang="fi-FI" sz="1400" b="1">
              <a:solidFill>
                <a:schemeClr val="tx1"/>
              </a:solidFill>
            </a:rPr>
            <a:t>Skenaariomalli</a:t>
          </a:r>
        </a:p>
        <a:p>
          <a:endParaRPr lang="fi-FI" sz="1100" b="1" baseline="0"/>
        </a:p>
        <a:p>
          <a:r>
            <a:rPr lang="fi-FI" sz="1100" baseline="0"/>
            <a:t>Kaikki sivut poislukien "Työkonevertailu € CO2" ovat osa skenaariolaskentaa.</a:t>
          </a:r>
        </a:p>
        <a:p>
          <a:endParaRPr lang="fi-FI" sz="1100" baseline="0"/>
        </a:p>
        <a:p>
          <a:r>
            <a:rPr lang="fi-FI" sz="1100" baseline="0"/>
            <a:t>Laskennan muuttujat, niiden arvot, yksiköt ja lähteet on taulukoitu sivulla "Muuttujat".</a:t>
          </a:r>
        </a:p>
        <a:p>
          <a:endParaRPr lang="fi-FI" sz="1100" baseline="0"/>
        </a:p>
        <a:p>
          <a:r>
            <a:rPr lang="fi-FI" sz="1100" baseline="0"/>
            <a:t>Työkoneiden tiedot syötetään sivulle "Työkonekanta".</a:t>
          </a:r>
        </a:p>
        <a:p>
          <a:endParaRPr lang="fi-FI" sz="1100" baseline="0"/>
        </a:p>
        <a:p>
          <a:r>
            <a:rPr lang="fi-FI" sz="1100" baseline="0"/>
            <a:t>Laskenta tapahtuu S-alkuisilla sivuilla (esim. S0a Baseline). Laskenta on automatisoitu siten, ettei käyttäjän tarvitse tai kannata muuttaa laskentasivujen solujen tietoja, jollei halua muuttaa laskentamenetelmää. Laskennan tulokset on koottu sivuille "Lyhyt yhteenveto" ja "Laaja yhteenveto". Laskennan tuloksia ja/tai välitietoja voi myös filtteröidä laskentasivulla ja esimerkiksi kopioida toiseen excel-tiedostoon analysointia varten.</a:t>
          </a:r>
        </a:p>
        <a:p>
          <a:endParaRPr lang="fi-FI" sz="1100" baseline="0"/>
        </a:p>
        <a:p>
          <a:r>
            <a:rPr lang="fi-FI" sz="1100" baseline="0"/>
            <a:t>Kukin laskentasivu laskee käyttäen hieman eri lähtötietoja, jolloin saadaan luotua eri skenaarioita. Lähtökohtaisesti jokainen laskentasivu käyttää samoja muuttujien arvoja ja työkonetietoja. Eroavaisuudet on esitetty seuraavaksi:</a:t>
          </a:r>
        </a:p>
        <a:p>
          <a:endParaRPr lang="fi-FI" sz="1100" baseline="0"/>
        </a:p>
        <a:p>
          <a:r>
            <a:rPr lang="fi-FI" sz="1100" baseline="0"/>
            <a:t>S0a Baseline vakio:</a:t>
          </a:r>
        </a:p>
        <a:p>
          <a:r>
            <a:rPr lang="fi-FI" sz="1100" baseline="0"/>
            <a:t>- Baseline-skenaario kuvaa tulevaisuutta nykytilan jatkumona</a:t>
          </a:r>
        </a:p>
        <a:p>
          <a:r>
            <a:rPr lang="fi-FI" sz="1100" baseline="0"/>
            <a:t>- Työkonekanta ja sen tiedot pysyvät vakiona vuodesta toiseen.</a:t>
          </a:r>
        </a:p>
        <a:p>
          <a:r>
            <a:rPr lang="fi-FI" sz="1100" baseline="0"/>
            <a:t>- Biopolttoaineen osuus ja sähköntuotannon päästökerroin muuttuvat ajassa.</a:t>
          </a:r>
        </a:p>
        <a:p>
          <a:r>
            <a:rPr lang="fi-FI" sz="1100" baseline="0"/>
            <a:t>- Sähköntuotannon päästökerroin on muunneltavissa.</a:t>
          </a:r>
        </a:p>
        <a:p>
          <a:r>
            <a:rPr lang="fi-FI" sz="1100" baseline="0"/>
            <a:t>- Sähkön alkuperä on valittavissa (tuuli- tai jäännös).</a:t>
          </a:r>
        </a:p>
        <a:p>
          <a:r>
            <a:rPr lang="fi-FI" sz="1100" baseline="0"/>
            <a:t>- Tuulisähköön siirtymävuosi on valittavissa.</a:t>
          </a:r>
        </a:p>
        <a:p>
          <a:endParaRPr lang="fi-FI" sz="1100" baseline="0"/>
        </a:p>
        <a:p>
          <a:r>
            <a:rPr lang="fi-FI" sz="1100" baseline="0"/>
            <a:t>S0b Baseline kasvu: </a:t>
          </a:r>
        </a:p>
        <a:p>
          <a:r>
            <a:rPr lang="fi-FI" sz="1100" baseline="0"/>
            <a:t>- Kuin S0a, mutta työkoneiden vuosittaiset käyttötunnit kasvavat (kuvaa työkoneiden käytön tehostamista/liiketoiminnan kasvua).</a:t>
          </a:r>
        </a:p>
        <a:p>
          <a:endParaRPr lang="fi-FI" sz="1100" baseline="0"/>
        </a:p>
        <a:p>
          <a:r>
            <a:rPr lang="fi-FI" sz="1100" baseline="0"/>
            <a:t>S1 Sähkö:</a:t>
          </a:r>
        </a:p>
        <a:p>
          <a:r>
            <a:rPr lang="fi-FI" sz="1100" baseline="0"/>
            <a:t>- Baseline-skenaarion voi valita tarpeen mukaan, joko vakio tai kasvu.</a:t>
          </a:r>
        </a:p>
        <a:p>
          <a:r>
            <a:rPr lang="fi-FI" sz="1100" baseline="0"/>
            <a:t>- Fossiilisella toimivan työkoneen voi korvata vastaavalla hybridi- tai sähkökäyttöisellä (tutkia tietyn työkonetyypin korvausvaikutusta päästöihin).</a:t>
          </a:r>
        </a:p>
        <a:p>
          <a:r>
            <a:rPr lang="fi-FI" sz="1100" baseline="0"/>
            <a:t>- Skenaariossa voi korvata kaksi työkoneryhmää, sillä mallissa työkoneryhmät oli jaoteltu koon mukaan (esim. pienet/suuret trukit)</a:t>
          </a:r>
        </a:p>
        <a:p>
          <a:r>
            <a:rPr lang="fi-FI" sz="1100" baseline="0"/>
            <a:t>- Korvausvuosi määrittää takarajan sille, mihin vuotee.n mennessä sähkötyökoneet ovat korvanneet fossiilityökoneet täysin.</a:t>
          </a:r>
        </a:p>
        <a:p>
          <a:endParaRPr lang="fi-FI" sz="1100" baseline="0"/>
        </a:p>
        <a:p>
          <a:r>
            <a:rPr lang="fi-FI" sz="1100" baseline="0"/>
            <a:t>S2 Bio:</a:t>
          </a: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 Baseline-skenaarion voi valita tarpeen mukaan, joko vakio tai kasvu.</a:t>
          </a:r>
          <a:endParaRPr lang="fi-FI">
            <a:effectLst/>
          </a:endParaRPr>
        </a:p>
        <a:p>
          <a:r>
            <a:rPr lang="fi-FI" sz="1100" baseline="0"/>
            <a:t>- Polttoöljysekoitteen voi muuttaa 100% biopolttoaineeksi.</a:t>
          </a:r>
        </a:p>
        <a:p>
          <a:r>
            <a:rPr lang="fi-FI" sz="1100" baseline="0"/>
            <a:t>- 100% bioon siirtymiselle asetetaan siirtymävuosi, johon mennessä kaikki polttoaine on bioa. </a:t>
          </a:r>
        </a:p>
        <a:p>
          <a:r>
            <a:rPr lang="fi-FI" sz="1100" baseline="0"/>
            <a:t>- Siirtymän luonteen voi valita joko asteittaiseksi (lineaarinen muutos) tai äkilliseksi.</a:t>
          </a:r>
        </a:p>
        <a:p>
          <a:endParaRPr lang="fi-FI" sz="1100" baseline="0"/>
        </a:p>
        <a:p>
          <a:r>
            <a:rPr lang="fi-FI" sz="1100" baseline="0">
              <a:solidFill>
                <a:schemeClr val="dk1"/>
              </a:solidFill>
              <a:effectLst/>
              <a:latin typeface="+mn-lt"/>
              <a:ea typeface="+mn-ea"/>
              <a:cs typeface="+mn-cs"/>
            </a:rPr>
            <a:t>Muutettavia arvoja muutetaan sivulla "Lyhyt yhteenveto". Muutoksen vaikutuksen näkee välittömästi yhteenvedossa niin numeerisesti kuin kaaviossakin. </a:t>
          </a:r>
          <a:endParaRPr lang="fi-FI" sz="1100" baseline="0"/>
        </a:p>
        <a:p>
          <a:endParaRPr lang="fi-FI" sz="1100" baseline="0"/>
        </a:p>
        <a:p>
          <a:endParaRPr lang="fi-FI" sz="1100"/>
        </a:p>
      </xdr:txBody>
    </xdr:sp>
    <xdr:clientData/>
  </xdr:twoCellAnchor>
  <xdr:twoCellAnchor>
    <xdr:from>
      <xdr:col>0</xdr:col>
      <xdr:colOff>28575</xdr:colOff>
      <xdr:row>20</xdr:row>
      <xdr:rowOff>40003</xdr:rowOff>
    </xdr:from>
    <xdr:to>
      <xdr:col>7</xdr:col>
      <xdr:colOff>482600</xdr:colOff>
      <xdr:row>67</xdr:row>
      <xdr:rowOff>43544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8575" y="3784689"/>
          <a:ext cx="4797425" cy="87012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400" b="1"/>
            <a:t>Laskennan</a:t>
          </a:r>
          <a:r>
            <a:rPr lang="fi-FI" sz="1400" b="1" baseline="0"/>
            <a:t> r</a:t>
          </a:r>
          <a:r>
            <a:rPr lang="fi-FI" sz="1400" b="1"/>
            <a:t>ajaukset</a:t>
          </a:r>
        </a:p>
        <a:p>
          <a:endParaRPr lang="fi-FI" sz="1100"/>
        </a:p>
        <a:p>
          <a:r>
            <a:rPr lang="fi-FI" sz="1100"/>
            <a:t>Suoriin päästöihin (TTW) lasketaan:</a:t>
          </a:r>
        </a:p>
        <a:p>
          <a:r>
            <a:rPr lang="fi-FI" sz="1100"/>
            <a:t>-</a:t>
          </a:r>
          <a:r>
            <a:rPr lang="fi-FI" sz="1100" baseline="0"/>
            <a:t> Fossiilisen polttoaineen polton CO2-päästöt.</a:t>
          </a:r>
        </a:p>
        <a:p>
          <a:r>
            <a:rPr lang="fi-FI" sz="1100" baseline="0"/>
            <a:t>- Polttoaineen polton CH4- ja N2O-päästöt (myös biopohjaiset).</a:t>
          </a:r>
        </a:p>
        <a:p>
          <a:r>
            <a:rPr lang="fi-FI" sz="1100" baseline="0"/>
            <a:t>- Urean/AdBlue:n käytön CO2-päästöt.</a:t>
          </a:r>
        </a:p>
        <a:p>
          <a:endParaRPr lang="fi-FI" sz="1100" baseline="0"/>
        </a:p>
        <a:p>
          <a:r>
            <a:rPr lang="fi-FI" sz="1100" baseline="0"/>
            <a:t>Elinkaaripäästöihin (WTW) lasketaan lisäksi:</a:t>
          </a:r>
        </a:p>
        <a:p>
          <a:r>
            <a:rPr lang="fi-FI" sz="1100" baseline="0"/>
            <a:t>- Fossiilisen polttoaineen tuotanto.</a:t>
          </a:r>
        </a:p>
        <a:p>
          <a:r>
            <a:rPr lang="fi-FI" sz="1100" baseline="0"/>
            <a:t>- Biopolttoaineen tuotanto.</a:t>
          </a:r>
        </a:p>
        <a:p>
          <a:r>
            <a:rPr lang="fi-FI" sz="1100" baseline="0"/>
            <a:t>- Täyssähkökäyttöisen työkoneen käyttämän sähkön tuotanto.</a:t>
          </a:r>
        </a:p>
        <a:p>
          <a:r>
            <a:rPr lang="fi-FI" sz="1100" baseline="0"/>
            <a:t>- Täyssähkökäyttöisen työkoneen akun tuotanto.</a:t>
          </a:r>
        </a:p>
        <a:p>
          <a:endParaRPr lang="fi-FI" sz="1100" baseline="0"/>
        </a:p>
        <a:p>
          <a:r>
            <a:rPr lang="fi-FI" sz="1100" baseline="0"/>
            <a:t>Työkonekantaan voi lisätä enintään 30 eri työkonekategoriaa/-tyyppiä.</a:t>
          </a:r>
        </a:p>
        <a:p>
          <a:endParaRPr lang="fi-FI" sz="1100" baseline="0"/>
        </a:p>
        <a:p>
          <a:r>
            <a:rPr lang="fi-FI" sz="1400" b="1" baseline="0"/>
            <a:t>Oletukset</a:t>
          </a:r>
        </a:p>
        <a:p>
          <a:endParaRPr lang="fi-FI" sz="1100" baseline="0"/>
        </a:p>
        <a:p>
          <a:r>
            <a:rPr lang="fi-FI" sz="1100" baseline="0"/>
            <a:t>Malli laskee hiilidioksidiekvivalentteja (CO2ekv / CO2eq).</a:t>
          </a:r>
        </a:p>
        <a:p>
          <a:endParaRPr lang="fi-FI" sz="1100" baseline="0"/>
        </a:p>
        <a:p>
          <a:r>
            <a:rPr lang="fi-FI" sz="1100" baseline="0"/>
            <a:t>Malli nykyisellään huomioi seuraavat käyttövoimat:</a:t>
          </a:r>
        </a:p>
        <a:p>
          <a:r>
            <a:rPr lang="fi-FI" sz="1100" baseline="0"/>
            <a:t>- Polttoöljy</a:t>
          </a:r>
        </a:p>
        <a:p>
          <a:r>
            <a:rPr lang="fi-FI" sz="1100" baseline="0"/>
            <a:t>- Biopolttoöljy tai biodiesel (nexbtl)</a:t>
          </a:r>
        </a:p>
        <a:p>
          <a:r>
            <a:rPr lang="fi-FI" sz="1100" baseline="0"/>
            <a:t>- Polttoöljy / hybridi</a:t>
          </a:r>
        </a:p>
        <a:p>
          <a:r>
            <a:rPr lang="fi-FI" sz="1100" baseline="0"/>
            <a:t>- Täyssähkö (litium-akku)</a:t>
          </a:r>
        </a:p>
        <a:p>
          <a:endParaRPr lang="fi-FI" sz="1100" baseline="0"/>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Työkoneissa käytettävä ostosähkö on jäännösjakauman mukaista sähköä. Tuulisähköön siirtymävuodeksi on määritelty 2035. </a:t>
          </a:r>
          <a:endParaRPr lang="fi-FI">
            <a:effectLst/>
          </a:endParaRPr>
        </a:p>
        <a:p>
          <a:endParaRPr lang="fi-FI" sz="1100" baseline="0"/>
        </a:p>
        <a:p>
          <a:r>
            <a:rPr lang="fi-FI" sz="1100" baseline="0"/>
            <a:t>Suomessa myytävän jäännösjakauman mukaisen sähkön päästöjen vuosimuutos -1% (muunneltava oletus).</a:t>
          </a:r>
        </a:p>
        <a:p>
          <a:endParaRPr lang="fi-FI" sz="1100" baseline="0"/>
        </a:p>
        <a:p>
          <a:r>
            <a:rPr lang="fi-FI" sz="1100" baseline="0"/>
            <a:t>Polttoaineiden hinnat ovat vakioita.</a:t>
          </a:r>
        </a:p>
        <a:p>
          <a:endParaRPr lang="fi-FI" sz="1100" baseline="0"/>
        </a:p>
        <a:p>
          <a:r>
            <a:rPr lang="fi-FI" sz="1400" b="1" baseline="0"/>
            <a:t>Epävarmuudet</a:t>
          </a:r>
          <a:endParaRPr lang="fi-FI" sz="1100" b="1" baseline="0"/>
        </a:p>
        <a:p>
          <a:endParaRPr lang="fi-FI" sz="1100" baseline="0"/>
        </a:p>
        <a:p>
          <a:r>
            <a:rPr lang="fi-FI" sz="1100" baseline="0"/>
            <a:t>Mallin tulosten epävarmuus tulee kolmesta eri lähteestä:</a:t>
          </a:r>
        </a:p>
        <a:p>
          <a:r>
            <a:rPr lang="fi-FI" sz="1100" baseline="0"/>
            <a:t>1) Lähtödatan epätarkkuus</a:t>
          </a:r>
        </a:p>
        <a:p>
          <a:r>
            <a:rPr lang="fi-FI" sz="1100" baseline="0"/>
            <a:t>Työkoneiden ryhmittely ja niiden tiedot on määritelty pienen otoksen perusteella. Tästä johtuen malli yliarvioi polttoaineen käytön ja päästöt.</a:t>
          </a:r>
        </a:p>
        <a:p>
          <a:endParaRPr lang="fi-FI" sz="1100" baseline="0"/>
        </a:p>
        <a:p>
          <a:r>
            <a:rPr lang="fi-FI" sz="1100" baseline="0"/>
            <a:t>2) Muuttujien epätarkkuus</a:t>
          </a:r>
        </a:p>
        <a:p>
          <a:r>
            <a:rPr lang="fi-FI" sz="1100" baseline="0"/>
            <a:t>Polttoaineiden päästökertoimet eivät juuri muutu ajassa, sillä niiden hiilisisältö pysyy melko vakiona. Polttoaineiden tuotannon päästökertoimet ovat käytetyistä muuttujista epävarmimpia: kertoimen suuruus riippuu sen laskennan taustalla käytetystä menetelmästä, rajauksista ja lähtöarvoista. Epätarkkuutta voisi vähentää käyttämällä monista eri lähteistä peräisin olevien päästökertoimien keskiarvoa tai arvojoukkoa.</a:t>
          </a:r>
        </a:p>
        <a:p>
          <a:endParaRPr lang="fi-FI" sz="1100" baseline="0"/>
        </a:p>
        <a:p>
          <a:endParaRPr lang="fi-FI" sz="1100" baseline="0"/>
        </a:p>
        <a:p>
          <a:endParaRPr lang="fi-FI" sz="1100" baseline="0"/>
        </a:p>
        <a:p>
          <a:endParaRPr lang="fi-FI" sz="1100" baseline="0"/>
        </a:p>
      </xdr:txBody>
    </xdr:sp>
    <xdr:clientData/>
  </xdr:twoCellAnchor>
  <xdr:twoCellAnchor>
    <xdr:from>
      <xdr:col>7</xdr:col>
      <xdr:colOff>519340</xdr:colOff>
      <xdr:row>51</xdr:row>
      <xdr:rowOff>94343</xdr:rowOff>
    </xdr:from>
    <xdr:to>
      <xdr:col>14</xdr:col>
      <xdr:colOff>195489</xdr:colOff>
      <xdr:row>76</xdr:row>
      <xdr:rowOff>25401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875440" y="9212943"/>
          <a:ext cx="3676649" cy="437605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400" b="1" baseline="0">
              <a:solidFill>
                <a:schemeClr val="tx1"/>
              </a:solidFill>
            </a:rPr>
            <a:t>Skenaariomallin soveltaminen muuhun käyttöön</a:t>
          </a:r>
        </a:p>
        <a:p>
          <a:endParaRPr lang="fi-FI" sz="1100" baseline="0">
            <a:solidFill>
              <a:schemeClr val="tx1"/>
            </a:solidFill>
          </a:endParaRPr>
        </a:p>
        <a:p>
          <a:r>
            <a:rPr lang="fi-FI" sz="1100" baseline="0">
              <a:solidFill>
                <a:schemeClr val="tx1"/>
              </a:solidFill>
            </a:rPr>
            <a:t>Malli soveltuu nykyisellään laskemaan minkä tahansa polttoöljy-, hybridi- tai sähkökäyttöisen työkonekannan päästöt.</a:t>
          </a:r>
        </a:p>
        <a:p>
          <a:endParaRPr lang="fi-FI" sz="1100" baseline="0">
            <a:solidFill>
              <a:schemeClr val="tx1"/>
            </a:solidFill>
          </a:endParaRPr>
        </a:p>
        <a:p>
          <a:r>
            <a:rPr lang="fi-FI" sz="1100" baseline="0">
              <a:solidFill>
                <a:schemeClr val="tx1"/>
              </a:solidFill>
            </a:rPr>
            <a:t>Malli on rakennettu alunperin palvelemaan Vuosaaren sataman päästövähennystiekarttatyötä. "Muuttujat"-sivulla on listattu joitakin arvoja monille muille polttoaineille (esim. LPG, LNG, CNG, synLNG P2X), joiden käyttö mallissa nykyisellään ei toimi ilman laskennallisia muutoksia solujen kaavoissa.</a:t>
          </a:r>
        </a:p>
        <a:p>
          <a:endParaRPr lang="fi-FI" sz="1100" baseline="0">
            <a:solidFill>
              <a:schemeClr val="tx1"/>
            </a:solidFill>
          </a:endParaRPr>
        </a:p>
        <a:p>
          <a:r>
            <a:rPr lang="fi-FI" sz="1100" baseline="0">
              <a:solidFill>
                <a:schemeClr val="tx1"/>
              </a:solidFill>
            </a:rPr>
            <a:t>Useamman kuin 30 eri työkonekategorian/-tyypin päästöjen laskenta vaatii myös muutoksia laskentasivuilla. Kunkin työkonekategorian laskenta suoritetaan omalla rivillään kullekin vuodelle erikseen. </a:t>
          </a:r>
        </a:p>
        <a:p>
          <a:endParaRPr lang="fi-FI" sz="1100" baseline="0">
            <a:solidFill>
              <a:schemeClr val="tx1"/>
            </a:solidFill>
          </a:endParaRPr>
        </a:p>
        <a:p>
          <a:r>
            <a:rPr lang="fi-FI" sz="1100" baseline="0">
              <a:solidFill>
                <a:schemeClr val="tx1"/>
              </a:solidFill>
            </a:rPr>
            <a:t>Muuttujien arvojen päivittäminen on mahdollista helposti "Muuttujat"-sivulla.</a:t>
          </a:r>
        </a:p>
        <a:p>
          <a:r>
            <a:rPr lang="fi-FI" sz="1100" baseline="0">
              <a:solidFill>
                <a:schemeClr val="tx1"/>
              </a:solidFill>
            </a:rPr>
            <a:t>Laaja-alaisten muutosten tekeminen laskentasivuilla vaatii ymmärrystä Excel-kaavojen käytöstä.</a:t>
          </a:r>
        </a:p>
        <a:p>
          <a:endParaRPr lang="fi-FI" sz="1100" baseline="0">
            <a:solidFill>
              <a:schemeClr val="tx1"/>
            </a:solidFill>
          </a:endParaRPr>
        </a:p>
        <a:p>
          <a:endParaRPr lang="fi-FI" sz="1100" baseline="0">
            <a:solidFill>
              <a:schemeClr val="tx1"/>
            </a:solidFill>
          </a:endParaRPr>
        </a:p>
      </xdr:txBody>
    </xdr:sp>
    <xdr:clientData/>
  </xdr:twoCellAnchor>
  <xdr:twoCellAnchor>
    <xdr:from>
      <xdr:col>14</xdr:col>
      <xdr:colOff>262466</xdr:colOff>
      <xdr:row>51</xdr:row>
      <xdr:rowOff>95701</xdr:rowOff>
    </xdr:from>
    <xdr:to>
      <xdr:col>25</xdr:col>
      <xdr:colOff>401531</xdr:colOff>
      <xdr:row>76</xdr:row>
      <xdr:rowOff>12701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8619066" y="9214301"/>
          <a:ext cx="6984365" cy="43620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400" b="1">
              <a:solidFill>
                <a:schemeClr val="tx1"/>
              </a:solidFill>
            </a:rPr>
            <a:t>Geneerinen malli</a:t>
          </a:r>
        </a:p>
        <a:p>
          <a:endParaRPr lang="fi-FI" sz="1100" baseline="0">
            <a:solidFill>
              <a:schemeClr val="tx1"/>
            </a:solidFill>
          </a:endParaRPr>
        </a:p>
        <a:p>
          <a:r>
            <a:rPr lang="fi-FI" sz="1100" baseline="0">
              <a:solidFill>
                <a:schemeClr val="tx1"/>
              </a:solidFill>
            </a:rPr>
            <a:t>Sivulla </a:t>
          </a:r>
          <a:r>
            <a:rPr lang="fi-FI" sz="1100" baseline="0">
              <a:solidFill>
                <a:schemeClr val="tx1"/>
              </a:solidFill>
              <a:effectLst/>
              <a:latin typeface="+mn-lt"/>
              <a:ea typeface="+mn-ea"/>
              <a:cs typeface="+mn-cs"/>
            </a:rPr>
            <a:t>"Työkonevertailu € CO2".</a:t>
          </a:r>
        </a:p>
        <a:p>
          <a:endParaRPr lang="fi-FI" sz="1100" baseline="0">
            <a:solidFill>
              <a:schemeClr val="tx1"/>
            </a:solidFill>
            <a:effectLst/>
            <a:latin typeface="+mn-lt"/>
            <a:ea typeface="+mn-ea"/>
            <a:cs typeface="+mn-cs"/>
          </a:endParaRPr>
        </a:p>
        <a:p>
          <a:r>
            <a:rPr lang="fi-FI" sz="1100" baseline="0">
              <a:solidFill>
                <a:schemeClr val="tx1"/>
              </a:solidFill>
              <a:effectLst/>
              <a:latin typeface="+mn-lt"/>
              <a:ea typeface="+mn-ea"/>
              <a:cs typeface="+mn-cs"/>
            </a:rPr>
            <a:t>Malli laskee tälle sivulle syötettyjen työkonetietojen perusteella työkoneiden TTW- ja WTW-päästöt sekä kokonaiskustannukset ja CO2-tonnihinnan samoilla rajauksilla ja oletuksilla kuin skenaariomalli. </a:t>
          </a:r>
          <a:endParaRPr lang="fi-FI" sz="1100" baseline="0">
            <a:solidFill>
              <a:schemeClr val="tx1"/>
            </a:solidFill>
          </a:endParaRPr>
        </a:p>
        <a:p>
          <a:endParaRPr lang="fi-FI" sz="1100" baseline="0">
            <a:solidFill>
              <a:schemeClr val="tx1"/>
            </a:solidFill>
          </a:endParaRPr>
        </a:p>
        <a:p>
          <a:r>
            <a:rPr lang="fi-FI" sz="1100" baseline="0">
              <a:solidFill>
                <a:schemeClr val="tx1"/>
              </a:solidFill>
            </a:rPr>
            <a:t>Geneerinen malli on riippuvainen vain "Muuttujat"-sivulla olevista muuttujien arvoista. </a:t>
          </a:r>
        </a:p>
        <a:p>
          <a:endParaRPr lang="fi-FI" sz="1100" baseline="0">
            <a:solidFill>
              <a:schemeClr val="tx1"/>
            </a:solidFill>
          </a:endParaRPr>
        </a:p>
        <a:p>
          <a:r>
            <a:rPr lang="fi-FI" sz="1100" baseline="0">
              <a:solidFill>
                <a:schemeClr val="dk1"/>
              </a:solidFill>
              <a:effectLst/>
              <a:latin typeface="+mn-lt"/>
              <a:ea typeface="+mn-ea"/>
              <a:cs typeface="+mn-cs"/>
            </a:rPr>
            <a:t>Sivulle tuodaan automaattisesti oletusarvoisesti hintatiedot "Hintatiedot"-sivulta. Hintatietoja muuttamalla laskentasivulla niiden vaikutuksen kustannuksiin näkee välittömästi. </a:t>
          </a:r>
          <a:endParaRPr lang="fi-FI">
            <a:effectLst/>
          </a:endParaRPr>
        </a:p>
        <a:p>
          <a:endParaRPr lang="fi-FI" sz="1100" baseline="0">
            <a:solidFill>
              <a:schemeClr val="tx1"/>
            </a:solidFill>
          </a:endParaRPr>
        </a:p>
        <a:p>
          <a:r>
            <a:rPr lang="fi-FI" sz="1100" baseline="0">
              <a:solidFill>
                <a:schemeClr val="dk1"/>
              </a:solidFill>
              <a:effectLst/>
              <a:latin typeface="+mn-lt"/>
              <a:ea typeface="+mn-ea"/>
              <a:cs typeface="+mn-cs"/>
            </a:rPr>
            <a:t>Käyttäjän tarvitsee muuttaa vain vaalean vihreäksi maalattuja soluja (työkoneiden tiedot ja hintatiedot). </a:t>
          </a:r>
          <a:endParaRPr lang="fi-FI">
            <a:effectLst/>
          </a:endParaRPr>
        </a:p>
        <a:p>
          <a:r>
            <a:rPr lang="fi-FI" sz="1100" baseline="0">
              <a:solidFill>
                <a:schemeClr val="dk1"/>
              </a:solidFill>
              <a:effectLst/>
              <a:latin typeface="+mn-lt"/>
              <a:ea typeface="+mn-ea"/>
              <a:cs typeface="+mn-cs"/>
            </a:rPr>
            <a:t>"Työkonevertailu € CO2" sivulla vertaillaan työkoneiden €/CO2-hintaa, kun vaihdetaan polttoöljykäyttöisestä työkoneesta hybridiin, täyssähköön tai biopolttoaineeseen. Tällä sivulla työkoneiden käyttövoimia ei voi muuttaa, sillä ne ovat suoraan kytköksissä laskentaan. Työkoneen tyypin, lukumäärän, kulutuksen ja muut vihreissä soluissa olevat tiedot voi muuttaa.</a:t>
          </a:r>
        </a:p>
        <a:p>
          <a:endParaRPr lang="fi-FI">
            <a:effectLst/>
          </a:endParaRPr>
        </a:p>
        <a:p>
          <a:r>
            <a:rPr lang="fi-FI" sz="1100" b="1" i="0">
              <a:solidFill>
                <a:schemeClr val="dk1"/>
              </a:solidFill>
              <a:effectLst/>
              <a:latin typeface="+mn-lt"/>
              <a:ea typeface="+mn-ea"/>
              <a:cs typeface="+mn-cs"/>
            </a:rPr>
            <a:t>Vinkkejä</a:t>
          </a:r>
          <a:r>
            <a:rPr lang="fi-FI" sz="1100" b="1" i="0" baseline="0">
              <a:solidFill>
                <a:schemeClr val="dk1"/>
              </a:solidFill>
              <a:effectLst/>
              <a:latin typeface="+mn-lt"/>
              <a:ea typeface="+mn-ea"/>
              <a:cs typeface="+mn-cs"/>
            </a:rPr>
            <a:t> polttoaineen kulutustietoihin</a:t>
          </a:r>
          <a:endParaRPr lang="fi-FI">
            <a:effectLst/>
          </a:endParaRPr>
        </a:p>
        <a:p>
          <a:r>
            <a:rPr lang="fi-FI" sz="1100" b="0" i="0">
              <a:solidFill>
                <a:schemeClr val="dk1"/>
              </a:solidFill>
              <a:effectLst/>
              <a:latin typeface="+mn-lt"/>
              <a:ea typeface="+mn-ea"/>
              <a:cs typeface="+mn-cs"/>
            </a:rPr>
            <a:t>Hybridin polttoaineen kulutukseksi voi olettaa 70% vastaavan</a:t>
          </a:r>
          <a:r>
            <a:rPr lang="fi-FI" sz="1100" b="0" i="0" baseline="0">
              <a:solidFill>
                <a:schemeClr val="dk1"/>
              </a:solidFill>
              <a:effectLst/>
              <a:latin typeface="+mn-lt"/>
              <a:ea typeface="+mn-ea"/>
              <a:cs typeface="+mn-cs"/>
            </a:rPr>
            <a:t> polttoöljykäyttöisen kulutuksesta. Tämä on sisällytetty laskentakaavaan oletuksena. Sen voi muuttaa halutessaan. Hybridille ei lasketa sähkön kulutusta tässä mallissa.</a:t>
          </a:r>
        </a:p>
        <a:p>
          <a:endParaRPr lang="fi-FI">
            <a:effectLst/>
          </a:endParaRPr>
        </a:p>
        <a:p>
          <a:r>
            <a:rPr lang="fi-FI" sz="1100" b="0" i="0" baseline="0">
              <a:solidFill>
                <a:schemeClr val="dk1"/>
              </a:solidFill>
              <a:effectLst/>
              <a:latin typeface="+mn-lt"/>
              <a:ea typeface="+mn-ea"/>
              <a:cs typeface="+mn-cs"/>
            </a:rPr>
            <a:t>Täyssähkökäyttöisen sähkön kulutukseksi voi olettaa, että täyssähköinen on kolme kertaa energiatehokkaampi kuin polttoöljykäyttöinen. Tämä on sisällytetty laskentakaavaan oletuksena. Sen voi muuttaa halutessaan.</a:t>
          </a:r>
          <a:endParaRPr lang="fi-FI">
            <a:effectLst/>
          </a:endParaRPr>
        </a:p>
        <a:p>
          <a:endParaRPr lang="fi-FI">
            <a:effectLst/>
          </a:endParaRPr>
        </a:p>
        <a:p>
          <a:endParaRPr lang="fi-FI" sz="1100" baseline="0">
            <a:solidFill>
              <a:schemeClr val="tx1"/>
            </a:solidFill>
          </a:endParaRPr>
        </a:p>
        <a:p>
          <a:endParaRPr lang="fi-FI" sz="1100">
            <a:solidFill>
              <a:schemeClr val="tx1"/>
            </a:solidFill>
          </a:endParaRPr>
        </a:p>
      </xdr:txBody>
    </xdr:sp>
    <xdr:clientData/>
  </xdr:twoCellAnchor>
  <xdr:oneCellAnchor>
    <xdr:from>
      <xdr:col>19</xdr:col>
      <xdr:colOff>607061</xdr:colOff>
      <xdr:row>40</xdr:row>
      <xdr:rowOff>16934</xdr:rowOff>
    </xdr:from>
    <xdr:ext cx="3499273" cy="1312333"/>
    <xdr:sp macro="" textlink="">
      <xdr:nvSpPr>
        <xdr:cNvPr id="17" name="Tekstiruutu 12">
          <a:extLst>
            <a:ext uri="{FF2B5EF4-FFF2-40B4-BE49-F238E27FC236}">
              <a16:creationId xmlns:a16="http://schemas.microsoft.com/office/drawing/2014/main" id="{00000000-0008-0000-0000-000011000000}"/>
            </a:ext>
          </a:extLst>
        </xdr:cNvPr>
        <xdr:cNvSpPr txBox="1"/>
      </xdr:nvSpPr>
      <xdr:spPr>
        <a:xfrm>
          <a:off x="12155594" y="7509934"/>
          <a:ext cx="3499273" cy="1312333"/>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i-FI" sz="1100"/>
            <a:t>TTW =  tank-to-wheel, suorat päästöt</a:t>
          </a:r>
        </a:p>
        <a:p>
          <a:pPr algn="l"/>
          <a:r>
            <a:rPr lang="fi-FI" sz="1100" b="0" i="0" u="none" strike="noStrike">
              <a:solidFill>
                <a:schemeClr val="tx1"/>
              </a:solidFill>
              <a:effectLst/>
              <a:latin typeface="+mn-lt"/>
              <a:ea typeface="+mn-ea"/>
              <a:cs typeface="+mn-cs"/>
            </a:rPr>
            <a:t>WTT = well-to-tank, epäsuorat päästöt</a:t>
          </a:r>
        </a:p>
        <a:p>
          <a:pPr algn="l"/>
          <a:r>
            <a:rPr lang="fi-FI" sz="1100" b="0" i="0" u="none" strike="noStrike">
              <a:solidFill>
                <a:schemeClr val="tx1"/>
              </a:solidFill>
              <a:effectLst/>
              <a:latin typeface="+mn-lt"/>
              <a:ea typeface="+mn-ea"/>
              <a:cs typeface="+mn-cs"/>
            </a:rPr>
            <a:t>WTW = well-to-wheel, elinkaaripäästöt</a:t>
          </a:r>
        </a:p>
        <a:p>
          <a:pPr algn="l"/>
          <a:r>
            <a:rPr lang="fi-FI" sz="1100" b="0" i="0" u="none" strike="noStrike">
              <a:solidFill>
                <a:schemeClr val="tx1"/>
              </a:solidFill>
              <a:effectLst/>
              <a:latin typeface="+mn-lt"/>
              <a:ea typeface="+mn-ea"/>
              <a:cs typeface="+mn-cs"/>
            </a:rPr>
            <a:t>CO2 = Hiilidioksidi</a:t>
          </a:r>
        </a:p>
        <a:p>
          <a:pPr algn="l"/>
          <a:r>
            <a:rPr lang="fi-FI" sz="1100" b="0" i="0" u="none" strike="noStrike">
              <a:solidFill>
                <a:schemeClr val="tx1"/>
              </a:solidFill>
              <a:effectLst/>
              <a:latin typeface="+mn-lt"/>
              <a:ea typeface="+mn-ea"/>
              <a:cs typeface="+mn-cs"/>
            </a:rPr>
            <a:t>CH4 = Metaani</a:t>
          </a:r>
        </a:p>
        <a:p>
          <a:pPr algn="l"/>
          <a:r>
            <a:rPr lang="fi-FI" sz="1100" b="0" i="0" u="none" strike="noStrike">
              <a:solidFill>
                <a:schemeClr val="tx1"/>
              </a:solidFill>
              <a:effectLst/>
              <a:latin typeface="+mn-lt"/>
              <a:ea typeface="+mn-ea"/>
              <a:cs typeface="+mn-cs"/>
            </a:rPr>
            <a:t>N2O = Dityppioksidi eli "ilokaasu"</a:t>
          </a:r>
          <a:r>
            <a:rPr lang="fi-FI"/>
            <a:t> </a:t>
          </a:r>
        </a:p>
      </xdr:txBody>
    </xdr:sp>
    <xdr:clientData/>
  </xdr:oneCellAnchor>
  <xdr:twoCellAnchor editAs="oneCell">
    <xdr:from>
      <xdr:col>19</xdr:col>
      <xdr:colOff>596898</xdr:colOff>
      <xdr:row>1</xdr:row>
      <xdr:rowOff>38102</xdr:rowOff>
    </xdr:from>
    <xdr:to>
      <xdr:col>25</xdr:col>
      <xdr:colOff>321272</xdr:colOff>
      <xdr:row>37</xdr:row>
      <xdr:rowOff>100502</xdr:rowOff>
    </xdr:to>
    <xdr:pic>
      <xdr:nvPicPr>
        <xdr:cNvPr id="7" name="Kuva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71" t="3788" r="23059" b="13384"/>
        <a:stretch/>
      </xdr:blipFill>
      <xdr:spPr>
        <a:xfrm>
          <a:off x="12145431" y="266702"/>
          <a:ext cx="3483574" cy="6768000"/>
        </a:xfrm>
        <a:prstGeom prst="rect">
          <a:avLst/>
        </a:prstGeom>
        <a:ln>
          <a:solidFill>
            <a:schemeClr val="bg2">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31</xdr:row>
      <xdr:rowOff>33337</xdr:rowOff>
    </xdr:from>
    <xdr:to>
      <xdr:col>5</xdr:col>
      <xdr:colOff>0</xdr:colOff>
      <xdr:row>45</xdr:row>
      <xdr:rowOff>109537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31</xdr:row>
      <xdr:rowOff>28575</xdr:rowOff>
    </xdr:from>
    <xdr:to>
      <xdr:col>7</xdr:col>
      <xdr:colOff>19051</xdr:colOff>
      <xdr:row>45</xdr:row>
      <xdr:rowOff>104775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31</xdr:row>
      <xdr:rowOff>28575</xdr:rowOff>
    </xdr:from>
    <xdr:to>
      <xdr:col>9</xdr:col>
      <xdr:colOff>19051</xdr:colOff>
      <xdr:row>45</xdr:row>
      <xdr:rowOff>104775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31</xdr:row>
      <xdr:rowOff>28575</xdr:rowOff>
    </xdr:from>
    <xdr:to>
      <xdr:col>11</xdr:col>
      <xdr:colOff>9525</xdr:colOff>
      <xdr:row>45</xdr:row>
      <xdr:rowOff>104775</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31</xdr:row>
      <xdr:rowOff>28575</xdr:rowOff>
    </xdr:from>
    <xdr:to>
      <xdr:col>13</xdr:col>
      <xdr:colOff>9525</xdr:colOff>
      <xdr:row>45</xdr:row>
      <xdr:rowOff>104775</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542925</xdr:colOff>
      <xdr:row>23</xdr:row>
      <xdr:rowOff>152399</xdr:rowOff>
    </xdr:from>
    <xdr:to>
      <xdr:col>19</xdr:col>
      <xdr:colOff>323850</xdr:colOff>
      <xdr:row>52</xdr:row>
      <xdr:rowOff>111605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3820775" y="3981449"/>
          <a:ext cx="4048125" cy="4655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38099</xdr:colOff>
      <xdr:row>1</xdr:row>
      <xdr:rowOff>14287</xdr:rowOff>
    </xdr:from>
    <xdr:to>
      <xdr:col>20</xdr:col>
      <xdr:colOff>571500</xdr:colOff>
      <xdr:row>20</xdr:row>
      <xdr:rowOff>85725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21</xdr:row>
      <xdr:rowOff>9525</xdr:rowOff>
    </xdr:from>
    <xdr:to>
      <xdr:col>20</xdr:col>
      <xdr:colOff>533401</xdr:colOff>
      <xdr:row>40</xdr:row>
      <xdr:rowOff>80963</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41</xdr:row>
      <xdr:rowOff>0</xdr:rowOff>
    </xdr:from>
    <xdr:to>
      <xdr:col>20</xdr:col>
      <xdr:colOff>542926</xdr:colOff>
      <xdr:row>60</xdr:row>
      <xdr:rowOff>71438</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61</xdr:row>
      <xdr:rowOff>0</xdr:rowOff>
    </xdr:from>
    <xdr:to>
      <xdr:col>20</xdr:col>
      <xdr:colOff>533401</xdr:colOff>
      <xdr:row>80</xdr:row>
      <xdr:rowOff>71438</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81</xdr:row>
      <xdr:rowOff>0</xdr:rowOff>
    </xdr:from>
    <xdr:to>
      <xdr:col>20</xdr:col>
      <xdr:colOff>533401</xdr:colOff>
      <xdr:row>100</xdr:row>
      <xdr:rowOff>71438</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arkkanen Johanna" id="{C35C5318-92B1-40A7-BFA4-AB6DE70FE2F9}" userId="S::johanna.markkanen@vtt.fi::21754a17-1c83-42fe-a73b-9d2092abd0fa" providerId="AD"/>
</personList>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 dT="2020-12-28T13:43:29.45" personId="{C35C5318-92B1-40A7-BFA4-AB6DE70FE2F9}" id="{D10BE95C-B51A-477D-8F44-09541369EAFF}">
    <text>Muuttuja kuvaa satamatoiminnan kasvua siten, että mallissa työkoneiden käyttöä on tehostettu eli käyttötunnit kasvavat</text>
  </threadedComment>
  <threadedComment ref="E6" dT="2021-01-05T09:10:46.29" personId="{C35C5318-92B1-40A7-BFA4-AB6DE70FE2F9}" id="{11A162C9-5F48-474B-90C1-2AF32969BA7B}">
    <text>Tämän muuttaminen ei vaikuta suoraan laskentaan, muuttaa vain vertailuarvoja</text>
  </threadedComment>
  <threadedComment ref="E8" dT="2021-01-05T09:09:27.09" personId="{C35C5318-92B1-40A7-BFA4-AB6DE70FE2F9}" id="{8667C0C7-B762-4870-8968-273444513B71}">
    <text>Vapaasti muutettavissa. Oletusarvo -2% Suomen keskimääräisen sähkön päästökertoimen vuosialeneman mukaisesti (mm. Markkanen 2018)</text>
  </threadedComment>
</ThreadedComments>
</file>

<file path=xl/threadedComments/threadedComment2.xml><?xml version="1.0" encoding="utf-8"?>
<ThreadedComments xmlns="http://schemas.microsoft.com/office/spreadsheetml/2018/threadedcomments" xmlns:x="http://schemas.openxmlformats.org/spreadsheetml/2006/main">
  <threadedComment ref="D2" dT="2021-01-11T07:36:06.14" personId="{C35C5318-92B1-40A7-BFA4-AB6DE70FE2F9}" id="{3CA8C6F1-BDE9-4830-A93F-1AA6CBA18538}">
    <text>pom = moottoripolttoöljy</text>
  </threadedComment>
  <threadedComment ref="F2" dT="2021-01-11T07:35:54.07" personId="{C35C5318-92B1-40A7-BFA4-AB6DE70FE2F9}" id="{8C6641B0-2C65-4263-BE08-91C7FA5AE731}">
    <text>Lukumäärä kuvastaa työkonekannan tilannetta vuonna 2019, HelSa:n antamien tietojen perusteella</text>
  </threadedComment>
  <threadedComment ref="G2" dT="2021-01-11T07:34:41.94" personId="{C35C5318-92B1-40A7-BFA4-AB6DE70FE2F9}" id="{8210A8B0-A394-437F-9BD0-2BD04FCBD881}">
    <text>Yksikkö l/h tai kWh/h. Kulutus määritelty haastattelujen varman tiedon sekä sen pohjalta muodostetun jakauman perusteella eri konetyypeille</text>
  </threadedComment>
  <threadedComment ref="H2" dT="2021-01-11T07:34:19.12" personId="{C35C5318-92B1-40A7-BFA4-AB6DE70FE2F9}" id="{20CE2848-50F5-4E46-8A89-7534AF45F1B0}">
    <text>Käyttötunnit määritelty haastattelujen varman tiedon sekä sen pohjalta muodostetun jakauman perusteella eri konetyypeille</text>
  </threadedComment>
  <threadedComment ref="I2" dT="2021-01-11T07:33:52.84" personId="{C35C5318-92B1-40A7-BFA4-AB6DE70FE2F9}" id="{F7DF99BB-1B43-4C25-80E6-D756CE13C414}">
    <text>Adbluen käyttö määritelty haastattelujen varman tiedon sekä sen pohjalta muodostetun jakauman perusteella</text>
  </threadedComment>
  <threadedComment ref="J2" dT="2021-01-11T07:21:53.90" personId="{C35C5318-92B1-40A7-BFA4-AB6DE70FE2F9}" id="{7FCB125B-451B-4334-B3D3-9AFE1EA5868A}">
    <text>kWh, vain täyssähkökoneille</text>
  </threadedComment>
  <threadedComment ref="H7" dT="2020-12-28T11:41:36.58" personId="{C35C5318-92B1-40A7-BFA4-AB6DE70FE2F9}" id="{0810FCDD-2007-485F-B85B-734D9B0ED285}">
    <text>keskiarvo datan perusteella</text>
  </threadedComment>
  <threadedComment ref="H8" dT="2020-12-28T11:41:36.58" personId="{C35C5318-92B1-40A7-BFA4-AB6DE70FE2F9}" id="{032762BD-D00A-4999-B0DD-65D3B119681D}">
    <text>keskiarvo datan perusteella</text>
  </threadedComment>
  <threadedComment ref="J11" dT="2021-01-11T07:32:21.16" personId="{C35C5318-92B1-40A7-BFA4-AB6DE70FE2F9}" id="{05E2F6B6-15FA-4509-9025-55F6FF006C05}">
    <text>Oletus: Kalmar Ottawa sähköisen terminaalitraktorin pienin akku</text>
  </threadedComment>
  <threadedComment ref="J12" dT="2021-01-11T07:32:55.25" personId="{C35C5318-92B1-40A7-BFA4-AB6DE70FE2F9}" id="{F151E27B-B020-4EE3-AAA9-3DD58065B239}">
    <text>Oletus: suurin tällä hetkellä esiintyvä akkukoko (Terbergin sähköinen terminaalitraktori)</text>
  </threadedComment>
  <threadedComment ref="C14" dT="2021-01-11T07:23:59.60" personId="{C35C5318-92B1-40A7-BFA4-AB6DE70FE2F9}" id="{7BD057EA-2B35-4D26-9EA3-212E3A225A9D}">
    <text>kurottajia kokoluokassa 10t &gt; x &lt; 40t ei ilmennyt haastettelujen perusteella, sen vuoksi konetyyppi puuttuu mallista</text>
  </threadedComment>
  <threadedComment ref="J23" dT="2021-01-11T08:12:54.53" personId="{C35C5318-92B1-40A7-BFA4-AB6DE70FE2F9}" id="{5A1FCF38-92D0-4D5E-B19D-E15216C43BFC}">
    <text>Keskimääräinen akkukoko Toyota Forklifts 5t ja pienempien trukkien valikoimasta</text>
  </threadedComment>
  <threadedComment ref="J24" dT="2021-01-11T08:07:27.78" personId="{C35C5318-92B1-40A7-BFA4-AB6DE70FE2F9}" id="{2BB2F776-563F-440D-BF14-EDEC97373811}">
    <text>Kalmarin sähkötrukin akun koon mukaan (Li-Ion)</text>
  </threadedComment>
  <threadedComment ref="A25" dT="2021-01-13T14:00:55.18" personId="{C35C5318-92B1-40A7-BFA4-AB6DE70FE2F9}" id="{E2E2EBD0-95F5-4A49-B621-9924EBE30E4B}">
    <text>Optiona lisätä näille tyhjille riveille muita työkoneluokkia, jotka laskenta huomioi automaattisesti</text>
  </threadedComment>
</ThreadedComments>
</file>

<file path=xl/threadedComments/threadedComment3.xml><?xml version="1.0" encoding="utf-8"?>
<ThreadedComments xmlns="http://schemas.microsoft.com/office/spreadsheetml/2018/threadedcomments" xmlns:x="http://schemas.openxmlformats.org/spreadsheetml/2006/main">
  <threadedComment ref="AC2" dT="2020-12-09T14:09:17.46" personId="{C35C5318-92B1-40A7-BFA4-AB6DE70FE2F9}" id="{4C1999C5-C170-412A-AD21-8B4AD0699DD5}">
    <text>Sisältää osin CH4 ja N2O:n lämpenemisvaikutuksen, sillä WTT ne sisältyvät WTT kertoimiin</text>
  </threadedComment>
</ThreadedComments>
</file>

<file path=xl/threadedComments/threadedComment4.xml><?xml version="1.0" encoding="utf-8"?>
<ThreadedComments xmlns="http://schemas.microsoft.com/office/spreadsheetml/2018/threadedcomments" xmlns:x="http://schemas.openxmlformats.org/spreadsheetml/2006/main">
  <threadedComment ref="AC2" dT="2020-12-09T14:09:17.46" personId="{C35C5318-92B1-40A7-BFA4-AB6DE70FE2F9}" id="{CC4E575A-5675-4CE3-A0DE-4829ACE65C4D}">
    <text>Sisältää osin CH4 ja N2O:n lämpenemisvaikutuksen, sillä WTT ne sisältyvät WTT kertoimiin</text>
  </threadedComment>
</ThreadedComments>
</file>

<file path=xl/threadedComments/threadedComment5.xml><?xml version="1.0" encoding="utf-8"?>
<ThreadedComments xmlns="http://schemas.microsoft.com/office/spreadsheetml/2018/threadedcomments" xmlns:x="http://schemas.openxmlformats.org/spreadsheetml/2006/main">
  <threadedComment ref="AC2" dT="2020-12-09T14:09:17.46" personId="{C35C5318-92B1-40A7-BFA4-AB6DE70FE2F9}" id="{EA56FC41-26B9-40D1-AAFD-70EBC601041D}">
    <text>Sisältää osin CH4 ja N2O:n lämpenemisvaikutuksen, sillä WTT ne sisältyvät WTT kertoimiin</text>
  </threadedComment>
</ThreadedComments>
</file>

<file path=xl/threadedComments/threadedComment6.xml><?xml version="1.0" encoding="utf-8"?>
<ThreadedComments xmlns="http://schemas.microsoft.com/office/spreadsheetml/2018/threadedcomments" xmlns:x="http://schemas.openxmlformats.org/spreadsheetml/2006/main">
  <threadedComment ref="AC2" dT="2020-12-09T14:09:17.46" personId="{C35C5318-92B1-40A7-BFA4-AB6DE70FE2F9}" id="{B69A5577-C6BA-4A2C-B6D4-B7C4771B3463}">
    <text>Sisältää osin CH4 ja N2O:n lämpenemisvaikutuksen, sillä WTT ne sisältyvät WTT kertoimiin</text>
  </threadedComment>
</ThreadedComments>
</file>

<file path=xl/threadedComments/threadedComment7.xml><?xml version="1.0" encoding="utf-8"?>
<ThreadedComments xmlns="http://schemas.microsoft.com/office/spreadsheetml/2018/threadedcomments" xmlns:x="http://schemas.openxmlformats.org/spreadsheetml/2006/main">
  <threadedComment ref="AC2" dT="2020-12-09T14:09:17.46" personId="{C35C5318-92B1-40A7-BFA4-AB6DE70FE2F9}" id="{57A8A7EC-E529-429D-9668-A50BF67261FF}">
    <text>Sisältää osin CH4 ja N2O:n lämpenemisvaikutuksen, sillä WTT ne sisältyvät WTT kertoimiin</text>
  </threadedComment>
</ThreadedComments>
</file>

<file path=xl/threadedComments/threadedComment8.xml><?xml version="1.0" encoding="utf-8"?>
<ThreadedComments xmlns="http://schemas.microsoft.com/office/spreadsheetml/2018/threadedcomments" xmlns:x="http://schemas.openxmlformats.org/spreadsheetml/2006/main">
  <threadedComment ref="D2" dT="2021-01-11T07:36:06.14" personId="{C35C5318-92B1-40A7-BFA4-AB6DE70FE2F9}" id="{9F26C20A-28ED-45C2-9E06-CE5D81BFF1F5}">
    <text>pom = moottoripolttoöljy</text>
  </threadedComment>
  <threadedComment ref="F2" dT="2021-01-11T07:35:54.07" personId="{C35C5318-92B1-40A7-BFA4-AB6DE70FE2F9}" id="{ED25D8D3-6A5B-4920-B749-3B44DBB0FADD}">
    <text>Lukumäärä tarkasteluvuonna</text>
  </threadedComment>
  <threadedComment ref="G2" dT="2021-01-11T07:34:41.94" personId="{C35C5318-92B1-40A7-BFA4-AB6DE70FE2F9}" id="{5E5806BF-63C2-4E97-ABD4-4259656498B8}">
    <text>Yksikkö l/h jos polttoainekäyttöinen, tai kWh/h jos sähkökäyttöinen.</text>
  </threadedComment>
  <threadedComment ref="H2" dT="2021-01-11T07:34:19.12" personId="{C35C5318-92B1-40A7-BFA4-AB6DE70FE2F9}" id="{5874A455-E058-4844-83CA-0298CA2FF5E6}">
    <text>Arvio vuosittaisista käyttötunneista</text>
  </threadedComment>
  <threadedComment ref="I2" dT="2021-01-11T07:33:52.84" personId="{C35C5318-92B1-40A7-BFA4-AB6DE70FE2F9}" id="{B9318ACB-E981-41AD-8DCF-E7C02019F775}">
    <text>100% = kaikki koneet käyttävät adblueta. 0% yksikään kone ei käytä. 50% = puolet koneista käyttää</text>
  </threadedComment>
  <threadedComment ref="J2" dT="2021-01-11T07:21:53.90" personId="{C35C5318-92B1-40A7-BFA4-AB6DE70FE2F9}" id="{E3C3D17E-1FE4-43DE-862D-783DBB3A92C4}">
    <text>kWh, vain täyssähkökoneille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microsoft.com/office/2017/10/relationships/threadedComment" Target="../threadedComments/threadedComment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microsoft.com/office/2017/10/relationships/threadedComment" Target="../threadedComments/threadedComment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microsoft.com/office/2017/10/relationships/threadedComment" Target="../threadedComments/threadedComment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0" zoomScaleNormal="80" workbookViewId="0"/>
  </sheetViews>
  <sheetFormatPr defaultColWidth="9.109375" defaultRowHeight="14.4"/>
  <cols>
    <col min="1" max="8" width="9.109375" style="379"/>
    <col min="9" max="9" width="3.88671875" style="379" customWidth="1"/>
    <col min="10" max="16384" width="9.109375" style="379"/>
  </cols>
  <sheetData>
    <row r="1" spans="1:1" s="8" customFormat="1" ht="18" customHeight="1">
      <c r="A1" s="7" t="s">
        <v>0</v>
      </c>
    </row>
  </sheetData>
  <sheetProtection algorithmName="SHA-512" hashValue="owl6GaHBPCxdF8rc48Tr+2ZulOEzjy+hNViJzmgs/93zu8Kw6K4PGJi3+Md1f2PCHCWFCD2XDUsxa5hbE01yWg==" saltValue="nIajdvmdmgFYLpTvOH7xcA=="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
  <sheetViews>
    <sheetView workbookViewId="0"/>
  </sheetViews>
  <sheetFormatPr defaultColWidth="8.6640625" defaultRowHeight="13.8"/>
  <cols>
    <col min="1" max="1" width="11.88671875" style="2" customWidth="1"/>
    <col min="2" max="2" width="17.44140625" style="2" customWidth="1"/>
    <col min="3" max="3" width="18.109375" style="2" customWidth="1"/>
    <col min="4" max="9" width="13.6640625" style="2" customWidth="1"/>
    <col min="10" max="21" width="8.6640625" style="2"/>
    <col min="22" max="22" width="13.6640625" style="2" customWidth="1"/>
    <col min="23" max="24" width="13.5546875" style="2" customWidth="1"/>
    <col min="25" max="25" width="14" style="2" customWidth="1"/>
    <col min="26" max="26" width="12.88671875" style="2" customWidth="1"/>
    <col min="27" max="27" width="12.109375" style="2" customWidth="1"/>
    <col min="28" max="28" width="13.109375" style="2" customWidth="1"/>
    <col min="29" max="29" width="10" style="2" customWidth="1"/>
    <col min="30" max="30" width="10.88671875" style="2" customWidth="1"/>
    <col min="31" max="16384" width="8.6640625" style="2"/>
  </cols>
  <sheetData>
    <row r="1" spans="1:30" s="8" customFormat="1" ht="18">
      <c r="A1" s="7" t="s">
        <v>311</v>
      </c>
      <c r="B1" s="7"/>
      <c r="C1" s="7"/>
    </row>
    <row r="2" spans="1:30">
      <c r="A2" s="287" t="s">
        <v>312</v>
      </c>
      <c r="B2" s="278"/>
      <c r="C2" s="278"/>
      <c r="D2" s="278"/>
      <c r="E2" s="278"/>
      <c r="F2" s="278"/>
      <c r="G2" s="278"/>
      <c r="H2" s="278"/>
      <c r="I2" s="278"/>
      <c r="V2" s="278"/>
      <c r="W2" s="278"/>
      <c r="X2" s="278"/>
      <c r="Y2" s="279"/>
      <c r="Z2" s="277"/>
      <c r="AA2" s="278"/>
      <c r="AB2" s="278"/>
      <c r="AC2" s="278"/>
      <c r="AD2" s="279"/>
    </row>
    <row r="3" spans="1:30" ht="55.2">
      <c r="A3" s="288" t="s">
        <v>42</v>
      </c>
      <c r="B3" s="187" t="s">
        <v>279</v>
      </c>
      <c r="C3" s="187" t="s">
        <v>280</v>
      </c>
      <c r="D3" s="187" t="s">
        <v>281</v>
      </c>
      <c r="E3" s="187" t="s">
        <v>282</v>
      </c>
      <c r="F3" s="187" t="s">
        <v>283</v>
      </c>
      <c r="G3" s="187" t="s">
        <v>284</v>
      </c>
      <c r="H3" s="187" t="s">
        <v>285</v>
      </c>
      <c r="I3" s="23" t="s">
        <v>313</v>
      </c>
      <c r="V3" s="275" t="s">
        <v>314</v>
      </c>
      <c r="W3" s="275" t="s">
        <v>315</v>
      </c>
      <c r="X3" s="275" t="s">
        <v>316</v>
      </c>
      <c r="Y3" s="281" t="s">
        <v>317</v>
      </c>
      <c r="Z3" s="280" t="s">
        <v>318</v>
      </c>
      <c r="AA3" s="275" t="s">
        <v>319</v>
      </c>
      <c r="AB3" s="275" t="s">
        <v>320</v>
      </c>
      <c r="AC3" s="275" t="s">
        <v>321</v>
      </c>
      <c r="AD3" s="281" t="s">
        <v>322</v>
      </c>
    </row>
    <row r="4" spans="1:30">
      <c r="A4" s="289">
        <v>2019</v>
      </c>
      <c r="B4" s="188">
        <f>SUMIF('S0a Baseline'!$C$3:$C$512,A4,'S0a Baseline'!$S$3:$S$512)</f>
        <v>67.850999999999985</v>
      </c>
      <c r="C4" s="188">
        <f>SUMIF('S0a Baseline'!$C$3:$C$512,A4,'S0a Baseline'!$T$3:$T$512)</f>
        <v>0</v>
      </c>
      <c r="D4" s="188">
        <f>SUMIF('S0a Baseline'!$C$3:$C$512,A4,'S0a Baseline'!$U$3:$U$512)</f>
        <v>101.51065717592591</v>
      </c>
      <c r="E4" s="188">
        <f>SUMIF('S0a Baseline'!$C$3:$C$512,A4,'S0a Baseline'!$V$3:$V$512)</f>
        <v>43.121723076923082</v>
      </c>
      <c r="F4" s="188">
        <f>SUMIF('S0a Baseline'!$C$3:$C$512,A4,'S0a Baseline'!$W$3:$W$512)</f>
        <v>264.97163285999994</v>
      </c>
      <c r="G4" s="188">
        <f>SUMIF('S0a Baseline'!$C$3:$C$512,A4,'S0a Baseline'!$X$3:$X$512)</f>
        <v>3.1774565999999997</v>
      </c>
      <c r="H4" s="188">
        <f>SUMIF('S0a Baseline'!$C$3:$C$512,A4,'S0a Baseline'!$Y$3:$Y$512)</f>
        <v>1.1440000000000001</v>
      </c>
      <c r="I4" s="276">
        <f>SUM(B4:H4)</f>
        <v>481.77646971284895</v>
      </c>
      <c r="V4" s="282">
        <f>SUMIFS('S0a Baseline'!$I$3:$I$512,'S0a Baseline'!$C$3:$C$512,$A$4,'S0a Baseline'!$D$3:$D$512,"pom")</f>
        <v>100000</v>
      </c>
      <c r="W4" s="276">
        <f>SUMIF('S0a Baseline'!$C$3:$C$512,$A$4,'S0a Baseline'!$J$3:$J$512)</f>
        <v>0</v>
      </c>
      <c r="X4" s="276">
        <f>SUMIF('S0a Baseline'!$C$3:$C$512,$A$4,'S0a Baseline'!$L$3:$L$512)</f>
        <v>4400</v>
      </c>
      <c r="Y4" s="283">
        <f>SUMIFS('S0a Baseline'!$E$3:$E$512,'S0a Baseline'!$C$3:$C$512,$A$4,'S0a Baseline'!$D$3:$D$512,"sähkö")/1000</f>
        <v>407.19907407407402</v>
      </c>
      <c r="Z4" s="282">
        <f t="shared" ref="Z4:Z20" si="0">V4*hinta_pom_pok</f>
        <v>97000</v>
      </c>
      <c r="AA4" s="276">
        <f t="shared" ref="AA4:AA20" si="1">W4*hinta_biodiesel</f>
        <v>0</v>
      </c>
      <c r="AB4" s="276">
        <f t="shared" ref="AB4:AB20" si="2">X4*hinta_adblue</f>
        <v>2200</v>
      </c>
      <c r="AC4" s="276">
        <f t="shared" ref="AC4:AC20" si="3">Y4*1000*hinta_sähkö3</f>
        <v>36037.118055555555</v>
      </c>
      <c r="AD4" s="283">
        <f>SUM(Z4:AC4)</f>
        <v>135237.11805555556</v>
      </c>
    </row>
    <row r="5" spans="1:30">
      <c r="A5" s="289">
        <v>2020</v>
      </c>
      <c r="B5" s="188">
        <f>SUMIF('S0a Baseline'!$C$3:$C$512,A5,'S0a Baseline'!$S$3:$S$512)</f>
        <v>67.850999999999985</v>
      </c>
      <c r="C5" s="188">
        <f>SUMIF('S0a Baseline'!$C$3:$C$512,A5,'S0a Baseline'!$T$3:$T$512)</f>
        <v>0</v>
      </c>
      <c r="D5" s="188">
        <f>SUMIF('S0a Baseline'!$C$3:$C$512,A5,'S0a Baseline'!$U$3:$U$512)</f>
        <v>100.49555060416665</v>
      </c>
      <c r="E5" s="188">
        <f>SUMIF('S0a Baseline'!$C$3:$C$512,A5,'S0a Baseline'!$V$3:$V$512)</f>
        <v>43.121723076923082</v>
      </c>
      <c r="F5" s="188">
        <f>SUMIF('S0a Baseline'!$C$3:$C$512,A5,'S0a Baseline'!$W$3:$W$512)</f>
        <v>264.97163285999994</v>
      </c>
      <c r="G5" s="188">
        <f>SUMIF('S0a Baseline'!$C$3:$C$512,A5,'S0a Baseline'!$X$3:$X$512)</f>
        <v>3.1774565999999997</v>
      </c>
      <c r="H5" s="188">
        <f>SUMIF('S0a Baseline'!$C$3:$C$512,A5,'S0a Baseline'!$Y$3:$Y$512)</f>
        <v>1.1440000000000001</v>
      </c>
      <c r="I5" s="276">
        <f t="shared" ref="I5:I20" si="4">SUM(B5:H5)</f>
        <v>480.76136314108965</v>
      </c>
      <c r="V5" s="282">
        <f>SUMIFS('S0a Baseline'!$I$3:$I$512,'S0a Baseline'!$C$3:$C$512,$A$5,'S0a Baseline'!$D$3:$D$512,"pom")</f>
        <v>100000</v>
      </c>
      <c r="W5" s="276">
        <f>SUMIF('S0a Baseline'!$C$3:$C$512,$A$5,'S0a Baseline'!$J$3:$J$512)</f>
        <v>0</v>
      </c>
      <c r="X5" s="276">
        <f>SUMIF('S0a Baseline'!$C$3:$C$512,$A$5,'S0a Baseline'!$L$3:$L$512)</f>
        <v>4400</v>
      </c>
      <c r="Y5" s="283">
        <f>SUMIFS('S0a Baseline'!$E$3:$E$512,'S0a Baseline'!$C$3:$C$512,$A$5,'S0a Baseline'!$D$3:$D$512,"sähkö")/1000</f>
        <v>407.19907407407402</v>
      </c>
      <c r="Z5" s="282">
        <f t="shared" si="0"/>
        <v>97000</v>
      </c>
      <c r="AA5" s="276">
        <f t="shared" si="1"/>
        <v>0</v>
      </c>
      <c r="AB5" s="276">
        <f t="shared" si="2"/>
        <v>2200</v>
      </c>
      <c r="AC5" s="276">
        <f t="shared" si="3"/>
        <v>36037.118055555555</v>
      </c>
      <c r="AD5" s="283">
        <f t="shared" ref="AD5:AD20" si="5">SUM(Z5:AC5)</f>
        <v>135237.11805555556</v>
      </c>
    </row>
    <row r="6" spans="1:30">
      <c r="A6" s="289">
        <v>2021</v>
      </c>
      <c r="B6" s="188">
        <f>SUMIF('S0a Baseline'!$C$3:$C$512,A6,'S0a Baseline'!$S$3:$S$512)</f>
        <v>65.815469999999991</v>
      </c>
      <c r="C6" s="188">
        <f>SUMIF('S0a Baseline'!$C$3:$C$512,A6,'S0a Baseline'!$T$3:$T$512)</f>
        <v>6.7204800000000011</v>
      </c>
      <c r="D6" s="188">
        <f>SUMIF('S0a Baseline'!$C$3:$C$512,A6,'S0a Baseline'!$U$3:$U$512)</f>
        <v>99.490595098124999</v>
      </c>
      <c r="E6" s="188">
        <f>SUMIF('S0a Baseline'!$C$3:$C$512,A6,'S0a Baseline'!$V$3:$V$512)</f>
        <v>43.121723076923082</v>
      </c>
      <c r="F6" s="188">
        <f>SUMIF('S0a Baseline'!$C$3:$C$512,A6,'S0a Baseline'!$W$3:$W$512)</f>
        <v>257.02248387419991</v>
      </c>
      <c r="G6" s="188">
        <f>SUMIF('S0a Baseline'!$C$3:$C$512,A6,'S0a Baseline'!$X$3:$X$512)</f>
        <v>3.1774565999999997</v>
      </c>
      <c r="H6" s="188">
        <f>SUMIF('S0a Baseline'!$C$3:$C$512,A6,'S0a Baseline'!$Y$3:$Y$512)</f>
        <v>1.1456009329446064</v>
      </c>
      <c r="I6" s="276">
        <f t="shared" si="4"/>
        <v>476.49380958219263</v>
      </c>
      <c r="V6" s="282">
        <f>SUMIFS('S0a Baseline'!$I$3:$I$512,'S0a Baseline'!$C$3:$C$512,$A$6,'S0a Baseline'!$D$3:$D$512,"pom")</f>
        <v>97000</v>
      </c>
      <c r="W6" s="276">
        <f>SUMIF('S0a Baseline'!$C$3:$C$512,$A$6,'S0a Baseline'!$J$3:$J$512)</f>
        <v>3139.9416909621</v>
      </c>
      <c r="X6" s="276">
        <f>SUMIF('S0a Baseline'!$C$3:$C$512,$A$6,'S0a Baseline'!$L$3:$L$512)</f>
        <v>4406.1574344023329</v>
      </c>
      <c r="Y6" s="283">
        <f>SUMIFS('S0a Baseline'!$E$3:$E$512,'S0a Baseline'!$C$3:$C$512,$A$6,'S0a Baseline'!$D$3:$D$512,"sähkö")/1000</f>
        <v>407.19907407407402</v>
      </c>
      <c r="Z6" s="282">
        <f t="shared" si="0"/>
        <v>94090</v>
      </c>
      <c r="AA6" s="276">
        <f t="shared" si="1"/>
        <v>5180.9037900874646</v>
      </c>
      <c r="AB6" s="276">
        <f t="shared" si="2"/>
        <v>2203.0787172011665</v>
      </c>
      <c r="AC6" s="276">
        <f t="shared" si="3"/>
        <v>36037.118055555555</v>
      </c>
      <c r="AD6" s="283">
        <f t="shared" si="5"/>
        <v>137511.10056284419</v>
      </c>
    </row>
    <row r="7" spans="1:30">
      <c r="A7" s="289">
        <v>2022</v>
      </c>
      <c r="B7" s="188">
        <f>SUMIF('S0a Baseline'!$C$3:$C$512,A7,'S0a Baseline'!$S$3:$S$512)</f>
        <v>65.136959999999974</v>
      </c>
      <c r="C7" s="188">
        <f>SUMIF('S0a Baseline'!$C$3:$C$512,A7,'S0a Baseline'!$T$3:$T$512)</f>
        <v>8.9606399999999979</v>
      </c>
      <c r="D7" s="188">
        <f>SUMIF('S0a Baseline'!$C$3:$C$512,A7,'S0a Baseline'!$U$3:$U$512)</f>
        <v>98.495689147143736</v>
      </c>
      <c r="E7" s="188">
        <f>SUMIF('S0a Baseline'!$C$3:$C$512,A7,'S0a Baseline'!$V$3:$V$512)</f>
        <v>43.121723076923082</v>
      </c>
      <c r="F7" s="188">
        <f>SUMIF('S0a Baseline'!$C$3:$C$512,A7,'S0a Baseline'!$W$3:$W$512)</f>
        <v>254.3727675456</v>
      </c>
      <c r="G7" s="188">
        <f>SUMIF('S0a Baseline'!$C$3:$C$512,A7,'S0a Baseline'!$X$3:$X$512)</f>
        <v>3.1774565999999997</v>
      </c>
      <c r="H7" s="188">
        <f>SUMIF('S0a Baseline'!$C$3:$C$512,A7,'S0a Baseline'!$Y$3:$Y$512)</f>
        <v>1.1461345772594755</v>
      </c>
      <c r="I7" s="276">
        <f t="shared" si="4"/>
        <v>474.4113709469263</v>
      </c>
      <c r="V7" s="282">
        <f>SUMIFS('S0a Baseline'!$I$3:$I$512,'S0a Baseline'!$C$3:$C$512,$A$7,'S0a Baseline'!$D$3:$D$512,"pom")</f>
        <v>96000</v>
      </c>
      <c r="W7" s="276">
        <f>SUMIF('S0a Baseline'!$C$3:$C$512,$A$7,'S0a Baseline'!$J$3:$J$512)</f>
        <v>4186.5889212827997</v>
      </c>
      <c r="X7" s="276">
        <f>SUMIF('S0a Baseline'!$C$3:$C$512,$A$7,'S0a Baseline'!$L$3:$L$512)</f>
        <v>4408.209912536443</v>
      </c>
      <c r="Y7" s="283">
        <f>SUMIFS('S0a Baseline'!$E$3:$E$512,'S0a Baseline'!$C$3:$C$512,$A$7,'S0a Baseline'!$D$3:$D$512,"sähkö")/1000</f>
        <v>407.19907407407402</v>
      </c>
      <c r="Z7" s="282">
        <f t="shared" si="0"/>
        <v>93120</v>
      </c>
      <c r="AA7" s="276">
        <f t="shared" si="1"/>
        <v>6907.8717201166191</v>
      </c>
      <c r="AB7" s="276">
        <f t="shared" si="2"/>
        <v>2204.1049562682215</v>
      </c>
      <c r="AC7" s="276">
        <f t="shared" si="3"/>
        <v>36037.118055555555</v>
      </c>
      <c r="AD7" s="283">
        <f t="shared" si="5"/>
        <v>138269.09473194039</v>
      </c>
    </row>
    <row r="8" spans="1:30">
      <c r="A8" s="289">
        <v>2023</v>
      </c>
      <c r="B8" s="188">
        <f>SUMIF('S0a Baseline'!$C$3:$C$512,A8,'S0a Baseline'!$S$3:$S$512)</f>
        <v>64.458449999999999</v>
      </c>
      <c r="C8" s="188">
        <f>SUMIF('S0a Baseline'!$C$3:$C$512,A8,'S0a Baseline'!$T$3:$T$512)</f>
        <v>11.200799999999999</v>
      </c>
      <c r="D8" s="188">
        <f>SUMIF('S0a Baseline'!$C$3:$C$512,A8,'S0a Baseline'!$U$3:$U$512)</f>
        <v>97.510732255672309</v>
      </c>
      <c r="E8" s="188">
        <f>SUMIF('S0a Baseline'!$C$3:$C$512,A8,'S0a Baseline'!$V$3:$V$512)</f>
        <v>43.121723076923082</v>
      </c>
      <c r="F8" s="188">
        <f>SUMIF('S0a Baseline'!$C$3:$C$512,A8,'S0a Baseline'!$W$3:$W$512)</f>
        <v>251.72305121699995</v>
      </c>
      <c r="G8" s="188">
        <f>SUMIF('S0a Baseline'!$C$3:$C$512,A8,'S0a Baseline'!$X$3:$X$512)</f>
        <v>3.1774565999999997</v>
      </c>
      <c r="H8" s="188">
        <f>SUMIF('S0a Baseline'!$C$3:$C$512,A8,'S0a Baseline'!$Y$3:$Y$512)</f>
        <v>1.1466682215743447</v>
      </c>
      <c r="I8" s="276">
        <f t="shared" si="4"/>
        <v>472.33888137116969</v>
      </c>
      <c r="V8" s="282">
        <f>SUMIFS('S0a Baseline'!$I$3:$I$512,'S0a Baseline'!$C$3:$C$512,$A$8,'S0a Baseline'!$D$3:$D$512,"pom")</f>
        <v>95000</v>
      </c>
      <c r="W8" s="276">
        <f>SUMIF('S0a Baseline'!$C$3:$C$512,$A$8,'S0a Baseline'!$J$3:$J$512)</f>
        <v>5233.2361516034971</v>
      </c>
      <c r="X8" s="276">
        <f>SUMIF('S0a Baseline'!$C$3:$C$512,$A$8,'S0a Baseline'!$L$3:$L$512)</f>
        <v>4410.2623906705549</v>
      </c>
      <c r="Y8" s="283">
        <f>SUMIFS('S0a Baseline'!$E$3:$E$512,'S0a Baseline'!$C$3:$C$512,$A$8,'S0a Baseline'!$D$3:$D$512,"sähkö")/1000</f>
        <v>407.19907407407402</v>
      </c>
      <c r="Z8" s="282">
        <f t="shared" si="0"/>
        <v>92150</v>
      </c>
      <c r="AA8" s="276">
        <f t="shared" si="1"/>
        <v>8634.8396501457701</v>
      </c>
      <c r="AB8" s="276">
        <f t="shared" si="2"/>
        <v>2205.1311953352774</v>
      </c>
      <c r="AC8" s="276">
        <f t="shared" si="3"/>
        <v>36037.118055555555</v>
      </c>
      <c r="AD8" s="283">
        <f t="shared" si="5"/>
        <v>139027.08890103659</v>
      </c>
    </row>
    <row r="9" spans="1:30">
      <c r="A9" s="289">
        <v>2024</v>
      </c>
      <c r="B9" s="188">
        <f>SUMIF('S0a Baseline'!$C$3:$C$512,A9,'S0a Baseline'!$S$3:$S$512)</f>
        <v>63.779939999999996</v>
      </c>
      <c r="C9" s="188">
        <f>SUMIF('S0a Baseline'!$C$3:$C$512,A9,'S0a Baseline'!$T$3:$T$512)</f>
        <v>13.440960000000002</v>
      </c>
      <c r="D9" s="188">
        <f>SUMIF('S0a Baseline'!$C$3:$C$512,A9,'S0a Baseline'!$U$3:$U$512)</f>
        <v>96.535624933115585</v>
      </c>
      <c r="E9" s="188">
        <f>SUMIF('S0a Baseline'!$C$3:$C$512,A9,'S0a Baseline'!$V$3:$V$512)</f>
        <v>43.121723076923082</v>
      </c>
      <c r="F9" s="188">
        <f>SUMIF('S0a Baseline'!$C$3:$C$512,A9,'S0a Baseline'!$W$3:$W$512)</f>
        <v>249.07333488840004</v>
      </c>
      <c r="G9" s="188">
        <f>SUMIF('S0a Baseline'!$C$3:$C$512,A9,'S0a Baseline'!$X$3:$X$512)</f>
        <v>3.1774565999999997</v>
      </c>
      <c r="H9" s="188">
        <f>SUMIF('S0a Baseline'!$C$3:$C$512,A9,'S0a Baseline'!$Y$3:$Y$512)</f>
        <v>1.1472018658892129</v>
      </c>
      <c r="I9" s="276">
        <f t="shared" si="4"/>
        <v>470.27624136432792</v>
      </c>
      <c r="V9" s="282">
        <f>SUMIFS('S0a Baseline'!$I$3:$I$512,'S0a Baseline'!$C$3:$C$512,$A$9,'S0a Baseline'!$D$3:$D$512,"pom")</f>
        <v>94000</v>
      </c>
      <c r="W9" s="276">
        <f>SUMIF('S0a Baseline'!$C$3:$C$512,$A$9,'S0a Baseline'!$J$3:$J$512)</f>
        <v>6279.8833819242</v>
      </c>
      <c r="X9" s="276">
        <f>SUMIF('S0a Baseline'!$C$3:$C$512,$A$9,'S0a Baseline'!$L$3:$L$512)</f>
        <v>4412.314868804664</v>
      </c>
      <c r="Y9" s="283">
        <f>SUMIFS('S0a Baseline'!$E$3:$E$512,'S0a Baseline'!$C$3:$C$512,$A$9,'S0a Baseline'!$D$3:$D$512,"sähkö")/1000</f>
        <v>407.19907407407402</v>
      </c>
      <c r="Z9" s="282">
        <f t="shared" si="0"/>
        <v>91180</v>
      </c>
      <c r="AA9" s="276">
        <f t="shared" si="1"/>
        <v>10361.807580174929</v>
      </c>
      <c r="AB9" s="276">
        <f t="shared" si="2"/>
        <v>2206.157434402332</v>
      </c>
      <c r="AC9" s="276">
        <f t="shared" si="3"/>
        <v>36037.118055555555</v>
      </c>
      <c r="AD9" s="283">
        <f t="shared" si="5"/>
        <v>139785.08307013282</v>
      </c>
    </row>
    <row r="10" spans="1:30">
      <c r="A10" s="289">
        <v>2025</v>
      </c>
      <c r="B10" s="188">
        <f>SUMIF('S0a Baseline'!$C$3:$C$512,A10,'S0a Baseline'!$S$3:$S$512)</f>
        <v>63.101429999999979</v>
      </c>
      <c r="C10" s="188">
        <f>SUMIF('S0a Baseline'!$C$3:$C$512,A10,'S0a Baseline'!$T$3:$T$512)</f>
        <v>15.681120000000007</v>
      </c>
      <c r="D10" s="188">
        <f>SUMIF('S0a Baseline'!$C$3:$C$512,A10,'S0a Baseline'!$U$3:$U$512)</f>
        <v>95.57026868378442</v>
      </c>
      <c r="E10" s="188">
        <f>SUMIF('S0a Baseline'!$C$3:$C$512,A10,'S0a Baseline'!$V$3:$V$512)</f>
        <v>43.121723076923082</v>
      </c>
      <c r="F10" s="188">
        <f>SUMIF('S0a Baseline'!$C$3:$C$512,A10,'S0a Baseline'!$W$3:$W$512)</f>
        <v>246.42361855980002</v>
      </c>
      <c r="G10" s="188">
        <f>SUMIF('S0a Baseline'!$C$3:$C$512,A10,'S0a Baseline'!$X$3:$X$512)</f>
        <v>3.1774565999999997</v>
      </c>
      <c r="H10" s="188">
        <f>SUMIF('S0a Baseline'!$C$3:$C$512,A10,'S0a Baseline'!$Y$3:$Y$512)</f>
        <v>1.1477355102040816</v>
      </c>
      <c r="I10" s="276">
        <f t="shared" si="4"/>
        <v>468.2233524307116</v>
      </c>
      <c r="V10" s="282">
        <f>SUMIFS('S0a Baseline'!$I$3:$I$512,'S0a Baseline'!$C$3:$C$512,$A$10,'S0a Baseline'!$D$3:$D$512,"pom")</f>
        <v>93000</v>
      </c>
      <c r="W10" s="276">
        <f>SUMIF('S0a Baseline'!$C$3:$C$512,$A$10,'S0a Baseline'!$J$3:$J$512)</f>
        <v>7326.5306122448983</v>
      </c>
      <c r="X10" s="276">
        <f>SUMIF('S0a Baseline'!$C$3:$C$512,$A$10,'S0a Baseline'!$L$3:$L$512)</f>
        <v>4414.3673469387759</v>
      </c>
      <c r="Y10" s="283">
        <f>SUMIFS('S0a Baseline'!$E$3:$E$512,'S0a Baseline'!$C$3:$C$512,$A$10,'S0a Baseline'!$D$3:$D$512,"sähkö")/1000</f>
        <v>407.19907407407402</v>
      </c>
      <c r="Z10" s="282">
        <f t="shared" si="0"/>
        <v>90210</v>
      </c>
      <c r="AA10" s="276">
        <f t="shared" si="1"/>
        <v>12088.775510204081</v>
      </c>
      <c r="AB10" s="276">
        <f t="shared" si="2"/>
        <v>2207.1836734693879</v>
      </c>
      <c r="AC10" s="276">
        <f t="shared" si="3"/>
        <v>36037.118055555555</v>
      </c>
      <c r="AD10" s="283">
        <f t="shared" si="5"/>
        <v>140543.07723922902</v>
      </c>
    </row>
    <row r="11" spans="1:30">
      <c r="A11" s="289">
        <v>2026</v>
      </c>
      <c r="B11" s="188">
        <f>SUMIF('S0a Baseline'!$C$3:$C$512,A11,'S0a Baseline'!$S$3:$S$512)</f>
        <v>62.422919999999991</v>
      </c>
      <c r="C11" s="188">
        <f>SUMIF('S0a Baseline'!$C$3:$C$512,A11,'S0a Baseline'!$T$3:$T$512)</f>
        <v>17.921279999999996</v>
      </c>
      <c r="D11" s="188">
        <f>SUMIF('S0a Baseline'!$C$3:$C$512,A11,'S0a Baseline'!$U$3:$U$512)</f>
        <v>94.614565996946595</v>
      </c>
      <c r="E11" s="188">
        <f>SUMIF('S0a Baseline'!$C$3:$C$512,A11,'S0a Baseline'!$V$3:$V$512)</f>
        <v>43.121723076923082</v>
      </c>
      <c r="F11" s="188">
        <f>SUMIF('S0a Baseline'!$C$3:$C$512,A11,'S0a Baseline'!$W$3:$W$512)</f>
        <v>243.77390223120005</v>
      </c>
      <c r="G11" s="188">
        <f>SUMIF('S0a Baseline'!$C$3:$C$512,A11,'S0a Baseline'!$X$3:$X$512)</f>
        <v>3.1774565999999997</v>
      </c>
      <c r="H11" s="188">
        <f>SUMIF('S0a Baseline'!$C$3:$C$512,A11,'S0a Baseline'!$Y$3:$Y$512)</f>
        <v>1.1482691545189507</v>
      </c>
      <c r="I11" s="276">
        <f t="shared" si="4"/>
        <v>466.18011705958872</v>
      </c>
      <c r="V11" s="282">
        <f>SUMIFS('S0a Baseline'!$I$3:$I$512,'S0a Baseline'!$C$3:$C$512,$A$11,'S0a Baseline'!$D$3:$D$512,"pom")</f>
        <v>92000</v>
      </c>
      <c r="W11" s="276">
        <f>SUMIF('S0a Baseline'!$C$3:$C$512,$A$11,'S0a Baseline'!$J$3:$J$512)</f>
        <v>8373.1778425655993</v>
      </c>
      <c r="X11" s="276">
        <f>SUMIF('S0a Baseline'!$C$3:$C$512,$A$11,'S0a Baseline'!$L$3:$L$512)</f>
        <v>4416.4198250728859</v>
      </c>
      <c r="Y11" s="283">
        <f>SUMIFS('S0a Baseline'!$E$3:$E$512,'S0a Baseline'!$C$3:$C$512,$A$11,'S0a Baseline'!$D$3:$D$512,"sähkö")/1000</f>
        <v>407.19907407407402</v>
      </c>
      <c r="Z11" s="282">
        <f t="shared" si="0"/>
        <v>89240</v>
      </c>
      <c r="AA11" s="276">
        <f t="shared" si="1"/>
        <v>13815.743440233238</v>
      </c>
      <c r="AB11" s="276">
        <f t="shared" si="2"/>
        <v>2208.209912536443</v>
      </c>
      <c r="AC11" s="276">
        <f t="shared" si="3"/>
        <v>36037.118055555555</v>
      </c>
      <c r="AD11" s="283">
        <f t="shared" si="5"/>
        <v>141301.07140832525</v>
      </c>
    </row>
    <row r="12" spans="1:30">
      <c r="A12" s="289">
        <v>2027</v>
      </c>
      <c r="B12" s="188">
        <f>SUMIF('S0a Baseline'!$C$3:$C$512,A12,'S0a Baseline'!$S$3:$S$512)</f>
        <v>61.744410000000009</v>
      </c>
      <c r="C12" s="188">
        <f>SUMIF('S0a Baseline'!$C$3:$C$512,A12,'S0a Baseline'!$T$3:$T$512)</f>
        <v>20.161440000000002</v>
      </c>
      <c r="D12" s="188">
        <f>SUMIF('S0a Baseline'!$C$3:$C$512,A12,'S0a Baseline'!$U$3:$U$512)</f>
        <v>93.668420336977107</v>
      </c>
      <c r="E12" s="188">
        <f>SUMIF('S0a Baseline'!$C$3:$C$512,A12,'S0a Baseline'!$V$3:$V$512)</f>
        <v>43.121723076923082</v>
      </c>
      <c r="F12" s="188">
        <f>SUMIF('S0a Baseline'!$C$3:$C$512,A12,'S0a Baseline'!$W$3:$W$512)</f>
        <v>241.12418590260003</v>
      </c>
      <c r="G12" s="188">
        <f>SUMIF('S0a Baseline'!$C$3:$C$512,A12,'S0a Baseline'!$X$3:$X$512)</f>
        <v>3.1774565999999997</v>
      </c>
      <c r="H12" s="188">
        <f>SUMIF('S0a Baseline'!$C$3:$C$512,A12,'S0a Baseline'!$Y$3:$Y$512)</f>
        <v>1.1488027988338194</v>
      </c>
      <c r="I12" s="276">
        <f t="shared" si="4"/>
        <v>464.14643871533406</v>
      </c>
      <c r="V12" s="282">
        <f>SUMIFS('S0a Baseline'!$I$3:$I$512,'S0a Baseline'!$C$3:$C$512,$A$12,'S0a Baseline'!$D$3:$D$512,"pom")</f>
        <v>91000</v>
      </c>
      <c r="W12" s="276">
        <f>SUMIF('S0a Baseline'!$C$3:$C$512,$A$12,'S0a Baseline'!$J$3:$J$512)</f>
        <v>9419.8250728862986</v>
      </c>
      <c r="X12" s="276">
        <f>SUMIF('S0a Baseline'!$C$3:$C$512,$A$12,'S0a Baseline'!$L$3:$L$512)</f>
        <v>4418.4723032069978</v>
      </c>
      <c r="Y12" s="283">
        <f>SUMIFS('S0a Baseline'!$E$3:$E$512,'S0a Baseline'!$C$3:$C$512,$A$12,'S0a Baseline'!$D$3:$D$512,"sähkö")/1000</f>
        <v>407.19907407407402</v>
      </c>
      <c r="Z12" s="282">
        <f t="shared" si="0"/>
        <v>88270</v>
      </c>
      <c r="AA12" s="276">
        <f t="shared" si="1"/>
        <v>15542.711370262392</v>
      </c>
      <c r="AB12" s="276">
        <f t="shared" si="2"/>
        <v>2209.2361516034989</v>
      </c>
      <c r="AC12" s="276">
        <f t="shared" si="3"/>
        <v>36037.118055555555</v>
      </c>
      <c r="AD12" s="283">
        <f t="shared" si="5"/>
        <v>142059.06557742145</v>
      </c>
    </row>
    <row r="13" spans="1:30">
      <c r="A13" s="289">
        <v>2028</v>
      </c>
      <c r="B13" s="188">
        <f>SUMIF('S0a Baseline'!$C$3:$C$512,A13,'S0a Baseline'!$S$3:$S$512)</f>
        <v>61.065899999999985</v>
      </c>
      <c r="C13" s="188">
        <f>SUMIF('S0a Baseline'!$C$3:$C$512,A13,'S0a Baseline'!$T$3:$T$512)</f>
        <v>22.401599999999998</v>
      </c>
      <c r="D13" s="188">
        <f>SUMIF('S0a Baseline'!$C$3:$C$512,A13,'S0a Baseline'!$U$3:$U$512)</f>
        <v>92.731736133607342</v>
      </c>
      <c r="E13" s="188">
        <f>SUMIF('S0a Baseline'!$C$3:$C$512,A13,'S0a Baseline'!$V$3:$V$512)</f>
        <v>43.121723076923082</v>
      </c>
      <c r="F13" s="188">
        <f>SUMIF('S0a Baseline'!$C$3:$C$512,A13,'S0a Baseline'!$W$3:$W$512)</f>
        <v>238.47446957399998</v>
      </c>
      <c r="G13" s="188">
        <f>SUMIF('S0a Baseline'!$C$3:$C$512,A13,'S0a Baseline'!$X$3:$X$512)</f>
        <v>3.1774565999999997</v>
      </c>
      <c r="H13" s="188">
        <f>SUMIF('S0a Baseline'!$C$3:$C$512,A13,'S0a Baseline'!$Y$3:$Y$512)</f>
        <v>1.1493364431486879</v>
      </c>
      <c r="I13" s="276">
        <f t="shared" si="4"/>
        <v>462.12222182767908</v>
      </c>
      <c r="V13" s="282">
        <f>SUMIFS('S0a Baseline'!$I$3:$I$512,'S0a Baseline'!$C$3:$C$512,$A$13,'S0a Baseline'!$D$3:$D$512,"pom")</f>
        <v>90000</v>
      </c>
      <c r="W13" s="276">
        <f>SUMIF('S0a Baseline'!$C$3:$C$512,$A$13,'S0a Baseline'!$J$3:$J$512)</f>
        <v>10466.472303206994</v>
      </c>
      <c r="X13" s="276">
        <f>SUMIF('S0a Baseline'!$C$3:$C$512,$A$13,'S0a Baseline'!$L$3:$L$512)</f>
        <v>4420.5247813411088</v>
      </c>
      <c r="Y13" s="283">
        <f>SUMIFS('S0a Baseline'!$E$3:$E$512,'S0a Baseline'!$C$3:$C$512,$A$13,'S0a Baseline'!$D$3:$D$512,"sähkö")/1000</f>
        <v>407.19907407407402</v>
      </c>
      <c r="Z13" s="282">
        <f t="shared" si="0"/>
        <v>87300</v>
      </c>
      <c r="AA13" s="276">
        <f t="shared" si="1"/>
        <v>17269.67930029154</v>
      </c>
      <c r="AB13" s="276">
        <f t="shared" si="2"/>
        <v>2210.2623906705544</v>
      </c>
      <c r="AC13" s="276">
        <f t="shared" si="3"/>
        <v>36037.118055555555</v>
      </c>
      <c r="AD13" s="283">
        <f t="shared" si="5"/>
        <v>142817.05974651765</v>
      </c>
    </row>
    <row r="14" spans="1:30">
      <c r="A14" s="289">
        <v>2029</v>
      </c>
      <c r="B14" s="188">
        <f>SUMIF('S0a Baseline'!$C$3:$C$512,A14,'S0a Baseline'!$S$3:$S$512)</f>
        <v>61.065899999999985</v>
      </c>
      <c r="C14" s="188">
        <f>SUMIF('S0a Baseline'!$C$3:$C$512,A14,'S0a Baseline'!$T$3:$T$512)</f>
        <v>22.401599999999998</v>
      </c>
      <c r="D14" s="188">
        <f>SUMIF('S0a Baseline'!$C$3:$C$512,A14,'S0a Baseline'!$U$3:$U$512)</f>
        <v>91.804418772271276</v>
      </c>
      <c r="E14" s="188">
        <f>SUMIF('S0a Baseline'!$C$3:$C$512,A14,'S0a Baseline'!$V$3:$V$512)</f>
        <v>43.121723076923082</v>
      </c>
      <c r="F14" s="188">
        <f>SUMIF('S0a Baseline'!$C$3:$C$512,A14,'S0a Baseline'!$W$3:$W$512)</f>
        <v>238.47446957399998</v>
      </c>
      <c r="G14" s="188">
        <f>SUMIF('S0a Baseline'!$C$3:$C$512,A14,'S0a Baseline'!$X$3:$X$512)</f>
        <v>3.1774565999999997</v>
      </c>
      <c r="H14" s="188">
        <f>SUMIF('S0a Baseline'!$C$3:$C$512,A14,'S0a Baseline'!$Y$3:$Y$512)</f>
        <v>1.1493364431486879</v>
      </c>
      <c r="I14" s="276">
        <f t="shared" si="4"/>
        <v>461.19490446634302</v>
      </c>
      <c r="V14" s="282">
        <f>SUMIFS('S0a Baseline'!$I$3:$I$512,'S0a Baseline'!$C$3:$C$512,$A$14,'S0a Baseline'!$D$3:$D$512,"pom")</f>
        <v>90000</v>
      </c>
      <c r="W14" s="276">
        <f>SUMIF('S0a Baseline'!$C$3:$C$512,$A$14,'S0a Baseline'!$J$3:$J$512)</f>
        <v>10466.472303206994</v>
      </c>
      <c r="X14" s="276">
        <f>SUMIF('S0a Baseline'!$C$3:$C$512,$A$14,'S0a Baseline'!$L$3:$L$512)</f>
        <v>4420.5247813411088</v>
      </c>
      <c r="Y14" s="283">
        <f>SUMIFS('S0a Baseline'!$E$3:$E$512,'S0a Baseline'!$C$3:$C$512,$A$14,'S0a Baseline'!$D$3:$D$512,"sähkö")/1000</f>
        <v>407.19907407407402</v>
      </c>
      <c r="Z14" s="282">
        <f t="shared" si="0"/>
        <v>87300</v>
      </c>
      <c r="AA14" s="276">
        <f t="shared" si="1"/>
        <v>17269.67930029154</v>
      </c>
      <c r="AB14" s="276">
        <f t="shared" si="2"/>
        <v>2210.2623906705544</v>
      </c>
      <c r="AC14" s="276">
        <f t="shared" si="3"/>
        <v>36037.118055555555</v>
      </c>
      <c r="AD14" s="283">
        <f t="shared" si="5"/>
        <v>142817.05974651765</v>
      </c>
    </row>
    <row r="15" spans="1:30">
      <c r="A15" s="289">
        <v>2030</v>
      </c>
      <c r="B15" s="188">
        <f>SUMIF('S0a Baseline'!$C$3:$C$512,A15,'S0a Baseline'!$S$3:$S$512)</f>
        <v>61.065899999999985</v>
      </c>
      <c r="C15" s="188">
        <f>SUMIF('S0a Baseline'!$C$3:$C$512,A15,'S0a Baseline'!$T$3:$T$512)</f>
        <v>22.401599999999998</v>
      </c>
      <c r="D15" s="188">
        <f>SUMIF('S0a Baseline'!$C$3:$C$512,A15,'S0a Baseline'!$U$3:$U$512)</f>
        <v>90.886374584548562</v>
      </c>
      <c r="E15" s="188">
        <f>SUMIF('S0a Baseline'!$C$3:$C$512,A15,'S0a Baseline'!$V$3:$V$512)</f>
        <v>43.121723076923082</v>
      </c>
      <c r="F15" s="188">
        <f>SUMIF('S0a Baseline'!$C$3:$C$512,A15,'S0a Baseline'!$W$3:$W$512)</f>
        <v>238.47446957399998</v>
      </c>
      <c r="G15" s="188">
        <f>SUMIF('S0a Baseline'!$C$3:$C$512,A15,'S0a Baseline'!$X$3:$X$512)</f>
        <v>3.1774565999999997</v>
      </c>
      <c r="H15" s="188">
        <f>SUMIF('S0a Baseline'!$C$3:$C$512,A15,'S0a Baseline'!$Y$3:$Y$512)</f>
        <v>1.1493364431486879</v>
      </c>
      <c r="I15" s="276">
        <f t="shared" si="4"/>
        <v>460.27686027862029</v>
      </c>
      <c r="V15" s="282">
        <f>SUMIFS('S0a Baseline'!$I$3:$I$512,'S0a Baseline'!$C$3:$C$512,$A$15,'S0a Baseline'!$D$3:$D$512,"pom")</f>
        <v>90000</v>
      </c>
      <c r="W15" s="276">
        <f>SUMIF('S0a Baseline'!$C$3:$C$512,$A$15,'S0a Baseline'!$J$3:$J$512)</f>
        <v>10466.472303206994</v>
      </c>
      <c r="X15" s="276">
        <f>SUMIF('S0a Baseline'!$C$3:$C$512,$A$15,'S0a Baseline'!$L$3:$L$512)</f>
        <v>4420.5247813411088</v>
      </c>
      <c r="Y15" s="283">
        <f>SUMIFS('S0a Baseline'!$E$3:$E$512,'S0a Baseline'!$C$3:$C$512,$A$15,'S0a Baseline'!$D$3:$D$512,"sähkö")/1000</f>
        <v>407.19907407407402</v>
      </c>
      <c r="Z15" s="282">
        <f t="shared" si="0"/>
        <v>87300</v>
      </c>
      <c r="AA15" s="276">
        <f t="shared" si="1"/>
        <v>17269.67930029154</v>
      </c>
      <c r="AB15" s="276">
        <f t="shared" si="2"/>
        <v>2210.2623906705544</v>
      </c>
      <c r="AC15" s="276">
        <f t="shared" si="3"/>
        <v>36037.118055555555</v>
      </c>
      <c r="AD15" s="283">
        <f t="shared" si="5"/>
        <v>142817.05974651765</v>
      </c>
    </row>
    <row r="16" spans="1:30">
      <c r="A16" s="289">
        <v>2031</v>
      </c>
      <c r="B16" s="188">
        <f>SUMIF('S0a Baseline'!$C$3:$C$512,A16,'S0a Baseline'!$S$3:$S$512)</f>
        <v>61.065899999999985</v>
      </c>
      <c r="C16" s="188">
        <f>SUMIF('S0a Baseline'!$C$3:$C$512,A16,'S0a Baseline'!$T$3:$T$512)</f>
        <v>22.401599999999998</v>
      </c>
      <c r="D16" s="188">
        <f>SUMIF('S0a Baseline'!$C$3:$C$512,A16,'S0a Baseline'!$U$3:$U$512)</f>
        <v>89.977510838703083</v>
      </c>
      <c r="E16" s="188">
        <f>SUMIF('S0a Baseline'!$C$3:$C$512,A16,'S0a Baseline'!$V$3:$V$512)</f>
        <v>43.121723076923082</v>
      </c>
      <c r="F16" s="188">
        <f>SUMIF('S0a Baseline'!$C$3:$C$512,A16,'S0a Baseline'!$W$3:$W$512)</f>
        <v>238.47446957399998</v>
      </c>
      <c r="G16" s="188">
        <f>SUMIF('S0a Baseline'!$C$3:$C$512,A16,'S0a Baseline'!$X$3:$X$512)</f>
        <v>3.1774565999999997</v>
      </c>
      <c r="H16" s="188">
        <f>SUMIF('S0a Baseline'!$C$3:$C$512,A16,'S0a Baseline'!$Y$3:$Y$512)</f>
        <v>1.1493364431486879</v>
      </c>
      <c r="I16" s="276">
        <f t="shared" si="4"/>
        <v>459.36799653277484</v>
      </c>
      <c r="V16" s="282">
        <f>SUMIFS('S0a Baseline'!$I$3:$I$512,'S0a Baseline'!$C$3:$C$512,$A$16,'S0a Baseline'!$D$3:$D$512,"pom")</f>
        <v>90000</v>
      </c>
      <c r="W16" s="276">
        <f>SUMIF('S0a Baseline'!$C$3:$C$512,$A$16,'S0a Baseline'!$J$3:$J$512)</f>
        <v>10466.472303206994</v>
      </c>
      <c r="X16" s="276">
        <f>SUMIF('S0a Baseline'!$C$3:$C$512,$A$16,'S0a Baseline'!$L$3:$L$512)</f>
        <v>4420.5247813411088</v>
      </c>
      <c r="Y16" s="283">
        <f>SUMIFS('S0a Baseline'!$E$3:$E$512,'S0a Baseline'!$C$3:$C$512,$A$16,'S0a Baseline'!$D$3:$D$512,"sähkö")/1000</f>
        <v>407.19907407407402</v>
      </c>
      <c r="Z16" s="282">
        <f t="shared" si="0"/>
        <v>87300</v>
      </c>
      <c r="AA16" s="276">
        <f t="shared" si="1"/>
        <v>17269.67930029154</v>
      </c>
      <c r="AB16" s="276">
        <f t="shared" si="2"/>
        <v>2210.2623906705544</v>
      </c>
      <c r="AC16" s="276">
        <f t="shared" si="3"/>
        <v>36037.118055555555</v>
      </c>
      <c r="AD16" s="283">
        <f t="shared" si="5"/>
        <v>142817.05974651765</v>
      </c>
    </row>
    <row r="17" spans="1:30">
      <c r="A17" s="289">
        <v>2032</v>
      </c>
      <c r="B17" s="188">
        <f>SUMIF('S0a Baseline'!$C$3:$C$512,A17,'S0a Baseline'!$S$3:$S$512)</f>
        <v>61.065899999999985</v>
      </c>
      <c r="C17" s="188">
        <f>SUMIF('S0a Baseline'!$C$3:$C$512,A17,'S0a Baseline'!$T$3:$T$512)</f>
        <v>22.401599999999998</v>
      </c>
      <c r="D17" s="188">
        <f>SUMIF('S0a Baseline'!$C$3:$C$512,A17,'S0a Baseline'!$U$3:$U$512)</f>
        <v>89.077735730316036</v>
      </c>
      <c r="E17" s="188">
        <f>SUMIF('S0a Baseline'!$C$3:$C$512,A17,'S0a Baseline'!$V$3:$V$512)</f>
        <v>43.121723076923082</v>
      </c>
      <c r="F17" s="188">
        <f>SUMIF('S0a Baseline'!$C$3:$C$512,A17,'S0a Baseline'!$W$3:$W$512)</f>
        <v>238.47446957399998</v>
      </c>
      <c r="G17" s="188">
        <f>SUMIF('S0a Baseline'!$C$3:$C$512,A17,'S0a Baseline'!$X$3:$X$512)</f>
        <v>3.1774565999999997</v>
      </c>
      <c r="H17" s="188">
        <f>SUMIF('S0a Baseline'!$C$3:$C$512,A17,'S0a Baseline'!$Y$3:$Y$512)</f>
        <v>1.1493364431486879</v>
      </c>
      <c r="I17" s="276">
        <f t="shared" si="4"/>
        <v>458.46822142438776</v>
      </c>
      <c r="V17" s="282">
        <f>SUMIFS('S0a Baseline'!$I$3:$I$512,'S0a Baseline'!$C$3:$C$512,$A$17,'S0a Baseline'!$D$3:$D$512,"pom")</f>
        <v>90000</v>
      </c>
      <c r="W17" s="276">
        <f>SUMIF('S0a Baseline'!$C$3:$C$512,$A$17,'S0a Baseline'!$J$3:$J$512)</f>
        <v>10466.472303206994</v>
      </c>
      <c r="X17" s="276">
        <f>SUMIF('S0a Baseline'!$C$3:$C$512,$A$17,'S0a Baseline'!$L$3:$L$512)</f>
        <v>4420.5247813411088</v>
      </c>
      <c r="Y17" s="283">
        <f>SUMIFS('S0a Baseline'!$E$3:$E$512,'S0a Baseline'!$C$3:$C$512,$A$17,'S0a Baseline'!$D$3:$D$512,"sähkö")/1000</f>
        <v>407.19907407407402</v>
      </c>
      <c r="Z17" s="282">
        <f t="shared" si="0"/>
        <v>87300</v>
      </c>
      <c r="AA17" s="276">
        <f t="shared" si="1"/>
        <v>17269.67930029154</v>
      </c>
      <c r="AB17" s="276">
        <f t="shared" si="2"/>
        <v>2210.2623906705544</v>
      </c>
      <c r="AC17" s="276">
        <f t="shared" si="3"/>
        <v>36037.118055555555</v>
      </c>
      <c r="AD17" s="283">
        <f t="shared" si="5"/>
        <v>142817.05974651765</v>
      </c>
    </row>
    <row r="18" spans="1:30">
      <c r="A18" s="289">
        <v>2033</v>
      </c>
      <c r="B18" s="188">
        <f>SUMIF('S0a Baseline'!$C$3:$C$512,A18,'S0a Baseline'!$S$3:$S$512)</f>
        <v>61.065899999999985</v>
      </c>
      <c r="C18" s="188">
        <f>SUMIF('S0a Baseline'!$C$3:$C$512,A18,'S0a Baseline'!$T$3:$T$512)</f>
        <v>22.401599999999998</v>
      </c>
      <c r="D18" s="188">
        <f>SUMIF('S0a Baseline'!$C$3:$C$512,A18,'S0a Baseline'!$U$3:$U$512)</f>
        <v>88.186958373012885</v>
      </c>
      <c r="E18" s="188">
        <f>SUMIF('S0a Baseline'!$C$3:$C$512,A18,'S0a Baseline'!$V$3:$V$512)</f>
        <v>43.121723076923082</v>
      </c>
      <c r="F18" s="188">
        <f>SUMIF('S0a Baseline'!$C$3:$C$512,A18,'S0a Baseline'!$W$3:$W$512)</f>
        <v>238.47446957399998</v>
      </c>
      <c r="G18" s="188">
        <f>SUMIF('S0a Baseline'!$C$3:$C$512,A18,'S0a Baseline'!$X$3:$X$512)</f>
        <v>3.1774565999999997</v>
      </c>
      <c r="H18" s="188">
        <f>SUMIF('S0a Baseline'!$C$3:$C$512,A18,'S0a Baseline'!$Y$3:$Y$512)</f>
        <v>1.1493364431486879</v>
      </c>
      <c r="I18" s="276">
        <f t="shared" si="4"/>
        <v>457.57744406708463</v>
      </c>
      <c r="V18" s="282">
        <f>SUMIFS('S0a Baseline'!$I$3:$I$512,'S0a Baseline'!$C$3:$C$512,$A$18,'S0a Baseline'!$D$3:$D$512,"pom")</f>
        <v>90000</v>
      </c>
      <c r="W18" s="276">
        <f>SUMIF('S0a Baseline'!$C$3:$C$512,$A$18,'S0a Baseline'!$J$3:$J$512)</f>
        <v>10466.472303206994</v>
      </c>
      <c r="X18" s="276">
        <f>SUMIF('S0a Baseline'!$C$3:$C$512,$A$18,'S0a Baseline'!$L$3:$L$512)</f>
        <v>4420.5247813411088</v>
      </c>
      <c r="Y18" s="283">
        <f>SUMIFS('S0a Baseline'!$E$3:$E$512,'S0a Baseline'!$C$3:$C$512,$A$18,'S0a Baseline'!$D$3:$D$512,"sähkö")/1000</f>
        <v>407.19907407407402</v>
      </c>
      <c r="Z18" s="282">
        <f t="shared" si="0"/>
        <v>87300</v>
      </c>
      <c r="AA18" s="276">
        <f t="shared" si="1"/>
        <v>17269.67930029154</v>
      </c>
      <c r="AB18" s="276">
        <f t="shared" si="2"/>
        <v>2210.2623906705544</v>
      </c>
      <c r="AC18" s="276">
        <f t="shared" si="3"/>
        <v>36037.118055555555</v>
      </c>
      <c r="AD18" s="283">
        <f t="shared" si="5"/>
        <v>142817.05974651765</v>
      </c>
    </row>
    <row r="19" spans="1:30">
      <c r="A19" s="289">
        <v>2034</v>
      </c>
      <c r="B19" s="188">
        <f>SUMIF('S0a Baseline'!$C$3:$C$512,A19,'S0a Baseline'!$S$3:$S$512)</f>
        <v>61.065899999999985</v>
      </c>
      <c r="C19" s="188">
        <f>SUMIF('S0a Baseline'!$C$3:$C$512,A19,'S0a Baseline'!$T$3:$T$512)</f>
        <v>22.401599999999998</v>
      </c>
      <c r="D19" s="188">
        <f>SUMIF('S0a Baseline'!$C$3:$C$512,A19,'S0a Baseline'!$U$3:$U$512)</f>
        <v>87.305088789282763</v>
      </c>
      <c r="E19" s="188">
        <f>SUMIF('S0a Baseline'!$C$3:$C$512,A19,'S0a Baseline'!$V$3:$V$512)</f>
        <v>43.121723076923082</v>
      </c>
      <c r="F19" s="188">
        <f>SUMIF('S0a Baseline'!$C$3:$C$512,A19,'S0a Baseline'!$W$3:$W$512)</f>
        <v>238.47446957399998</v>
      </c>
      <c r="G19" s="188">
        <f>SUMIF('S0a Baseline'!$C$3:$C$512,A19,'S0a Baseline'!$X$3:$X$512)</f>
        <v>3.1774565999999997</v>
      </c>
      <c r="H19" s="188">
        <f>SUMIF('S0a Baseline'!$C$3:$C$512,A19,'S0a Baseline'!$Y$3:$Y$512)</f>
        <v>1.1493364431486879</v>
      </c>
      <c r="I19" s="276">
        <f t="shared" si="4"/>
        <v>456.69557448335451</v>
      </c>
      <c r="V19" s="282">
        <f>SUMIFS('S0a Baseline'!$I$3:$I$512,'S0a Baseline'!$C$3:$C$512,$A$19,'S0a Baseline'!$D$3:$D$512,"pom")</f>
        <v>90000</v>
      </c>
      <c r="W19" s="276">
        <f>SUMIF('S0a Baseline'!$C$3:$C$512,$A$19,'S0a Baseline'!$J$3:$J$512)</f>
        <v>10466.472303206994</v>
      </c>
      <c r="X19" s="276">
        <f>SUMIF('S0a Baseline'!$C$3:$C$512,$A$19,'S0a Baseline'!$L$3:$L$512)</f>
        <v>4420.5247813411088</v>
      </c>
      <c r="Y19" s="283">
        <f>SUMIFS('S0a Baseline'!$E$3:$E$512,'S0a Baseline'!$C$3:$C$512,$A$19,'S0a Baseline'!$D$3:$D$512,"sähkö")/1000</f>
        <v>407.19907407407402</v>
      </c>
      <c r="Z19" s="282">
        <f t="shared" si="0"/>
        <v>87300</v>
      </c>
      <c r="AA19" s="276">
        <f t="shared" si="1"/>
        <v>17269.67930029154</v>
      </c>
      <c r="AB19" s="276">
        <f t="shared" si="2"/>
        <v>2210.2623906705544</v>
      </c>
      <c r="AC19" s="276">
        <f t="shared" si="3"/>
        <v>36037.118055555555</v>
      </c>
      <c r="AD19" s="283">
        <f t="shared" si="5"/>
        <v>142817.05974651765</v>
      </c>
    </row>
    <row r="20" spans="1:30">
      <c r="A20" s="290">
        <v>2035</v>
      </c>
      <c r="B20" s="291">
        <f>SUMIF('S0a Baseline'!$C$3:$C$512,A20,'S0a Baseline'!$S$3:$S$512)</f>
        <v>61.065899999999985</v>
      </c>
      <c r="C20" s="291">
        <f>SUMIF('S0a Baseline'!$C$3:$C$512,A20,'S0a Baseline'!$T$3:$T$512)</f>
        <v>22.401599999999998</v>
      </c>
      <c r="D20" s="291">
        <f>SUMIF('S0a Baseline'!$C$3:$C$512,A20,'S0a Baseline'!$U$3:$U$512)</f>
        <v>86.432037901389933</v>
      </c>
      <c r="E20" s="291">
        <f>SUMIF('S0a Baseline'!$C$3:$C$512,A20,'S0a Baseline'!$V$3:$V$512)</f>
        <v>43.121723076923082</v>
      </c>
      <c r="F20" s="291">
        <f>SUMIF('S0a Baseline'!$C$3:$C$512,A20,'S0a Baseline'!$W$3:$W$512)</f>
        <v>238.47446957399998</v>
      </c>
      <c r="G20" s="291">
        <f>SUMIF('S0a Baseline'!$C$3:$C$512,A20,'S0a Baseline'!$X$3:$X$512)</f>
        <v>3.1774565999999997</v>
      </c>
      <c r="H20" s="291">
        <f>SUMIF('S0a Baseline'!$C$3:$C$512,A20,'S0a Baseline'!$Y$3:$Y$512)</f>
        <v>1.1493364431486879</v>
      </c>
      <c r="I20" s="285">
        <f t="shared" si="4"/>
        <v>455.82252359546169</v>
      </c>
      <c r="V20" s="284">
        <f>SUMIFS('S0a Baseline'!$I$3:$I$512,'S0a Baseline'!$C$3:$C$512,$A$20,'S0a Baseline'!$D$3:$D$512,"pom")</f>
        <v>90000</v>
      </c>
      <c r="W20" s="285">
        <f>SUMIF('S0a Baseline'!$C$3:$C$512,$A$20,'S0a Baseline'!$J$3:$J$512)</f>
        <v>10466.472303206994</v>
      </c>
      <c r="X20" s="285">
        <f>SUMIF('S0a Baseline'!$C$3:$C$512,$A$20,'S0a Baseline'!$L$3:$L$512)</f>
        <v>4420.5247813411088</v>
      </c>
      <c r="Y20" s="286">
        <f>SUMIFS('S0a Baseline'!$E$3:$E$512,'S0a Baseline'!$C$3:$C$512,$A$20,'S0a Baseline'!$D$3:$D$512,"sähkö")/1000</f>
        <v>407.19907407407402</v>
      </c>
      <c r="Z20" s="284">
        <f t="shared" si="0"/>
        <v>87300</v>
      </c>
      <c r="AA20" s="285">
        <f t="shared" si="1"/>
        <v>17269.67930029154</v>
      </c>
      <c r="AB20" s="285">
        <f t="shared" si="2"/>
        <v>2210.2623906705544</v>
      </c>
      <c r="AC20" s="285">
        <f t="shared" si="3"/>
        <v>36037.118055555555</v>
      </c>
      <c r="AD20" s="286">
        <f t="shared" si="5"/>
        <v>142817.05974651765</v>
      </c>
    </row>
    <row r="22" spans="1:30">
      <c r="A22" s="190" t="s">
        <v>323</v>
      </c>
      <c r="B22" s="191"/>
      <c r="C22" s="191"/>
      <c r="D22" s="191"/>
      <c r="E22" s="191"/>
      <c r="F22" s="191"/>
      <c r="G22" s="191"/>
      <c r="H22" s="191"/>
      <c r="I22" s="192"/>
      <c r="V22" s="278"/>
      <c r="W22" s="278"/>
      <c r="X22" s="278"/>
      <c r="Y22" s="279"/>
      <c r="Z22" s="277"/>
      <c r="AA22" s="278"/>
      <c r="AB22" s="278"/>
      <c r="AC22" s="278"/>
      <c r="AD22" s="279"/>
    </row>
    <row r="23" spans="1:30" ht="55.2">
      <c r="A23" s="193" t="s">
        <v>42</v>
      </c>
      <c r="B23" s="187" t="s">
        <v>279</v>
      </c>
      <c r="C23" s="187" t="s">
        <v>280</v>
      </c>
      <c r="D23" s="187" t="s">
        <v>281</v>
      </c>
      <c r="E23" s="187" t="s">
        <v>282</v>
      </c>
      <c r="F23" s="187" t="s">
        <v>283</v>
      </c>
      <c r="G23" s="187" t="s">
        <v>284</v>
      </c>
      <c r="H23" s="187" t="s">
        <v>285</v>
      </c>
      <c r="I23" s="194" t="s">
        <v>313</v>
      </c>
      <c r="V23" s="275" t="s">
        <v>314</v>
      </c>
      <c r="W23" s="275" t="s">
        <v>315</v>
      </c>
      <c r="X23" s="275" t="s">
        <v>316</v>
      </c>
      <c r="Y23" s="281" t="s">
        <v>317</v>
      </c>
      <c r="Z23" s="280" t="s">
        <v>318</v>
      </c>
      <c r="AA23" s="275" t="s">
        <v>319</v>
      </c>
      <c r="AB23" s="275" t="s">
        <v>320</v>
      </c>
      <c r="AC23" s="275" t="s">
        <v>321</v>
      </c>
      <c r="AD23" s="281" t="s">
        <v>322</v>
      </c>
    </row>
    <row r="24" spans="1:30">
      <c r="A24" s="195">
        <v>2019</v>
      </c>
      <c r="B24" s="188">
        <f>SUMIF('S0b Baseline kasvu'!$C$3:$C$512,A24,'S0b Baseline kasvu'!$S$3:$S$512)</f>
        <v>67.850999999999985</v>
      </c>
      <c r="C24" s="188">
        <f>SUMIF('S0b Baseline kasvu'!$C$3:$C$512,A24,'S0b Baseline kasvu'!$T$3:$T$512)</f>
        <v>0</v>
      </c>
      <c r="D24" s="188">
        <f>SUMIF('S0b Baseline kasvu'!$C$3:$C$512,A24,'S0b Baseline kasvu'!$U$3:$U$512)</f>
        <v>101.51065717592591</v>
      </c>
      <c r="E24" s="189">
        <f>SUMIF('S0b Baseline kasvu'!$C$3:$C$512,A24,'S0b Baseline kasvu'!$V$3:$V$512)</f>
        <v>43.121723076923082</v>
      </c>
      <c r="F24" s="188">
        <f>SUMIF('S0b Baseline kasvu'!$C$3:$C$512,A24,'S0b Baseline kasvu'!$W$3:$W$512)</f>
        <v>264.97163285999994</v>
      </c>
      <c r="G24" s="188">
        <f>SUMIF('S0b Baseline kasvu'!$C$3:$C$512,A24,'S0b Baseline kasvu'!$X$3:$X$512)</f>
        <v>3.1774565999999997</v>
      </c>
      <c r="H24" s="188">
        <f>SUMIF('S0b Baseline kasvu'!$C$3:$C$512,A24,'S0b Baseline kasvu'!$Y$3:$Y$512)</f>
        <v>1.1440000000000001</v>
      </c>
      <c r="I24" s="196">
        <f>SUM(B24:H24)</f>
        <v>481.77646971284895</v>
      </c>
      <c r="V24" s="282">
        <f>SUMIFS('S0b Baseline kasvu'!$I$3:$I$512,'S0b Baseline kasvu'!$C$3:$C$512,$A$24,'S0b Baseline kasvu'!$D$3:$D$512,"pom")</f>
        <v>100000</v>
      </c>
      <c r="W24" s="276">
        <f>SUMIF('S0b Baseline kasvu'!$C$3:$C$512,$A$24,'S0b Baseline kasvu'!$J$3:$J$512)</f>
        <v>0</v>
      </c>
      <c r="X24" s="276">
        <f>SUMIF('S0b Baseline kasvu'!$C$3:$C$512,$A$4,'S0b Baseline kasvu'!$L$3:$L$512)</f>
        <v>4400</v>
      </c>
      <c r="Y24" s="283">
        <f>SUMIFS('S0b Baseline kasvu'!$E$3:$E$512,'S0b Baseline kasvu'!$C$3:$C$512,$A$24,'S0b Baseline kasvu'!$D$3:$D$512,"sähkö")/1000</f>
        <v>407.19907407407402</v>
      </c>
      <c r="Z24" s="282">
        <f t="shared" ref="Z24:Z40" si="6">V24*hinta_pom_pok</f>
        <v>97000</v>
      </c>
      <c r="AA24" s="276">
        <f t="shared" ref="AA24:AA40" si="7">W24*hinta_biodiesel</f>
        <v>0</v>
      </c>
      <c r="AB24" s="276">
        <f t="shared" ref="AB24:AB40" si="8">X24*hinta_adblue</f>
        <v>2200</v>
      </c>
      <c r="AC24" s="276">
        <f t="shared" ref="AC24:AC40" si="9">Y24*1000*hinta_sähkö3</f>
        <v>36037.118055555555</v>
      </c>
      <c r="AD24" s="283">
        <f>SUM(Z24:AC24)</f>
        <v>135237.11805555556</v>
      </c>
    </row>
    <row r="25" spans="1:30">
      <c r="A25" s="195">
        <v>2020</v>
      </c>
      <c r="B25" s="188">
        <f>SUMIF('S0b Baseline kasvu'!$C$3:$C$512,A25,'S0b Baseline kasvu'!$S$3:$S$512)</f>
        <v>68.529509999999988</v>
      </c>
      <c r="C25" s="188">
        <f>SUMIF('S0b Baseline kasvu'!$C$3:$C$512,A25,'S0b Baseline kasvu'!$T$3:$T$512)</f>
        <v>0</v>
      </c>
      <c r="D25" s="188">
        <f>SUMIF('S0b Baseline kasvu'!$C$3:$C$512,A25,'S0b Baseline kasvu'!$U$3:$U$512)</f>
        <v>101.50050611020835</v>
      </c>
      <c r="E25" s="189">
        <f>SUMIF('S0b Baseline kasvu'!$C$3:$C$512,A25,'S0b Baseline kasvu'!$V$3:$V$512)</f>
        <v>43.121723076923082</v>
      </c>
      <c r="F25" s="188">
        <f>SUMIF('S0b Baseline kasvu'!$C$3:$C$512,A25,'S0b Baseline kasvu'!$W$3:$W$512)</f>
        <v>267.62134918859999</v>
      </c>
      <c r="G25" s="188">
        <f>SUMIF('S0b Baseline kasvu'!$C$3:$C$512,A25,'S0b Baseline kasvu'!$X$3:$X$512)</f>
        <v>3.2092311659999999</v>
      </c>
      <c r="H25" s="188">
        <f>SUMIF('S0b Baseline kasvu'!$C$3:$C$512,A25,'S0b Baseline kasvu'!$Y$3:$Y$512)</f>
        <v>1.15544</v>
      </c>
      <c r="I25" s="196">
        <f t="shared" ref="I25:I40" si="10">SUM(B25:H25)</f>
        <v>485.13775954173138</v>
      </c>
      <c r="V25" s="282">
        <f>SUMIFS('S0b Baseline kasvu'!$I$3:$I$512,'S0b Baseline kasvu'!$C$3:$C$512,$A$25,'S0b Baseline kasvu'!$D$3:$D$512,"pom")</f>
        <v>101000</v>
      </c>
      <c r="W25" s="276">
        <f>SUMIF('S0b Baseline kasvu'!$C$3:$C$512,$A$25,'S0b Baseline kasvu'!$J$3:$J$512)</f>
        <v>0</v>
      </c>
      <c r="X25" s="276">
        <f>SUMIF('S0b Baseline kasvu'!$C$3:$C$512,$A$5,'S0b Baseline kasvu'!$L$3:$L$512)</f>
        <v>4444</v>
      </c>
      <c r="Y25" s="283">
        <f>SUMIFS('S0b Baseline kasvu'!$E$3:$E$512,'S0b Baseline kasvu'!$C$3:$C$512,$A$25,'S0b Baseline kasvu'!$D$3:$D$512,"sähkö")/1000</f>
        <v>411.27106481481485</v>
      </c>
      <c r="Z25" s="282">
        <f t="shared" si="6"/>
        <v>97970</v>
      </c>
      <c r="AA25" s="276">
        <f t="shared" si="7"/>
        <v>0</v>
      </c>
      <c r="AB25" s="276">
        <f t="shared" si="8"/>
        <v>2222</v>
      </c>
      <c r="AC25" s="276">
        <f t="shared" si="9"/>
        <v>36397.48923611112</v>
      </c>
      <c r="AD25" s="283">
        <f t="shared" ref="AD25:AD40" si="11">SUM(Z25:AC25)</f>
        <v>136589.48923611111</v>
      </c>
    </row>
    <row r="26" spans="1:30">
      <c r="A26" s="195">
        <v>2021</v>
      </c>
      <c r="B26" s="188">
        <f>SUMIF('S0b Baseline kasvu'!$C$3:$C$512,A26,'S0b Baseline kasvu'!$S$3:$S$512)</f>
        <v>67.131779399999999</v>
      </c>
      <c r="C26" s="188">
        <f>SUMIF('S0b Baseline kasvu'!$C$3:$C$512,A26,'S0b Baseline kasvu'!$T$3:$T$512)</f>
        <v>6.854889599999999</v>
      </c>
      <c r="D26" s="188">
        <f>SUMIF('S0b Baseline kasvu'!$C$3:$C$512,A26,'S0b Baseline kasvu'!$U$3:$U$512)</f>
        <v>101.4804070000875</v>
      </c>
      <c r="E26" s="189">
        <f>SUMIF('S0b Baseline kasvu'!$C$3:$C$512,A26,'S0b Baseline kasvu'!$V$3:$V$512)</f>
        <v>43.121723076923082</v>
      </c>
      <c r="F26" s="188">
        <f>SUMIF('S0b Baseline kasvu'!$C$3:$C$512,A26,'S0b Baseline kasvu'!$W$3:$W$512)</f>
        <v>262.16293355168398</v>
      </c>
      <c r="G26" s="188">
        <f>SUMIF('S0b Baseline kasvu'!$C$3:$C$512,A26,'S0b Baseline kasvu'!$X$3:$X$512)</f>
        <v>3.2410057319999996</v>
      </c>
      <c r="H26" s="188">
        <f>SUMIF('S0b Baseline kasvu'!$C$3:$C$512,A26,'S0b Baseline kasvu'!$Y$3:$Y$512)</f>
        <v>1.1685129516034987</v>
      </c>
      <c r="I26" s="196">
        <f t="shared" si="10"/>
        <v>485.16125131229802</v>
      </c>
      <c r="V26" s="282">
        <f>SUMIFS('S0b Baseline kasvu'!$I$3:$I$512,'S0b Baseline kasvu'!$C$3:$C$512,$A$26,'S0b Baseline kasvu'!$D$3:$D$512,"pom")</f>
        <v>98940</v>
      </c>
      <c r="W26" s="276">
        <f>SUMIF('S0b Baseline kasvu'!$C$3:$C$512,$A$26,'S0b Baseline kasvu'!$J$3:$J$512)</f>
        <v>3202.7405247813417</v>
      </c>
      <c r="X26" s="276">
        <f>SUMIF('S0b Baseline kasvu'!$C$3:$C$512,$A$6,'S0b Baseline kasvu'!$L$3:$L$512)</f>
        <v>4494.2805830903808</v>
      </c>
      <c r="Y26" s="283">
        <f>SUMIFS('S0b Baseline kasvu'!$E$3:$E$512,'S0b Baseline kasvu'!$C$3:$C$512,$A$26,'S0b Baseline kasvu'!$D$3:$D$512,"sähkö")/1000</f>
        <v>415.34305555555557</v>
      </c>
      <c r="Z26" s="282">
        <f t="shared" si="6"/>
        <v>95971.8</v>
      </c>
      <c r="AA26" s="276">
        <f t="shared" si="7"/>
        <v>5284.5218658892136</v>
      </c>
      <c r="AB26" s="276">
        <f t="shared" si="8"/>
        <v>2247.1402915451904</v>
      </c>
      <c r="AC26" s="276">
        <f t="shared" si="9"/>
        <v>36757.86041666667</v>
      </c>
      <c r="AD26" s="283">
        <f t="shared" si="11"/>
        <v>140261.32257410107</v>
      </c>
    </row>
    <row r="27" spans="1:30">
      <c r="A27" s="195">
        <v>2022</v>
      </c>
      <c r="B27" s="188">
        <f>SUMIF('S0b Baseline kasvu'!$C$3:$C$512,A27,'S0b Baseline kasvu'!$S$3:$S$512)</f>
        <v>67.091068800000002</v>
      </c>
      <c r="C27" s="188">
        <f>SUMIF('S0b Baseline kasvu'!$C$3:$C$512,A27,'S0b Baseline kasvu'!$T$3:$T$512)</f>
        <v>9.2294591999999991</v>
      </c>
      <c r="D27" s="188">
        <f>SUMIF('S0b Baseline kasvu'!$C$3:$C$512,A27,'S0b Baseline kasvu'!$U$3:$U$512)</f>
        <v>101.45055982155806</v>
      </c>
      <c r="E27" s="189">
        <f>SUMIF('S0b Baseline kasvu'!$C$3:$C$512,A27,'S0b Baseline kasvu'!$V$3:$V$512)</f>
        <v>43.121723076923082</v>
      </c>
      <c r="F27" s="188">
        <f>SUMIF('S0b Baseline kasvu'!$C$3:$C$512,A27,'S0b Baseline kasvu'!$W$3:$W$512)</f>
        <v>262.00395057196795</v>
      </c>
      <c r="G27" s="188">
        <f>SUMIF('S0b Baseline kasvu'!$C$3:$C$512,A27,'S0b Baseline kasvu'!$X$3:$X$512)</f>
        <v>3.2727802980000003</v>
      </c>
      <c r="H27" s="188">
        <f>SUMIF('S0b Baseline kasvu'!$C$3:$C$512,A27,'S0b Baseline kasvu'!$Y$3:$Y$512)</f>
        <v>1.1805186145772595</v>
      </c>
      <c r="I27" s="196">
        <f t="shared" si="10"/>
        <v>487.35006038302629</v>
      </c>
      <c r="V27" s="282">
        <f>SUMIFS('S0b Baseline kasvu'!$I$3:$I$512,'S0b Baseline kasvu'!$C$3:$C$512,$A$27,'S0b Baseline kasvu'!$D$3:$D$512,"pom")</f>
        <v>98880</v>
      </c>
      <c r="W27" s="276">
        <f>SUMIF('S0b Baseline kasvu'!$C$3:$C$512,$A$27,'S0b Baseline kasvu'!$J$3:$J$512)</f>
        <v>4312.186588921285</v>
      </c>
      <c r="X27" s="276">
        <f>SUMIF('S0b Baseline kasvu'!$C$3:$C$512,$A$7,'S0b Baseline kasvu'!$L$3:$L$512)</f>
        <v>4540.4562099125369</v>
      </c>
      <c r="Y27" s="283">
        <f>SUMIFS('S0b Baseline kasvu'!$E$3:$E$512,'S0b Baseline kasvu'!$C$3:$C$512,$A$27,'S0b Baseline kasvu'!$D$3:$D$512,"sähkö")/1000</f>
        <v>419.41504629629628</v>
      </c>
      <c r="Z27" s="282">
        <f t="shared" si="6"/>
        <v>95913.599999999991</v>
      </c>
      <c r="AA27" s="276">
        <f t="shared" si="7"/>
        <v>7115.1078717201199</v>
      </c>
      <c r="AB27" s="276">
        <f t="shared" si="8"/>
        <v>2270.2281049562685</v>
      </c>
      <c r="AC27" s="276">
        <f t="shared" si="9"/>
        <v>37118.231597222228</v>
      </c>
      <c r="AD27" s="283">
        <f t="shared" si="11"/>
        <v>142417.16757389862</v>
      </c>
    </row>
    <row r="28" spans="1:30">
      <c r="A28" s="195">
        <v>2023</v>
      </c>
      <c r="B28" s="188">
        <f>SUMIF('S0b Baseline kasvu'!$C$3:$C$512,A28,'S0b Baseline kasvu'!$S$3:$S$512)</f>
        <v>67.036788000000001</v>
      </c>
      <c r="C28" s="188">
        <f>SUMIF('S0b Baseline kasvu'!$C$3:$C$512,A28,'S0b Baseline kasvu'!$T$3:$T$512)</f>
        <v>11.648832000000001</v>
      </c>
      <c r="D28" s="188">
        <f>SUMIF('S0b Baseline kasvu'!$C$3:$C$512,A28,'S0b Baseline kasvu'!$U$3:$U$512)</f>
        <v>101.4111615458992</v>
      </c>
      <c r="E28" s="189">
        <f>SUMIF('S0b Baseline kasvu'!$C$3:$C$512,A28,'S0b Baseline kasvu'!$V$3:$V$512)</f>
        <v>43.121723076923082</v>
      </c>
      <c r="F28" s="188">
        <f>SUMIF('S0b Baseline kasvu'!$C$3:$C$512,A28,'S0b Baseline kasvu'!$W$3:$W$512)</f>
        <v>261.79197326567993</v>
      </c>
      <c r="G28" s="188">
        <f>SUMIF('S0b Baseline kasvu'!$C$3:$C$512,A28,'S0b Baseline kasvu'!$X$3:$X$512)</f>
        <v>3.304554864</v>
      </c>
      <c r="H28" s="188">
        <f>SUMIF('S0b Baseline kasvu'!$C$3:$C$512,A28,'S0b Baseline kasvu'!$Y$3:$Y$512)</f>
        <v>1.1925349504373177</v>
      </c>
      <c r="I28" s="196">
        <f t="shared" si="10"/>
        <v>489.50756770293958</v>
      </c>
      <c r="V28" s="282">
        <f>SUMIFS('S0b Baseline kasvu'!$I$3:$I$512,'S0b Baseline kasvu'!$C$3:$C$512,$A$28,'S0b Baseline kasvu'!$D$3:$D$512,"pom")</f>
        <v>98800</v>
      </c>
      <c r="W28" s="276">
        <f>SUMIF('S0b Baseline kasvu'!$C$3:$C$512,$A$28,'S0b Baseline kasvu'!$J$3:$J$512)</f>
        <v>5442.565597667638</v>
      </c>
      <c r="X28" s="276">
        <f>SUMIF('S0b Baseline kasvu'!$C$3:$C$512,$A$8,'S0b Baseline kasvu'!$L$3:$L$512)</f>
        <v>4586.672886297376</v>
      </c>
      <c r="Y28" s="283">
        <f>SUMIFS('S0b Baseline kasvu'!$E$3:$E$512,'S0b Baseline kasvu'!$C$3:$C$512,$A$28,'S0b Baseline kasvu'!$D$3:$D$512,"sähkö")/1000</f>
        <v>423.487037037037</v>
      </c>
      <c r="Z28" s="282">
        <f t="shared" si="6"/>
        <v>95836</v>
      </c>
      <c r="AA28" s="276">
        <f t="shared" si="7"/>
        <v>8980.2332361516019</v>
      </c>
      <c r="AB28" s="276">
        <f t="shared" si="8"/>
        <v>2293.336443148688</v>
      </c>
      <c r="AC28" s="276">
        <f t="shared" si="9"/>
        <v>37478.602777777778</v>
      </c>
      <c r="AD28" s="283">
        <f t="shared" si="11"/>
        <v>144588.17245707806</v>
      </c>
    </row>
    <row r="29" spans="1:30">
      <c r="A29" s="195">
        <v>2024</v>
      </c>
      <c r="B29" s="188">
        <f>SUMIF('S0b Baseline kasvu'!$C$3:$C$512,A29,'S0b Baseline kasvu'!$S$3:$S$512)</f>
        <v>66.968936999999983</v>
      </c>
      <c r="C29" s="188">
        <f>SUMIF('S0b Baseline kasvu'!$C$3:$C$512,A29,'S0b Baseline kasvu'!$T$3:$T$512)</f>
        <v>14.113007999999997</v>
      </c>
      <c r="D29" s="188">
        <f>SUMIF('S0b Baseline kasvu'!$C$3:$C$512,A29,'S0b Baseline kasvu'!$U$3:$U$512)</f>
        <v>101.3624061797714</v>
      </c>
      <c r="E29" s="189">
        <f>SUMIF('S0b Baseline kasvu'!$C$3:$C$512,A29,'S0b Baseline kasvu'!$V$3:$V$512)</f>
        <v>43.121723076923082</v>
      </c>
      <c r="F29" s="188">
        <f>SUMIF('S0b Baseline kasvu'!$C$3:$C$512,A29,'S0b Baseline kasvu'!$W$3:$W$512)</f>
        <v>261.52700163281997</v>
      </c>
      <c r="G29" s="188">
        <f>SUMIF('S0b Baseline kasvu'!$C$3:$C$512,A29,'S0b Baseline kasvu'!$X$3:$X$512)</f>
        <v>3.3363294300000002</v>
      </c>
      <c r="H29" s="188">
        <f>SUMIF('S0b Baseline kasvu'!$C$3:$C$512,A29,'S0b Baseline kasvu'!$Y$3:$Y$512)</f>
        <v>1.2045619591836734</v>
      </c>
      <c r="I29" s="196">
        <f t="shared" si="10"/>
        <v>491.63396727869809</v>
      </c>
      <c r="V29" s="282">
        <f>SUMIFS('S0b Baseline kasvu'!$I$3:$I$512,'S0b Baseline kasvu'!$C$3:$C$512,$A$29,'S0b Baseline kasvu'!$D$3:$D$512,"pom")</f>
        <v>98700</v>
      </c>
      <c r="W29" s="276">
        <f>SUMIF('S0b Baseline kasvu'!$C$3:$C$512,$A$29,'S0b Baseline kasvu'!$J$3:$J$512)</f>
        <v>6593.8775510204077</v>
      </c>
      <c r="X29" s="276">
        <f>SUMIF('S0b Baseline kasvu'!$C$3:$C$512,$A$9,'S0b Baseline kasvu'!$L$3:$L$512)</f>
        <v>4632.9306122448979</v>
      </c>
      <c r="Y29" s="283">
        <f>SUMIFS('S0b Baseline kasvu'!$E$3:$E$512,'S0b Baseline kasvu'!$C$3:$C$512,$A$29,'S0b Baseline kasvu'!$D$3:$D$512,"sähkö")/1000</f>
        <v>427.55902777777783</v>
      </c>
      <c r="Z29" s="282">
        <f t="shared" si="6"/>
        <v>95739</v>
      </c>
      <c r="AA29" s="276">
        <f t="shared" si="7"/>
        <v>10879.897959183672</v>
      </c>
      <c r="AB29" s="276">
        <f t="shared" si="8"/>
        <v>2316.465306122449</v>
      </c>
      <c r="AC29" s="276">
        <f t="shared" si="9"/>
        <v>37838.973958333343</v>
      </c>
      <c r="AD29" s="283">
        <f t="shared" si="11"/>
        <v>146774.33722363948</v>
      </c>
    </row>
    <row r="30" spans="1:30">
      <c r="A30" s="195">
        <v>2025</v>
      </c>
      <c r="B30" s="188">
        <f>SUMIF('S0b Baseline kasvu'!$C$3:$C$512,A30,'S0b Baseline kasvu'!$S$3:$S$512)</f>
        <v>66.887515800000003</v>
      </c>
      <c r="C30" s="188">
        <f>SUMIF('S0b Baseline kasvu'!$C$3:$C$512,A30,'S0b Baseline kasvu'!$T$3:$T$512)</f>
        <v>16.621987199999996</v>
      </c>
      <c r="D30" s="188">
        <f>SUMIF('S0b Baseline kasvu'!$C$3:$C$512,A30,'S0b Baseline kasvu'!$U$3:$U$512)</f>
        <v>101.30448480481151</v>
      </c>
      <c r="E30" s="189">
        <f>SUMIF('S0b Baseline kasvu'!$C$3:$C$512,A30,'S0b Baseline kasvu'!$V$3:$V$512)</f>
        <v>43.121723076923082</v>
      </c>
      <c r="F30" s="188">
        <f>SUMIF('S0b Baseline kasvu'!$C$3:$C$512,A30,'S0b Baseline kasvu'!$W$3:$W$512)</f>
        <v>261.20903567338809</v>
      </c>
      <c r="G30" s="188">
        <f>SUMIF('S0b Baseline kasvu'!$C$3:$C$512,A30,'S0b Baseline kasvu'!$X$3:$X$512)</f>
        <v>3.3681039959999999</v>
      </c>
      <c r="H30" s="188">
        <f>SUMIF('S0b Baseline kasvu'!$C$3:$C$512,A30,'S0b Baseline kasvu'!$Y$3:$Y$512)</f>
        <v>1.2165996408163267</v>
      </c>
      <c r="I30" s="196">
        <f t="shared" si="10"/>
        <v>493.72945019193901</v>
      </c>
      <c r="V30" s="282">
        <f>SUMIFS('S0b Baseline kasvu'!$I$3:$I$512,'S0b Baseline kasvu'!$C$3:$C$512,$A$30,'S0b Baseline kasvu'!$D$3:$D$512,"pom")</f>
        <v>98580</v>
      </c>
      <c r="W30" s="276">
        <f>SUMIF('S0b Baseline kasvu'!$C$3:$C$512,$A$30,'S0b Baseline kasvu'!$J$3:$J$512)</f>
        <v>7766.1224489795941</v>
      </c>
      <c r="X30" s="276">
        <f>SUMIF('S0b Baseline kasvu'!$C$3:$C$512,$A$10,'S0b Baseline kasvu'!$L$3:$L$512)</f>
        <v>4679.2293877551019</v>
      </c>
      <c r="Y30" s="283">
        <f>SUMIFS('S0b Baseline kasvu'!$E$3:$E$512,'S0b Baseline kasvu'!$C$3:$C$512,$A$30,'S0b Baseline kasvu'!$D$3:$D$512,"sähkö")/1000</f>
        <v>431.63101851851854</v>
      </c>
      <c r="Z30" s="282">
        <f t="shared" si="6"/>
        <v>95622.599999999991</v>
      </c>
      <c r="AA30" s="276">
        <f t="shared" si="7"/>
        <v>12814.102040816329</v>
      </c>
      <c r="AB30" s="276">
        <f t="shared" si="8"/>
        <v>2339.614693877551</v>
      </c>
      <c r="AC30" s="276">
        <f t="shared" si="9"/>
        <v>38199.345138888893</v>
      </c>
      <c r="AD30" s="283">
        <f t="shared" si="11"/>
        <v>148975.66187358275</v>
      </c>
    </row>
    <row r="31" spans="1:30">
      <c r="A31" s="195">
        <v>2026</v>
      </c>
      <c r="B31" s="188">
        <f>SUMIF('S0b Baseline kasvu'!$C$3:$C$512,A31,'S0b Baseline kasvu'!$S$3:$S$512)</f>
        <v>66.792524400000005</v>
      </c>
      <c r="C31" s="188">
        <f>SUMIF('S0b Baseline kasvu'!$C$3:$C$512,A31,'S0b Baseline kasvu'!$T$3:$T$512)</f>
        <v>19.175769599999995</v>
      </c>
      <c r="D31" s="188">
        <f>SUMIF('S0b Baseline kasvu'!$C$3:$C$512,A31,'S0b Baseline kasvu'!$U$3:$U$512)</f>
        <v>101.23758561673287</v>
      </c>
      <c r="E31" s="189">
        <f>SUMIF('S0b Baseline kasvu'!$C$3:$C$512,A31,'S0b Baseline kasvu'!$V$3:$V$512)</f>
        <v>43.121723076923082</v>
      </c>
      <c r="F31" s="188">
        <f>SUMIF('S0b Baseline kasvu'!$C$3:$C$512,A31,'S0b Baseline kasvu'!$W$3:$W$512)</f>
        <v>260.83807538738404</v>
      </c>
      <c r="G31" s="188">
        <f>SUMIF('S0b Baseline kasvu'!$C$3:$C$512,A31,'S0b Baseline kasvu'!$X$3:$X$512)</f>
        <v>3.399878562</v>
      </c>
      <c r="H31" s="188">
        <f>SUMIF('S0b Baseline kasvu'!$C$3:$C$512,A31,'S0b Baseline kasvu'!$Y$3:$Y$512)</f>
        <v>1.2286479953352769</v>
      </c>
      <c r="I31" s="196">
        <f t="shared" si="10"/>
        <v>495.79420463837533</v>
      </c>
      <c r="V31" s="282">
        <f>SUMIFS('S0b Baseline kasvu'!$I$3:$I$512,'S0b Baseline kasvu'!$C$3:$C$512,$A$31,'S0b Baseline kasvu'!$D$3:$D$512,"pom")</f>
        <v>98440.000000000015</v>
      </c>
      <c r="W31" s="276">
        <f>SUMIF('S0b Baseline kasvu'!$C$3:$C$512,$A$31,'S0b Baseline kasvu'!$J$3:$J$512)</f>
        <v>8959.3002915451889</v>
      </c>
      <c r="X31" s="276">
        <f>SUMIF('S0b Baseline kasvu'!$C$3:$C$512,$A$11,'S0b Baseline kasvu'!$L$3:$L$512)</f>
        <v>4725.5692128279888</v>
      </c>
      <c r="Y31" s="283">
        <f>SUMIFS('S0b Baseline kasvu'!$E$3:$E$512,'S0b Baseline kasvu'!$C$3:$C$512,$A$31,'S0b Baseline kasvu'!$D$3:$D$512,"sähkö")/1000</f>
        <v>435.70300925925932</v>
      </c>
      <c r="Z31" s="282">
        <f t="shared" si="6"/>
        <v>95486.800000000017</v>
      </c>
      <c r="AA31" s="276">
        <f t="shared" si="7"/>
        <v>14782.84548104956</v>
      </c>
      <c r="AB31" s="276">
        <f t="shared" si="8"/>
        <v>2362.7846064139944</v>
      </c>
      <c r="AC31" s="276">
        <f t="shared" si="9"/>
        <v>38559.716319444451</v>
      </c>
      <c r="AD31" s="283">
        <f t="shared" si="11"/>
        <v>151192.14640690802</v>
      </c>
    </row>
    <row r="32" spans="1:30">
      <c r="A32" s="195">
        <v>2027</v>
      </c>
      <c r="B32" s="188">
        <f>SUMIF('S0b Baseline kasvu'!$C$3:$C$512,A32,'S0b Baseline kasvu'!$S$3:$S$512)</f>
        <v>66.683962799999975</v>
      </c>
      <c r="C32" s="188">
        <f>SUMIF('S0b Baseline kasvu'!$C$3:$C$512,A32,'S0b Baseline kasvu'!$T$3:$T$512)</f>
        <v>21.774355199999995</v>
      </c>
      <c r="D32" s="188">
        <f>SUMIF('S0b Baseline kasvu'!$C$3:$C$512,A32,'S0b Baseline kasvu'!$U$3:$U$512)</f>
        <v>101.1618939639353</v>
      </c>
      <c r="E32" s="189">
        <f>SUMIF('S0b Baseline kasvu'!$C$3:$C$512,A32,'S0b Baseline kasvu'!$V$3:$V$512)</f>
        <v>43.121723076923082</v>
      </c>
      <c r="F32" s="188">
        <f>SUMIF('S0b Baseline kasvu'!$C$3:$C$512,A32,'S0b Baseline kasvu'!$W$3:$W$512)</f>
        <v>260.414120774808</v>
      </c>
      <c r="G32" s="188">
        <f>SUMIF('S0b Baseline kasvu'!$C$3:$C$512,A32,'S0b Baseline kasvu'!$X$3:$X$512)</f>
        <v>3.4316531280000002</v>
      </c>
      <c r="H32" s="188">
        <f>SUMIF('S0b Baseline kasvu'!$C$3:$C$512,A32,'S0b Baseline kasvu'!$Y$3:$Y$512)</f>
        <v>1.240707022740525</v>
      </c>
      <c r="I32" s="196">
        <f t="shared" si="10"/>
        <v>497.82841596640691</v>
      </c>
      <c r="V32" s="282">
        <f>SUMIFS('S0b Baseline kasvu'!$I$3:$I$512,'S0b Baseline kasvu'!$C$3:$C$512,$A$32,'S0b Baseline kasvu'!$D$3:$D$512,"pom")</f>
        <v>98280</v>
      </c>
      <c r="W32" s="276">
        <f>SUMIF('S0b Baseline kasvu'!$C$3:$C$512,$A$32,'S0b Baseline kasvu'!$J$3:$J$512)</f>
        <v>10173.411078717201</v>
      </c>
      <c r="X32" s="276">
        <f>SUMIF('S0b Baseline kasvu'!$C$3:$C$512,$A$12,'S0b Baseline kasvu'!$L$3:$L$512)</f>
        <v>4771.9500874635569</v>
      </c>
      <c r="Y32" s="283">
        <f>SUMIFS('S0b Baseline kasvu'!$E$3:$E$512,'S0b Baseline kasvu'!$C$3:$C$512,$A$32,'S0b Baseline kasvu'!$D$3:$D$512,"sähkö")/1000</f>
        <v>439.77499999999998</v>
      </c>
      <c r="Z32" s="282">
        <f t="shared" si="6"/>
        <v>95331.599999999991</v>
      </c>
      <c r="AA32" s="276">
        <f t="shared" si="7"/>
        <v>16786.128279883382</v>
      </c>
      <c r="AB32" s="276">
        <f t="shared" si="8"/>
        <v>2385.9750437317784</v>
      </c>
      <c r="AC32" s="276">
        <f t="shared" si="9"/>
        <v>38920.087500000001</v>
      </c>
      <c r="AD32" s="283">
        <f t="shared" si="11"/>
        <v>153423.79082361516</v>
      </c>
    </row>
    <row r="33" spans="1:30">
      <c r="A33" s="195">
        <v>2028</v>
      </c>
      <c r="B33" s="188">
        <f>SUMIF('S0b Baseline kasvu'!$C$3:$C$512,A33,'S0b Baseline kasvu'!$S$3:$S$512)</f>
        <v>66.561830999999984</v>
      </c>
      <c r="C33" s="188">
        <f>SUMIF('S0b Baseline kasvu'!$C$3:$C$512,A33,'S0b Baseline kasvu'!$T$3:$T$512)</f>
        <v>24.417743999999999</v>
      </c>
      <c r="D33" s="188">
        <f>SUMIF('S0b Baseline kasvu'!$C$3:$C$512,A33,'S0b Baseline kasvu'!$U$3:$U$512)</f>
        <v>101.07759238563203</v>
      </c>
      <c r="E33" s="189">
        <f>SUMIF('S0b Baseline kasvu'!$C$3:$C$512,A33,'S0b Baseline kasvu'!$V$3:$V$512)</f>
        <v>43.121723076923082</v>
      </c>
      <c r="F33" s="188">
        <f>SUMIF('S0b Baseline kasvu'!$C$3:$C$512,A33,'S0b Baseline kasvu'!$W$3:$W$512)</f>
        <v>259.93717183565997</v>
      </c>
      <c r="G33" s="188">
        <f>SUMIF('S0b Baseline kasvu'!$C$3:$C$512,A33,'S0b Baseline kasvu'!$X$3:$X$512)</f>
        <v>3.4634276940000004</v>
      </c>
      <c r="H33" s="188">
        <f>SUMIF('S0b Baseline kasvu'!$C$3:$C$512,A33,'S0b Baseline kasvu'!$Y$3:$Y$512)</f>
        <v>1.2527767230320701</v>
      </c>
      <c r="I33" s="196">
        <f t="shared" si="10"/>
        <v>499.83226671524716</v>
      </c>
      <c r="V33" s="282">
        <f>SUMIFS('S0b Baseline kasvu'!$I$3:$I$512,'S0b Baseline kasvu'!$C$3:$C$512,$A$33,'S0b Baseline kasvu'!$D$3:$D$512,"pom")</f>
        <v>98100</v>
      </c>
      <c r="W33" s="276">
        <f>SUMIF('S0b Baseline kasvu'!$C$3:$C$512,$A$33,'S0b Baseline kasvu'!$J$3:$J$512)</f>
        <v>11408.454810495625</v>
      </c>
      <c r="X33" s="276">
        <f>SUMIF('S0b Baseline kasvu'!$C$3:$C$512,$A$13,'S0b Baseline kasvu'!$L$3:$L$512)</f>
        <v>4818.3720116618069</v>
      </c>
      <c r="Y33" s="283">
        <f>SUMIFS('S0b Baseline kasvu'!$E$3:$E$512,'S0b Baseline kasvu'!$C$3:$C$512,$A$33,'S0b Baseline kasvu'!$D$3:$D$512,"sähkö")/1000</f>
        <v>443.84699074074075</v>
      </c>
      <c r="Z33" s="282">
        <f t="shared" si="6"/>
        <v>95157</v>
      </c>
      <c r="AA33" s="276">
        <f t="shared" si="7"/>
        <v>18823.950437317781</v>
      </c>
      <c r="AB33" s="276">
        <f t="shared" si="8"/>
        <v>2409.1860058309035</v>
      </c>
      <c r="AC33" s="276">
        <f t="shared" si="9"/>
        <v>39280.458680555559</v>
      </c>
      <c r="AD33" s="283">
        <f t="shared" si="11"/>
        <v>155670.59512370423</v>
      </c>
    </row>
    <row r="34" spans="1:30">
      <c r="A34" s="195">
        <v>2029</v>
      </c>
      <c r="B34" s="188">
        <f>SUMIF('S0b Baseline kasvu'!$C$3:$C$512,A34,'S0b Baseline kasvu'!$S$3:$S$512)</f>
        <v>67.172489999999968</v>
      </c>
      <c r="C34" s="188">
        <f>SUMIF('S0b Baseline kasvu'!$C$3:$C$512,A34,'S0b Baseline kasvu'!$T$3:$T$512)</f>
        <v>24.641760000000005</v>
      </c>
      <c r="D34" s="188">
        <f>SUMIF('S0b Baseline kasvu'!$C$3:$C$512,A34,'S0b Baseline kasvu'!$U$3:$U$512)</f>
        <v>100.98486064949843</v>
      </c>
      <c r="E34" s="189">
        <f>SUMIF('S0b Baseline kasvu'!$C$3:$C$512,A34,'S0b Baseline kasvu'!$V$3:$V$512)</f>
        <v>43.121723076923082</v>
      </c>
      <c r="F34" s="188">
        <f>SUMIF('S0b Baseline kasvu'!$C$3:$C$512,A34,'S0b Baseline kasvu'!$W$3:$W$512)</f>
        <v>262.32191653140001</v>
      </c>
      <c r="G34" s="188">
        <f>SUMIF('S0b Baseline kasvu'!$C$3:$C$512,A34,'S0b Baseline kasvu'!$X$3:$X$512)</f>
        <v>3.4952022600000006</v>
      </c>
      <c r="H34" s="188">
        <f>SUMIF('S0b Baseline kasvu'!$C$3:$C$512,A34,'S0b Baseline kasvu'!$Y$3:$Y$512)</f>
        <v>1.2642700874635564</v>
      </c>
      <c r="I34" s="196">
        <f t="shared" si="10"/>
        <v>503.00222260528506</v>
      </c>
      <c r="V34" s="282">
        <f>SUMIFS('S0b Baseline kasvu'!$I$3:$I$512,'S0b Baseline kasvu'!$C$3:$C$512,$A$34,'S0b Baseline kasvu'!$D$3:$D$512,"pom")</f>
        <v>99000</v>
      </c>
      <c r="W34" s="276">
        <f>SUMIF('S0b Baseline kasvu'!$C$3:$C$512,$A$34,'S0b Baseline kasvu'!$J$3:$J$512)</f>
        <v>11513.119533527697</v>
      </c>
      <c r="X34" s="276">
        <f>SUMIF('S0b Baseline kasvu'!$C$3:$C$512,$A$14,'S0b Baseline kasvu'!$L$3:$L$512)</f>
        <v>4862.5772594752189</v>
      </c>
      <c r="Y34" s="283">
        <f>SUMIFS('S0b Baseline kasvu'!$E$3:$E$512,'S0b Baseline kasvu'!$C$3:$C$512,$A$34,'S0b Baseline kasvu'!$D$3:$D$512,"sähkö")/1000</f>
        <v>447.91898148148152</v>
      </c>
      <c r="Z34" s="282">
        <f t="shared" si="6"/>
        <v>96030</v>
      </c>
      <c r="AA34" s="276">
        <f t="shared" si="7"/>
        <v>18996.647230320697</v>
      </c>
      <c r="AB34" s="276">
        <f t="shared" si="8"/>
        <v>2431.2886297376094</v>
      </c>
      <c r="AC34" s="276">
        <f t="shared" si="9"/>
        <v>39640.829861111117</v>
      </c>
      <c r="AD34" s="283">
        <f t="shared" si="11"/>
        <v>157098.76572116942</v>
      </c>
    </row>
    <row r="35" spans="1:30">
      <c r="A35" s="195">
        <v>2030</v>
      </c>
      <c r="B35" s="188">
        <f>SUMIF('S0b Baseline kasvu'!$C$3:$C$512,A35,'S0b Baseline kasvu'!$S$3:$S$512)</f>
        <v>67.783148999999995</v>
      </c>
      <c r="C35" s="188">
        <f>SUMIF('S0b Baseline kasvu'!$C$3:$C$512,A35,'S0b Baseline kasvu'!$T$3:$T$512)</f>
        <v>24.865776000000004</v>
      </c>
      <c r="D35" s="188">
        <f>SUMIF('S0b Baseline kasvu'!$C$3:$C$512,A35,'S0b Baseline kasvu'!$U$3:$U$512)</f>
        <v>100.88387578884894</v>
      </c>
      <c r="E35" s="189">
        <f>SUMIF('S0b Baseline kasvu'!$C$3:$C$512,A35,'S0b Baseline kasvu'!$V$3:$V$512)</f>
        <v>43.121723076923082</v>
      </c>
      <c r="F35" s="188">
        <f>SUMIF('S0b Baseline kasvu'!$C$3:$C$512,A35,'S0b Baseline kasvu'!$W$3:$W$512)</f>
        <v>264.70666122714016</v>
      </c>
      <c r="G35" s="188">
        <f>SUMIF('S0b Baseline kasvu'!$C$3:$C$512,A35,'S0b Baseline kasvu'!$X$3:$X$512)</f>
        <v>3.5269768260000007</v>
      </c>
      <c r="H35" s="188">
        <f>SUMIF('S0b Baseline kasvu'!$C$3:$C$512,A35,'S0b Baseline kasvu'!$Y$3:$Y$512)</f>
        <v>1.275763451895044</v>
      </c>
      <c r="I35" s="196">
        <f t="shared" si="10"/>
        <v>506.16392537080719</v>
      </c>
      <c r="V35" s="282">
        <f>SUMIFS('S0b Baseline kasvu'!$I$3:$I$512,'S0b Baseline kasvu'!$C$3:$C$512,$A$35,'S0b Baseline kasvu'!$D$3:$D$512,"pom")</f>
        <v>99900.000000000015</v>
      </c>
      <c r="W35" s="276">
        <f>SUMIF('S0b Baseline kasvu'!$C$3:$C$512,$A$35,'S0b Baseline kasvu'!$J$3:$J$512)</f>
        <v>11617.784256559769</v>
      </c>
      <c r="X35" s="276">
        <f>SUMIF('S0b Baseline kasvu'!$C$3:$C$512,$A$15,'S0b Baseline kasvu'!$L$3:$L$512)</f>
        <v>4906.7825072886299</v>
      </c>
      <c r="Y35" s="283">
        <f>SUMIFS('S0b Baseline kasvu'!$E$3:$E$512,'S0b Baseline kasvu'!$C$3:$C$512,$A$35,'S0b Baseline kasvu'!$D$3:$D$512,"sähkö")/1000</f>
        <v>451.99097222222224</v>
      </c>
      <c r="Z35" s="282">
        <f t="shared" si="6"/>
        <v>96903.000000000015</v>
      </c>
      <c r="AA35" s="276">
        <f t="shared" si="7"/>
        <v>19169.344023323618</v>
      </c>
      <c r="AB35" s="276">
        <f t="shared" si="8"/>
        <v>2453.3912536443149</v>
      </c>
      <c r="AC35" s="276">
        <f t="shared" si="9"/>
        <v>40001.201041666674</v>
      </c>
      <c r="AD35" s="283">
        <f t="shared" si="11"/>
        <v>158526.9363186346</v>
      </c>
    </row>
    <row r="36" spans="1:30">
      <c r="A36" s="195">
        <v>2031</v>
      </c>
      <c r="B36" s="188">
        <f>SUMIF('S0b Baseline kasvu'!$C$3:$C$512,A36,'S0b Baseline kasvu'!$S$3:$S$512)</f>
        <v>68.393808000000007</v>
      </c>
      <c r="C36" s="188">
        <f>SUMIF('S0b Baseline kasvu'!$C$3:$C$512,A36,'S0b Baseline kasvu'!$T$3:$T$512)</f>
        <v>25.089791999999999</v>
      </c>
      <c r="D36" s="188">
        <f>SUMIF('S0b Baseline kasvu'!$C$3:$C$512,A36,'S0b Baseline kasvu'!$U$3:$U$512)</f>
        <v>100.77481213934747</v>
      </c>
      <c r="E36" s="189">
        <f>SUMIF('S0b Baseline kasvu'!$C$3:$C$512,A36,'S0b Baseline kasvu'!$V$3:$V$512)</f>
        <v>43.121723076923082</v>
      </c>
      <c r="F36" s="188">
        <f>SUMIF('S0b Baseline kasvu'!$C$3:$C$512,A36,'S0b Baseline kasvu'!$W$3:$W$512)</f>
        <v>267.09140592288009</v>
      </c>
      <c r="G36" s="188">
        <f>SUMIF('S0b Baseline kasvu'!$C$3:$C$512,A36,'S0b Baseline kasvu'!$X$3:$X$512)</f>
        <v>3.5587513920000009</v>
      </c>
      <c r="H36" s="188">
        <f>SUMIF('S0b Baseline kasvu'!$C$3:$C$512,A36,'S0b Baseline kasvu'!$Y$3:$Y$512)</f>
        <v>1.2872568163265312</v>
      </c>
      <c r="I36" s="196">
        <f t="shared" si="10"/>
        <v>509.31754934747715</v>
      </c>
      <c r="V36" s="282">
        <f>SUMIFS('S0b Baseline kasvu'!$I$3:$I$512,'S0b Baseline kasvu'!$C$3:$C$512,$A$36,'S0b Baseline kasvu'!$D$3:$D$512,"pom")</f>
        <v>100800.00000000001</v>
      </c>
      <c r="W36" s="276">
        <f>SUMIF('S0b Baseline kasvu'!$C$3:$C$512,$A$36,'S0b Baseline kasvu'!$J$3:$J$512)</f>
        <v>11722.448979591843</v>
      </c>
      <c r="X36" s="276">
        <f>SUMIF('S0b Baseline kasvu'!$C$3:$C$512,$A$16,'S0b Baseline kasvu'!$L$3:$L$512)</f>
        <v>4950.9877551020427</v>
      </c>
      <c r="Y36" s="283">
        <f>SUMIFS('S0b Baseline kasvu'!$E$3:$E$512,'S0b Baseline kasvu'!$C$3:$C$512,$A$36,'S0b Baseline kasvu'!$D$3:$D$512,"sähkö")/1000</f>
        <v>456.06296296296301</v>
      </c>
      <c r="Z36" s="282">
        <f t="shared" si="6"/>
        <v>97776.000000000015</v>
      </c>
      <c r="AA36" s="276">
        <f t="shared" si="7"/>
        <v>19342.040816326542</v>
      </c>
      <c r="AB36" s="276">
        <f t="shared" si="8"/>
        <v>2475.4938775510213</v>
      </c>
      <c r="AC36" s="276">
        <f t="shared" si="9"/>
        <v>40361.572222222232</v>
      </c>
      <c r="AD36" s="283">
        <f t="shared" si="11"/>
        <v>159955.10691609982</v>
      </c>
    </row>
    <row r="37" spans="1:30">
      <c r="A37" s="195">
        <v>2032</v>
      </c>
      <c r="B37" s="188">
        <f>SUMIF('S0b Baseline kasvu'!$C$3:$C$512,A37,'S0b Baseline kasvu'!$S$3:$S$512)</f>
        <v>69.004466999999977</v>
      </c>
      <c r="C37" s="188">
        <f>SUMIF('S0b Baseline kasvu'!$C$3:$C$512,A37,'S0b Baseline kasvu'!$T$3:$T$512)</f>
        <v>25.313808000000005</v>
      </c>
      <c r="D37" s="188">
        <f>SUMIF('S0b Baseline kasvu'!$C$3:$C$512,A37,'S0b Baseline kasvu'!$U$3:$U$512)</f>
        <v>100.65784137525714</v>
      </c>
      <c r="E37" s="189">
        <f>SUMIF('S0b Baseline kasvu'!$C$3:$C$512,A37,'S0b Baseline kasvu'!$V$3:$V$512)</f>
        <v>43.121723076923082</v>
      </c>
      <c r="F37" s="188">
        <f>SUMIF('S0b Baseline kasvu'!$C$3:$C$512,A37,'S0b Baseline kasvu'!$W$3:$W$512)</f>
        <v>269.47615061861995</v>
      </c>
      <c r="G37" s="188">
        <f>SUMIF('S0b Baseline kasvu'!$C$3:$C$512,A37,'S0b Baseline kasvu'!$X$3:$X$512)</f>
        <v>3.5905259579999989</v>
      </c>
      <c r="H37" s="188">
        <f>SUMIF('S0b Baseline kasvu'!$C$3:$C$512,A37,'S0b Baseline kasvu'!$Y$3:$Y$512)</f>
        <v>1.2987501807580173</v>
      </c>
      <c r="I37" s="196">
        <f t="shared" si="10"/>
        <v>512.46326620955813</v>
      </c>
      <c r="V37" s="282">
        <f>SUMIFS('S0b Baseline kasvu'!$I$3:$I$512,'S0b Baseline kasvu'!$C$3:$C$512,$A$37,'S0b Baseline kasvu'!$D$3:$D$512,"pom")</f>
        <v>101699.99999999999</v>
      </c>
      <c r="W37" s="276">
        <f>SUMIF('S0b Baseline kasvu'!$C$3:$C$512,$A$37,'S0b Baseline kasvu'!$J$3:$J$512)</f>
        <v>11827.113702623907</v>
      </c>
      <c r="X37" s="276">
        <f>SUMIF('S0b Baseline kasvu'!$C$3:$C$512,$A$17,'S0b Baseline kasvu'!$L$3:$L$512)</f>
        <v>4995.193002915451</v>
      </c>
      <c r="Y37" s="283">
        <f>SUMIFS('S0b Baseline kasvu'!$E$3:$E$512,'S0b Baseline kasvu'!$C$3:$C$512,$A$37,'S0b Baseline kasvu'!$D$3:$D$512,"sähkö")/1000</f>
        <v>460.13495370370367</v>
      </c>
      <c r="Z37" s="282">
        <f t="shared" si="6"/>
        <v>98648.999999999985</v>
      </c>
      <c r="AA37" s="276">
        <f t="shared" si="7"/>
        <v>19514.737609329444</v>
      </c>
      <c r="AB37" s="276">
        <f t="shared" si="8"/>
        <v>2497.5965014577255</v>
      </c>
      <c r="AC37" s="276">
        <f t="shared" si="9"/>
        <v>40721.943402777775</v>
      </c>
      <c r="AD37" s="283">
        <f t="shared" si="11"/>
        <v>161383.27751356491</v>
      </c>
    </row>
    <row r="38" spans="1:30">
      <c r="A38" s="195">
        <v>2033</v>
      </c>
      <c r="B38" s="188">
        <f>SUMIF('S0b Baseline kasvu'!$C$3:$C$512,A38,'S0b Baseline kasvu'!$S$3:$S$512)</f>
        <v>69.615126000000004</v>
      </c>
      <c r="C38" s="188">
        <f>SUMIF('S0b Baseline kasvu'!$C$3:$C$512,A38,'S0b Baseline kasvu'!$T$3:$T$512)</f>
        <v>25.537824000000004</v>
      </c>
      <c r="D38" s="188">
        <f>SUMIF('S0b Baseline kasvu'!$C$3:$C$512,A38,'S0b Baseline kasvu'!$U$3:$U$512)</f>
        <v>100.53313254523472</v>
      </c>
      <c r="E38" s="189">
        <f>SUMIF('S0b Baseline kasvu'!$C$3:$C$512,A38,'S0b Baseline kasvu'!$V$3:$V$512)</f>
        <v>43.121723076923082</v>
      </c>
      <c r="F38" s="188">
        <f>SUMIF('S0b Baseline kasvu'!$C$3:$C$512,A38,'S0b Baseline kasvu'!$W$3:$W$512)</f>
        <v>271.86089531436005</v>
      </c>
      <c r="G38" s="188">
        <f>SUMIF('S0b Baseline kasvu'!$C$3:$C$512,A38,'S0b Baseline kasvu'!$X$3:$X$512)</f>
        <v>3.6223005240000012</v>
      </c>
      <c r="H38" s="188">
        <f>SUMIF('S0b Baseline kasvu'!$C$3:$C$512,A38,'S0b Baseline kasvu'!$Y$3:$Y$512)</f>
        <v>1.3102435451895045</v>
      </c>
      <c r="I38" s="196">
        <f t="shared" si="10"/>
        <v>515.60124500570737</v>
      </c>
      <c r="V38" s="282">
        <f>SUMIFS('S0b Baseline kasvu'!$I$3:$I$512,'S0b Baseline kasvu'!$C$3:$C$512,$A$38,'S0b Baseline kasvu'!$D$3:$D$512,"pom")</f>
        <v>102600.00000000001</v>
      </c>
      <c r="W38" s="276">
        <f>SUMIF('S0b Baseline kasvu'!$C$3:$C$512,$A$38,'S0b Baseline kasvu'!$J$3:$J$512)</f>
        <v>11931.778425655977</v>
      </c>
      <c r="X38" s="276">
        <f>SUMIF('S0b Baseline kasvu'!$C$3:$C$512,$A$18,'S0b Baseline kasvu'!$L$3:$L$512)</f>
        <v>5039.3982507288638</v>
      </c>
      <c r="Y38" s="283">
        <f>SUMIFS('S0b Baseline kasvu'!$E$3:$E$512,'S0b Baseline kasvu'!$C$3:$C$512,$A$38,'S0b Baseline kasvu'!$D$3:$D$512,"sähkö")/1000</f>
        <v>464.2069444444445</v>
      </c>
      <c r="Z38" s="282">
        <f t="shared" si="6"/>
        <v>99522.000000000015</v>
      </c>
      <c r="AA38" s="276">
        <f t="shared" si="7"/>
        <v>19687.434402332361</v>
      </c>
      <c r="AB38" s="276">
        <f t="shared" si="8"/>
        <v>2519.6991253644319</v>
      </c>
      <c r="AC38" s="276">
        <f t="shared" si="9"/>
        <v>41082.31458333334</v>
      </c>
      <c r="AD38" s="283">
        <f t="shared" si="11"/>
        <v>162811.44811103016</v>
      </c>
    </row>
    <row r="39" spans="1:30">
      <c r="A39" s="195">
        <v>2034</v>
      </c>
      <c r="B39" s="188">
        <f>SUMIF('S0b Baseline kasvu'!$C$3:$C$512,A39,'S0b Baseline kasvu'!$S$3:$S$512)</f>
        <v>70.225785000000002</v>
      </c>
      <c r="C39" s="188">
        <f>SUMIF('S0b Baseline kasvu'!$C$3:$C$512,A39,'S0b Baseline kasvu'!$T$3:$T$512)</f>
        <v>25.761840000000003</v>
      </c>
      <c r="D39" s="188">
        <f>SUMIF('S0b Baseline kasvu'!$C$3:$C$512,A39,'S0b Baseline kasvu'!$U$3:$U$512)</f>
        <v>100.40085210767519</v>
      </c>
      <c r="E39" s="189">
        <f>SUMIF('S0b Baseline kasvu'!$C$3:$C$512,A39,'S0b Baseline kasvu'!$V$3:$V$512)</f>
        <v>43.121723076923082</v>
      </c>
      <c r="F39" s="188">
        <f>SUMIF('S0b Baseline kasvu'!$C$3:$C$512,A39,'S0b Baseline kasvu'!$W$3:$W$512)</f>
        <v>274.24564001010003</v>
      </c>
      <c r="G39" s="188">
        <f>SUMIF('S0b Baseline kasvu'!$C$3:$C$512,A39,'S0b Baseline kasvu'!$X$3:$X$512)</f>
        <v>3.654075090000001</v>
      </c>
      <c r="H39" s="188">
        <f>SUMIF('S0b Baseline kasvu'!$C$3:$C$512,A39,'S0b Baseline kasvu'!$Y$3:$Y$512)</f>
        <v>1.3217369096209912</v>
      </c>
      <c r="I39" s="196">
        <f t="shared" si="10"/>
        <v>518.73165219431928</v>
      </c>
      <c r="V39" s="282">
        <f>SUMIFS('S0b Baseline kasvu'!$I$3:$I$512,'S0b Baseline kasvu'!$C$3:$C$512,$A$39,'S0b Baseline kasvu'!$D$3:$D$512,"pom")</f>
        <v>103500</v>
      </c>
      <c r="W39" s="276">
        <f>SUMIF('S0b Baseline kasvu'!$C$3:$C$512,$A$39,'S0b Baseline kasvu'!$J$3:$J$512)</f>
        <v>12036.443148688048</v>
      </c>
      <c r="X39" s="276">
        <f>SUMIF('S0b Baseline kasvu'!$C$3:$C$512,$A$19,'S0b Baseline kasvu'!$L$3:$L$512)</f>
        <v>5083.6034985422739</v>
      </c>
      <c r="Y39" s="283">
        <f>SUMIFS('S0b Baseline kasvu'!$E$3:$E$512,'S0b Baseline kasvu'!$C$3:$C$512,$A$39,'S0b Baseline kasvu'!$D$3:$D$512,"sähkö")/1000</f>
        <v>468.27893518518516</v>
      </c>
      <c r="Z39" s="282">
        <f t="shared" si="6"/>
        <v>100395</v>
      </c>
      <c r="AA39" s="276">
        <f t="shared" si="7"/>
        <v>19860.131195335278</v>
      </c>
      <c r="AB39" s="276">
        <f t="shared" si="8"/>
        <v>2541.8017492711369</v>
      </c>
      <c r="AC39" s="276">
        <f t="shared" si="9"/>
        <v>41442.685763888891</v>
      </c>
      <c r="AD39" s="283">
        <f t="shared" si="11"/>
        <v>164239.61870849528</v>
      </c>
    </row>
    <row r="40" spans="1:30">
      <c r="A40" s="197">
        <v>2035</v>
      </c>
      <c r="B40" s="198">
        <f>SUMIF('S0b Baseline kasvu'!$C$3:$C$512,A40,'S0b Baseline kasvu'!$S$3:$S$512)</f>
        <v>70.836443999999986</v>
      </c>
      <c r="C40" s="198">
        <f>SUMIF('S0b Baseline kasvu'!$C$3:$C$512,A40,'S0b Baseline kasvu'!$T$3:$T$512)</f>
        <v>25.985855999999998</v>
      </c>
      <c r="D40" s="198">
        <f>SUMIF('S0b Baseline kasvu'!$C$3:$C$512,A40,'S0b Baseline kasvu'!$U$3:$U$512)</f>
        <v>100.26116396561231</v>
      </c>
      <c r="E40" s="200">
        <f>SUMIF('S0b Baseline kasvu'!$C$3:$C$512,A40,'S0b Baseline kasvu'!$V$3:$V$512)</f>
        <v>43.121723076923082</v>
      </c>
      <c r="F40" s="198">
        <f>SUMIF('S0b Baseline kasvu'!$C$3:$C$512,A40,'S0b Baseline kasvu'!$W$3:$W$512)</f>
        <v>276.63038470584007</v>
      </c>
      <c r="G40" s="198">
        <f>SUMIF('S0b Baseline kasvu'!$C$3:$C$512,A40,'S0b Baseline kasvu'!$X$3:$X$512)</f>
        <v>3.6858496560000003</v>
      </c>
      <c r="H40" s="198">
        <f>SUMIF('S0b Baseline kasvu'!$C$3:$C$512,A40,'S0b Baseline kasvu'!$Y$3:$Y$512)</f>
        <v>1.333230274052478</v>
      </c>
      <c r="I40" s="199">
        <f t="shared" si="10"/>
        <v>521.85465167842779</v>
      </c>
      <c r="V40" s="284">
        <f>SUMIFS('S0b Baseline kasvu'!$I$3:$I$512,'S0b Baseline kasvu'!$C$3:$C$512,$A$40,'S0b Baseline kasvu'!$D$3:$D$512,"pom")</f>
        <v>104400</v>
      </c>
      <c r="W40" s="285">
        <f>SUMIF('S0b Baseline kasvu'!$C$3:$C$512,$A$40,'S0b Baseline kasvu'!$J$3:$J$512)</f>
        <v>12141.107871720118</v>
      </c>
      <c r="X40" s="285">
        <f>SUMIF('S0b Baseline kasvu'!$C$3:$C$512,$A$20,'S0b Baseline kasvu'!$L$3:$L$512)</f>
        <v>5127.8087463556858</v>
      </c>
      <c r="Y40" s="286">
        <f>SUMIFS('S0b Baseline kasvu'!$E$3:$E$512,'S0b Baseline kasvu'!$C$3:$C$512,$A$40,'S0b Baseline kasvu'!$D$3:$D$512,"sähkö")/1000</f>
        <v>472.35092592592582</v>
      </c>
      <c r="Z40" s="284">
        <f t="shared" si="6"/>
        <v>101268</v>
      </c>
      <c r="AA40" s="285">
        <f t="shared" si="7"/>
        <v>20032.827988338195</v>
      </c>
      <c r="AB40" s="285">
        <f t="shared" si="8"/>
        <v>2563.9043731778429</v>
      </c>
      <c r="AC40" s="285">
        <f t="shared" si="9"/>
        <v>41803.056944444441</v>
      </c>
      <c r="AD40" s="286">
        <f t="shared" si="11"/>
        <v>165667.78930596047</v>
      </c>
    </row>
    <row r="42" spans="1:30">
      <c r="A42" s="190" t="s">
        <v>5</v>
      </c>
      <c r="B42" s="191"/>
      <c r="C42" s="191"/>
      <c r="D42" s="191"/>
      <c r="E42" s="191"/>
      <c r="F42" s="191"/>
      <c r="G42" s="191"/>
      <c r="H42" s="191"/>
      <c r="I42" s="192"/>
      <c r="V42" s="278"/>
      <c r="W42" s="278"/>
      <c r="X42" s="278"/>
      <c r="Y42" s="279"/>
      <c r="Z42" s="277"/>
      <c r="AA42" s="278"/>
      <c r="AB42" s="278"/>
      <c r="AC42" s="278"/>
      <c r="AD42" s="279"/>
    </row>
    <row r="43" spans="1:30" ht="55.2">
      <c r="A43" s="193" t="s">
        <v>42</v>
      </c>
      <c r="B43" s="187" t="s">
        <v>279</v>
      </c>
      <c r="C43" s="187" t="s">
        <v>280</v>
      </c>
      <c r="D43" s="187" t="s">
        <v>281</v>
      </c>
      <c r="E43" s="187" t="s">
        <v>282</v>
      </c>
      <c r="F43" s="187" t="s">
        <v>283</v>
      </c>
      <c r="G43" s="187" t="s">
        <v>284</v>
      </c>
      <c r="H43" s="187" t="s">
        <v>285</v>
      </c>
      <c r="I43" s="194" t="s">
        <v>313</v>
      </c>
      <c r="V43" s="275" t="s">
        <v>314</v>
      </c>
      <c r="W43" s="275" t="s">
        <v>315</v>
      </c>
      <c r="X43" s="275" t="s">
        <v>316</v>
      </c>
      <c r="Y43" s="281" t="s">
        <v>317</v>
      </c>
      <c r="Z43" s="280" t="s">
        <v>318</v>
      </c>
      <c r="AA43" s="275" t="s">
        <v>319</v>
      </c>
      <c r="AB43" s="275" t="s">
        <v>320</v>
      </c>
      <c r="AC43" s="275" t="s">
        <v>321</v>
      </c>
      <c r="AD43" s="281" t="s">
        <v>322</v>
      </c>
    </row>
    <row r="44" spans="1:30">
      <c r="A44" s="195">
        <v>2019</v>
      </c>
      <c r="B44" s="188">
        <f>SUMIF('S1 Sähkö'!$C$3:$C$512,A44,'S1 Sähkö'!$S$3:$S$512)</f>
        <v>67.850999999999985</v>
      </c>
      <c r="C44" s="188">
        <f>SUMIF('S1 Sähkö'!$C$3:$C$512,A44,'S1 Sähkö'!$T$3:$T$512)</f>
        <v>0</v>
      </c>
      <c r="D44" s="188">
        <f>SUMIF('S1 Sähkö'!$C$3:$C$512,A44,'S1 Sähkö'!$U$3:$U$512)</f>
        <v>101.51065717592591</v>
      </c>
      <c r="E44" s="189">
        <f>SUMIF('S1 Sähkö'!$C$3:$C$512,A44,'S1 Sähkö'!$V$3:$V$512)</f>
        <v>43.121723076923082</v>
      </c>
      <c r="F44" s="188">
        <f>SUMIF('S1 Sähkö'!$C$3:$C$512,A44,'S1 Sähkö'!$W$3:$W$512)</f>
        <v>264.97163285999994</v>
      </c>
      <c r="G44" s="188">
        <f>SUMIF('S1 Sähkö'!$C$3:$C$512,A44,'S1 Sähkö'!$X$3:$X$512)</f>
        <v>3.1774565999999997</v>
      </c>
      <c r="H44" s="188">
        <f>SUMIF('S1 Sähkö'!$C$3:$C$512,A44,'S1 Sähkö'!$Y$3:$Y$512)</f>
        <v>1.1440000000000001</v>
      </c>
      <c r="I44" s="196">
        <f>SUM(B44:H44)</f>
        <v>481.77646971284895</v>
      </c>
      <c r="V44" s="282">
        <f>SUMIFS('S1 Sähkö'!$I$3:$I$512,'S1 Sähkö'!$C$3:$C$512,$A$44,'S1 Sähkö'!$D$3:$D$512,"pom")</f>
        <v>100000</v>
      </c>
      <c r="W44" s="276">
        <f>SUMIF('S1 Sähkö'!$C$3:$C$512,$A$44,'S1 Sähkö'!$J$3:$J$512)</f>
        <v>0</v>
      </c>
      <c r="X44" s="276">
        <f>SUMIF('S1 Sähkö'!$C$3:$C$512,$A$4,'S1 Sähkö'!$L$3:$L$512)</f>
        <v>4400</v>
      </c>
      <c r="Y44" s="283">
        <f>SUMIFS('S1 Sähkö'!$E$3:$E$512,'S1 Sähkö'!$C$3:$C$512,$A$44,'S1 Sähkö'!$D$3:$D$512,"sähkö")/1000</f>
        <v>407.19907407407402</v>
      </c>
      <c r="Z44" s="282">
        <f t="shared" ref="Z44:Z60" si="12">V44*hinta_pom_pok</f>
        <v>97000</v>
      </c>
      <c r="AA44" s="276">
        <f t="shared" ref="AA44:AA60" si="13">W44*hinta_biodiesel</f>
        <v>0</v>
      </c>
      <c r="AB44" s="276">
        <f t="shared" ref="AB44:AB60" si="14">X44*hinta_adblue</f>
        <v>2200</v>
      </c>
      <c r="AC44" s="276">
        <f t="shared" ref="AC44:AC60" si="15">Y44*1000*hinta_sähkö4</f>
        <v>34068.989197530864</v>
      </c>
      <c r="AD44" s="283">
        <f>SUM(Z44:AC44)</f>
        <v>133268.98919753087</v>
      </c>
    </row>
    <row r="45" spans="1:30">
      <c r="A45" s="195">
        <v>2020</v>
      </c>
      <c r="B45" s="188">
        <f>SUMIF('S1 Sähkö'!$C$3:$C$512,A45,'S1 Sähkö'!$S$3:$S$512)</f>
        <v>68.529509999999988</v>
      </c>
      <c r="C45" s="188">
        <f>SUMIF('S1 Sähkö'!$C$3:$C$512,A45,'S1 Sähkö'!$T$3:$T$512)</f>
        <v>0</v>
      </c>
      <c r="D45" s="188">
        <f>SUMIF('S1 Sähkö'!$C$3:$C$512,A45,'S1 Sähkö'!$U$3:$U$512)</f>
        <v>101.50050611020835</v>
      </c>
      <c r="E45" s="189">
        <f>SUMIF('S1 Sähkö'!$C$3:$C$512,A45,'S1 Sähkö'!$V$3:$V$512)</f>
        <v>43.121723076923082</v>
      </c>
      <c r="F45" s="188">
        <f>SUMIF('S1 Sähkö'!$C$3:$C$512,A45,'S1 Sähkö'!$W$3:$W$512)</f>
        <v>267.62134918859999</v>
      </c>
      <c r="G45" s="188">
        <f>SUMIF('S1 Sähkö'!$C$3:$C$512,A45,'S1 Sähkö'!$X$3:$X$512)</f>
        <v>3.2092311659999999</v>
      </c>
      <c r="H45" s="188">
        <f>SUMIF('S1 Sähkö'!$C$3:$C$512,A45,'S1 Sähkö'!$Y$3:$Y$512)</f>
        <v>1.15544</v>
      </c>
      <c r="I45" s="196">
        <f t="shared" ref="I45:I60" si="16">SUM(B45:H45)</f>
        <v>485.13775954173138</v>
      </c>
      <c r="V45" s="282">
        <f>SUMIFS('S1 Sähkö'!$I$3:$I$512,'S1 Sähkö'!$C$3:$C$512,$A$45,'S1 Sähkö'!$D$3:$D$512,"pom")</f>
        <v>101000</v>
      </c>
      <c r="W45" s="276">
        <f>SUMIF('S1 Sähkö'!$C$3:$C$512,$A$45,'S1 Sähkö'!$J$3:$J$512)</f>
        <v>0</v>
      </c>
      <c r="X45" s="276">
        <f>SUMIF('S1 Sähkö'!$C$3:$C$512,$A$5,'S1 Sähkö'!$L$3:$L$512)</f>
        <v>4444</v>
      </c>
      <c r="Y45" s="283">
        <f>SUMIFS('S1 Sähkö'!$E$3:$E$512,'S1 Sähkö'!$C$3:$C$512,$A$45,'S1 Sähkö'!$D$3:$D$512,"sähkö")/1000</f>
        <v>411.27106481481485</v>
      </c>
      <c r="Z45" s="282">
        <f t="shared" si="12"/>
        <v>97970</v>
      </c>
      <c r="AA45" s="276">
        <f t="shared" si="13"/>
        <v>0</v>
      </c>
      <c r="AB45" s="276">
        <f t="shared" si="14"/>
        <v>2222</v>
      </c>
      <c r="AC45" s="276">
        <f t="shared" si="15"/>
        <v>34409.679089506171</v>
      </c>
      <c r="AD45" s="283">
        <f t="shared" ref="AD45:AD60" si="17">SUM(Z45:AC45)</f>
        <v>134601.67908950616</v>
      </c>
    </row>
    <row r="46" spans="1:30">
      <c r="A46" s="195">
        <v>2021</v>
      </c>
      <c r="B46" s="188">
        <f>SUMIF('S1 Sähkö'!$C$3:$C$512,A46,'S1 Sähkö'!$S$3:$S$512)</f>
        <v>53.705423520000004</v>
      </c>
      <c r="C46" s="188">
        <f>SUMIF('S1 Sähkö'!$C$3:$C$512,A46,'S1 Sähkö'!$T$3:$T$512)</f>
        <v>5.4839116799999994</v>
      </c>
      <c r="D46" s="188">
        <f>SUMIF('S1 Sähkö'!$C$3:$C$512,A46,'S1 Sähkö'!$U$3:$U$512)</f>
        <v>115.48056110867101</v>
      </c>
      <c r="E46" s="189">
        <f>SUMIF('S1 Sähkö'!$C$3:$C$512,A46,'S1 Sähkö'!$V$3:$V$512)</f>
        <v>49.62141784615384</v>
      </c>
      <c r="F46" s="188">
        <f>SUMIF('S1 Sähkö'!$C$3:$C$512,A46,'S1 Sähkö'!$W$3:$W$512)</f>
        <v>209.7303468413472</v>
      </c>
      <c r="G46" s="188">
        <f>SUMIF('S1 Sähkö'!$C$3:$C$512,A46,'S1 Sähkö'!$X$3:$X$512)</f>
        <v>2.5928045855999997</v>
      </c>
      <c r="H46" s="188">
        <f>SUMIF('S1 Sähkö'!$C$3:$C$512,A46,'S1 Sähkö'!$Y$3:$Y$512)</f>
        <v>0.92949893877551026</v>
      </c>
      <c r="I46" s="196">
        <f t="shared" si="16"/>
        <v>437.54396452054755</v>
      </c>
      <c r="V46" s="282">
        <f>SUMIFS('S1 Sähkö'!$I$3:$I$512,'S1 Sähkö'!$C$3:$C$512,$A$46,'S1 Sähkö'!$D$3:$D$512,"pom")</f>
        <v>79152</v>
      </c>
      <c r="W46" s="276">
        <f>SUMIF('S1 Sähkö'!$C$3:$C$512,$A$46,'S1 Sähkö'!$J$3:$J$512)</f>
        <v>2562.1924198250731</v>
      </c>
      <c r="X46" s="276">
        <f>SUMIF('S1 Sähkö'!$C$3:$C$512,$A$6,'S1 Sähkö'!$L$3:$L$512)</f>
        <v>3574.9959183673482</v>
      </c>
      <c r="Y46" s="283">
        <f>SUMIFS('S1 Sähkö'!$E$3:$E$512,'S1 Sähkö'!$C$3:$C$512,$A$46,'S1 Sähkö'!$D$3:$D$512,"sähkö")/1000</f>
        <v>472.64344444444441</v>
      </c>
      <c r="Z46" s="282">
        <f t="shared" si="12"/>
        <v>76777.440000000002</v>
      </c>
      <c r="AA46" s="276">
        <f t="shared" si="13"/>
        <v>4227.6174927113707</v>
      </c>
      <c r="AB46" s="276">
        <f t="shared" si="14"/>
        <v>1787.4979591836741</v>
      </c>
      <c r="AC46" s="276">
        <f t="shared" si="15"/>
        <v>39544.501518518518</v>
      </c>
      <c r="AD46" s="283">
        <f t="shared" si="17"/>
        <v>122337.05697041357</v>
      </c>
    </row>
    <row r="47" spans="1:30">
      <c r="A47" s="195">
        <v>2022</v>
      </c>
      <c r="B47" s="188">
        <f>SUMIF('S1 Sähkö'!$C$3:$C$512,A47,'S1 Sähkö'!$S$3:$S$512)</f>
        <v>53.672855040000002</v>
      </c>
      <c r="C47" s="188">
        <f>SUMIF('S1 Sähkö'!$C$3:$C$512,A47,'S1 Sähkö'!$T$3:$T$512)</f>
        <v>7.3835673599999998</v>
      </c>
      <c r="D47" s="188">
        <f>SUMIF('S1 Sähkö'!$C$3:$C$512,A47,'S1 Sähkö'!$U$3:$U$512)</f>
        <v>115.44659623775668</v>
      </c>
      <c r="E47" s="189">
        <f>SUMIF('S1 Sähkö'!$C$3:$C$512,A47,'S1 Sähkö'!$V$3:$V$512)</f>
        <v>49.62141784615384</v>
      </c>
      <c r="F47" s="188">
        <f>SUMIF('S1 Sähkö'!$C$3:$C$512,A47,'S1 Sähkö'!$W$3:$W$512)</f>
        <v>209.60316045757438</v>
      </c>
      <c r="G47" s="188">
        <f>SUMIF('S1 Sähkö'!$C$3:$C$512,A47,'S1 Sähkö'!$X$3:$X$512)</f>
        <v>2.6182242384000003</v>
      </c>
      <c r="H47" s="188">
        <f>SUMIF('S1 Sähkö'!$C$3:$C$512,A47,'S1 Sähkö'!$Y$3:$Y$512)</f>
        <v>0.93904889795918378</v>
      </c>
      <c r="I47" s="196">
        <f t="shared" si="16"/>
        <v>439.28487007784406</v>
      </c>
      <c r="V47" s="282">
        <f>SUMIFS('S1 Sähkö'!$I$3:$I$512,'S1 Sähkö'!$C$3:$C$512,$A$47,'S1 Sähkö'!$D$3:$D$512,"pom")</f>
        <v>79104</v>
      </c>
      <c r="W47" s="276">
        <f>SUMIF('S1 Sähkö'!$C$3:$C$512,$A$47,'S1 Sähkö'!$J$3:$J$512)</f>
        <v>3449.7492711370278</v>
      </c>
      <c r="X47" s="276">
        <f>SUMIF('S1 Sähkö'!$C$3:$C$512,$A$7,'S1 Sähkö'!$L$3:$L$512)</f>
        <v>3611.7265306122458</v>
      </c>
      <c r="Y47" s="283">
        <f>SUMIFS('S1 Sähkö'!$E$3:$E$512,'S1 Sähkö'!$C$3:$C$512,$A$47,'S1 Sähkö'!$D$3:$D$512,"sähkö")/1000</f>
        <v>477.27720370370372</v>
      </c>
      <c r="Z47" s="282">
        <f t="shared" si="12"/>
        <v>76730.880000000005</v>
      </c>
      <c r="AA47" s="276">
        <f t="shared" si="13"/>
        <v>5692.0862973760959</v>
      </c>
      <c r="AB47" s="276">
        <f t="shared" si="14"/>
        <v>1805.8632653061229</v>
      </c>
      <c r="AC47" s="276">
        <f t="shared" si="15"/>
        <v>39932.192709876545</v>
      </c>
      <c r="AD47" s="283">
        <f t="shared" si="17"/>
        <v>124161.02227255877</v>
      </c>
    </row>
    <row r="48" spans="1:30">
      <c r="A48" s="195">
        <v>2023</v>
      </c>
      <c r="B48" s="188">
        <f>SUMIF('S1 Sähkö'!$C$3:$C$512,A48,'S1 Sähkö'!$S$3:$S$512)</f>
        <v>53.629430399999997</v>
      </c>
      <c r="C48" s="188">
        <f>SUMIF('S1 Sähkö'!$C$3:$C$512,A48,'S1 Sähkö'!$T$3:$T$512)</f>
        <v>9.3190656000000001</v>
      </c>
      <c r="D48" s="188">
        <f>SUMIF('S1 Sähkö'!$C$3:$C$512,A48,'S1 Sähkö'!$U$3:$U$512)</f>
        <v>115.4017626081498</v>
      </c>
      <c r="E48" s="189">
        <f>SUMIF('S1 Sähkö'!$C$3:$C$512,A48,'S1 Sähkö'!$V$3:$V$512)</f>
        <v>49.62141784615384</v>
      </c>
      <c r="F48" s="188">
        <f>SUMIF('S1 Sähkö'!$C$3:$C$512,A48,'S1 Sähkö'!$W$3:$W$512)</f>
        <v>209.43357861254395</v>
      </c>
      <c r="G48" s="188">
        <f>SUMIF('S1 Sähkö'!$C$3:$C$512,A48,'S1 Sähkö'!$X$3:$X$512)</f>
        <v>2.6436438912</v>
      </c>
      <c r="H48" s="188">
        <f>SUMIF('S1 Sähkö'!$C$3:$C$512,A48,'S1 Sähkö'!$Y$3:$Y$512)</f>
        <v>0.94860734693877546</v>
      </c>
      <c r="I48" s="196">
        <f t="shared" si="16"/>
        <v>440.99750630498636</v>
      </c>
      <c r="V48" s="282">
        <f>SUMIFS('S1 Sähkö'!$I$3:$I$512,'S1 Sähkö'!$C$3:$C$512,$A$48,'S1 Sähkö'!$D$3:$D$512,"pom")</f>
        <v>79040</v>
      </c>
      <c r="W48" s="276">
        <f>SUMIF('S1 Sähkö'!$C$3:$C$512,$A$48,'S1 Sähkö'!$J$3:$J$512)</f>
        <v>4354.052478134111</v>
      </c>
      <c r="X48" s="276">
        <f>SUMIF('S1 Sähkö'!$C$3:$C$512,$A$8,'S1 Sähkö'!$L$3:$L$512)</f>
        <v>3648.4897959183672</v>
      </c>
      <c r="Y48" s="283">
        <f>SUMIFS('S1 Sähkö'!$E$3:$E$512,'S1 Sähkö'!$C$3:$C$512,$A$48,'S1 Sähkö'!$D$3:$D$512,"sähkö")/1000</f>
        <v>481.91096296296297</v>
      </c>
      <c r="Z48" s="282">
        <f t="shared" si="12"/>
        <v>76668.800000000003</v>
      </c>
      <c r="AA48" s="276">
        <f t="shared" si="13"/>
        <v>7184.1865889212831</v>
      </c>
      <c r="AB48" s="276">
        <f t="shared" si="14"/>
        <v>1824.2448979591836</v>
      </c>
      <c r="AC48" s="276">
        <f t="shared" si="15"/>
        <v>40319.883901234571</v>
      </c>
      <c r="AD48" s="283">
        <f t="shared" si="17"/>
        <v>125997.11538811504</v>
      </c>
    </row>
    <row r="49" spans="1:30">
      <c r="A49" s="195">
        <v>2024</v>
      </c>
      <c r="B49" s="188">
        <f>SUMIF('S1 Sähkö'!$C$3:$C$512,A49,'S1 Sähkö'!$S$3:$S$512)</f>
        <v>53.575149599999989</v>
      </c>
      <c r="C49" s="188">
        <f>SUMIF('S1 Sähkö'!$C$3:$C$512,A49,'S1 Sähkö'!$T$3:$T$512)</f>
        <v>11.290406399999998</v>
      </c>
      <c r="D49" s="188">
        <f>SUMIF('S1 Sähkö'!$C$3:$C$512,A49,'S1 Sähkö'!$U$3:$U$512)</f>
        <v>115.34628099151126</v>
      </c>
      <c r="E49" s="189">
        <f>SUMIF('S1 Sähkö'!$C$3:$C$512,A49,'S1 Sähkö'!$V$3:$V$512)</f>
        <v>49.62141784615384</v>
      </c>
      <c r="F49" s="188">
        <f>SUMIF('S1 Sähkö'!$C$3:$C$512,A49,'S1 Sähkö'!$W$3:$W$512)</f>
        <v>209.22160130625596</v>
      </c>
      <c r="G49" s="188">
        <f>SUMIF('S1 Sähkö'!$C$3:$C$512,A49,'S1 Sähkö'!$X$3:$X$512)</f>
        <v>2.6690635440000001</v>
      </c>
      <c r="H49" s="188">
        <f>SUMIF('S1 Sähkö'!$C$3:$C$512,A49,'S1 Sähkö'!$Y$3:$Y$512)</f>
        <v>0.95817428571428565</v>
      </c>
      <c r="I49" s="196">
        <f t="shared" si="16"/>
        <v>442.68209397363529</v>
      </c>
      <c r="V49" s="282">
        <f>SUMIFS('S1 Sähkö'!$I$3:$I$512,'S1 Sähkö'!$C$3:$C$512,$A$49,'S1 Sähkö'!$D$3:$D$512,"pom")</f>
        <v>78960</v>
      </c>
      <c r="W49" s="276">
        <f>SUMIF('S1 Sähkö'!$C$3:$C$512,$A$49,'S1 Sähkö'!$J$3:$J$512)</f>
        <v>5275.1020408163267</v>
      </c>
      <c r="X49" s="276">
        <f>SUMIF('S1 Sähkö'!$C$3:$C$512,$A$9,'S1 Sähkö'!$L$3:$L$512)</f>
        <v>3685.2857142857147</v>
      </c>
      <c r="Y49" s="283">
        <f>SUMIFS('S1 Sähkö'!$E$3:$E$512,'S1 Sähkö'!$C$3:$C$512,$A$49,'S1 Sähkö'!$D$3:$D$512,"sähkö")/1000</f>
        <v>486.54472222222228</v>
      </c>
      <c r="Z49" s="282">
        <f t="shared" si="12"/>
        <v>76591.199999999997</v>
      </c>
      <c r="AA49" s="276">
        <f t="shared" si="13"/>
        <v>8703.9183673469379</v>
      </c>
      <c r="AB49" s="276">
        <f t="shared" si="14"/>
        <v>1842.6428571428573</v>
      </c>
      <c r="AC49" s="276">
        <f t="shared" si="15"/>
        <v>40707.575092592597</v>
      </c>
      <c r="AD49" s="283">
        <f t="shared" si="17"/>
        <v>127845.33631708239</v>
      </c>
    </row>
    <row r="50" spans="1:30">
      <c r="A50" s="195">
        <v>2025</v>
      </c>
      <c r="B50" s="188">
        <f>SUMIF('S1 Sähkö'!$C$3:$C$512,A50,'S1 Sähkö'!$S$3:$S$512)</f>
        <v>53.510012639999999</v>
      </c>
      <c r="C50" s="188">
        <f>SUMIF('S1 Sähkö'!$C$3:$C$512,A50,'S1 Sähkö'!$T$3:$T$512)</f>
        <v>13.297589759999997</v>
      </c>
      <c r="D50" s="188">
        <f>SUMIF('S1 Sähkö'!$C$3:$C$512,A50,'S1 Sähkö'!$U$3:$U$512)</f>
        <v>115.28036883094468</v>
      </c>
      <c r="E50" s="189">
        <f>SUMIF('S1 Sähkö'!$C$3:$C$512,A50,'S1 Sähkö'!$V$3:$V$512)</f>
        <v>49.62141784615384</v>
      </c>
      <c r="F50" s="188">
        <f>SUMIF('S1 Sähkö'!$C$3:$C$512,A50,'S1 Sähkö'!$W$3:$W$512)</f>
        <v>208.96722853871046</v>
      </c>
      <c r="G50" s="188">
        <f>SUMIF('S1 Sähkö'!$C$3:$C$512,A50,'S1 Sähkö'!$X$3:$X$512)</f>
        <v>2.6944831967999998</v>
      </c>
      <c r="H50" s="188">
        <f>SUMIF('S1 Sähkö'!$C$3:$C$512,A50,'S1 Sähkö'!$Y$3:$Y$512)</f>
        <v>0.96774971428571432</v>
      </c>
      <c r="I50" s="196">
        <f t="shared" si="16"/>
        <v>444.33885052689465</v>
      </c>
      <c r="V50" s="282">
        <f>SUMIFS('S1 Sähkö'!$I$3:$I$512,'S1 Sähkö'!$C$3:$C$512,$A$50,'S1 Sähkö'!$D$3:$D$512,"pom")</f>
        <v>78864</v>
      </c>
      <c r="W50" s="276">
        <f>SUMIF('S1 Sähkö'!$C$3:$C$512,$A$50,'S1 Sähkö'!$J$3:$J$512)</f>
        <v>6212.8979591836751</v>
      </c>
      <c r="X50" s="276">
        <f>SUMIF('S1 Sähkö'!$C$3:$C$512,$A$10,'S1 Sähkö'!$L$3:$L$512)</f>
        <v>3722.1142857142863</v>
      </c>
      <c r="Y50" s="283">
        <f>SUMIFS('S1 Sähkö'!$E$3:$E$512,'S1 Sähkö'!$C$3:$C$512,$A$50,'S1 Sähkö'!$D$3:$D$512,"sähkö")/1000</f>
        <v>491.17848148148153</v>
      </c>
      <c r="Z50" s="282">
        <f t="shared" si="12"/>
        <v>76498.080000000002</v>
      </c>
      <c r="AA50" s="276">
        <f t="shared" si="13"/>
        <v>10251.281632653063</v>
      </c>
      <c r="AB50" s="276">
        <f t="shared" si="14"/>
        <v>1861.0571428571432</v>
      </c>
      <c r="AC50" s="276">
        <f t="shared" si="15"/>
        <v>41095.266283950623</v>
      </c>
      <c r="AD50" s="283">
        <f t="shared" si="17"/>
        <v>129705.68505946083</v>
      </c>
    </row>
    <row r="51" spans="1:30">
      <c r="A51" s="195">
        <v>2026</v>
      </c>
      <c r="B51" s="188">
        <f>SUMIF('S1 Sähkö'!$C$3:$C$512,A51,'S1 Sähkö'!$S$3:$S$512)</f>
        <v>53.43401952</v>
      </c>
      <c r="C51" s="188">
        <f>SUMIF('S1 Sähkö'!$C$3:$C$512,A51,'S1 Sähkö'!$T$3:$T$512)</f>
        <v>15.340615679999999</v>
      </c>
      <c r="D51" s="188">
        <f>SUMIF('S1 Sähkö'!$C$3:$C$512,A51,'S1 Sähkö'!$U$3:$U$512)</f>
        <v>115.20424028549031</v>
      </c>
      <c r="E51" s="189">
        <f>SUMIF('S1 Sähkö'!$C$3:$C$512,A51,'S1 Sähkö'!$V$3:$V$512)</f>
        <v>49.62141784615384</v>
      </c>
      <c r="F51" s="188">
        <f>SUMIF('S1 Sähkö'!$C$3:$C$512,A51,'S1 Sähkö'!$W$3:$W$512)</f>
        <v>208.67046030990721</v>
      </c>
      <c r="G51" s="188">
        <f>SUMIF('S1 Sähkö'!$C$3:$C$512,A51,'S1 Sähkö'!$X$3:$X$512)</f>
        <v>2.7199028495999999</v>
      </c>
      <c r="H51" s="188">
        <f>SUMIF('S1 Sähkö'!$C$3:$C$512,A51,'S1 Sähkö'!$Y$3:$Y$512)</f>
        <v>0.97733363265306128</v>
      </c>
      <c r="I51" s="196">
        <f t="shared" si="16"/>
        <v>445.96799012380444</v>
      </c>
      <c r="V51" s="282">
        <f>SUMIFS('S1 Sähkö'!$I$3:$I$512,'S1 Sähkö'!$C$3:$C$512,$A$51,'S1 Sähkö'!$D$3:$D$512,"pom")</f>
        <v>78752.000000000015</v>
      </c>
      <c r="W51" s="276">
        <f>SUMIF('S1 Sähkö'!$C$3:$C$512,$A$51,'S1 Sähkö'!$J$3:$J$512)</f>
        <v>7167.4402332361515</v>
      </c>
      <c r="X51" s="276">
        <f>SUMIF('S1 Sähkö'!$C$3:$C$512,$A$11,'S1 Sähkö'!$L$3:$L$512)</f>
        <v>3758.9755102040822</v>
      </c>
      <c r="Y51" s="283">
        <f>SUMIFS('S1 Sähkö'!$E$3:$E$512,'S1 Sähkö'!$C$3:$C$512,$A$51,'S1 Sähkö'!$D$3:$D$512,"sähkö")/1000</f>
        <v>495.81224074074078</v>
      </c>
      <c r="Z51" s="282">
        <f t="shared" si="12"/>
        <v>76389.440000000017</v>
      </c>
      <c r="AA51" s="276">
        <f t="shared" si="13"/>
        <v>11826.27638483965</v>
      </c>
      <c r="AB51" s="276">
        <f t="shared" si="14"/>
        <v>1879.4877551020411</v>
      </c>
      <c r="AC51" s="276">
        <f t="shared" si="15"/>
        <v>41482.957475308649</v>
      </c>
      <c r="AD51" s="283">
        <f t="shared" si="17"/>
        <v>131578.16161525037</v>
      </c>
    </row>
    <row r="52" spans="1:30">
      <c r="A52" s="195">
        <v>2027</v>
      </c>
      <c r="B52" s="188">
        <f>SUMIF('S1 Sähkö'!$C$3:$C$512,A52,'S1 Sähkö'!$S$3:$S$512)</f>
        <v>53.347170239999983</v>
      </c>
      <c r="C52" s="188">
        <f>SUMIF('S1 Sähkö'!$C$3:$C$512,A52,'S1 Sähkö'!$T$3:$T$512)</f>
        <v>17.419484159999996</v>
      </c>
      <c r="D52" s="188">
        <f>SUMIF('S1 Sähkö'!$C$3:$C$512,A52,'S1 Sähkö'!$U$3:$U$512)</f>
        <v>115.11810627406189</v>
      </c>
      <c r="E52" s="189">
        <f>SUMIF('S1 Sähkö'!$C$3:$C$512,A52,'S1 Sähkö'!$V$3:$V$512)</f>
        <v>49.62141784615384</v>
      </c>
      <c r="F52" s="188">
        <f>SUMIF('S1 Sähkö'!$C$3:$C$512,A52,'S1 Sähkö'!$W$3:$W$512)</f>
        <v>208.3312966198464</v>
      </c>
      <c r="G52" s="188">
        <f>SUMIF('S1 Sähkö'!$C$3:$C$512,A52,'S1 Sähkö'!$X$3:$X$512)</f>
        <v>2.7453225024000001</v>
      </c>
      <c r="H52" s="188">
        <f>SUMIF('S1 Sähkö'!$C$3:$C$512,A52,'S1 Sähkö'!$Y$3:$Y$512)</f>
        <v>0.98692604081632662</v>
      </c>
      <c r="I52" s="196">
        <f t="shared" si="16"/>
        <v>447.56972368327843</v>
      </c>
      <c r="V52" s="282">
        <f>SUMIFS('S1 Sähkö'!$I$3:$I$512,'S1 Sähkö'!$C$3:$C$512,$A$52,'S1 Sähkö'!$D$3:$D$512,"pom")</f>
        <v>78624</v>
      </c>
      <c r="W52" s="276">
        <f>SUMIF('S1 Sähkö'!$C$3:$C$512,$A$52,'S1 Sähkö'!$J$3:$J$512)</f>
        <v>8138.7288629737604</v>
      </c>
      <c r="X52" s="276">
        <f>SUMIF('S1 Sähkö'!$C$3:$C$512,$A$12,'S1 Sähkö'!$L$3:$L$512)</f>
        <v>3795.8693877551018</v>
      </c>
      <c r="Y52" s="283">
        <f>SUMIFS('S1 Sähkö'!$E$3:$E$512,'S1 Sähkö'!$C$3:$C$512,$A$52,'S1 Sähkö'!$D$3:$D$512,"sähkö")/1000</f>
        <v>500.44600000000003</v>
      </c>
      <c r="Z52" s="282">
        <f t="shared" si="12"/>
        <v>76265.279999999999</v>
      </c>
      <c r="AA52" s="276">
        <f t="shared" si="13"/>
        <v>13428.902623906704</v>
      </c>
      <c r="AB52" s="276">
        <f t="shared" si="14"/>
        <v>1897.9346938775509</v>
      </c>
      <c r="AC52" s="276">
        <f t="shared" si="15"/>
        <v>41870.648666666668</v>
      </c>
      <c r="AD52" s="283">
        <f t="shared" si="17"/>
        <v>133462.76598445093</v>
      </c>
    </row>
    <row r="53" spans="1:30">
      <c r="A53" s="195">
        <v>2028</v>
      </c>
      <c r="B53" s="188">
        <f>SUMIF('S1 Sähkö'!$C$3:$C$512,A53,'S1 Sähkö'!$S$3:$S$512)</f>
        <v>53.249464799999991</v>
      </c>
      <c r="C53" s="188">
        <f>SUMIF('S1 Sähkö'!$C$3:$C$512,A53,'S1 Sähkö'!$T$3:$T$512)</f>
        <v>19.534195199999999</v>
      </c>
      <c r="D53" s="188">
        <f>SUMIF('S1 Sähkö'!$C$3:$C$512,A53,'S1 Sähkö'!$U$3:$U$512)</f>
        <v>115.02217451883351</v>
      </c>
      <c r="E53" s="189">
        <f>SUMIF('S1 Sähkö'!$C$3:$C$512,A53,'S1 Sähkö'!$V$3:$V$512)</f>
        <v>49.62141784615384</v>
      </c>
      <c r="F53" s="188">
        <f>SUMIF('S1 Sähkö'!$C$3:$C$512,A53,'S1 Sähkö'!$W$3:$W$512)</f>
        <v>207.94973746852799</v>
      </c>
      <c r="G53" s="188">
        <f>SUMIF('S1 Sähkö'!$C$3:$C$512,A53,'S1 Sähkö'!$X$3:$X$512)</f>
        <v>2.7707421552000002</v>
      </c>
      <c r="H53" s="188">
        <f>SUMIF('S1 Sähkö'!$C$3:$C$512,A53,'S1 Sähkö'!$Y$3:$Y$512)</f>
        <v>0.99652693877551024</v>
      </c>
      <c r="I53" s="196">
        <f t="shared" si="16"/>
        <v>449.14425892749085</v>
      </c>
      <c r="V53" s="282">
        <f>SUMIFS('S1 Sähkö'!$I$3:$I$512,'S1 Sähkö'!$C$3:$C$512,$A$53,'S1 Sähkö'!$D$3:$D$512,"pom")</f>
        <v>78480</v>
      </c>
      <c r="W53" s="276">
        <f>SUMIF('S1 Sähkö'!$C$3:$C$512,$A$53,'S1 Sähkö'!$J$3:$J$512)</f>
        <v>9126.7638483965002</v>
      </c>
      <c r="X53" s="276">
        <f>SUMIF('S1 Sähkö'!$C$3:$C$512,$A$13,'S1 Sähkö'!$L$3:$L$512)</f>
        <v>3832.795918367347</v>
      </c>
      <c r="Y53" s="283">
        <f>SUMIFS('S1 Sähkö'!$E$3:$E$512,'S1 Sähkö'!$C$3:$C$512,$A$53,'S1 Sähkö'!$D$3:$D$512,"sähkö")/1000</f>
        <v>505.07975925925933</v>
      </c>
      <c r="Z53" s="282">
        <f t="shared" si="12"/>
        <v>76125.599999999991</v>
      </c>
      <c r="AA53" s="276">
        <f t="shared" si="13"/>
        <v>15059.160349854224</v>
      </c>
      <c r="AB53" s="276">
        <f t="shared" si="14"/>
        <v>1916.3979591836735</v>
      </c>
      <c r="AC53" s="276">
        <f t="shared" si="15"/>
        <v>42258.339858024694</v>
      </c>
      <c r="AD53" s="283">
        <f t="shared" si="17"/>
        <v>135359.49816706259</v>
      </c>
    </row>
    <row r="54" spans="1:30">
      <c r="A54" s="195">
        <v>2029</v>
      </c>
      <c r="B54" s="188">
        <f>SUMIF('S1 Sähkö'!$C$3:$C$512,A54,'S1 Sähkö'!$S$3:$S$512)</f>
        <v>53.737991999999977</v>
      </c>
      <c r="C54" s="188">
        <f>SUMIF('S1 Sähkö'!$C$3:$C$512,A54,'S1 Sähkö'!$T$3:$T$512)</f>
        <v>19.713408000000001</v>
      </c>
      <c r="D54" s="188">
        <f>SUMIF('S1 Sähkö'!$C$3:$C$512,A54,'S1 Sähkö'!$U$3:$U$512)</f>
        <v>114.91664958808227</v>
      </c>
      <c r="E54" s="189">
        <f>SUMIF('S1 Sähkö'!$C$3:$C$512,A54,'S1 Sähkö'!$V$3:$V$512)</f>
        <v>49.62141784615384</v>
      </c>
      <c r="F54" s="188">
        <f>SUMIF('S1 Sähkö'!$C$3:$C$512,A54,'S1 Sähkö'!$W$3:$W$512)</f>
        <v>209.85753322512002</v>
      </c>
      <c r="G54" s="188">
        <f>SUMIF('S1 Sähkö'!$C$3:$C$512,A54,'S1 Sähkö'!$X$3:$X$512)</f>
        <v>2.7961618080000004</v>
      </c>
      <c r="H54" s="188">
        <f>SUMIF('S1 Sähkö'!$C$3:$C$512,A54,'S1 Sähkö'!$Y$3:$Y$512)</f>
        <v>1.0056693877551017</v>
      </c>
      <c r="I54" s="196">
        <f t="shared" si="16"/>
        <v>451.64883185511127</v>
      </c>
      <c r="V54" s="282">
        <f>SUMIFS('S1 Sähkö'!$I$3:$I$512,'S1 Sähkö'!$C$3:$C$512,$A$54,'S1 Sähkö'!$D$3:$D$512,"pom")</f>
        <v>79200</v>
      </c>
      <c r="W54" s="276">
        <f>SUMIF('S1 Sähkö'!$C$3:$C$512,$A$54,'S1 Sähkö'!$J$3:$J$512)</f>
        <v>9210.4956268221576</v>
      </c>
      <c r="X54" s="276">
        <f>SUMIF('S1 Sähkö'!$C$3:$C$512,$A$14,'S1 Sähkö'!$L$3:$L$512)</f>
        <v>3867.9591836734694</v>
      </c>
      <c r="Y54" s="283">
        <f>SUMIFS('S1 Sähkö'!$E$3:$E$512,'S1 Sähkö'!$C$3:$C$512,$A$54,'S1 Sähkö'!$D$3:$D$512,"sähkö")/1000</f>
        <v>509.71351851851853</v>
      </c>
      <c r="Z54" s="282">
        <f t="shared" si="12"/>
        <v>76824</v>
      </c>
      <c r="AA54" s="276">
        <f t="shared" si="13"/>
        <v>15197.31778425656</v>
      </c>
      <c r="AB54" s="276">
        <f t="shared" si="14"/>
        <v>1933.9795918367347</v>
      </c>
      <c r="AC54" s="276">
        <f t="shared" si="15"/>
        <v>42646.03104938272</v>
      </c>
      <c r="AD54" s="283">
        <f t="shared" si="17"/>
        <v>136601.32842547601</v>
      </c>
    </row>
    <row r="55" spans="1:30">
      <c r="A55" s="195">
        <v>2030</v>
      </c>
      <c r="B55" s="188">
        <f>SUMIF('S1 Sähkö'!$C$3:$C$512,A55,'S1 Sähkö'!$S$3:$S$512)</f>
        <v>54.226519199999998</v>
      </c>
      <c r="C55" s="188">
        <f>SUMIF('S1 Sähkö'!$C$3:$C$512,A55,'S1 Sähkö'!$T$3:$T$512)</f>
        <v>19.892620800000003</v>
      </c>
      <c r="D55" s="188">
        <f>SUMIF('S1 Sähkö'!$C$3:$C$512,A55,'S1 Sähkö'!$U$3:$U$512)</f>
        <v>114.80173293849421</v>
      </c>
      <c r="E55" s="189">
        <f>SUMIF('S1 Sähkö'!$C$3:$C$512,A55,'S1 Sähkö'!$V$3:$V$512)</f>
        <v>49.62141784615384</v>
      </c>
      <c r="F55" s="188">
        <f>SUMIF('S1 Sähkö'!$C$3:$C$512,A55,'S1 Sähkö'!$W$3:$W$512)</f>
        <v>211.76532898171212</v>
      </c>
      <c r="G55" s="188">
        <f>SUMIF('S1 Sähkö'!$C$3:$C$512,A55,'S1 Sähkö'!$X$3:$X$512)</f>
        <v>2.8215814608000005</v>
      </c>
      <c r="H55" s="188">
        <f>SUMIF('S1 Sähkö'!$C$3:$C$512,A55,'S1 Sähkö'!$Y$3:$Y$512)</f>
        <v>1.0148118367346941</v>
      </c>
      <c r="I55" s="196">
        <f t="shared" si="16"/>
        <v>454.14401306389487</v>
      </c>
      <c r="V55" s="282">
        <f>SUMIFS('S1 Sähkö'!$I$3:$I$512,'S1 Sähkö'!$C$3:$C$512,$A$55,'S1 Sähkö'!$D$3:$D$512,"pom")</f>
        <v>79920.000000000015</v>
      </c>
      <c r="W55" s="276">
        <f>SUMIF('S1 Sähkö'!$C$3:$C$512,$A$55,'S1 Sähkö'!$J$3:$J$512)</f>
        <v>9294.2274052478151</v>
      </c>
      <c r="X55" s="276">
        <f>SUMIF('S1 Sähkö'!$C$3:$C$512,$A$15,'S1 Sähkö'!$L$3:$L$512)</f>
        <v>3903.1224489795923</v>
      </c>
      <c r="Y55" s="283">
        <f>SUMIFS('S1 Sähkö'!$E$3:$E$512,'S1 Sähkö'!$C$3:$C$512,$A$55,'S1 Sähkö'!$D$3:$D$512,"sähkö")/1000</f>
        <v>514.34727777777789</v>
      </c>
      <c r="Z55" s="282">
        <f t="shared" si="12"/>
        <v>77522.400000000009</v>
      </c>
      <c r="AA55" s="276">
        <f t="shared" si="13"/>
        <v>15335.475218658894</v>
      </c>
      <c r="AB55" s="276">
        <f t="shared" si="14"/>
        <v>1951.5612244897961</v>
      </c>
      <c r="AC55" s="276">
        <f t="shared" si="15"/>
        <v>43033.722240740746</v>
      </c>
      <c r="AD55" s="283">
        <f t="shared" si="17"/>
        <v>137843.15868388943</v>
      </c>
    </row>
    <row r="56" spans="1:30">
      <c r="A56" s="195">
        <v>2031</v>
      </c>
      <c r="B56" s="188">
        <f>SUMIF('S1 Sähkö'!$C$3:$C$512,A56,'S1 Sähkö'!$S$3:$S$512)</f>
        <v>54.715046400000006</v>
      </c>
      <c r="C56" s="188">
        <f>SUMIF('S1 Sähkö'!$C$3:$C$512,A56,'S1 Sähkö'!$T$3:$T$512)</f>
        <v>20.071833600000001</v>
      </c>
      <c r="D56" s="188">
        <f>SUMIF('S1 Sähkö'!$C$3:$C$512,A56,'S1 Sähkö'!$U$3:$U$512)</f>
        <v>114.67762295693909</v>
      </c>
      <c r="E56" s="189">
        <f>SUMIF('S1 Sähkö'!$C$3:$C$512,A56,'S1 Sähkö'!$V$3:$V$512)</f>
        <v>49.62141784615384</v>
      </c>
      <c r="F56" s="188">
        <f>SUMIF('S1 Sähkö'!$C$3:$C$512,A56,'S1 Sähkö'!$W$3:$W$512)</f>
        <v>213.67312473830407</v>
      </c>
      <c r="G56" s="188">
        <f>SUMIF('S1 Sähkö'!$C$3:$C$512,A56,'S1 Sähkö'!$X$3:$X$512)</f>
        <v>2.8470011136000006</v>
      </c>
      <c r="H56" s="188">
        <f>SUMIF('S1 Sähkö'!$C$3:$C$512,A56,'S1 Sähkö'!$Y$3:$Y$512)</f>
        <v>1.0239542857142863</v>
      </c>
      <c r="I56" s="196">
        <f t="shared" si="16"/>
        <v>456.63000094071128</v>
      </c>
      <c r="V56" s="282">
        <f>SUMIFS('S1 Sähkö'!$I$3:$I$512,'S1 Sähkö'!$C$3:$C$512,$A$56,'S1 Sähkö'!$D$3:$D$512,"pom")</f>
        <v>80640.000000000015</v>
      </c>
      <c r="W56" s="276">
        <f>SUMIF('S1 Sähkö'!$C$3:$C$512,$A$56,'S1 Sähkö'!$J$3:$J$512)</f>
        <v>9377.9591836734744</v>
      </c>
      <c r="X56" s="276">
        <f>SUMIF('S1 Sähkö'!$C$3:$C$512,$A$16,'S1 Sähkö'!$L$3:$L$512)</f>
        <v>3938.285714285716</v>
      </c>
      <c r="Y56" s="283">
        <f>SUMIFS('S1 Sähkö'!$E$3:$E$512,'S1 Sähkö'!$C$3:$C$512,$A$56,'S1 Sähkö'!$D$3:$D$512,"sähkö")/1000</f>
        <v>518.98103703703703</v>
      </c>
      <c r="Z56" s="282">
        <f t="shared" si="12"/>
        <v>78220.800000000017</v>
      </c>
      <c r="AA56" s="276">
        <f t="shared" si="13"/>
        <v>15473.632653061231</v>
      </c>
      <c r="AB56" s="276">
        <f t="shared" si="14"/>
        <v>1969.142857142858</v>
      </c>
      <c r="AC56" s="276">
        <f t="shared" si="15"/>
        <v>43421.413432098765</v>
      </c>
      <c r="AD56" s="283">
        <f t="shared" si="17"/>
        <v>139084.98894230288</v>
      </c>
    </row>
    <row r="57" spans="1:30">
      <c r="A57" s="195">
        <v>2032</v>
      </c>
      <c r="B57" s="188">
        <f>SUMIF('S1 Sähkö'!$C$3:$C$512,A57,'S1 Sähkö'!$S$3:$S$512)</f>
        <v>55.203573599999984</v>
      </c>
      <c r="C57" s="188">
        <f>SUMIF('S1 Sähkö'!$C$3:$C$512,A57,'S1 Sähkö'!$T$3:$T$512)</f>
        <v>20.251046400000003</v>
      </c>
      <c r="D57" s="188">
        <f>SUMIF('S1 Sähkö'!$C$3:$C$512,A57,'S1 Sähkö'!$U$3:$U$512)</f>
        <v>114.54451500172118</v>
      </c>
      <c r="E57" s="189">
        <f>SUMIF('S1 Sähkö'!$C$3:$C$512,A57,'S1 Sähkö'!$V$3:$V$512)</f>
        <v>49.62141784615384</v>
      </c>
      <c r="F57" s="188">
        <f>SUMIF('S1 Sähkö'!$C$3:$C$512,A57,'S1 Sähkö'!$W$3:$W$512)</f>
        <v>215.58092049489596</v>
      </c>
      <c r="G57" s="188">
        <f>SUMIF('S1 Sähkö'!$C$3:$C$512,A57,'S1 Sähkö'!$X$3:$X$512)</f>
        <v>2.8724207663999994</v>
      </c>
      <c r="H57" s="188">
        <f>SUMIF('S1 Sähkö'!$C$3:$C$512,A57,'S1 Sähkö'!$Y$3:$Y$512)</f>
        <v>1.0330967346938775</v>
      </c>
      <c r="I57" s="196">
        <f t="shared" si="16"/>
        <v>459.10699084386488</v>
      </c>
      <c r="V57" s="282">
        <f>SUMIFS('S1 Sähkö'!$I$3:$I$512,'S1 Sähkö'!$C$3:$C$512,$A$57,'S1 Sähkö'!$D$3:$D$512,"pom")</f>
        <v>81359.999999999985</v>
      </c>
      <c r="W57" s="276">
        <f>SUMIF('S1 Sähkö'!$C$3:$C$512,$A$57,'S1 Sähkö'!$J$3:$J$512)</f>
        <v>9461.6909620991264</v>
      </c>
      <c r="X57" s="276">
        <f>SUMIF('S1 Sähkö'!$C$3:$C$512,$A$17,'S1 Sähkö'!$L$3:$L$512)</f>
        <v>3973.4489795918357</v>
      </c>
      <c r="Y57" s="283">
        <f>SUMIFS('S1 Sähkö'!$E$3:$E$512,'S1 Sähkö'!$C$3:$C$512,$A$57,'S1 Sähkö'!$D$3:$D$512,"sähkö")/1000</f>
        <v>523.61479629629628</v>
      </c>
      <c r="Z57" s="282">
        <f t="shared" si="12"/>
        <v>78919.199999999983</v>
      </c>
      <c r="AA57" s="276">
        <f t="shared" si="13"/>
        <v>15611.790087463558</v>
      </c>
      <c r="AB57" s="276">
        <f t="shared" si="14"/>
        <v>1986.7244897959179</v>
      </c>
      <c r="AC57" s="276">
        <f t="shared" si="15"/>
        <v>43809.104623456791</v>
      </c>
      <c r="AD57" s="283">
        <f t="shared" si="17"/>
        <v>140326.81920071624</v>
      </c>
    </row>
    <row r="58" spans="1:30">
      <c r="A58" s="195">
        <v>2033</v>
      </c>
      <c r="B58" s="188">
        <f>SUMIF('S1 Sähkö'!$C$3:$C$512,A58,'S1 Sähkö'!$S$3:$S$512)</f>
        <v>55.692100799999999</v>
      </c>
      <c r="C58" s="188">
        <f>SUMIF('S1 Sähkö'!$C$3:$C$512,A58,'S1 Sähkö'!$T$3:$T$512)</f>
        <v>20.430259200000005</v>
      </c>
      <c r="D58" s="188">
        <f>SUMIF('S1 Sähkö'!$C$3:$C$512,A58,'S1 Sähkö'!$U$3:$U$512)</f>
        <v>114.40260144331199</v>
      </c>
      <c r="E58" s="189">
        <f>SUMIF('S1 Sähkö'!$C$3:$C$512,A58,'S1 Sähkö'!$V$3:$V$512)</f>
        <v>49.62141784615384</v>
      </c>
      <c r="F58" s="188">
        <f>SUMIF('S1 Sähkö'!$C$3:$C$512,A58,'S1 Sähkö'!$W$3:$W$512)</f>
        <v>217.48871625148806</v>
      </c>
      <c r="G58" s="188">
        <f>SUMIF('S1 Sähkö'!$C$3:$C$512,A58,'S1 Sähkö'!$X$3:$X$512)</f>
        <v>2.8978404192000009</v>
      </c>
      <c r="H58" s="188">
        <f>SUMIF('S1 Sähkö'!$C$3:$C$512,A58,'S1 Sähkö'!$Y$3:$Y$512)</f>
        <v>1.0422391836734695</v>
      </c>
      <c r="I58" s="196">
        <f t="shared" si="16"/>
        <v>461.57517514382738</v>
      </c>
      <c r="V58" s="282">
        <f>SUMIFS('S1 Sähkö'!$I$3:$I$512,'S1 Sähkö'!$C$3:$C$512,$A$58,'S1 Sähkö'!$D$3:$D$512,"pom")</f>
        <v>82080.000000000015</v>
      </c>
      <c r="W58" s="276">
        <f>SUMIF('S1 Sähkö'!$C$3:$C$512,$A$58,'S1 Sähkö'!$J$3:$J$512)</f>
        <v>9545.4227405247821</v>
      </c>
      <c r="X58" s="276">
        <f>SUMIF('S1 Sähkö'!$C$3:$C$512,$A$18,'S1 Sähkö'!$L$3:$L$512)</f>
        <v>4008.61224489796</v>
      </c>
      <c r="Y58" s="283">
        <f>SUMIFS('S1 Sähkö'!$E$3:$E$512,'S1 Sähkö'!$C$3:$C$512,$A$58,'S1 Sähkö'!$D$3:$D$512,"sähkö")/1000</f>
        <v>528.24855555555564</v>
      </c>
      <c r="Z58" s="282">
        <f t="shared" si="12"/>
        <v>79617.600000000006</v>
      </c>
      <c r="AA58" s="276">
        <f t="shared" si="13"/>
        <v>15749.94752186589</v>
      </c>
      <c r="AB58" s="276">
        <f t="shared" si="14"/>
        <v>2004.30612244898</v>
      </c>
      <c r="AC58" s="276">
        <f t="shared" si="15"/>
        <v>44196.795814814817</v>
      </c>
      <c r="AD58" s="283">
        <f t="shared" si="17"/>
        <v>141568.64945912969</v>
      </c>
    </row>
    <row r="59" spans="1:30">
      <c r="A59" s="195">
        <v>2034</v>
      </c>
      <c r="B59" s="188">
        <f>SUMIF('S1 Sähkö'!$C$3:$C$512,A59,'S1 Sähkö'!$S$3:$S$512)</f>
        <v>56.180627999999999</v>
      </c>
      <c r="C59" s="188">
        <f>SUMIF('S1 Sähkö'!$C$3:$C$512,A59,'S1 Sähkö'!$T$3:$T$512)</f>
        <v>20.609472</v>
      </c>
      <c r="D59" s="188">
        <f>SUMIF('S1 Sähkö'!$C$3:$C$512,A59,'S1 Sähkö'!$U$3:$U$512)</f>
        <v>114.25207170457078</v>
      </c>
      <c r="E59" s="189">
        <f>SUMIF('S1 Sähkö'!$C$3:$C$512,A59,'S1 Sähkö'!$V$3:$V$512)</f>
        <v>49.62141784615384</v>
      </c>
      <c r="F59" s="188">
        <f>SUMIF('S1 Sähkö'!$C$3:$C$512,A59,'S1 Sähkö'!$W$3:$W$512)</f>
        <v>219.39651200808001</v>
      </c>
      <c r="G59" s="188">
        <f>SUMIF('S1 Sähkö'!$C$3:$C$512,A59,'S1 Sähkö'!$X$3:$X$512)</f>
        <v>2.9232600720000006</v>
      </c>
      <c r="H59" s="188">
        <f>SUMIF('S1 Sähkö'!$C$3:$C$512,A59,'S1 Sähkö'!$Y$3:$Y$512)</f>
        <v>1.0513816326530612</v>
      </c>
      <c r="I59" s="196">
        <f t="shared" si="16"/>
        <v>464.03474326345764</v>
      </c>
      <c r="V59" s="282">
        <f>SUMIFS('S1 Sähkö'!$I$3:$I$512,'S1 Sähkö'!$C$3:$C$512,$A$59,'S1 Sähkö'!$D$3:$D$512,"pom")</f>
        <v>82800</v>
      </c>
      <c r="W59" s="276">
        <f>SUMIF('S1 Sähkö'!$C$3:$C$512,$A$59,'S1 Sähkö'!$J$3:$J$512)</f>
        <v>9629.1545189504377</v>
      </c>
      <c r="X59" s="276">
        <f>SUMIF('S1 Sähkö'!$C$3:$C$512,$A$19,'S1 Sähkö'!$L$3:$L$512)</f>
        <v>4043.7755102040819</v>
      </c>
      <c r="Y59" s="283">
        <f>SUMIFS('S1 Sähkö'!$E$3:$E$512,'S1 Sähkö'!$C$3:$C$512,$A$59,'S1 Sähkö'!$D$3:$D$512,"sähkö")/1000</f>
        <v>532.88231481481478</v>
      </c>
      <c r="Z59" s="282">
        <f t="shared" si="12"/>
        <v>80316</v>
      </c>
      <c r="AA59" s="276">
        <f t="shared" si="13"/>
        <v>15888.104956268222</v>
      </c>
      <c r="AB59" s="276">
        <f t="shared" si="14"/>
        <v>2021.887755102041</v>
      </c>
      <c r="AC59" s="276">
        <f t="shared" si="15"/>
        <v>44584.487006172843</v>
      </c>
      <c r="AD59" s="283">
        <f t="shared" si="17"/>
        <v>142810.47971754312</v>
      </c>
    </row>
    <row r="60" spans="1:30">
      <c r="A60" s="197">
        <v>2035</v>
      </c>
      <c r="B60" s="198">
        <f>SUMIF('S1 Sähkö'!$C$3:$C$512,A60,'S1 Sähkö'!$S$3:$S$512)</f>
        <v>56.669155199999985</v>
      </c>
      <c r="C60" s="198">
        <f>SUMIF('S1 Sähkö'!$C$3:$C$512,A60,'S1 Sähkö'!$T$3:$T$512)</f>
        <v>20.788684799999999</v>
      </c>
      <c r="D60" s="198">
        <f>SUMIF('S1 Sähkö'!$C$3:$C$512,A60,'S1 Sähkö'!$U$3:$U$512)</f>
        <v>114.09311230046009</v>
      </c>
      <c r="E60" s="200">
        <f>SUMIF('S1 Sähkö'!$C$3:$C$512,A60,'S1 Sähkö'!$V$3:$V$512)</f>
        <v>49.62141784615384</v>
      </c>
      <c r="F60" s="198">
        <f>SUMIF('S1 Sähkö'!$C$3:$C$512,A60,'S1 Sähkö'!$W$3:$W$512)</f>
        <v>221.30430776467205</v>
      </c>
      <c r="G60" s="198">
        <f>SUMIF('S1 Sähkö'!$C$3:$C$512,A60,'S1 Sähkö'!$X$3:$X$512)</f>
        <v>2.9486797247999998</v>
      </c>
      <c r="H60" s="198">
        <f>SUMIF('S1 Sähkö'!$C$3:$C$512,A60,'S1 Sähkö'!$Y$3:$Y$512)</f>
        <v>1.0605240816326531</v>
      </c>
      <c r="I60" s="199">
        <f t="shared" si="16"/>
        <v>466.4858817177186</v>
      </c>
      <c r="V60" s="284">
        <f>SUMIFS('S1 Sähkö'!$I$3:$I$512,'S1 Sähkö'!$C$3:$C$512,$A$60,'S1 Sähkö'!$D$3:$D$512,"pom")</f>
        <v>83520</v>
      </c>
      <c r="W60" s="285">
        <f>SUMIF('S1 Sähkö'!$C$3:$C$512,$A$60,'S1 Sähkö'!$J$3:$J$512)</f>
        <v>9712.8862973760934</v>
      </c>
      <c r="X60" s="285">
        <f>SUMIF('S1 Sähkö'!$C$3:$C$512,$A$20,'S1 Sähkö'!$L$3:$L$512)</f>
        <v>4078.9387755102043</v>
      </c>
      <c r="Y60" s="286">
        <f>SUMIFS('S1 Sähkö'!$E$3:$E$512,'S1 Sähkö'!$C$3:$C$512,$A$60,'S1 Sähkö'!$D$3:$D$512,"sähkö")/1000</f>
        <v>537.51607407407403</v>
      </c>
      <c r="Z60" s="284">
        <f t="shared" si="12"/>
        <v>81014.399999999994</v>
      </c>
      <c r="AA60" s="285">
        <f t="shared" si="13"/>
        <v>16026.262390670554</v>
      </c>
      <c r="AB60" s="285">
        <f t="shared" si="14"/>
        <v>2039.4693877551022</v>
      </c>
      <c r="AC60" s="276">
        <f t="shared" si="15"/>
        <v>44972.178197530862</v>
      </c>
      <c r="AD60" s="286">
        <f t="shared" si="17"/>
        <v>144052.30997595651</v>
      </c>
    </row>
    <row r="62" spans="1:30">
      <c r="A62" s="190" t="s">
        <v>6</v>
      </c>
      <c r="B62" s="191"/>
      <c r="C62" s="191"/>
      <c r="D62" s="191"/>
      <c r="E62" s="191"/>
      <c r="F62" s="191"/>
      <c r="G62" s="191"/>
      <c r="H62" s="191"/>
      <c r="I62" s="192"/>
      <c r="V62" s="278"/>
      <c r="W62" s="278"/>
      <c r="X62" s="278"/>
      <c r="Y62" s="279"/>
      <c r="Z62" s="277"/>
      <c r="AA62" s="278"/>
      <c r="AB62" s="278"/>
      <c r="AC62" s="278"/>
      <c r="AD62" s="279"/>
    </row>
    <row r="63" spans="1:30" ht="55.2">
      <c r="A63" s="193" t="s">
        <v>42</v>
      </c>
      <c r="B63" s="187" t="s">
        <v>279</v>
      </c>
      <c r="C63" s="187" t="s">
        <v>280</v>
      </c>
      <c r="D63" s="187" t="s">
        <v>281</v>
      </c>
      <c r="E63" s="187" t="s">
        <v>282</v>
      </c>
      <c r="F63" s="187" t="s">
        <v>283</v>
      </c>
      <c r="G63" s="187" t="s">
        <v>284</v>
      </c>
      <c r="H63" s="187" t="s">
        <v>285</v>
      </c>
      <c r="I63" s="194" t="s">
        <v>313</v>
      </c>
      <c r="V63" s="275" t="s">
        <v>314</v>
      </c>
      <c r="W63" s="275" t="s">
        <v>315</v>
      </c>
      <c r="X63" s="275" t="s">
        <v>316</v>
      </c>
      <c r="Y63" s="281" t="s">
        <v>317</v>
      </c>
      <c r="Z63" s="280" t="s">
        <v>318</v>
      </c>
      <c r="AA63" s="275" t="s">
        <v>319</v>
      </c>
      <c r="AB63" s="275" t="s">
        <v>320</v>
      </c>
      <c r="AC63" s="275" t="s">
        <v>321</v>
      </c>
      <c r="AD63" s="281" t="s">
        <v>322</v>
      </c>
    </row>
    <row r="64" spans="1:30">
      <c r="A64" s="195">
        <v>2019</v>
      </c>
      <c r="B64" s="188">
        <f>SUMIF('S2 Bio'!$C$3:$C$512,A64,'S2 Bio'!$S$3:$S$512)</f>
        <v>67.850999999999985</v>
      </c>
      <c r="C64" s="188">
        <f>SUMIF('S2 Bio'!$C$3:$C$512,A64,'S2 Bio'!$T$3:$T$512)</f>
        <v>0</v>
      </c>
      <c r="D64" s="188">
        <f>SUMIF('S2 Bio'!$C$3:$C$512,A64,'S2 Bio'!$U$3:$U$512)</f>
        <v>101.51065717592591</v>
      </c>
      <c r="E64" s="189">
        <f>SUMIF('S2 Bio'!$C$3:$C$512,A64,'S2 Bio'!$V$3:$V$512)</f>
        <v>43.121723076923082</v>
      </c>
      <c r="F64" s="188">
        <f>SUMIF('S2 Bio'!$C$3:$C$512,A64,'S2 Bio'!$W$3:$W$512)</f>
        <v>264.97163285999994</v>
      </c>
      <c r="G64" s="188">
        <f>SUMIF('S2 Bio'!$C$3:$C$512,A64,'S2 Bio'!$X$3:$X$512)</f>
        <v>3.1774565999999997</v>
      </c>
      <c r="H64" s="188">
        <f>SUMIF('S2 Bio'!$C$3:$C$512,A64,'S2 Bio'!$Y$3:$Y$512)</f>
        <v>1.1440000000000001</v>
      </c>
      <c r="I64" s="196">
        <f>SUM(B64:H64)</f>
        <v>481.77646971284895</v>
      </c>
      <c r="V64" s="282">
        <f>SUMIFS('S2 Bio'!$I$3:$I$512,'S2 Bio'!$C$3:$C$512,$A$64,'S2 Bio'!$D$3:$D$512,"pom")</f>
        <v>100000</v>
      </c>
      <c r="W64" s="276">
        <f>SUMIF('S2 Bio'!$C$3:$C$512,$A$64,'S2 Bio'!$J$3:$J$512)</f>
        <v>0</v>
      </c>
      <c r="X64" s="276">
        <f>SUMIF('S2 Bio'!$C$3:$C$512,$A$4,'S2 Bio'!$L$3:$L$512)</f>
        <v>4400</v>
      </c>
      <c r="Y64" s="283">
        <f>SUMIFS('S2 Bio'!$E$3:$E$512,'S2 Bio'!$C$3:$C$512,$A$64,'S2 Bio'!$D$3:$D$512,"sähkö")/1000</f>
        <v>407.19907407407402</v>
      </c>
      <c r="Z64" s="282">
        <f t="shared" ref="Z64:Z80" si="18">V64*hinta_pom_pok</f>
        <v>97000</v>
      </c>
      <c r="AA64" s="276">
        <f t="shared" ref="AA64:AA80" si="19">W64*hinta_biodiesel</f>
        <v>0</v>
      </c>
      <c r="AB64" s="276">
        <f t="shared" ref="AB64:AB80" si="20">X64*hinta_adblue</f>
        <v>2200</v>
      </c>
      <c r="AC64" s="276">
        <f t="shared" ref="AC64:AC80" si="21">Y64*1000*hinta_sähkö3</f>
        <v>36037.118055555555</v>
      </c>
      <c r="AD64" s="283">
        <f>SUM(Z64:AC64)</f>
        <v>135237.11805555556</v>
      </c>
    </row>
    <row r="65" spans="1:30">
      <c r="A65" s="195">
        <v>2020</v>
      </c>
      <c r="B65" s="188">
        <f>SUMIF('S2 Bio'!$C$3:$C$512,A65,'S2 Bio'!$S$3:$S$512)</f>
        <v>68.529509999999988</v>
      </c>
      <c r="C65" s="188">
        <f>SUMIF('S2 Bio'!$C$3:$C$512,A65,'S2 Bio'!$T$3:$T$512)</f>
        <v>0</v>
      </c>
      <c r="D65" s="188">
        <f>SUMIF('S2 Bio'!$C$3:$C$512,A65,'S2 Bio'!$U$3:$U$512)</f>
        <v>101.50050611020835</v>
      </c>
      <c r="E65" s="189">
        <f>SUMIF('S2 Bio'!$C$3:$C$512,A65,'S2 Bio'!$V$3:$V$512)</f>
        <v>43.121723076923082</v>
      </c>
      <c r="F65" s="188">
        <f>SUMIF('S2 Bio'!$C$3:$C$512,A65,'S2 Bio'!$W$3:$W$512)</f>
        <v>267.62134918859999</v>
      </c>
      <c r="G65" s="188">
        <f>SUMIF('S2 Bio'!$C$3:$C$512,A65,'S2 Bio'!$X$3:$X$512)</f>
        <v>3.2092311659999999</v>
      </c>
      <c r="H65" s="188">
        <f>SUMIF('S2 Bio'!$C$3:$C$512,A65,'S2 Bio'!$Y$3:$Y$512)</f>
        <v>1.15544</v>
      </c>
      <c r="I65" s="196">
        <f t="shared" ref="I65:I80" si="22">SUM(B65:H65)</f>
        <v>485.13775954173138</v>
      </c>
      <c r="V65" s="282">
        <f>SUMIFS('S2 Bio'!$I$3:$I$512,'S2 Bio'!$C$3:$C$512,$A$65,'S2 Bio'!$D$3:$D$512,"pom")</f>
        <v>101000</v>
      </c>
      <c r="W65" s="276">
        <f>SUMIF('S2 Bio'!$C$3:$C$512,$A$65,'S2 Bio'!$J$3:$J$512)</f>
        <v>0</v>
      </c>
      <c r="X65" s="276">
        <f>SUMIF('S2 Bio'!$C$3:$C$512,$A$5,'S2 Bio'!$L$3:$L$512)</f>
        <v>4444</v>
      </c>
      <c r="Y65" s="283">
        <f>SUMIFS('S2 Bio'!$E$3:$E$512,'S2 Bio'!$C$3:$C$512,$A$65,'S2 Bio'!$D$3:$D$512,"sähkö")/1000</f>
        <v>411.27106481481485</v>
      </c>
      <c r="Z65" s="282">
        <f t="shared" si="18"/>
        <v>97970</v>
      </c>
      <c r="AA65" s="276">
        <f t="shared" si="19"/>
        <v>0</v>
      </c>
      <c r="AB65" s="276">
        <f t="shared" si="20"/>
        <v>2222</v>
      </c>
      <c r="AC65" s="276">
        <f t="shared" si="21"/>
        <v>36397.48923611112</v>
      </c>
      <c r="AD65" s="283">
        <f t="shared" ref="AD65:AD80" si="23">SUM(Z65:AC65)</f>
        <v>136589.48923611111</v>
      </c>
    </row>
    <row r="66" spans="1:30">
      <c r="A66" s="195">
        <v>2021</v>
      </c>
      <c r="B66" s="188">
        <f>SUMIF('S2 Bio'!$C$3:$C$512,A66,'S2 Bio'!$S$3:$S$512)</f>
        <v>62.656327440000005</v>
      </c>
      <c r="C66" s="188">
        <f>SUMIF('S2 Bio'!$C$3:$C$512,A66,'S2 Bio'!$T$3:$T$512)</f>
        <v>21.630984959999996</v>
      </c>
      <c r="D66" s="188">
        <f>SUMIF('S2 Bio'!$C$3:$C$512,A66,'S2 Bio'!$U$3:$U$512)</f>
        <v>101.4804070000875</v>
      </c>
      <c r="E66" s="189">
        <f>SUMIF('S2 Bio'!$C$3:$C$512,A66,'S2 Bio'!$V$3:$V$512)</f>
        <v>43.121723076923082</v>
      </c>
      <c r="F66" s="188">
        <f>SUMIF('S2 Bio'!$C$3:$C$512,A66,'S2 Bio'!$W$3:$W$512)</f>
        <v>244.68540464823838</v>
      </c>
      <c r="G66" s="188">
        <f>SUMIF('S2 Bio'!$C$3:$C$512,A66,'S2 Bio'!$X$3:$X$512)</f>
        <v>3.2410057319999996</v>
      </c>
      <c r="H66" s="188">
        <f>SUMIF('S2 Bio'!$C$3:$C$512,A66,'S2 Bio'!$Y$3:$Y$512)</f>
        <v>1.1720328695043731</v>
      </c>
      <c r="I66" s="196">
        <f t="shared" si="22"/>
        <v>477.9878857267534</v>
      </c>
      <c r="V66" s="282">
        <f>SUMIFS('S2 Bio'!$I$3:$I$512,'S2 Bio'!$C$3:$C$512,$A$66,'S2 Bio'!$D$3:$D$512,"pom")</f>
        <v>92344</v>
      </c>
      <c r="W66" s="276">
        <f>SUMIF('S2 Bio'!$C$3:$C$512,$A$66,'S2 Bio'!$J$3:$J$512)</f>
        <v>10106.425655976675</v>
      </c>
      <c r="X66" s="276">
        <f>SUMIF('S2 Bio'!$C$3:$C$512,$A$6,'S2 Bio'!$L$3:$L$512)</f>
        <v>4507.8187288629742</v>
      </c>
      <c r="Y66" s="283">
        <f>SUMIFS('S2 Bio'!$E$3:$E$512,'S2 Bio'!$C$3:$C$512,$A$66,'S2 Bio'!$D$3:$D$512,"sähkö")/1000</f>
        <v>415.34305555555557</v>
      </c>
      <c r="Z66" s="282">
        <f t="shared" si="18"/>
        <v>89573.68</v>
      </c>
      <c r="AA66" s="276">
        <f t="shared" si="19"/>
        <v>16675.602332361512</v>
      </c>
      <c r="AB66" s="276">
        <f t="shared" si="20"/>
        <v>2253.9093644314871</v>
      </c>
      <c r="AC66" s="276">
        <f t="shared" si="21"/>
        <v>36757.86041666667</v>
      </c>
      <c r="AD66" s="283">
        <f t="shared" si="23"/>
        <v>145261.05211345965</v>
      </c>
    </row>
    <row r="67" spans="1:30">
      <c r="A67" s="195">
        <v>2022</v>
      </c>
      <c r="B67" s="188">
        <f>SUMIF('S2 Bio'!$C$3:$C$512,A67,'S2 Bio'!$S$3:$S$512)</f>
        <v>58.751276220000001</v>
      </c>
      <c r="C67" s="188">
        <f>SUMIF('S2 Bio'!$C$3:$C$512,A67,'S2 Bio'!$T$3:$T$512)</f>
        <v>36.764012479999984</v>
      </c>
      <c r="D67" s="188">
        <f>SUMIF('S2 Bio'!$C$3:$C$512,A67,'S2 Bio'!$U$3:$U$512)</f>
        <v>101.45055982155806</v>
      </c>
      <c r="E67" s="189">
        <f>SUMIF('S2 Bio'!$C$3:$C$512,A67,'S2 Bio'!$V$3:$V$512)</f>
        <v>43.121723076923082</v>
      </c>
      <c r="F67" s="188">
        <f>SUMIF('S2 Bio'!$C$3:$C$512,A67,'S2 Bio'!$W$3:$W$512)</f>
        <v>229.43540393836915</v>
      </c>
      <c r="G67" s="188">
        <f>SUMIF('S2 Bio'!$C$3:$C$512,A67,'S2 Bio'!$X$3:$X$512)</f>
        <v>3.2727802980000003</v>
      </c>
      <c r="H67" s="188">
        <f>SUMIF('S2 Bio'!$C$3:$C$512,A67,'S2 Bio'!$Y$3:$Y$512)</f>
        <v>1.1870778147327503</v>
      </c>
      <c r="I67" s="196">
        <f t="shared" si="22"/>
        <v>473.98283364958297</v>
      </c>
      <c r="V67" s="282">
        <f>SUMIFS('S2 Bio'!$I$3:$I$512,'S2 Bio'!$C$3:$C$512,$A$67,'S2 Bio'!$D$3:$D$512,"pom")</f>
        <v>86588.666666666672</v>
      </c>
      <c r="W67" s="276">
        <f>SUMIF('S2 Bio'!$C$3:$C$512,$A$67,'S2 Bio'!$J$3:$J$512)</f>
        <v>17176.876579203112</v>
      </c>
      <c r="X67" s="276">
        <f>SUMIF('S2 Bio'!$C$3:$C$512,$A$7,'S2 Bio'!$L$3:$L$512)</f>
        <v>4565.6839028182703</v>
      </c>
      <c r="Y67" s="283">
        <f>SUMIFS('S2 Bio'!$E$3:$E$512,'S2 Bio'!$C$3:$C$512,$A$67,'S2 Bio'!$D$3:$D$512,"sähkö")/1000</f>
        <v>419.41504629629628</v>
      </c>
      <c r="Z67" s="282">
        <f t="shared" si="18"/>
        <v>83991.006666666668</v>
      </c>
      <c r="AA67" s="276">
        <f t="shared" si="19"/>
        <v>28341.846355685131</v>
      </c>
      <c r="AB67" s="276">
        <f t="shared" si="20"/>
        <v>2282.8419514091352</v>
      </c>
      <c r="AC67" s="276">
        <f t="shared" si="21"/>
        <v>37118.231597222228</v>
      </c>
      <c r="AD67" s="283">
        <f t="shared" si="23"/>
        <v>151733.92657098317</v>
      </c>
    </row>
    <row r="68" spans="1:30">
      <c r="A68" s="195">
        <v>2023</v>
      </c>
      <c r="B68" s="188">
        <f>SUMIF('S2 Bio'!$C$3:$C$512,A68,'S2 Bio'!$S$3:$S$512)</f>
        <v>54.758471039999989</v>
      </c>
      <c r="C68" s="188">
        <f>SUMIF('S2 Bio'!$C$3:$C$512,A68,'S2 Bio'!$T$3:$T$512)</f>
        <v>52.18676735999999</v>
      </c>
      <c r="D68" s="188">
        <f>SUMIF('S2 Bio'!$C$3:$C$512,A68,'S2 Bio'!$U$3:$U$512)</f>
        <v>101.4111615458992</v>
      </c>
      <c r="E68" s="189">
        <f>SUMIF('S2 Bio'!$C$3:$C$512,A68,'S2 Bio'!$V$3:$V$512)</f>
        <v>43.121723076923082</v>
      </c>
      <c r="F68" s="188">
        <f>SUMIF('S2 Bio'!$C$3:$C$512,A68,'S2 Bio'!$W$3:$W$512)</f>
        <v>213.84270658333438</v>
      </c>
      <c r="G68" s="188">
        <f>SUMIF('S2 Bio'!$C$3:$C$512,A68,'S2 Bio'!$X$3:$X$512)</f>
        <v>3.304554864</v>
      </c>
      <c r="H68" s="188">
        <f>SUMIF('S2 Bio'!$C$3:$C$512,A68,'S2 Bio'!$Y$3:$Y$512)</f>
        <v>1.202191777959184</v>
      </c>
      <c r="I68" s="196">
        <f t="shared" si="22"/>
        <v>469.8275762481158</v>
      </c>
      <c r="V68" s="282">
        <f>SUMIFS('S2 Bio'!$I$3:$I$512,'S2 Bio'!$C$3:$C$512,$A$68,'S2 Bio'!$D$3:$D$512,"pom")</f>
        <v>80704</v>
      </c>
      <c r="W68" s="276">
        <f>SUMIF('S2 Bio'!$C$3:$C$512,$A$68,'S2 Bio'!$J$3:$J$512)</f>
        <v>24382.693877551024</v>
      </c>
      <c r="X68" s="276">
        <f>SUMIF('S2 Bio'!$C$3:$C$512,$A$8,'S2 Bio'!$L$3:$L$512)</f>
        <v>4623.814530612246</v>
      </c>
      <c r="Y68" s="283">
        <f>SUMIFS('S2 Bio'!$E$3:$E$512,'S2 Bio'!$C$3:$C$512,$A$68,'S2 Bio'!$D$3:$D$512,"sähkö")/1000</f>
        <v>423.487037037037</v>
      </c>
      <c r="Z68" s="282">
        <f t="shared" si="18"/>
        <v>78282.880000000005</v>
      </c>
      <c r="AA68" s="276">
        <f t="shared" si="19"/>
        <v>40231.444897959191</v>
      </c>
      <c r="AB68" s="276">
        <f t="shared" si="20"/>
        <v>2311.907265306123</v>
      </c>
      <c r="AC68" s="276">
        <f t="shared" si="21"/>
        <v>37478.602777777778</v>
      </c>
      <c r="AD68" s="283">
        <f t="shared" si="23"/>
        <v>158304.83494104311</v>
      </c>
    </row>
    <row r="69" spans="1:30">
      <c r="A69" s="195">
        <v>2024</v>
      </c>
      <c r="B69" s="188">
        <f>SUMIF('S2 Bio'!$C$3:$C$512,A69,'S2 Bio'!$S$3:$S$512)</f>
        <v>50.677911900000012</v>
      </c>
      <c r="C69" s="188">
        <f>SUMIF('S2 Bio'!$C$3:$C$512,A69,'S2 Bio'!$T$3:$T$512)</f>
        <v>67.89924959999999</v>
      </c>
      <c r="D69" s="188">
        <f>SUMIF('S2 Bio'!$C$3:$C$512,A69,'S2 Bio'!$U$3:$U$512)</f>
        <v>101.3624061797714</v>
      </c>
      <c r="E69" s="189">
        <f>SUMIF('S2 Bio'!$C$3:$C$512,A69,'S2 Bio'!$V$3:$V$512)</f>
        <v>43.121723076923082</v>
      </c>
      <c r="F69" s="188">
        <f>SUMIF('S2 Bio'!$C$3:$C$512,A69,'S2 Bio'!$W$3:$W$512)</f>
        <v>197.907312583134</v>
      </c>
      <c r="G69" s="188">
        <f>SUMIF('S2 Bio'!$C$3:$C$512,A69,'S2 Bio'!$X$3:$X$512)</f>
        <v>3.3363294300000002</v>
      </c>
      <c r="H69" s="188">
        <f>SUMIF('S2 Bio'!$C$3:$C$512,A69,'S2 Bio'!$Y$3:$Y$512)</f>
        <v>1.2173747591836734</v>
      </c>
      <c r="I69" s="196">
        <f t="shared" si="22"/>
        <v>465.52230752901215</v>
      </c>
      <c r="V69" s="282">
        <f>SUMIFS('S2 Bio'!$I$3:$I$512,'S2 Bio'!$C$3:$C$512,$A$69,'S2 Bio'!$D$3:$D$512,"pom")</f>
        <v>74690.000000000015</v>
      </c>
      <c r="W69" s="276">
        <f>SUMIF('S2 Bio'!$C$3:$C$512,$A$69,'S2 Bio'!$J$3:$J$512)</f>
        <v>31723.87755102041</v>
      </c>
      <c r="X69" s="276">
        <f>SUMIF('S2 Bio'!$C$3:$C$512,$A$9,'S2 Bio'!$L$3:$L$512)</f>
        <v>4682.2106122448986</v>
      </c>
      <c r="Y69" s="283">
        <f>SUMIFS('S2 Bio'!$E$3:$E$512,'S2 Bio'!$C$3:$C$512,$A$69,'S2 Bio'!$D$3:$D$512,"sähkö")/1000</f>
        <v>427.55902777777783</v>
      </c>
      <c r="Z69" s="282">
        <f t="shared" si="18"/>
        <v>72449.300000000017</v>
      </c>
      <c r="AA69" s="276">
        <f t="shared" si="19"/>
        <v>52344.397959183676</v>
      </c>
      <c r="AB69" s="276">
        <f t="shared" si="20"/>
        <v>2341.1053061224493</v>
      </c>
      <c r="AC69" s="276">
        <f t="shared" si="21"/>
        <v>37838.973958333343</v>
      </c>
      <c r="AD69" s="283">
        <f t="shared" si="23"/>
        <v>164973.77722363948</v>
      </c>
    </row>
    <row r="70" spans="1:30">
      <c r="A70" s="195">
        <v>2025</v>
      </c>
      <c r="B70" s="188">
        <f>SUMIF('S2 Bio'!$C$3:$C$512,A70,'S2 Bio'!$S$3:$S$512)</f>
        <v>46.509598800000013</v>
      </c>
      <c r="C70" s="188">
        <f>SUMIF('S2 Bio'!$C$3:$C$512,A70,'S2 Bio'!$T$3:$T$512)</f>
        <v>83.901459199999962</v>
      </c>
      <c r="D70" s="188">
        <f>SUMIF('S2 Bio'!$C$3:$C$512,A70,'S2 Bio'!$U$3:$U$512)</f>
        <v>101.30448480481151</v>
      </c>
      <c r="E70" s="189">
        <f>SUMIF('S2 Bio'!$C$3:$C$512,A70,'S2 Bio'!$V$3:$V$512)</f>
        <v>43.121723076923082</v>
      </c>
      <c r="F70" s="188">
        <f>SUMIF('S2 Bio'!$C$3:$C$512,A70,'S2 Bio'!$W$3:$W$512)</f>
        <v>181.62922193776805</v>
      </c>
      <c r="G70" s="188">
        <f>SUMIF('S2 Bio'!$C$3:$C$512,A70,'S2 Bio'!$X$3:$X$512)</f>
        <v>3.3681039959999999</v>
      </c>
      <c r="H70" s="188">
        <f>SUMIF('S2 Bio'!$C$3:$C$512,A70,'S2 Bio'!$Y$3:$Y$512)</f>
        <v>1.2326267584062198</v>
      </c>
      <c r="I70" s="196">
        <f t="shared" si="22"/>
        <v>461.06721857390886</v>
      </c>
      <c r="V70" s="282">
        <f>SUMIFS('S2 Bio'!$I$3:$I$512,'S2 Bio'!$C$3:$C$512,$A$70,'S2 Bio'!$D$3:$D$512,"pom")</f>
        <v>68546.666666666701</v>
      </c>
      <c r="W70" s="276">
        <f>SUMIF('S2 Bio'!$C$3:$C$512,$A$70,'S2 Bio'!$J$3:$J$512)</f>
        <v>39200.427599611277</v>
      </c>
      <c r="X70" s="276">
        <f>SUMIF('S2 Bio'!$C$3:$C$512,$A$10,'S2 Bio'!$L$3:$L$512)</f>
        <v>4740.8721477162289</v>
      </c>
      <c r="Y70" s="283">
        <f>SUMIFS('S2 Bio'!$E$3:$E$512,'S2 Bio'!$C$3:$C$512,$A$70,'S2 Bio'!$D$3:$D$512,"sähkö")/1000</f>
        <v>431.63101851851854</v>
      </c>
      <c r="Z70" s="282">
        <f t="shared" si="18"/>
        <v>66490.266666666692</v>
      </c>
      <c r="AA70" s="276">
        <f t="shared" si="19"/>
        <v>64680.705539358605</v>
      </c>
      <c r="AB70" s="276">
        <f t="shared" si="20"/>
        <v>2370.4360738581145</v>
      </c>
      <c r="AC70" s="276">
        <f t="shared" si="21"/>
        <v>38199.345138888893</v>
      </c>
      <c r="AD70" s="283">
        <f t="shared" si="23"/>
        <v>171740.75341877231</v>
      </c>
    </row>
    <row r="71" spans="1:30">
      <c r="A71" s="195">
        <v>2026</v>
      </c>
      <c r="B71" s="188">
        <f>SUMIF('S2 Bio'!$C$3:$C$512,A71,'S2 Bio'!$S$3:$S$512)</f>
        <v>42.253531739999993</v>
      </c>
      <c r="C71" s="188">
        <f>SUMIF('S2 Bio'!$C$3:$C$512,A71,'S2 Bio'!$T$3:$T$512)</f>
        <v>100.19339616000002</v>
      </c>
      <c r="D71" s="188">
        <f>SUMIF('S2 Bio'!$C$3:$C$512,A71,'S2 Bio'!$U$3:$U$512)</f>
        <v>101.23758561673287</v>
      </c>
      <c r="E71" s="189">
        <f>SUMIF('S2 Bio'!$C$3:$C$512,A71,'S2 Bio'!$V$3:$V$512)</f>
        <v>43.121723076923082</v>
      </c>
      <c r="F71" s="188">
        <f>SUMIF('S2 Bio'!$C$3:$C$512,A71,'S2 Bio'!$W$3:$W$512)</f>
        <v>165.00843464723638</v>
      </c>
      <c r="G71" s="188">
        <f>SUMIF('S2 Bio'!$C$3:$C$512,A71,'S2 Bio'!$X$3:$X$512)</f>
        <v>3.399878562</v>
      </c>
      <c r="H71" s="188">
        <f>SUMIF('S2 Bio'!$C$3:$C$512,A71,'S2 Bio'!$Y$3:$Y$512)</f>
        <v>1.2479477756268222</v>
      </c>
      <c r="I71" s="196">
        <f t="shared" si="22"/>
        <v>456.46249757851922</v>
      </c>
      <c r="V71" s="282">
        <f>SUMIFS('S2 Bio'!$I$3:$I$512,'S2 Bio'!$C$3:$C$512,$A$71,'S2 Bio'!$D$3:$D$512,"pom")</f>
        <v>62274.000000000007</v>
      </c>
      <c r="W71" s="276">
        <f>SUMIF('S2 Bio'!$C$3:$C$512,$A$71,'S2 Bio'!$J$3:$J$512)</f>
        <v>46812.344023323625</v>
      </c>
      <c r="X71" s="276">
        <f>SUMIF('S2 Bio'!$C$3:$C$512,$A$11,'S2 Bio'!$L$3:$L$512)</f>
        <v>4799.7991370262389</v>
      </c>
      <c r="Y71" s="283">
        <f>SUMIFS('S2 Bio'!$E$3:$E$512,'S2 Bio'!$C$3:$C$512,$A$71,'S2 Bio'!$D$3:$D$512,"sähkö")/1000</f>
        <v>435.70300925925932</v>
      </c>
      <c r="Z71" s="282">
        <f t="shared" si="18"/>
        <v>60405.780000000006</v>
      </c>
      <c r="AA71" s="276">
        <f t="shared" si="19"/>
        <v>77240.367638483978</v>
      </c>
      <c r="AB71" s="276">
        <f t="shared" si="20"/>
        <v>2399.8995685131194</v>
      </c>
      <c r="AC71" s="276">
        <f t="shared" si="21"/>
        <v>38559.716319444451</v>
      </c>
      <c r="AD71" s="283">
        <f t="shared" si="23"/>
        <v>178605.76352644156</v>
      </c>
    </row>
    <row r="72" spans="1:30">
      <c r="A72" s="195">
        <v>2027</v>
      </c>
      <c r="B72" s="188">
        <f>SUMIF('S2 Bio'!$C$3:$C$512,A72,'S2 Bio'!$S$3:$S$512)</f>
        <v>37.909710719999985</v>
      </c>
      <c r="C72" s="188">
        <f>SUMIF('S2 Bio'!$C$3:$C$512,A72,'S2 Bio'!$T$3:$T$512)</f>
        <v>116.77506047999999</v>
      </c>
      <c r="D72" s="188">
        <f>SUMIF('S2 Bio'!$C$3:$C$512,A72,'S2 Bio'!$U$3:$U$512)</f>
        <v>101.1618939639353</v>
      </c>
      <c r="E72" s="189">
        <f>SUMIF('S2 Bio'!$C$3:$C$512,A72,'S2 Bio'!$V$3:$V$512)</f>
        <v>43.121723076923082</v>
      </c>
      <c r="F72" s="188">
        <f>SUMIF('S2 Bio'!$C$3:$C$512,A72,'S2 Bio'!$W$3:$W$512)</f>
        <v>148.0449507115392</v>
      </c>
      <c r="G72" s="188">
        <f>SUMIF('S2 Bio'!$C$3:$C$512,A72,'S2 Bio'!$X$3:$X$512)</f>
        <v>3.4316531280000002</v>
      </c>
      <c r="H72" s="188">
        <f>SUMIF('S2 Bio'!$C$3:$C$512,A72,'S2 Bio'!$Y$3:$Y$512)</f>
        <v>1.2633378108454814</v>
      </c>
      <c r="I72" s="196">
        <f t="shared" si="22"/>
        <v>451.70832989124307</v>
      </c>
      <c r="V72" s="282">
        <f>SUMIFS('S2 Bio'!$I$3:$I$512,'S2 Bio'!$C$3:$C$512,$A$72,'S2 Bio'!$D$3:$D$512,"pom")</f>
        <v>55871.999999999985</v>
      </c>
      <c r="W72" s="276">
        <f>SUMIF('S2 Bio'!$C$3:$C$512,$A$72,'S2 Bio'!$J$3:$J$512)</f>
        <v>54559.626822157443</v>
      </c>
      <c r="X72" s="276">
        <f>SUMIF('S2 Bio'!$C$3:$C$512,$A$12,'S2 Bio'!$L$3:$L$512)</f>
        <v>4858.9915801749285</v>
      </c>
      <c r="Y72" s="283">
        <f>SUMIFS('S2 Bio'!$E$3:$E$512,'S2 Bio'!$C$3:$C$512,$A$72,'S2 Bio'!$D$3:$D$512,"sähkö")/1000</f>
        <v>439.77499999999998</v>
      </c>
      <c r="Z72" s="282">
        <f t="shared" si="18"/>
        <v>54195.839999999982</v>
      </c>
      <c r="AA72" s="276">
        <f t="shared" si="19"/>
        <v>90023.384256559773</v>
      </c>
      <c r="AB72" s="276">
        <f t="shared" si="20"/>
        <v>2429.4957900874642</v>
      </c>
      <c r="AC72" s="276">
        <f t="shared" si="21"/>
        <v>38920.087500000001</v>
      </c>
      <c r="AD72" s="283">
        <f t="shared" si="23"/>
        <v>185568.80754664721</v>
      </c>
    </row>
    <row r="73" spans="1:30">
      <c r="A73" s="195">
        <v>2028</v>
      </c>
      <c r="B73" s="188">
        <f>SUMIF('S2 Bio'!$C$3:$C$512,A73,'S2 Bio'!$S$3:$S$512)</f>
        <v>33.478135739999992</v>
      </c>
      <c r="C73" s="188">
        <f>SUMIF('S2 Bio'!$C$3:$C$512,A73,'S2 Bio'!$T$3:$T$512)</f>
        <v>133.64645216000002</v>
      </c>
      <c r="D73" s="188">
        <f>SUMIF('S2 Bio'!$C$3:$C$512,A73,'S2 Bio'!$U$3:$U$512)</f>
        <v>101.07759238563203</v>
      </c>
      <c r="E73" s="189">
        <f>SUMIF('S2 Bio'!$C$3:$C$512,A73,'S2 Bio'!$V$3:$V$512)</f>
        <v>43.121723076923082</v>
      </c>
      <c r="F73" s="188">
        <f>SUMIF('S2 Bio'!$C$3:$C$512,A73,'S2 Bio'!$W$3:$W$512)</f>
        <v>130.73877013067641</v>
      </c>
      <c r="G73" s="188">
        <f>SUMIF('S2 Bio'!$C$3:$C$512,A73,'S2 Bio'!$X$3:$X$512)</f>
        <v>3.4634276940000004</v>
      </c>
      <c r="H73" s="188">
        <f>SUMIF('S2 Bio'!$C$3:$C$512,A73,'S2 Bio'!$Y$3:$Y$512)</f>
        <v>1.2787968640621965</v>
      </c>
      <c r="I73" s="196">
        <f t="shared" si="22"/>
        <v>446.80489805129378</v>
      </c>
      <c r="V73" s="282">
        <f>SUMIFS('S2 Bio'!$I$3:$I$512,'S2 Bio'!$C$3:$C$512,$A$73,'S2 Bio'!$D$3:$D$512,"pom")</f>
        <v>49340.666666666664</v>
      </c>
      <c r="W73" s="276">
        <f>SUMIF('S2 Bio'!$C$3:$C$512,$A$73,'S2 Bio'!$J$3:$J$512)</f>
        <v>62442.275996112738</v>
      </c>
      <c r="X73" s="276">
        <f>SUMIF('S2 Bio'!$C$3:$C$512,$A$13,'S2 Bio'!$L$3:$L$512)</f>
        <v>4918.449477162294</v>
      </c>
      <c r="Y73" s="283">
        <f>SUMIFS('S2 Bio'!$E$3:$E$512,'S2 Bio'!$C$3:$C$512,$A$73,'S2 Bio'!$D$3:$D$512,"sähkö")/1000</f>
        <v>443.84699074074075</v>
      </c>
      <c r="Z73" s="282">
        <f t="shared" si="18"/>
        <v>47860.446666666663</v>
      </c>
      <c r="AA73" s="276">
        <f t="shared" si="19"/>
        <v>103029.75539358601</v>
      </c>
      <c r="AB73" s="276">
        <f t="shared" si="20"/>
        <v>2459.224738581147</v>
      </c>
      <c r="AC73" s="276">
        <f t="shared" si="21"/>
        <v>39280.458680555559</v>
      </c>
      <c r="AD73" s="283">
        <f t="shared" si="23"/>
        <v>192629.88547938934</v>
      </c>
    </row>
    <row r="74" spans="1:30">
      <c r="A74" s="195">
        <v>2029</v>
      </c>
      <c r="B74" s="188">
        <f>SUMIF('S2 Bio'!$C$3:$C$512,A74,'S2 Bio'!$S$3:$S$512)</f>
        <v>28.958806800000009</v>
      </c>
      <c r="C74" s="188">
        <f>SUMIF('S2 Bio'!$C$3:$C$512,A74,'S2 Bio'!$T$3:$T$512)</f>
        <v>150.80757119999998</v>
      </c>
      <c r="D74" s="188">
        <f>SUMIF('S2 Bio'!$C$3:$C$512,A74,'S2 Bio'!$U$3:$U$512)</f>
        <v>100.98486064949843</v>
      </c>
      <c r="E74" s="189">
        <f>SUMIF('S2 Bio'!$C$3:$C$512,A74,'S2 Bio'!$V$3:$V$512)</f>
        <v>43.121723076923082</v>
      </c>
      <c r="F74" s="188">
        <f>SUMIF('S2 Bio'!$C$3:$C$512,A74,'S2 Bio'!$W$3:$W$512)</f>
        <v>113.08989290464805</v>
      </c>
      <c r="G74" s="188">
        <f>SUMIF('S2 Bio'!$C$3:$C$512,A74,'S2 Bio'!$X$3:$X$512)</f>
        <v>3.4952022600000006</v>
      </c>
      <c r="H74" s="188">
        <f>SUMIF('S2 Bio'!$C$3:$C$512,A74,'S2 Bio'!$Y$3:$Y$512)</f>
        <v>1.2943249352769679</v>
      </c>
      <c r="I74" s="196">
        <f t="shared" si="22"/>
        <v>441.75238182634655</v>
      </c>
      <c r="V74" s="282">
        <f>SUMIFS('S2 Bio'!$I$3:$I$512,'S2 Bio'!$C$3:$C$512,$A$74,'S2 Bio'!$D$3:$D$512,"pom")</f>
        <v>42680.000000000007</v>
      </c>
      <c r="W74" s="276">
        <f>SUMIF('S2 Bio'!$C$3:$C$512,$A$74,'S2 Bio'!$J$3:$J$512)</f>
        <v>70460.291545189524</v>
      </c>
      <c r="X74" s="276">
        <f>SUMIF('S2 Bio'!$C$3:$C$512,$A$14,'S2 Bio'!$L$3:$L$512)</f>
        <v>4978.1728279883382</v>
      </c>
      <c r="Y74" s="283">
        <f>SUMIFS('S2 Bio'!$E$3:$E$512,'S2 Bio'!$C$3:$C$512,$A$74,'S2 Bio'!$D$3:$D$512,"sähkö")/1000</f>
        <v>447.91898148148152</v>
      </c>
      <c r="Z74" s="282">
        <f t="shared" si="18"/>
        <v>41399.600000000006</v>
      </c>
      <c r="AA74" s="276">
        <f t="shared" si="19"/>
        <v>116259.4810495627</v>
      </c>
      <c r="AB74" s="276">
        <f t="shared" si="20"/>
        <v>2489.0864139941691</v>
      </c>
      <c r="AC74" s="276">
        <f t="shared" si="21"/>
        <v>39640.829861111117</v>
      </c>
      <c r="AD74" s="283">
        <f t="shared" si="23"/>
        <v>199788.99732466802</v>
      </c>
    </row>
    <row r="75" spans="1:30">
      <c r="A75" s="195">
        <v>2030</v>
      </c>
      <c r="B75" s="188">
        <f>SUMIF('S2 Bio'!$C$3:$C$512,A75,'S2 Bio'!$S$3:$S$512)</f>
        <v>24.351723900000014</v>
      </c>
      <c r="C75" s="188">
        <f>SUMIF('S2 Bio'!$C$3:$C$512,A75,'S2 Bio'!$T$3:$T$512)</f>
        <v>168.25841760000003</v>
      </c>
      <c r="D75" s="188">
        <f>SUMIF('S2 Bio'!$C$3:$C$512,A75,'S2 Bio'!$U$3:$U$512)</f>
        <v>100.88387578884894</v>
      </c>
      <c r="E75" s="189">
        <f>SUMIF('S2 Bio'!$C$3:$C$512,A75,'S2 Bio'!$V$3:$V$512)</f>
        <v>43.121723076923082</v>
      </c>
      <c r="F75" s="188">
        <f>SUMIF('S2 Bio'!$C$3:$C$512,A75,'S2 Bio'!$W$3:$W$512)</f>
        <v>95.098319033454018</v>
      </c>
      <c r="G75" s="188">
        <f>SUMIF('S2 Bio'!$C$3:$C$512,A75,'S2 Bio'!$X$3:$X$512)</f>
        <v>3.5269768260000007</v>
      </c>
      <c r="H75" s="188">
        <f>SUMIF('S2 Bio'!$C$3:$C$512,A75,'S2 Bio'!$Y$3:$Y$512)</f>
        <v>1.3099220244897962</v>
      </c>
      <c r="I75" s="196">
        <f t="shared" si="22"/>
        <v>436.55095824971596</v>
      </c>
      <c r="V75" s="282">
        <f>SUMIFS('S2 Bio'!$I$3:$I$512,'S2 Bio'!$C$3:$C$512,$A$75,'S2 Bio'!$D$3:$D$512,"pom")</f>
        <v>35890.000000000007</v>
      </c>
      <c r="W75" s="276">
        <f>SUMIF('S2 Bio'!$C$3:$C$512,$A$75,'S2 Bio'!$J$3:$J$512)</f>
        <v>78613.673469387766</v>
      </c>
      <c r="X75" s="276">
        <f>SUMIF('S2 Bio'!$C$3:$C$512,$A$15,'S2 Bio'!$L$3:$L$512)</f>
        <v>5038.1616326530639</v>
      </c>
      <c r="Y75" s="283">
        <f>SUMIFS('S2 Bio'!$E$3:$E$512,'S2 Bio'!$C$3:$C$512,$A$75,'S2 Bio'!$D$3:$D$512,"sähkö")/1000</f>
        <v>451.99097222222224</v>
      </c>
      <c r="Z75" s="282">
        <f t="shared" si="18"/>
        <v>34813.300000000003</v>
      </c>
      <c r="AA75" s="276">
        <f t="shared" si="19"/>
        <v>129712.56122448981</v>
      </c>
      <c r="AB75" s="276">
        <f t="shared" si="20"/>
        <v>2519.0808163265319</v>
      </c>
      <c r="AC75" s="276">
        <f t="shared" si="21"/>
        <v>40001.201041666674</v>
      </c>
      <c r="AD75" s="283">
        <f t="shared" si="23"/>
        <v>207046.14308248303</v>
      </c>
    </row>
    <row r="76" spans="1:30">
      <c r="A76" s="195">
        <v>2031</v>
      </c>
      <c r="B76" s="188">
        <f>SUMIF('S2 Bio'!$C$3:$C$512,A76,'S2 Bio'!$S$3:$S$512)</f>
        <v>19.656887040000012</v>
      </c>
      <c r="C76" s="188">
        <f>SUMIF('S2 Bio'!$C$3:$C$512,A76,'S2 Bio'!$T$3:$T$512)</f>
        <v>185.99899136000002</v>
      </c>
      <c r="D76" s="188">
        <f>SUMIF('S2 Bio'!$C$3:$C$512,A76,'S2 Bio'!$U$3:$U$512)</f>
        <v>100.77481213934747</v>
      </c>
      <c r="E76" s="189">
        <f>SUMIF('S2 Bio'!$C$3:$C$512,A76,'S2 Bio'!$V$3:$V$512)</f>
        <v>43.121723076923082</v>
      </c>
      <c r="F76" s="188">
        <f>SUMIF('S2 Bio'!$C$3:$C$512,A76,'S2 Bio'!$W$3:$W$512)</f>
        <v>76.764048517094437</v>
      </c>
      <c r="G76" s="188">
        <f>SUMIF('S2 Bio'!$C$3:$C$512,A76,'S2 Bio'!$X$3:$X$512)</f>
        <v>3.5587513920000009</v>
      </c>
      <c r="H76" s="188">
        <f>SUMIF('S2 Bio'!$C$3:$C$512,A76,'S2 Bio'!$Y$3:$Y$512)</f>
        <v>1.3255881317006808</v>
      </c>
      <c r="I76" s="196">
        <f t="shared" si="22"/>
        <v>431.20080165706565</v>
      </c>
      <c r="V76" s="282">
        <f>SUMIFS('S2 Bio'!$I$3:$I$512,'S2 Bio'!$C$3:$C$512,$A$76,'S2 Bio'!$D$3:$D$512,"pom")</f>
        <v>28970.666666666686</v>
      </c>
      <c r="W76" s="276">
        <f>SUMIF('S2 Bio'!$C$3:$C$512,$A$76,'S2 Bio'!$J$3:$J$512)</f>
        <v>86902.421768707514</v>
      </c>
      <c r="X76" s="276">
        <f>SUMIF('S2 Bio'!$C$3:$C$512,$A$16,'S2 Bio'!$L$3:$L$512)</f>
        <v>5098.4158911564646</v>
      </c>
      <c r="Y76" s="283">
        <f>SUMIFS('S2 Bio'!$E$3:$E$512,'S2 Bio'!$C$3:$C$512,$A$76,'S2 Bio'!$D$3:$D$512,"sähkö")/1000</f>
        <v>456.06296296296301</v>
      </c>
      <c r="Z76" s="282">
        <f t="shared" si="18"/>
        <v>28101.546666666683</v>
      </c>
      <c r="AA76" s="276">
        <f t="shared" si="19"/>
        <v>143388.99591836738</v>
      </c>
      <c r="AB76" s="276">
        <f t="shared" si="20"/>
        <v>2549.2079455782323</v>
      </c>
      <c r="AC76" s="276">
        <f t="shared" si="21"/>
        <v>40361.572222222232</v>
      </c>
      <c r="AD76" s="283">
        <f t="shared" si="23"/>
        <v>214401.32275283453</v>
      </c>
    </row>
    <row r="77" spans="1:30">
      <c r="A77" s="195">
        <v>2032</v>
      </c>
      <c r="B77" s="188">
        <f>SUMIF('S2 Bio'!$C$3:$C$512,A77,'S2 Bio'!$S$3:$S$512)</f>
        <v>14.874296219999989</v>
      </c>
      <c r="C77" s="188">
        <f>SUMIF('S2 Bio'!$C$3:$C$512,A77,'S2 Bio'!$T$3:$T$512)</f>
        <v>204.02929247999995</v>
      </c>
      <c r="D77" s="188">
        <f>SUMIF('S2 Bio'!$C$3:$C$512,A77,'S2 Bio'!$U$3:$U$512)</f>
        <v>100.65784137525714</v>
      </c>
      <c r="E77" s="189">
        <f>SUMIF('S2 Bio'!$C$3:$C$512,A77,'S2 Bio'!$V$3:$V$512)</f>
        <v>43.121723076923082</v>
      </c>
      <c r="F77" s="188">
        <f>SUMIF('S2 Bio'!$C$3:$C$512,A77,'S2 Bio'!$W$3:$W$512)</f>
        <v>58.08708135556919</v>
      </c>
      <c r="G77" s="188">
        <f>SUMIF('S2 Bio'!$C$3:$C$512,A77,'S2 Bio'!$X$3:$X$512)</f>
        <v>3.5905259579999989</v>
      </c>
      <c r="H77" s="188">
        <f>SUMIF('S2 Bio'!$C$3:$C$512,A77,'S2 Bio'!$Y$3:$Y$512)</f>
        <v>1.3413232569096212</v>
      </c>
      <c r="I77" s="196">
        <f t="shared" si="22"/>
        <v>425.70208372265898</v>
      </c>
      <c r="V77" s="282">
        <f>SUMIFS('S2 Bio'!$I$3:$I$512,'S2 Bio'!$C$3:$C$512,$A$77,'S2 Bio'!$D$3:$D$512,"pom")</f>
        <v>21921.999999999996</v>
      </c>
      <c r="W77" s="276">
        <f>SUMIF('S2 Bio'!$C$3:$C$512,$A$77,'S2 Bio'!$J$3:$J$512)</f>
        <v>95326.536443148667</v>
      </c>
      <c r="X77" s="276">
        <f>SUMIF('S2 Bio'!$C$3:$C$512,$A$17,'S2 Bio'!$L$3:$L$512)</f>
        <v>5158.9356034985422</v>
      </c>
      <c r="Y77" s="283">
        <f>SUMIFS('S2 Bio'!$E$3:$E$512,'S2 Bio'!$C$3:$C$512,$A$77,'S2 Bio'!$D$3:$D$512,"sähkö")/1000</f>
        <v>460.13495370370367</v>
      </c>
      <c r="Z77" s="282">
        <f t="shared" si="18"/>
        <v>21264.339999999997</v>
      </c>
      <c r="AA77" s="276">
        <f t="shared" si="19"/>
        <v>157288.7851311953</v>
      </c>
      <c r="AB77" s="276">
        <f t="shared" si="20"/>
        <v>2579.4678017492711</v>
      </c>
      <c r="AC77" s="276">
        <f t="shared" si="21"/>
        <v>40721.943402777775</v>
      </c>
      <c r="AD77" s="283">
        <f t="shared" si="23"/>
        <v>221854.53633572234</v>
      </c>
    </row>
    <row r="78" spans="1:30">
      <c r="A78" s="195">
        <v>2033</v>
      </c>
      <c r="B78" s="188">
        <f>SUMIF('S2 Bio'!$C$3:$C$512,A78,'S2 Bio'!$S$3:$S$512)</f>
        <v>10.003951439999994</v>
      </c>
      <c r="C78" s="188">
        <f>SUMIF('S2 Bio'!$C$3:$C$512,A78,'S2 Bio'!$T$3:$T$512)</f>
        <v>222.34932095999997</v>
      </c>
      <c r="D78" s="188">
        <f>SUMIF('S2 Bio'!$C$3:$C$512,A78,'S2 Bio'!$U$3:$U$512)</f>
        <v>100.53313254523472</v>
      </c>
      <c r="E78" s="189">
        <f>SUMIF('S2 Bio'!$C$3:$C$512,A78,'S2 Bio'!$V$3:$V$512)</f>
        <v>43.121723076923082</v>
      </c>
      <c r="F78" s="188">
        <f>SUMIF('S2 Bio'!$C$3:$C$512,A78,'S2 Bio'!$W$3:$W$512)</f>
        <v>39.067417548878396</v>
      </c>
      <c r="G78" s="188">
        <f>SUMIF('S2 Bio'!$C$3:$C$512,A78,'S2 Bio'!$X$3:$X$512)</f>
        <v>3.6223005240000012</v>
      </c>
      <c r="H78" s="188">
        <f>SUMIF('S2 Bio'!$C$3:$C$512,A78,'S2 Bio'!$Y$3:$Y$512)</f>
        <v>1.3571274001166189</v>
      </c>
      <c r="I78" s="196">
        <f t="shared" si="22"/>
        <v>420.05497349515281</v>
      </c>
      <c r="V78" s="282">
        <f>SUMIFS('S2 Bio'!$I$3:$I$512,'S2 Bio'!$C$3:$C$512,$A$78,'S2 Bio'!$D$3:$D$512,"pom")</f>
        <v>14743.999999999998</v>
      </c>
      <c r="W78" s="276">
        <f>SUMIF('S2 Bio'!$C$3:$C$512,$A$78,'S2 Bio'!$J$3:$J$512)</f>
        <v>103886.0174927114</v>
      </c>
      <c r="X78" s="276">
        <f>SUMIF('S2 Bio'!$C$3:$C$512,$A$18,'S2 Bio'!$L$3:$L$512)</f>
        <v>5219.7207696793021</v>
      </c>
      <c r="Y78" s="283">
        <f>SUMIFS('S2 Bio'!$E$3:$E$512,'S2 Bio'!$C$3:$C$512,$A$78,'S2 Bio'!$D$3:$D$512,"sähkö")/1000</f>
        <v>464.2069444444445</v>
      </c>
      <c r="Z78" s="282">
        <f t="shared" si="18"/>
        <v>14301.679999999998</v>
      </c>
      <c r="AA78" s="276">
        <f t="shared" si="19"/>
        <v>171411.92886297379</v>
      </c>
      <c r="AB78" s="276">
        <f t="shared" si="20"/>
        <v>2609.860384839651</v>
      </c>
      <c r="AC78" s="276">
        <f t="shared" si="21"/>
        <v>41082.31458333334</v>
      </c>
      <c r="AD78" s="283">
        <f t="shared" si="23"/>
        <v>229405.78383114678</v>
      </c>
    </row>
    <row r="79" spans="1:30">
      <c r="A79" s="195">
        <v>2034</v>
      </c>
      <c r="B79" s="188">
        <f>SUMIF('S2 Bio'!$C$3:$C$512,A79,'S2 Bio'!$S$3:$S$512)</f>
        <v>5.0458526999999984</v>
      </c>
      <c r="C79" s="188">
        <f>SUMIF('S2 Bio'!$C$3:$C$512,A79,'S2 Bio'!$T$3:$T$512)</f>
        <v>240.95907680000005</v>
      </c>
      <c r="D79" s="188">
        <f>SUMIF('S2 Bio'!$C$3:$C$512,A79,'S2 Bio'!$U$3:$U$512)</f>
        <v>100.40085210767519</v>
      </c>
      <c r="E79" s="189">
        <f>SUMIF('S2 Bio'!$C$3:$C$512,A79,'S2 Bio'!$V$3:$V$512)</f>
        <v>43.121723076923082</v>
      </c>
      <c r="F79" s="188">
        <f>SUMIF('S2 Bio'!$C$3:$C$512,A79,'S2 Bio'!$W$3:$W$512)</f>
        <v>19.705057097021989</v>
      </c>
      <c r="G79" s="188">
        <f>SUMIF('S2 Bio'!$C$3:$C$512,A79,'S2 Bio'!$X$3:$X$512)</f>
        <v>3.654075090000001</v>
      </c>
      <c r="H79" s="188">
        <f>SUMIF('S2 Bio'!$C$3:$C$512,A79,'S2 Bio'!$Y$3:$Y$512)</f>
        <v>1.3730005613216718</v>
      </c>
      <c r="I79" s="196">
        <f t="shared" si="22"/>
        <v>414.25963743294199</v>
      </c>
      <c r="V79" s="282">
        <f>SUMIFS('S2 Bio'!$I$3:$I$512,'S2 Bio'!$C$3:$C$512,$A$79,'S2 Bio'!$D$3:$D$512,"pom")</f>
        <v>7436.6666666666642</v>
      </c>
      <c r="W79" s="276">
        <f>SUMIF('S2 Bio'!$C$3:$C$512,$A$79,'S2 Bio'!$J$3:$J$512)</f>
        <v>112580.86491739553</v>
      </c>
      <c r="X79" s="276">
        <f>SUMIF('S2 Bio'!$C$3:$C$512,$A$19,'S2 Bio'!$L$3:$L$512)</f>
        <v>5280.7713896987389</v>
      </c>
      <c r="Y79" s="283">
        <f>SUMIFS('S2 Bio'!$E$3:$E$512,'S2 Bio'!$C$3:$C$512,$A$79,'S2 Bio'!$D$3:$D$512,"sähkö")/1000</f>
        <v>468.27893518518516</v>
      </c>
      <c r="Z79" s="282">
        <f t="shared" si="18"/>
        <v>7213.5666666666639</v>
      </c>
      <c r="AA79" s="276">
        <f t="shared" si="19"/>
        <v>185758.42711370261</v>
      </c>
      <c r="AB79" s="276">
        <f t="shared" si="20"/>
        <v>2640.3856948493694</v>
      </c>
      <c r="AC79" s="276">
        <f t="shared" si="21"/>
        <v>41442.685763888891</v>
      </c>
      <c r="AD79" s="283">
        <f t="shared" si="23"/>
        <v>237055.06523910753</v>
      </c>
    </row>
    <row r="80" spans="1:30">
      <c r="A80" s="197">
        <v>2035</v>
      </c>
      <c r="B80" s="198">
        <f>SUMIF('S2 Bio'!$C$3:$C$512,A80,'S2 Bio'!$S$3:$S$512)</f>
        <v>0</v>
      </c>
      <c r="C80" s="198">
        <f>SUMIF('S2 Bio'!$C$3:$C$512,A80,'S2 Bio'!$T$3:$T$512)</f>
        <v>259.85856000000007</v>
      </c>
      <c r="D80" s="198">
        <f>SUMIF('S2 Bio'!$C$3:$C$512,A80,'S2 Bio'!$U$3:$U$512)</f>
        <v>100.26116396561231</v>
      </c>
      <c r="E80" s="200">
        <f>SUMIF('S2 Bio'!$C$3:$C$512,A80,'S2 Bio'!$V$3:$V$512)</f>
        <v>43.121723076923082</v>
      </c>
      <c r="F80" s="198">
        <f>SUMIF('S2 Bio'!$C$3:$C$512,A80,'S2 Bio'!$W$3:$W$512)</f>
        <v>0</v>
      </c>
      <c r="G80" s="198">
        <f>SUMIF('S2 Bio'!$C$3:$C$512,A80,'S2 Bio'!$X$3:$X$512)</f>
        <v>3.6858496560000003</v>
      </c>
      <c r="H80" s="198">
        <f>SUMIF('S2 Bio'!$C$3:$C$512,A80,'S2 Bio'!$Y$3:$Y$512)</f>
        <v>1.3889427405247816</v>
      </c>
      <c r="I80" s="199">
        <f t="shared" si="22"/>
        <v>408.31623943906027</v>
      </c>
      <c r="V80" s="284">
        <f>SUMIFS('S2 Bio'!$I$3:$I$512,'S2 Bio'!$C$3:$C$512,$A$80,'S2 Bio'!$D$3:$D$512,"pom")</f>
        <v>0</v>
      </c>
      <c r="W80" s="285">
        <f>SUMIF('S2 Bio'!$C$3:$C$512,$A$80,'S2 Bio'!$J$3:$J$512)</f>
        <v>121411.07871720118</v>
      </c>
      <c r="X80" s="285">
        <f>SUMIF('S2 Bio'!$C$3:$C$512,$A$20,'S2 Bio'!$L$3:$L$512)</f>
        <v>5342.0874635568534</v>
      </c>
      <c r="Y80" s="286">
        <f>SUMIFS('S2 Bio'!$E$3:$E$512,'S2 Bio'!$C$3:$C$512,$A$80,'S2 Bio'!$D$3:$D$512,"sähkö")/1000</f>
        <v>472.35092592592582</v>
      </c>
      <c r="Z80" s="284">
        <f t="shared" si="18"/>
        <v>0</v>
      </c>
      <c r="AA80" s="285">
        <f t="shared" si="19"/>
        <v>200328.27988338194</v>
      </c>
      <c r="AB80" s="285">
        <f t="shared" si="20"/>
        <v>2671.0437317784267</v>
      </c>
      <c r="AC80" s="285">
        <f t="shared" si="21"/>
        <v>41803.056944444441</v>
      </c>
      <c r="AD80" s="286">
        <f t="shared" si="23"/>
        <v>244802.38055960479</v>
      </c>
    </row>
    <row r="82" spans="1:30">
      <c r="A82" s="190" t="s">
        <v>7</v>
      </c>
      <c r="B82" s="191"/>
      <c r="C82" s="191"/>
      <c r="D82" s="191"/>
      <c r="E82" s="191"/>
      <c r="F82" s="191"/>
      <c r="G82" s="191"/>
      <c r="H82" s="191"/>
      <c r="I82" s="192"/>
      <c r="V82" s="278"/>
      <c r="W82" s="278"/>
      <c r="X82" s="278"/>
      <c r="Y82" s="279"/>
      <c r="Z82" s="277"/>
      <c r="AA82" s="278"/>
      <c r="AB82" s="278"/>
      <c r="AC82" s="278"/>
      <c r="AD82" s="279"/>
    </row>
    <row r="83" spans="1:30" ht="55.2">
      <c r="A83" s="193" t="s">
        <v>42</v>
      </c>
      <c r="B83" s="187" t="s">
        <v>279</v>
      </c>
      <c r="C83" s="187" t="s">
        <v>280</v>
      </c>
      <c r="D83" s="187" t="s">
        <v>281</v>
      </c>
      <c r="E83" s="187" t="s">
        <v>282</v>
      </c>
      <c r="F83" s="187" t="s">
        <v>283</v>
      </c>
      <c r="G83" s="187" t="s">
        <v>284</v>
      </c>
      <c r="H83" s="187" t="s">
        <v>285</v>
      </c>
      <c r="I83" s="194" t="s">
        <v>313</v>
      </c>
      <c r="V83" s="275" t="s">
        <v>314</v>
      </c>
      <c r="W83" s="275" t="s">
        <v>315</v>
      </c>
      <c r="X83" s="275" t="s">
        <v>316</v>
      </c>
      <c r="Y83" s="281" t="s">
        <v>317</v>
      </c>
      <c r="Z83" s="280" t="s">
        <v>318</v>
      </c>
      <c r="AA83" s="275" t="s">
        <v>319</v>
      </c>
      <c r="AB83" s="275" t="s">
        <v>320</v>
      </c>
      <c r="AC83" s="275" t="s">
        <v>321</v>
      </c>
      <c r="AD83" s="281" t="s">
        <v>322</v>
      </c>
    </row>
    <row r="84" spans="1:30">
      <c r="A84" s="195">
        <v>2019</v>
      </c>
      <c r="B84" s="188">
        <f>SUMIF('S3 Tiekartta'!$C$3:$C$512,A84,'S3 Tiekartta'!$S$3:$S$512)</f>
        <v>67.850999999999985</v>
      </c>
      <c r="C84" s="188">
        <f>SUMIF('S3 Tiekartta'!$C$3:$C$512,A84,'S3 Tiekartta'!$T$3:$T$512)</f>
        <v>0</v>
      </c>
      <c r="D84" s="188">
        <f>SUMIF('S3 Tiekartta'!$C$3:$C$512,A84,'S3 Tiekartta'!$U$3:$U$512)</f>
        <v>101.51065717592591</v>
      </c>
      <c r="E84" s="189">
        <f>SUMIF('S3 Tiekartta'!$C$3:$C$512,A84,'S3 Tiekartta'!$V$3:$V$512)</f>
        <v>43.121723076923082</v>
      </c>
      <c r="F84" s="188">
        <f>SUMIF('S3 Tiekartta'!$C$3:$C$512,A84,'S3 Tiekartta'!$W$3:$W$512)</f>
        <v>264.97163285999994</v>
      </c>
      <c r="G84" s="188">
        <f>SUMIF('S3 Tiekartta'!$C$3:$C$512,A84,'S3 Tiekartta'!$X$3:$X$512)</f>
        <v>3.1774565999999997</v>
      </c>
      <c r="H84" s="188">
        <f>SUMIF('S3 Tiekartta'!$C$3:$C$512,A84,'S3 Tiekartta'!$Y$3:$Y$512)</f>
        <v>1.1440000000000001</v>
      </c>
      <c r="I84" s="196">
        <f>SUM(B84:H84)</f>
        <v>481.77646971284895</v>
      </c>
      <c r="V84" s="282">
        <f>SUMIFS('S3 Tiekartta'!$I$3:$I$512,'S3 Tiekartta'!$C$3:$C$512,$A$64,'S3 Tiekartta'!$D$3:$D$512,"pom")</f>
        <v>100000</v>
      </c>
      <c r="W84" s="276">
        <f>SUMIF('S3 Tiekartta'!$C$3:$C$512,$A$64,'S3 Tiekartta'!$J$3:$J$512)</f>
        <v>0</v>
      </c>
      <c r="X84" s="276">
        <f>SUMIF('S3 Tiekartta'!$C$3:$C$512,$A$4,'S3 Tiekartta'!$L$3:$L$512)</f>
        <v>4400</v>
      </c>
      <c r="Y84" s="283">
        <f>SUMIFS('S3 Tiekartta'!$E$3:$E$512,'S3 Tiekartta'!$C$3:$C$512,$A$64,'S3 Tiekartta'!$D$3:$D$512,"sähkö")/1000</f>
        <v>407.19907407407402</v>
      </c>
      <c r="Z84" s="282">
        <f t="shared" ref="Z84:Z100" si="24">V84*hinta_pom_pok</f>
        <v>97000</v>
      </c>
      <c r="AA84" s="276">
        <f t="shared" ref="AA84:AA100" si="25">W84*hinta_biodiesel</f>
        <v>0</v>
      </c>
      <c r="AB84" s="276">
        <f t="shared" ref="AB84:AB100" si="26">X84*hinta_adblue</f>
        <v>2200</v>
      </c>
      <c r="AC84" s="276">
        <f t="shared" ref="AC84:AC100" si="27">Y84*1000*hinta_sähkö3</f>
        <v>36037.118055555555</v>
      </c>
      <c r="AD84" s="283">
        <f>SUM(Z84:AC84)</f>
        <v>135237.11805555556</v>
      </c>
    </row>
    <row r="85" spans="1:30">
      <c r="A85" s="195">
        <v>2020</v>
      </c>
      <c r="B85" s="188">
        <f>SUMIF('S3 Tiekartta'!$C$3:$C$512,A85,'S3 Tiekartta'!$S$3:$S$512)</f>
        <v>68.529509999999988</v>
      </c>
      <c r="C85" s="188">
        <f>SUMIF('S3 Tiekartta'!$C$3:$C$512,A85,'S3 Tiekartta'!$T$3:$T$512)</f>
        <v>0</v>
      </c>
      <c r="D85" s="188">
        <f>SUMIF('S3 Tiekartta'!$C$3:$C$512,A85,'S3 Tiekartta'!$U$3:$U$512)</f>
        <v>101.50050611020835</v>
      </c>
      <c r="E85" s="189">
        <f>SUMIF('S3 Tiekartta'!$C$3:$C$512,A85,'S3 Tiekartta'!$V$3:$V$512)</f>
        <v>43.121723076923082</v>
      </c>
      <c r="F85" s="188">
        <f>SUMIF('S3 Tiekartta'!$C$3:$C$512,A85,'S3 Tiekartta'!$W$3:$W$512)</f>
        <v>267.62134918859999</v>
      </c>
      <c r="G85" s="188">
        <f>SUMIF('S3 Tiekartta'!$C$3:$C$512,A85,'S3 Tiekartta'!$X$3:$X$512)</f>
        <v>3.2092311659999999</v>
      </c>
      <c r="H85" s="188">
        <f>SUMIF('S3 Tiekartta'!$C$3:$C$512,A85,'S3 Tiekartta'!$Y$3:$Y$512)</f>
        <v>1.15544</v>
      </c>
      <c r="I85" s="196">
        <f t="shared" ref="I85:I100" si="28">SUM(B85:H85)</f>
        <v>485.13775954173138</v>
      </c>
      <c r="V85" s="282">
        <f>SUMIFS('S3 Tiekartta'!$I$3:$I$512,'S3 Tiekartta'!$C$3:$C$512,$A$65,'S3 Tiekartta'!$D$3:$D$512,"pom")</f>
        <v>101000</v>
      </c>
      <c r="W85" s="276">
        <f>SUMIF('S3 Tiekartta'!$C$3:$C$512,$A$65,'S3 Tiekartta'!$J$3:$J$512)</f>
        <v>0</v>
      </c>
      <c r="X85" s="276">
        <f>SUMIF('S3 Tiekartta'!$C$3:$C$512,$A$5,'S3 Tiekartta'!$L$3:$L$512)</f>
        <v>4444</v>
      </c>
      <c r="Y85" s="283">
        <f>SUMIFS('S3 Tiekartta'!$E$3:$E$512,'S3 Tiekartta'!$C$3:$C$512,$A$65,'S3 Tiekartta'!$D$3:$D$512,"sähkö")/1000</f>
        <v>411.27106481481485</v>
      </c>
      <c r="Z85" s="282">
        <f t="shared" si="24"/>
        <v>97970</v>
      </c>
      <c r="AA85" s="276">
        <f t="shared" si="25"/>
        <v>0</v>
      </c>
      <c r="AB85" s="276">
        <f t="shared" si="26"/>
        <v>2222</v>
      </c>
      <c r="AC85" s="276">
        <f t="shared" si="27"/>
        <v>36397.48923611112</v>
      </c>
      <c r="AD85" s="283">
        <f t="shared" ref="AD85:AD100" si="29">SUM(Z85:AC85)</f>
        <v>136589.48923611111</v>
      </c>
    </row>
    <row r="86" spans="1:30">
      <c r="A86" s="195">
        <v>2021</v>
      </c>
      <c r="B86" s="188">
        <f>SUMIF('S3 Tiekartta'!$C$3:$C$512,A86,'S3 Tiekartta'!$S$3:$S$512)</f>
        <v>67.131779399999999</v>
      </c>
      <c r="C86" s="188">
        <f>SUMIF('S3 Tiekartta'!$C$3:$C$512,A86,'S3 Tiekartta'!$T$3:$T$512)</f>
        <v>6.854889599999999</v>
      </c>
      <c r="D86" s="188">
        <f>SUMIF('S3 Tiekartta'!$C$3:$C$512,A86,'S3 Tiekartta'!$U$3:$U$512)</f>
        <v>101.4804070000875</v>
      </c>
      <c r="E86" s="189">
        <f>SUMIF('S3 Tiekartta'!$C$3:$C$512,A86,'S3 Tiekartta'!$V$3:$V$512)</f>
        <v>43.121723076923082</v>
      </c>
      <c r="F86" s="188">
        <f>SUMIF('S3 Tiekartta'!$C$3:$C$512,A86,'S3 Tiekartta'!$W$3:$W$512)</f>
        <v>262.16293355168398</v>
      </c>
      <c r="G86" s="188">
        <f>SUMIF('S3 Tiekartta'!$C$3:$C$512,A86,'S3 Tiekartta'!$X$3:$X$512)</f>
        <v>3.2410057319999996</v>
      </c>
      <c r="H86" s="188">
        <f>SUMIF('S3 Tiekartta'!$C$3:$C$512,A86,'S3 Tiekartta'!$Y$3:$Y$512)</f>
        <v>1.1685129516034987</v>
      </c>
      <c r="I86" s="196">
        <f t="shared" si="28"/>
        <v>485.16125131229802</v>
      </c>
      <c r="V86" s="282">
        <f>SUMIFS('S3 Tiekartta'!$I$3:$I$512,'S3 Tiekartta'!$C$3:$C$512,$A$66,'S3 Tiekartta'!$D$3:$D$512,"pom")</f>
        <v>98940</v>
      </c>
      <c r="W86" s="276">
        <f>SUMIF('S3 Tiekartta'!$C$3:$C$512,$A$66,'S3 Tiekartta'!$J$3:$J$512)</f>
        <v>3202.7405247813417</v>
      </c>
      <c r="X86" s="276">
        <f>SUMIF('S3 Tiekartta'!$C$3:$C$512,$A$6,'S3 Tiekartta'!$L$3:$L$512)</f>
        <v>4494.2805830903808</v>
      </c>
      <c r="Y86" s="283">
        <f>SUMIFS('S3 Tiekartta'!$E$3:$E$512,'S3 Tiekartta'!$C$3:$C$512,$A$66,'S3 Tiekartta'!$D$3:$D$512,"sähkö")/1000</f>
        <v>415.34305555555557</v>
      </c>
      <c r="Z86" s="282">
        <f t="shared" si="24"/>
        <v>95971.8</v>
      </c>
      <c r="AA86" s="276">
        <f t="shared" si="25"/>
        <v>5284.5218658892136</v>
      </c>
      <c r="AB86" s="276">
        <f t="shared" si="26"/>
        <v>2247.1402915451904</v>
      </c>
      <c r="AC86" s="276">
        <f t="shared" si="27"/>
        <v>36757.86041666667</v>
      </c>
      <c r="AD86" s="283">
        <f t="shared" si="29"/>
        <v>140261.32257410107</v>
      </c>
    </row>
    <row r="87" spans="1:30">
      <c r="A87" s="195">
        <v>2022</v>
      </c>
      <c r="B87" s="188">
        <f>SUMIF('S3 Tiekartta'!$C$3:$C$512,A87,'S3 Tiekartta'!$S$3:$S$512)</f>
        <v>67.091068800000002</v>
      </c>
      <c r="C87" s="188">
        <f>SUMIF('S3 Tiekartta'!$C$3:$C$512,A87,'S3 Tiekartta'!$T$3:$T$512)</f>
        <v>9.2294591999999991</v>
      </c>
      <c r="D87" s="188">
        <f>SUMIF('S3 Tiekartta'!$C$3:$C$512,A87,'S3 Tiekartta'!$U$3:$U$512)</f>
        <v>101.45055982155806</v>
      </c>
      <c r="E87" s="189">
        <f>SUMIF('S3 Tiekartta'!$C$3:$C$512,A87,'S3 Tiekartta'!$V$3:$V$512)</f>
        <v>43.121723076923082</v>
      </c>
      <c r="F87" s="188">
        <f>SUMIF('S3 Tiekartta'!$C$3:$C$512,A87,'S3 Tiekartta'!$W$3:$W$512)</f>
        <v>262.00395057196795</v>
      </c>
      <c r="G87" s="188">
        <f>SUMIF('S3 Tiekartta'!$C$3:$C$512,A87,'S3 Tiekartta'!$X$3:$X$512)</f>
        <v>3.2727802980000003</v>
      </c>
      <c r="H87" s="188">
        <f>SUMIF('S3 Tiekartta'!$C$3:$C$512,A87,'S3 Tiekartta'!$Y$3:$Y$512)</f>
        <v>1.1805186145772595</v>
      </c>
      <c r="I87" s="196">
        <f t="shared" si="28"/>
        <v>487.35006038302629</v>
      </c>
      <c r="V87" s="282">
        <f>SUMIFS('S3 Tiekartta'!$I$3:$I$512,'S3 Tiekartta'!$C$3:$C$512,$A$67,'S3 Tiekartta'!$D$3:$D$512,"pom")</f>
        <v>98880</v>
      </c>
      <c r="W87" s="276">
        <f>SUMIF('S3 Tiekartta'!$C$3:$C$512,$A$67,'S3 Tiekartta'!$J$3:$J$512)</f>
        <v>4312.186588921285</v>
      </c>
      <c r="X87" s="276">
        <f>SUMIF('S3 Tiekartta'!$C$3:$C$512,$A$7,'S3 Tiekartta'!$L$3:$L$512)</f>
        <v>4540.4562099125369</v>
      </c>
      <c r="Y87" s="283">
        <f>SUMIFS('S3 Tiekartta'!$E$3:$E$512,'S3 Tiekartta'!$C$3:$C$512,$A$67,'S3 Tiekartta'!$D$3:$D$512,"sähkö")/1000</f>
        <v>419.41504629629628</v>
      </c>
      <c r="Z87" s="282">
        <f t="shared" si="24"/>
        <v>95913.599999999991</v>
      </c>
      <c r="AA87" s="276">
        <f t="shared" si="25"/>
        <v>7115.1078717201199</v>
      </c>
      <c r="AB87" s="276">
        <f t="shared" si="26"/>
        <v>2270.2281049562685</v>
      </c>
      <c r="AC87" s="276">
        <f t="shared" si="27"/>
        <v>37118.231597222228</v>
      </c>
      <c r="AD87" s="283">
        <f t="shared" si="29"/>
        <v>142417.16757389862</v>
      </c>
    </row>
    <row r="88" spans="1:30">
      <c r="A88" s="195">
        <v>2023</v>
      </c>
      <c r="B88" s="188">
        <f>SUMIF('S3 Tiekartta'!$C$3:$C$512,A88,'S3 Tiekartta'!$S$3:$S$512)</f>
        <v>67.036788000000001</v>
      </c>
      <c r="C88" s="188">
        <f>SUMIF('S3 Tiekartta'!$C$3:$C$512,A88,'S3 Tiekartta'!$T$3:$T$512)</f>
        <v>11.648832000000001</v>
      </c>
      <c r="D88" s="188">
        <f>SUMIF('S3 Tiekartta'!$C$3:$C$512,A88,'S3 Tiekartta'!$U$3:$U$512)</f>
        <v>101.4111615458992</v>
      </c>
      <c r="E88" s="189">
        <f>SUMIF('S3 Tiekartta'!$C$3:$C$512,A88,'S3 Tiekartta'!$V$3:$V$512)</f>
        <v>43.121723076923082</v>
      </c>
      <c r="F88" s="188">
        <f>SUMIF('S3 Tiekartta'!$C$3:$C$512,A88,'S3 Tiekartta'!$W$3:$W$512)</f>
        <v>261.79197326567993</v>
      </c>
      <c r="G88" s="188">
        <f>SUMIF('S3 Tiekartta'!$C$3:$C$512,A88,'S3 Tiekartta'!$X$3:$X$512)</f>
        <v>3.304554864</v>
      </c>
      <c r="H88" s="188">
        <f>SUMIF('S3 Tiekartta'!$C$3:$C$512,A88,'S3 Tiekartta'!$Y$3:$Y$512)</f>
        <v>1.1925349504373177</v>
      </c>
      <c r="I88" s="196">
        <f t="shared" si="28"/>
        <v>489.50756770293958</v>
      </c>
      <c r="V88" s="282">
        <f>SUMIFS('S3 Tiekartta'!$I$3:$I$512,'S3 Tiekartta'!$C$3:$C$512,$A$68,'S3 Tiekartta'!$D$3:$D$512,"pom")</f>
        <v>98800</v>
      </c>
      <c r="W88" s="276">
        <f>SUMIF('S3 Tiekartta'!$C$3:$C$512,$A$68,'S3 Tiekartta'!$J$3:$J$512)</f>
        <v>5442.565597667638</v>
      </c>
      <c r="X88" s="276">
        <f>SUMIF('S3 Tiekartta'!$C$3:$C$512,$A$8,'S3 Tiekartta'!$L$3:$L$512)</f>
        <v>4586.672886297376</v>
      </c>
      <c r="Y88" s="283">
        <f>SUMIFS('S3 Tiekartta'!$E$3:$E$512,'S3 Tiekartta'!$C$3:$C$512,$A$68,'S3 Tiekartta'!$D$3:$D$512,"sähkö")/1000</f>
        <v>423.487037037037</v>
      </c>
      <c r="Z88" s="282">
        <f t="shared" si="24"/>
        <v>95836</v>
      </c>
      <c r="AA88" s="276">
        <f t="shared" si="25"/>
        <v>8980.2332361516019</v>
      </c>
      <c r="AB88" s="276">
        <f t="shared" si="26"/>
        <v>2293.336443148688</v>
      </c>
      <c r="AC88" s="276">
        <f t="shared" si="27"/>
        <v>37478.602777777778</v>
      </c>
      <c r="AD88" s="283">
        <f t="shared" si="29"/>
        <v>144588.17245707806</v>
      </c>
    </row>
    <row r="89" spans="1:30">
      <c r="A89" s="195">
        <v>2024</v>
      </c>
      <c r="B89" s="188">
        <f>SUMIF('S3 Tiekartta'!$C$3:$C$512,A89,'S3 Tiekartta'!$S$3:$S$512)</f>
        <v>66.968936999999983</v>
      </c>
      <c r="C89" s="188">
        <f>SUMIF('S3 Tiekartta'!$C$3:$C$512,A89,'S3 Tiekartta'!$T$3:$T$512)</f>
        <v>14.113007999999997</v>
      </c>
      <c r="D89" s="188">
        <f>SUMIF('S3 Tiekartta'!$C$3:$C$512,A89,'S3 Tiekartta'!$U$3:$U$512)</f>
        <v>101.3624061797714</v>
      </c>
      <c r="E89" s="189">
        <f>SUMIF('S3 Tiekartta'!$C$3:$C$512,A89,'S3 Tiekartta'!$V$3:$V$512)</f>
        <v>43.121723076923082</v>
      </c>
      <c r="F89" s="188">
        <f>SUMIF('S3 Tiekartta'!$C$3:$C$512,A89,'S3 Tiekartta'!$W$3:$W$512)</f>
        <v>261.52700163281997</v>
      </c>
      <c r="G89" s="188">
        <f>SUMIF('S3 Tiekartta'!$C$3:$C$512,A89,'S3 Tiekartta'!$X$3:$X$512)</f>
        <v>3.3363294300000002</v>
      </c>
      <c r="H89" s="188">
        <f>SUMIF('S3 Tiekartta'!$C$3:$C$512,A89,'S3 Tiekartta'!$Y$3:$Y$512)</f>
        <v>1.2045619591836734</v>
      </c>
      <c r="I89" s="196">
        <f t="shared" si="28"/>
        <v>491.63396727869809</v>
      </c>
      <c r="V89" s="282">
        <f>SUMIFS('S3 Tiekartta'!$I$3:$I$512,'S3 Tiekartta'!$C$3:$C$512,$A$69,'S3 Tiekartta'!$D$3:$D$512,"pom")</f>
        <v>98700</v>
      </c>
      <c r="W89" s="276">
        <f>SUMIF('S3 Tiekartta'!$C$3:$C$512,$A$69,'S3 Tiekartta'!$J$3:$J$512)</f>
        <v>6593.8775510204077</v>
      </c>
      <c r="X89" s="276">
        <f>SUMIF('S3 Tiekartta'!$C$3:$C$512,$A$9,'S3 Tiekartta'!$L$3:$L$512)</f>
        <v>4632.9306122448979</v>
      </c>
      <c r="Y89" s="283">
        <f>SUMIFS('S3 Tiekartta'!$E$3:$E$512,'S3 Tiekartta'!$C$3:$C$512,$A$69,'S3 Tiekartta'!$D$3:$D$512,"sähkö")/1000</f>
        <v>427.55902777777783</v>
      </c>
      <c r="Z89" s="282">
        <f t="shared" si="24"/>
        <v>95739</v>
      </c>
      <c r="AA89" s="276">
        <f t="shared" si="25"/>
        <v>10879.897959183672</v>
      </c>
      <c r="AB89" s="276">
        <f t="shared" si="26"/>
        <v>2316.465306122449</v>
      </c>
      <c r="AC89" s="276">
        <f t="shared" si="27"/>
        <v>37838.973958333343</v>
      </c>
      <c r="AD89" s="283">
        <f t="shared" si="29"/>
        <v>146774.33722363948</v>
      </c>
    </row>
    <row r="90" spans="1:30">
      <c r="A90" s="195">
        <v>2025</v>
      </c>
      <c r="B90" s="188">
        <f>SUMIF('S3 Tiekartta'!$C$3:$C$512,A90,'S3 Tiekartta'!$S$3:$S$512)</f>
        <v>66.887515800000003</v>
      </c>
      <c r="C90" s="188">
        <f>SUMIF('S3 Tiekartta'!$C$3:$C$512,A90,'S3 Tiekartta'!$T$3:$T$512)</f>
        <v>16.621987199999996</v>
      </c>
      <c r="D90" s="188">
        <f>SUMIF('S3 Tiekartta'!$C$3:$C$512,A90,'S3 Tiekartta'!$U$3:$U$512)</f>
        <v>101.30448480481151</v>
      </c>
      <c r="E90" s="189">
        <f>SUMIF('S3 Tiekartta'!$C$3:$C$512,A90,'S3 Tiekartta'!$V$3:$V$512)</f>
        <v>43.121723076923082</v>
      </c>
      <c r="F90" s="188">
        <f>SUMIF('S3 Tiekartta'!$C$3:$C$512,A90,'S3 Tiekartta'!$W$3:$W$512)</f>
        <v>261.20903567338809</v>
      </c>
      <c r="G90" s="188">
        <f>SUMIF('S3 Tiekartta'!$C$3:$C$512,A90,'S3 Tiekartta'!$X$3:$X$512)</f>
        <v>3.3681039959999999</v>
      </c>
      <c r="H90" s="188">
        <f>SUMIF('S3 Tiekartta'!$C$3:$C$512,A90,'S3 Tiekartta'!$Y$3:$Y$512)</f>
        <v>1.2165996408163267</v>
      </c>
      <c r="I90" s="196">
        <f t="shared" si="28"/>
        <v>493.72945019193901</v>
      </c>
      <c r="V90" s="282">
        <f>SUMIFS('S3 Tiekartta'!$I$3:$I$512,'S3 Tiekartta'!$C$3:$C$512,$A$70,'S3 Tiekartta'!$D$3:$D$512,"pom")</f>
        <v>98580</v>
      </c>
      <c r="W90" s="276">
        <f>SUMIF('S3 Tiekartta'!$C$3:$C$512,$A$70,'S3 Tiekartta'!$J$3:$J$512)</f>
        <v>7766.1224489795941</v>
      </c>
      <c r="X90" s="276">
        <f>SUMIF('S3 Tiekartta'!$C$3:$C$512,$A$10,'S3 Tiekartta'!$L$3:$L$512)</f>
        <v>4679.2293877551019</v>
      </c>
      <c r="Y90" s="283">
        <f>SUMIFS('S3 Tiekartta'!$E$3:$E$512,'S3 Tiekartta'!$C$3:$C$512,$A$70,'S3 Tiekartta'!$D$3:$D$512,"sähkö")/1000</f>
        <v>431.63101851851854</v>
      </c>
      <c r="Z90" s="282">
        <f t="shared" si="24"/>
        <v>95622.599999999991</v>
      </c>
      <c r="AA90" s="276">
        <f t="shared" si="25"/>
        <v>12814.102040816329</v>
      </c>
      <c r="AB90" s="276">
        <f t="shared" si="26"/>
        <v>2339.614693877551</v>
      </c>
      <c r="AC90" s="276">
        <f t="shared" si="27"/>
        <v>38199.345138888893</v>
      </c>
      <c r="AD90" s="283">
        <f t="shared" si="29"/>
        <v>148975.66187358275</v>
      </c>
    </row>
    <row r="91" spans="1:30">
      <c r="A91" s="195">
        <v>2026</v>
      </c>
      <c r="B91" s="188">
        <f>SUMIF('S3 Tiekartta'!$C$3:$C$512,A91,'S3 Tiekartta'!$S$3:$S$512)</f>
        <v>66.792524400000005</v>
      </c>
      <c r="C91" s="188">
        <f>SUMIF('S3 Tiekartta'!$C$3:$C$512,A91,'S3 Tiekartta'!$T$3:$T$512)</f>
        <v>19.175769599999995</v>
      </c>
      <c r="D91" s="188">
        <f>SUMIF('S3 Tiekartta'!$C$3:$C$512,A91,'S3 Tiekartta'!$U$3:$U$512)</f>
        <v>101.23758561673287</v>
      </c>
      <c r="E91" s="189">
        <f>SUMIF('S3 Tiekartta'!$C$3:$C$512,A91,'S3 Tiekartta'!$V$3:$V$512)</f>
        <v>43.121723076923082</v>
      </c>
      <c r="F91" s="188">
        <f>SUMIF('S3 Tiekartta'!$C$3:$C$512,A91,'S3 Tiekartta'!$W$3:$W$512)</f>
        <v>260.83807538738404</v>
      </c>
      <c r="G91" s="188">
        <f>SUMIF('S3 Tiekartta'!$C$3:$C$512,A91,'S3 Tiekartta'!$X$3:$X$512)</f>
        <v>3.399878562</v>
      </c>
      <c r="H91" s="188">
        <f>SUMIF('S3 Tiekartta'!$C$3:$C$512,A91,'S3 Tiekartta'!$Y$3:$Y$512)</f>
        <v>1.2286479953352769</v>
      </c>
      <c r="I91" s="196">
        <f t="shared" si="28"/>
        <v>495.79420463837533</v>
      </c>
      <c r="V91" s="282">
        <f>SUMIFS('S3 Tiekartta'!$I$3:$I$512,'S3 Tiekartta'!$C$3:$C$512,$A$71,'S3 Tiekartta'!$D$3:$D$512,"pom")</f>
        <v>98440.000000000015</v>
      </c>
      <c r="W91" s="276">
        <f>SUMIF('S3 Tiekartta'!$C$3:$C$512,$A$71,'S3 Tiekartta'!$J$3:$J$512)</f>
        <v>8959.3002915451889</v>
      </c>
      <c r="X91" s="276">
        <f>SUMIF('S3 Tiekartta'!$C$3:$C$512,$A$11,'S3 Tiekartta'!$L$3:$L$512)</f>
        <v>4725.5692128279888</v>
      </c>
      <c r="Y91" s="283">
        <f>SUMIFS('S3 Tiekartta'!$E$3:$E$512,'S3 Tiekartta'!$C$3:$C$512,$A$71,'S3 Tiekartta'!$D$3:$D$512,"sähkö")/1000</f>
        <v>435.70300925925932</v>
      </c>
      <c r="Z91" s="282">
        <f t="shared" si="24"/>
        <v>95486.800000000017</v>
      </c>
      <c r="AA91" s="276">
        <f t="shared" si="25"/>
        <v>14782.84548104956</v>
      </c>
      <c r="AB91" s="276">
        <f t="shared" si="26"/>
        <v>2362.7846064139944</v>
      </c>
      <c r="AC91" s="276">
        <f t="shared" si="27"/>
        <v>38559.716319444451</v>
      </c>
      <c r="AD91" s="283">
        <f t="shared" si="29"/>
        <v>151192.14640690802</v>
      </c>
    </row>
    <row r="92" spans="1:30">
      <c r="A92" s="195">
        <v>2027</v>
      </c>
      <c r="B92" s="188">
        <f>SUMIF('S3 Tiekartta'!$C$3:$C$512,A92,'S3 Tiekartta'!$S$3:$S$512)</f>
        <v>64.771378811999995</v>
      </c>
      <c r="C92" s="188">
        <f>SUMIF('S3 Tiekartta'!$C$3:$C$512,A92,'S3 Tiekartta'!$T$3:$T$512)</f>
        <v>28.088918207999999</v>
      </c>
      <c r="D92" s="188">
        <f>SUMIF('S3 Tiekartta'!$C$3:$C$512,A92,'S3 Tiekartta'!$U$3:$U$512)</f>
        <v>101.1618939639353</v>
      </c>
      <c r="E92" s="189">
        <f>SUMIF('S3 Tiekartta'!$C$3:$C$512,A92,'S3 Tiekartta'!$V$3:$V$512)</f>
        <v>43.121723076923082</v>
      </c>
      <c r="F92" s="188">
        <f>SUMIF('S3 Tiekartta'!$C$3:$C$512,A92,'S3 Tiekartta'!$W$3:$W$512)</f>
        <v>252.94510038775033</v>
      </c>
      <c r="G92" s="188">
        <f>SUMIF('S3 Tiekartta'!$C$3:$C$512,A92,'S3 Tiekartta'!$X$3:$X$512)</f>
        <v>3.4316531280000002</v>
      </c>
      <c r="H92" s="188">
        <f>SUMIF('S3 Tiekartta'!$C$3:$C$512,A92,'S3 Tiekartta'!$Y$3:$Y$512)</f>
        <v>1.242211259335277</v>
      </c>
      <c r="I92" s="196">
        <f t="shared" si="28"/>
        <v>494.76287883594392</v>
      </c>
      <c r="V92" s="282">
        <f>SUMIFS('S3 Tiekartta'!$I$3:$I$512,'S3 Tiekartta'!$C$3:$C$512,$A$72,'S3 Tiekartta'!$D$3:$D$512,"pom")</f>
        <v>95461.2</v>
      </c>
      <c r="W92" s="276">
        <f>SUMIF('S3 Tiekartta'!$C$3:$C$512,$A$72,'S3 Tiekartta'!$J$3:$J$512)</f>
        <v>13123.70029154519</v>
      </c>
      <c r="X92" s="276">
        <f>SUMIF('S3 Tiekartta'!$C$3:$C$512,$A$12,'S3 Tiekartta'!$L$3:$L$512)</f>
        <v>4777.7356128279889</v>
      </c>
      <c r="Y92" s="283">
        <f>SUMIFS('S3 Tiekartta'!$E$3:$E$512,'S3 Tiekartta'!$C$3:$C$512,$A$72,'S3 Tiekartta'!$D$3:$D$512,"sähkö")/1000</f>
        <v>439.77499999999998</v>
      </c>
      <c r="Z92" s="282">
        <f t="shared" si="24"/>
        <v>92597.364000000001</v>
      </c>
      <c r="AA92" s="276">
        <f t="shared" si="25"/>
        <v>21654.105481049563</v>
      </c>
      <c r="AB92" s="276">
        <f t="shared" si="26"/>
        <v>2388.8678064139945</v>
      </c>
      <c r="AC92" s="276">
        <f t="shared" si="27"/>
        <v>38920.087500000001</v>
      </c>
      <c r="AD92" s="283">
        <f t="shared" si="29"/>
        <v>155560.42478746356</v>
      </c>
    </row>
    <row r="93" spans="1:30">
      <c r="A93" s="195">
        <v>2028</v>
      </c>
      <c r="B93" s="188">
        <f>SUMIF('S3 Tiekartta'!$C$3:$C$512,A93,'S3 Tiekartta'!$S$3:$S$512)</f>
        <v>62.881035703289989</v>
      </c>
      <c r="C93" s="188">
        <f>SUMIF('S3 Tiekartta'!$C$3:$C$512,A93,'S3 Tiekartta'!$T$3:$T$512)</f>
        <v>36.570211011360001</v>
      </c>
      <c r="D93" s="188">
        <f>SUMIF('S3 Tiekartta'!$C$3:$C$512,A93,'S3 Tiekartta'!$U$3:$U$512)</f>
        <v>101.07759238563203</v>
      </c>
      <c r="E93" s="189">
        <f>SUMIF('S3 Tiekartta'!$C$3:$C$512,A93,'S3 Tiekartta'!$V$3:$V$512)</f>
        <v>43.121723076923082</v>
      </c>
      <c r="F93" s="188">
        <f>SUMIF('S3 Tiekartta'!$C$3:$C$512,A93,'S3 Tiekartta'!$W$3:$W$512)</f>
        <v>245.56293505222783</v>
      </c>
      <c r="G93" s="188">
        <f>SUMIF('S3 Tiekartta'!$C$3:$C$512,A93,'S3 Tiekartta'!$X$3:$X$512)</f>
        <v>3.4634276940000004</v>
      </c>
      <c r="H93" s="188">
        <f>SUMIF('S3 Tiekartta'!$C$3:$C$512,A93,'S3 Tiekartta'!$Y$3:$Y$512)</f>
        <v>1.2556716479179011</v>
      </c>
      <c r="I93" s="196">
        <f t="shared" si="28"/>
        <v>493.93259657135087</v>
      </c>
      <c r="V93" s="282">
        <f>SUMIFS('S3 Tiekartta'!$I$3:$I$512,'S3 Tiekartta'!$C$3:$C$512,$A$73,'S3 Tiekartta'!$D$3:$D$512,"pom")</f>
        <v>92675.179000000018</v>
      </c>
      <c r="W93" s="276">
        <f>SUMIF('S3 Tiekartta'!$C$3:$C$512,$A$73,'S3 Tiekartta'!$J$3:$J$512)</f>
        <v>17086.328685131197</v>
      </c>
      <c r="X93" s="276">
        <f>SUMIF('S3 Tiekartta'!$C$3:$C$512,$A$13,'S3 Tiekartta'!$L$3:$L$512)</f>
        <v>4829.506338145774</v>
      </c>
      <c r="Y93" s="283">
        <f>SUMIFS('S3 Tiekartta'!$E$3:$E$512,'S3 Tiekartta'!$C$3:$C$512,$A$73,'S3 Tiekartta'!$D$3:$D$512,"sähkö")/1000</f>
        <v>443.84699074074075</v>
      </c>
      <c r="Z93" s="282">
        <f t="shared" si="24"/>
        <v>89894.923630000019</v>
      </c>
      <c r="AA93" s="276">
        <f t="shared" si="25"/>
        <v>28192.442330466474</v>
      </c>
      <c r="AB93" s="276">
        <f t="shared" si="26"/>
        <v>2414.753169072887</v>
      </c>
      <c r="AC93" s="276">
        <f t="shared" si="27"/>
        <v>39280.458680555559</v>
      </c>
      <c r="AD93" s="283">
        <f t="shared" si="29"/>
        <v>159782.57781009495</v>
      </c>
    </row>
    <row r="94" spans="1:30">
      <c r="A94" s="195">
        <v>2029</v>
      </c>
      <c r="B94" s="188">
        <f>SUMIF('S3 Tiekartta'!$C$3:$C$512,A94,'S3 Tiekartta'!$S$3:$S$512)</f>
        <v>60.216255461439005</v>
      </c>
      <c r="C94" s="188">
        <f>SUMIF('S3 Tiekartta'!$C$3:$C$512,A94,'S3 Tiekartta'!$T$3:$T$512)</f>
        <v>47.608375619375991</v>
      </c>
      <c r="D94" s="188">
        <f>SUMIF('S3 Tiekartta'!$C$3:$C$512,A94,'S3 Tiekartta'!$U$3:$U$512)</f>
        <v>100.98486064949843</v>
      </c>
      <c r="E94" s="189">
        <f>SUMIF('S3 Tiekartta'!$C$3:$C$512,A94,'S3 Tiekartta'!$V$3:$V$512)</f>
        <v>43.121723076923082</v>
      </c>
      <c r="F94" s="188">
        <f>SUMIF('S3 Tiekartta'!$C$3:$C$512,A94,'S3 Tiekartta'!$W$3:$W$512)</f>
        <v>235.1564388783126</v>
      </c>
      <c r="G94" s="188">
        <f>SUMIF('S3 Tiekartta'!$C$3:$C$512,A94,'S3 Tiekartta'!$X$3:$X$512)</f>
        <v>3.4952022600000006</v>
      </c>
      <c r="H94" s="188">
        <f>SUMIF('S3 Tiekartta'!$C$3:$C$512,A94,'S3 Tiekartta'!$Y$3:$Y$512)</f>
        <v>1.2697411269683498</v>
      </c>
      <c r="I94" s="196">
        <f t="shared" si="28"/>
        <v>491.85259707251743</v>
      </c>
      <c r="V94" s="282">
        <f>SUMIFS('S3 Tiekartta'!$I$3:$I$512,'S3 Tiekartta'!$C$3:$C$512,$A$74,'S3 Tiekartta'!$D$3:$D$512,"pom")</f>
        <v>88747.77889999999</v>
      </c>
      <c r="W94" s="276">
        <f>SUMIF('S3 Tiekartta'!$C$3:$C$512,$A$74,'S3 Tiekartta'!$J$3:$J$512)</f>
        <v>22243.57835247814</v>
      </c>
      <c r="X94" s="276">
        <f>SUMIF('S3 Tiekartta'!$C$3:$C$512,$A$14,'S3 Tiekartta'!$L$3:$L$512)</f>
        <v>4883.6197191090387</v>
      </c>
      <c r="Y94" s="283">
        <f>SUMIFS('S3 Tiekartta'!$E$3:$E$512,'S3 Tiekartta'!$C$3:$C$512,$A$74,'S3 Tiekartta'!$D$3:$D$512,"sähkö")/1000</f>
        <v>447.91898148148152</v>
      </c>
      <c r="Z94" s="282">
        <f t="shared" si="24"/>
        <v>86085.345532999985</v>
      </c>
      <c r="AA94" s="276">
        <f t="shared" si="25"/>
        <v>36701.904281588926</v>
      </c>
      <c r="AB94" s="276">
        <f t="shared" si="26"/>
        <v>2441.8098595545193</v>
      </c>
      <c r="AC94" s="276">
        <f t="shared" si="27"/>
        <v>39640.829861111117</v>
      </c>
      <c r="AD94" s="283">
        <f t="shared" si="29"/>
        <v>164869.88953525454</v>
      </c>
    </row>
    <row r="95" spans="1:30">
      <c r="A95" s="195">
        <v>2030</v>
      </c>
      <c r="B95" s="188">
        <f>SUMIF('S3 Tiekartta'!$C$3:$C$512,A95,'S3 Tiekartta'!$S$3:$S$512)</f>
        <v>56.543905095667732</v>
      </c>
      <c r="C95" s="188">
        <f>SUMIF('S3 Tiekartta'!$C$3:$C$512,A95,'S3 Tiekartta'!$T$3:$T$512)</f>
        <v>61.973120953985898</v>
      </c>
      <c r="D95" s="188">
        <f>SUMIF('S3 Tiekartta'!$C$3:$C$512,A95,'S3 Tiekartta'!$U$3:$U$512)</f>
        <v>100.88387578884894</v>
      </c>
      <c r="E95" s="189">
        <f>SUMIF('S3 Tiekartta'!$C$3:$C$512,A95,'S3 Tiekartta'!$V$3:$V$512)</f>
        <v>43.121723076923082</v>
      </c>
      <c r="F95" s="188">
        <f>SUMIF('S3 Tiekartta'!$C$3:$C$512,A95,'S3 Tiekartta'!$W$3:$W$512)</f>
        <v>220.81518122768952</v>
      </c>
      <c r="G95" s="188">
        <f>SUMIF('S3 Tiekartta'!$C$3:$C$512,A95,'S3 Tiekartta'!$X$3:$X$512)</f>
        <v>3.5269768260000007</v>
      </c>
      <c r="H95" s="188">
        <f>SUMIF('S3 Tiekartta'!$C$3:$C$512,A95,'S3 Tiekartta'!$Y$3:$Y$512)</f>
        <v>1.2846030542781643</v>
      </c>
      <c r="I95" s="196">
        <f t="shared" si="28"/>
        <v>488.14938602339328</v>
      </c>
      <c r="V95" s="282">
        <f>SUMIFS('S3 Tiekartta'!$I$3:$I$512,'S3 Tiekartta'!$C$3:$C$512,$A$75,'S3 Tiekartta'!$D$3:$D$512,"pom")</f>
        <v>83335.40418810003</v>
      </c>
      <c r="W95" s="276">
        <f>SUMIF('S3 Tiekartta'!$C$3:$C$512,$A$75,'S3 Tiekartta'!$J$3:$J$512)</f>
        <v>28955.072584466765</v>
      </c>
      <c r="X95" s="276">
        <f>SUMIF('S3 Tiekartta'!$C$3:$C$512,$A$15,'S3 Tiekartta'!$L$3:$L$512)</f>
        <v>4940.7809779929385</v>
      </c>
      <c r="Y95" s="283">
        <f>SUMIFS('S3 Tiekartta'!$E$3:$E$512,'S3 Tiekartta'!$C$3:$C$512,$A$75,'S3 Tiekartta'!$D$3:$D$512,"sähkö")/1000</f>
        <v>451.99097222222224</v>
      </c>
      <c r="Z95" s="282">
        <f t="shared" si="24"/>
        <v>80835.342062457028</v>
      </c>
      <c r="AA95" s="276">
        <f t="shared" si="25"/>
        <v>47775.86976437016</v>
      </c>
      <c r="AB95" s="276">
        <f t="shared" si="26"/>
        <v>2470.3904889964692</v>
      </c>
      <c r="AC95" s="276">
        <f t="shared" si="27"/>
        <v>40001.201041666674</v>
      </c>
      <c r="AD95" s="283">
        <f t="shared" si="29"/>
        <v>171082.80335749034</v>
      </c>
    </row>
    <row r="96" spans="1:30">
      <c r="A96" s="195">
        <v>2031</v>
      </c>
      <c r="B96" s="188">
        <f>SUMIF('S3 Tiekartta'!$C$3:$C$512,A96,'S3 Tiekartta'!$S$3:$S$512)</f>
        <v>51.560764643442106</v>
      </c>
      <c r="C96" s="188">
        <f>SUMIF('S3 Tiekartta'!$C$3:$C$512,A96,'S3 Tiekartta'!$T$3:$T$512)</f>
        <v>80.665554193080041</v>
      </c>
      <c r="D96" s="188">
        <f>SUMIF('S3 Tiekartta'!$C$3:$C$512,A96,'S3 Tiekartta'!$U$3:$U$512)</f>
        <v>100.77481213934747</v>
      </c>
      <c r="E96" s="189">
        <f>SUMIF('S3 Tiekartta'!$C$3:$C$512,A96,'S3 Tiekartta'!$V$3:$V$512)</f>
        <v>43.121723076923082</v>
      </c>
      <c r="F96" s="188">
        <f>SUMIF('S3 Tiekartta'!$C$3:$C$512,A96,'S3 Tiekartta'!$W$3:$W$512)</f>
        <v>201.35502791532932</v>
      </c>
      <c r="G96" s="188">
        <f>SUMIF('S3 Tiekartta'!$C$3:$C$512,A96,'S3 Tiekartta'!$X$3:$X$512)</f>
        <v>3.5587513920000009</v>
      </c>
      <c r="H96" s="188">
        <f>SUMIF('S3 Tiekartta'!$C$3:$C$512,A96,'S3 Tiekartta'!$Y$3:$Y$512)</f>
        <v>1.3004959106496319</v>
      </c>
      <c r="I96" s="196">
        <f t="shared" si="28"/>
        <v>482.33712927077164</v>
      </c>
      <c r="V96" s="282">
        <f>SUMIFS('S3 Tiekartta'!$I$3:$I$512,'S3 Tiekartta'!$C$3:$C$512,$A$76,'S3 Tiekartta'!$D$3:$D$512,"pom")</f>
        <v>75991.163937808</v>
      </c>
      <c r="W96" s="276">
        <f>SUMIF('S3 Tiekartta'!$C$3:$C$512,$A$76,'S3 Tiekartta'!$J$3:$J$512)</f>
        <v>37688.5485315654</v>
      </c>
      <c r="X96" s="276">
        <f>SUMIF('S3 Tiekartta'!$C$3:$C$512,$A$16,'S3 Tiekartta'!$L$3:$L$512)</f>
        <v>5001.9073486524303</v>
      </c>
      <c r="Y96" s="283">
        <f>SUMIFS('S3 Tiekartta'!$E$3:$E$512,'S3 Tiekartta'!$C$3:$C$512,$A$76,'S3 Tiekartta'!$D$3:$D$512,"sähkö")/1000</f>
        <v>456.06296296296301</v>
      </c>
      <c r="Z96" s="282">
        <f t="shared" si="24"/>
        <v>73711.429019673757</v>
      </c>
      <c r="AA96" s="276">
        <f t="shared" si="25"/>
        <v>62186.10507708291</v>
      </c>
      <c r="AB96" s="276">
        <f t="shared" si="26"/>
        <v>2500.9536743262152</v>
      </c>
      <c r="AC96" s="276">
        <f t="shared" si="27"/>
        <v>40361.572222222232</v>
      </c>
      <c r="AD96" s="283">
        <f t="shared" si="29"/>
        <v>178760.0599933051</v>
      </c>
    </row>
    <row r="97" spans="1:30">
      <c r="A97" s="195">
        <v>2032</v>
      </c>
      <c r="B97" s="188">
        <f>SUMIF('S3 Tiekartta'!$C$3:$C$512,A97,'S3 Tiekartta'!$S$3:$S$512)</f>
        <v>44.872483211379965</v>
      </c>
      <c r="C97" s="188">
        <f>SUMIF('S3 Tiekartta'!$C$3:$C$512,A97,'S3 Tiekartta'!$T$3:$T$512)</f>
        <v>104.98765923861853</v>
      </c>
      <c r="D97" s="188">
        <f>SUMIF('S3 Tiekartta'!$C$3:$C$512,A97,'S3 Tiekartta'!$U$3:$U$512)</f>
        <v>100.65784137525714</v>
      </c>
      <c r="E97" s="189">
        <f>SUMIF('S3 Tiekartta'!$C$3:$C$512,A97,'S3 Tiekartta'!$V$3:$V$512)</f>
        <v>43.121723076923082</v>
      </c>
      <c r="F97" s="188">
        <f>SUMIF('S3 Tiekartta'!$C$3:$C$512,A97,'S3 Tiekartta'!$W$3:$W$512)</f>
        <v>175.23596036907756</v>
      </c>
      <c r="G97" s="188">
        <f>SUMIF('S3 Tiekartta'!$C$3:$C$512,A97,'S3 Tiekartta'!$X$3:$X$512)</f>
        <v>3.5905259579999989</v>
      </c>
      <c r="H97" s="188">
        <f>SUMIF('S3 Tiekartta'!$C$3:$C$512,A97,'S3 Tiekartta'!$Y$3:$Y$512)</f>
        <v>1.317729850851757</v>
      </c>
      <c r="I97" s="196">
        <f t="shared" si="28"/>
        <v>473.78392308010802</v>
      </c>
      <c r="V97" s="282">
        <f>SUMIFS('S3 Tiekartta'!$I$3:$I$512,'S3 Tiekartta'!$C$3:$C$512,$A$77,'S3 Tiekartta'!$D$3:$D$512,"pom")</f>
        <v>66133.856850127428</v>
      </c>
      <c r="W97" s="276">
        <f>SUMIF('S3 Tiekartta'!$C$3:$C$512,$A$77,'S3 Tiekartta'!$J$3:$J$512)</f>
        <v>49052.318923627558</v>
      </c>
      <c r="X97" s="276">
        <f>SUMIF('S3 Tiekartta'!$C$3:$C$512,$A$17,'S3 Tiekartta'!$L$3:$L$512)</f>
        <v>5068.1917340452192</v>
      </c>
      <c r="Y97" s="283">
        <f>SUMIFS('S3 Tiekartta'!$E$3:$E$512,'S3 Tiekartta'!$C$3:$C$512,$A$77,'S3 Tiekartta'!$D$3:$D$512,"sähkö")/1000</f>
        <v>460.13495370370367</v>
      </c>
      <c r="Z97" s="282">
        <f t="shared" si="24"/>
        <v>64149.841144623606</v>
      </c>
      <c r="AA97" s="276">
        <f t="shared" si="25"/>
        <v>80936.326223985467</v>
      </c>
      <c r="AB97" s="276">
        <f t="shared" si="26"/>
        <v>2534.0958670226096</v>
      </c>
      <c r="AC97" s="276">
        <f t="shared" si="27"/>
        <v>40721.943402777775</v>
      </c>
      <c r="AD97" s="283">
        <f t="shared" si="29"/>
        <v>188342.20663840947</v>
      </c>
    </row>
    <row r="98" spans="1:30">
      <c r="A98" s="195">
        <v>2033</v>
      </c>
      <c r="B98" s="188">
        <f>SUMIF('S3 Tiekartta'!$C$3:$C$512,A98,'S3 Tiekartta'!$S$3:$S$512)</f>
        <v>35.966223834208286</v>
      </c>
      <c r="C98" s="188">
        <f>SUMIF('S3 Tiekartta'!$C$3:$C$512,A98,'S3 Tiekartta'!$T$3:$T$512)</f>
        <v>136.6326121029314</v>
      </c>
      <c r="D98" s="188">
        <f>SUMIF('S3 Tiekartta'!$C$3:$C$512,A98,'S3 Tiekartta'!$U$3:$U$512)</f>
        <v>100.53313254523472</v>
      </c>
      <c r="E98" s="189">
        <f>SUMIF('S3 Tiekartta'!$C$3:$C$512,A98,'S3 Tiekartta'!$V$3:$V$512)</f>
        <v>43.121723076923082</v>
      </c>
      <c r="F98" s="188">
        <f>SUMIF('S3 Tiekartta'!$C$3:$C$512,A98,'S3 Tiekartta'!$W$3:$W$512)</f>
        <v>140.45524837008185</v>
      </c>
      <c r="G98" s="188">
        <f>SUMIF('S3 Tiekartta'!$C$3:$C$512,A98,'S3 Tiekartta'!$X$3:$X$512)</f>
        <v>3.6223005240000012</v>
      </c>
      <c r="H98" s="188">
        <f>SUMIF('S3 Tiekartta'!$C$3:$C$512,A98,'S3 Tiekartta'!$Y$3:$Y$512)</f>
        <v>1.3367082182854815</v>
      </c>
      <c r="I98" s="196">
        <f t="shared" si="28"/>
        <v>461.66794867166487</v>
      </c>
      <c r="V98" s="282">
        <f>SUMIFS('S3 Tiekartta'!$I$3:$I$512,'S3 Tiekartta'!$C$3:$C$512,$A$78,'S3 Tiekartta'!$D$3:$D$512,"pom")</f>
        <v>53007.654764422477</v>
      </c>
      <c r="W98" s="276">
        <f>SUMIF('S3 Tiekartta'!$C$3:$C$512,$A$78,'S3 Tiekartta'!$J$3:$J$512)</f>
        <v>63837.469211581163</v>
      </c>
      <c r="X98" s="276">
        <f>SUMIF('S3 Tiekartta'!$C$3:$C$512,$A$18,'S3 Tiekartta'!$L$3:$L$512)</f>
        <v>5141.1854549441596</v>
      </c>
      <c r="Y98" s="283">
        <f>SUMIFS('S3 Tiekartta'!$E$3:$E$512,'S3 Tiekartta'!$C$3:$C$512,$A$78,'S3 Tiekartta'!$D$3:$D$512,"sähkö")/1000</f>
        <v>464.2069444444445</v>
      </c>
      <c r="Z98" s="282">
        <f t="shared" si="24"/>
        <v>51417.425121489803</v>
      </c>
      <c r="AA98" s="276">
        <f t="shared" si="25"/>
        <v>105331.82419910892</v>
      </c>
      <c r="AB98" s="276">
        <f t="shared" si="26"/>
        <v>2570.5927274720798</v>
      </c>
      <c r="AC98" s="276">
        <f t="shared" si="27"/>
        <v>41082.31458333334</v>
      </c>
      <c r="AD98" s="283">
        <f t="shared" si="29"/>
        <v>200402.15663140413</v>
      </c>
    </row>
    <row r="99" spans="1:30">
      <c r="A99" s="195">
        <v>2034</v>
      </c>
      <c r="B99" s="188">
        <f>SUMIF('S3 Tiekartta'!$C$3:$C$512,A99,'S3 Tiekartta'!$S$3:$S$512)</f>
        <v>24.175106463199999</v>
      </c>
      <c r="C99" s="188">
        <f>SUMIF('S3 Tiekartta'!$C$3:$C$512,A99,'S3 Tiekartta'!$T$3:$T$512)</f>
        <v>177.8021754865778</v>
      </c>
      <c r="D99" s="188">
        <f>SUMIF('S3 Tiekartta'!$C$3:$C$512,A99,'S3 Tiekartta'!$U$3:$U$512)</f>
        <v>100.40085210767519</v>
      </c>
      <c r="E99" s="189">
        <f>SUMIF('S3 Tiekartta'!$C$3:$C$512,A99,'S3 Tiekartta'!$V$3:$V$512)</f>
        <v>43.121723076923082</v>
      </c>
      <c r="F99" s="188">
        <f>SUMIF('S3 Tiekartta'!$C$3:$C$512,A99,'S3 Tiekartta'!$W$3:$W$512)</f>
        <v>94.408592859625415</v>
      </c>
      <c r="G99" s="188">
        <f>SUMIF('S3 Tiekartta'!$C$3:$C$512,A99,'S3 Tiekartta'!$X$3:$X$512)</f>
        <v>3.654075090000001</v>
      </c>
      <c r="H99" s="188">
        <f>SUMIF('S3 Tiekartta'!$C$3:$C$512,A99,'S3 Tiekartta'!$Y$3:$Y$512)</f>
        <v>1.357955510374133</v>
      </c>
      <c r="I99" s="196">
        <f t="shared" si="28"/>
        <v>444.92048059437565</v>
      </c>
      <c r="V99" s="282">
        <f>SUMIFS('S3 Tiekartta'!$I$3:$I$512,'S3 Tiekartta'!$C$3:$C$512,$A$79,'S3 Tiekartta'!$D$3:$D$512,"pom")</f>
        <v>35629.698107912925</v>
      </c>
      <c r="W99" s="276">
        <f>SUMIF('S3 Tiekartta'!$C$3:$C$512,$A$79,'S3 Tiekartta'!$J$3:$J$512)</f>
        <v>83072.706645070721</v>
      </c>
      <c r="X99" s="276">
        <f>SUMIF('S3 Tiekartta'!$C$3:$C$512,$A$19,'S3 Tiekartta'!$L$3:$L$512)</f>
        <v>5222.90580913128</v>
      </c>
      <c r="Y99" s="283">
        <f>SUMIFS('S3 Tiekartta'!$E$3:$E$512,'S3 Tiekartta'!$C$3:$C$512,$A$79,'S3 Tiekartta'!$D$3:$D$512,"sähkö")/1000</f>
        <v>468.27893518518516</v>
      </c>
      <c r="Z99" s="282">
        <f t="shared" si="24"/>
        <v>34560.807164675534</v>
      </c>
      <c r="AA99" s="276">
        <f t="shared" si="25"/>
        <v>137069.96596436668</v>
      </c>
      <c r="AB99" s="276">
        <f t="shared" si="26"/>
        <v>2611.45290456564</v>
      </c>
      <c r="AC99" s="276">
        <f t="shared" si="27"/>
        <v>41442.685763888891</v>
      </c>
      <c r="AD99" s="283">
        <f t="shared" si="29"/>
        <v>215684.91179749672</v>
      </c>
    </row>
    <row r="100" spans="1:30">
      <c r="A100" s="197">
        <v>2035</v>
      </c>
      <c r="B100" s="198">
        <f>SUMIF('S3 Tiekartta'!$C$3:$C$512,A100,'S3 Tiekartta'!$S$3:$S$512)</f>
        <v>8.6319925665499824</v>
      </c>
      <c r="C100" s="198">
        <f>SUMIF('S3 Tiekartta'!$C$3:$C$512,A100,'S3 Tiekartta'!$T$3:$T$512)</f>
        <v>231.35928295488267</v>
      </c>
      <c r="D100" s="198">
        <f>SUMIF('S3 Tiekartta'!$C$3:$C$512,A100,'S3 Tiekartta'!$U$3:$U$512)</f>
        <v>100.26116396561231</v>
      </c>
      <c r="E100" s="200">
        <f>SUMIF('S3 Tiekartta'!$C$3:$C$512,A100,'S3 Tiekartta'!$V$3:$V$512)</f>
        <v>43.121723076923082</v>
      </c>
      <c r="F100" s="198">
        <f>SUMIF('S3 Tiekartta'!$C$3:$C$512,A100,'S3 Tiekartta'!$W$3:$W$512)</f>
        <v>33.709645623412044</v>
      </c>
      <c r="G100" s="198">
        <f>SUMIF('S3 Tiekartta'!$C$3:$C$512,A100,'S3 Tiekartta'!$X$3:$X$512)</f>
        <v>3.6858496560000003</v>
      </c>
      <c r="H100" s="198">
        <f>SUMIF('S3 Tiekartta'!$C$3:$C$512,A100,'S3 Tiekartta'!$Y$3:$Y$512)</f>
        <v>1.3821537267163935</v>
      </c>
      <c r="I100" s="199">
        <f t="shared" si="28"/>
        <v>422.15181157009653</v>
      </c>
      <c r="V100" s="284">
        <f>SUMIFS('S3 Tiekartta'!$I$3:$I$512,'S3 Tiekartta'!$C$3:$C$512,$A$80,'S3 Tiekartta'!$D$3:$D$512,"pom")</f>
        <v>12721.982824939914</v>
      </c>
      <c r="W100" s="285">
        <f>SUMIF('S3 Tiekartta'!$C$3:$C$512,$A$80,'S3 Tiekartta'!$J$3:$J$512)</f>
        <v>108095.65062929031</v>
      </c>
      <c r="X100" s="285">
        <f>SUMIF('S3 Tiekartta'!$C$3:$C$512,$A$20,'S3 Tiekartta'!$L$3:$L$512)</f>
        <v>5315.9758719861293</v>
      </c>
      <c r="Y100" s="286">
        <f>SUMIFS('S3 Tiekartta'!$E$3:$E$512,'S3 Tiekartta'!$C$3:$C$512,$A$80,'S3 Tiekartta'!$D$3:$D$512,"sähkö")/1000</f>
        <v>472.35092592592582</v>
      </c>
      <c r="Z100" s="284">
        <f t="shared" si="24"/>
        <v>12340.323340191717</v>
      </c>
      <c r="AA100" s="285">
        <f t="shared" si="25"/>
        <v>178357.82353832899</v>
      </c>
      <c r="AB100" s="285">
        <f t="shared" si="26"/>
        <v>2657.9879359930646</v>
      </c>
      <c r="AC100" s="285">
        <f t="shared" si="27"/>
        <v>41803.056944444441</v>
      </c>
      <c r="AD100" s="286">
        <f t="shared" si="29"/>
        <v>235159.19175895822</v>
      </c>
    </row>
  </sheetData>
  <conditionalFormatting sqref="B4:H20">
    <cfRule type="colorScale" priority="17">
      <colorScale>
        <cfvo type="min"/>
        <cfvo type="max"/>
        <color rgb="FF63BE7B"/>
        <color rgb="FFFFEF9C"/>
      </colorScale>
    </cfRule>
    <cfRule type="colorScale" priority="19">
      <colorScale>
        <cfvo type="min"/>
        <cfvo type="percentile" val="50"/>
        <cfvo type="max"/>
        <color rgb="FF63BE7B"/>
        <color rgb="FFFFEB84"/>
        <color rgb="FFF8696B"/>
      </colorScale>
    </cfRule>
  </conditionalFormatting>
  <conditionalFormatting sqref="B4:H20">
    <cfRule type="colorScale" priority="13">
      <colorScale>
        <cfvo type="min"/>
        <cfvo type="max"/>
        <color rgb="FF63BE7B"/>
        <color rgb="FFFFEF9C"/>
      </colorScale>
    </cfRule>
  </conditionalFormatting>
  <conditionalFormatting sqref="B24:H40">
    <cfRule type="colorScale" priority="11">
      <colorScale>
        <cfvo type="min"/>
        <cfvo type="max"/>
        <color rgb="FF63BE7B"/>
        <color rgb="FFFFEF9C"/>
      </colorScale>
    </cfRule>
    <cfRule type="colorScale" priority="12">
      <colorScale>
        <cfvo type="min"/>
        <cfvo type="percentile" val="50"/>
        <cfvo type="max"/>
        <color rgb="FF63BE7B"/>
        <color rgb="FFFFEB84"/>
        <color rgb="FFF8696B"/>
      </colorScale>
    </cfRule>
  </conditionalFormatting>
  <conditionalFormatting sqref="B24:H40">
    <cfRule type="colorScale" priority="10">
      <colorScale>
        <cfvo type="min"/>
        <cfvo type="max"/>
        <color rgb="FF63BE7B"/>
        <color rgb="FFFFEF9C"/>
      </colorScale>
    </cfRule>
  </conditionalFormatting>
  <conditionalFormatting sqref="B44:H60">
    <cfRule type="colorScale" priority="8">
      <colorScale>
        <cfvo type="min"/>
        <cfvo type="max"/>
        <color rgb="FF63BE7B"/>
        <color rgb="FFFFEF9C"/>
      </colorScale>
    </cfRule>
    <cfRule type="colorScale" priority="9">
      <colorScale>
        <cfvo type="min"/>
        <cfvo type="percentile" val="50"/>
        <cfvo type="max"/>
        <color rgb="FF63BE7B"/>
        <color rgb="FFFFEB84"/>
        <color rgb="FFF8696B"/>
      </colorScale>
    </cfRule>
  </conditionalFormatting>
  <conditionalFormatting sqref="B44:H60">
    <cfRule type="colorScale" priority="7">
      <colorScale>
        <cfvo type="min"/>
        <cfvo type="max"/>
        <color rgb="FF63BE7B"/>
        <color rgb="FFFFEF9C"/>
      </colorScale>
    </cfRule>
  </conditionalFormatting>
  <conditionalFormatting sqref="B64:H80">
    <cfRule type="colorScale" priority="5">
      <colorScale>
        <cfvo type="min"/>
        <cfvo type="max"/>
        <color rgb="FF63BE7B"/>
        <color rgb="FFFFEF9C"/>
      </colorScale>
    </cfRule>
    <cfRule type="colorScale" priority="6">
      <colorScale>
        <cfvo type="min"/>
        <cfvo type="percentile" val="50"/>
        <cfvo type="max"/>
        <color rgb="FF63BE7B"/>
        <color rgb="FFFFEB84"/>
        <color rgb="FFF8696B"/>
      </colorScale>
    </cfRule>
  </conditionalFormatting>
  <conditionalFormatting sqref="B64:H80">
    <cfRule type="colorScale" priority="4">
      <colorScale>
        <cfvo type="min"/>
        <cfvo type="max"/>
        <color rgb="FF63BE7B"/>
        <color rgb="FFFFEF9C"/>
      </colorScale>
    </cfRule>
  </conditionalFormatting>
  <conditionalFormatting sqref="B84:H100">
    <cfRule type="colorScale" priority="2">
      <colorScale>
        <cfvo type="min"/>
        <cfvo type="max"/>
        <color rgb="FF63BE7B"/>
        <color rgb="FFFFEF9C"/>
      </colorScale>
    </cfRule>
    <cfRule type="colorScale" priority="3">
      <colorScale>
        <cfvo type="min"/>
        <cfvo type="percentile" val="50"/>
        <cfvo type="max"/>
        <color rgb="FF63BE7B"/>
        <color rgb="FFFFEB84"/>
        <color rgb="FFF8696B"/>
      </colorScale>
    </cfRule>
  </conditionalFormatting>
  <conditionalFormatting sqref="B84:H100">
    <cfRule type="colorScale" priority="1">
      <colorScale>
        <cfvo type="min"/>
        <cfvo type="max"/>
        <color rgb="FF63BE7B"/>
        <color rgb="FFFFEF9C"/>
      </colorScale>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90"/>
  <sheetViews>
    <sheetView workbookViewId="0">
      <selection sqref="A1:M1"/>
    </sheetView>
  </sheetViews>
  <sheetFormatPr defaultColWidth="9.109375" defaultRowHeight="13.8"/>
  <cols>
    <col min="1" max="1" width="7.88671875" style="115" customWidth="1"/>
    <col min="2" max="2" width="21.5546875" style="2" customWidth="1"/>
    <col min="3" max="3" width="16.5546875" style="2" customWidth="1"/>
    <col min="4" max="4" width="12.33203125" style="2" customWidth="1"/>
    <col min="5" max="5" width="12" style="2" customWidth="1"/>
    <col min="6" max="6" width="9.44140625" style="2" customWidth="1"/>
    <col min="7" max="7" width="15.88671875" style="2" customWidth="1"/>
    <col min="8" max="8" width="11.44140625" style="2" customWidth="1"/>
    <col min="9" max="9" width="14.88671875" style="2" customWidth="1"/>
    <col min="10" max="10" width="9.6640625" style="95" customWidth="1"/>
    <col min="11" max="11" width="12.109375" style="95" customWidth="1"/>
    <col min="12" max="12" width="10.6640625" style="95" customWidth="1"/>
    <col min="13" max="15" width="8.33203125" style="95" customWidth="1"/>
    <col min="16" max="16" width="1.44140625" style="2" customWidth="1"/>
    <col min="17" max="24" width="10.6640625" style="2" customWidth="1"/>
    <col min="25" max="25" width="2.33203125" style="2" customWidth="1"/>
    <col min="26" max="28" width="10.6640625" style="2" customWidth="1"/>
    <col min="29" max="29" width="12.5546875" style="2" customWidth="1"/>
    <col min="30" max="32" width="10.6640625" style="2" customWidth="1"/>
    <col min="33" max="33" width="10" style="2" customWidth="1"/>
    <col min="34" max="34" width="12.44140625" style="2" customWidth="1"/>
    <col min="35" max="35" width="14.6640625" style="2" customWidth="1"/>
    <col min="36" max="36" width="2" style="2" customWidth="1"/>
    <col min="37" max="37" width="11.5546875" style="2" customWidth="1"/>
    <col min="38" max="38" width="13.33203125" style="2" customWidth="1"/>
    <col min="39" max="40" width="9.33203125" style="2" customWidth="1"/>
    <col min="41" max="41" width="9.33203125" style="2" bestFit="1" customWidth="1"/>
    <col min="42" max="42" width="16.5546875" style="2" customWidth="1"/>
    <col min="43" max="43" width="13.33203125" style="2" customWidth="1"/>
    <col min="44" max="44" width="13.6640625" style="2" customWidth="1"/>
    <col min="45" max="45" width="15.88671875" style="2" customWidth="1"/>
    <col min="46" max="46" width="2.6640625" style="2" customWidth="1"/>
    <col min="47" max="47" width="10.33203125" style="2" bestFit="1" customWidth="1"/>
    <col min="48" max="52" width="9.109375" style="2"/>
    <col min="53" max="53" width="11.33203125" style="2" bestFit="1" customWidth="1"/>
    <col min="54" max="54" width="14.109375" style="2" customWidth="1"/>
    <col min="55" max="16384" width="9.109375" style="2"/>
  </cols>
  <sheetData>
    <row r="1" spans="1:54" s="14" customFormat="1" ht="15.75" customHeight="1">
      <c r="A1" s="396" t="s">
        <v>324</v>
      </c>
      <c r="B1" s="396"/>
      <c r="C1" s="396"/>
      <c r="D1" s="396"/>
      <c r="E1" s="396"/>
      <c r="F1" s="396"/>
      <c r="G1" s="396"/>
      <c r="H1" s="396"/>
      <c r="I1" s="396"/>
      <c r="J1" s="396"/>
      <c r="K1" s="396"/>
      <c r="L1" s="396"/>
      <c r="M1" s="396"/>
      <c r="Q1" s="96" t="s">
        <v>258</v>
      </c>
      <c r="R1" s="96"/>
      <c r="S1" s="96"/>
      <c r="T1" s="96"/>
      <c r="Z1" s="96" t="s">
        <v>325</v>
      </c>
      <c r="AB1" s="97" t="s">
        <v>326</v>
      </c>
      <c r="AK1" s="96" t="s">
        <v>327</v>
      </c>
      <c r="AU1" s="96" t="s">
        <v>328</v>
      </c>
      <c r="AV1" s="14" t="s">
        <v>329</v>
      </c>
    </row>
    <row r="2" spans="1:54" s="99" customFormat="1" ht="55.2">
      <c r="A2" s="98" t="s">
        <v>220</v>
      </c>
      <c r="B2" s="99" t="s">
        <v>221</v>
      </c>
      <c r="C2" s="99" t="s">
        <v>330</v>
      </c>
      <c r="D2" s="100" t="s">
        <v>223</v>
      </c>
      <c r="E2" s="100" t="s">
        <v>224</v>
      </c>
      <c r="F2" s="100" t="s">
        <v>331</v>
      </c>
      <c r="G2" s="100" t="s">
        <v>332</v>
      </c>
      <c r="H2" s="100" t="s">
        <v>333</v>
      </c>
      <c r="I2" s="100" t="s">
        <v>228</v>
      </c>
      <c r="J2" s="101" t="s">
        <v>334</v>
      </c>
      <c r="K2" s="101" t="s">
        <v>230</v>
      </c>
      <c r="L2" s="101" t="s">
        <v>335</v>
      </c>
      <c r="M2" s="100" t="s">
        <v>336</v>
      </c>
      <c r="N2" s="101" t="s">
        <v>337</v>
      </c>
      <c r="O2" s="101" t="s">
        <v>338</v>
      </c>
      <c r="Q2" s="99" t="s">
        <v>339</v>
      </c>
      <c r="R2" s="99" t="s">
        <v>266</v>
      </c>
      <c r="S2" s="99" t="s">
        <v>267</v>
      </c>
      <c r="T2" s="99" t="s">
        <v>268</v>
      </c>
      <c r="U2" s="99" t="s">
        <v>340</v>
      </c>
      <c r="V2" s="99" t="s">
        <v>341</v>
      </c>
      <c r="W2" s="99" t="s">
        <v>342</v>
      </c>
      <c r="X2" s="99" t="s">
        <v>343</v>
      </c>
      <c r="Z2" s="99" t="s">
        <v>279</v>
      </c>
      <c r="AA2" s="99" t="s">
        <v>280</v>
      </c>
      <c r="AB2" s="99" t="s">
        <v>281</v>
      </c>
      <c r="AC2" s="99" t="s">
        <v>282</v>
      </c>
      <c r="AD2" s="99" t="s">
        <v>283</v>
      </c>
      <c r="AE2" s="99" t="s">
        <v>344</v>
      </c>
      <c r="AF2" s="99" t="s">
        <v>285</v>
      </c>
      <c r="AG2" s="99" t="s">
        <v>286</v>
      </c>
      <c r="AH2" s="99" t="s">
        <v>345</v>
      </c>
      <c r="AI2" s="99" t="s">
        <v>346</v>
      </c>
      <c r="AK2" s="99" t="s">
        <v>292</v>
      </c>
      <c r="AL2" s="99" t="s">
        <v>293</v>
      </c>
      <c r="AM2" s="99" t="s">
        <v>294</v>
      </c>
      <c r="AN2" s="99" t="s">
        <v>347</v>
      </c>
      <c r="AO2" s="99" t="s">
        <v>295</v>
      </c>
      <c r="AP2" s="99" t="s">
        <v>296</v>
      </c>
      <c r="AQ2" s="99" t="s">
        <v>348</v>
      </c>
      <c r="AR2" s="99" t="s">
        <v>349</v>
      </c>
      <c r="AS2" s="99" t="s">
        <v>350</v>
      </c>
      <c r="AU2" s="99" t="s">
        <v>351</v>
      </c>
      <c r="AV2" s="99" t="s">
        <v>280</v>
      </c>
      <c r="AW2" s="99" t="s">
        <v>344</v>
      </c>
      <c r="AX2" s="99" t="s">
        <v>352</v>
      </c>
      <c r="AY2" s="99" t="s">
        <v>345</v>
      </c>
      <c r="AZ2" s="99" t="s">
        <v>346</v>
      </c>
      <c r="BA2" s="99" t="s">
        <v>293</v>
      </c>
      <c r="BB2" s="99" t="s">
        <v>353</v>
      </c>
    </row>
    <row r="3" spans="1:54">
      <c r="A3" s="11">
        <v>1</v>
      </c>
      <c r="B3" s="329" t="s">
        <v>233</v>
      </c>
      <c r="C3" s="329" t="s">
        <v>234</v>
      </c>
      <c r="D3" s="272" t="s">
        <v>235</v>
      </c>
      <c r="E3" s="272"/>
      <c r="F3" s="250">
        <v>1</v>
      </c>
      <c r="G3" s="251">
        <v>10</v>
      </c>
      <c r="H3" s="252">
        <v>1000</v>
      </c>
      <c r="I3" s="253">
        <v>1</v>
      </c>
      <c r="J3" s="254"/>
      <c r="K3" s="254">
        <v>10</v>
      </c>
      <c r="L3" s="254"/>
      <c r="M3" s="254">
        <v>500000</v>
      </c>
      <c r="N3" s="253">
        <v>0</v>
      </c>
      <c r="O3" s="253">
        <v>0.05</v>
      </c>
      <c r="P3" s="10"/>
      <c r="Q3" s="102">
        <f t="shared" ref="Q3:Q20" si="0">IF(D3="sähkö",0,G3*H3)*F3</f>
        <v>10000</v>
      </c>
      <c r="R3" s="102">
        <f t="shared" ref="R3:R20" si="1">IF(D3="pom",$Q3*hv_pom,0)</f>
        <v>359000</v>
      </c>
      <c r="S3" s="102">
        <f t="shared" ref="S3:S20" si="2">R3*(1-bio_osuus)</f>
        <v>348230</v>
      </c>
      <c r="T3" s="102">
        <f t="shared" ref="T3:T20" si="3">R3*bio_osuus</f>
        <v>10770</v>
      </c>
      <c r="U3" s="102">
        <f t="shared" ref="U3:U20" si="4">S3/hv_pom</f>
        <v>9700</v>
      </c>
      <c r="V3" s="102">
        <f t="shared" ref="V3:V20" si="5">T3/hv_biodies</f>
        <v>313.99416909620993</v>
      </c>
      <c r="W3" s="102">
        <f t="shared" ref="W3:W20" si="6">IF(D3="sähkö",G3*H3,0)*F3</f>
        <v>0</v>
      </c>
      <c r="X3" s="102">
        <f t="shared" ref="X3:X20" si="7">IF(D3="sähkö",0,Q3*f_adblue)</f>
        <v>500</v>
      </c>
      <c r="Y3" s="103"/>
      <c r="Z3" s="104">
        <f t="shared" ref="Z3:Z20" si="8">S3*wtt_ef_e_co2_dies/1000/1000</f>
        <v>6.5815469999999987</v>
      </c>
      <c r="AA3" s="104">
        <f t="shared" ref="AA3:AA20" si="9">T3*wtt_ef_e_co2_biodies/1000/1000</f>
        <v>0.67204799999999998</v>
      </c>
      <c r="AB3" s="104">
        <f t="shared" ref="AB3:AB20" si="10">W3*conv_kwh_mj*IF(ostosähkö="jäännössähkö",ef_e_co2_el_fimix,wtt_ef_e_co2_el_wind)/1000/1000</f>
        <v>0</v>
      </c>
      <c r="AC3" s="104">
        <f>IF(K3=0,0,J3*ef_li_ion_akku/1000/1000/K3)</f>
        <v>0</v>
      </c>
      <c r="AD3" s="104">
        <f t="shared" ref="AD3:AD20" si="11">U3*IF(D3="pom",ef_v_co2_pom,IF(D3="diesel",ef_v_co2_dies,0))/1000/1000</f>
        <v>25.702248387419996</v>
      </c>
      <c r="AE3" s="104">
        <f t="shared" ref="AE3:AE20" si="12">(Q3*(IF($D3="pom",ef_v_ch4_pom,IF(D3="diesel",ef_v_ch4_dies,0))*gwp100_ch4+IF($D3="pom",ef_v_n2o_pom,IF(D3="diesel",ef_v_n2o_dies,0))*gwp100_n2o))/1000/1000</f>
        <v>0.31774565999999999</v>
      </c>
      <c r="AF3" s="104">
        <f t="shared" ref="AF3:AF20" si="13">X3*ef_v_co2_adblue/1000/1000</f>
        <v>0.13</v>
      </c>
      <c r="AG3" s="104">
        <f>SUM(Z3:AC3)</f>
        <v>7.2535949999999989</v>
      </c>
      <c r="AH3" s="105">
        <f t="shared" ref="AH3" si="14">SUM(AD3:AF3)</f>
        <v>26.149994047419995</v>
      </c>
      <c r="AI3" s="105">
        <f>AG3+AH3</f>
        <v>33.403589047419992</v>
      </c>
      <c r="AJ3" s="103"/>
      <c r="AK3" s="106">
        <f t="shared" ref="AK3:AK20" si="15">U3*IF(D3="pom",hinta_polttoöljy,IF(D3="diesel",hinta_diesel,0))</f>
        <v>9409</v>
      </c>
      <c r="AL3" s="106">
        <f t="shared" ref="AL3:AL20" si="16">V3*hinta_bioöljy</f>
        <v>430.17201166180763</v>
      </c>
      <c r="AM3" s="106">
        <f t="shared" ref="AM3:AM20" si="17">X3*hinta_adblue</f>
        <v>250</v>
      </c>
      <c r="AN3" s="106">
        <f t="shared" ref="AN3:AN20" si="18">L3*F3</f>
        <v>0</v>
      </c>
      <c r="AO3" s="107">
        <f t="shared" ref="AO3:AO20" si="19">W3*hinta_sähkö</f>
        <v>0</v>
      </c>
      <c r="AP3" s="108">
        <f>SUM(AK3:AO3)</f>
        <v>10089.172011661807</v>
      </c>
      <c r="AQ3" s="108">
        <f t="shared" ref="AQ3:AQ20" si="20">M3*N3</f>
        <v>0</v>
      </c>
      <c r="AR3" s="108">
        <f t="shared" ref="AR3:AR20" si="21">IFERROR((M3*O3/100*POWER(+(1+O3/100),K3)/(POWER(1+O3/100,K3)-1)-AQ3*O3/100/(POWER(1+O3/100,K3)-1))*F3,0)</f>
        <v>50137.603099186257</v>
      </c>
      <c r="AS3" s="108">
        <f>AP3+AR3</f>
        <v>60226.775110848066</v>
      </c>
      <c r="AT3" s="109"/>
      <c r="AU3" s="102">
        <f t="shared" ref="AU3:AU20" si="22">Q3*hv_pom/hv_biodies</f>
        <v>10466.472303206998</v>
      </c>
      <c r="AV3" s="102">
        <f t="shared" ref="AV3:AV20" si="23">AU3*hv_biodies*wtt_ef_e_co2_biodies/1000/1000</f>
        <v>22.401599999999998</v>
      </c>
      <c r="AW3" s="102">
        <f t="shared" ref="AW3:AW20" si="24">(AU3*(IF($D3="pom",ef_v_ch4_pom,IF(D3="diesel",ef_v_ch4_dies,0))*gwp100_ch4+IF($D3="pom",ef_v_n2o_pom,IF(D3="diesel",ef_v_n2o_dies,0))*gwp100_n2o))/1000/1000</f>
        <v>0.33256761498542275</v>
      </c>
      <c r="AX3" s="102">
        <f t="shared" ref="AX3:AX20" si="25">X3*ef_v_co2_adblue/1000/1000</f>
        <v>0.13</v>
      </c>
      <c r="AY3" s="102">
        <f>AW3+AX3</f>
        <v>0.46256761498542276</v>
      </c>
      <c r="AZ3" s="102">
        <f>SUM(AV3:AX3)</f>
        <v>22.864167614985419</v>
      </c>
      <c r="BA3" s="256">
        <f t="shared" ref="BA3:BA20" si="26">AU3*hinta_bioöljy</f>
        <v>14339.067055393589</v>
      </c>
      <c r="BB3" s="256">
        <f>BA3+AN3+AM3</f>
        <v>14589.067055393589</v>
      </c>
    </row>
    <row r="4" spans="1:54">
      <c r="A4" s="11">
        <v>2</v>
      </c>
      <c r="B4" s="329" t="s">
        <v>233</v>
      </c>
      <c r="C4" s="330" t="s">
        <v>237</v>
      </c>
      <c r="D4" s="272" t="s">
        <v>235</v>
      </c>
      <c r="E4" s="272" t="s">
        <v>238</v>
      </c>
      <c r="F4" s="250">
        <v>1</v>
      </c>
      <c r="G4" s="251">
        <v>7</v>
      </c>
      <c r="H4" s="252">
        <v>1000</v>
      </c>
      <c r="I4" s="253">
        <v>1</v>
      </c>
      <c r="J4" s="254"/>
      <c r="K4" s="254">
        <v>10</v>
      </c>
      <c r="L4" s="254"/>
      <c r="M4" s="254">
        <v>500000</v>
      </c>
      <c r="N4" s="253">
        <v>0</v>
      </c>
      <c r="O4" s="253">
        <v>0.05</v>
      </c>
      <c r="P4" s="10"/>
      <c r="Q4" s="102">
        <f t="shared" si="0"/>
        <v>7000</v>
      </c>
      <c r="R4" s="102">
        <f t="shared" si="1"/>
        <v>251300</v>
      </c>
      <c r="S4" s="102">
        <f t="shared" si="2"/>
        <v>243761</v>
      </c>
      <c r="T4" s="102">
        <f t="shared" si="3"/>
        <v>7539</v>
      </c>
      <c r="U4" s="102">
        <f t="shared" si="4"/>
        <v>6790</v>
      </c>
      <c r="V4" s="102">
        <f t="shared" si="5"/>
        <v>219.79591836734696</v>
      </c>
      <c r="W4" s="102">
        <f t="shared" si="6"/>
        <v>0</v>
      </c>
      <c r="X4" s="102">
        <f t="shared" si="7"/>
        <v>350</v>
      </c>
      <c r="Y4" s="103"/>
      <c r="Z4" s="104">
        <f t="shared" si="8"/>
        <v>4.6070828999999991</v>
      </c>
      <c r="AA4" s="104">
        <f t="shared" si="9"/>
        <v>0.47043359999999995</v>
      </c>
      <c r="AB4" s="104">
        <f t="shared" si="10"/>
        <v>0</v>
      </c>
      <c r="AC4" s="104">
        <f t="shared" ref="AC4:AC20" si="27">IF(K4=0,0,J4*ef_li_ion_akku/1000/1000/K4)</f>
        <v>0</v>
      </c>
      <c r="AD4" s="104">
        <f t="shared" si="11"/>
        <v>17.991573871194003</v>
      </c>
      <c r="AE4" s="104">
        <f t="shared" si="12"/>
        <v>0.222421962</v>
      </c>
      <c r="AF4" s="104">
        <f t="shared" si="13"/>
        <v>9.0999999999999998E-2</v>
      </c>
      <c r="AG4" s="104">
        <f t="shared" ref="AG4:AG20" si="28">SUM(Z4:AC4)</f>
        <v>5.0775164999999989</v>
      </c>
      <c r="AH4" s="105">
        <f t="shared" ref="AH4:AH20" si="29">SUM(AD4:AF4)</f>
        <v>18.304995833194003</v>
      </c>
      <c r="AI4" s="105">
        <f t="shared" ref="AI4:AI20" si="30">AG4+AH4</f>
        <v>23.382512333194001</v>
      </c>
      <c r="AJ4" s="103"/>
      <c r="AK4" s="106">
        <f t="shared" si="15"/>
        <v>6586.3</v>
      </c>
      <c r="AL4" s="106">
        <f t="shared" si="16"/>
        <v>301.12040816326538</v>
      </c>
      <c r="AM4" s="106">
        <f t="shared" si="17"/>
        <v>175</v>
      </c>
      <c r="AN4" s="106">
        <f t="shared" si="18"/>
        <v>0</v>
      </c>
      <c r="AO4" s="107">
        <f t="shared" si="19"/>
        <v>0</v>
      </c>
      <c r="AP4" s="108">
        <f t="shared" ref="AP4:AP20" si="31">SUM(AK4:AO4)</f>
        <v>7062.4204081632652</v>
      </c>
      <c r="AQ4" s="108">
        <f t="shared" si="20"/>
        <v>0</v>
      </c>
      <c r="AR4" s="108">
        <f t="shared" si="21"/>
        <v>50137.603099186257</v>
      </c>
      <c r="AS4" s="108">
        <f t="shared" ref="AS4:AS20" si="32">AP4+AR4</f>
        <v>57200.023507349521</v>
      </c>
      <c r="AT4" s="109"/>
      <c r="AU4" s="102">
        <f t="shared" si="22"/>
        <v>7326.5306122448983</v>
      </c>
      <c r="AV4" s="102">
        <f t="shared" si="23"/>
        <v>15.68112</v>
      </c>
      <c r="AW4" s="102">
        <f t="shared" si="24"/>
        <v>0.23279733048979592</v>
      </c>
      <c r="AX4" s="102">
        <f t="shared" si="25"/>
        <v>9.0999999999999998E-2</v>
      </c>
      <c r="AY4" s="102">
        <f t="shared" ref="AY4:AY20" si="33">AW4+AX4</f>
        <v>0.32379733048979592</v>
      </c>
      <c r="AZ4" s="102">
        <f t="shared" ref="AZ4:AZ20" si="34">SUM(AV4:AX4)</f>
        <v>16.004917330489796</v>
      </c>
      <c r="BA4" s="256">
        <f t="shared" si="26"/>
        <v>10037.346938775512</v>
      </c>
      <c r="BB4" s="256">
        <f t="shared" ref="BB4:BB20" si="35">BA4+AN4+AM4</f>
        <v>10212.346938775512</v>
      </c>
    </row>
    <row r="5" spans="1:54" s="373" customFormat="1" ht="18" customHeight="1" thickBot="1">
      <c r="A5" s="353">
        <v>3</v>
      </c>
      <c r="B5" s="354" t="s">
        <v>233</v>
      </c>
      <c r="C5" s="355" t="s">
        <v>240</v>
      </c>
      <c r="D5" s="356" t="s">
        <v>238</v>
      </c>
      <c r="E5" s="357"/>
      <c r="F5" s="358">
        <v>1</v>
      </c>
      <c r="G5" s="359">
        <f>G3*hv_pom/3/conv_kwh_mj</f>
        <v>33.24074074074074</v>
      </c>
      <c r="H5" s="360">
        <v>1000</v>
      </c>
      <c r="I5" s="361">
        <v>0</v>
      </c>
      <c r="J5" s="362"/>
      <c r="K5" s="362">
        <v>10</v>
      </c>
      <c r="L5" s="362"/>
      <c r="M5" s="362">
        <v>500000</v>
      </c>
      <c r="N5" s="361">
        <v>0</v>
      </c>
      <c r="O5" s="361">
        <v>0.05</v>
      </c>
      <c r="P5" s="363"/>
      <c r="Q5" s="364">
        <f t="shared" si="0"/>
        <v>0</v>
      </c>
      <c r="R5" s="364">
        <f t="shared" si="1"/>
        <v>0</v>
      </c>
      <c r="S5" s="364">
        <f t="shared" si="2"/>
        <v>0</v>
      </c>
      <c r="T5" s="364">
        <f t="shared" si="3"/>
        <v>0</v>
      </c>
      <c r="U5" s="364">
        <f t="shared" si="4"/>
        <v>0</v>
      </c>
      <c r="V5" s="364">
        <f t="shared" si="5"/>
        <v>0</v>
      </c>
      <c r="W5" s="364">
        <f>IF(D5="sähkö",G5*H5,0)*F5</f>
        <v>33240.740740740737</v>
      </c>
      <c r="X5" s="364">
        <f t="shared" si="7"/>
        <v>0</v>
      </c>
      <c r="Y5" s="365"/>
      <c r="Z5" s="366">
        <f t="shared" si="8"/>
        <v>0</v>
      </c>
      <c r="AA5" s="366">
        <f t="shared" si="9"/>
        <v>0</v>
      </c>
      <c r="AB5" s="366">
        <f t="shared" si="10"/>
        <v>8.2865842592592589</v>
      </c>
      <c r="AC5" s="366">
        <f t="shared" si="27"/>
        <v>0</v>
      </c>
      <c r="AD5" s="366">
        <f t="shared" si="11"/>
        <v>0</v>
      </c>
      <c r="AE5" s="366">
        <f t="shared" si="12"/>
        <v>0</v>
      </c>
      <c r="AF5" s="366">
        <f t="shared" si="13"/>
        <v>0</v>
      </c>
      <c r="AG5" s="366">
        <f t="shared" si="28"/>
        <v>8.2865842592592589</v>
      </c>
      <c r="AH5" s="367">
        <f t="shared" si="29"/>
        <v>0</v>
      </c>
      <c r="AI5" s="367">
        <f t="shared" si="30"/>
        <v>8.2865842592592589</v>
      </c>
      <c r="AJ5" s="365"/>
      <c r="AK5" s="368">
        <f t="shared" si="15"/>
        <v>0</v>
      </c>
      <c r="AL5" s="368">
        <f t="shared" si="16"/>
        <v>0</v>
      </c>
      <c r="AM5" s="368">
        <f t="shared" si="17"/>
        <v>0</v>
      </c>
      <c r="AN5" s="368">
        <f t="shared" si="18"/>
        <v>0</v>
      </c>
      <c r="AO5" s="369">
        <f t="shared" si="19"/>
        <v>2941.8055555555557</v>
      </c>
      <c r="AP5" s="370">
        <f t="shared" si="31"/>
        <v>2941.8055555555557</v>
      </c>
      <c r="AQ5" s="370">
        <f t="shared" si="20"/>
        <v>0</v>
      </c>
      <c r="AR5" s="370">
        <f t="shared" si="21"/>
        <v>50137.603099186257</v>
      </c>
      <c r="AS5" s="370">
        <f t="shared" si="32"/>
        <v>53079.408654741812</v>
      </c>
      <c r="AT5" s="371"/>
      <c r="AU5" s="364">
        <f t="shared" si="22"/>
        <v>0</v>
      </c>
      <c r="AV5" s="364">
        <f t="shared" si="23"/>
        <v>0</v>
      </c>
      <c r="AW5" s="364">
        <f t="shared" si="24"/>
        <v>0</v>
      </c>
      <c r="AX5" s="364">
        <f t="shared" si="25"/>
        <v>0</v>
      </c>
      <c r="AY5" s="364">
        <f t="shared" si="33"/>
        <v>0</v>
      </c>
      <c r="AZ5" s="364">
        <f t="shared" si="34"/>
        <v>0</v>
      </c>
      <c r="BA5" s="372">
        <f t="shared" si="26"/>
        <v>0</v>
      </c>
      <c r="BB5" s="372">
        <f t="shared" si="35"/>
        <v>0</v>
      </c>
    </row>
    <row r="6" spans="1:54">
      <c r="A6" s="11">
        <v>5</v>
      </c>
      <c r="B6" s="329" t="s">
        <v>233</v>
      </c>
      <c r="C6" s="329" t="s">
        <v>236</v>
      </c>
      <c r="D6" s="272" t="s">
        <v>235</v>
      </c>
      <c r="E6" s="272"/>
      <c r="F6" s="250">
        <v>1</v>
      </c>
      <c r="G6" s="251">
        <v>10</v>
      </c>
      <c r="H6" s="252">
        <v>1000</v>
      </c>
      <c r="I6" s="253">
        <v>1</v>
      </c>
      <c r="J6" s="254"/>
      <c r="K6" s="254">
        <v>10</v>
      </c>
      <c r="L6" s="254"/>
      <c r="M6" s="254">
        <v>500000</v>
      </c>
      <c r="N6" s="253">
        <v>0</v>
      </c>
      <c r="O6" s="253">
        <v>0.05</v>
      </c>
      <c r="P6" s="10"/>
      <c r="Q6" s="102">
        <f t="shared" si="0"/>
        <v>10000</v>
      </c>
      <c r="R6" s="102">
        <f t="shared" si="1"/>
        <v>359000</v>
      </c>
      <c r="S6" s="102">
        <f t="shared" si="2"/>
        <v>348230</v>
      </c>
      <c r="T6" s="102">
        <f t="shared" si="3"/>
        <v>10770</v>
      </c>
      <c r="U6" s="102">
        <f t="shared" si="4"/>
        <v>9700</v>
      </c>
      <c r="V6" s="102">
        <f t="shared" si="5"/>
        <v>313.99416909620993</v>
      </c>
      <c r="W6" s="102">
        <f t="shared" si="6"/>
        <v>0</v>
      </c>
      <c r="X6" s="102">
        <f t="shared" si="7"/>
        <v>500</v>
      </c>
      <c r="Y6" s="103"/>
      <c r="Z6" s="104">
        <f t="shared" si="8"/>
        <v>6.5815469999999987</v>
      </c>
      <c r="AA6" s="104">
        <f t="shared" si="9"/>
        <v>0.67204799999999998</v>
      </c>
      <c r="AB6" s="104">
        <f t="shared" si="10"/>
        <v>0</v>
      </c>
      <c r="AC6" s="104">
        <f t="shared" si="27"/>
        <v>0</v>
      </c>
      <c r="AD6" s="104">
        <f t="shared" si="11"/>
        <v>25.702248387419996</v>
      </c>
      <c r="AE6" s="104">
        <f t="shared" si="12"/>
        <v>0.31774565999999999</v>
      </c>
      <c r="AF6" s="104">
        <f t="shared" si="13"/>
        <v>0.13</v>
      </c>
      <c r="AG6" s="104">
        <f t="shared" si="28"/>
        <v>7.2535949999999989</v>
      </c>
      <c r="AH6" s="105">
        <f t="shared" si="29"/>
        <v>26.149994047419995</v>
      </c>
      <c r="AI6" s="105">
        <f t="shared" si="30"/>
        <v>33.403589047419992</v>
      </c>
      <c r="AJ6" s="103"/>
      <c r="AK6" s="106">
        <f t="shared" si="15"/>
        <v>9409</v>
      </c>
      <c r="AL6" s="106">
        <f t="shared" si="16"/>
        <v>430.17201166180763</v>
      </c>
      <c r="AM6" s="106">
        <f t="shared" si="17"/>
        <v>250</v>
      </c>
      <c r="AN6" s="106">
        <f t="shared" si="18"/>
        <v>0</v>
      </c>
      <c r="AO6" s="107">
        <f t="shared" si="19"/>
        <v>0</v>
      </c>
      <c r="AP6" s="108">
        <f t="shared" si="31"/>
        <v>10089.172011661807</v>
      </c>
      <c r="AQ6" s="108">
        <f t="shared" si="20"/>
        <v>0</v>
      </c>
      <c r="AR6" s="108">
        <f t="shared" si="21"/>
        <v>50137.603099186257</v>
      </c>
      <c r="AS6" s="108">
        <f t="shared" si="32"/>
        <v>60226.775110848066</v>
      </c>
      <c r="AT6" s="109"/>
      <c r="AU6" s="102">
        <f t="shared" si="22"/>
        <v>10466.472303206998</v>
      </c>
      <c r="AV6" s="102">
        <f t="shared" si="23"/>
        <v>22.401599999999998</v>
      </c>
      <c r="AW6" s="102">
        <f t="shared" si="24"/>
        <v>0.33256761498542275</v>
      </c>
      <c r="AX6" s="102">
        <f t="shared" si="25"/>
        <v>0.13</v>
      </c>
      <c r="AY6" s="102">
        <f t="shared" si="33"/>
        <v>0.46256761498542276</v>
      </c>
      <c r="AZ6" s="102">
        <f t="shared" si="34"/>
        <v>22.864167614985419</v>
      </c>
      <c r="BA6" s="256">
        <f t="shared" si="26"/>
        <v>14339.067055393589</v>
      </c>
      <c r="BB6" s="256">
        <f t="shared" si="35"/>
        <v>14589.067055393589</v>
      </c>
    </row>
    <row r="7" spans="1:54">
      <c r="A7" s="11">
        <v>6</v>
      </c>
      <c r="B7" s="329" t="s">
        <v>233</v>
      </c>
      <c r="C7" s="330" t="s">
        <v>239</v>
      </c>
      <c r="D7" s="272" t="s">
        <v>235</v>
      </c>
      <c r="E7" s="272" t="s">
        <v>238</v>
      </c>
      <c r="F7" s="250">
        <v>1</v>
      </c>
      <c r="G7" s="251">
        <v>7</v>
      </c>
      <c r="H7" s="252">
        <v>1000</v>
      </c>
      <c r="I7" s="253">
        <v>1</v>
      </c>
      <c r="J7" s="254"/>
      <c r="K7" s="254">
        <v>10</v>
      </c>
      <c r="L7" s="254"/>
      <c r="M7" s="254">
        <v>500000</v>
      </c>
      <c r="N7" s="253">
        <v>0</v>
      </c>
      <c r="O7" s="253">
        <v>0.05</v>
      </c>
      <c r="P7" s="10"/>
      <c r="Q7" s="102">
        <f t="shared" si="0"/>
        <v>7000</v>
      </c>
      <c r="R7" s="102">
        <f t="shared" si="1"/>
        <v>251300</v>
      </c>
      <c r="S7" s="102">
        <f t="shared" si="2"/>
        <v>243761</v>
      </c>
      <c r="T7" s="102">
        <f t="shared" si="3"/>
        <v>7539</v>
      </c>
      <c r="U7" s="102">
        <f t="shared" si="4"/>
        <v>6790</v>
      </c>
      <c r="V7" s="102">
        <f t="shared" si="5"/>
        <v>219.79591836734696</v>
      </c>
      <c r="W7" s="102">
        <f t="shared" si="6"/>
        <v>0</v>
      </c>
      <c r="X7" s="102">
        <f t="shared" si="7"/>
        <v>350</v>
      </c>
      <c r="Y7" s="103"/>
      <c r="Z7" s="104">
        <f t="shared" si="8"/>
        <v>4.6070828999999991</v>
      </c>
      <c r="AA7" s="104">
        <f t="shared" si="9"/>
        <v>0.47043359999999995</v>
      </c>
      <c r="AB7" s="104">
        <f t="shared" si="10"/>
        <v>0</v>
      </c>
      <c r="AC7" s="104">
        <f t="shared" si="27"/>
        <v>0</v>
      </c>
      <c r="AD7" s="104">
        <f t="shared" si="11"/>
        <v>17.991573871194003</v>
      </c>
      <c r="AE7" s="104">
        <f t="shared" si="12"/>
        <v>0.222421962</v>
      </c>
      <c r="AF7" s="104">
        <f t="shared" si="13"/>
        <v>9.0999999999999998E-2</v>
      </c>
      <c r="AG7" s="104">
        <f t="shared" si="28"/>
        <v>5.0775164999999989</v>
      </c>
      <c r="AH7" s="105">
        <f t="shared" si="29"/>
        <v>18.304995833194003</v>
      </c>
      <c r="AI7" s="105">
        <f t="shared" si="30"/>
        <v>23.382512333194001</v>
      </c>
      <c r="AJ7" s="103"/>
      <c r="AK7" s="106">
        <f t="shared" si="15"/>
        <v>6586.3</v>
      </c>
      <c r="AL7" s="106">
        <f t="shared" si="16"/>
        <v>301.12040816326538</v>
      </c>
      <c r="AM7" s="106">
        <f t="shared" si="17"/>
        <v>175</v>
      </c>
      <c r="AN7" s="106">
        <f t="shared" si="18"/>
        <v>0</v>
      </c>
      <c r="AO7" s="107">
        <f t="shared" si="19"/>
        <v>0</v>
      </c>
      <c r="AP7" s="108">
        <f t="shared" si="31"/>
        <v>7062.4204081632652</v>
      </c>
      <c r="AQ7" s="108">
        <f t="shared" si="20"/>
        <v>0</v>
      </c>
      <c r="AR7" s="108">
        <f t="shared" si="21"/>
        <v>50137.603099186257</v>
      </c>
      <c r="AS7" s="108">
        <f t="shared" si="32"/>
        <v>57200.023507349521</v>
      </c>
      <c r="AT7" s="109"/>
      <c r="AU7" s="102">
        <f t="shared" si="22"/>
        <v>7326.5306122448983</v>
      </c>
      <c r="AV7" s="102">
        <f t="shared" si="23"/>
        <v>15.68112</v>
      </c>
      <c r="AW7" s="102">
        <f t="shared" si="24"/>
        <v>0.23279733048979592</v>
      </c>
      <c r="AX7" s="102">
        <f t="shared" si="25"/>
        <v>9.0999999999999998E-2</v>
      </c>
      <c r="AY7" s="102">
        <f t="shared" si="33"/>
        <v>0.32379733048979592</v>
      </c>
      <c r="AZ7" s="102">
        <f t="shared" si="34"/>
        <v>16.004917330489796</v>
      </c>
      <c r="BA7" s="256">
        <f t="shared" si="26"/>
        <v>10037.346938775512</v>
      </c>
      <c r="BB7" s="256">
        <f t="shared" si="35"/>
        <v>10212.346938775512</v>
      </c>
    </row>
    <row r="8" spans="1:54" s="373" customFormat="1" ht="18" customHeight="1" thickBot="1">
      <c r="A8" s="353">
        <v>7</v>
      </c>
      <c r="B8" s="354" t="s">
        <v>233</v>
      </c>
      <c r="C8" s="355" t="s">
        <v>241</v>
      </c>
      <c r="D8" s="356" t="s">
        <v>238</v>
      </c>
      <c r="E8" s="357"/>
      <c r="F8" s="358">
        <v>1</v>
      </c>
      <c r="G8" s="359">
        <f>G6*hv_pom/3/conv_kwh_mj</f>
        <v>33.24074074074074</v>
      </c>
      <c r="H8" s="360">
        <v>1000</v>
      </c>
      <c r="I8" s="361">
        <v>0</v>
      </c>
      <c r="J8" s="362"/>
      <c r="K8" s="362">
        <v>10</v>
      </c>
      <c r="L8" s="362"/>
      <c r="M8" s="362">
        <v>500000</v>
      </c>
      <c r="N8" s="361">
        <v>0</v>
      </c>
      <c r="O8" s="361">
        <v>0.05</v>
      </c>
      <c r="P8" s="363"/>
      <c r="Q8" s="364">
        <f t="shared" si="0"/>
        <v>0</v>
      </c>
      <c r="R8" s="364">
        <f t="shared" si="1"/>
        <v>0</v>
      </c>
      <c r="S8" s="364">
        <f t="shared" si="2"/>
        <v>0</v>
      </c>
      <c r="T8" s="364">
        <f t="shared" si="3"/>
        <v>0</v>
      </c>
      <c r="U8" s="364">
        <f t="shared" si="4"/>
        <v>0</v>
      </c>
      <c r="V8" s="364">
        <f t="shared" si="5"/>
        <v>0</v>
      </c>
      <c r="W8" s="364">
        <f t="shared" si="6"/>
        <v>33240.740740740737</v>
      </c>
      <c r="X8" s="364">
        <f t="shared" si="7"/>
        <v>0</v>
      </c>
      <c r="Y8" s="365"/>
      <c r="Z8" s="366">
        <f t="shared" si="8"/>
        <v>0</v>
      </c>
      <c r="AA8" s="366">
        <f t="shared" si="9"/>
        <v>0</v>
      </c>
      <c r="AB8" s="366">
        <f t="shared" si="10"/>
        <v>8.2865842592592589</v>
      </c>
      <c r="AC8" s="366">
        <f t="shared" si="27"/>
        <v>0</v>
      </c>
      <c r="AD8" s="366">
        <f t="shared" si="11"/>
        <v>0</v>
      </c>
      <c r="AE8" s="366">
        <f t="shared" si="12"/>
        <v>0</v>
      </c>
      <c r="AF8" s="366">
        <f t="shared" si="13"/>
        <v>0</v>
      </c>
      <c r="AG8" s="366">
        <f t="shared" si="28"/>
        <v>8.2865842592592589</v>
      </c>
      <c r="AH8" s="367">
        <f t="shared" si="29"/>
        <v>0</v>
      </c>
      <c r="AI8" s="367">
        <f t="shared" si="30"/>
        <v>8.2865842592592589</v>
      </c>
      <c r="AJ8" s="365"/>
      <c r="AK8" s="368">
        <f t="shared" si="15"/>
        <v>0</v>
      </c>
      <c r="AL8" s="368">
        <f t="shared" si="16"/>
        <v>0</v>
      </c>
      <c r="AM8" s="368">
        <f t="shared" si="17"/>
        <v>0</v>
      </c>
      <c r="AN8" s="368">
        <f t="shared" si="18"/>
        <v>0</v>
      </c>
      <c r="AO8" s="369">
        <f t="shared" si="19"/>
        <v>2941.8055555555557</v>
      </c>
      <c r="AP8" s="370">
        <f t="shared" si="31"/>
        <v>2941.8055555555557</v>
      </c>
      <c r="AQ8" s="370">
        <f t="shared" si="20"/>
        <v>0</v>
      </c>
      <c r="AR8" s="370">
        <f t="shared" si="21"/>
        <v>50137.603099186257</v>
      </c>
      <c r="AS8" s="370">
        <f t="shared" si="32"/>
        <v>53079.408654741812</v>
      </c>
      <c r="AT8" s="371"/>
      <c r="AU8" s="364">
        <f t="shared" si="22"/>
        <v>0</v>
      </c>
      <c r="AV8" s="364">
        <f t="shared" si="23"/>
        <v>0</v>
      </c>
      <c r="AW8" s="364">
        <f t="shared" si="24"/>
        <v>0</v>
      </c>
      <c r="AX8" s="364">
        <f t="shared" si="25"/>
        <v>0</v>
      </c>
      <c r="AY8" s="364">
        <f t="shared" si="33"/>
        <v>0</v>
      </c>
      <c r="AZ8" s="364">
        <f t="shared" si="34"/>
        <v>0</v>
      </c>
      <c r="BA8" s="372">
        <f t="shared" si="26"/>
        <v>0</v>
      </c>
      <c r="BB8" s="372">
        <f t="shared" si="35"/>
        <v>0</v>
      </c>
    </row>
    <row r="9" spans="1:54">
      <c r="A9" s="11">
        <v>9</v>
      </c>
      <c r="B9" s="329" t="s">
        <v>242</v>
      </c>
      <c r="C9" s="329" t="s">
        <v>243</v>
      </c>
      <c r="D9" s="272" t="s">
        <v>235</v>
      </c>
      <c r="E9" s="272"/>
      <c r="F9" s="250">
        <v>1</v>
      </c>
      <c r="G9" s="251">
        <v>10</v>
      </c>
      <c r="H9" s="252">
        <v>1000</v>
      </c>
      <c r="I9" s="253">
        <v>1</v>
      </c>
      <c r="J9" s="254"/>
      <c r="K9" s="254">
        <v>10</v>
      </c>
      <c r="L9" s="254"/>
      <c r="M9" s="254">
        <v>500000</v>
      </c>
      <c r="N9" s="253">
        <v>0</v>
      </c>
      <c r="O9" s="253">
        <v>0.05</v>
      </c>
      <c r="P9" s="10"/>
      <c r="Q9" s="102">
        <f t="shared" si="0"/>
        <v>10000</v>
      </c>
      <c r="R9" s="102">
        <f t="shared" si="1"/>
        <v>359000</v>
      </c>
      <c r="S9" s="102">
        <f t="shared" si="2"/>
        <v>348230</v>
      </c>
      <c r="T9" s="102">
        <f t="shared" si="3"/>
        <v>10770</v>
      </c>
      <c r="U9" s="102">
        <f t="shared" si="4"/>
        <v>9700</v>
      </c>
      <c r="V9" s="102">
        <f t="shared" si="5"/>
        <v>313.99416909620993</v>
      </c>
      <c r="W9" s="102">
        <f t="shared" si="6"/>
        <v>0</v>
      </c>
      <c r="X9" s="102">
        <f t="shared" si="7"/>
        <v>500</v>
      </c>
      <c r="Y9" s="103"/>
      <c r="Z9" s="104">
        <f t="shared" si="8"/>
        <v>6.5815469999999987</v>
      </c>
      <c r="AA9" s="104">
        <f t="shared" si="9"/>
        <v>0.67204799999999998</v>
      </c>
      <c r="AB9" s="104">
        <f t="shared" si="10"/>
        <v>0</v>
      </c>
      <c r="AC9" s="104">
        <f t="shared" si="27"/>
        <v>0</v>
      </c>
      <c r="AD9" s="104">
        <f t="shared" si="11"/>
        <v>25.702248387419996</v>
      </c>
      <c r="AE9" s="104">
        <f t="shared" si="12"/>
        <v>0.31774565999999999</v>
      </c>
      <c r="AF9" s="104">
        <f t="shared" si="13"/>
        <v>0.13</v>
      </c>
      <c r="AG9" s="104">
        <f t="shared" si="28"/>
        <v>7.2535949999999989</v>
      </c>
      <c r="AH9" s="105">
        <f t="shared" si="29"/>
        <v>26.149994047419995</v>
      </c>
      <c r="AI9" s="105">
        <f t="shared" si="30"/>
        <v>33.403589047419992</v>
      </c>
      <c r="AJ9" s="103"/>
      <c r="AK9" s="106">
        <f t="shared" si="15"/>
        <v>9409</v>
      </c>
      <c r="AL9" s="106">
        <f t="shared" si="16"/>
        <v>430.17201166180763</v>
      </c>
      <c r="AM9" s="106">
        <f t="shared" si="17"/>
        <v>250</v>
      </c>
      <c r="AN9" s="106">
        <f t="shared" si="18"/>
        <v>0</v>
      </c>
      <c r="AO9" s="107">
        <f t="shared" si="19"/>
        <v>0</v>
      </c>
      <c r="AP9" s="108">
        <f t="shared" si="31"/>
        <v>10089.172011661807</v>
      </c>
      <c r="AQ9" s="108">
        <f t="shared" si="20"/>
        <v>0</v>
      </c>
      <c r="AR9" s="108">
        <f t="shared" si="21"/>
        <v>50137.603099186257</v>
      </c>
      <c r="AS9" s="108">
        <f t="shared" si="32"/>
        <v>60226.775110848066</v>
      </c>
      <c r="AT9" s="109"/>
      <c r="AU9" s="102">
        <f t="shared" si="22"/>
        <v>10466.472303206998</v>
      </c>
      <c r="AV9" s="102">
        <f t="shared" si="23"/>
        <v>22.401599999999998</v>
      </c>
      <c r="AW9" s="102">
        <f t="shared" si="24"/>
        <v>0.33256761498542275</v>
      </c>
      <c r="AX9" s="102">
        <f t="shared" si="25"/>
        <v>0.13</v>
      </c>
      <c r="AY9" s="102">
        <f t="shared" si="33"/>
        <v>0.46256761498542276</v>
      </c>
      <c r="AZ9" s="102">
        <f t="shared" si="34"/>
        <v>22.864167614985419</v>
      </c>
      <c r="BA9" s="256">
        <f t="shared" si="26"/>
        <v>14339.067055393589</v>
      </c>
      <c r="BB9" s="256">
        <f t="shared" si="35"/>
        <v>14589.067055393589</v>
      </c>
    </row>
    <row r="10" spans="1:54" s="373" customFormat="1" ht="18" customHeight="1" thickBot="1">
      <c r="A10" s="353">
        <v>10</v>
      </c>
      <c r="B10" s="354" t="s">
        <v>242</v>
      </c>
      <c r="C10" s="354" t="s">
        <v>245</v>
      </c>
      <c r="D10" s="356" t="s">
        <v>238</v>
      </c>
      <c r="E10" s="357"/>
      <c r="F10" s="358">
        <v>1</v>
      </c>
      <c r="G10" s="359">
        <f>G9*hv_pom/3/conv_kwh_mj</f>
        <v>33.24074074074074</v>
      </c>
      <c r="H10" s="360">
        <v>1000</v>
      </c>
      <c r="I10" s="361">
        <v>0</v>
      </c>
      <c r="J10" s="362">
        <v>132</v>
      </c>
      <c r="K10" s="362">
        <v>10</v>
      </c>
      <c r="L10" s="362"/>
      <c r="M10" s="362">
        <v>500000</v>
      </c>
      <c r="N10" s="361">
        <v>0</v>
      </c>
      <c r="O10" s="361">
        <v>0.05</v>
      </c>
      <c r="P10" s="363"/>
      <c r="Q10" s="364">
        <f t="shared" si="0"/>
        <v>0</v>
      </c>
      <c r="R10" s="364">
        <f t="shared" si="1"/>
        <v>0</v>
      </c>
      <c r="S10" s="364">
        <f t="shared" si="2"/>
        <v>0</v>
      </c>
      <c r="T10" s="364">
        <f t="shared" si="3"/>
        <v>0</v>
      </c>
      <c r="U10" s="364">
        <f t="shared" si="4"/>
        <v>0</v>
      </c>
      <c r="V10" s="364">
        <f t="shared" si="5"/>
        <v>0</v>
      </c>
      <c r="W10" s="364">
        <f t="shared" si="6"/>
        <v>33240.740740740737</v>
      </c>
      <c r="X10" s="364">
        <f t="shared" si="7"/>
        <v>0</v>
      </c>
      <c r="Y10" s="365"/>
      <c r="Z10" s="366">
        <f t="shared" si="8"/>
        <v>0</v>
      </c>
      <c r="AA10" s="366">
        <f t="shared" si="9"/>
        <v>0</v>
      </c>
      <c r="AB10" s="366">
        <f t="shared" si="10"/>
        <v>8.2865842592592589</v>
      </c>
      <c r="AC10" s="366">
        <f t="shared" si="27"/>
        <v>2.0957538461538467</v>
      </c>
      <c r="AD10" s="366">
        <f t="shared" si="11"/>
        <v>0</v>
      </c>
      <c r="AE10" s="366">
        <f t="shared" si="12"/>
        <v>0</v>
      </c>
      <c r="AF10" s="366">
        <f t="shared" si="13"/>
        <v>0</v>
      </c>
      <c r="AG10" s="366">
        <f t="shared" si="28"/>
        <v>10.382338105413105</v>
      </c>
      <c r="AH10" s="367">
        <f t="shared" si="29"/>
        <v>0</v>
      </c>
      <c r="AI10" s="367">
        <f t="shared" si="30"/>
        <v>10.382338105413105</v>
      </c>
      <c r="AJ10" s="365"/>
      <c r="AK10" s="368">
        <f t="shared" si="15"/>
        <v>0</v>
      </c>
      <c r="AL10" s="368">
        <f t="shared" si="16"/>
        <v>0</v>
      </c>
      <c r="AM10" s="368">
        <f t="shared" si="17"/>
        <v>0</v>
      </c>
      <c r="AN10" s="368">
        <f t="shared" si="18"/>
        <v>0</v>
      </c>
      <c r="AO10" s="369">
        <f t="shared" si="19"/>
        <v>2941.8055555555557</v>
      </c>
      <c r="AP10" s="370">
        <f t="shared" si="31"/>
        <v>2941.8055555555557</v>
      </c>
      <c r="AQ10" s="370">
        <f t="shared" si="20"/>
        <v>0</v>
      </c>
      <c r="AR10" s="370">
        <f t="shared" si="21"/>
        <v>50137.603099186257</v>
      </c>
      <c r="AS10" s="370">
        <f t="shared" si="32"/>
        <v>53079.408654741812</v>
      </c>
      <c r="AT10" s="371"/>
      <c r="AU10" s="364">
        <f t="shared" si="22"/>
        <v>0</v>
      </c>
      <c r="AV10" s="364">
        <f t="shared" si="23"/>
        <v>0</v>
      </c>
      <c r="AW10" s="364">
        <f t="shared" si="24"/>
        <v>0</v>
      </c>
      <c r="AX10" s="364">
        <f t="shared" si="25"/>
        <v>0</v>
      </c>
      <c r="AY10" s="364">
        <f t="shared" si="33"/>
        <v>0</v>
      </c>
      <c r="AZ10" s="364">
        <f t="shared" si="34"/>
        <v>0</v>
      </c>
      <c r="BA10" s="372">
        <f t="shared" si="26"/>
        <v>0</v>
      </c>
      <c r="BB10" s="372">
        <f t="shared" si="35"/>
        <v>0</v>
      </c>
    </row>
    <row r="11" spans="1:54">
      <c r="A11" s="11">
        <v>12</v>
      </c>
      <c r="B11" s="329" t="s">
        <v>242</v>
      </c>
      <c r="C11" s="329" t="s">
        <v>244</v>
      </c>
      <c r="D11" s="272" t="s">
        <v>235</v>
      </c>
      <c r="E11" s="272"/>
      <c r="F11" s="250">
        <v>1</v>
      </c>
      <c r="G11" s="251">
        <v>10</v>
      </c>
      <c r="H11" s="252">
        <v>1000</v>
      </c>
      <c r="I11" s="253">
        <v>1</v>
      </c>
      <c r="J11" s="254"/>
      <c r="K11" s="254">
        <v>10</v>
      </c>
      <c r="L11" s="254"/>
      <c r="M11" s="254">
        <v>500000</v>
      </c>
      <c r="N11" s="253">
        <v>0</v>
      </c>
      <c r="O11" s="253">
        <v>0.05</v>
      </c>
      <c r="P11" s="10"/>
      <c r="Q11" s="102">
        <f t="shared" si="0"/>
        <v>10000</v>
      </c>
      <c r="R11" s="102">
        <f t="shared" si="1"/>
        <v>359000</v>
      </c>
      <c r="S11" s="102">
        <f t="shared" si="2"/>
        <v>348230</v>
      </c>
      <c r="T11" s="102">
        <f t="shared" si="3"/>
        <v>10770</v>
      </c>
      <c r="U11" s="102">
        <f t="shared" si="4"/>
        <v>9700</v>
      </c>
      <c r="V11" s="102">
        <f t="shared" si="5"/>
        <v>313.99416909620993</v>
      </c>
      <c r="W11" s="102">
        <f t="shared" si="6"/>
        <v>0</v>
      </c>
      <c r="X11" s="102">
        <f t="shared" si="7"/>
        <v>500</v>
      </c>
      <c r="Y11" s="103"/>
      <c r="Z11" s="104">
        <f t="shared" si="8"/>
        <v>6.5815469999999987</v>
      </c>
      <c r="AA11" s="104">
        <f t="shared" si="9"/>
        <v>0.67204799999999998</v>
      </c>
      <c r="AB11" s="104">
        <f t="shared" si="10"/>
        <v>0</v>
      </c>
      <c r="AC11" s="104">
        <f t="shared" si="27"/>
        <v>0</v>
      </c>
      <c r="AD11" s="104">
        <f t="shared" si="11"/>
        <v>25.702248387419996</v>
      </c>
      <c r="AE11" s="104">
        <f t="shared" si="12"/>
        <v>0.31774565999999999</v>
      </c>
      <c r="AF11" s="104">
        <f t="shared" si="13"/>
        <v>0.13</v>
      </c>
      <c r="AG11" s="104">
        <f t="shared" si="28"/>
        <v>7.2535949999999989</v>
      </c>
      <c r="AH11" s="105">
        <f t="shared" si="29"/>
        <v>26.149994047419995</v>
      </c>
      <c r="AI11" s="105">
        <f t="shared" si="30"/>
        <v>33.403589047419992</v>
      </c>
      <c r="AJ11" s="103"/>
      <c r="AK11" s="106">
        <f t="shared" si="15"/>
        <v>9409</v>
      </c>
      <c r="AL11" s="106">
        <f t="shared" si="16"/>
        <v>430.17201166180763</v>
      </c>
      <c r="AM11" s="106">
        <f t="shared" si="17"/>
        <v>250</v>
      </c>
      <c r="AN11" s="106">
        <f t="shared" si="18"/>
        <v>0</v>
      </c>
      <c r="AO11" s="107">
        <f t="shared" si="19"/>
        <v>0</v>
      </c>
      <c r="AP11" s="108">
        <f t="shared" si="31"/>
        <v>10089.172011661807</v>
      </c>
      <c r="AQ11" s="108">
        <f t="shared" si="20"/>
        <v>0</v>
      </c>
      <c r="AR11" s="108">
        <f t="shared" si="21"/>
        <v>50137.603099186257</v>
      </c>
      <c r="AS11" s="108">
        <f t="shared" si="32"/>
        <v>60226.775110848066</v>
      </c>
      <c r="AT11" s="109"/>
      <c r="AU11" s="102">
        <f t="shared" si="22"/>
        <v>10466.472303206998</v>
      </c>
      <c r="AV11" s="102">
        <f t="shared" si="23"/>
        <v>22.401599999999998</v>
      </c>
      <c r="AW11" s="102">
        <f t="shared" si="24"/>
        <v>0.33256761498542275</v>
      </c>
      <c r="AX11" s="102">
        <f t="shared" si="25"/>
        <v>0.13</v>
      </c>
      <c r="AY11" s="102">
        <f t="shared" si="33"/>
        <v>0.46256761498542276</v>
      </c>
      <c r="AZ11" s="102">
        <f t="shared" si="34"/>
        <v>22.864167614985419</v>
      </c>
      <c r="BA11" s="256">
        <f t="shared" si="26"/>
        <v>14339.067055393589</v>
      </c>
      <c r="BB11" s="256">
        <f t="shared" si="35"/>
        <v>14589.067055393589</v>
      </c>
    </row>
    <row r="12" spans="1:54" s="373" customFormat="1" ht="18" customHeight="1" thickBot="1">
      <c r="A12" s="353">
        <v>13</v>
      </c>
      <c r="B12" s="354" t="s">
        <v>242</v>
      </c>
      <c r="C12" s="354" t="s">
        <v>246</v>
      </c>
      <c r="D12" s="356" t="s">
        <v>238</v>
      </c>
      <c r="E12" s="357"/>
      <c r="F12" s="358">
        <v>1</v>
      </c>
      <c r="G12" s="359">
        <f>G11*hv_pom/3/conv_kwh_mj</f>
        <v>33.24074074074074</v>
      </c>
      <c r="H12" s="360">
        <v>1000</v>
      </c>
      <c r="I12" s="361">
        <v>0</v>
      </c>
      <c r="J12" s="362">
        <v>222</v>
      </c>
      <c r="K12" s="362">
        <v>10</v>
      </c>
      <c r="L12" s="362"/>
      <c r="M12" s="362">
        <v>500000</v>
      </c>
      <c r="N12" s="361">
        <v>0</v>
      </c>
      <c r="O12" s="361">
        <v>0.05</v>
      </c>
      <c r="P12" s="363"/>
      <c r="Q12" s="364">
        <f t="shared" si="0"/>
        <v>0</v>
      </c>
      <c r="R12" s="364">
        <f t="shared" si="1"/>
        <v>0</v>
      </c>
      <c r="S12" s="364">
        <f t="shared" si="2"/>
        <v>0</v>
      </c>
      <c r="T12" s="364">
        <f t="shared" si="3"/>
        <v>0</v>
      </c>
      <c r="U12" s="364">
        <f t="shared" si="4"/>
        <v>0</v>
      </c>
      <c r="V12" s="364">
        <f t="shared" si="5"/>
        <v>0</v>
      </c>
      <c r="W12" s="364">
        <f t="shared" si="6"/>
        <v>33240.740740740737</v>
      </c>
      <c r="X12" s="364">
        <f t="shared" si="7"/>
        <v>0</v>
      </c>
      <c r="Y12" s="365"/>
      <c r="Z12" s="366">
        <f t="shared" si="8"/>
        <v>0</v>
      </c>
      <c r="AA12" s="366">
        <f t="shared" si="9"/>
        <v>0</v>
      </c>
      <c r="AB12" s="366">
        <f t="shared" si="10"/>
        <v>8.2865842592592589</v>
      </c>
      <c r="AC12" s="366">
        <f t="shared" si="27"/>
        <v>3.5246769230769233</v>
      </c>
      <c r="AD12" s="366">
        <f t="shared" si="11"/>
        <v>0</v>
      </c>
      <c r="AE12" s="366">
        <f t="shared" si="12"/>
        <v>0</v>
      </c>
      <c r="AF12" s="366">
        <f t="shared" si="13"/>
        <v>0</v>
      </c>
      <c r="AG12" s="366">
        <f t="shared" si="28"/>
        <v>11.811261182336182</v>
      </c>
      <c r="AH12" s="367">
        <f t="shared" si="29"/>
        <v>0</v>
      </c>
      <c r="AI12" s="367">
        <f t="shared" si="30"/>
        <v>11.811261182336182</v>
      </c>
      <c r="AJ12" s="365"/>
      <c r="AK12" s="368">
        <f t="shared" si="15"/>
        <v>0</v>
      </c>
      <c r="AL12" s="368">
        <f t="shared" si="16"/>
        <v>0</v>
      </c>
      <c r="AM12" s="368">
        <f t="shared" si="17"/>
        <v>0</v>
      </c>
      <c r="AN12" s="368">
        <f t="shared" si="18"/>
        <v>0</v>
      </c>
      <c r="AO12" s="369">
        <f t="shared" si="19"/>
        <v>2941.8055555555557</v>
      </c>
      <c r="AP12" s="370">
        <f t="shared" si="31"/>
        <v>2941.8055555555557</v>
      </c>
      <c r="AQ12" s="370">
        <f t="shared" si="20"/>
        <v>0</v>
      </c>
      <c r="AR12" s="370">
        <f t="shared" si="21"/>
        <v>50137.603099186257</v>
      </c>
      <c r="AS12" s="370">
        <f t="shared" si="32"/>
        <v>53079.408654741812</v>
      </c>
      <c r="AT12" s="371"/>
      <c r="AU12" s="364">
        <f t="shared" si="22"/>
        <v>0</v>
      </c>
      <c r="AV12" s="364">
        <f t="shared" si="23"/>
        <v>0</v>
      </c>
      <c r="AW12" s="364">
        <f t="shared" si="24"/>
        <v>0</v>
      </c>
      <c r="AX12" s="364">
        <f t="shared" si="25"/>
        <v>0</v>
      </c>
      <c r="AY12" s="364">
        <f t="shared" si="33"/>
        <v>0</v>
      </c>
      <c r="AZ12" s="364">
        <f t="shared" si="34"/>
        <v>0</v>
      </c>
      <c r="BA12" s="372">
        <f t="shared" si="26"/>
        <v>0</v>
      </c>
      <c r="BB12" s="372">
        <f t="shared" si="35"/>
        <v>0</v>
      </c>
    </row>
    <row r="13" spans="1:54">
      <c r="A13" s="11">
        <v>19</v>
      </c>
      <c r="B13" s="330" t="s">
        <v>247</v>
      </c>
      <c r="C13" s="330" t="s">
        <v>249</v>
      </c>
      <c r="D13" s="272" t="s">
        <v>235</v>
      </c>
      <c r="E13" s="272"/>
      <c r="F13" s="250">
        <v>1</v>
      </c>
      <c r="G13" s="251">
        <v>10</v>
      </c>
      <c r="H13" s="252">
        <v>1000</v>
      </c>
      <c r="I13" s="253">
        <v>1</v>
      </c>
      <c r="J13" s="254"/>
      <c r="K13" s="254">
        <v>10</v>
      </c>
      <c r="L13" s="254"/>
      <c r="M13" s="254">
        <v>500000</v>
      </c>
      <c r="N13" s="253">
        <v>0</v>
      </c>
      <c r="O13" s="253">
        <v>0.05</v>
      </c>
      <c r="P13" s="10"/>
      <c r="Q13" s="102">
        <f t="shared" si="0"/>
        <v>10000</v>
      </c>
      <c r="R13" s="102">
        <f t="shared" si="1"/>
        <v>359000</v>
      </c>
      <c r="S13" s="102">
        <f t="shared" si="2"/>
        <v>348230</v>
      </c>
      <c r="T13" s="102">
        <f t="shared" si="3"/>
        <v>10770</v>
      </c>
      <c r="U13" s="102">
        <f t="shared" si="4"/>
        <v>9700</v>
      </c>
      <c r="V13" s="102">
        <f t="shared" si="5"/>
        <v>313.99416909620993</v>
      </c>
      <c r="W13" s="102">
        <f t="shared" si="6"/>
        <v>0</v>
      </c>
      <c r="X13" s="102">
        <f t="shared" si="7"/>
        <v>500</v>
      </c>
      <c r="Y13" s="103"/>
      <c r="Z13" s="104">
        <f t="shared" si="8"/>
        <v>6.5815469999999987</v>
      </c>
      <c r="AA13" s="104">
        <f t="shared" si="9"/>
        <v>0.67204799999999998</v>
      </c>
      <c r="AB13" s="104">
        <f t="shared" si="10"/>
        <v>0</v>
      </c>
      <c r="AC13" s="104">
        <f t="shared" si="27"/>
        <v>0</v>
      </c>
      <c r="AD13" s="104">
        <f t="shared" si="11"/>
        <v>25.702248387419996</v>
      </c>
      <c r="AE13" s="104">
        <f t="shared" si="12"/>
        <v>0.31774565999999999</v>
      </c>
      <c r="AF13" s="104">
        <f t="shared" si="13"/>
        <v>0.13</v>
      </c>
      <c r="AG13" s="104">
        <f t="shared" si="28"/>
        <v>7.2535949999999989</v>
      </c>
      <c r="AH13" s="105">
        <f t="shared" si="29"/>
        <v>26.149994047419995</v>
      </c>
      <c r="AI13" s="105">
        <f t="shared" si="30"/>
        <v>33.403589047419992</v>
      </c>
      <c r="AJ13" s="103"/>
      <c r="AK13" s="106">
        <f t="shared" si="15"/>
        <v>9409</v>
      </c>
      <c r="AL13" s="106">
        <f t="shared" si="16"/>
        <v>430.17201166180763</v>
      </c>
      <c r="AM13" s="106">
        <f t="shared" si="17"/>
        <v>250</v>
      </c>
      <c r="AN13" s="106">
        <f t="shared" si="18"/>
        <v>0</v>
      </c>
      <c r="AO13" s="107">
        <f t="shared" si="19"/>
        <v>0</v>
      </c>
      <c r="AP13" s="108">
        <f t="shared" si="31"/>
        <v>10089.172011661807</v>
      </c>
      <c r="AQ13" s="108">
        <f t="shared" si="20"/>
        <v>0</v>
      </c>
      <c r="AR13" s="108">
        <f t="shared" si="21"/>
        <v>50137.603099186257</v>
      </c>
      <c r="AS13" s="108">
        <f t="shared" si="32"/>
        <v>60226.775110848066</v>
      </c>
      <c r="AT13" s="109"/>
      <c r="AU13" s="102">
        <f t="shared" si="22"/>
        <v>10466.472303206998</v>
      </c>
      <c r="AV13" s="102">
        <f t="shared" si="23"/>
        <v>22.401599999999998</v>
      </c>
      <c r="AW13" s="102">
        <f t="shared" si="24"/>
        <v>0.33256761498542275</v>
      </c>
      <c r="AX13" s="102">
        <f t="shared" si="25"/>
        <v>0.13</v>
      </c>
      <c r="AY13" s="102">
        <f t="shared" si="33"/>
        <v>0.46256761498542276</v>
      </c>
      <c r="AZ13" s="102">
        <f t="shared" si="34"/>
        <v>22.864167614985419</v>
      </c>
      <c r="BA13" s="256">
        <f t="shared" si="26"/>
        <v>14339.067055393589</v>
      </c>
      <c r="BB13" s="256">
        <f t="shared" si="35"/>
        <v>14589.067055393589</v>
      </c>
    </row>
    <row r="14" spans="1:54">
      <c r="A14" s="11">
        <v>20</v>
      </c>
      <c r="B14" s="330" t="s">
        <v>247</v>
      </c>
      <c r="C14" s="330" t="s">
        <v>251</v>
      </c>
      <c r="D14" s="272" t="s">
        <v>235</v>
      </c>
      <c r="E14" s="272" t="s">
        <v>238</v>
      </c>
      <c r="F14" s="250">
        <v>1</v>
      </c>
      <c r="G14" s="251">
        <f>G13*0.7</f>
        <v>7</v>
      </c>
      <c r="H14" s="252">
        <v>1000</v>
      </c>
      <c r="I14" s="253">
        <v>1</v>
      </c>
      <c r="J14" s="254"/>
      <c r="K14" s="254">
        <v>10</v>
      </c>
      <c r="L14" s="254"/>
      <c r="M14" s="254">
        <v>500000</v>
      </c>
      <c r="N14" s="253">
        <v>0</v>
      </c>
      <c r="O14" s="253">
        <v>0.05</v>
      </c>
      <c r="P14" s="10"/>
      <c r="Q14" s="102">
        <f t="shared" si="0"/>
        <v>7000</v>
      </c>
      <c r="R14" s="102">
        <f t="shared" si="1"/>
        <v>251300</v>
      </c>
      <c r="S14" s="102">
        <f t="shared" si="2"/>
        <v>243761</v>
      </c>
      <c r="T14" s="102">
        <f t="shared" si="3"/>
        <v>7539</v>
      </c>
      <c r="U14" s="102">
        <f t="shared" si="4"/>
        <v>6790</v>
      </c>
      <c r="V14" s="102">
        <f t="shared" si="5"/>
        <v>219.79591836734696</v>
      </c>
      <c r="W14" s="102">
        <f t="shared" si="6"/>
        <v>0</v>
      </c>
      <c r="X14" s="102">
        <f t="shared" si="7"/>
        <v>350</v>
      </c>
      <c r="Y14" s="103"/>
      <c r="Z14" s="104">
        <f t="shared" si="8"/>
        <v>4.6070828999999991</v>
      </c>
      <c r="AA14" s="104">
        <f t="shared" si="9"/>
        <v>0.47043359999999995</v>
      </c>
      <c r="AB14" s="104">
        <f t="shared" si="10"/>
        <v>0</v>
      </c>
      <c r="AC14" s="104">
        <f t="shared" si="27"/>
        <v>0</v>
      </c>
      <c r="AD14" s="104">
        <f t="shared" si="11"/>
        <v>17.991573871194003</v>
      </c>
      <c r="AE14" s="104">
        <f t="shared" si="12"/>
        <v>0.222421962</v>
      </c>
      <c r="AF14" s="104">
        <f t="shared" si="13"/>
        <v>9.0999999999999998E-2</v>
      </c>
      <c r="AG14" s="104">
        <f t="shared" si="28"/>
        <v>5.0775164999999989</v>
      </c>
      <c r="AH14" s="105">
        <f t="shared" si="29"/>
        <v>18.304995833194003</v>
      </c>
      <c r="AI14" s="105">
        <f t="shared" si="30"/>
        <v>23.382512333194001</v>
      </c>
      <c r="AJ14" s="103"/>
      <c r="AK14" s="106">
        <f t="shared" si="15"/>
        <v>6586.3</v>
      </c>
      <c r="AL14" s="106">
        <f t="shared" si="16"/>
        <v>301.12040816326538</v>
      </c>
      <c r="AM14" s="106">
        <f t="shared" si="17"/>
        <v>175</v>
      </c>
      <c r="AN14" s="106">
        <f t="shared" si="18"/>
        <v>0</v>
      </c>
      <c r="AO14" s="107">
        <f t="shared" si="19"/>
        <v>0</v>
      </c>
      <c r="AP14" s="108">
        <f t="shared" si="31"/>
        <v>7062.4204081632652</v>
      </c>
      <c r="AQ14" s="108">
        <f t="shared" si="20"/>
        <v>0</v>
      </c>
      <c r="AR14" s="108">
        <f t="shared" si="21"/>
        <v>50137.603099186257</v>
      </c>
      <c r="AS14" s="108">
        <f t="shared" si="32"/>
        <v>57200.023507349521</v>
      </c>
      <c r="AT14" s="109"/>
      <c r="AU14" s="102">
        <f t="shared" si="22"/>
        <v>7326.5306122448983</v>
      </c>
      <c r="AV14" s="102">
        <f t="shared" si="23"/>
        <v>15.68112</v>
      </c>
      <c r="AW14" s="102">
        <f t="shared" si="24"/>
        <v>0.23279733048979592</v>
      </c>
      <c r="AX14" s="102">
        <f t="shared" si="25"/>
        <v>9.0999999999999998E-2</v>
      </c>
      <c r="AY14" s="102">
        <f t="shared" si="33"/>
        <v>0.32379733048979592</v>
      </c>
      <c r="AZ14" s="102">
        <f t="shared" si="34"/>
        <v>16.004917330489796</v>
      </c>
      <c r="BA14" s="256">
        <f t="shared" si="26"/>
        <v>10037.346938775512</v>
      </c>
      <c r="BB14" s="256">
        <f t="shared" si="35"/>
        <v>10212.346938775512</v>
      </c>
    </row>
    <row r="15" spans="1:54" s="373" customFormat="1" ht="18" customHeight="1" thickBot="1">
      <c r="A15" s="353">
        <v>21</v>
      </c>
      <c r="B15" s="355" t="s">
        <v>247</v>
      </c>
      <c r="C15" s="355" t="s">
        <v>253</v>
      </c>
      <c r="D15" s="356" t="s">
        <v>238</v>
      </c>
      <c r="E15" s="374"/>
      <c r="F15" s="358">
        <v>1</v>
      </c>
      <c r="G15" s="359">
        <f>G13*hv_pom/3/conv_kwh_mj</f>
        <v>33.24074074074074</v>
      </c>
      <c r="H15" s="360">
        <v>1000</v>
      </c>
      <c r="I15" s="361">
        <v>0</v>
      </c>
      <c r="J15" s="362"/>
      <c r="K15" s="362">
        <v>10</v>
      </c>
      <c r="L15" s="362"/>
      <c r="M15" s="362">
        <v>500000</v>
      </c>
      <c r="N15" s="361">
        <v>0</v>
      </c>
      <c r="O15" s="361">
        <v>0.05</v>
      </c>
      <c r="P15" s="363"/>
      <c r="Q15" s="364">
        <f t="shared" si="0"/>
        <v>0</v>
      </c>
      <c r="R15" s="364">
        <f t="shared" si="1"/>
        <v>0</v>
      </c>
      <c r="S15" s="364">
        <f t="shared" si="2"/>
        <v>0</v>
      </c>
      <c r="T15" s="364">
        <f t="shared" si="3"/>
        <v>0</v>
      </c>
      <c r="U15" s="364">
        <f t="shared" si="4"/>
        <v>0</v>
      </c>
      <c r="V15" s="364">
        <f t="shared" si="5"/>
        <v>0</v>
      </c>
      <c r="W15" s="364">
        <f t="shared" si="6"/>
        <v>33240.740740740737</v>
      </c>
      <c r="X15" s="364">
        <f t="shared" si="7"/>
        <v>0</v>
      </c>
      <c r="Y15" s="365"/>
      <c r="Z15" s="366">
        <f t="shared" si="8"/>
        <v>0</v>
      </c>
      <c r="AA15" s="366">
        <f t="shared" si="9"/>
        <v>0</v>
      </c>
      <c r="AB15" s="366">
        <f t="shared" si="10"/>
        <v>8.2865842592592589</v>
      </c>
      <c r="AC15" s="366">
        <f t="shared" si="27"/>
        <v>0</v>
      </c>
      <c r="AD15" s="366">
        <f t="shared" si="11"/>
        <v>0</v>
      </c>
      <c r="AE15" s="366">
        <f t="shared" si="12"/>
        <v>0</v>
      </c>
      <c r="AF15" s="366">
        <f t="shared" si="13"/>
        <v>0</v>
      </c>
      <c r="AG15" s="366">
        <f t="shared" si="28"/>
        <v>8.2865842592592589</v>
      </c>
      <c r="AH15" s="367">
        <f t="shared" si="29"/>
        <v>0</v>
      </c>
      <c r="AI15" s="367">
        <f t="shared" si="30"/>
        <v>8.2865842592592589</v>
      </c>
      <c r="AJ15" s="365"/>
      <c r="AK15" s="368">
        <f t="shared" si="15"/>
        <v>0</v>
      </c>
      <c r="AL15" s="368">
        <f t="shared" si="16"/>
        <v>0</v>
      </c>
      <c r="AM15" s="368">
        <f t="shared" si="17"/>
        <v>0</v>
      </c>
      <c r="AN15" s="368">
        <f t="shared" si="18"/>
        <v>0</v>
      </c>
      <c r="AO15" s="369">
        <f t="shared" si="19"/>
        <v>2941.8055555555557</v>
      </c>
      <c r="AP15" s="370">
        <f t="shared" si="31"/>
        <v>2941.8055555555557</v>
      </c>
      <c r="AQ15" s="370">
        <f t="shared" si="20"/>
        <v>0</v>
      </c>
      <c r="AR15" s="370">
        <f t="shared" si="21"/>
        <v>50137.603099186257</v>
      </c>
      <c r="AS15" s="370">
        <f t="shared" si="32"/>
        <v>53079.408654741812</v>
      </c>
      <c r="AT15" s="371"/>
      <c r="AU15" s="364">
        <f t="shared" si="22"/>
        <v>0</v>
      </c>
      <c r="AV15" s="364">
        <f t="shared" si="23"/>
        <v>0</v>
      </c>
      <c r="AW15" s="364">
        <f t="shared" si="24"/>
        <v>0</v>
      </c>
      <c r="AX15" s="364">
        <f t="shared" si="25"/>
        <v>0</v>
      </c>
      <c r="AY15" s="364">
        <f t="shared" si="33"/>
        <v>0</v>
      </c>
      <c r="AZ15" s="364">
        <f t="shared" si="34"/>
        <v>0</v>
      </c>
      <c r="BA15" s="372">
        <f t="shared" si="26"/>
        <v>0</v>
      </c>
      <c r="BB15" s="372">
        <f t="shared" si="35"/>
        <v>0</v>
      </c>
    </row>
    <row r="16" spans="1:54">
      <c r="A16" s="11">
        <v>23</v>
      </c>
      <c r="B16" s="330" t="s">
        <v>254</v>
      </c>
      <c r="C16" s="330" t="s">
        <v>17</v>
      </c>
      <c r="D16" s="272" t="s">
        <v>235</v>
      </c>
      <c r="E16" s="272"/>
      <c r="F16" s="250">
        <v>1</v>
      </c>
      <c r="G16" s="251">
        <v>10</v>
      </c>
      <c r="H16" s="252">
        <v>1000</v>
      </c>
      <c r="I16" s="253">
        <v>1</v>
      </c>
      <c r="J16" s="254"/>
      <c r="K16" s="254">
        <v>10</v>
      </c>
      <c r="L16" s="254"/>
      <c r="M16" s="254">
        <v>500000</v>
      </c>
      <c r="N16" s="253">
        <v>0</v>
      </c>
      <c r="O16" s="253">
        <v>0.05</v>
      </c>
      <c r="P16" s="10"/>
      <c r="Q16" s="102">
        <f t="shared" si="0"/>
        <v>10000</v>
      </c>
      <c r="R16" s="102">
        <f t="shared" si="1"/>
        <v>359000</v>
      </c>
      <c r="S16" s="102">
        <f t="shared" si="2"/>
        <v>348230</v>
      </c>
      <c r="T16" s="102">
        <f t="shared" si="3"/>
        <v>10770</v>
      </c>
      <c r="U16" s="102">
        <f t="shared" si="4"/>
        <v>9700</v>
      </c>
      <c r="V16" s="102">
        <f t="shared" si="5"/>
        <v>313.99416909620993</v>
      </c>
      <c r="W16" s="102">
        <f t="shared" si="6"/>
        <v>0</v>
      </c>
      <c r="X16" s="102">
        <f t="shared" si="7"/>
        <v>500</v>
      </c>
      <c r="Y16" s="103"/>
      <c r="Z16" s="104">
        <f t="shared" si="8"/>
        <v>6.5815469999999987</v>
      </c>
      <c r="AA16" s="104">
        <f t="shared" si="9"/>
        <v>0.67204799999999998</v>
      </c>
      <c r="AB16" s="104">
        <f t="shared" si="10"/>
        <v>0</v>
      </c>
      <c r="AC16" s="104">
        <f t="shared" si="27"/>
        <v>0</v>
      </c>
      <c r="AD16" s="104">
        <f t="shared" si="11"/>
        <v>25.702248387419996</v>
      </c>
      <c r="AE16" s="104">
        <f t="shared" si="12"/>
        <v>0.31774565999999999</v>
      </c>
      <c r="AF16" s="104">
        <f t="shared" si="13"/>
        <v>0.13</v>
      </c>
      <c r="AG16" s="104">
        <f t="shared" si="28"/>
        <v>7.2535949999999989</v>
      </c>
      <c r="AH16" s="105">
        <f t="shared" si="29"/>
        <v>26.149994047419995</v>
      </c>
      <c r="AI16" s="105">
        <f t="shared" si="30"/>
        <v>33.403589047419992</v>
      </c>
      <c r="AJ16" s="103"/>
      <c r="AK16" s="106">
        <f t="shared" si="15"/>
        <v>9409</v>
      </c>
      <c r="AL16" s="106">
        <f t="shared" si="16"/>
        <v>430.17201166180763</v>
      </c>
      <c r="AM16" s="106">
        <f t="shared" si="17"/>
        <v>250</v>
      </c>
      <c r="AN16" s="106">
        <f t="shared" si="18"/>
        <v>0</v>
      </c>
      <c r="AO16" s="107">
        <f t="shared" si="19"/>
        <v>0</v>
      </c>
      <c r="AP16" s="108">
        <f t="shared" si="31"/>
        <v>10089.172011661807</v>
      </c>
      <c r="AQ16" s="108">
        <f t="shared" si="20"/>
        <v>0</v>
      </c>
      <c r="AR16" s="108">
        <f t="shared" si="21"/>
        <v>50137.603099186257</v>
      </c>
      <c r="AS16" s="108">
        <f t="shared" si="32"/>
        <v>60226.775110848066</v>
      </c>
      <c r="AT16" s="109"/>
      <c r="AU16" s="102">
        <f t="shared" si="22"/>
        <v>10466.472303206998</v>
      </c>
      <c r="AV16" s="102">
        <f t="shared" si="23"/>
        <v>22.401599999999998</v>
      </c>
      <c r="AW16" s="102">
        <f t="shared" si="24"/>
        <v>0.33256761498542275</v>
      </c>
      <c r="AX16" s="102">
        <f t="shared" si="25"/>
        <v>0.13</v>
      </c>
      <c r="AY16" s="102">
        <f t="shared" si="33"/>
        <v>0.46256761498542276</v>
      </c>
      <c r="AZ16" s="102">
        <f t="shared" si="34"/>
        <v>22.864167614985419</v>
      </c>
      <c r="BA16" s="256">
        <f t="shared" si="26"/>
        <v>14339.067055393589</v>
      </c>
      <c r="BB16" s="256">
        <f t="shared" si="35"/>
        <v>14589.067055393589</v>
      </c>
    </row>
    <row r="17" spans="1:54" s="373" customFormat="1" ht="18" customHeight="1" thickBot="1">
      <c r="A17" s="353">
        <v>24</v>
      </c>
      <c r="B17" s="355" t="s">
        <v>254</v>
      </c>
      <c r="C17" s="355" t="s">
        <v>21</v>
      </c>
      <c r="D17" s="356" t="s">
        <v>238</v>
      </c>
      <c r="E17" s="374"/>
      <c r="F17" s="358">
        <v>1</v>
      </c>
      <c r="G17" s="359">
        <f>G16*hv_pom/3/conv_kwh_mj</f>
        <v>33.24074074074074</v>
      </c>
      <c r="H17" s="360">
        <v>1000</v>
      </c>
      <c r="I17" s="361">
        <v>0</v>
      </c>
      <c r="J17" s="362">
        <v>38.799999999999997</v>
      </c>
      <c r="K17" s="362">
        <v>10</v>
      </c>
      <c r="L17" s="362"/>
      <c r="M17" s="362">
        <v>500000</v>
      </c>
      <c r="N17" s="361">
        <v>0</v>
      </c>
      <c r="O17" s="361">
        <v>0.05</v>
      </c>
      <c r="P17" s="363"/>
      <c r="Q17" s="364">
        <f t="shared" si="0"/>
        <v>0</v>
      </c>
      <c r="R17" s="364">
        <f t="shared" si="1"/>
        <v>0</v>
      </c>
      <c r="S17" s="364">
        <f t="shared" si="2"/>
        <v>0</v>
      </c>
      <c r="T17" s="364">
        <f t="shared" si="3"/>
        <v>0</v>
      </c>
      <c r="U17" s="364">
        <f t="shared" si="4"/>
        <v>0</v>
      </c>
      <c r="V17" s="364">
        <f t="shared" si="5"/>
        <v>0</v>
      </c>
      <c r="W17" s="364">
        <f t="shared" si="6"/>
        <v>33240.740740740737</v>
      </c>
      <c r="X17" s="364">
        <f t="shared" si="7"/>
        <v>0</v>
      </c>
      <c r="Y17" s="365"/>
      <c r="Z17" s="366">
        <f t="shared" si="8"/>
        <v>0</v>
      </c>
      <c r="AA17" s="366">
        <f t="shared" si="9"/>
        <v>0</v>
      </c>
      <c r="AB17" s="366">
        <f t="shared" si="10"/>
        <v>8.2865842592592589</v>
      </c>
      <c r="AC17" s="366">
        <f t="shared" si="27"/>
        <v>0.61602461538461539</v>
      </c>
      <c r="AD17" s="366">
        <f t="shared" si="11"/>
        <v>0</v>
      </c>
      <c r="AE17" s="366">
        <f t="shared" si="12"/>
        <v>0</v>
      </c>
      <c r="AF17" s="366">
        <f t="shared" si="13"/>
        <v>0</v>
      </c>
      <c r="AG17" s="366">
        <f t="shared" si="28"/>
        <v>8.9026088746438745</v>
      </c>
      <c r="AH17" s="367">
        <f t="shared" si="29"/>
        <v>0</v>
      </c>
      <c r="AI17" s="367">
        <f t="shared" si="30"/>
        <v>8.9026088746438745</v>
      </c>
      <c r="AJ17" s="365"/>
      <c r="AK17" s="368">
        <f t="shared" si="15"/>
        <v>0</v>
      </c>
      <c r="AL17" s="368">
        <f t="shared" si="16"/>
        <v>0</v>
      </c>
      <c r="AM17" s="368">
        <f t="shared" si="17"/>
        <v>0</v>
      </c>
      <c r="AN17" s="368">
        <f t="shared" si="18"/>
        <v>0</v>
      </c>
      <c r="AO17" s="369">
        <f t="shared" si="19"/>
        <v>2941.8055555555557</v>
      </c>
      <c r="AP17" s="370">
        <f t="shared" si="31"/>
        <v>2941.8055555555557</v>
      </c>
      <c r="AQ17" s="370">
        <f t="shared" si="20"/>
        <v>0</v>
      </c>
      <c r="AR17" s="370">
        <f t="shared" si="21"/>
        <v>50137.603099186257</v>
      </c>
      <c r="AS17" s="370">
        <f t="shared" si="32"/>
        <v>53079.408654741812</v>
      </c>
      <c r="AT17" s="371"/>
      <c r="AU17" s="364">
        <f t="shared" si="22"/>
        <v>0</v>
      </c>
      <c r="AV17" s="364">
        <f t="shared" si="23"/>
        <v>0</v>
      </c>
      <c r="AW17" s="364">
        <f t="shared" si="24"/>
        <v>0</v>
      </c>
      <c r="AX17" s="364">
        <f t="shared" si="25"/>
        <v>0</v>
      </c>
      <c r="AY17" s="364">
        <f t="shared" si="33"/>
        <v>0</v>
      </c>
      <c r="AZ17" s="364">
        <f t="shared" si="34"/>
        <v>0</v>
      </c>
      <c r="BA17" s="372">
        <f t="shared" si="26"/>
        <v>0</v>
      </c>
      <c r="BB17" s="372">
        <f t="shared" si="35"/>
        <v>0</v>
      </c>
    </row>
    <row r="18" spans="1:54">
      <c r="A18" s="11">
        <v>26</v>
      </c>
      <c r="B18" s="330" t="s">
        <v>254</v>
      </c>
      <c r="C18" s="330" t="s">
        <v>32</v>
      </c>
      <c r="D18" s="272" t="s">
        <v>235</v>
      </c>
      <c r="E18" s="272"/>
      <c r="F18" s="250">
        <v>1</v>
      </c>
      <c r="G18" s="251">
        <v>10</v>
      </c>
      <c r="H18" s="252">
        <v>1000</v>
      </c>
      <c r="I18" s="253">
        <v>1</v>
      </c>
      <c r="J18" s="254"/>
      <c r="K18" s="254">
        <v>10</v>
      </c>
      <c r="L18" s="254"/>
      <c r="M18" s="254">
        <v>500000</v>
      </c>
      <c r="N18" s="253">
        <v>0</v>
      </c>
      <c r="O18" s="253">
        <v>0.05</v>
      </c>
      <c r="P18" s="10"/>
      <c r="Q18" s="102">
        <f t="shared" si="0"/>
        <v>10000</v>
      </c>
      <c r="R18" s="102">
        <f t="shared" si="1"/>
        <v>359000</v>
      </c>
      <c r="S18" s="102">
        <f t="shared" si="2"/>
        <v>348230</v>
      </c>
      <c r="T18" s="102">
        <f t="shared" si="3"/>
        <v>10770</v>
      </c>
      <c r="U18" s="102">
        <f t="shared" si="4"/>
        <v>9700</v>
      </c>
      <c r="V18" s="102">
        <f t="shared" si="5"/>
        <v>313.99416909620993</v>
      </c>
      <c r="W18" s="102">
        <f t="shared" si="6"/>
        <v>0</v>
      </c>
      <c r="X18" s="102">
        <f t="shared" si="7"/>
        <v>500</v>
      </c>
      <c r="Y18" s="103"/>
      <c r="Z18" s="104">
        <f t="shared" si="8"/>
        <v>6.5815469999999987</v>
      </c>
      <c r="AA18" s="104">
        <f t="shared" si="9"/>
        <v>0.67204799999999998</v>
      </c>
      <c r="AB18" s="104">
        <f t="shared" si="10"/>
        <v>0</v>
      </c>
      <c r="AC18" s="104">
        <f t="shared" si="27"/>
        <v>0</v>
      </c>
      <c r="AD18" s="104">
        <f t="shared" si="11"/>
        <v>25.702248387419996</v>
      </c>
      <c r="AE18" s="104">
        <f t="shared" si="12"/>
        <v>0.31774565999999999</v>
      </c>
      <c r="AF18" s="104">
        <f t="shared" si="13"/>
        <v>0.13</v>
      </c>
      <c r="AG18" s="104">
        <f t="shared" si="28"/>
        <v>7.2535949999999989</v>
      </c>
      <c r="AH18" s="105">
        <f t="shared" si="29"/>
        <v>26.149994047419995</v>
      </c>
      <c r="AI18" s="105">
        <f t="shared" si="30"/>
        <v>33.403589047419992</v>
      </c>
      <c r="AJ18" s="103"/>
      <c r="AK18" s="106">
        <f t="shared" si="15"/>
        <v>9409</v>
      </c>
      <c r="AL18" s="106">
        <f t="shared" si="16"/>
        <v>430.17201166180763</v>
      </c>
      <c r="AM18" s="106">
        <f t="shared" si="17"/>
        <v>250</v>
      </c>
      <c r="AN18" s="106">
        <f t="shared" si="18"/>
        <v>0</v>
      </c>
      <c r="AO18" s="107">
        <f t="shared" si="19"/>
        <v>0</v>
      </c>
      <c r="AP18" s="108">
        <f t="shared" si="31"/>
        <v>10089.172011661807</v>
      </c>
      <c r="AQ18" s="108">
        <f t="shared" si="20"/>
        <v>0</v>
      </c>
      <c r="AR18" s="108">
        <f t="shared" si="21"/>
        <v>50137.603099186257</v>
      </c>
      <c r="AS18" s="108">
        <f t="shared" si="32"/>
        <v>60226.775110848066</v>
      </c>
      <c r="AT18" s="109"/>
      <c r="AU18" s="102">
        <f t="shared" si="22"/>
        <v>10466.472303206998</v>
      </c>
      <c r="AV18" s="102">
        <f t="shared" si="23"/>
        <v>22.401599999999998</v>
      </c>
      <c r="AW18" s="102">
        <f t="shared" si="24"/>
        <v>0.33256761498542275</v>
      </c>
      <c r="AX18" s="102">
        <f t="shared" si="25"/>
        <v>0.13</v>
      </c>
      <c r="AY18" s="102">
        <f t="shared" si="33"/>
        <v>0.46256761498542276</v>
      </c>
      <c r="AZ18" s="102">
        <f t="shared" si="34"/>
        <v>22.864167614985419</v>
      </c>
      <c r="BA18" s="256">
        <f t="shared" si="26"/>
        <v>14339.067055393589</v>
      </c>
      <c r="BB18" s="256">
        <f t="shared" si="35"/>
        <v>14589.067055393589</v>
      </c>
    </row>
    <row r="19" spans="1:54">
      <c r="A19" s="11">
        <v>27</v>
      </c>
      <c r="B19" s="330" t="s">
        <v>254</v>
      </c>
      <c r="C19" s="330" t="s">
        <v>256</v>
      </c>
      <c r="D19" s="272" t="s">
        <v>235</v>
      </c>
      <c r="E19" s="272" t="s">
        <v>238</v>
      </c>
      <c r="F19" s="250">
        <v>1</v>
      </c>
      <c r="G19" s="251">
        <f>G18*0.7</f>
        <v>7</v>
      </c>
      <c r="H19" s="252">
        <v>1000</v>
      </c>
      <c r="I19" s="253">
        <v>1</v>
      </c>
      <c r="J19" s="254"/>
      <c r="K19" s="254">
        <v>10</v>
      </c>
      <c r="L19" s="254"/>
      <c r="M19" s="254">
        <v>500000</v>
      </c>
      <c r="N19" s="253">
        <v>0</v>
      </c>
      <c r="O19" s="253">
        <v>0.05</v>
      </c>
      <c r="P19" s="10"/>
      <c r="Q19" s="102">
        <f t="shared" si="0"/>
        <v>7000</v>
      </c>
      <c r="R19" s="102">
        <f t="shared" si="1"/>
        <v>251300</v>
      </c>
      <c r="S19" s="102">
        <f t="shared" si="2"/>
        <v>243761</v>
      </c>
      <c r="T19" s="102">
        <f t="shared" si="3"/>
        <v>7539</v>
      </c>
      <c r="U19" s="102">
        <f t="shared" si="4"/>
        <v>6790</v>
      </c>
      <c r="V19" s="102">
        <f t="shared" si="5"/>
        <v>219.79591836734696</v>
      </c>
      <c r="W19" s="102">
        <f t="shared" si="6"/>
        <v>0</v>
      </c>
      <c r="X19" s="102">
        <f t="shared" si="7"/>
        <v>350</v>
      </c>
      <c r="Y19" s="103"/>
      <c r="Z19" s="104">
        <f t="shared" si="8"/>
        <v>4.6070828999999991</v>
      </c>
      <c r="AA19" s="104">
        <f t="shared" si="9"/>
        <v>0.47043359999999995</v>
      </c>
      <c r="AB19" s="104">
        <f t="shared" si="10"/>
        <v>0</v>
      </c>
      <c r="AC19" s="104">
        <f t="shared" si="27"/>
        <v>0</v>
      </c>
      <c r="AD19" s="104">
        <f t="shared" si="11"/>
        <v>17.991573871194003</v>
      </c>
      <c r="AE19" s="104">
        <f t="shared" si="12"/>
        <v>0.222421962</v>
      </c>
      <c r="AF19" s="104">
        <f t="shared" si="13"/>
        <v>9.0999999999999998E-2</v>
      </c>
      <c r="AG19" s="104">
        <f t="shared" si="28"/>
        <v>5.0775164999999989</v>
      </c>
      <c r="AH19" s="105">
        <f t="shared" si="29"/>
        <v>18.304995833194003</v>
      </c>
      <c r="AI19" s="105">
        <f t="shared" si="30"/>
        <v>23.382512333194001</v>
      </c>
      <c r="AJ19" s="103"/>
      <c r="AK19" s="106">
        <f t="shared" si="15"/>
        <v>6586.3</v>
      </c>
      <c r="AL19" s="106">
        <f t="shared" si="16"/>
        <v>301.12040816326538</v>
      </c>
      <c r="AM19" s="106">
        <f t="shared" si="17"/>
        <v>175</v>
      </c>
      <c r="AN19" s="106">
        <f t="shared" si="18"/>
        <v>0</v>
      </c>
      <c r="AO19" s="107">
        <f t="shared" si="19"/>
        <v>0</v>
      </c>
      <c r="AP19" s="108">
        <f t="shared" si="31"/>
        <v>7062.4204081632652</v>
      </c>
      <c r="AQ19" s="108">
        <f t="shared" si="20"/>
        <v>0</v>
      </c>
      <c r="AR19" s="108">
        <f t="shared" si="21"/>
        <v>50137.603099186257</v>
      </c>
      <c r="AS19" s="108">
        <f t="shared" si="32"/>
        <v>57200.023507349521</v>
      </c>
      <c r="AT19" s="109"/>
      <c r="AU19" s="102">
        <f t="shared" si="22"/>
        <v>7326.5306122448983</v>
      </c>
      <c r="AV19" s="102">
        <f t="shared" si="23"/>
        <v>15.68112</v>
      </c>
      <c r="AW19" s="102">
        <f t="shared" si="24"/>
        <v>0.23279733048979592</v>
      </c>
      <c r="AX19" s="102">
        <f t="shared" si="25"/>
        <v>9.0999999999999998E-2</v>
      </c>
      <c r="AY19" s="102">
        <f t="shared" si="33"/>
        <v>0.32379733048979592</v>
      </c>
      <c r="AZ19" s="102">
        <f t="shared" si="34"/>
        <v>16.004917330489796</v>
      </c>
      <c r="BA19" s="256">
        <f t="shared" si="26"/>
        <v>10037.346938775512</v>
      </c>
      <c r="BB19" s="256">
        <f t="shared" si="35"/>
        <v>10212.346938775512</v>
      </c>
    </row>
    <row r="20" spans="1:54">
      <c r="A20" s="11">
        <v>28</v>
      </c>
      <c r="B20" s="330" t="s">
        <v>254</v>
      </c>
      <c r="C20" s="330" t="s">
        <v>34</v>
      </c>
      <c r="D20" s="272" t="s">
        <v>238</v>
      </c>
      <c r="E20" s="273"/>
      <c r="F20" s="250">
        <v>1</v>
      </c>
      <c r="G20" s="251">
        <f>G18*hv_pom/3/conv_kwh_mj</f>
        <v>33.24074074074074</v>
      </c>
      <c r="H20" s="252">
        <v>1000</v>
      </c>
      <c r="I20" s="253">
        <v>0</v>
      </c>
      <c r="J20" s="254">
        <v>165.89</v>
      </c>
      <c r="K20" s="254">
        <v>10</v>
      </c>
      <c r="L20" s="254"/>
      <c r="M20" s="254">
        <v>500000</v>
      </c>
      <c r="N20" s="253">
        <v>0</v>
      </c>
      <c r="O20" s="253">
        <v>0.05</v>
      </c>
      <c r="P20" s="10"/>
      <c r="Q20" s="102">
        <f t="shared" si="0"/>
        <v>0</v>
      </c>
      <c r="R20" s="102">
        <f t="shared" si="1"/>
        <v>0</v>
      </c>
      <c r="S20" s="102">
        <f t="shared" si="2"/>
        <v>0</v>
      </c>
      <c r="T20" s="102">
        <f t="shared" si="3"/>
        <v>0</v>
      </c>
      <c r="U20" s="102">
        <f t="shared" si="4"/>
        <v>0</v>
      </c>
      <c r="V20" s="102">
        <f t="shared" si="5"/>
        <v>0</v>
      </c>
      <c r="W20" s="102">
        <f t="shared" si="6"/>
        <v>33240.740740740737</v>
      </c>
      <c r="X20" s="102">
        <f t="shared" si="7"/>
        <v>0</v>
      </c>
      <c r="Y20" s="103"/>
      <c r="Z20" s="104">
        <f t="shared" si="8"/>
        <v>0</v>
      </c>
      <c r="AA20" s="104">
        <f t="shared" si="9"/>
        <v>0</v>
      </c>
      <c r="AB20" s="104">
        <f t="shared" si="10"/>
        <v>8.2865842592592589</v>
      </c>
      <c r="AC20" s="104">
        <f t="shared" si="27"/>
        <v>2.6338227692307692</v>
      </c>
      <c r="AD20" s="104">
        <f t="shared" si="11"/>
        <v>0</v>
      </c>
      <c r="AE20" s="104">
        <f t="shared" si="12"/>
        <v>0</v>
      </c>
      <c r="AF20" s="104">
        <f t="shared" si="13"/>
        <v>0</v>
      </c>
      <c r="AG20" s="104">
        <f t="shared" si="28"/>
        <v>10.920407028490029</v>
      </c>
      <c r="AH20" s="105">
        <f t="shared" si="29"/>
        <v>0</v>
      </c>
      <c r="AI20" s="105">
        <f t="shared" si="30"/>
        <v>10.920407028490029</v>
      </c>
      <c r="AJ20" s="103"/>
      <c r="AK20" s="106">
        <f t="shared" si="15"/>
        <v>0</v>
      </c>
      <c r="AL20" s="106">
        <f t="shared" si="16"/>
        <v>0</v>
      </c>
      <c r="AM20" s="106">
        <f t="shared" si="17"/>
        <v>0</v>
      </c>
      <c r="AN20" s="106">
        <f t="shared" si="18"/>
        <v>0</v>
      </c>
      <c r="AO20" s="107">
        <f t="shared" si="19"/>
        <v>2941.8055555555557</v>
      </c>
      <c r="AP20" s="108">
        <f t="shared" si="31"/>
        <v>2941.8055555555557</v>
      </c>
      <c r="AQ20" s="108">
        <f t="shared" si="20"/>
        <v>0</v>
      </c>
      <c r="AR20" s="108">
        <f t="shared" si="21"/>
        <v>50137.603099186257</v>
      </c>
      <c r="AS20" s="108">
        <f t="shared" si="32"/>
        <v>53079.408654741812</v>
      </c>
      <c r="AT20" s="109"/>
      <c r="AU20" s="102">
        <f t="shared" si="22"/>
        <v>0</v>
      </c>
      <c r="AV20" s="102">
        <f t="shared" si="23"/>
        <v>0</v>
      </c>
      <c r="AW20" s="102">
        <f t="shared" si="24"/>
        <v>0</v>
      </c>
      <c r="AX20" s="102">
        <f t="shared" si="25"/>
        <v>0</v>
      </c>
      <c r="AY20" s="102">
        <f t="shared" si="33"/>
        <v>0</v>
      </c>
      <c r="AZ20" s="102">
        <f t="shared" si="34"/>
        <v>0</v>
      </c>
      <c r="BA20" s="256">
        <f t="shared" si="26"/>
        <v>0</v>
      </c>
      <c r="BB20" s="256">
        <f t="shared" si="35"/>
        <v>0</v>
      </c>
    </row>
    <row r="21" spans="1:54" s="103" customFormat="1">
      <c r="A21" s="110"/>
      <c r="D21" s="111"/>
      <c r="E21" s="111"/>
      <c r="F21" s="111"/>
      <c r="G21" s="111"/>
      <c r="H21" s="111"/>
      <c r="I21" s="111"/>
      <c r="J21" s="112"/>
      <c r="K21" s="112"/>
      <c r="L21" s="112"/>
      <c r="M21" s="112"/>
      <c r="N21" s="112"/>
      <c r="O21" s="271" t="s">
        <v>354</v>
      </c>
      <c r="Q21" s="113">
        <f>SUM(Q3:Q20)</f>
        <v>98000</v>
      </c>
      <c r="R21" s="113"/>
      <c r="S21" s="113"/>
      <c r="T21" s="113"/>
      <c r="U21" s="113">
        <f>SUM(U3:U20)</f>
        <v>95060</v>
      </c>
      <c r="V21" s="113">
        <f>SUM(V3:V20)</f>
        <v>3077.1428571428578</v>
      </c>
      <c r="W21" s="113">
        <f>SUM(W3:W20)</f>
        <v>232685.18518518514</v>
      </c>
      <c r="X21" s="113">
        <f>SUM(X3:X20)</f>
        <v>4900</v>
      </c>
      <c r="Y21" s="113"/>
      <c r="Z21" s="113">
        <f t="shared" ref="Z21:AI21" si="36">SUM(Z3:Z20)</f>
        <v>64.499160599999996</v>
      </c>
      <c r="AA21" s="113">
        <f t="shared" si="36"/>
        <v>6.5860704000000005</v>
      </c>
      <c r="AB21" s="113">
        <f t="shared" si="36"/>
        <v>58.006089814814807</v>
      </c>
      <c r="AC21" s="113">
        <f t="shared" si="36"/>
        <v>8.8702781538461544</v>
      </c>
      <c r="AD21" s="113">
        <f t="shared" si="36"/>
        <v>251.88203419671592</v>
      </c>
      <c r="AE21" s="113">
        <f t="shared" si="36"/>
        <v>3.1139074679999994</v>
      </c>
      <c r="AF21" s="113">
        <f t="shared" si="36"/>
        <v>1.2739999999999998</v>
      </c>
      <c r="AG21" s="113">
        <f t="shared" si="36"/>
        <v>137.96159896866098</v>
      </c>
      <c r="AH21" s="113">
        <f t="shared" si="36"/>
        <v>256.26994166471599</v>
      </c>
      <c r="AI21" s="113">
        <f t="shared" si="36"/>
        <v>394.23154063337694</v>
      </c>
      <c r="AK21" s="114">
        <f t="shared" ref="AK21:AP21" si="37">SUM(AK3:AK20)</f>
        <v>92208.2</v>
      </c>
      <c r="AL21" s="114">
        <f t="shared" si="37"/>
        <v>4215.6857142857143</v>
      </c>
      <c r="AM21" s="114">
        <f t="shared" si="37"/>
        <v>2450</v>
      </c>
      <c r="AN21" s="114">
        <f t="shared" si="37"/>
        <v>0</v>
      </c>
      <c r="AO21" s="114">
        <f t="shared" si="37"/>
        <v>20592.638888888887</v>
      </c>
      <c r="AP21" s="114">
        <f t="shared" si="37"/>
        <v>119466.52460317462</v>
      </c>
      <c r="AQ21" s="114"/>
      <c r="AR21" s="114">
        <f>SUM(AR3:AR20)</f>
        <v>902476.85578535229</v>
      </c>
      <c r="AS21" s="114">
        <f>SUM(AS3:AS20)</f>
        <v>1021943.3803885272</v>
      </c>
      <c r="AT21" s="114"/>
      <c r="AU21" s="352">
        <f t="shared" ref="AU21:BB21" si="38">SUM(AU3:AU20)</f>
        <v>102571.42857142858</v>
      </c>
      <c r="AV21" s="352">
        <f t="shared" si="38"/>
        <v>219.53567999999999</v>
      </c>
      <c r="AW21" s="352">
        <f t="shared" si="38"/>
        <v>3.259162626857143</v>
      </c>
      <c r="AX21" s="352">
        <f t="shared" si="38"/>
        <v>1.2739999999999998</v>
      </c>
      <c r="AY21" s="352">
        <f t="shared" si="38"/>
        <v>4.533162626857143</v>
      </c>
      <c r="AZ21" s="352">
        <f t="shared" si="38"/>
        <v>224.06884262685716</v>
      </c>
      <c r="BA21" s="114">
        <f t="shared" si="38"/>
        <v>140522.85714285719</v>
      </c>
      <c r="BB21" s="114">
        <f t="shared" si="38"/>
        <v>142972.85714285716</v>
      </c>
    </row>
    <row r="22" spans="1:54">
      <c r="Z22" s="116" t="s">
        <v>279</v>
      </c>
      <c r="AA22" s="116" t="s">
        <v>280</v>
      </c>
      <c r="AB22" s="116" t="s">
        <v>281</v>
      </c>
      <c r="AC22" s="116" t="s">
        <v>282</v>
      </c>
      <c r="AD22" s="116" t="s">
        <v>283</v>
      </c>
      <c r="AE22" s="116" t="s">
        <v>344</v>
      </c>
      <c r="AF22" s="116" t="s">
        <v>352</v>
      </c>
    </row>
    <row r="23" spans="1:54" ht="14.4" thickBot="1">
      <c r="B23" s="397" t="s">
        <v>355</v>
      </c>
      <c r="C23" s="397"/>
      <c r="D23" s="397"/>
      <c r="E23" s="397"/>
      <c r="G23" s="397" t="s">
        <v>356</v>
      </c>
      <c r="H23" s="397"/>
      <c r="I23" s="397"/>
    </row>
    <row r="24" spans="1:54" ht="14.4" thickTop="1">
      <c r="B24" s="392" t="s">
        <v>357</v>
      </c>
      <c r="C24" s="393"/>
      <c r="D24" s="117">
        <f>hinta_sähkö3</f>
        <v>8.8500000000000009E-2</v>
      </c>
      <c r="E24" s="118" t="s">
        <v>176</v>
      </c>
      <c r="G24" s="119" t="s">
        <v>358</v>
      </c>
      <c r="H24" s="120">
        <f>AH21</f>
        <v>256.26994166471599</v>
      </c>
      <c r="I24" s="121" t="s">
        <v>359</v>
      </c>
    </row>
    <row r="25" spans="1:54">
      <c r="B25" s="392" t="s">
        <v>360</v>
      </c>
      <c r="C25" s="393"/>
      <c r="D25" s="122">
        <f>hinta_pom_pok</f>
        <v>0.97</v>
      </c>
      <c r="E25" s="118" t="s">
        <v>167</v>
      </c>
      <c r="G25" s="119" t="s">
        <v>361</v>
      </c>
      <c r="H25" s="120">
        <f>AI21</f>
        <v>394.23154063337694</v>
      </c>
      <c r="I25" s="121" t="s">
        <v>359</v>
      </c>
    </row>
    <row r="26" spans="1:54">
      <c r="B26" s="394" t="s">
        <v>362</v>
      </c>
      <c r="C26" s="395"/>
      <c r="D26" s="122">
        <f>hinta_dies</f>
        <v>1.41</v>
      </c>
      <c r="E26" s="118" t="s">
        <v>167</v>
      </c>
      <c r="G26" s="123" t="s">
        <v>363</v>
      </c>
      <c r="H26" s="124">
        <f>AP21</f>
        <v>119466.52460317462</v>
      </c>
      <c r="I26" s="125"/>
    </row>
    <row r="27" spans="1:54">
      <c r="B27" s="392" t="s">
        <v>364</v>
      </c>
      <c r="C27" s="393"/>
      <c r="D27" s="122">
        <f>hinta_biodiesel4</f>
        <v>1.37</v>
      </c>
      <c r="E27" s="118" t="s">
        <v>167</v>
      </c>
      <c r="G27" s="123" t="s">
        <v>365</v>
      </c>
      <c r="H27" s="124">
        <f>AR21</f>
        <v>902476.85578535229</v>
      </c>
      <c r="I27" s="125"/>
    </row>
    <row r="28" spans="1:54">
      <c r="B28" s="394" t="s">
        <v>366</v>
      </c>
      <c r="C28" s="395"/>
      <c r="D28" s="122">
        <v>0.5</v>
      </c>
      <c r="E28" s="118" t="s">
        <v>167</v>
      </c>
    </row>
    <row r="29" spans="1:54">
      <c r="B29" s="394" t="s">
        <v>367</v>
      </c>
      <c r="C29" s="395"/>
      <c r="D29" s="27" t="s">
        <v>10</v>
      </c>
      <c r="E29" s="118"/>
    </row>
    <row r="30" spans="1:54">
      <c r="B30" s="392" t="s">
        <v>368</v>
      </c>
      <c r="C30" s="393"/>
      <c r="D30" s="27">
        <v>0.03</v>
      </c>
      <c r="E30" s="118"/>
      <c r="Q30" s="2" t="s">
        <v>431</v>
      </c>
    </row>
    <row r="31" spans="1:54">
      <c r="A31" s="2"/>
      <c r="B31" s="22"/>
      <c r="D31" s="126"/>
    </row>
    <row r="32" spans="1:54" ht="55.2">
      <c r="B32" s="304" t="s">
        <v>369</v>
      </c>
      <c r="C32" s="305" t="s">
        <v>370</v>
      </c>
      <c r="D32" s="305" t="s">
        <v>371</v>
      </c>
      <c r="E32" s="305" t="s">
        <v>372</v>
      </c>
      <c r="F32" s="305" t="s">
        <v>373</v>
      </c>
      <c r="G32" s="305" t="s">
        <v>374</v>
      </c>
      <c r="H32" s="305" t="s">
        <v>375</v>
      </c>
      <c r="I32" s="305" t="s">
        <v>376</v>
      </c>
      <c r="J32" s="305" t="s">
        <v>377</v>
      </c>
      <c r="K32" s="305" t="s">
        <v>378</v>
      </c>
      <c r="L32" s="306" t="s">
        <v>379</v>
      </c>
    </row>
    <row r="33" spans="1:14">
      <c r="B33" s="307" t="s">
        <v>380</v>
      </c>
      <c r="C33" s="308" t="s">
        <v>381</v>
      </c>
      <c r="D33" s="309">
        <f>$Q4-$Q3</f>
        <v>-3000</v>
      </c>
      <c r="E33" s="310">
        <f>$W4-$W3</f>
        <v>0</v>
      </c>
      <c r="F33" s="311">
        <f>$AH4-$AH3</f>
        <v>-7.844998214225992</v>
      </c>
      <c r="G33" s="311">
        <f>$AI4-$AI3</f>
        <v>-10.021076714225991</v>
      </c>
      <c r="H33" s="312">
        <f>$AP4-$AP3</f>
        <v>-3026.751603498542</v>
      </c>
      <c r="I33" s="312">
        <f>$AR4-$AR3</f>
        <v>0</v>
      </c>
      <c r="J33" s="313">
        <f>$AS4-$AS3</f>
        <v>-3026.7516034985456</v>
      </c>
      <c r="K33" s="314">
        <f t="shared" ref="K33:K50" si="39">-J33/F33</f>
        <v>-385.81928521154839</v>
      </c>
      <c r="L33" s="315">
        <f t="shared" ref="L33:L50" si="40">-J33/G33</f>
        <v>-302.03856230356439</v>
      </c>
    </row>
    <row r="34" spans="1:14">
      <c r="B34" s="316" t="s">
        <v>380</v>
      </c>
      <c r="C34" s="185" t="s">
        <v>382</v>
      </c>
      <c r="D34" s="269">
        <f>$Q5-$Q3</f>
        <v>-10000</v>
      </c>
      <c r="E34" s="264">
        <f>$W5-$W3</f>
        <v>33240.740740740737</v>
      </c>
      <c r="F34" s="265">
        <f>$AH5-$AH3</f>
        <v>-26.149994047419995</v>
      </c>
      <c r="G34" s="265">
        <f>$AI5-$AI3</f>
        <v>-25.117004788160735</v>
      </c>
      <c r="H34" s="266">
        <f>$AP5-$AP3</f>
        <v>-7147.3664561062515</v>
      </c>
      <c r="I34" s="266">
        <f>$AR5-$AR3</f>
        <v>0</v>
      </c>
      <c r="J34" s="270">
        <f>$AS5-$AS3</f>
        <v>-7147.3664561062542</v>
      </c>
      <c r="K34" s="260">
        <f t="shared" si="39"/>
        <v>-273.32191522282301</v>
      </c>
      <c r="L34" s="317">
        <f t="shared" si="40"/>
        <v>-284.56284960678391</v>
      </c>
    </row>
    <row r="35" spans="1:14">
      <c r="B35" s="318" t="s">
        <v>380</v>
      </c>
      <c r="C35" s="319" t="s">
        <v>383</v>
      </c>
      <c r="D35" s="320">
        <f>AU3-Q3</f>
        <v>466.47230320699782</v>
      </c>
      <c r="E35" s="321">
        <v>0</v>
      </c>
      <c r="F35" s="322">
        <f>AY3-AH3</f>
        <v>-25.68742643243457</v>
      </c>
      <c r="G35" s="322">
        <f>AZ3-AI3</f>
        <v>-10.539421432434573</v>
      </c>
      <c r="H35" s="323">
        <f>BB3-AP3</f>
        <v>4499.8950437317817</v>
      </c>
      <c r="I35" s="323">
        <v>0</v>
      </c>
      <c r="J35" s="324">
        <f>(BB3+AR3)-AS3</f>
        <v>4499.8950437317762</v>
      </c>
      <c r="K35" s="325">
        <f t="shared" si="39"/>
        <v>175.17889756561692</v>
      </c>
      <c r="L35" s="326">
        <f t="shared" si="40"/>
        <v>426.95845047846376</v>
      </c>
    </row>
    <row r="36" spans="1:14">
      <c r="B36" s="307" t="s">
        <v>384</v>
      </c>
      <c r="C36" s="308" t="s">
        <v>381</v>
      </c>
      <c r="D36" s="309">
        <f>$Q7-$Q6</f>
        <v>-3000</v>
      </c>
      <c r="E36" s="310">
        <f>$W7-$W6</f>
        <v>0</v>
      </c>
      <c r="F36" s="311">
        <f>$AH7-$AH6</f>
        <v>-7.844998214225992</v>
      </c>
      <c r="G36" s="311">
        <f>$AI7-$AI6</f>
        <v>-10.021076714225991</v>
      </c>
      <c r="H36" s="312">
        <f>$AP7-$AP6</f>
        <v>-3026.751603498542</v>
      </c>
      <c r="I36" s="312">
        <f>$AR7-$AR6</f>
        <v>0</v>
      </c>
      <c r="J36" s="313">
        <f>$AS7-$AS6</f>
        <v>-3026.7516034985456</v>
      </c>
      <c r="K36" s="314">
        <f t="shared" si="39"/>
        <v>-385.81928521154839</v>
      </c>
      <c r="L36" s="315">
        <f t="shared" si="40"/>
        <v>-302.03856230356439</v>
      </c>
    </row>
    <row r="37" spans="1:14">
      <c r="B37" s="316" t="s">
        <v>384</v>
      </c>
      <c r="C37" s="185" t="s">
        <v>382</v>
      </c>
      <c r="D37" s="269">
        <f>$Q8-$Q6</f>
        <v>-10000</v>
      </c>
      <c r="E37" s="264">
        <f>$W8-$W6</f>
        <v>33240.740740740737</v>
      </c>
      <c r="F37" s="265">
        <f>$AH8-$AH6</f>
        <v>-26.149994047419995</v>
      </c>
      <c r="G37" s="265">
        <f>$AI8-$AI6</f>
        <v>-25.117004788160735</v>
      </c>
      <c r="H37" s="266">
        <f>$AP8-$AP6</f>
        <v>-7147.3664561062515</v>
      </c>
      <c r="I37" s="266">
        <f>$AR8-$AR6</f>
        <v>0</v>
      </c>
      <c r="J37" s="270">
        <f>$AS8-$AS6</f>
        <v>-7147.3664561062542</v>
      </c>
      <c r="K37" s="260">
        <f t="shared" si="39"/>
        <v>-273.32191522282301</v>
      </c>
      <c r="L37" s="317">
        <f t="shared" si="40"/>
        <v>-284.56284960678391</v>
      </c>
    </row>
    <row r="38" spans="1:14">
      <c r="B38" s="318" t="s">
        <v>384</v>
      </c>
      <c r="C38" s="319" t="s">
        <v>383</v>
      </c>
      <c r="D38" s="320">
        <f>AU6-Q6</f>
        <v>466.47230320699782</v>
      </c>
      <c r="E38" s="321">
        <v>0</v>
      </c>
      <c r="F38" s="322">
        <f>AY6-AH6</f>
        <v>-25.68742643243457</v>
      </c>
      <c r="G38" s="322">
        <f>AZ6-AI6</f>
        <v>-10.539421432434573</v>
      </c>
      <c r="H38" s="323">
        <f>BB6-AP6</f>
        <v>4499.8950437317817</v>
      </c>
      <c r="I38" s="323">
        <v>0</v>
      </c>
      <c r="J38" s="324">
        <f>(BB6+AR6)-AS6</f>
        <v>4499.8950437317762</v>
      </c>
      <c r="K38" s="325">
        <f t="shared" si="39"/>
        <v>175.17889756561692</v>
      </c>
      <c r="L38" s="326">
        <f t="shared" si="40"/>
        <v>426.95845047846376</v>
      </c>
    </row>
    <row r="39" spans="1:14">
      <c r="B39" s="267" t="s">
        <v>385</v>
      </c>
      <c r="C39" s="185" t="s">
        <v>382</v>
      </c>
      <c r="D39" s="269">
        <f>$Q10-$Q9</f>
        <v>-10000</v>
      </c>
      <c r="E39" s="264">
        <f>$W10-$W9</f>
        <v>33240.740740740737</v>
      </c>
      <c r="F39" s="265">
        <f>$AH10-$AH9</f>
        <v>-26.149994047419995</v>
      </c>
      <c r="G39" s="265">
        <f>$AI10-$AI9</f>
        <v>-23.021250942006887</v>
      </c>
      <c r="H39" s="266">
        <f>$AP10-$AP9</f>
        <v>-7147.3664561062515</v>
      </c>
      <c r="I39" s="266">
        <f>$AR10-$AR9</f>
        <v>0</v>
      </c>
      <c r="J39" s="270">
        <f>$AS10-$AS9</f>
        <v>-7147.3664561062542</v>
      </c>
      <c r="K39" s="260">
        <f t="shared" si="39"/>
        <v>-273.32191522282301</v>
      </c>
      <c r="L39" s="261">
        <f t="shared" si="40"/>
        <v>-310.46820496902069</v>
      </c>
    </row>
    <row r="40" spans="1:14">
      <c r="B40" s="267" t="s">
        <v>385</v>
      </c>
      <c r="C40" s="292" t="s">
        <v>383</v>
      </c>
      <c r="D40" s="293">
        <f>AU9-Q9</f>
        <v>466.47230320699782</v>
      </c>
      <c r="E40" s="294">
        <v>0</v>
      </c>
      <c r="F40" s="295">
        <f>AY9-AH9</f>
        <v>-25.68742643243457</v>
      </c>
      <c r="G40" s="295">
        <f>AZ9-AI9</f>
        <v>-10.539421432434573</v>
      </c>
      <c r="H40" s="296">
        <f>BB9-AP9</f>
        <v>4499.8950437317817</v>
      </c>
      <c r="I40" s="296">
        <v>0</v>
      </c>
      <c r="J40" s="297">
        <f>(BB9+AR9)-AS9</f>
        <v>4499.8950437317762</v>
      </c>
      <c r="K40" s="260">
        <f t="shared" si="39"/>
        <v>175.17889756561692</v>
      </c>
      <c r="L40" s="261">
        <f t="shared" si="40"/>
        <v>426.95845047846376</v>
      </c>
    </row>
    <row r="41" spans="1:14">
      <c r="B41" s="307" t="s">
        <v>386</v>
      </c>
      <c r="C41" s="308" t="s">
        <v>382</v>
      </c>
      <c r="D41" s="309">
        <f>$Q12-$Q11</f>
        <v>-10000</v>
      </c>
      <c r="E41" s="310">
        <f>$W12-$W11</f>
        <v>33240.740740740737</v>
      </c>
      <c r="F41" s="311">
        <f>$AH12-$AH11</f>
        <v>-26.149994047419995</v>
      </c>
      <c r="G41" s="311">
        <f>$AI12-$AI11</f>
        <v>-21.59232786508381</v>
      </c>
      <c r="H41" s="312">
        <f>$AP12-$AP11</f>
        <v>-7147.3664561062515</v>
      </c>
      <c r="I41" s="312">
        <f>$AR12-$AR11</f>
        <v>0</v>
      </c>
      <c r="J41" s="313">
        <f>$AS12-$AS11</f>
        <v>-7147.3664561062542</v>
      </c>
      <c r="K41" s="314">
        <f t="shared" si="39"/>
        <v>-273.32191522282301</v>
      </c>
      <c r="L41" s="315">
        <f t="shared" si="40"/>
        <v>-331.01416858642682</v>
      </c>
    </row>
    <row r="42" spans="1:14">
      <c r="B42" s="318" t="s">
        <v>386</v>
      </c>
      <c r="C42" s="319" t="s">
        <v>383</v>
      </c>
      <c r="D42" s="320">
        <f>AU11-Q11</f>
        <v>466.47230320699782</v>
      </c>
      <c r="E42" s="321">
        <v>0</v>
      </c>
      <c r="F42" s="322">
        <f>AY11-AH11</f>
        <v>-25.68742643243457</v>
      </c>
      <c r="G42" s="322">
        <f>AZ11-AI11</f>
        <v>-10.539421432434573</v>
      </c>
      <c r="H42" s="323">
        <f>BB11-AP11</f>
        <v>4499.8950437317817</v>
      </c>
      <c r="I42" s="323">
        <v>0</v>
      </c>
      <c r="J42" s="324">
        <f>(BB11+AR11)-AS11</f>
        <v>4499.8950437317762</v>
      </c>
      <c r="K42" s="325">
        <f t="shared" si="39"/>
        <v>175.17889756561692</v>
      </c>
      <c r="L42" s="326">
        <f t="shared" si="40"/>
        <v>426.95845047846376</v>
      </c>
    </row>
    <row r="43" spans="1:14">
      <c r="B43" s="267" t="s">
        <v>387</v>
      </c>
      <c r="C43" s="185" t="s">
        <v>381</v>
      </c>
      <c r="D43" s="269">
        <f>$Q14-$Q13</f>
        <v>-3000</v>
      </c>
      <c r="E43" s="264">
        <f>$W14-$W13</f>
        <v>0</v>
      </c>
      <c r="F43" s="265">
        <f>$AH14-$AH13</f>
        <v>-7.844998214225992</v>
      </c>
      <c r="G43" s="265">
        <f>$AI14-$AI13</f>
        <v>-10.021076714225991</v>
      </c>
      <c r="H43" s="266">
        <f>$AP14-$AP13</f>
        <v>-3026.751603498542</v>
      </c>
      <c r="I43" s="266">
        <f>$AR14-$AR13</f>
        <v>0</v>
      </c>
      <c r="J43" s="270">
        <f>$AS14-$AS13</f>
        <v>-3026.7516034985456</v>
      </c>
      <c r="K43" s="260">
        <f t="shared" si="39"/>
        <v>-385.81928521154839</v>
      </c>
      <c r="L43" s="261">
        <f t="shared" si="40"/>
        <v>-302.03856230356439</v>
      </c>
    </row>
    <row r="44" spans="1:14">
      <c r="A44" s="2"/>
      <c r="B44" s="267" t="s">
        <v>387</v>
      </c>
      <c r="C44" s="185" t="s">
        <v>382</v>
      </c>
      <c r="D44" s="269">
        <f>$Q15-$Q13</f>
        <v>-10000</v>
      </c>
      <c r="E44" s="264">
        <f>$W15-$W13</f>
        <v>33240.740740740737</v>
      </c>
      <c r="F44" s="265">
        <f>$AH15-$AH13</f>
        <v>-26.149994047419995</v>
      </c>
      <c r="G44" s="265">
        <f>$AI15-$AI13</f>
        <v>-25.117004788160735</v>
      </c>
      <c r="H44" s="266">
        <f>$AP15-$AP13</f>
        <v>-7147.3664561062515</v>
      </c>
      <c r="I44" s="266">
        <f>$AR15-$AR13</f>
        <v>0</v>
      </c>
      <c r="J44" s="270">
        <f>$AS15-$AS13</f>
        <v>-7147.3664561062542</v>
      </c>
      <c r="K44" s="260">
        <f t="shared" si="39"/>
        <v>-273.32191522282301</v>
      </c>
      <c r="L44" s="261">
        <f t="shared" si="40"/>
        <v>-284.56284960678391</v>
      </c>
    </row>
    <row r="45" spans="1:14">
      <c r="A45" s="2"/>
      <c r="B45" s="267" t="s">
        <v>387</v>
      </c>
      <c r="C45" s="292" t="s">
        <v>383</v>
      </c>
      <c r="D45" s="293">
        <f>AU13-Q13</f>
        <v>466.47230320699782</v>
      </c>
      <c r="E45" s="294">
        <v>0</v>
      </c>
      <c r="F45" s="295">
        <f>AY13-AH13</f>
        <v>-25.68742643243457</v>
      </c>
      <c r="G45" s="295">
        <f>AZ13-AI13</f>
        <v>-10.539421432434573</v>
      </c>
      <c r="H45" s="296">
        <f>BB13-AP13</f>
        <v>4499.8950437317817</v>
      </c>
      <c r="I45" s="296">
        <v>0</v>
      </c>
      <c r="J45" s="297">
        <f>(BB13+AR13)-AS13</f>
        <v>4499.8950437317762</v>
      </c>
      <c r="K45" s="260">
        <f t="shared" si="39"/>
        <v>175.17889756561692</v>
      </c>
      <c r="L45" s="261">
        <f t="shared" si="40"/>
        <v>426.95845047846376</v>
      </c>
      <c r="N45" s="2" t="s">
        <v>388</v>
      </c>
    </row>
    <row r="46" spans="1:14">
      <c r="A46" s="2"/>
      <c r="B46" s="307" t="s">
        <v>389</v>
      </c>
      <c r="C46" s="308" t="s">
        <v>382</v>
      </c>
      <c r="D46" s="309">
        <f>$Q17-$Q16</f>
        <v>-10000</v>
      </c>
      <c r="E46" s="310">
        <f>$W17-$W16</f>
        <v>33240.740740740737</v>
      </c>
      <c r="F46" s="311">
        <f>$AH17-$AH16</f>
        <v>-26.149994047419995</v>
      </c>
      <c r="G46" s="311">
        <f>$AI17-$AI16</f>
        <v>-24.500980172776117</v>
      </c>
      <c r="H46" s="312">
        <f>$AP17-$AP16</f>
        <v>-7147.3664561062515</v>
      </c>
      <c r="I46" s="312">
        <f>$AR17-$AR16</f>
        <v>0</v>
      </c>
      <c r="J46" s="313">
        <f>$AS17-$AS16</f>
        <v>-7147.3664561062542</v>
      </c>
      <c r="K46" s="314">
        <f t="shared" si="39"/>
        <v>-273.32191522282301</v>
      </c>
      <c r="L46" s="315">
        <f t="shared" si="40"/>
        <v>-291.71757234626637</v>
      </c>
      <c r="N46" s="2" t="s">
        <v>390</v>
      </c>
    </row>
    <row r="47" spans="1:14">
      <c r="A47" s="2"/>
      <c r="B47" s="318" t="s">
        <v>389</v>
      </c>
      <c r="C47" s="319" t="s">
        <v>383</v>
      </c>
      <c r="D47" s="320">
        <f>AU16-Q16</f>
        <v>466.47230320699782</v>
      </c>
      <c r="E47" s="321">
        <v>0</v>
      </c>
      <c r="F47" s="322">
        <f>AY16-AH16</f>
        <v>-25.68742643243457</v>
      </c>
      <c r="G47" s="322">
        <f>AZ16-AI16</f>
        <v>-10.539421432434573</v>
      </c>
      <c r="H47" s="323">
        <f>BB16-AP16</f>
        <v>4499.8950437317817</v>
      </c>
      <c r="I47" s="323">
        <v>0</v>
      </c>
      <c r="J47" s="324">
        <f>(BB16+AR16)-AS16</f>
        <v>4499.8950437317762</v>
      </c>
      <c r="K47" s="325">
        <f t="shared" si="39"/>
        <v>175.17889756561692</v>
      </c>
      <c r="L47" s="326">
        <f t="shared" si="40"/>
        <v>426.95845047846376</v>
      </c>
    </row>
    <row r="48" spans="1:14">
      <c r="A48" s="2"/>
      <c r="B48" s="267" t="s">
        <v>391</v>
      </c>
      <c r="C48" s="185" t="s">
        <v>381</v>
      </c>
      <c r="D48" s="269">
        <f>$Q19-$Q18</f>
        <v>-3000</v>
      </c>
      <c r="E48" s="264">
        <f>$W19-$W18</f>
        <v>0</v>
      </c>
      <c r="F48" s="265">
        <f>$AH19-$AH18</f>
        <v>-7.844998214225992</v>
      </c>
      <c r="G48" s="265">
        <f>$AI19-$AI18</f>
        <v>-10.021076714225991</v>
      </c>
      <c r="H48" s="266">
        <f>$AP19-$AP18</f>
        <v>-3026.751603498542</v>
      </c>
      <c r="I48" s="266">
        <f>$AR19-$AR18</f>
        <v>0</v>
      </c>
      <c r="J48" s="270">
        <f>$AS19-$AS18</f>
        <v>-3026.7516034985456</v>
      </c>
      <c r="K48" s="260">
        <f t="shared" si="39"/>
        <v>-385.81928521154839</v>
      </c>
      <c r="L48" s="261">
        <f t="shared" si="40"/>
        <v>-302.03856230356439</v>
      </c>
    </row>
    <row r="49" spans="1:12">
      <c r="A49" s="2"/>
      <c r="B49" s="267" t="s">
        <v>391</v>
      </c>
      <c r="C49" s="185" t="s">
        <v>382</v>
      </c>
      <c r="D49" s="269">
        <f>$Q20-$Q18</f>
        <v>-10000</v>
      </c>
      <c r="E49" s="264">
        <f>$W20-$W18</f>
        <v>33240.740740740737</v>
      </c>
      <c r="F49" s="265">
        <f>$AH20-$AH18</f>
        <v>-26.149994047419995</v>
      </c>
      <c r="G49" s="265">
        <f>$AI20-$AI18</f>
        <v>-22.483182018929963</v>
      </c>
      <c r="H49" s="266">
        <f>$AP20-$AP18</f>
        <v>-7147.3664561062515</v>
      </c>
      <c r="I49" s="266">
        <f>$AR20-$AR18</f>
        <v>0</v>
      </c>
      <c r="J49" s="270">
        <f>$AS20-$AS18</f>
        <v>-7147.3664561062542</v>
      </c>
      <c r="K49" s="260">
        <f t="shared" si="39"/>
        <v>-273.32191522282301</v>
      </c>
      <c r="L49" s="261">
        <f t="shared" si="40"/>
        <v>-317.89834953470779</v>
      </c>
    </row>
    <row r="50" spans="1:12">
      <c r="A50" s="2"/>
      <c r="B50" s="268" t="s">
        <v>391</v>
      </c>
      <c r="C50" s="298" t="s">
        <v>383</v>
      </c>
      <c r="D50" s="299">
        <f>AU18-Q18</f>
        <v>466.47230320699782</v>
      </c>
      <c r="E50" s="300">
        <v>0</v>
      </c>
      <c r="F50" s="301">
        <f>AY18-AH18</f>
        <v>-25.68742643243457</v>
      </c>
      <c r="G50" s="301">
        <f>AZ18-AI18</f>
        <v>-10.539421432434573</v>
      </c>
      <c r="H50" s="302">
        <f>BB18-AP18</f>
        <v>4499.8950437317817</v>
      </c>
      <c r="I50" s="302">
        <v>0</v>
      </c>
      <c r="J50" s="303">
        <f>(BB18+AR18)-AS18</f>
        <v>4499.8950437317762</v>
      </c>
      <c r="K50" s="262">
        <f t="shared" si="39"/>
        <v>175.17889756561692</v>
      </c>
      <c r="L50" s="263">
        <f t="shared" si="40"/>
        <v>426.95845047846376</v>
      </c>
    </row>
    <row r="52" spans="1:12">
      <c r="A52" s="2"/>
      <c r="D52" s="274"/>
      <c r="E52" s="274"/>
      <c r="F52" s="274"/>
      <c r="G52" s="274"/>
      <c r="H52" s="274"/>
      <c r="I52" s="274"/>
      <c r="J52" s="274"/>
      <c r="K52" s="274"/>
      <c r="L52" s="274"/>
    </row>
    <row r="53" spans="1:12">
      <c r="A53" s="2"/>
      <c r="B53" s="9" t="s">
        <v>392</v>
      </c>
      <c r="D53" s="255"/>
      <c r="E53" s="255"/>
      <c r="F53" s="255"/>
      <c r="G53" s="255"/>
      <c r="H53" s="255"/>
      <c r="I53" s="255"/>
      <c r="J53" s="255"/>
      <c r="K53" s="255"/>
      <c r="L53" s="255"/>
    </row>
    <row r="54" spans="1:12">
      <c r="A54" s="2"/>
      <c r="B54" s="9" t="s">
        <v>393</v>
      </c>
      <c r="C54" s="9" t="s">
        <v>394</v>
      </c>
    </row>
    <row r="55" spans="1:12">
      <c r="A55" s="2"/>
      <c r="B55" s="2" t="s">
        <v>221</v>
      </c>
      <c r="C55" s="2" t="s">
        <v>395</v>
      </c>
    </row>
    <row r="56" spans="1:12">
      <c r="A56" s="2"/>
      <c r="B56" s="2" t="s">
        <v>222</v>
      </c>
      <c r="C56" s="2" t="s">
        <v>396</v>
      </c>
    </row>
    <row r="57" spans="1:12">
      <c r="A57" s="2"/>
      <c r="B57" s="2" t="s">
        <v>331</v>
      </c>
      <c r="C57" s="2" t="s">
        <v>397</v>
      </c>
    </row>
    <row r="58" spans="1:12">
      <c r="A58" s="2"/>
      <c r="B58" s="2" t="s">
        <v>223</v>
      </c>
      <c r="C58" s="2" t="s">
        <v>398</v>
      </c>
    </row>
    <row r="59" spans="1:12">
      <c r="A59" s="2"/>
      <c r="B59" s="2" t="s">
        <v>226</v>
      </c>
      <c r="C59" s="2" t="s">
        <v>399</v>
      </c>
    </row>
    <row r="60" spans="1:12">
      <c r="A60" s="2"/>
      <c r="B60" s="2" t="s">
        <v>224</v>
      </c>
      <c r="C60" s="2" t="s">
        <v>400</v>
      </c>
    </row>
    <row r="61" spans="1:12">
      <c r="A61" s="2"/>
      <c r="B61" s="2" t="s">
        <v>333</v>
      </c>
      <c r="C61" s="2" t="s">
        <v>401</v>
      </c>
    </row>
    <row r="62" spans="1:12">
      <c r="A62" s="2"/>
      <c r="B62" s="2" t="s">
        <v>402</v>
      </c>
      <c r="C62" s="2" t="s">
        <v>403</v>
      </c>
    </row>
    <row r="63" spans="1:12">
      <c r="A63" s="2"/>
      <c r="B63" s="2" t="s">
        <v>229</v>
      </c>
      <c r="C63" s="2" t="s">
        <v>404</v>
      </c>
    </row>
    <row r="64" spans="1:12">
      <c r="A64" s="2"/>
      <c r="B64" s="2" t="s">
        <v>405</v>
      </c>
      <c r="C64" s="2" t="s">
        <v>406</v>
      </c>
    </row>
    <row r="65" spans="1:20">
      <c r="A65" s="2"/>
    </row>
    <row r="66" spans="1:20">
      <c r="A66" s="2"/>
    </row>
    <row r="67" spans="1:20">
      <c r="B67" s="257"/>
      <c r="C67" s="19"/>
      <c r="D67" s="19"/>
      <c r="E67" s="19"/>
      <c r="F67" s="19"/>
      <c r="G67" s="19"/>
      <c r="H67" s="19"/>
      <c r="I67" s="19"/>
      <c r="J67" s="258"/>
      <c r="K67" s="258"/>
      <c r="L67" s="258"/>
      <c r="M67" s="258"/>
      <c r="N67" s="258"/>
      <c r="O67" s="258"/>
      <c r="P67" s="19"/>
      <c r="Q67" s="19"/>
      <c r="R67" s="19"/>
      <c r="S67" s="19"/>
      <c r="T67" s="19"/>
    </row>
    <row r="68" spans="1:20">
      <c r="B68" s="19"/>
      <c r="C68" s="19"/>
      <c r="D68" s="19"/>
      <c r="E68" s="19"/>
      <c r="F68" s="19"/>
      <c r="G68" s="19"/>
      <c r="H68" s="19"/>
      <c r="I68" s="19"/>
      <c r="J68" s="258"/>
      <c r="K68" s="258"/>
      <c r="L68" s="258"/>
      <c r="M68" s="258"/>
      <c r="N68" s="258"/>
      <c r="O68" s="258"/>
      <c r="P68" s="19"/>
      <c r="Q68" s="19"/>
      <c r="R68" s="19"/>
      <c r="S68" s="19"/>
      <c r="T68" s="19"/>
    </row>
    <row r="69" spans="1:20">
      <c r="A69" s="127"/>
      <c r="B69" s="19"/>
      <c r="C69" s="19"/>
      <c r="D69" s="19"/>
      <c r="E69" s="19"/>
      <c r="F69" s="19"/>
      <c r="G69" s="19"/>
      <c r="H69" s="19"/>
      <c r="I69" s="259"/>
      <c r="J69" s="258"/>
      <c r="K69" s="258"/>
      <c r="L69" s="258"/>
      <c r="M69" s="258"/>
      <c r="N69" s="258"/>
      <c r="O69" s="258"/>
      <c r="P69" s="19"/>
      <c r="Q69" s="19"/>
      <c r="R69" s="19"/>
      <c r="S69" s="19"/>
      <c r="T69" s="19"/>
    </row>
    <row r="70" spans="1:20">
      <c r="B70" s="19"/>
      <c r="C70" s="19"/>
      <c r="D70" s="19"/>
      <c r="E70" s="19"/>
      <c r="F70" s="19"/>
      <c r="G70" s="19"/>
      <c r="H70" s="19"/>
      <c r="I70" s="259"/>
      <c r="J70" s="258"/>
      <c r="K70" s="258"/>
      <c r="L70" s="258"/>
      <c r="M70" s="258"/>
      <c r="N70" s="258"/>
      <c r="O70" s="258"/>
      <c r="P70" s="19"/>
      <c r="Q70" s="19"/>
      <c r="R70" s="19"/>
      <c r="S70" s="19"/>
      <c r="T70" s="19"/>
    </row>
    <row r="71" spans="1:20">
      <c r="B71" s="19"/>
      <c r="C71" s="19"/>
      <c r="D71" s="19"/>
      <c r="E71" s="19"/>
      <c r="F71" s="19"/>
      <c r="G71" s="19"/>
      <c r="H71" s="19"/>
      <c r="I71" s="259"/>
      <c r="J71" s="258"/>
      <c r="K71" s="258"/>
      <c r="L71" s="258"/>
      <c r="M71" s="258"/>
      <c r="N71" s="258"/>
      <c r="O71" s="258"/>
      <c r="P71" s="19"/>
      <c r="Q71" s="19"/>
      <c r="R71" s="19"/>
      <c r="S71" s="19"/>
      <c r="T71" s="19"/>
    </row>
    <row r="72" spans="1:20">
      <c r="B72" s="19"/>
      <c r="C72" s="19"/>
      <c r="D72" s="19"/>
      <c r="E72" s="19"/>
      <c r="F72" s="19"/>
      <c r="G72" s="19"/>
      <c r="H72" s="19"/>
      <c r="I72" s="259"/>
      <c r="J72" s="258"/>
      <c r="K72" s="258"/>
      <c r="L72" s="258"/>
      <c r="M72" s="258"/>
      <c r="N72" s="258"/>
      <c r="O72" s="258"/>
      <c r="P72" s="19"/>
      <c r="Q72" s="19"/>
      <c r="R72" s="19"/>
      <c r="S72" s="19"/>
      <c r="T72" s="19"/>
    </row>
    <row r="73" spans="1:20">
      <c r="B73" s="19"/>
      <c r="C73" s="19"/>
      <c r="D73" s="19"/>
      <c r="E73" s="19"/>
      <c r="F73" s="19"/>
      <c r="G73" s="19"/>
      <c r="H73" s="19"/>
      <c r="I73" s="259"/>
      <c r="J73" s="258"/>
      <c r="K73" s="258"/>
      <c r="L73" s="258"/>
      <c r="M73" s="258"/>
      <c r="N73" s="258"/>
      <c r="O73" s="258"/>
      <c r="P73" s="19"/>
      <c r="Q73" s="19"/>
      <c r="R73" s="19"/>
      <c r="S73" s="19"/>
      <c r="T73" s="19"/>
    </row>
    <row r="74" spans="1:20">
      <c r="B74" s="19"/>
      <c r="C74" s="19"/>
      <c r="D74" s="19"/>
      <c r="E74" s="19"/>
      <c r="F74" s="19"/>
      <c r="G74" s="19"/>
      <c r="H74" s="19"/>
      <c r="I74" s="259"/>
      <c r="J74" s="258"/>
      <c r="K74" s="258"/>
      <c r="L74" s="258"/>
      <c r="M74" s="258"/>
      <c r="N74" s="258"/>
      <c r="O74" s="258"/>
      <c r="P74" s="19"/>
      <c r="Q74" s="19"/>
      <c r="R74" s="19"/>
      <c r="S74" s="19"/>
      <c r="T74" s="19"/>
    </row>
    <row r="75" spans="1:20">
      <c r="B75" s="19"/>
      <c r="C75" s="19"/>
      <c r="D75" s="19"/>
      <c r="E75" s="19"/>
      <c r="F75" s="19"/>
      <c r="G75" s="19"/>
      <c r="H75" s="19"/>
      <c r="I75" s="259"/>
      <c r="J75" s="258"/>
      <c r="K75" s="258"/>
      <c r="L75" s="258"/>
      <c r="M75" s="258"/>
      <c r="N75" s="258"/>
      <c r="O75" s="258"/>
      <c r="P75" s="19"/>
      <c r="Q75" s="19"/>
      <c r="R75" s="19"/>
      <c r="S75" s="19"/>
      <c r="T75" s="19"/>
    </row>
    <row r="76" spans="1:20">
      <c r="B76" s="19"/>
      <c r="C76" s="19"/>
      <c r="D76" s="19"/>
      <c r="E76" s="19"/>
      <c r="F76" s="19"/>
      <c r="G76" s="19"/>
      <c r="H76" s="19"/>
      <c r="I76" s="259"/>
      <c r="J76" s="258"/>
      <c r="K76" s="258"/>
      <c r="L76" s="258"/>
      <c r="M76" s="258"/>
      <c r="N76" s="258"/>
      <c r="O76" s="258"/>
      <c r="P76" s="19"/>
      <c r="Q76" s="19"/>
      <c r="R76" s="19"/>
      <c r="S76" s="19"/>
      <c r="T76" s="19"/>
    </row>
    <row r="77" spans="1:20">
      <c r="B77" s="19"/>
      <c r="C77" s="19"/>
      <c r="D77" s="19"/>
      <c r="E77" s="19"/>
      <c r="F77" s="19"/>
      <c r="G77" s="19"/>
      <c r="H77" s="19"/>
      <c r="I77" s="259"/>
      <c r="J77" s="258"/>
      <c r="K77" s="258"/>
      <c r="L77" s="258"/>
      <c r="M77" s="258"/>
      <c r="N77" s="258"/>
      <c r="O77" s="258"/>
      <c r="P77" s="19"/>
      <c r="Q77" s="19"/>
      <c r="R77" s="19"/>
      <c r="S77" s="19"/>
      <c r="T77" s="19"/>
    </row>
    <row r="78" spans="1:20">
      <c r="B78" s="19"/>
      <c r="C78" s="19"/>
      <c r="D78" s="19"/>
      <c r="E78" s="19"/>
      <c r="F78" s="19"/>
      <c r="G78" s="19"/>
      <c r="H78" s="19"/>
      <c r="I78" s="259"/>
      <c r="J78" s="258"/>
      <c r="K78" s="258"/>
      <c r="L78" s="258"/>
      <c r="M78" s="258"/>
      <c r="N78" s="258"/>
      <c r="O78" s="258"/>
      <c r="P78" s="19"/>
      <c r="Q78" s="19"/>
      <c r="R78" s="19"/>
      <c r="S78" s="19"/>
      <c r="T78" s="19"/>
    </row>
    <row r="79" spans="1:20">
      <c r="B79" s="19"/>
      <c r="C79" s="19"/>
      <c r="D79" s="19"/>
      <c r="E79" s="19"/>
      <c r="F79" s="19"/>
      <c r="G79" s="19"/>
      <c r="H79" s="19"/>
      <c r="I79" s="259"/>
      <c r="J79" s="258"/>
      <c r="K79" s="258"/>
      <c r="L79" s="258"/>
      <c r="M79" s="258"/>
      <c r="N79" s="258"/>
      <c r="O79" s="258"/>
      <c r="P79" s="19"/>
      <c r="Q79" s="19"/>
      <c r="R79" s="19"/>
      <c r="S79" s="19"/>
      <c r="T79" s="19"/>
    </row>
    <row r="80" spans="1:20">
      <c r="B80" s="19"/>
      <c r="C80" s="19"/>
      <c r="D80" s="19"/>
      <c r="E80" s="19"/>
      <c r="F80" s="19"/>
      <c r="G80" s="19"/>
      <c r="H80" s="19"/>
      <c r="I80" s="19"/>
      <c r="J80" s="19"/>
      <c r="K80" s="19"/>
      <c r="L80" s="19"/>
      <c r="M80" s="19"/>
      <c r="N80" s="19"/>
      <c r="O80" s="19"/>
      <c r="P80" s="19"/>
      <c r="Q80" s="19"/>
      <c r="R80" s="19"/>
      <c r="S80" s="19"/>
      <c r="T80" s="19"/>
    </row>
    <row r="81" spans="2:20">
      <c r="B81" s="19"/>
      <c r="C81" s="19"/>
      <c r="D81" s="19"/>
      <c r="E81" s="19"/>
      <c r="F81" s="19"/>
      <c r="G81" s="19"/>
      <c r="H81" s="19"/>
      <c r="I81" s="19"/>
      <c r="J81" s="258"/>
      <c r="K81" s="258"/>
      <c r="L81" s="258"/>
      <c r="M81" s="258"/>
      <c r="N81" s="258"/>
      <c r="O81" s="258"/>
      <c r="P81" s="19"/>
      <c r="Q81" s="19"/>
      <c r="R81" s="19"/>
      <c r="S81" s="19"/>
      <c r="T81" s="19"/>
    </row>
    <row r="82" spans="2:20">
      <c r="B82" s="19"/>
      <c r="C82" s="19"/>
      <c r="D82" s="19"/>
      <c r="E82" s="19"/>
      <c r="F82" s="19"/>
      <c r="G82" s="19"/>
      <c r="H82" s="19"/>
      <c r="I82" s="19"/>
      <c r="J82" s="258"/>
      <c r="K82" s="258"/>
      <c r="L82" s="258"/>
      <c r="M82" s="258"/>
      <c r="N82" s="258"/>
      <c r="O82" s="258"/>
      <c r="P82" s="19"/>
      <c r="Q82" s="19"/>
      <c r="R82" s="19"/>
      <c r="S82" s="19"/>
      <c r="T82" s="19"/>
    </row>
    <row r="83" spans="2:20">
      <c r="B83" s="19"/>
      <c r="C83" s="19"/>
      <c r="D83" s="19"/>
      <c r="E83" s="19"/>
      <c r="F83" s="19"/>
      <c r="G83" s="19"/>
      <c r="H83" s="19"/>
      <c r="I83" s="19"/>
      <c r="J83" s="258"/>
      <c r="K83" s="258"/>
      <c r="L83" s="258"/>
      <c r="M83" s="258"/>
      <c r="N83" s="258"/>
      <c r="O83" s="258"/>
      <c r="P83" s="19"/>
      <c r="Q83" s="19"/>
      <c r="R83" s="19"/>
      <c r="S83" s="19"/>
      <c r="T83" s="19"/>
    </row>
    <row r="84" spans="2:20">
      <c r="B84" s="19"/>
      <c r="C84" s="19"/>
      <c r="D84" s="19"/>
      <c r="E84" s="19"/>
      <c r="F84" s="19"/>
      <c r="G84" s="19"/>
      <c r="H84" s="19"/>
      <c r="I84" s="19"/>
      <c r="J84" s="258"/>
      <c r="K84" s="258"/>
      <c r="L84" s="258"/>
      <c r="M84" s="258"/>
      <c r="N84" s="258"/>
      <c r="O84" s="258"/>
      <c r="P84" s="19"/>
      <c r="Q84" s="19"/>
      <c r="R84" s="19"/>
      <c r="S84" s="19"/>
      <c r="T84" s="19"/>
    </row>
    <row r="85" spans="2:20">
      <c r="B85" s="19"/>
      <c r="C85" s="19"/>
      <c r="D85" s="19"/>
      <c r="E85" s="19"/>
      <c r="F85" s="19"/>
      <c r="G85" s="19"/>
      <c r="H85" s="19"/>
      <c r="I85" s="19"/>
      <c r="J85" s="258"/>
      <c r="K85" s="258"/>
      <c r="L85" s="258"/>
      <c r="M85" s="258"/>
      <c r="N85" s="258"/>
      <c r="O85" s="258"/>
      <c r="P85" s="19"/>
      <c r="Q85" s="19"/>
      <c r="R85" s="19"/>
      <c r="S85" s="19"/>
      <c r="T85" s="19"/>
    </row>
    <row r="86" spans="2:20">
      <c r="B86" s="19"/>
      <c r="C86" s="19"/>
      <c r="D86" s="19"/>
      <c r="E86" s="19"/>
      <c r="F86" s="19"/>
      <c r="G86" s="19"/>
      <c r="H86" s="19"/>
      <c r="I86" s="19"/>
      <c r="J86" s="258"/>
      <c r="K86" s="258"/>
      <c r="L86" s="258"/>
      <c r="M86" s="258"/>
      <c r="N86" s="258"/>
      <c r="O86" s="258"/>
      <c r="P86" s="19"/>
      <c r="Q86" s="19"/>
      <c r="R86" s="19"/>
      <c r="S86" s="19"/>
      <c r="T86" s="19"/>
    </row>
    <row r="87" spans="2:20">
      <c r="B87" s="19"/>
      <c r="C87" s="19"/>
      <c r="D87" s="19"/>
      <c r="E87" s="19"/>
      <c r="F87" s="19"/>
      <c r="G87" s="19"/>
      <c r="H87" s="19"/>
      <c r="I87" s="19"/>
      <c r="J87" s="258"/>
      <c r="K87" s="258"/>
      <c r="L87" s="258"/>
      <c r="M87" s="258"/>
      <c r="N87" s="258"/>
      <c r="O87" s="258"/>
      <c r="P87" s="19"/>
      <c r="Q87" s="19"/>
      <c r="R87" s="19"/>
      <c r="S87" s="19"/>
      <c r="T87" s="19"/>
    </row>
    <row r="88" spans="2:20">
      <c r="B88" s="19"/>
      <c r="C88" s="19"/>
      <c r="D88" s="19"/>
      <c r="E88" s="19"/>
      <c r="F88" s="19"/>
      <c r="G88" s="19"/>
      <c r="H88" s="19"/>
      <c r="I88" s="19"/>
      <c r="J88" s="258"/>
      <c r="K88" s="258"/>
      <c r="L88" s="258"/>
      <c r="M88" s="258"/>
      <c r="N88" s="258"/>
      <c r="O88" s="258"/>
      <c r="P88" s="19"/>
      <c r="Q88" s="19"/>
      <c r="R88" s="19"/>
      <c r="S88" s="19"/>
      <c r="T88" s="19"/>
    </row>
    <row r="89" spans="2:20">
      <c r="B89" s="19"/>
      <c r="C89" s="19"/>
      <c r="D89" s="19"/>
      <c r="E89" s="19"/>
      <c r="F89" s="19"/>
      <c r="G89" s="19"/>
      <c r="H89" s="19"/>
      <c r="I89" s="19"/>
      <c r="J89" s="258"/>
      <c r="K89" s="258"/>
      <c r="L89" s="258"/>
      <c r="M89" s="258"/>
      <c r="N89" s="258"/>
      <c r="O89" s="258"/>
      <c r="P89" s="19"/>
      <c r="Q89" s="19"/>
      <c r="R89" s="19"/>
      <c r="S89" s="19"/>
      <c r="T89" s="19"/>
    </row>
    <row r="90" spans="2:20">
      <c r="B90" s="19"/>
      <c r="C90" s="19"/>
      <c r="D90" s="19"/>
      <c r="E90" s="19"/>
      <c r="F90" s="19"/>
      <c r="G90" s="19"/>
      <c r="H90" s="19"/>
      <c r="I90" s="19"/>
      <c r="J90" s="258"/>
      <c r="K90" s="258"/>
      <c r="L90" s="258"/>
      <c r="M90" s="258"/>
      <c r="N90" s="258"/>
      <c r="O90" s="258"/>
      <c r="P90" s="19"/>
      <c r="Q90" s="19"/>
      <c r="R90" s="19"/>
      <c r="S90" s="19"/>
      <c r="T90" s="19"/>
    </row>
  </sheetData>
  <mergeCells count="10">
    <mergeCell ref="B27:C27"/>
    <mergeCell ref="B28:C28"/>
    <mergeCell ref="B29:C29"/>
    <mergeCell ref="B30:C30"/>
    <mergeCell ref="A1:M1"/>
    <mergeCell ref="B23:E23"/>
    <mergeCell ref="G23:I23"/>
    <mergeCell ref="B24:C24"/>
    <mergeCell ref="B25:C25"/>
    <mergeCell ref="B26:C26"/>
  </mergeCells>
  <conditionalFormatting sqref="K33:L50">
    <cfRule type="colorScale" priority="1">
      <colorScale>
        <cfvo type="min"/>
        <cfvo type="percentile" val="50"/>
        <cfvo type="max"/>
        <color rgb="FF63BE7B"/>
        <color rgb="FFFFEB84"/>
        <color rgb="FFF8696B"/>
      </colorScale>
    </cfRule>
  </conditionalFormatting>
  <dataValidations count="2">
    <dataValidation type="decimal" allowBlank="1" showInputMessage="1" showErrorMessage="1" sqref="D30">
      <formula1>0</formula1>
      <formula2>1</formula2>
    </dataValidation>
    <dataValidation type="list" allowBlank="1" showInputMessage="1" showErrorMessage="1" sqref="D29">
      <formula1>"jäännössähkö,tuulisähkö"</formula1>
    </dataValidation>
  </dataValidations>
  <pageMargins left="0.7" right="0.7" top="0.75" bottom="0.75" header="0.3" footer="0.3"/>
  <pageSetup paperSize="9" orientation="portrait"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A2"/>
    </sheetView>
  </sheetViews>
  <sheetFormatPr defaultRowHeight="14.4"/>
  <cols>
    <col min="2" max="7" width="19.88671875" customWidth="1"/>
  </cols>
  <sheetData>
    <row r="1" spans="1:7" ht="15" thickBot="1">
      <c r="A1" s="398"/>
      <c r="B1" s="400" t="s">
        <v>407</v>
      </c>
      <c r="C1" s="401"/>
      <c r="E1" t="s">
        <v>408</v>
      </c>
    </row>
    <row r="2" spans="1:7" ht="15" thickBot="1">
      <c r="A2" s="399"/>
      <c r="B2" s="76" t="s">
        <v>409</v>
      </c>
      <c r="C2" s="378" t="s">
        <v>410</v>
      </c>
    </row>
    <row r="3" spans="1:7" ht="15" thickBot="1">
      <c r="A3" s="77" t="s">
        <v>411</v>
      </c>
      <c r="B3" s="78">
        <v>146</v>
      </c>
      <c r="C3" s="79">
        <v>99</v>
      </c>
    </row>
    <row r="4" spans="1:7" ht="15" thickBot="1">
      <c r="A4" s="77" t="s">
        <v>412</v>
      </c>
      <c r="B4" s="78">
        <v>139</v>
      </c>
      <c r="C4" s="79">
        <v>91</v>
      </c>
    </row>
    <row r="5" spans="1:7" ht="15" thickBot="1">
      <c r="A5" s="77" t="s">
        <v>413</v>
      </c>
      <c r="B5" s="78">
        <v>130</v>
      </c>
      <c r="C5" s="79">
        <v>77</v>
      </c>
    </row>
    <row r="6" spans="1:7" ht="15" thickBot="1">
      <c r="A6" s="77" t="s">
        <v>414</v>
      </c>
      <c r="B6" s="78">
        <v>123</v>
      </c>
      <c r="C6" s="79">
        <v>70</v>
      </c>
    </row>
    <row r="7" spans="1:7" ht="15" thickBot="1">
      <c r="A7" s="77" t="s">
        <v>415</v>
      </c>
      <c r="B7" s="78">
        <v>116</v>
      </c>
      <c r="C7" s="79">
        <v>60</v>
      </c>
    </row>
    <row r="8" spans="1:7" ht="15" thickBot="1">
      <c r="A8" s="77" t="s">
        <v>416</v>
      </c>
      <c r="B8" s="78">
        <v>118</v>
      </c>
      <c r="C8" s="79">
        <v>74</v>
      </c>
    </row>
    <row r="9" spans="1:7" ht="15" thickBot="1">
      <c r="A9" s="77" t="s">
        <v>417</v>
      </c>
      <c r="B9" s="78">
        <v>122</v>
      </c>
      <c r="C9" s="79">
        <v>77</v>
      </c>
    </row>
    <row r="10" spans="1:7" ht="15" thickBot="1">
      <c r="A10" s="77" t="s">
        <v>418</v>
      </c>
      <c r="B10" s="78">
        <v>128</v>
      </c>
      <c r="C10" s="79">
        <v>76</v>
      </c>
    </row>
    <row r="11" spans="1:7" ht="15" thickBot="1">
      <c r="A11" s="77" t="s">
        <v>419</v>
      </c>
      <c r="B11" s="78">
        <v>125</v>
      </c>
      <c r="C11" s="79">
        <v>71</v>
      </c>
    </row>
    <row r="12" spans="1:7">
      <c r="B12">
        <f>AVERAGE(B3:B11)</f>
        <v>127.44444444444444</v>
      </c>
      <c r="C12">
        <f>AVERAGE(C3:C11)</f>
        <v>77.222222222222229</v>
      </c>
    </row>
    <row r="15" spans="1:7" ht="47.25" customHeight="1" thickBot="1">
      <c r="A15" s="402" t="s">
        <v>420</v>
      </c>
      <c r="B15" s="402"/>
      <c r="C15" s="402"/>
      <c r="D15" s="402"/>
      <c r="E15" s="402"/>
      <c r="F15" s="402"/>
      <c r="G15" s="402"/>
    </row>
    <row r="16" spans="1:7" ht="15" thickBot="1">
      <c r="A16" s="403"/>
      <c r="B16" s="404" t="s">
        <v>421</v>
      </c>
      <c r="C16" s="405"/>
      <c r="D16" s="405"/>
      <c r="E16" s="405"/>
      <c r="F16" s="405"/>
      <c r="G16" s="405"/>
    </row>
    <row r="17" spans="1:7" ht="66.599999999999994" thickBot="1">
      <c r="A17" s="399"/>
      <c r="B17" s="76" t="s">
        <v>422</v>
      </c>
      <c r="C17" s="76" t="s">
        <v>423</v>
      </c>
      <c r="D17" s="76" t="s">
        <v>424</v>
      </c>
      <c r="E17" s="76" t="s">
        <v>425</v>
      </c>
      <c r="F17" s="76" t="s">
        <v>426</v>
      </c>
      <c r="G17" s="378" t="s">
        <v>427</v>
      </c>
    </row>
    <row r="18" spans="1:7" ht="15" thickBot="1">
      <c r="A18" s="77" t="s">
        <v>411</v>
      </c>
      <c r="B18" s="78">
        <v>12.28</v>
      </c>
      <c r="C18" s="78">
        <v>10.79</v>
      </c>
      <c r="D18" s="78">
        <v>8.5399999999999991</v>
      </c>
      <c r="E18" s="78">
        <v>8.17</v>
      </c>
      <c r="F18" s="78">
        <v>6.76</v>
      </c>
      <c r="G18" s="79">
        <v>6.3</v>
      </c>
    </row>
    <row r="19" spans="1:7" ht="15" thickBot="1">
      <c r="A19" s="77" t="s">
        <v>412</v>
      </c>
      <c r="B19" s="78">
        <v>12.33</v>
      </c>
      <c r="C19" s="78">
        <v>10.81</v>
      </c>
      <c r="D19" s="78">
        <v>8.61</v>
      </c>
      <c r="E19" s="78">
        <v>8.1999999999999993</v>
      </c>
      <c r="F19" s="78">
        <v>6.28</v>
      </c>
      <c r="G19" s="79">
        <v>6.01</v>
      </c>
    </row>
    <row r="20" spans="1:7" ht="15" thickBot="1">
      <c r="A20" s="77" t="s">
        <v>413</v>
      </c>
      <c r="B20" s="78">
        <v>12.27</v>
      </c>
      <c r="C20" s="78">
        <v>10.74</v>
      </c>
      <c r="D20" s="78">
        <v>8.5399999999999991</v>
      </c>
      <c r="E20" s="78">
        <v>7.95</v>
      </c>
      <c r="F20" s="78">
        <v>6.34</v>
      </c>
      <c r="G20" s="79">
        <v>5.92</v>
      </c>
    </row>
    <row r="21" spans="1:7" ht="15" thickBot="1">
      <c r="A21" s="77" t="s">
        <v>414</v>
      </c>
      <c r="B21" s="78">
        <v>12.05</v>
      </c>
      <c r="C21" s="78">
        <v>10.66</v>
      </c>
      <c r="D21" s="78">
        <v>8.59</v>
      </c>
      <c r="E21" s="78">
        <v>7.96</v>
      </c>
      <c r="F21" s="78">
        <v>6.09</v>
      </c>
      <c r="G21" s="79">
        <v>5.65</v>
      </c>
    </row>
    <row r="22" spans="1:7" ht="15" thickBot="1">
      <c r="A22" s="77" t="s">
        <v>415</v>
      </c>
      <c r="B22" s="78">
        <v>12.15</v>
      </c>
      <c r="C22" s="78">
        <v>10.65</v>
      </c>
      <c r="D22" s="78">
        <v>8.5299999999999994</v>
      </c>
      <c r="E22" s="78">
        <v>7.87</v>
      </c>
      <c r="F22" s="78">
        <v>5.94</v>
      </c>
      <c r="G22" s="79">
        <v>5.58</v>
      </c>
    </row>
    <row r="23" spans="1:7" ht="15" thickBot="1">
      <c r="A23" s="77" t="s">
        <v>416</v>
      </c>
      <c r="B23" s="78">
        <v>12.51</v>
      </c>
      <c r="C23" s="78">
        <v>11</v>
      </c>
      <c r="D23" s="78">
        <v>9.06</v>
      </c>
      <c r="E23" s="78">
        <v>8.4700000000000006</v>
      </c>
      <c r="F23" s="78">
        <v>6.12</v>
      </c>
      <c r="G23" s="79">
        <v>5.97</v>
      </c>
    </row>
    <row r="24" spans="1:7" ht="15" thickBot="1">
      <c r="A24" s="77" t="s">
        <v>417</v>
      </c>
      <c r="B24" s="78">
        <v>12.11</v>
      </c>
      <c r="C24" s="78">
        <v>10.76</v>
      </c>
      <c r="D24" s="78">
        <v>8.91</v>
      </c>
      <c r="E24" s="78">
        <v>8.59</v>
      </c>
      <c r="F24" s="78">
        <v>6.47</v>
      </c>
      <c r="G24" s="79">
        <v>6.11</v>
      </c>
    </row>
    <row r="25" spans="1:7" ht="15" thickBot="1">
      <c r="A25" s="77" t="s">
        <v>418</v>
      </c>
      <c r="B25" s="78">
        <v>12.53</v>
      </c>
      <c r="C25" s="78">
        <v>11.23</v>
      </c>
      <c r="D25" s="78">
        <v>9.4600000000000009</v>
      </c>
      <c r="E25" s="78">
        <v>8.89</v>
      </c>
      <c r="F25" s="78">
        <v>6.95</v>
      </c>
      <c r="G25" s="79">
        <v>6.59</v>
      </c>
    </row>
    <row r="26" spans="1:7" ht="15" thickBot="1">
      <c r="A26" s="77" t="s">
        <v>419</v>
      </c>
      <c r="B26" s="78">
        <v>12.56</v>
      </c>
      <c r="C26" s="78">
        <v>11.28</v>
      </c>
      <c r="D26" s="78">
        <v>9.41</v>
      </c>
      <c r="E26" s="78">
        <v>9.1999999999999993</v>
      </c>
      <c r="F26" s="78">
        <v>7.38</v>
      </c>
      <c r="G26" s="79">
        <v>7.28</v>
      </c>
    </row>
    <row r="27" spans="1:7">
      <c r="B27">
        <f>AVERAGE(B18:B26)</f>
        <v>12.309999999999999</v>
      </c>
      <c r="C27">
        <f t="shared" ref="C27:G27" si="0">AVERAGE(C18:C26)</f>
        <v>10.880000000000003</v>
      </c>
      <c r="D27">
        <f t="shared" si="0"/>
        <v>8.8500000000000014</v>
      </c>
      <c r="E27">
        <f t="shared" si="0"/>
        <v>8.3666666666666671</v>
      </c>
      <c r="F27">
        <f t="shared" si="0"/>
        <v>6.4811111111111117</v>
      </c>
      <c r="G27">
        <f t="shared" si="0"/>
        <v>6.1566666666666663</v>
      </c>
    </row>
    <row r="28" spans="1:7">
      <c r="A28" s="80" t="s">
        <v>428</v>
      </c>
    </row>
    <row r="29" spans="1:7">
      <c r="A29" s="80" t="s">
        <v>429</v>
      </c>
    </row>
    <row r="30" spans="1:7">
      <c r="A30" s="80" t="s">
        <v>430</v>
      </c>
    </row>
  </sheetData>
  <mergeCells count="5">
    <mergeCell ref="A1:A2"/>
    <mergeCell ref="B1:C1"/>
    <mergeCell ref="A15:G15"/>
    <mergeCell ref="A16:A17"/>
    <mergeCell ref="B16: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2"/>
  <sheetViews>
    <sheetView topLeftCell="D1" workbookViewId="0">
      <selection activeCell="D1" sqref="D1"/>
    </sheetView>
  </sheetViews>
  <sheetFormatPr defaultRowHeight="14.4"/>
  <cols>
    <col min="1" max="1" width="17.5546875" customWidth="1"/>
    <col min="2" max="2" width="10" customWidth="1"/>
    <col min="3" max="3" width="6.109375" customWidth="1"/>
    <col min="4" max="4" width="20.6640625" customWidth="1"/>
    <col min="5" max="5" width="15.6640625" customWidth="1"/>
    <col min="6" max="6" width="20.6640625" customWidth="1"/>
    <col min="7" max="7" width="15.6640625" customWidth="1"/>
    <col min="8" max="8" width="20.6640625" customWidth="1"/>
    <col min="9" max="9" width="15.6640625" customWidth="1"/>
    <col min="10" max="10" width="21.5546875" customWidth="1"/>
    <col min="11" max="11" width="17.88671875" customWidth="1"/>
    <col min="12" max="12" width="17.109375" customWidth="1"/>
    <col min="13" max="13" width="17" customWidth="1"/>
    <col min="18" max="18" width="46.5546875" customWidth="1"/>
    <col min="19" max="19" width="14" customWidth="1"/>
  </cols>
  <sheetData>
    <row r="1" spans="1:19" s="8" customFormat="1" ht="18" customHeight="1">
      <c r="A1" s="7" t="s">
        <v>1</v>
      </c>
    </row>
    <row r="2" spans="1:19" ht="16.5" customHeight="1">
      <c r="A2" s="204" t="str">
        <f>_xlfn.CONCAT("TAVOITE ",pros_tavoite*100,"%")</f>
        <v>TAVOITE -60%</v>
      </c>
      <c r="B2" s="205" t="s">
        <v>2</v>
      </c>
      <c r="C2" s="26"/>
      <c r="D2" s="212" t="s">
        <v>3</v>
      </c>
      <c r="E2" s="212"/>
      <c r="F2" s="212" t="s">
        <v>4</v>
      </c>
      <c r="G2" s="212"/>
      <c r="H2" s="212" t="s">
        <v>5</v>
      </c>
      <c r="I2" s="213"/>
      <c r="J2" s="212" t="s">
        <v>6</v>
      </c>
      <c r="K2" s="214"/>
      <c r="L2" s="339" t="s">
        <v>7</v>
      </c>
      <c r="M2" s="215"/>
      <c r="R2" s="22"/>
      <c r="S2" s="22"/>
    </row>
    <row r="3" spans="1:19" ht="27" customHeight="1">
      <c r="A3" s="208" t="s">
        <v>8</v>
      </c>
      <c r="B3" s="209">
        <v>5344</v>
      </c>
      <c r="C3" s="26"/>
      <c r="D3" s="224" t="s">
        <v>9</v>
      </c>
      <c r="E3" s="245" t="s">
        <v>10</v>
      </c>
      <c r="F3" s="246" t="s">
        <v>11</v>
      </c>
      <c r="G3" s="247">
        <v>0.01</v>
      </c>
      <c r="H3" s="224" t="s">
        <v>12</v>
      </c>
      <c r="I3" s="244" t="s">
        <v>13</v>
      </c>
      <c r="J3" s="224" t="s">
        <v>12</v>
      </c>
      <c r="K3" s="244" t="s">
        <v>13</v>
      </c>
      <c r="L3" s="375">
        <v>2022</v>
      </c>
      <c r="M3" s="22"/>
      <c r="N3" s="22"/>
      <c r="R3" s="22"/>
      <c r="S3" s="22"/>
    </row>
    <row r="4" spans="1:19" ht="39" customHeight="1">
      <c r="A4" s="210" t="s">
        <v>14</v>
      </c>
      <c r="B4" s="211">
        <f>2835511/(2835511+35826+13513)</f>
        <v>0.98289720436071204</v>
      </c>
      <c r="C4" s="26"/>
      <c r="D4" s="225" t="s">
        <v>15</v>
      </c>
      <c r="E4" s="245">
        <v>2036</v>
      </c>
      <c r="F4" s="230"/>
      <c r="G4" s="230"/>
      <c r="H4" s="225" t="s">
        <v>16</v>
      </c>
      <c r="I4" s="244" t="s">
        <v>17</v>
      </c>
      <c r="J4" s="225" t="s">
        <v>18</v>
      </c>
      <c r="K4" s="245">
        <v>2035</v>
      </c>
      <c r="L4" s="245">
        <v>3</v>
      </c>
      <c r="M4" s="22" t="s">
        <v>19</v>
      </c>
      <c r="N4" s="22"/>
      <c r="R4" s="22"/>
      <c r="S4" s="22"/>
    </row>
    <row r="5" spans="1:19">
      <c r="A5" s="210"/>
      <c r="B5" s="209">
        <f>B3*B4</f>
        <v>5252.6026601036456</v>
      </c>
      <c r="C5" s="26"/>
      <c r="D5" s="234"/>
      <c r="E5" s="235"/>
      <c r="H5" s="225" t="s">
        <v>20</v>
      </c>
      <c r="I5" s="244" t="s">
        <v>21</v>
      </c>
      <c r="J5" s="225" t="s">
        <v>22</v>
      </c>
      <c r="K5" s="245" t="s">
        <v>23</v>
      </c>
      <c r="L5" s="245">
        <v>3</v>
      </c>
      <c r="M5" s="22" t="s">
        <v>24</v>
      </c>
      <c r="N5" s="22"/>
      <c r="R5" s="22"/>
      <c r="S5" s="22"/>
    </row>
    <row r="6" spans="1:19">
      <c r="A6" s="206" t="s">
        <v>25</v>
      </c>
      <c r="B6" s="207">
        <f>B5*(1+pros_tavoite)</f>
        <v>2101.0410640414584</v>
      </c>
      <c r="C6" s="26"/>
      <c r="D6" s="234" t="s">
        <v>26</v>
      </c>
      <c r="E6" s="248">
        <v>-0.6</v>
      </c>
      <c r="H6" s="231" t="s">
        <v>27</v>
      </c>
      <c r="I6" s="245">
        <v>2035</v>
      </c>
      <c r="J6" s="225"/>
      <c r="K6" s="226"/>
      <c r="L6" s="245">
        <v>6</v>
      </c>
      <c r="M6" s="22" t="s">
        <v>28</v>
      </c>
      <c r="N6" s="22"/>
      <c r="R6" s="22"/>
      <c r="S6" s="22"/>
    </row>
    <row r="7" spans="1:19">
      <c r="C7" s="26"/>
      <c r="D7" s="234"/>
      <c r="E7" s="235"/>
      <c r="H7" s="232"/>
      <c r="I7" s="227"/>
      <c r="J7" s="225"/>
      <c r="K7" s="227"/>
      <c r="L7" s="245">
        <v>2</v>
      </c>
      <c r="M7" s="201" t="s">
        <v>29</v>
      </c>
      <c r="N7" s="22"/>
      <c r="R7" s="22"/>
      <c r="S7" s="22"/>
    </row>
    <row r="8" spans="1:19" ht="24">
      <c r="C8" s="26"/>
      <c r="D8" s="225" t="s">
        <v>30</v>
      </c>
      <c r="E8" s="249">
        <v>-0.01</v>
      </c>
      <c r="H8" s="225" t="s">
        <v>31</v>
      </c>
      <c r="I8" s="244" t="s">
        <v>32</v>
      </c>
      <c r="J8" s="225"/>
      <c r="K8" s="227"/>
      <c r="L8" s="376">
        <v>2027</v>
      </c>
      <c r="M8" s="22"/>
      <c r="R8" s="22"/>
      <c r="S8" s="22"/>
    </row>
    <row r="9" spans="1:19">
      <c r="C9" s="26"/>
      <c r="D9" s="236"/>
      <c r="E9" s="237"/>
      <c r="H9" s="225" t="s">
        <v>33</v>
      </c>
      <c r="I9" s="244" t="s">
        <v>34</v>
      </c>
      <c r="J9" s="225"/>
      <c r="K9" s="227"/>
      <c r="L9" s="245">
        <v>2</v>
      </c>
      <c r="M9" s="22" t="s">
        <v>35</v>
      </c>
      <c r="N9" s="22" t="s">
        <v>36</v>
      </c>
      <c r="R9" s="22"/>
      <c r="S9" s="22"/>
    </row>
    <row r="10" spans="1:19">
      <c r="C10" s="26"/>
      <c r="D10" s="232"/>
      <c r="E10" s="237"/>
      <c r="F10" s="230"/>
      <c r="G10" s="230"/>
      <c r="H10" s="231" t="s">
        <v>37</v>
      </c>
      <c r="I10" s="245">
        <v>2035</v>
      </c>
      <c r="J10" s="225"/>
      <c r="K10" s="227"/>
      <c r="L10" s="245">
        <v>1.29</v>
      </c>
      <c r="M10" s="22" t="s">
        <v>38</v>
      </c>
      <c r="N10" s="22" t="s">
        <v>39</v>
      </c>
      <c r="R10" s="22"/>
      <c r="S10" s="22"/>
    </row>
    <row r="11" spans="1:19">
      <c r="C11" s="216"/>
      <c r="D11" s="238"/>
      <c r="E11" s="239"/>
      <c r="F11" s="216"/>
      <c r="G11" s="216"/>
      <c r="H11" s="233"/>
      <c r="I11" s="229"/>
      <c r="J11" s="228"/>
      <c r="K11" s="229"/>
      <c r="L11" s="377">
        <f>'S3 Tiekartta'!AP20</f>
        <v>0.89032773426775935</v>
      </c>
      <c r="M11" s="22" t="s">
        <v>40</v>
      </c>
      <c r="O11" s="201"/>
      <c r="R11" s="22"/>
      <c r="S11" s="22"/>
    </row>
    <row r="12" spans="1:19">
      <c r="C12" s="190"/>
      <c r="D12" s="191" t="s">
        <v>41</v>
      </c>
      <c r="E12" s="192" t="s">
        <v>41</v>
      </c>
      <c r="F12" s="219" t="s">
        <v>41</v>
      </c>
      <c r="G12" s="192" t="s">
        <v>41</v>
      </c>
      <c r="H12" s="219" t="s">
        <v>41</v>
      </c>
      <c r="I12" s="192" t="s">
        <v>41</v>
      </c>
      <c r="J12" s="219" t="s">
        <v>41</v>
      </c>
      <c r="K12" s="192" t="s">
        <v>41</v>
      </c>
      <c r="L12" s="219" t="s">
        <v>41</v>
      </c>
      <c r="M12" s="192" t="s">
        <v>41</v>
      </c>
      <c r="N12" s="202"/>
      <c r="O12" s="201"/>
      <c r="R12" s="22"/>
      <c r="S12" s="22"/>
    </row>
    <row r="13" spans="1:19">
      <c r="C13" s="193" t="s">
        <v>42</v>
      </c>
      <c r="D13" s="23" t="s">
        <v>25</v>
      </c>
      <c r="E13" s="194" t="s">
        <v>43</v>
      </c>
      <c r="F13" s="193" t="s">
        <v>25</v>
      </c>
      <c r="G13" s="194" t="s">
        <v>43</v>
      </c>
      <c r="H13" s="193" t="s">
        <v>25</v>
      </c>
      <c r="I13" s="194" t="s">
        <v>43</v>
      </c>
      <c r="J13" s="193" t="s">
        <v>25</v>
      </c>
      <c r="K13" s="194" t="s">
        <v>43</v>
      </c>
      <c r="L13" s="193" t="s">
        <v>25</v>
      </c>
      <c r="M13" s="194" t="s">
        <v>43</v>
      </c>
      <c r="N13" s="202"/>
      <c r="O13" s="201"/>
      <c r="R13" s="22"/>
      <c r="S13" s="22"/>
    </row>
    <row r="14" spans="1:19">
      <c r="C14" s="217">
        <v>2019</v>
      </c>
      <c r="D14" s="20">
        <f>SUMIF('S0a Baseline'!$C$3:$C$512,'Lyhyt yhteenveto'!$C14,'S0a Baseline'!$AB$3:$AB$512)</f>
        <v>269.29308945999998</v>
      </c>
      <c r="E14" s="218">
        <f>SUMIF('S0a Baseline'!$C$3:$C$512,'Lyhyt yhteenveto'!$C14,'S0a Baseline'!$AD$3:$AD$512)</f>
        <v>481.77646971284901</v>
      </c>
      <c r="F14" s="220">
        <f>SUMIF('S0b Baseline kasvu'!$C$3:$C$512,'Lyhyt yhteenveto'!$C14,'S0b Baseline kasvu'!$AB$3:$AB$512)</f>
        <v>269.29308945999998</v>
      </c>
      <c r="G14" s="218">
        <f>SUMIF('S0b Baseline kasvu'!$C$3:$C$512,'Lyhyt yhteenveto'!$C14,'S0b Baseline kasvu'!$AD$3:$AD$512)</f>
        <v>481.77646971284901</v>
      </c>
      <c r="H14" s="220">
        <f>SUMIF('S1 Sähkö'!$C$3:$C$504,'Lyhyt yhteenveto'!$C14,'S1 Sähkö'!$AB$3:$AB$504)</f>
        <v>269.29308945999998</v>
      </c>
      <c r="I14" s="218">
        <f>SUMIF('S1 Sähkö'!$C$3:$C$504,'Lyhyt yhteenveto'!$C14,'S1 Sähkö'!$AD$3:$AD$504)</f>
        <v>481.77646971284901</v>
      </c>
      <c r="J14" s="240">
        <f>SUMIF('S2 Bio'!$C$3:$C$504,'Lyhyt yhteenveto'!$C14,'S2 Bio'!$AB$3:$AB$504)</f>
        <v>269.29308945999998</v>
      </c>
      <c r="K14" s="241">
        <f>SUMIF('S2 Bio'!$C$3:$C$504,'Lyhyt yhteenveto'!$C14,'S2 Bio'!$AD$3:$AD$504)</f>
        <v>481.77646971284901</v>
      </c>
      <c r="L14" s="240">
        <f>SUMIF('S3 Tiekartta'!$C$3:$C$504,'Lyhyt yhteenveto'!$C14,'S3 Tiekartta'!$AB$3:$AB$504)</f>
        <v>269.29308945999998</v>
      </c>
      <c r="M14" s="241">
        <f>SUMIF('S3 Tiekartta'!$C$3:$C$504,'Lyhyt yhteenveto'!$C14,'S3 Tiekartta'!$AD$3:$AD$504)</f>
        <v>481.77646971284901</v>
      </c>
      <c r="N14" s="345"/>
      <c r="O14" s="345"/>
      <c r="R14" s="22"/>
      <c r="S14" s="22"/>
    </row>
    <row r="15" spans="1:19">
      <c r="C15" s="217">
        <v>2020</v>
      </c>
      <c r="D15" s="20">
        <f>SUMIF('S0a Baseline'!$C$3:$C$512,'Lyhyt yhteenveto'!$C15,'S0a Baseline'!$AB$3:$AB$512)</f>
        <v>269.29308945999998</v>
      </c>
      <c r="E15" s="218">
        <f>SUMIF('S0a Baseline'!$C$3:$C$512,'Lyhyt yhteenveto'!$C15,'S0a Baseline'!$AD$3:$AD$512)</f>
        <v>480.7613631410897</v>
      </c>
      <c r="F15" s="220">
        <f>SUMIF('S0b Baseline kasvu'!$C$3:$C$512,'Lyhyt yhteenveto'!$C15,'S0b Baseline kasvu'!$AB$3:$AB$512)</f>
        <v>271.98602035459999</v>
      </c>
      <c r="G15" s="218">
        <f>SUMIF('S0b Baseline kasvu'!$C$3:$C$512,'Lyhyt yhteenveto'!$C15,'S0b Baseline kasvu'!$AD$3:$AD$512)</f>
        <v>485.13775954173138</v>
      </c>
      <c r="H15" s="220">
        <f>SUMIF('S1 Sähkö'!$C$3:$C$504,'Lyhyt yhteenveto'!$C15,'S1 Sähkö'!$AB$3:$AB$504)</f>
        <v>271.98602035459999</v>
      </c>
      <c r="I15" s="218">
        <f>SUMIF('S1 Sähkö'!$C$3:$C$504,'Lyhyt yhteenveto'!$C15,'S1 Sähkö'!$AD$3:$AD$504)</f>
        <v>485.13775954173138</v>
      </c>
      <c r="J15" s="240">
        <f>SUMIF('S2 Bio'!$C$3:$C$504,'Lyhyt yhteenveto'!$C15,'S2 Bio'!$AB$3:$AB$504)</f>
        <v>271.98602035459999</v>
      </c>
      <c r="K15" s="241">
        <f>SUMIF('S2 Bio'!$C$3:$C$504,'Lyhyt yhteenveto'!$C15,'S2 Bio'!$AD$3:$AD$504)</f>
        <v>485.13775954173138</v>
      </c>
      <c r="L15" s="240">
        <f>SUMIF('S3 Tiekartta'!$C$3:$C$504,'Lyhyt yhteenveto'!$C15,'S3 Tiekartta'!$AB$3:$AB$504)</f>
        <v>271.98602035459999</v>
      </c>
      <c r="M15" s="241">
        <f>SUMIF('S3 Tiekartta'!$C$3:$C$504,'Lyhyt yhteenveto'!$C15,'S3 Tiekartta'!$AD$3:$AD$504)</f>
        <v>485.13775954173138</v>
      </c>
      <c r="N15" s="345"/>
      <c r="O15" s="345"/>
      <c r="R15" s="22"/>
      <c r="S15" s="22"/>
    </row>
    <row r="16" spans="1:19">
      <c r="C16" s="217">
        <v>2021</v>
      </c>
      <c r="D16" s="20">
        <f>SUMIF('S0a Baseline'!$C$3:$C$512,'Lyhyt yhteenveto'!$C16,'S0a Baseline'!$AB$3:$AB$512)</f>
        <v>261.34554140714454</v>
      </c>
      <c r="E16" s="218">
        <f>SUMIF('S0a Baseline'!$C$3:$C$512,'Lyhyt yhteenveto'!$C16,'S0a Baseline'!$AD$3:$AD$512)</f>
        <v>476.49380958219268</v>
      </c>
      <c r="F16" s="220">
        <f>SUMIF('S0b Baseline kasvu'!$C$3:$C$512,'Lyhyt yhteenveto'!$C16,'S0b Baseline kasvu'!$AB$3:$AB$512)</f>
        <v>266.57245223528747</v>
      </c>
      <c r="G16" s="218">
        <f>SUMIF('S0b Baseline kasvu'!$C$3:$C$512,'Lyhyt yhteenveto'!$C16,'S0b Baseline kasvu'!$AD$3:$AD$512)</f>
        <v>485.16125131229796</v>
      </c>
      <c r="H16" s="220">
        <f>SUMIF('S1 Sähkö'!$C$3:$C$504,'Lyhyt yhteenveto'!$C16,'S1 Sähkö'!$AB$3:$AB$504)</f>
        <v>213.25265036572267</v>
      </c>
      <c r="I16" s="218">
        <f>SUMIF('S1 Sähkö'!$C$3:$C$504,'Lyhyt yhteenveto'!$C16,'S1 Sähkö'!$AD$3:$AD$504)</f>
        <v>437.54396452054743</v>
      </c>
      <c r="J16" s="240">
        <f>SUMIF('S2 Bio'!$C$3:$C$504,'Lyhyt yhteenveto'!$C16,'S2 Bio'!$AB$3:$AB$504)</f>
        <v>249.09844324974284</v>
      </c>
      <c r="K16" s="241">
        <f>SUMIF('S2 Bio'!$C$3:$C$504,'Lyhyt yhteenveto'!$C16,'S2 Bio'!$AD$3:$AD$504)</f>
        <v>477.98788572675335</v>
      </c>
      <c r="L16" s="240">
        <f>SUMIF('S3 Tiekartta'!$C$3:$C$504,'Lyhyt yhteenveto'!$C16,'S3 Tiekartta'!$AB$3:$AB$504)</f>
        <v>266.57245223528747</v>
      </c>
      <c r="M16" s="241">
        <f>SUMIF('S3 Tiekartta'!$C$3:$C$504,'Lyhyt yhteenveto'!$C16,'S3 Tiekartta'!$AD$3:$AD$504)</f>
        <v>485.16125131229796</v>
      </c>
      <c r="N16" s="345"/>
      <c r="O16" s="345"/>
      <c r="R16" s="22"/>
      <c r="S16" s="22"/>
    </row>
    <row r="17" spans="1:19">
      <c r="A17" s="184"/>
      <c r="B17" s="126"/>
      <c r="C17" s="217">
        <v>2022</v>
      </c>
      <c r="D17" s="20">
        <f>SUMIF('S0a Baseline'!$C$3:$C$512,'Lyhyt yhteenveto'!$C17,'S0a Baseline'!$AB$3:$AB$512)</f>
        <v>258.69635872285949</v>
      </c>
      <c r="E17" s="218">
        <f>SUMIF('S0a Baseline'!$C$3:$C$512,'Lyhyt yhteenveto'!$C17,'S0a Baseline'!$AD$3:$AD$512)</f>
        <v>474.41137094692624</v>
      </c>
      <c r="F17" s="220">
        <f>SUMIF('S0b Baseline kasvu'!$C$3:$C$512,'Lyhyt yhteenveto'!$C17,'S0b Baseline kasvu'!$AB$3:$AB$512)</f>
        <v>266.45724948454517</v>
      </c>
      <c r="G17" s="218">
        <f>SUMIF('S0b Baseline kasvu'!$C$3:$C$512,'Lyhyt yhteenveto'!$C17,'S0b Baseline kasvu'!$AD$3:$AD$512)</f>
        <v>487.3500603830264</v>
      </c>
      <c r="H17" s="220">
        <f>SUMIF('S1 Sähkö'!$C$3:$C$504,'Lyhyt yhteenveto'!$C17,'S1 Sähkö'!$AB$3:$AB$504)</f>
        <v>213.16043359393353</v>
      </c>
      <c r="I17" s="218">
        <f>SUMIF('S1 Sähkö'!$C$3:$C$504,'Lyhyt yhteenveto'!$C17,'S1 Sähkö'!$AD$3:$AD$504)</f>
        <v>439.28487007784406</v>
      </c>
      <c r="J17" s="240">
        <f>SUMIF('S2 Bio'!$C$3:$C$504,'Lyhyt yhteenveto'!$C17,'S2 Bio'!$AB$3:$AB$504)</f>
        <v>233.89526205110198</v>
      </c>
      <c r="K17" s="241">
        <f>SUMIF('S2 Bio'!$C$3:$C$504,'Lyhyt yhteenveto'!$C17,'S2 Bio'!$AD$3:$AD$504)</f>
        <v>473.98283364958303</v>
      </c>
      <c r="L17" s="240">
        <f>SUMIF('S3 Tiekartta'!$C$3:$C$504,'Lyhyt yhteenveto'!$C17,'S3 Tiekartta'!$AB$3:$AB$504)</f>
        <v>266.45724948454517</v>
      </c>
      <c r="M17" s="241">
        <f>SUMIF('S3 Tiekartta'!$C$3:$C$504,'Lyhyt yhteenveto'!$C17,'S3 Tiekartta'!$AD$3:$AD$504)</f>
        <v>487.3500603830264</v>
      </c>
      <c r="N17" s="345"/>
      <c r="O17" s="345"/>
      <c r="S17" s="22"/>
    </row>
    <row r="18" spans="1:19">
      <c r="A18" s="203"/>
      <c r="B18" s="126"/>
      <c r="C18" s="217">
        <v>2023</v>
      </c>
      <c r="D18" s="20">
        <f>SUMIF('S0a Baseline'!$C$3:$C$512,'Lyhyt yhteenveto'!$C18,'S0a Baseline'!$AB$3:$AB$512)</f>
        <v>256.04717603857432</v>
      </c>
      <c r="E18" s="218">
        <f>SUMIF('S0a Baseline'!$C$3:$C$512,'Lyhyt yhteenveto'!$C18,'S0a Baseline'!$AD$3:$AD$512)</f>
        <v>472.33888137116975</v>
      </c>
      <c r="F18" s="220">
        <f>SUMIF('S0b Baseline kasvu'!$C$3:$C$512,'Lyhyt yhteenveto'!$C18,'S0b Baseline kasvu'!$AB$3:$AB$512)</f>
        <v>266.28906308011733</v>
      </c>
      <c r="G18" s="218">
        <f>SUMIF('S0b Baseline kasvu'!$C$3:$C$512,'Lyhyt yhteenveto'!$C18,'S0b Baseline kasvu'!$AD$3:$AD$512)</f>
        <v>489.50756770293958</v>
      </c>
      <c r="H18" s="220">
        <f>SUMIF('S1 Sähkö'!$C$3:$C$504,'Lyhyt yhteenveto'!$C18,'S1 Sähkö'!$AB$3:$AB$504)</f>
        <v>213.02582985068278</v>
      </c>
      <c r="I18" s="218">
        <f>SUMIF('S1 Sähkö'!$C$3:$C$504,'Lyhyt yhteenveto'!$C18,'S1 Sähkö'!$AD$3:$AD$504)</f>
        <v>440.99750630498636</v>
      </c>
      <c r="J18" s="240">
        <f>SUMIF('S2 Bio'!$C$3:$C$504,'Lyhyt yhteenveto'!$C18,'S2 Bio'!$AB$3:$AB$504)</f>
        <v>218.34945322529364</v>
      </c>
      <c r="K18" s="241">
        <f>SUMIF('S2 Bio'!$C$3:$C$504,'Lyhyt yhteenveto'!$C18,'S2 Bio'!$AD$3:$AD$504)</f>
        <v>469.82757624811592</v>
      </c>
      <c r="L18" s="240">
        <f>SUMIF('S3 Tiekartta'!$C$3:$C$504,'Lyhyt yhteenveto'!$C18,'S3 Tiekartta'!$AB$3:$AB$504)</f>
        <v>266.28906308011733</v>
      </c>
      <c r="M18" s="241">
        <f>SUMIF('S3 Tiekartta'!$C$3:$C$504,'Lyhyt yhteenveto'!$C18,'S3 Tiekartta'!$AD$3:$AD$504)</f>
        <v>489.50756770293958</v>
      </c>
      <c r="N18" s="345"/>
      <c r="O18" s="345"/>
      <c r="S18" s="22"/>
    </row>
    <row r="19" spans="1:19">
      <c r="A19" s="202"/>
      <c r="B19" s="202"/>
      <c r="C19" s="217">
        <v>2024</v>
      </c>
      <c r="D19" s="20">
        <f>SUMIF('S0a Baseline'!$C$3:$C$512,'Lyhyt yhteenveto'!$C19,'S0a Baseline'!$AB$3:$AB$512)</f>
        <v>253.39799335428924</v>
      </c>
      <c r="E19" s="218">
        <f>SUMIF('S0a Baseline'!$C$3:$C$512,'Lyhyt yhteenveto'!$C19,'S0a Baseline'!$AD$3:$AD$512)</f>
        <v>470.27624136432792</v>
      </c>
      <c r="F19" s="220">
        <f>SUMIF('S0b Baseline kasvu'!$C$3:$C$512,'Lyhyt yhteenveto'!$C19,'S0b Baseline kasvu'!$AB$3:$AB$512)</f>
        <v>266.06789302200372</v>
      </c>
      <c r="G19" s="218">
        <f>SUMIF('S0b Baseline kasvu'!$C$3:$C$512,'Lyhyt yhteenveto'!$C19,'S0b Baseline kasvu'!$AD$3:$AD$512)</f>
        <v>491.63396727869815</v>
      </c>
      <c r="H19" s="220">
        <f>SUMIF('S1 Sähkö'!$C$3:$C$504,'Lyhyt yhteenveto'!$C19,'S1 Sähkö'!$AB$3:$AB$504)</f>
        <v>212.84883913597031</v>
      </c>
      <c r="I19" s="218">
        <f>SUMIF('S1 Sähkö'!$C$3:$C$504,'Lyhyt yhteenveto'!$C19,'S1 Sähkö'!$AD$3:$AD$504)</f>
        <v>442.68209397363546</v>
      </c>
      <c r="J19" s="240">
        <f>SUMIF('S2 Bio'!$C$3:$C$504,'Lyhyt yhteenveto'!$C19,'S2 Bio'!$AB$3:$AB$504)</f>
        <v>202.46101677231769</v>
      </c>
      <c r="K19" s="241">
        <f>SUMIF('S2 Bio'!$C$3:$C$504,'Lyhyt yhteenveto'!$C19,'S2 Bio'!$AD$3:$AD$504)</f>
        <v>465.52230752901221</v>
      </c>
      <c r="L19" s="240">
        <f>SUMIF('S3 Tiekartta'!$C$3:$C$504,'Lyhyt yhteenveto'!$C19,'S3 Tiekartta'!$AB$3:$AB$504)</f>
        <v>266.06789302200372</v>
      </c>
      <c r="M19" s="241">
        <f>SUMIF('S3 Tiekartta'!$C$3:$C$504,'Lyhyt yhteenveto'!$C19,'S3 Tiekartta'!$AD$3:$AD$504)</f>
        <v>491.63396727869815</v>
      </c>
      <c r="N19" s="345"/>
      <c r="O19" s="345"/>
      <c r="S19" s="22"/>
    </row>
    <row r="20" spans="1:19">
      <c r="C20" s="217">
        <v>2025</v>
      </c>
      <c r="D20" s="20">
        <f>SUMIF('S0a Baseline'!$C$3:$C$512,'Lyhyt yhteenveto'!$C20,'S0a Baseline'!$AB$3:$AB$512)</f>
        <v>250.74881067000408</v>
      </c>
      <c r="E20" s="218">
        <f>SUMIF('S0a Baseline'!$C$3:$C$512,'Lyhyt yhteenveto'!$C20,'S0a Baseline'!$AD$3:$AD$512)</f>
        <v>468.22335243071166</v>
      </c>
      <c r="F20" s="220">
        <f>SUMIF('S0b Baseline kasvu'!$C$3:$C$512,'Lyhyt yhteenveto'!$C20,'S0b Baseline kasvu'!$AB$3:$AB$512)</f>
        <v>265.79373931020433</v>
      </c>
      <c r="G20" s="218">
        <f>SUMIF('S0b Baseline kasvu'!$C$3:$C$512,'Lyhyt yhteenveto'!$C20,'S0b Baseline kasvu'!$AD$3:$AD$512)</f>
        <v>493.72945019193889</v>
      </c>
      <c r="H20" s="220">
        <f>SUMIF('S1 Sähkö'!$C$3:$C$504,'Lyhyt yhteenveto'!$C20,'S1 Sähkö'!$AB$3:$AB$504)</f>
        <v>212.62946144979611</v>
      </c>
      <c r="I20" s="218">
        <f>SUMIF('S1 Sähkö'!$C$3:$C$504,'Lyhyt yhteenveto'!$C20,'S1 Sähkö'!$AD$3:$AD$504)</f>
        <v>444.33885052689465</v>
      </c>
      <c r="J20" s="240">
        <f>SUMIF('S2 Bio'!$C$3:$C$504,'Lyhyt yhteenveto'!$C20,'S2 Bio'!$AB$3:$AB$504)</f>
        <v>186.22995269217427</v>
      </c>
      <c r="K20" s="241">
        <f>SUMIF('S2 Bio'!$C$3:$C$504,'Lyhyt yhteenveto'!$C20,'S2 Bio'!$AD$3:$AD$504)</f>
        <v>461.0672185739088</v>
      </c>
      <c r="L20" s="240">
        <f>SUMIF('S3 Tiekartta'!$C$3:$C$504,'Lyhyt yhteenveto'!$C20,'S3 Tiekartta'!$AB$3:$AB$504)</f>
        <v>265.79373931020433</v>
      </c>
      <c r="M20" s="241">
        <f>SUMIF('S3 Tiekartta'!$C$3:$C$504,'Lyhyt yhteenveto'!$C20,'S3 Tiekartta'!$AD$3:$AD$504)</f>
        <v>493.72945019193889</v>
      </c>
      <c r="N20" s="345"/>
      <c r="O20" s="345"/>
      <c r="R20" s="22"/>
      <c r="S20" s="22"/>
    </row>
    <row r="21" spans="1:19">
      <c r="C21" s="217">
        <v>2026</v>
      </c>
      <c r="D21" s="20">
        <f>SUMIF('S0a Baseline'!$C$3:$C$512,'Lyhyt yhteenveto'!$C21,'S0a Baseline'!$AB$3:$AB$512)</f>
        <v>248.099627985719</v>
      </c>
      <c r="E21" s="218">
        <f>SUMIF('S0a Baseline'!$C$3:$C$512,'Lyhyt yhteenveto'!$C21,'S0a Baseline'!$AD$3:$AD$512)</f>
        <v>466.18011705958867</v>
      </c>
      <c r="F21" s="220">
        <f>SUMIF('S0b Baseline kasvu'!$C$3:$C$512,'Lyhyt yhteenveto'!$C21,'S0b Baseline kasvu'!$AB$3:$AB$512)</f>
        <v>265.46660194471934</v>
      </c>
      <c r="G21" s="218">
        <f>SUMIF('S0b Baseline kasvu'!$C$3:$C$512,'Lyhyt yhteenveto'!$C21,'S0b Baseline kasvu'!$AD$3:$AD$512)</f>
        <v>495.79420463837528</v>
      </c>
      <c r="H21" s="220">
        <f>SUMIF('S1 Sähkö'!$C$3:$C$504,'Lyhyt yhteenveto'!$C21,'S1 Sähkö'!$AB$3:$AB$504)</f>
        <v>212.36769679216033</v>
      </c>
      <c r="I21" s="218">
        <f>SUMIF('S1 Sähkö'!$C$3:$C$504,'Lyhyt yhteenveto'!$C21,'S1 Sähkö'!$AD$3:$AD$504)</f>
        <v>445.96799012380444</v>
      </c>
      <c r="J21" s="240">
        <f>SUMIF('S2 Bio'!$C$3:$C$504,'Lyhyt yhteenveto'!$C21,'S2 Bio'!$AB$3:$AB$504)</f>
        <v>169.65626098486325</v>
      </c>
      <c r="K21" s="241">
        <f>SUMIF('S2 Bio'!$C$3:$C$504,'Lyhyt yhteenveto'!$C21,'S2 Bio'!$AD$3:$AD$504)</f>
        <v>456.46249757851922</v>
      </c>
      <c r="L21" s="240">
        <f>SUMIF('S3 Tiekartta'!$C$3:$C$504,'Lyhyt yhteenveto'!$C21,'S3 Tiekartta'!$AB$3:$AB$504)</f>
        <v>265.46660194471934</v>
      </c>
      <c r="M21" s="241">
        <f>SUMIF('S3 Tiekartta'!$C$3:$C$504,'Lyhyt yhteenveto'!$C21,'S3 Tiekartta'!$AD$3:$AD$504)</f>
        <v>495.79420463837528</v>
      </c>
      <c r="N21" s="345"/>
      <c r="O21" s="345"/>
      <c r="R21" s="22"/>
      <c r="S21" s="22"/>
    </row>
    <row r="22" spans="1:19">
      <c r="C22" s="217">
        <v>2027</v>
      </c>
      <c r="D22" s="20">
        <f>SUMIF('S0a Baseline'!$C$3:$C$512,'Lyhyt yhteenveto'!$C22,'S0a Baseline'!$AB$3:$AB$512)</f>
        <v>245.45044530143377</v>
      </c>
      <c r="E22" s="218">
        <f>SUMIF('S0a Baseline'!$C$3:$C$512,'Lyhyt yhteenveto'!$C22,'S0a Baseline'!$AD$3:$AD$512)</f>
        <v>464.146438715334</v>
      </c>
      <c r="F22" s="220">
        <f>SUMIF('S0b Baseline kasvu'!$C$3:$C$512,'Lyhyt yhteenveto'!$C22,'S0b Baseline kasvu'!$AB$3:$AB$512)</f>
        <v>265.08648092554853</v>
      </c>
      <c r="G22" s="218">
        <f>SUMIF('S0b Baseline kasvu'!$C$3:$C$512,'Lyhyt yhteenveto'!$C22,'S0b Baseline kasvu'!$AD$3:$AD$512)</f>
        <v>497.82841596640685</v>
      </c>
      <c r="H22" s="220">
        <f>SUMIF('S1 Sähkö'!$C$3:$C$504,'Lyhyt yhteenveto'!$C22,'S1 Sähkö'!$AB$3:$AB$504)</f>
        <v>212.06354516306271</v>
      </c>
      <c r="I22" s="218">
        <f>SUMIF('S1 Sähkö'!$C$3:$C$504,'Lyhyt yhteenveto'!$C22,'S1 Sähkö'!$AD$3:$AD$504)</f>
        <v>447.56972368327843</v>
      </c>
      <c r="J22" s="240">
        <f>SUMIF('S2 Bio'!$C$3:$C$504,'Lyhyt yhteenveto'!$C22,'S2 Bio'!$AB$3:$AB$504)</f>
        <v>152.73994165038468</v>
      </c>
      <c r="K22" s="241">
        <f>SUMIF('S2 Bio'!$C$3:$C$504,'Lyhyt yhteenveto'!$C22,'S2 Bio'!$AD$3:$AD$504)</f>
        <v>451.70832989124301</v>
      </c>
      <c r="L22" s="240">
        <f>SUMIF('S3 Tiekartta'!$C$3:$C$504,'Lyhyt yhteenveto'!$C22,'S3 Tiekartta'!$AB$3:$AB$504)</f>
        <v>257.6189647750856</v>
      </c>
      <c r="M22" s="241">
        <f>SUMIF('S3 Tiekartta'!$C$3:$C$504,'Lyhyt yhteenveto'!$C22,'S3 Tiekartta'!$AD$3:$AD$504)</f>
        <v>494.76287883594398</v>
      </c>
      <c r="N22" s="345"/>
      <c r="O22" s="345"/>
      <c r="R22" s="22"/>
      <c r="S22" s="22"/>
    </row>
    <row r="23" spans="1:19">
      <c r="C23" s="217">
        <v>2028</v>
      </c>
      <c r="D23" s="20">
        <f>SUMIF('S0a Baseline'!$C$3:$C$512,'Lyhyt yhteenveto'!$C23,'S0a Baseline'!$AB$3:$AB$512)</f>
        <v>242.80126261714875</v>
      </c>
      <c r="E23" s="218">
        <f>SUMIF('S0a Baseline'!$C$3:$C$512,'Lyhyt yhteenveto'!$C23,'S0a Baseline'!$AD$3:$AD$512)</f>
        <v>462.12222182767914</v>
      </c>
      <c r="F23" s="220">
        <f>SUMIF('S0b Baseline kasvu'!$C$3:$C$512,'Lyhyt yhteenveto'!$C23,'S0b Baseline kasvu'!$AB$3:$AB$512)</f>
        <v>264.65337625269211</v>
      </c>
      <c r="G23" s="218">
        <f>SUMIF('S0b Baseline kasvu'!$C$3:$C$512,'Lyhyt yhteenveto'!$C23,'S0b Baseline kasvu'!$AD$3:$AD$512)</f>
        <v>499.83226671524721</v>
      </c>
      <c r="H23" s="220">
        <f>SUMIF('S1 Sähkö'!$C$3:$C$504,'Lyhyt yhteenveto'!$C23,'S1 Sähkö'!$AB$3:$AB$504)</f>
        <v>211.71700656250354</v>
      </c>
      <c r="I23" s="218">
        <f>SUMIF('S1 Sähkö'!$C$3:$C$504,'Lyhyt yhteenveto'!$C23,'S1 Sähkö'!$AD$3:$AD$504)</f>
        <v>449.14425892749091</v>
      </c>
      <c r="J23" s="240">
        <f>SUMIF('S2 Bio'!$C$3:$C$504,'Lyhyt yhteenveto'!$C23,'S2 Bio'!$AB$3:$AB$504)</f>
        <v>135.48099468873863</v>
      </c>
      <c r="K23" s="241">
        <f>SUMIF('S2 Bio'!$C$3:$C$504,'Lyhyt yhteenveto'!$C23,'S2 Bio'!$AD$3:$AD$504)</f>
        <v>446.80489805129378</v>
      </c>
      <c r="L23" s="240">
        <f>SUMIF('S3 Tiekartta'!$C$3:$C$504,'Lyhyt yhteenveto'!$C23,'S3 Tiekartta'!$AB$3:$AB$504)</f>
        <v>250.28203439414568</v>
      </c>
      <c r="M23" s="241">
        <f>SUMIF('S3 Tiekartta'!$C$3:$C$504,'Lyhyt yhteenveto'!$C23,'S3 Tiekartta'!$AD$3:$AD$504)</f>
        <v>493.93259657135081</v>
      </c>
      <c r="N23" s="345"/>
      <c r="O23" s="345"/>
      <c r="R23" s="22"/>
      <c r="S23" s="22"/>
    </row>
    <row r="24" spans="1:19">
      <c r="C24" s="217">
        <v>2029</v>
      </c>
      <c r="D24" s="20">
        <f>SUMIF('S0a Baseline'!$C$3:$C$512,'Lyhyt yhteenveto'!$C24,'S0a Baseline'!$AB$3:$AB$512)</f>
        <v>242.80126261714875</v>
      </c>
      <c r="E24" s="218">
        <f>SUMIF('S0a Baseline'!$C$3:$C$512,'Lyhyt yhteenveto'!$C24,'S0a Baseline'!$AD$3:$AD$512)</f>
        <v>461.19490446634302</v>
      </c>
      <c r="F24" s="220">
        <f>SUMIF('S0b Baseline kasvu'!$C$3:$C$512,'Lyhyt yhteenveto'!$C24,'S0b Baseline kasvu'!$AB$3:$AB$512)</f>
        <v>267.08138887886355</v>
      </c>
      <c r="G24" s="218">
        <f>SUMIF('S0b Baseline kasvu'!$C$3:$C$512,'Lyhyt yhteenveto'!$C24,'S0b Baseline kasvu'!$AD$3:$AD$512)</f>
        <v>503.00222260528506</v>
      </c>
      <c r="H24" s="220">
        <f>SUMIF('S1 Sähkö'!$C$3:$C$504,'Lyhyt yhteenveto'!$C24,'S1 Sähkö'!$AB$3:$AB$504)</f>
        <v>213.65936442087508</v>
      </c>
      <c r="I24" s="218">
        <f>SUMIF('S1 Sähkö'!$C$3:$C$504,'Lyhyt yhteenveto'!$C24,'S1 Sähkö'!$AD$3:$AD$504)</f>
        <v>451.64883185511121</v>
      </c>
      <c r="J24" s="240">
        <f>SUMIF('S2 Bio'!$C$3:$C$504,'Lyhyt yhteenveto'!$C24,'S2 Bio'!$AB$3:$AB$504)</f>
        <v>117.87942009992501</v>
      </c>
      <c r="K24" s="241">
        <f>SUMIF('S2 Bio'!$C$3:$C$504,'Lyhyt yhteenveto'!$C24,'S2 Bio'!$AD$3:$AD$504)</f>
        <v>441.75238182634644</v>
      </c>
      <c r="L24" s="240">
        <f>SUMIF('S3 Tiekartta'!$C$3:$C$504,'Lyhyt yhteenveto'!$C24,'S3 Tiekartta'!$AB$3:$AB$504)</f>
        <v>239.92138226528095</v>
      </c>
      <c r="M24" s="241">
        <f>SUMIF('S3 Tiekartta'!$C$3:$C$504,'Lyhyt yhteenveto'!$C24,'S3 Tiekartta'!$AD$3:$AD$504)</f>
        <v>491.85259707251748</v>
      </c>
      <c r="N24" s="345"/>
      <c r="O24" s="345"/>
      <c r="R24" s="22"/>
      <c r="S24" s="22"/>
    </row>
    <row r="25" spans="1:19">
      <c r="C25" s="217">
        <v>2030</v>
      </c>
      <c r="D25" s="20">
        <f>SUMIF('S0a Baseline'!$C$3:$C$512,'Lyhyt yhteenveto'!$C25,'S0a Baseline'!$AB$3:$AB$512)</f>
        <v>242.80126261714875</v>
      </c>
      <c r="E25" s="218">
        <f>SUMIF('S0a Baseline'!$C$3:$C$512,'Lyhyt yhteenveto'!$C25,'S0a Baseline'!$AD$3:$AD$512)</f>
        <v>460.27686027862035</v>
      </c>
      <c r="F25" s="220">
        <f>SUMIF('S0b Baseline kasvu'!$C$3:$C$512,'Lyhyt yhteenveto'!$C25,'S0b Baseline kasvu'!$AB$3:$AB$512)</f>
        <v>269.5094015050351</v>
      </c>
      <c r="G25" s="218">
        <f>SUMIF('S0b Baseline kasvu'!$C$3:$C$512,'Lyhyt yhteenveto'!$C25,'S0b Baseline kasvu'!$AD$3:$AD$512)</f>
        <v>506.16392537080714</v>
      </c>
      <c r="H25" s="220">
        <f>SUMIF('S1 Sähkö'!$C$3:$C$504,'Lyhyt yhteenveto'!$C25,'S1 Sähkö'!$AB$3:$AB$504)</f>
        <v>215.60172227924676</v>
      </c>
      <c r="I25" s="218">
        <f>SUMIF('S1 Sähkö'!$C$3:$C$504,'Lyhyt yhteenveto'!$C25,'S1 Sähkö'!$AD$3:$AD$504)</f>
        <v>454.14401306389476</v>
      </c>
      <c r="J25" s="240">
        <f>SUMIF('S2 Bio'!$C$3:$C$504,'Lyhyt yhteenveto'!$C25,'S2 Bio'!$AB$3:$AB$504)</f>
        <v>99.935217883943821</v>
      </c>
      <c r="K25" s="241">
        <f>SUMIF('S2 Bio'!$C$3:$C$504,'Lyhyt yhteenveto'!$C25,'S2 Bio'!$AD$3:$AD$504)</f>
        <v>436.5509582497159</v>
      </c>
      <c r="L25" s="240">
        <f>SUMIF('S3 Tiekartta'!$C$3:$C$504,'Lyhyt yhteenveto'!$C25,'S3 Tiekartta'!$AB$3:$AB$504)</f>
        <v>225.62676110796767</v>
      </c>
      <c r="M25" s="241">
        <f>SUMIF('S3 Tiekartta'!$C$3:$C$504,'Lyhyt yhteenveto'!$C25,'S3 Tiekartta'!$AD$3:$AD$504)</f>
        <v>488.14938602339333</v>
      </c>
      <c r="N25" s="345"/>
      <c r="O25" s="345"/>
    </row>
    <row r="26" spans="1:19">
      <c r="C26" s="217">
        <v>2031</v>
      </c>
      <c r="D26" s="20">
        <f>SUMIF('S0a Baseline'!$C$3:$C$512,'Lyhyt yhteenveto'!$C26,'S0a Baseline'!$AB$3:$AB$512)</f>
        <v>242.80126261714875</v>
      </c>
      <c r="E26" s="218">
        <f>SUMIF('S0a Baseline'!$C$3:$C$512,'Lyhyt yhteenveto'!$C26,'S0a Baseline'!$AD$3:$AD$512)</f>
        <v>459.3679965327749</v>
      </c>
      <c r="F26" s="220">
        <f>SUMIF('S0b Baseline kasvu'!$C$3:$C$512,'Lyhyt yhteenveto'!$C26,'S0b Baseline kasvu'!$AB$3:$AB$512)</f>
        <v>271.93741413120665</v>
      </c>
      <c r="G26" s="218">
        <f>SUMIF('S0b Baseline kasvu'!$C$3:$C$512,'Lyhyt yhteenveto'!$C26,'S0b Baseline kasvu'!$AD$3:$AD$512)</f>
        <v>509.31754934747721</v>
      </c>
      <c r="H26" s="220">
        <f>SUMIF('S1 Sähkö'!$C$3:$C$504,'Lyhyt yhteenveto'!$C26,'S1 Sähkö'!$AB$3:$AB$504)</f>
        <v>217.54408013761838</v>
      </c>
      <c r="I26" s="218">
        <f>SUMIF('S1 Sähkö'!$C$3:$C$504,'Lyhyt yhteenveto'!$C26,'S1 Sähkö'!$AD$3:$AD$504)</f>
        <v>456.63000094071134</v>
      </c>
      <c r="J26" s="240">
        <f>SUMIF('S2 Bio'!$C$3:$C$504,'Lyhyt yhteenveto'!$C26,'S2 Bio'!$AB$3:$AB$504)</f>
        <v>81.648388040795112</v>
      </c>
      <c r="K26" s="241">
        <f>SUMIF('S2 Bio'!$C$3:$C$504,'Lyhyt yhteenveto'!$C26,'S2 Bio'!$AD$3:$AD$504)</f>
        <v>431.20080165706565</v>
      </c>
      <c r="L26" s="240">
        <f>SUMIF('S3 Tiekartta'!$C$3:$C$504,'Lyhyt yhteenveto'!$C26,'S3 Tiekartta'!$AB$3:$AB$504)</f>
        <v>206.21427521797898</v>
      </c>
      <c r="M26" s="241">
        <f>SUMIF('S3 Tiekartta'!$C$3:$C$504,'Lyhyt yhteenveto'!$C26,'S3 Tiekartta'!$AD$3:$AD$504)</f>
        <v>482.3371292707717</v>
      </c>
      <c r="N26" s="345"/>
      <c r="O26" s="345"/>
    </row>
    <row r="27" spans="1:19">
      <c r="C27" s="217">
        <v>2032</v>
      </c>
      <c r="D27" s="20">
        <f>SUMIF('S0a Baseline'!$C$3:$C$512,'Lyhyt yhteenveto'!$C27,'S0a Baseline'!$AB$3:$AB$512)</f>
        <v>242.80126261714875</v>
      </c>
      <c r="E27" s="218">
        <f>SUMIF('S0a Baseline'!$C$3:$C$512,'Lyhyt yhteenveto'!$C27,'S0a Baseline'!$AD$3:$AD$512)</f>
        <v>458.46822142438782</v>
      </c>
      <c r="F27" s="220">
        <f>SUMIF('S0b Baseline kasvu'!$C$3:$C$512,'Lyhyt yhteenveto'!$C27,'S0b Baseline kasvu'!$AB$3:$AB$512)</f>
        <v>274.36542675737797</v>
      </c>
      <c r="G27" s="218">
        <f>SUMIF('S0b Baseline kasvu'!$C$3:$C$512,'Lyhyt yhteenveto'!$C27,'S0b Baseline kasvu'!$AD$3:$AD$512)</f>
        <v>512.46326620955813</v>
      </c>
      <c r="H27" s="220">
        <f>SUMIF('S1 Sähkö'!$C$3:$C$504,'Lyhyt yhteenveto'!$C27,'S1 Sähkö'!$AB$3:$AB$504)</f>
        <v>219.48643799598986</v>
      </c>
      <c r="I27" s="218">
        <f>SUMIF('S1 Sähkö'!$C$3:$C$504,'Lyhyt yhteenveto'!$C27,'S1 Sähkö'!$AD$3:$AD$504)</f>
        <v>459.10699084386476</v>
      </c>
      <c r="J27" s="240">
        <f>SUMIF('S2 Bio'!$C$3:$C$504,'Lyhyt yhteenveto'!$C27,'S2 Bio'!$AB$3:$AB$504)</f>
        <v>63.018930570478815</v>
      </c>
      <c r="K27" s="241">
        <f>SUMIF('S2 Bio'!$C$3:$C$504,'Lyhyt yhteenveto'!$C27,'S2 Bio'!$AD$3:$AD$504)</f>
        <v>425.70208372265893</v>
      </c>
      <c r="L27" s="240">
        <f>SUMIF('S3 Tiekartta'!$C$3:$C$504,'Lyhyt yhteenveto'!$C27,'S3 Tiekartta'!$AB$3:$AB$504)</f>
        <v>180.14421617792934</v>
      </c>
      <c r="M27" s="241">
        <f>SUMIF('S3 Tiekartta'!$C$3:$C$504,'Lyhyt yhteenveto'!$C27,'S3 Tiekartta'!$AD$3:$AD$504)</f>
        <v>473.78392308010814</v>
      </c>
      <c r="N27" s="345"/>
      <c r="O27" s="345"/>
    </row>
    <row r="28" spans="1:19">
      <c r="C28" s="217">
        <v>2033</v>
      </c>
      <c r="D28" s="20">
        <f>SUMIF('S0a Baseline'!$C$3:$C$512,'Lyhyt yhteenveto'!$C28,'S0a Baseline'!$AB$3:$AB$512)</f>
        <v>242.80126261714875</v>
      </c>
      <c r="E28" s="218">
        <f>SUMIF('S0a Baseline'!$C$3:$C$512,'Lyhyt yhteenveto'!$C28,'S0a Baseline'!$AD$3:$AD$512)</f>
        <v>457.57744406708468</v>
      </c>
      <c r="F28" s="220">
        <f>SUMIF('S0b Baseline kasvu'!$C$3:$C$512,'Lyhyt yhteenveto'!$C28,'S0b Baseline kasvu'!$AB$3:$AB$512)</f>
        <v>276.79343938354958</v>
      </c>
      <c r="G28" s="218">
        <f>SUMIF('S0b Baseline kasvu'!$C$3:$C$512,'Lyhyt yhteenveto'!$C28,'S0b Baseline kasvu'!$AD$3:$AD$512)</f>
        <v>515.60124500570748</v>
      </c>
      <c r="H28" s="220">
        <f>SUMIF('S1 Sähkö'!$C$3:$C$504,'Lyhyt yhteenveto'!$C28,'S1 Sähkö'!$AB$3:$AB$504)</f>
        <v>221.42879585436154</v>
      </c>
      <c r="I28" s="218">
        <f>SUMIF('S1 Sähkö'!$C$3:$C$504,'Lyhyt yhteenveto'!$C28,'S1 Sähkö'!$AD$3:$AD$504)</f>
        <v>461.57517514382744</v>
      </c>
      <c r="J28" s="240">
        <f>SUMIF('S2 Bio'!$C$3:$C$504,'Lyhyt yhteenveto'!$C28,'S2 Bio'!$AB$3:$AB$504)</f>
        <v>44.046845472995017</v>
      </c>
      <c r="K28" s="241">
        <f>SUMIF('S2 Bio'!$C$3:$C$504,'Lyhyt yhteenveto'!$C28,'S2 Bio'!$AD$3:$AD$504)</f>
        <v>420.05497349515286</v>
      </c>
      <c r="L28" s="240">
        <f>SUMIF('S3 Tiekartta'!$C$3:$C$504,'Lyhyt yhteenveto'!$C28,'S3 Tiekartta'!$AB$3:$AB$504)</f>
        <v>145.4142571123673</v>
      </c>
      <c r="M28" s="241">
        <f>SUMIF('S3 Tiekartta'!$C$3:$C$504,'Lyhyt yhteenveto'!$C28,'S3 Tiekartta'!$AD$3:$AD$504)</f>
        <v>461.66794867166482</v>
      </c>
      <c r="N28" s="345"/>
      <c r="O28" s="345"/>
    </row>
    <row r="29" spans="1:19">
      <c r="C29" s="217">
        <v>2034</v>
      </c>
      <c r="D29" s="20">
        <f>SUMIF('S0a Baseline'!$C$3:$C$512,'Lyhyt yhteenveto'!$C29,'S0a Baseline'!$AB$3:$AB$512)</f>
        <v>242.80126261714875</v>
      </c>
      <c r="E29" s="218">
        <f>SUMIF('S0a Baseline'!$C$3:$C$512,'Lyhyt yhteenveto'!$C29,'S0a Baseline'!$AD$3:$AD$512)</f>
        <v>456.69557448335456</v>
      </c>
      <c r="F29" s="220">
        <f>SUMIF('S0b Baseline kasvu'!$C$3:$C$512,'Lyhyt yhteenveto'!$C29,'S0b Baseline kasvu'!$AB$3:$AB$512)</f>
        <v>279.22145200972102</v>
      </c>
      <c r="G29" s="218">
        <f>SUMIF('S0b Baseline kasvu'!$C$3:$C$512,'Lyhyt yhteenveto'!$C29,'S0b Baseline kasvu'!$AD$3:$AD$512)</f>
        <v>518.73165219431928</v>
      </c>
      <c r="H29" s="220">
        <f>SUMIF('S1 Sähkö'!$C$3:$C$504,'Lyhyt yhteenveto'!$C29,'S1 Sähkö'!$AB$3:$AB$504)</f>
        <v>223.37115371273308</v>
      </c>
      <c r="I29" s="218">
        <f>SUMIF('S1 Sähkö'!$C$3:$C$504,'Lyhyt yhteenveto'!$C29,'S1 Sähkö'!$AD$3:$AD$504)</f>
        <v>464.0347432634577</v>
      </c>
      <c r="J29" s="240">
        <f>SUMIF('S2 Bio'!$C$3:$C$504,'Lyhyt yhteenveto'!$C29,'S2 Bio'!$AB$3:$AB$504)</f>
        <v>24.73213274834367</v>
      </c>
      <c r="K29" s="241">
        <f>SUMIF('S2 Bio'!$C$3:$C$504,'Lyhyt yhteenveto'!$C29,'S2 Bio'!$AD$3:$AD$504)</f>
        <v>414.25963743294199</v>
      </c>
      <c r="L29" s="240">
        <f>SUMIF('S3 Tiekartta'!$C$3:$C$504,'Lyhyt yhteenveto'!$C29,'S3 Tiekartta'!$AB$3:$AB$504)</f>
        <v>99.420623459999533</v>
      </c>
      <c r="M29" s="241">
        <f>SUMIF('S3 Tiekartta'!$C$3:$C$504,'Lyhyt yhteenveto'!$C29,'S3 Tiekartta'!$AD$3:$AD$504)</f>
        <v>444.92048059437559</v>
      </c>
      <c r="N29" s="345"/>
      <c r="O29" s="345"/>
    </row>
    <row r="30" spans="1:19">
      <c r="C30" s="217">
        <v>2035</v>
      </c>
      <c r="D30" s="20">
        <f>SUMIF('S0a Baseline'!$C$3:$C$512,'Lyhyt yhteenveto'!$C30,'S0a Baseline'!$AB$3:$AB$512)</f>
        <v>242.80126261714875</v>
      </c>
      <c r="E30" s="218">
        <f>SUMIF('S0a Baseline'!$C$3:$C$512,'Lyhyt yhteenveto'!$C30,'S0a Baseline'!$AD$3:$AD$512)</f>
        <v>455.82252359546169</v>
      </c>
      <c r="F30" s="220">
        <f>SUMIF('S0b Baseline kasvu'!$C$3:$C$512,'Lyhyt yhteenveto'!$C30,'S0b Baseline kasvu'!$AB$3:$AB$512)</f>
        <v>281.64946463589251</v>
      </c>
      <c r="G30" s="218">
        <f>SUMIF('S0b Baseline kasvu'!$C$3:$C$512,'Lyhyt yhteenveto'!$C30,'S0b Baseline kasvu'!$AD$3:$AD$512)</f>
        <v>521.8546516784279</v>
      </c>
      <c r="H30" s="220">
        <f>SUMIF('S1 Sähkö'!$C$3:$C$504,'Lyhyt yhteenveto'!$C30,'S1 Sähkö'!$AB$3:$AB$504)</f>
        <v>225.3135115711047</v>
      </c>
      <c r="I30" s="218">
        <f>SUMIF('S1 Sähkö'!$C$3:$C$504,'Lyhyt yhteenveto'!$C30,'S1 Sähkö'!$AD$3:$AD$504)</f>
        <v>466.4858817177186</v>
      </c>
      <c r="J30" s="242">
        <f>SUMIF('S2 Bio'!$C$3:$C$504,'Lyhyt yhteenveto'!$C30,'S2 Bio'!$AB$3:$AB$504)</f>
        <v>5.0747923965247814</v>
      </c>
      <c r="K30" s="243">
        <f>SUMIF('S2 Bio'!$C$3:$C$504,'Lyhyt yhteenveto'!$C30,'S2 Bio'!$AD$3:$AD$504)</f>
        <v>408.31623943906021</v>
      </c>
      <c r="L30" s="242">
        <f>SUMIF('S3 Tiekartta'!$C$3:$C$504,'Lyhyt yhteenveto'!$C30,'S3 Tiekartta'!$AB$3:$AB$504)</f>
        <v>38.777649006128442</v>
      </c>
      <c r="M30" s="243">
        <f>SUMIF('S3 Tiekartta'!$C$3:$C$504,'Lyhyt yhteenveto'!$C30,'S3 Tiekartta'!$AD$3:$AD$504)</f>
        <v>422.15181157009641</v>
      </c>
      <c r="N30" s="345"/>
      <c r="O30" s="345"/>
    </row>
    <row r="31" spans="1:19">
      <c r="C31" s="221" t="s">
        <v>44</v>
      </c>
      <c r="D31" s="222" t="str">
        <f>IF(D30-tavoite_helsa_ttw&lt;0,"tavoite saavutettu",D30-tavoite_helsa_ttw)</f>
        <v>tavoite saavutettu</v>
      </c>
      <c r="E31" s="222"/>
      <c r="F31" s="222" t="str">
        <f>IF(F30-tavoite_helsa_ttw&lt;0,"tavoite saavutettu",F30-tavoite_helsa_ttw)</f>
        <v>tavoite saavutettu</v>
      </c>
      <c r="G31" s="222"/>
      <c r="H31" s="222" t="str">
        <f>IF(H30-tavoite_helsa_ttw&lt;0,"tavoite saavutettu",H30-tavoite_helsa_ttw)</f>
        <v>tavoite saavutettu</v>
      </c>
      <c r="I31" s="222"/>
      <c r="J31" s="222" t="str">
        <f>IF(J30-tavoite_helsa_ttw&lt;0,"tavoite saavutettu",J30-tavoite_helsa_ttw)</f>
        <v>tavoite saavutettu</v>
      </c>
      <c r="K31" s="223"/>
      <c r="L31" s="222" t="str">
        <f>IF(L30-tavoite_helsa_ttw&lt;0,"tavoite saavutettu",L30-tavoite_helsa_ttw)</f>
        <v>tavoite saavutettu</v>
      </c>
      <c r="M31" s="223"/>
    </row>
    <row r="32" spans="1:19">
      <c r="D32" s="21"/>
    </row>
  </sheetData>
  <conditionalFormatting sqref="D14:D30">
    <cfRule type="colorScale" priority="51">
      <colorScale>
        <cfvo type="min"/>
        <cfvo type="max"/>
        <color rgb="FF63BE7B"/>
        <color rgb="FFFFEF9C"/>
      </colorScale>
    </cfRule>
    <cfRule type="colorScale" priority="53">
      <colorScale>
        <cfvo type="min"/>
        <cfvo type="percentile" val="50"/>
        <cfvo type="max"/>
        <color rgb="FF63BE7B"/>
        <color rgb="FFFFEB84"/>
        <color rgb="FFF8696B"/>
      </colorScale>
    </cfRule>
  </conditionalFormatting>
  <conditionalFormatting sqref="E14:E30">
    <cfRule type="colorScale" priority="52">
      <colorScale>
        <cfvo type="min"/>
        <cfvo type="max"/>
        <color rgb="FF63BE7B"/>
        <color rgb="FFFFEF9C"/>
      </colorScale>
    </cfRule>
  </conditionalFormatting>
  <conditionalFormatting sqref="F14:F30">
    <cfRule type="colorScale" priority="45">
      <colorScale>
        <cfvo type="min"/>
        <cfvo type="max"/>
        <color rgb="FF63BE7B"/>
        <color rgb="FFFFEF9C"/>
      </colorScale>
    </cfRule>
    <cfRule type="colorScale" priority="47">
      <colorScale>
        <cfvo type="min"/>
        <cfvo type="percentile" val="50"/>
        <cfvo type="max"/>
        <color rgb="FF63BE7B"/>
        <color rgb="FFFFEB84"/>
        <color rgb="FFF8696B"/>
      </colorScale>
    </cfRule>
  </conditionalFormatting>
  <conditionalFormatting sqref="G14:G30">
    <cfRule type="colorScale" priority="46">
      <colorScale>
        <cfvo type="min"/>
        <cfvo type="max"/>
        <color rgb="FF63BE7B"/>
        <color rgb="FFFFEF9C"/>
      </colorScale>
    </cfRule>
  </conditionalFormatting>
  <conditionalFormatting sqref="D14:G30">
    <cfRule type="colorScale" priority="37">
      <colorScale>
        <cfvo type="min"/>
        <cfvo type="max"/>
        <color rgb="FF63BE7B"/>
        <color rgb="FFFFEF9C"/>
      </colorScale>
    </cfRule>
  </conditionalFormatting>
  <conditionalFormatting sqref="F14:F30">
    <cfRule type="colorScale" priority="38">
      <colorScale>
        <cfvo type="min"/>
        <cfvo type="max"/>
        <color rgb="FF63BE7B"/>
        <color rgb="FFFFEF9C"/>
      </colorScale>
    </cfRule>
    <cfRule type="colorScale" priority="40">
      <colorScale>
        <cfvo type="min"/>
        <cfvo type="percentile" val="50"/>
        <cfvo type="max"/>
        <color rgb="FF63BE7B"/>
        <color rgb="FFFFEB84"/>
        <color rgb="FFF8696B"/>
      </colorScale>
    </cfRule>
  </conditionalFormatting>
  <conditionalFormatting sqref="G14:G30">
    <cfRule type="colorScale" priority="39">
      <colorScale>
        <cfvo type="min"/>
        <cfvo type="max"/>
        <color rgb="FF63BE7B"/>
        <color rgb="FFFFEF9C"/>
      </colorScale>
    </cfRule>
  </conditionalFormatting>
  <conditionalFormatting sqref="H14:H29">
    <cfRule type="colorScale" priority="31">
      <colorScale>
        <cfvo type="min"/>
        <cfvo type="max"/>
        <color rgb="FF63BE7B"/>
        <color rgb="FFFFEF9C"/>
      </colorScale>
    </cfRule>
    <cfRule type="colorScale" priority="33">
      <colorScale>
        <cfvo type="min"/>
        <cfvo type="percentile" val="50"/>
        <cfvo type="max"/>
        <color rgb="FF63BE7B"/>
        <color rgb="FFFFEB84"/>
        <color rgb="FFF8696B"/>
      </colorScale>
    </cfRule>
  </conditionalFormatting>
  <conditionalFormatting sqref="I14:I29">
    <cfRule type="colorScale" priority="32">
      <colorScale>
        <cfvo type="min"/>
        <cfvo type="max"/>
        <color rgb="FF63BE7B"/>
        <color rgb="FFFFEF9C"/>
      </colorScale>
    </cfRule>
  </conditionalFormatting>
  <conditionalFormatting sqref="H14:I29">
    <cfRule type="colorScale" priority="27">
      <colorScale>
        <cfvo type="min"/>
        <cfvo type="max"/>
        <color rgb="FF63BE7B"/>
        <color rgb="FFFFEF9C"/>
      </colorScale>
    </cfRule>
  </conditionalFormatting>
  <conditionalFormatting sqref="H14:H29">
    <cfRule type="colorScale" priority="28">
      <colorScale>
        <cfvo type="min"/>
        <cfvo type="max"/>
        <color rgb="FF63BE7B"/>
        <color rgb="FFFFEF9C"/>
      </colorScale>
    </cfRule>
    <cfRule type="colorScale" priority="30">
      <colorScale>
        <cfvo type="min"/>
        <cfvo type="percentile" val="50"/>
        <cfvo type="max"/>
        <color rgb="FF63BE7B"/>
        <color rgb="FFFFEB84"/>
        <color rgb="FFF8696B"/>
      </colorScale>
    </cfRule>
  </conditionalFormatting>
  <conditionalFormatting sqref="I14:I29">
    <cfRule type="colorScale" priority="29">
      <colorScale>
        <cfvo type="min"/>
        <cfvo type="max"/>
        <color rgb="FF63BE7B"/>
        <color rgb="FFFFEF9C"/>
      </colorScale>
    </cfRule>
  </conditionalFormatting>
  <conditionalFormatting sqref="J14:J29">
    <cfRule type="colorScale" priority="21">
      <colorScale>
        <cfvo type="min"/>
        <cfvo type="max"/>
        <color rgb="FF63BE7B"/>
        <color rgb="FFFFEF9C"/>
      </colorScale>
    </cfRule>
    <cfRule type="colorScale" priority="23">
      <colorScale>
        <cfvo type="min"/>
        <cfvo type="percentile" val="50"/>
        <cfvo type="max"/>
        <color rgb="FF63BE7B"/>
        <color rgb="FFFFEB84"/>
        <color rgb="FFF8696B"/>
      </colorScale>
    </cfRule>
  </conditionalFormatting>
  <conditionalFormatting sqref="K14:K29">
    <cfRule type="colorScale" priority="22">
      <colorScale>
        <cfvo type="min"/>
        <cfvo type="max"/>
        <color rgb="FF63BE7B"/>
        <color rgb="FFFFEF9C"/>
      </colorScale>
    </cfRule>
  </conditionalFormatting>
  <conditionalFormatting sqref="J14:K29">
    <cfRule type="colorScale" priority="17">
      <colorScale>
        <cfvo type="min"/>
        <cfvo type="max"/>
        <color rgb="FF63BE7B"/>
        <color rgb="FFFFEF9C"/>
      </colorScale>
    </cfRule>
  </conditionalFormatting>
  <conditionalFormatting sqref="J14:J29">
    <cfRule type="colorScale" priority="18">
      <colorScale>
        <cfvo type="min"/>
        <cfvo type="max"/>
        <color rgb="FF63BE7B"/>
        <color rgb="FFFFEF9C"/>
      </colorScale>
    </cfRule>
    <cfRule type="colorScale" priority="20">
      <colorScale>
        <cfvo type="min"/>
        <cfvo type="percentile" val="50"/>
        <cfvo type="max"/>
        <color rgb="FF63BE7B"/>
        <color rgb="FFFFEB84"/>
        <color rgb="FFF8696B"/>
      </colorScale>
    </cfRule>
  </conditionalFormatting>
  <conditionalFormatting sqref="K14:K29">
    <cfRule type="colorScale" priority="19">
      <colorScale>
        <cfvo type="min"/>
        <cfvo type="max"/>
        <color rgb="FF63BE7B"/>
        <color rgb="FFFFEF9C"/>
      </colorScale>
    </cfRule>
  </conditionalFormatting>
  <conditionalFormatting sqref="D14:K30">
    <cfRule type="colorScale" priority="12">
      <colorScale>
        <cfvo type="min"/>
        <cfvo type="max"/>
        <color rgb="FF63BE7B"/>
        <color rgb="FFFFEF9C"/>
      </colorScale>
    </cfRule>
  </conditionalFormatting>
  <conditionalFormatting sqref="D30 F30 H30 J30">
    <cfRule type="cellIs" dxfId="3" priority="54" operator="greaterThan">
      <formula>$O$19</formula>
    </cfRule>
  </conditionalFormatting>
  <conditionalFormatting sqref="E30 G30 I30 K30">
    <cfRule type="cellIs" dxfId="2" priority="58" operator="greaterThan">
      <formula>$O$20</formula>
    </cfRule>
  </conditionalFormatting>
  <conditionalFormatting sqref="L14:L29">
    <cfRule type="colorScale" priority="7">
      <colorScale>
        <cfvo type="min"/>
        <cfvo type="max"/>
        <color rgb="FF63BE7B"/>
        <color rgb="FFFFEF9C"/>
      </colorScale>
    </cfRule>
    <cfRule type="colorScale" priority="9">
      <colorScale>
        <cfvo type="min"/>
        <cfvo type="percentile" val="50"/>
        <cfvo type="max"/>
        <color rgb="FF63BE7B"/>
        <color rgb="FFFFEB84"/>
        <color rgb="FFF8696B"/>
      </colorScale>
    </cfRule>
  </conditionalFormatting>
  <conditionalFormatting sqref="M14:M29">
    <cfRule type="colorScale" priority="8">
      <colorScale>
        <cfvo type="min"/>
        <cfvo type="max"/>
        <color rgb="FF63BE7B"/>
        <color rgb="FFFFEF9C"/>
      </colorScale>
    </cfRule>
  </conditionalFormatting>
  <conditionalFormatting sqref="L14:M29">
    <cfRule type="colorScale" priority="3">
      <colorScale>
        <cfvo type="min"/>
        <cfvo type="max"/>
        <color rgb="FF63BE7B"/>
        <color rgb="FFFFEF9C"/>
      </colorScale>
    </cfRule>
  </conditionalFormatting>
  <conditionalFormatting sqref="L14:L29">
    <cfRule type="colorScale" priority="4">
      <colorScale>
        <cfvo type="min"/>
        <cfvo type="max"/>
        <color rgb="FF63BE7B"/>
        <color rgb="FFFFEF9C"/>
      </colorScale>
    </cfRule>
    <cfRule type="colorScale" priority="6">
      <colorScale>
        <cfvo type="min"/>
        <cfvo type="percentile" val="50"/>
        <cfvo type="max"/>
        <color rgb="FF63BE7B"/>
        <color rgb="FFFFEB84"/>
        <color rgb="FFF8696B"/>
      </colorScale>
    </cfRule>
  </conditionalFormatting>
  <conditionalFormatting sqref="M14:M29">
    <cfRule type="colorScale" priority="5">
      <colorScale>
        <cfvo type="min"/>
        <cfvo type="max"/>
        <color rgb="FF63BE7B"/>
        <color rgb="FFFFEF9C"/>
      </colorScale>
    </cfRule>
  </conditionalFormatting>
  <conditionalFormatting sqref="L14:M30">
    <cfRule type="colorScale" priority="2">
      <colorScale>
        <cfvo type="min"/>
        <cfvo type="max"/>
        <color rgb="FF63BE7B"/>
        <color rgb="FFFFEF9C"/>
      </colorScale>
    </cfRule>
  </conditionalFormatting>
  <conditionalFormatting sqref="L30">
    <cfRule type="cellIs" dxfId="1" priority="10" operator="greaterThan">
      <formula>$O$19</formula>
    </cfRule>
  </conditionalFormatting>
  <conditionalFormatting sqref="M30">
    <cfRule type="cellIs" dxfId="0" priority="11" operator="greaterThan">
      <formula>$O$20</formula>
    </cfRule>
  </conditionalFormatting>
  <conditionalFormatting sqref="D14:M30">
    <cfRule type="colorScale" priority="1">
      <colorScale>
        <cfvo type="min"/>
        <cfvo type="max"/>
        <color rgb="FF63BE7B"/>
        <color rgb="FFFFEF9C"/>
      </colorScale>
    </cfRule>
  </conditionalFormatting>
  <dataValidations count="10">
    <dataValidation type="list" allowBlank="1" showInputMessage="1" showErrorMessage="1" sqref="I3 K3">
      <formula1>"S0a, S0b"</formula1>
    </dataValidation>
    <dataValidation type="list" allowBlank="1" showInputMessage="1" showErrorMessage="1" sqref="E3">
      <formula1>"jäännössähkö, tuulisähkö"</formula1>
    </dataValidation>
    <dataValidation type="list" allowBlank="1" showInputMessage="1" showErrorMessage="1" sqref="K4">
      <formula1>"2021,2022,2023,2024,2025,2026,2027,2028,2029,2030,2031,2032,2033,2034,2035"</formula1>
    </dataValidation>
    <dataValidation type="decimal" operator="lessThanOrEqual" allowBlank="1" showInputMessage="1" showErrorMessage="1" sqref="E8">
      <formula1>0</formula1>
    </dataValidation>
    <dataValidation type="decimal" operator="greaterThanOrEqual" allowBlank="1" showInputMessage="1" showErrorMessage="1" sqref="G3">
      <formula1>0</formula1>
    </dataValidation>
    <dataValidation type="whole" operator="greaterThanOrEqual" allowBlank="1" showInputMessage="1" showErrorMessage="1" sqref="I6 I10">
      <formula1>2021</formula1>
    </dataValidation>
    <dataValidation type="list" allowBlank="1" showInputMessage="1" showErrorMessage="1" sqref="K5">
      <formula1>"äkillinen,asteittainen"</formula1>
    </dataValidation>
    <dataValidation type="decimal" allowBlank="1" showInputMessage="1" showErrorMessage="1" sqref="B18">
      <formula1>0</formula1>
      <formula2>1</formula2>
    </dataValidation>
    <dataValidation type="list" allowBlank="1" showInputMessage="1" showErrorMessage="1" sqref="B17">
      <formula1>"jäännössähkö,tuulisähkö"</formula1>
    </dataValidation>
    <dataValidation type="list" allowBlank="1" showInputMessage="1" showErrorMessage="1" sqref="E4">
      <formula1>"2021,2022,2023,2024,2025,2026,2027,2028,2029,2030,2031,2032,2033,2034,2035,2036"</formula1>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Työkonekanta!$C$3:$C$24</xm:f>
          </x14:formula1>
          <xm:sqref>I4:I5 I8:I9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zoomScaleNormal="100" workbookViewId="0"/>
  </sheetViews>
  <sheetFormatPr defaultColWidth="9.109375" defaultRowHeight="13.8"/>
  <cols>
    <col min="1" max="1" width="28.44140625" style="64" customWidth="1"/>
    <col min="2" max="2" width="47" style="64" customWidth="1"/>
    <col min="3" max="3" width="18.44140625" style="64" customWidth="1"/>
    <col min="4" max="4" width="12.33203125" style="18" customWidth="1"/>
    <col min="5" max="5" width="9.109375" style="18"/>
    <col min="6" max="6" width="24.44140625" style="64" customWidth="1"/>
    <col min="7" max="7" width="12.5546875" style="2" customWidth="1"/>
    <col min="8" max="9" width="9.109375" style="2"/>
    <col min="10" max="10" width="11.6640625" style="2" bestFit="1" customWidth="1"/>
    <col min="11" max="11" width="8.44140625" style="2" customWidth="1"/>
    <col min="12" max="19" width="9.109375" style="2"/>
    <col min="20" max="20" width="11.109375" style="2" customWidth="1"/>
    <col min="21" max="16384" width="9.109375" style="2"/>
  </cols>
  <sheetData>
    <row r="1" spans="1:25" s="4" customFormat="1" ht="21">
      <c r="A1" s="3" t="s">
        <v>45</v>
      </c>
      <c r="B1" s="3"/>
      <c r="C1" s="3"/>
    </row>
    <row r="2" spans="1:25" s="5" customFormat="1">
      <c r="A2" s="5" t="s">
        <v>46</v>
      </c>
      <c r="B2" s="5" t="s">
        <v>47</v>
      </c>
      <c r="C2" s="1" t="s">
        <v>48</v>
      </c>
      <c r="D2" s="1" t="s">
        <v>49</v>
      </c>
      <c r="E2" s="1" t="s">
        <v>50</v>
      </c>
      <c r="F2" s="1" t="s">
        <v>51</v>
      </c>
    </row>
    <row r="3" spans="1:25">
      <c r="A3" s="64" t="s">
        <v>52</v>
      </c>
      <c r="B3" s="64" t="s">
        <v>53</v>
      </c>
      <c r="C3" s="64" t="s">
        <v>54</v>
      </c>
      <c r="D3" s="65">
        <v>2649.7163286</v>
      </c>
      <c r="E3" s="18" t="s">
        <v>55</v>
      </c>
      <c r="F3" s="64" t="s">
        <v>56</v>
      </c>
      <c r="H3" s="9" t="s">
        <v>57</v>
      </c>
      <c r="N3" s="9" t="s">
        <v>58</v>
      </c>
      <c r="T3" s="2" t="s">
        <v>59</v>
      </c>
      <c r="U3" s="19"/>
      <c r="V3" s="25"/>
      <c r="W3" s="25"/>
      <c r="X3" s="25"/>
      <c r="Y3" s="25"/>
    </row>
    <row r="4" spans="1:25">
      <c r="A4" s="64" t="s">
        <v>52</v>
      </c>
      <c r="B4" s="64" t="s">
        <v>60</v>
      </c>
      <c r="C4" s="64" t="s">
        <v>61</v>
      </c>
      <c r="D4" s="65">
        <v>8.3000000000000004E-2</v>
      </c>
      <c r="E4" s="18" t="s">
        <v>62</v>
      </c>
      <c r="F4" s="64" t="s">
        <v>63</v>
      </c>
      <c r="H4" s="42" t="s">
        <v>42</v>
      </c>
      <c r="I4" s="43" t="s">
        <v>64</v>
      </c>
      <c r="J4" s="43" t="s">
        <v>65</v>
      </c>
      <c r="K4" s="44" t="s">
        <v>66</v>
      </c>
      <c r="N4" s="54" t="s">
        <v>42</v>
      </c>
      <c r="O4" s="55" t="s">
        <v>67</v>
      </c>
      <c r="P4" s="55" t="s">
        <v>68</v>
      </c>
      <c r="Q4" s="55" t="s">
        <v>69</v>
      </c>
      <c r="R4" s="55" t="s">
        <v>70</v>
      </c>
      <c r="S4" s="56" t="s">
        <v>71</v>
      </c>
      <c r="T4" s="2" t="s">
        <v>72</v>
      </c>
      <c r="U4" s="19" t="s">
        <v>73</v>
      </c>
      <c r="V4" s="25"/>
      <c r="W4" s="25"/>
      <c r="X4" s="25"/>
      <c r="Y4" s="25"/>
    </row>
    <row r="5" spans="1:25">
      <c r="A5" s="64" t="s">
        <v>52</v>
      </c>
      <c r="B5" s="64" t="s">
        <v>74</v>
      </c>
      <c r="C5" s="64" t="s">
        <v>75</v>
      </c>
      <c r="D5" s="65">
        <v>0.13500000000000001</v>
      </c>
      <c r="E5" s="18" t="s">
        <v>76</v>
      </c>
      <c r="F5" s="64" t="s">
        <v>63</v>
      </c>
      <c r="H5" s="45">
        <v>2019</v>
      </c>
      <c r="I5" s="46">
        <f>249.29</f>
        <v>249.29</v>
      </c>
      <c r="J5" s="47">
        <f>ef_e_co2_el_fimix</f>
        <v>69.24722222222222</v>
      </c>
      <c r="K5" s="48"/>
      <c r="N5" s="57">
        <v>2019</v>
      </c>
      <c r="O5" s="58">
        <v>0</v>
      </c>
      <c r="P5" s="47">
        <v>0</v>
      </c>
      <c r="Q5" s="47">
        <f t="shared" ref="Q5:Q9" si="0">(1-P5)*hv_pom</f>
        <v>35.9</v>
      </c>
      <c r="R5" s="47">
        <f t="shared" ref="R5:R9" si="1">P5*hv_biodies</f>
        <v>0</v>
      </c>
      <c r="S5" s="59">
        <f>R5/(Q5+R5)</f>
        <v>0</v>
      </c>
      <c r="T5" s="2">
        <f>U5+0.4</f>
        <v>1.37</v>
      </c>
      <c r="U5" s="2">
        <v>0.97</v>
      </c>
      <c r="V5" s="25"/>
      <c r="W5" s="25"/>
      <c r="X5" s="25"/>
      <c r="Y5" s="25"/>
    </row>
    <row r="6" spans="1:25">
      <c r="A6" s="64" t="s">
        <v>52</v>
      </c>
      <c r="B6" s="64" t="s">
        <v>77</v>
      </c>
      <c r="C6" s="64" t="s">
        <v>78</v>
      </c>
      <c r="D6" s="65">
        <v>6.9222000000000006E-2</v>
      </c>
      <c r="E6" s="18" t="s">
        <v>79</v>
      </c>
      <c r="F6" s="64" t="s">
        <v>80</v>
      </c>
      <c r="H6" s="45">
        <v>2020</v>
      </c>
      <c r="I6" s="46">
        <f>I5+I5*K6</f>
        <v>246.7971</v>
      </c>
      <c r="J6" s="47">
        <f t="shared" ref="J6:J9" si="2">I6/conv_kwh_mj</f>
        <v>68.554749999999999</v>
      </c>
      <c r="K6" s="49">
        <f>'Lyhyt yhteenveto'!$E$8</f>
        <v>-0.01</v>
      </c>
      <c r="N6" s="57">
        <v>2020</v>
      </c>
      <c r="O6" s="58">
        <v>0</v>
      </c>
      <c r="P6" s="47">
        <v>0</v>
      </c>
      <c r="Q6" s="47">
        <f t="shared" si="0"/>
        <v>35.9</v>
      </c>
      <c r="R6" s="47">
        <f t="shared" si="1"/>
        <v>0</v>
      </c>
      <c r="S6" s="59">
        <f t="shared" ref="S6:S9" si="3">R6/(Q6+R6)</f>
        <v>0</v>
      </c>
      <c r="T6" s="2">
        <f>U6+0.4</f>
        <v>1.37</v>
      </c>
      <c r="U6" s="2">
        <v>0.97</v>
      </c>
      <c r="V6" s="25"/>
      <c r="W6" s="25"/>
      <c r="X6" s="25"/>
      <c r="Y6" s="25"/>
    </row>
    <row r="7" spans="1:25">
      <c r="A7" s="64" t="s">
        <v>52</v>
      </c>
      <c r="B7" s="64" t="s">
        <v>81</v>
      </c>
      <c r="C7" s="64" t="s">
        <v>82</v>
      </c>
      <c r="D7" s="65">
        <v>0.11259</v>
      </c>
      <c r="E7" s="18" t="s">
        <v>83</v>
      </c>
      <c r="F7" s="64" t="s">
        <v>80</v>
      </c>
      <c r="H7" s="45">
        <v>2021</v>
      </c>
      <c r="I7" s="46">
        <f>I6+I6*K7</f>
        <v>244.32912899999999</v>
      </c>
      <c r="J7" s="47">
        <f t="shared" si="2"/>
        <v>67.8692025</v>
      </c>
      <c r="K7" s="49">
        <f>'Lyhyt yhteenveto'!$E$8</f>
        <v>-0.01</v>
      </c>
      <c r="N7" s="57">
        <v>2021</v>
      </c>
      <c r="O7" s="58">
        <v>0.03</v>
      </c>
      <c r="P7" s="47">
        <v>3.1355537414087732E-2</v>
      </c>
      <c r="Q7" s="47">
        <f t="shared" si="0"/>
        <v>34.774336206834249</v>
      </c>
      <c r="R7" s="47">
        <f t="shared" si="1"/>
        <v>1.0754949333032091</v>
      </c>
      <c r="S7" s="59">
        <f>R7/(Q7+R7)</f>
        <v>2.9999999974869764E-2</v>
      </c>
      <c r="T7" s="2">
        <f t="shared" ref="T7:T21" si="4">U7+0.4</f>
        <v>1.3900000000000001</v>
      </c>
      <c r="U7" s="19">
        <v>0.99</v>
      </c>
      <c r="V7" s="25"/>
      <c r="W7" s="25"/>
      <c r="X7" s="25"/>
      <c r="Y7" s="25"/>
    </row>
    <row r="8" spans="1:25">
      <c r="A8" s="64" t="s">
        <v>52</v>
      </c>
      <c r="B8" s="64" t="s">
        <v>84</v>
      </c>
      <c r="C8" s="64" t="s">
        <v>85</v>
      </c>
      <c r="D8" s="65">
        <v>2660</v>
      </c>
      <c r="E8" s="18" t="s">
        <v>55</v>
      </c>
      <c r="F8" s="64" t="s">
        <v>86</v>
      </c>
      <c r="H8" s="45">
        <v>2022</v>
      </c>
      <c r="I8" s="46">
        <f>I7+I7*K8</f>
        <v>241.88583771</v>
      </c>
      <c r="J8" s="47">
        <f t="shared" si="2"/>
        <v>67.190510474999996</v>
      </c>
      <c r="K8" s="49">
        <f>'Lyhyt yhteenveto'!$E$8</f>
        <v>-0.01</v>
      </c>
      <c r="N8" s="57">
        <v>2022</v>
      </c>
      <c r="O8" s="58">
        <v>0.04</v>
      </c>
      <c r="P8" s="47">
        <v>4.1787917527764125E-2</v>
      </c>
      <c r="Q8" s="47">
        <f t="shared" si="0"/>
        <v>34.399813760753268</v>
      </c>
      <c r="R8" s="47">
        <f t="shared" si="1"/>
        <v>1.4333255712023094</v>
      </c>
      <c r="S8" s="59">
        <f t="shared" si="3"/>
        <v>3.999999994206721E-2</v>
      </c>
      <c r="T8" s="2">
        <f t="shared" si="4"/>
        <v>1.4</v>
      </c>
      <c r="U8" s="19">
        <v>1</v>
      </c>
      <c r="V8" s="25"/>
      <c r="W8" s="25"/>
      <c r="X8" s="25"/>
      <c r="Y8" s="25"/>
    </row>
    <row r="9" spans="1:25">
      <c r="A9" s="64" t="s">
        <v>52</v>
      </c>
      <c r="B9" s="64" t="s">
        <v>87</v>
      </c>
      <c r="C9" s="64" t="s">
        <v>88</v>
      </c>
      <c r="D9" s="65">
        <v>0.83199999999999996</v>
      </c>
      <c r="E9" s="18" t="s">
        <v>89</v>
      </c>
      <c r="F9" s="64" t="s">
        <v>90</v>
      </c>
      <c r="H9" s="45">
        <v>2023</v>
      </c>
      <c r="I9" s="46">
        <f t="shared" ref="I9" si="5">I8+I8*K9</f>
        <v>239.4669793329</v>
      </c>
      <c r="J9" s="47">
        <f t="shared" si="2"/>
        <v>66.51860537025</v>
      </c>
      <c r="K9" s="49">
        <f>'Lyhyt yhteenveto'!$E$8</f>
        <v>-0.01</v>
      </c>
      <c r="N9" s="57">
        <v>2023</v>
      </c>
      <c r="O9" s="58">
        <v>0.05</v>
      </c>
      <c r="P9" s="47">
        <v>5.2210587442409327E-2</v>
      </c>
      <c r="Q9" s="47">
        <f t="shared" si="0"/>
        <v>34.025639910817503</v>
      </c>
      <c r="R9" s="47">
        <f t="shared" si="1"/>
        <v>1.7908231492746398</v>
      </c>
      <c r="S9" s="59">
        <f t="shared" si="3"/>
        <v>4.9999999895858863E-2</v>
      </c>
      <c r="T9" s="2">
        <f t="shared" si="4"/>
        <v>1.4100000000000001</v>
      </c>
      <c r="U9" s="19">
        <v>1.01</v>
      </c>
      <c r="V9" s="25"/>
      <c r="W9" s="25"/>
      <c r="X9" s="25"/>
      <c r="Y9" s="25"/>
    </row>
    <row r="10" spans="1:25">
      <c r="A10" s="64" t="s">
        <v>52</v>
      </c>
      <c r="B10" s="64" t="s">
        <v>87</v>
      </c>
      <c r="C10" s="64" t="s">
        <v>91</v>
      </c>
      <c r="D10" s="65">
        <v>0.80600000000000005</v>
      </c>
      <c r="E10" s="18" t="s">
        <v>89</v>
      </c>
      <c r="F10" s="64" t="s">
        <v>92</v>
      </c>
      <c r="H10" s="45">
        <v>2024</v>
      </c>
      <c r="I10" s="46">
        <f t="shared" ref="I10:I21" si="6">I9+I9*K10</f>
        <v>237.07230953957099</v>
      </c>
      <c r="J10" s="47">
        <f t="shared" ref="J10:J21" si="7">I10/conv_kwh_mj</f>
        <v>65.853419316547502</v>
      </c>
      <c r="K10" s="49">
        <f>'Lyhyt yhteenveto'!$E$8</f>
        <v>-0.01</v>
      </c>
      <c r="N10" s="57">
        <v>2024</v>
      </c>
      <c r="O10" s="58">
        <v>0.06</v>
      </c>
      <c r="P10" s="47">
        <v>6.2623560726971367E-2</v>
      </c>
      <c r="Q10" s="47">
        <f t="shared" ref="Q10:Q21" si="8">(1-P10)*hv_pom</f>
        <v>33.651814169901726</v>
      </c>
      <c r="R10" s="47">
        <f t="shared" ref="R10:R21" si="9">P10*hv_biodies</f>
        <v>2.1479881329351178</v>
      </c>
      <c r="S10" s="59">
        <f t="shared" ref="S10:S21" si="10">R10/(Q10+R10)</f>
        <v>5.9999999853767548E-2</v>
      </c>
      <c r="T10" s="2">
        <f t="shared" si="4"/>
        <v>1.42</v>
      </c>
      <c r="U10" s="19">
        <v>1.02</v>
      </c>
      <c r="V10" s="25"/>
      <c r="W10" s="25"/>
      <c r="X10" s="25"/>
      <c r="Y10" s="25"/>
    </row>
    <row r="11" spans="1:25">
      <c r="A11" s="64" t="s">
        <v>52</v>
      </c>
      <c r="B11" s="64" t="s">
        <v>93</v>
      </c>
      <c r="C11" s="64" t="s">
        <v>94</v>
      </c>
      <c r="D11" s="65">
        <f>ef_v_co2_dies/roo_dies</f>
        <v>3197.1153846153848</v>
      </c>
      <c r="E11" s="18" t="s">
        <v>95</v>
      </c>
      <c r="F11" s="64" t="s">
        <v>80</v>
      </c>
      <c r="H11" s="45">
        <v>2025</v>
      </c>
      <c r="I11" s="46">
        <f t="shared" si="6"/>
        <v>234.70158644417529</v>
      </c>
      <c r="J11" s="47">
        <f t="shared" si="7"/>
        <v>65.194885123382022</v>
      </c>
      <c r="K11" s="49">
        <f>'Lyhyt yhteenveto'!$E$8</f>
        <v>-0.01</v>
      </c>
      <c r="N11" s="57">
        <v>2025</v>
      </c>
      <c r="O11" s="58">
        <v>7.0000000000000007E-2</v>
      </c>
      <c r="P11" s="47">
        <v>7.3026850896560899E-2</v>
      </c>
      <c r="Q11" s="47">
        <f t="shared" si="8"/>
        <v>33.278336052813465</v>
      </c>
      <c r="R11" s="47">
        <f t="shared" si="9"/>
        <v>2.5048209857520387</v>
      </c>
      <c r="S11" s="59">
        <f t="shared" si="10"/>
        <v>6.9999999805843108E-2</v>
      </c>
      <c r="T11" s="2">
        <f t="shared" si="4"/>
        <v>1.4300000000000002</v>
      </c>
      <c r="U11" s="19">
        <v>1.03</v>
      </c>
      <c r="V11" s="25"/>
      <c r="W11" s="25"/>
      <c r="X11" s="25"/>
      <c r="Y11" s="25"/>
    </row>
    <row r="12" spans="1:25">
      <c r="A12" s="64" t="s">
        <v>52</v>
      </c>
      <c r="B12" s="64" t="s">
        <v>96</v>
      </c>
      <c r="C12" s="64" t="s">
        <v>97</v>
      </c>
      <c r="D12" s="65">
        <v>0.78</v>
      </c>
      <c r="E12" s="18" t="s">
        <v>89</v>
      </c>
      <c r="F12" s="64" t="s">
        <v>98</v>
      </c>
      <c r="H12" s="45">
        <v>2026</v>
      </c>
      <c r="I12" s="46">
        <f t="shared" si="6"/>
        <v>232.35457057973355</v>
      </c>
      <c r="J12" s="47">
        <f t="shared" si="7"/>
        <v>64.542936272148211</v>
      </c>
      <c r="K12" s="49">
        <f>'Lyhyt yhteenveto'!$E$8</f>
        <v>-0.01</v>
      </c>
      <c r="N12" s="57">
        <v>2026</v>
      </c>
      <c r="O12" s="58">
        <v>0.08</v>
      </c>
      <c r="P12" s="47">
        <v>8.3420471452195388E-2</v>
      </c>
      <c r="Q12" s="47">
        <f t="shared" si="8"/>
        <v>32.905205074866188</v>
      </c>
      <c r="R12" s="47">
        <f t="shared" si="9"/>
        <v>2.8613221708103014</v>
      </c>
      <c r="S12" s="59">
        <f t="shared" si="10"/>
        <v>7.9999999752734779E-2</v>
      </c>
      <c r="T12" s="2">
        <f t="shared" si="4"/>
        <v>1.4300000000000002</v>
      </c>
      <c r="U12" s="19">
        <v>1.03</v>
      </c>
      <c r="V12" s="25"/>
      <c r="W12" s="25"/>
      <c r="X12" s="25"/>
      <c r="Y12" s="25"/>
    </row>
    <row r="13" spans="1:25">
      <c r="A13" s="64" t="s">
        <v>52</v>
      </c>
      <c r="B13" s="64" t="s">
        <v>99</v>
      </c>
      <c r="C13" s="64" t="s">
        <v>100</v>
      </c>
      <c r="D13" s="65">
        <f>hv_pom</f>
        <v>35.9</v>
      </c>
      <c r="E13" s="18" t="s">
        <v>101</v>
      </c>
      <c r="F13" s="64" t="str">
        <f>F34</f>
        <v>JEC WTW v5</v>
      </c>
      <c r="H13" s="45">
        <v>2027</v>
      </c>
      <c r="I13" s="46">
        <f t="shared" si="6"/>
        <v>230.03102487393622</v>
      </c>
      <c r="J13" s="47">
        <f t="shared" si="7"/>
        <v>63.897506909426724</v>
      </c>
      <c r="K13" s="49">
        <f>'Lyhyt yhteenveto'!$E$8</f>
        <v>-0.01</v>
      </c>
      <c r="N13" s="57">
        <v>2027</v>
      </c>
      <c r="O13" s="58">
        <v>0.09</v>
      </c>
      <c r="P13" s="47">
        <v>9.3804435869509845E-2</v>
      </c>
      <c r="Q13" s="47">
        <f t="shared" si="8"/>
        <v>32.532420752284594</v>
      </c>
      <c r="R13" s="47">
        <f t="shared" si="9"/>
        <v>3.2174921503241873</v>
      </c>
      <c r="S13" s="59">
        <f t="shared" si="10"/>
        <v>8.9999999694807556E-2</v>
      </c>
      <c r="T13" s="2">
        <f t="shared" si="4"/>
        <v>1.44</v>
      </c>
      <c r="U13" s="19">
        <v>1.04</v>
      </c>
      <c r="V13" s="25"/>
      <c r="W13" s="25"/>
      <c r="X13" s="25"/>
      <c r="Y13" s="25"/>
    </row>
    <row r="14" spans="1:25">
      <c r="A14" s="64" t="s">
        <v>52</v>
      </c>
      <c r="B14" s="64" t="s">
        <v>102</v>
      </c>
      <c r="C14" s="64" t="s">
        <v>103</v>
      </c>
      <c r="D14" s="65">
        <v>34.299999999999997</v>
      </c>
      <c r="E14" s="18" t="s">
        <v>101</v>
      </c>
      <c r="F14" s="64" t="s">
        <v>104</v>
      </c>
      <c r="H14" s="45">
        <v>2028</v>
      </c>
      <c r="I14" s="46">
        <f t="shared" si="6"/>
        <v>227.73071462519687</v>
      </c>
      <c r="J14" s="47">
        <f t="shared" si="7"/>
        <v>63.258531840332459</v>
      </c>
      <c r="K14" s="49">
        <f>'Lyhyt yhteenveto'!$E$8</f>
        <v>-0.01</v>
      </c>
      <c r="N14" s="57">
        <v>2028</v>
      </c>
      <c r="O14" s="58">
        <v>0.1</v>
      </c>
      <c r="P14" s="47">
        <v>0.10417875759940039</v>
      </c>
      <c r="Q14" s="47">
        <f t="shared" si="8"/>
        <v>32.159982602181522</v>
      </c>
      <c r="R14" s="47">
        <f t="shared" si="9"/>
        <v>3.5733313856594329</v>
      </c>
      <c r="S14" s="59">
        <f t="shared" si="10"/>
        <v>9.999999963270513E-2</v>
      </c>
      <c r="T14" s="2">
        <f t="shared" si="4"/>
        <v>1.4500000000000002</v>
      </c>
      <c r="U14" s="19">
        <v>1.05</v>
      </c>
      <c r="V14" s="25"/>
      <c r="W14" s="25"/>
      <c r="X14" s="25"/>
      <c r="Y14" s="25"/>
    </row>
    <row r="15" spans="1:25">
      <c r="A15" s="64" t="s">
        <v>52</v>
      </c>
      <c r="B15" s="64" t="s">
        <v>105</v>
      </c>
      <c r="C15" s="64" t="s">
        <v>106</v>
      </c>
      <c r="D15" s="65">
        <v>1.0900000000000001</v>
      </c>
      <c r="E15" s="18" t="s">
        <v>89</v>
      </c>
      <c r="F15" s="64" t="s">
        <v>107</v>
      </c>
      <c r="H15" s="45">
        <v>2029</v>
      </c>
      <c r="I15" s="46">
        <f t="shared" si="6"/>
        <v>225.45340747894491</v>
      </c>
      <c r="J15" s="47">
        <f t="shared" si="7"/>
        <v>62.625946521929137</v>
      </c>
      <c r="K15" s="49">
        <f>'Lyhyt yhteenveto'!$E$8</f>
        <v>-0.01</v>
      </c>
      <c r="N15" s="57">
        <v>2029</v>
      </c>
      <c r="O15" s="58">
        <v>0.1</v>
      </c>
      <c r="P15" s="47">
        <v>0.10417875759940039</v>
      </c>
      <c r="Q15" s="47">
        <f t="shared" si="8"/>
        <v>32.159982602181522</v>
      </c>
      <c r="R15" s="47">
        <f t="shared" si="9"/>
        <v>3.5733313856594329</v>
      </c>
      <c r="S15" s="59">
        <f t="shared" si="10"/>
        <v>9.999999963270513E-2</v>
      </c>
      <c r="T15" s="2">
        <f t="shared" si="4"/>
        <v>1.4500000000000002</v>
      </c>
      <c r="U15" s="19">
        <v>1.05</v>
      </c>
      <c r="V15" s="25"/>
      <c r="W15" s="25"/>
      <c r="X15" s="25"/>
      <c r="Y15" s="25"/>
    </row>
    <row r="16" spans="1:25">
      <c r="A16" s="64" t="s">
        <v>52</v>
      </c>
      <c r="B16" s="64" t="s">
        <v>108</v>
      </c>
      <c r="C16" s="64" t="s">
        <v>109</v>
      </c>
      <c r="D16" s="65">
        <v>260</v>
      </c>
      <c r="E16" s="18" t="s">
        <v>55</v>
      </c>
      <c r="F16" s="64" t="s">
        <v>107</v>
      </c>
      <c r="G16" s="129"/>
      <c r="H16" s="45">
        <v>2030</v>
      </c>
      <c r="I16" s="46">
        <f t="shared" si="6"/>
        <v>223.19887340415545</v>
      </c>
      <c r="J16" s="47">
        <f t="shared" si="7"/>
        <v>61.999687056709845</v>
      </c>
      <c r="K16" s="49">
        <f>'Lyhyt yhteenveto'!$E$8</f>
        <v>-0.01</v>
      </c>
      <c r="N16" s="57">
        <v>2030</v>
      </c>
      <c r="O16" s="58">
        <v>0.1</v>
      </c>
      <c r="P16" s="47">
        <v>0.10417875759940039</v>
      </c>
      <c r="Q16" s="47">
        <f t="shared" si="8"/>
        <v>32.159982602181522</v>
      </c>
      <c r="R16" s="47">
        <f t="shared" si="9"/>
        <v>3.5733313856594329</v>
      </c>
      <c r="S16" s="59">
        <f t="shared" si="10"/>
        <v>9.999999963270513E-2</v>
      </c>
      <c r="T16" s="2">
        <f t="shared" si="4"/>
        <v>1.4500000000000002</v>
      </c>
      <c r="U16" s="19">
        <v>1.05</v>
      </c>
      <c r="V16" s="25"/>
      <c r="W16" s="25"/>
      <c r="X16" s="25"/>
      <c r="Y16" s="25"/>
    </row>
    <row r="17" spans="1:25">
      <c r="A17" s="64" t="s">
        <v>52</v>
      </c>
      <c r="B17" s="64" t="s">
        <v>110</v>
      </c>
      <c r="C17" s="64" t="s">
        <v>111</v>
      </c>
      <c r="D17" s="65">
        <f>ef_v_co2_adblue/roo_adblue</f>
        <v>238.53211009174311</v>
      </c>
      <c r="E17" s="18" t="s">
        <v>95</v>
      </c>
      <c r="F17" s="64" t="s">
        <v>80</v>
      </c>
      <c r="H17" s="45">
        <v>2031</v>
      </c>
      <c r="I17" s="46">
        <f t="shared" si="6"/>
        <v>220.9668846701139</v>
      </c>
      <c r="J17" s="47">
        <f t="shared" si="7"/>
        <v>61.379690186142746</v>
      </c>
      <c r="K17" s="49">
        <f>'Lyhyt yhteenveto'!$E$8</f>
        <v>-0.01</v>
      </c>
      <c r="N17" s="57">
        <v>2031</v>
      </c>
      <c r="O17" s="58">
        <v>0.1</v>
      </c>
      <c r="P17" s="47">
        <v>0.10417875759940039</v>
      </c>
      <c r="Q17" s="47">
        <f t="shared" si="8"/>
        <v>32.159982602181522</v>
      </c>
      <c r="R17" s="47">
        <f t="shared" si="9"/>
        <v>3.5733313856594329</v>
      </c>
      <c r="S17" s="59">
        <f t="shared" si="10"/>
        <v>9.999999963270513E-2</v>
      </c>
      <c r="T17" s="2">
        <f t="shared" si="4"/>
        <v>1.4500000000000002</v>
      </c>
      <c r="U17" s="19">
        <v>1.05</v>
      </c>
      <c r="V17" s="25"/>
      <c r="W17" s="25"/>
      <c r="X17" s="25"/>
      <c r="Y17" s="25"/>
    </row>
    <row r="18" spans="1:25">
      <c r="A18" s="64" t="s">
        <v>52</v>
      </c>
      <c r="B18" s="64" t="s">
        <v>112</v>
      </c>
      <c r="C18" s="64" t="s">
        <v>113</v>
      </c>
      <c r="D18" s="65">
        <v>0.35399999999999998</v>
      </c>
      <c r="E18" s="18" t="s">
        <v>62</v>
      </c>
      <c r="F18" s="64" t="s">
        <v>114</v>
      </c>
      <c r="H18" s="45">
        <v>2032</v>
      </c>
      <c r="I18" s="46">
        <f t="shared" si="6"/>
        <v>218.75721582341276</v>
      </c>
      <c r="J18" s="47">
        <f t="shared" si="7"/>
        <v>60.765893284281319</v>
      </c>
      <c r="K18" s="49">
        <f>'Lyhyt yhteenveto'!$E$8</f>
        <v>-0.01</v>
      </c>
      <c r="N18" s="57">
        <v>2032</v>
      </c>
      <c r="O18" s="58">
        <v>0.1</v>
      </c>
      <c r="P18" s="47">
        <v>0.10417875759940039</v>
      </c>
      <c r="Q18" s="47">
        <f t="shared" si="8"/>
        <v>32.159982602181522</v>
      </c>
      <c r="R18" s="47">
        <f t="shared" si="9"/>
        <v>3.5733313856594329</v>
      </c>
      <c r="S18" s="59">
        <f t="shared" si="10"/>
        <v>9.999999963270513E-2</v>
      </c>
      <c r="T18" s="2">
        <f t="shared" si="4"/>
        <v>1.4500000000000002</v>
      </c>
      <c r="U18" s="19">
        <v>1.05</v>
      </c>
      <c r="V18" s="25"/>
      <c r="W18" s="25"/>
      <c r="X18" s="25"/>
      <c r="Y18" s="25"/>
    </row>
    <row r="19" spans="1:25">
      <c r="A19" s="64" t="s">
        <v>52</v>
      </c>
      <c r="B19" s="64" t="s">
        <v>115</v>
      </c>
      <c r="C19" s="64" t="s">
        <v>116</v>
      </c>
      <c r="D19" s="65">
        <v>2990</v>
      </c>
      <c r="E19" s="18" t="s">
        <v>95</v>
      </c>
      <c r="F19" s="64" t="s">
        <v>114</v>
      </c>
      <c r="H19" s="45">
        <v>2033</v>
      </c>
      <c r="I19" s="46">
        <f t="shared" si="6"/>
        <v>216.56964366517863</v>
      </c>
      <c r="J19" s="47">
        <f t="shared" si="7"/>
        <v>60.158234351438509</v>
      </c>
      <c r="K19" s="49">
        <f>'Lyhyt yhteenveto'!$E$8</f>
        <v>-0.01</v>
      </c>
      <c r="N19" s="57">
        <v>2033</v>
      </c>
      <c r="O19" s="58">
        <v>0.1</v>
      </c>
      <c r="P19" s="47">
        <v>0.10417875759940039</v>
      </c>
      <c r="Q19" s="47">
        <f t="shared" si="8"/>
        <v>32.159982602181522</v>
      </c>
      <c r="R19" s="47">
        <f t="shared" si="9"/>
        <v>3.5733313856594329</v>
      </c>
      <c r="S19" s="59">
        <f t="shared" si="10"/>
        <v>9.999999963270513E-2</v>
      </c>
      <c r="T19" s="2">
        <f t="shared" si="4"/>
        <v>1.4500000000000002</v>
      </c>
      <c r="U19" s="19">
        <v>1.05</v>
      </c>
      <c r="V19" s="25"/>
      <c r="W19" s="25"/>
      <c r="X19" s="25"/>
      <c r="Y19" s="25"/>
    </row>
    <row r="20" spans="1:25">
      <c r="A20" s="64" t="s">
        <v>52</v>
      </c>
      <c r="B20" s="64" t="s">
        <v>117</v>
      </c>
      <c r="C20" s="64" t="s">
        <v>118</v>
      </c>
      <c r="D20" s="65">
        <v>0.161</v>
      </c>
      <c r="E20" s="18" t="s">
        <v>76</v>
      </c>
      <c r="F20" s="64" t="s">
        <v>114</v>
      </c>
      <c r="H20" s="45">
        <v>2034</v>
      </c>
      <c r="I20" s="46">
        <f t="shared" si="6"/>
        <v>214.40394722852685</v>
      </c>
      <c r="J20" s="47">
        <f t="shared" si="7"/>
        <v>59.556652007924122</v>
      </c>
      <c r="K20" s="49">
        <f>'Lyhyt yhteenveto'!$E$8</f>
        <v>-0.01</v>
      </c>
      <c r="N20" s="57">
        <v>2034</v>
      </c>
      <c r="O20" s="58">
        <v>0.1</v>
      </c>
      <c r="P20" s="47">
        <v>0.10417875759940039</v>
      </c>
      <c r="Q20" s="47">
        <f t="shared" si="8"/>
        <v>32.159982602181522</v>
      </c>
      <c r="R20" s="47">
        <f t="shared" si="9"/>
        <v>3.5733313856594329</v>
      </c>
      <c r="S20" s="59">
        <f t="shared" si="10"/>
        <v>9.999999963270513E-2</v>
      </c>
      <c r="T20" s="2">
        <f t="shared" si="4"/>
        <v>1.4500000000000002</v>
      </c>
      <c r="U20" s="19">
        <v>1.05</v>
      </c>
      <c r="V20" s="25"/>
      <c r="W20" s="25"/>
      <c r="X20" s="25"/>
      <c r="Y20" s="25"/>
    </row>
    <row r="21" spans="1:25">
      <c r="A21" s="64" t="s">
        <v>52</v>
      </c>
      <c r="B21" s="64" t="s">
        <v>119</v>
      </c>
      <c r="C21" s="64" t="s">
        <v>120</v>
      </c>
      <c r="D21" s="65">
        <v>18.899999999999999</v>
      </c>
      <c r="E21" s="18" t="s">
        <v>121</v>
      </c>
      <c r="F21" s="64" t="s">
        <v>90</v>
      </c>
      <c r="H21" s="50">
        <v>2035</v>
      </c>
      <c r="I21" s="51">
        <f t="shared" si="6"/>
        <v>212.25990775624157</v>
      </c>
      <c r="J21" s="52">
        <f t="shared" si="7"/>
        <v>58.961085487844883</v>
      </c>
      <c r="K21" s="53">
        <f>'Lyhyt yhteenveto'!$E$8</f>
        <v>-0.01</v>
      </c>
      <c r="N21" s="60">
        <v>2035</v>
      </c>
      <c r="O21" s="61">
        <v>0.1</v>
      </c>
      <c r="P21" s="47">
        <v>0.10417875759940039</v>
      </c>
      <c r="Q21" s="62">
        <f t="shared" si="8"/>
        <v>32.159982602181522</v>
      </c>
      <c r="R21" s="62">
        <f t="shared" si="9"/>
        <v>3.5733313856594329</v>
      </c>
      <c r="S21" s="63">
        <f t="shared" si="10"/>
        <v>9.999999963270513E-2</v>
      </c>
      <c r="T21" s="2">
        <f t="shared" si="4"/>
        <v>1.4500000000000002</v>
      </c>
      <c r="U21" s="19">
        <v>1.05</v>
      </c>
    </row>
    <row r="22" spans="1:25">
      <c r="A22" s="64" t="s">
        <v>52</v>
      </c>
      <c r="B22" s="64" t="s">
        <v>122</v>
      </c>
      <c r="C22" s="64" t="s">
        <v>123</v>
      </c>
      <c r="D22" s="65">
        <v>16.600000000000001</v>
      </c>
      <c r="E22" s="18" t="s">
        <v>121</v>
      </c>
      <c r="F22" s="64" t="s">
        <v>90</v>
      </c>
    </row>
    <row r="23" spans="1:25">
      <c r="A23" s="64" t="s">
        <v>52</v>
      </c>
      <c r="B23" s="64" t="s">
        <v>124</v>
      </c>
      <c r="C23" s="64" t="s">
        <v>125</v>
      </c>
      <c r="D23" s="65">
        <v>15.1</v>
      </c>
      <c r="E23" s="18" t="s">
        <v>121</v>
      </c>
      <c r="F23" s="64" t="s">
        <v>90</v>
      </c>
    </row>
    <row r="24" spans="1:25">
      <c r="A24" s="64" t="s">
        <v>52</v>
      </c>
      <c r="B24" s="64" t="s">
        <v>126</v>
      </c>
      <c r="C24" s="64" t="s">
        <v>127</v>
      </c>
      <c r="D24" s="65">
        <v>-98.7</v>
      </c>
      <c r="E24" s="18" t="s">
        <v>121</v>
      </c>
      <c r="F24" s="64" t="s">
        <v>90</v>
      </c>
    </row>
    <row r="25" spans="1:25">
      <c r="A25" s="64" t="s">
        <v>52</v>
      </c>
      <c r="B25" s="64" t="s">
        <v>128</v>
      </c>
      <c r="C25" s="64" t="s">
        <v>129</v>
      </c>
      <c r="D25" s="65">
        <v>6.7</v>
      </c>
      <c r="E25" s="18" t="s">
        <v>121</v>
      </c>
      <c r="F25" s="64" t="s">
        <v>90</v>
      </c>
    </row>
    <row r="26" spans="1:25">
      <c r="A26" s="64" t="s">
        <v>52</v>
      </c>
      <c r="B26" s="64" t="s">
        <v>130</v>
      </c>
      <c r="C26" s="64" t="s">
        <v>131</v>
      </c>
      <c r="D26" s="65">
        <v>25.3</v>
      </c>
      <c r="E26" s="18" t="s">
        <v>121</v>
      </c>
      <c r="F26" s="64" t="s">
        <v>90</v>
      </c>
    </row>
    <row r="27" spans="1:25">
      <c r="A27" s="64" t="s">
        <v>52</v>
      </c>
      <c r="B27" s="64" t="s">
        <v>132</v>
      </c>
      <c r="C27" s="64" t="s">
        <v>133</v>
      </c>
      <c r="D27" s="65">
        <v>7.8</v>
      </c>
      <c r="E27" s="18" t="s">
        <v>121</v>
      </c>
      <c r="F27" s="64" t="s">
        <v>90</v>
      </c>
    </row>
    <row r="28" spans="1:25">
      <c r="A28" s="64" t="s">
        <v>52</v>
      </c>
      <c r="B28" s="64" t="s">
        <v>134</v>
      </c>
      <c r="C28" s="64" t="s">
        <v>135</v>
      </c>
      <c r="D28" s="65">
        <v>62.4</v>
      </c>
      <c r="E28" s="18" t="s">
        <v>121</v>
      </c>
      <c r="F28" s="64" t="s">
        <v>90</v>
      </c>
    </row>
    <row r="29" spans="1:25">
      <c r="A29" s="64" t="s">
        <v>52</v>
      </c>
      <c r="B29" s="64" t="s">
        <v>136</v>
      </c>
      <c r="C29" s="64" t="s">
        <v>137</v>
      </c>
      <c r="D29" s="65">
        <v>0.7</v>
      </c>
      <c r="E29" s="18" t="s">
        <v>121</v>
      </c>
      <c r="F29" s="64" t="s">
        <v>90</v>
      </c>
    </row>
    <row r="30" spans="1:25">
      <c r="A30" s="64" t="s">
        <v>138</v>
      </c>
      <c r="B30" s="64" t="s">
        <v>139</v>
      </c>
      <c r="C30" s="64" t="s">
        <v>140</v>
      </c>
      <c r="D30" s="65">
        <v>110.1</v>
      </c>
      <c r="E30" s="18" t="s">
        <v>121</v>
      </c>
      <c r="F30" s="64" t="s">
        <v>90</v>
      </c>
    </row>
    <row r="31" spans="1:25">
      <c r="A31" s="64" t="s">
        <v>138</v>
      </c>
      <c r="B31" s="64" t="s">
        <v>141</v>
      </c>
      <c r="C31" s="64" t="s">
        <v>142</v>
      </c>
      <c r="D31" s="65">
        <v>74.5</v>
      </c>
      <c r="E31" s="18" t="s">
        <v>121</v>
      </c>
      <c r="F31" s="64" t="s">
        <v>90</v>
      </c>
    </row>
    <row r="32" spans="1:25">
      <c r="A32" s="64" t="s">
        <v>138</v>
      </c>
      <c r="B32" s="64" t="s">
        <v>143</v>
      </c>
      <c r="C32" s="64" t="s">
        <v>144</v>
      </c>
      <c r="D32" s="65">
        <v>0</v>
      </c>
      <c r="E32" s="18" t="s">
        <v>121</v>
      </c>
      <c r="F32" s="64" t="s">
        <v>90</v>
      </c>
    </row>
    <row r="33" spans="1:6">
      <c r="A33" s="64" t="s">
        <v>52</v>
      </c>
      <c r="B33" s="64" t="s">
        <v>145</v>
      </c>
      <c r="C33" s="64" t="s">
        <v>146</v>
      </c>
      <c r="D33" s="65">
        <v>2770</v>
      </c>
      <c r="E33" s="18" t="s">
        <v>95</v>
      </c>
      <c r="F33" s="64" t="s">
        <v>90</v>
      </c>
    </row>
    <row r="34" spans="1:6">
      <c r="A34" s="64" t="s">
        <v>52</v>
      </c>
      <c r="B34" s="64" t="s">
        <v>147</v>
      </c>
      <c r="C34" s="64" t="s">
        <v>148</v>
      </c>
      <c r="D34" s="18">
        <v>35.9</v>
      </c>
      <c r="E34" s="18" t="s">
        <v>101</v>
      </c>
      <c r="F34" s="64" t="s">
        <v>90</v>
      </c>
    </row>
    <row r="35" spans="1:6">
      <c r="A35" s="64" t="s">
        <v>52</v>
      </c>
      <c r="B35" s="64" t="s">
        <v>147</v>
      </c>
      <c r="C35" s="64" t="s">
        <v>149</v>
      </c>
      <c r="D35" s="18">
        <v>36.03</v>
      </c>
      <c r="E35" s="18" t="s">
        <v>101</v>
      </c>
      <c r="F35" s="64" t="s">
        <v>56</v>
      </c>
    </row>
    <row r="36" spans="1:6">
      <c r="A36" s="64" t="s">
        <v>150</v>
      </c>
      <c r="B36" s="64" t="s">
        <v>151</v>
      </c>
      <c r="C36" s="64" t="s">
        <v>152</v>
      </c>
      <c r="D36" s="18">
        <v>3.6</v>
      </c>
      <c r="E36" s="18" t="s">
        <v>153</v>
      </c>
    </row>
    <row r="37" spans="1:6">
      <c r="A37" s="64" t="s">
        <v>150</v>
      </c>
      <c r="B37" s="64" t="s">
        <v>154</v>
      </c>
      <c r="C37" s="64" t="s">
        <v>155</v>
      </c>
      <c r="D37" s="18">
        <v>28</v>
      </c>
      <c r="F37" s="64" t="s">
        <v>156</v>
      </c>
    </row>
    <row r="38" spans="1:6">
      <c r="A38" s="64" t="s">
        <v>150</v>
      </c>
      <c r="B38" s="64" t="s">
        <v>157</v>
      </c>
      <c r="C38" s="64" t="s">
        <v>158</v>
      </c>
      <c r="D38" s="66">
        <v>265</v>
      </c>
      <c r="F38" s="64" t="s">
        <v>156</v>
      </c>
    </row>
    <row r="39" spans="1:6">
      <c r="A39" s="64" t="s">
        <v>138</v>
      </c>
      <c r="B39" s="64" t="s">
        <v>159</v>
      </c>
      <c r="C39" s="64" t="s">
        <v>160</v>
      </c>
      <c r="D39" s="18">
        <f>249.29/conv_kwh_mj</f>
        <v>69.24722222222222</v>
      </c>
      <c r="E39" s="18" t="s">
        <v>65</v>
      </c>
      <c r="F39" s="64" t="s">
        <v>161</v>
      </c>
    </row>
    <row r="40" spans="1:6">
      <c r="A40" s="64" t="s">
        <v>52</v>
      </c>
      <c r="B40" s="64" t="s">
        <v>162</v>
      </c>
      <c r="C40" s="64" t="s">
        <v>163</v>
      </c>
      <c r="D40" s="18">
        <v>0.05</v>
      </c>
      <c r="F40" s="64" t="s">
        <v>56</v>
      </c>
    </row>
    <row r="41" spans="1:6">
      <c r="A41" s="64" t="s">
        <v>164</v>
      </c>
      <c r="B41" s="64" t="s">
        <v>165</v>
      </c>
      <c r="C41" s="64" t="s">
        <v>166</v>
      </c>
      <c r="D41" s="18">
        <v>1.41</v>
      </c>
      <c r="E41" s="18" t="s">
        <v>167</v>
      </c>
      <c r="F41" s="64" t="s">
        <v>168</v>
      </c>
    </row>
    <row r="42" spans="1:6">
      <c r="A42" s="64" t="s">
        <v>164</v>
      </c>
      <c r="B42" s="64" t="s">
        <v>169</v>
      </c>
      <c r="C42" s="64" t="s">
        <v>170</v>
      </c>
      <c r="D42" s="18">
        <f>Hintatiedot!B12/100</f>
        <v>1.2744444444444445</v>
      </c>
      <c r="E42" s="18" t="s">
        <v>167</v>
      </c>
      <c r="F42" s="64" t="s">
        <v>92</v>
      </c>
    </row>
    <row r="43" spans="1:6">
      <c r="A43" s="64" t="s">
        <v>164</v>
      </c>
      <c r="B43" s="64" t="s">
        <v>171</v>
      </c>
      <c r="C43" s="64" t="s">
        <v>172</v>
      </c>
      <c r="D43" s="18">
        <v>0.97</v>
      </c>
      <c r="E43" s="18" t="s">
        <v>167</v>
      </c>
      <c r="F43" s="64" t="s">
        <v>168</v>
      </c>
    </row>
    <row r="44" spans="1:6">
      <c r="A44" s="64" t="s">
        <v>164</v>
      </c>
      <c r="B44" s="64" t="s">
        <v>171</v>
      </c>
      <c r="C44" s="64" t="s">
        <v>173</v>
      </c>
      <c r="D44" s="18">
        <f>Hintatiedot!C12/100</f>
        <v>0.77222222222222225</v>
      </c>
      <c r="E44" s="18" t="s">
        <v>167</v>
      </c>
      <c r="F44" s="64" t="s">
        <v>92</v>
      </c>
    </row>
    <row r="45" spans="1:6">
      <c r="A45" s="64" t="s">
        <v>164</v>
      </c>
      <c r="B45" s="64" t="s">
        <v>174</v>
      </c>
      <c r="C45" s="64" t="s">
        <v>175</v>
      </c>
      <c r="D45" s="18">
        <f>Hintatiedot!B27/100</f>
        <v>0.12309999999999999</v>
      </c>
      <c r="E45" s="18" t="s">
        <v>176</v>
      </c>
      <c r="F45" s="64" t="s">
        <v>92</v>
      </c>
    </row>
    <row r="46" spans="1:6">
      <c r="A46" s="64" t="s">
        <v>164</v>
      </c>
      <c r="B46" s="64" t="s">
        <v>177</v>
      </c>
      <c r="C46" s="64" t="s">
        <v>178</v>
      </c>
      <c r="D46" s="18">
        <f>Hintatiedot!C27/100</f>
        <v>0.10880000000000002</v>
      </c>
      <c r="E46" s="18" t="s">
        <v>176</v>
      </c>
      <c r="F46" s="64" t="s">
        <v>92</v>
      </c>
    </row>
    <row r="47" spans="1:6">
      <c r="A47" s="64" t="s">
        <v>164</v>
      </c>
      <c r="B47" s="64" t="s">
        <v>179</v>
      </c>
      <c r="C47" s="64" t="s">
        <v>180</v>
      </c>
      <c r="D47" s="18">
        <f>Hintatiedot!D27/100</f>
        <v>8.8500000000000009E-2</v>
      </c>
      <c r="E47" s="18" t="s">
        <v>176</v>
      </c>
      <c r="F47" s="64" t="s">
        <v>92</v>
      </c>
    </row>
    <row r="48" spans="1:6">
      <c r="A48" s="64" t="s">
        <v>164</v>
      </c>
      <c r="B48" s="64" t="s">
        <v>181</v>
      </c>
      <c r="C48" s="64" t="s">
        <v>182</v>
      </c>
      <c r="D48" s="18">
        <f>Hintatiedot!E27/100</f>
        <v>8.3666666666666667E-2</v>
      </c>
      <c r="E48" s="18" t="s">
        <v>176</v>
      </c>
      <c r="F48" s="64" t="s">
        <v>92</v>
      </c>
    </row>
    <row r="49" spans="1:8">
      <c r="A49" s="64" t="s">
        <v>164</v>
      </c>
      <c r="B49" s="64" t="s">
        <v>183</v>
      </c>
      <c r="C49" s="64" t="s">
        <v>184</v>
      </c>
      <c r="D49" s="18">
        <f>Hintatiedot!F27/100</f>
        <v>6.4811111111111111E-2</v>
      </c>
      <c r="E49" s="18" t="s">
        <v>176</v>
      </c>
      <c r="F49" s="64" t="s">
        <v>92</v>
      </c>
    </row>
    <row r="50" spans="1:8">
      <c r="A50" s="64" t="s">
        <v>164</v>
      </c>
      <c r="B50" s="64" t="s">
        <v>185</v>
      </c>
      <c r="C50" s="64" t="s">
        <v>186</v>
      </c>
      <c r="D50" s="18">
        <f>Hintatiedot!G27/100</f>
        <v>6.1566666666666665E-2</v>
      </c>
      <c r="E50" s="18" t="s">
        <v>176</v>
      </c>
      <c r="F50" s="64" t="s">
        <v>92</v>
      </c>
    </row>
    <row r="51" spans="1:8">
      <c r="A51" s="64" t="s">
        <v>164</v>
      </c>
      <c r="B51" s="64" t="s">
        <v>187</v>
      </c>
      <c r="C51" s="64" t="s">
        <v>188</v>
      </c>
      <c r="D51" s="18">
        <v>1.65</v>
      </c>
      <c r="E51" s="18" t="s">
        <v>167</v>
      </c>
      <c r="F51" s="64" t="s">
        <v>168</v>
      </c>
    </row>
    <row r="52" spans="1:8">
      <c r="A52" s="64" t="s">
        <v>164</v>
      </c>
      <c r="B52" s="64" t="s">
        <v>187</v>
      </c>
      <c r="C52" s="64" t="s">
        <v>189</v>
      </c>
      <c r="D52" s="18">
        <f>1.83</f>
        <v>1.83</v>
      </c>
      <c r="E52" s="18" t="s">
        <v>167</v>
      </c>
      <c r="F52" s="64" t="s">
        <v>190</v>
      </c>
    </row>
    <row r="53" spans="1:8">
      <c r="A53" s="64" t="s">
        <v>164</v>
      </c>
      <c r="B53" s="64" t="s">
        <v>191</v>
      </c>
      <c r="C53" s="64" t="s">
        <v>192</v>
      </c>
      <c r="D53" s="18">
        <f>hinta_pom_pok+0.4</f>
        <v>1.37</v>
      </c>
      <c r="E53" s="18" t="s">
        <v>167</v>
      </c>
      <c r="F53" s="64" t="s">
        <v>168</v>
      </c>
    </row>
    <row r="54" spans="1:8">
      <c r="A54" s="64" t="s">
        <v>164</v>
      </c>
      <c r="B54" s="64" t="s">
        <v>193</v>
      </c>
      <c r="C54" s="64" t="s">
        <v>194</v>
      </c>
      <c r="D54" s="18">
        <v>0.5</v>
      </c>
      <c r="E54" s="18" t="s">
        <v>167</v>
      </c>
      <c r="F54" s="64" t="s">
        <v>195</v>
      </c>
    </row>
    <row r="55" spans="1:8">
      <c r="A55" s="64" t="s">
        <v>196</v>
      </c>
      <c r="B55" s="64" t="s">
        <v>197</v>
      </c>
      <c r="C55" s="64" t="s">
        <v>198</v>
      </c>
      <c r="D55" s="380">
        <f>(SUMPRODUCT(D56:D62,G56:G62)/SUM(G56:G62))*1000</f>
        <v>158769.23076923078</v>
      </c>
      <c r="E55" s="18" t="s">
        <v>199</v>
      </c>
      <c r="F55" s="64" t="s">
        <v>200</v>
      </c>
      <c r="G55" s="130" t="s">
        <v>201</v>
      </c>
      <c r="H55" s="2" t="s">
        <v>202</v>
      </c>
    </row>
    <row r="56" spans="1:8">
      <c r="A56" s="64" t="s">
        <v>196</v>
      </c>
      <c r="B56" s="64" t="s">
        <v>203</v>
      </c>
      <c r="C56" s="64" t="s">
        <v>204</v>
      </c>
      <c r="D56" s="18">
        <v>275</v>
      </c>
      <c r="E56" s="18" t="s">
        <v>205</v>
      </c>
      <c r="F56" s="64" t="s">
        <v>206</v>
      </c>
      <c r="G56" s="130">
        <v>1</v>
      </c>
    </row>
    <row r="57" spans="1:8">
      <c r="A57" s="64" t="s">
        <v>196</v>
      </c>
      <c r="B57" s="64" t="s">
        <v>203</v>
      </c>
      <c r="C57" s="64" t="s">
        <v>207</v>
      </c>
      <c r="D57" s="18">
        <v>250</v>
      </c>
      <c r="E57" s="18" t="s">
        <v>205</v>
      </c>
      <c r="F57" s="64" t="s">
        <v>208</v>
      </c>
      <c r="G57" s="130">
        <v>1</v>
      </c>
    </row>
    <row r="58" spans="1:8">
      <c r="A58" s="64" t="s">
        <v>196</v>
      </c>
      <c r="B58" s="64" t="s">
        <v>203</v>
      </c>
      <c r="C58" s="64" t="s">
        <v>209</v>
      </c>
      <c r="D58" s="18">
        <v>79.099999999999994</v>
      </c>
      <c r="E58" s="18" t="s">
        <v>205</v>
      </c>
      <c r="F58" s="64" t="s">
        <v>210</v>
      </c>
      <c r="G58" s="130">
        <v>2</v>
      </c>
    </row>
    <row r="59" spans="1:8">
      <c r="A59" s="64" t="s">
        <v>196</v>
      </c>
      <c r="B59" s="64" t="s">
        <v>203</v>
      </c>
      <c r="C59" s="64" t="s">
        <v>211</v>
      </c>
      <c r="D59" s="18">
        <v>151</v>
      </c>
      <c r="E59" s="18" t="s">
        <v>205</v>
      </c>
      <c r="F59" s="64" t="s">
        <v>212</v>
      </c>
      <c r="G59" s="130">
        <v>2</v>
      </c>
    </row>
    <row r="60" spans="1:8">
      <c r="A60" s="64" t="s">
        <v>196</v>
      </c>
      <c r="B60" s="64" t="s">
        <v>203</v>
      </c>
      <c r="C60" s="64" t="s">
        <v>213</v>
      </c>
      <c r="D60" s="18">
        <v>243</v>
      </c>
      <c r="E60" s="18" t="s">
        <v>205</v>
      </c>
      <c r="F60" s="64" t="s">
        <v>214</v>
      </c>
      <c r="G60" s="130">
        <v>2</v>
      </c>
    </row>
    <row r="61" spans="1:8">
      <c r="A61" s="64" t="s">
        <v>196</v>
      </c>
      <c r="B61" s="64" t="s">
        <v>203</v>
      </c>
      <c r="C61" s="64" t="s">
        <v>215</v>
      </c>
      <c r="D61" s="18">
        <v>33.9</v>
      </c>
      <c r="E61" s="18" t="s">
        <v>205</v>
      </c>
      <c r="F61" s="64" t="s">
        <v>216</v>
      </c>
      <c r="G61" s="130">
        <v>2</v>
      </c>
    </row>
    <row r="62" spans="1:8">
      <c r="A62" s="64" t="s">
        <v>196</v>
      </c>
      <c r="B62" s="64" t="s">
        <v>203</v>
      </c>
      <c r="C62" s="64" t="s">
        <v>217</v>
      </c>
      <c r="D62" s="18">
        <v>175</v>
      </c>
      <c r="E62" s="18" t="s">
        <v>205</v>
      </c>
      <c r="F62" s="64" t="s">
        <v>218</v>
      </c>
      <c r="G62" s="130">
        <v>3</v>
      </c>
    </row>
    <row r="73" spans="2:7">
      <c r="B73" s="327"/>
      <c r="C73" s="327"/>
      <c r="D73" s="328"/>
      <c r="E73" s="328"/>
      <c r="F73" s="327"/>
      <c r="G73" s="255"/>
    </row>
    <row r="74" spans="2:7">
      <c r="B74" s="327"/>
    </row>
  </sheetData>
  <autoFilter ref="A2:F2"/>
  <phoneticPr fontId="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33"/>
  <sheetViews>
    <sheetView workbookViewId="0">
      <selection sqref="A1:L1"/>
    </sheetView>
  </sheetViews>
  <sheetFormatPr defaultColWidth="9.109375" defaultRowHeight="13.8"/>
  <cols>
    <col min="1" max="1" width="9.109375" style="93"/>
    <col min="2" max="3" width="27.44140625" style="94" customWidth="1"/>
    <col min="4" max="4" width="10.6640625" style="94" customWidth="1"/>
    <col min="5" max="5" width="10.5546875" style="94" customWidth="1"/>
    <col min="6" max="7" width="8.33203125" style="94" customWidth="1"/>
    <col min="8" max="8" width="12" style="94" customWidth="1"/>
    <col min="9" max="9" width="9.88671875" style="94" customWidth="1"/>
    <col min="10" max="10" width="7.6640625" style="95" customWidth="1"/>
    <col min="11" max="11" width="15.88671875" style="94" customWidth="1"/>
    <col min="12" max="12" width="16.33203125" style="94" customWidth="1"/>
    <col min="13" max="13" width="2.88671875" style="94" customWidth="1"/>
    <col min="14" max="14" width="13.33203125" style="94" bestFit="1" customWidth="1"/>
    <col min="15" max="16384" width="9.109375" style="94"/>
  </cols>
  <sheetData>
    <row r="1" spans="1:14" s="14" customFormat="1" ht="15.75" customHeight="1">
      <c r="A1" s="381" t="s">
        <v>219</v>
      </c>
      <c r="B1" s="381"/>
      <c r="C1" s="381"/>
      <c r="D1" s="381"/>
      <c r="E1" s="381"/>
      <c r="F1" s="381"/>
      <c r="G1" s="381"/>
      <c r="H1" s="381"/>
      <c r="I1" s="381"/>
      <c r="J1" s="381"/>
      <c r="K1" s="381"/>
      <c r="L1" s="381"/>
    </row>
    <row r="2" spans="1:14" s="16" customFormat="1" ht="27.6">
      <c r="A2" s="15" t="s">
        <v>220</v>
      </c>
      <c r="B2" s="16" t="s">
        <v>221</v>
      </c>
      <c r="C2" s="16" t="s">
        <v>222</v>
      </c>
      <c r="D2" s="90" t="s">
        <v>223</v>
      </c>
      <c r="E2" s="90" t="s">
        <v>224</v>
      </c>
      <c r="F2" s="90" t="s">
        <v>225</v>
      </c>
      <c r="G2" s="91" t="s">
        <v>226</v>
      </c>
      <c r="H2" s="90" t="s">
        <v>227</v>
      </c>
      <c r="I2" s="90" t="s">
        <v>228</v>
      </c>
      <c r="J2" s="92" t="s">
        <v>229</v>
      </c>
      <c r="K2" s="90" t="s">
        <v>230</v>
      </c>
      <c r="L2" s="92" t="s">
        <v>231</v>
      </c>
      <c r="N2" s="16" t="s">
        <v>232</v>
      </c>
    </row>
    <row r="3" spans="1:14" s="2" customFormat="1">
      <c r="A3" s="11">
        <v>1</v>
      </c>
      <c r="B3" s="17" t="s">
        <v>233</v>
      </c>
      <c r="C3" s="17" t="s">
        <v>234</v>
      </c>
      <c r="D3" s="81" t="s">
        <v>235</v>
      </c>
      <c r="E3" s="81"/>
      <c r="F3" s="82">
        <v>1</v>
      </c>
      <c r="G3" s="83">
        <v>10</v>
      </c>
      <c r="H3" s="84">
        <v>1000</v>
      </c>
      <c r="I3" s="85">
        <v>1</v>
      </c>
      <c r="J3" s="86"/>
      <c r="K3" s="89">
        <v>10</v>
      </c>
      <c r="L3" s="86">
        <v>500000</v>
      </c>
      <c r="M3" s="10"/>
      <c r="N3" s="340">
        <f>ROUNDUP(F3/K3,0)</f>
        <v>1</v>
      </c>
    </row>
    <row r="4" spans="1:14" s="2" customFormat="1">
      <c r="A4" s="11">
        <v>2</v>
      </c>
      <c r="B4" s="17" t="s">
        <v>233</v>
      </c>
      <c r="C4" s="17" t="s">
        <v>236</v>
      </c>
      <c r="D4" s="81" t="s">
        <v>235</v>
      </c>
      <c r="E4" s="81"/>
      <c r="F4" s="82">
        <v>1</v>
      </c>
      <c r="G4" s="83">
        <v>10</v>
      </c>
      <c r="H4" s="84">
        <v>1000</v>
      </c>
      <c r="I4" s="85">
        <v>1</v>
      </c>
      <c r="J4" s="86"/>
      <c r="K4" s="89">
        <v>10</v>
      </c>
      <c r="L4" s="86">
        <v>500000</v>
      </c>
      <c r="M4" s="10"/>
      <c r="N4" s="340">
        <f t="shared" ref="N4:N24" si="0">ROUNDUP(F4/K4,0)</f>
        <v>1</v>
      </c>
    </row>
    <row r="5" spans="1:14" s="2" customFormat="1">
      <c r="A5" s="11">
        <v>3</v>
      </c>
      <c r="B5" s="17" t="s">
        <v>233</v>
      </c>
      <c r="C5" s="18" t="s">
        <v>237</v>
      </c>
      <c r="D5" s="81" t="s">
        <v>235</v>
      </c>
      <c r="E5" s="81" t="s">
        <v>238</v>
      </c>
      <c r="F5" s="82">
        <v>1</v>
      </c>
      <c r="G5" s="83">
        <v>10</v>
      </c>
      <c r="H5" s="84">
        <v>1000</v>
      </c>
      <c r="I5" s="85">
        <v>1</v>
      </c>
      <c r="J5" s="86"/>
      <c r="K5" s="89">
        <v>10</v>
      </c>
      <c r="L5" s="86">
        <v>500000</v>
      </c>
      <c r="M5" s="10"/>
      <c r="N5" s="340">
        <v>0</v>
      </c>
    </row>
    <row r="6" spans="1:14" s="2" customFormat="1">
      <c r="A6" s="11">
        <v>4</v>
      </c>
      <c r="B6" s="17" t="s">
        <v>233</v>
      </c>
      <c r="C6" s="18" t="s">
        <v>239</v>
      </c>
      <c r="D6" s="81" t="s">
        <v>235</v>
      </c>
      <c r="E6" s="81" t="s">
        <v>238</v>
      </c>
      <c r="F6" s="82">
        <v>1</v>
      </c>
      <c r="G6" s="83">
        <v>10</v>
      </c>
      <c r="H6" s="84">
        <v>1000</v>
      </c>
      <c r="I6" s="85">
        <v>1</v>
      </c>
      <c r="J6" s="86"/>
      <c r="K6" s="89">
        <v>10</v>
      </c>
      <c r="L6" s="86">
        <v>500000</v>
      </c>
      <c r="M6" s="10"/>
      <c r="N6" s="340">
        <v>0</v>
      </c>
    </row>
    <row r="7" spans="1:14" s="2" customFormat="1" hidden="1">
      <c r="A7" s="11">
        <v>5</v>
      </c>
      <c r="B7" s="17" t="s">
        <v>233</v>
      </c>
      <c r="C7" s="18" t="s">
        <v>240</v>
      </c>
      <c r="D7" s="81" t="s">
        <v>238</v>
      </c>
      <c r="E7" s="87"/>
      <c r="F7" s="82">
        <v>0</v>
      </c>
      <c r="G7" s="83">
        <f>G3*hv_pom/3/conv_kwh_mj</f>
        <v>33.24074074074074</v>
      </c>
      <c r="H7" s="84">
        <v>800</v>
      </c>
      <c r="I7" s="85">
        <v>0</v>
      </c>
      <c r="J7" s="86"/>
      <c r="K7" s="89">
        <v>10</v>
      </c>
      <c r="L7" s="86">
        <v>1077500</v>
      </c>
      <c r="M7" s="10"/>
      <c r="N7" s="340">
        <f t="shared" si="0"/>
        <v>0</v>
      </c>
    </row>
    <row r="8" spans="1:14" s="2" customFormat="1" hidden="1">
      <c r="A8" s="11">
        <v>6</v>
      </c>
      <c r="B8" s="17" t="s">
        <v>233</v>
      </c>
      <c r="C8" s="18" t="s">
        <v>241</v>
      </c>
      <c r="D8" s="81" t="s">
        <v>238</v>
      </c>
      <c r="E8" s="87"/>
      <c r="F8" s="82">
        <v>0</v>
      </c>
      <c r="G8" s="83">
        <f>G4*hv_pom/3/conv_kwh_mj</f>
        <v>33.24074074074074</v>
      </c>
      <c r="H8" s="84">
        <v>2500</v>
      </c>
      <c r="I8" s="85">
        <v>0</v>
      </c>
      <c r="J8" s="86"/>
      <c r="K8" s="89">
        <v>10</v>
      </c>
      <c r="L8" s="86">
        <v>1077500</v>
      </c>
      <c r="M8" s="10"/>
      <c r="N8" s="340">
        <f t="shared" si="0"/>
        <v>0</v>
      </c>
    </row>
    <row r="9" spans="1:14" s="2" customFormat="1">
      <c r="A9" s="11">
        <v>7</v>
      </c>
      <c r="B9" s="17" t="s">
        <v>242</v>
      </c>
      <c r="C9" s="17" t="s">
        <v>243</v>
      </c>
      <c r="D9" s="81" t="s">
        <v>235</v>
      </c>
      <c r="E9" s="81"/>
      <c r="F9" s="82">
        <v>1</v>
      </c>
      <c r="G9" s="83">
        <v>10</v>
      </c>
      <c r="H9" s="84">
        <v>1000</v>
      </c>
      <c r="I9" s="85">
        <v>0</v>
      </c>
      <c r="J9" s="86"/>
      <c r="K9" s="89">
        <v>10</v>
      </c>
      <c r="L9" s="86">
        <v>500000</v>
      </c>
      <c r="M9" s="10"/>
      <c r="N9" s="340">
        <f t="shared" si="0"/>
        <v>1</v>
      </c>
    </row>
    <row r="10" spans="1:14" s="2" customFormat="1">
      <c r="A10" s="11">
        <v>8</v>
      </c>
      <c r="B10" s="17" t="s">
        <v>242</v>
      </c>
      <c r="C10" s="17" t="s">
        <v>244</v>
      </c>
      <c r="D10" s="81" t="s">
        <v>235</v>
      </c>
      <c r="E10" s="81"/>
      <c r="F10" s="82">
        <v>1</v>
      </c>
      <c r="G10" s="83">
        <v>10</v>
      </c>
      <c r="H10" s="84">
        <v>1000</v>
      </c>
      <c r="I10" s="85">
        <v>1</v>
      </c>
      <c r="J10" s="86"/>
      <c r="K10" s="89">
        <v>10</v>
      </c>
      <c r="L10" s="86">
        <v>500000</v>
      </c>
      <c r="M10" s="10"/>
      <c r="N10" s="340">
        <f t="shared" si="0"/>
        <v>1</v>
      </c>
    </row>
    <row r="11" spans="1:14" s="2" customFormat="1" hidden="1">
      <c r="A11" s="11">
        <v>9</v>
      </c>
      <c r="B11" s="17" t="s">
        <v>242</v>
      </c>
      <c r="C11" s="17" t="s">
        <v>245</v>
      </c>
      <c r="D11" s="81" t="s">
        <v>238</v>
      </c>
      <c r="E11" s="87"/>
      <c r="F11" s="82">
        <v>0</v>
      </c>
      <c r="G11" s="83">
        <f>G9*hv_pom/3/conv_kwh_mj</f>
        <v>33.24074074074074</v>
      </c>
      <c r="H11" s="84">
        <f>H9</f>
        <v>1000</v>
      </c>
      <c r="I11" s="85">
        <v>0</v>
      </c>
      <c r="J11" s="86">
        <v>132</v>
      </c>
      <c r="K11" s="89">
        <v>5</v>
      </c>
      <c r="L11" s="86">
        <v>300000</v>
      </c>
      <c r="M11" s="10"/>
      <c r="N11" s="340">
        <f t="shared" si="0"/>
        <v>0</v>
      </c>
    </row>
    <row r="12" spans="1:14" s="2" customFormat="1" hidden="1">
      <c r="A12" s="11">
        <v>10</v>
      </c>
      <c r="B12" s="17" t="s">
        <v>242</v>
      </c>
      <c r="C12" s="17" t="s">
        <v>246</v>
      </c>
      <c r="D12" s="81" t="s">
        <v>238</v>
      </c>
      <c r="E12" s="87"/>
      <c r="F12" s="82">
        <v>0</v>
      </c>
      <c r="G12" s="83">
        <f>G10*hv_pom/3/conv_kwh_mj</f>
        <v>33.24074074074074</v>
      </c>
      <c r="H12" s="84">
        <f>H10</f>
        <v>1000</v>
      </c>
      <c r="I12" s="85">
        <v>0</v>
      </c>
      <c r="J12" s="86">
        <v>222</v>
      </c>
      <c r="K12" s="89">
        <v>5</v>
      </c>
      <c r="L12" s="86">
        <v>300000</v>
      </c>
      <c r="M12" s="10"/>
      <c r="N12" s="340">
        <f t="shared" si="0"/>
        <v>0</v>
      </c>
    </row>
    <row r="13" spans="1:14" s="2" customFormat="1">
      <c r="A13" s="11">
        <v>11</v>
      </c>
      <c r="B13" s="18" t="s">
        <v>247</v>
      </c>
      <c r="C13" s="18" t="s">
        <v>248</v>
      </c>
      <c r="D13" s="81" t="s">
        <v>235</v>
      </c>
      <c r="E13" s="81"/>
      <c r="F13" s="82">
        <v>1</v>
      </c>
      <c r="G13" s="83">
        <v>10</v>
      </c>
      <c r="H13" s="84">
        <v>1000</v>
      </c>
      <c r="I13" s="85">
        <v>1</v>
      </c>
      <c r="J13" s="86"/>
      <c r="K13" s="89">
        <v>10</v>
      </c>
      <c r="L13" s="86">
        <v>500000</v>
      </c>
      <c r="M13" s="10"/>
      <c r="N13" s="340">
        <f t="shared" si="0"/>
        <v>1</v>
      </c>
    </row>
    <row r="14" spans="1:14" s="2" customFormat="1">
      <c r="A14" s="11">
        <v>12</v>
      </c>
      <c r="B14" s="18" t="s">
        <v>247</v>
      </c>
      <c r="C14" s="18" t="s">
        <v>249</v>
      </c>
      <c r="D14" s="81" t="s">
        <v>235</v>
      </c>
      <c r="E14" s="81"/>
      <c r="F14" s="82">
        <v>1</v>
      </c>
      <c r="G14" s="83">
        <v>10</v>
      </c>
      <c r="H14" s="84">
        <v>1000</v>
      </c>
      <c r="I14" s="85">
        <v>1</v>
      </c>
      <c r="J14" s="86"/>
      <c r="K14" s="89">
        <v>10</v>
      </c>
      <c r="L14" s="86">
        <v>500000</v>
      </c>
      <c r="M14" s="10"/>
      <c r="N14" s="340">
        <f t="shared" si="0"/>
        <v>1</v>
      </c>
    </row>
    <row r="15" spans="1:14" s="2" customFormat="1">
      <c r="A15" s="11">
        <v>13</v>
      </c>
      <c r="B15" s="18" t="s">
        <v>247</v>
      </c>
      <c r="C15" s="18" t="s">
        <v>250</v>
      </c>
      <c r="D15" s="81" t="s">
        <v>235</v>
      </c>
      <c r="E15" s="81" t="s">
        <v>238</v>
      </c>
      <c r="F15" s="82">
        <v>0</v>
      </c>
      <c r="G15" s="83">
        <v>10</v>
      </c>
      <c r="H15" s="84">
        <v>1000</v>
      </c>
      <c r="I15" s="85">
        <v>1</v>
      </c>
      <c r="J15" s="86"/>
      <c r="K15" s="89">
        <v>10</v>
      </c>
      <c r="L15" s="86">
        <v>500000</v>
      </c>
      <c r="M15" s="10"/>
      <c r="N15" s="340">
        <f t="shared" si="0"/>
        <v>0</v>
      </c>
    </row>
    <row r="16" spans="1:14" s="2" customFormat="1">
      <c r="A16" s="11">
        <v>14</v>
      </c>
      <c r="B16" s="18" t="s">
        <v>247</v>
      </c>
      <c r="C16" s="18" t="s">
        <v>251</v>
      </c>
      <c r="D16" s="81" t="s">
        <v>235</v>
      </c>
      <c r="E16" s="81" t="s">
        <v>238</v>
      </c>
      <c r="F16" s="82">
        <v>0</v>
      </c>
      <c r="G16" s="83">
        <v>10</v>
      </c>
      <c r="H16" s="84">
        <v>1000</v>
      </c>
      <c r="I16" s="85">
        <v>1</v>
      </c>
      <c r="J16" s="86"/>
      <c r="K16" s="89">
        <v>10</v>
      </c>
      <c r="L16" s="86">
        <v>500000</v>
      </c>
      <c r="M16" s="10"/>
      <c r="N16" s="340">
        <f t="shared" si="0"/>
        <v>0</v>
      </c>
    </row>
    <row r="17" spans="1:14" s="2" customFormat="1" hidden="1">
      <c r="A17" s="11">
        <v>15</v>
      </c>
      <c r="B17" s="18" t="s">
        <v>247</v>
      </c>
      <c r="C17" s="18" t="s">
        <v>252</v>
      </c>
      <c r="D17" s="81" t="s">
        <v>238</v>
      </c>
      <c r="E17" s="88"/>
      <c r="F17" s="82">
        <v>0</v>
      </c>
      <c r="G17" s="83">
        <f>G13*hv_pom/3/conv_kwh_mj</f>
        <v>33.24074074074074</v>
      </c>
      <c r="H17" s="84">
        <f>H15</f>
        <v>1000</v>
      </c>
      <c r="I17" s="85">
        <v>0</v>
      </c>
      <c r="J17" s="86"/>
      <c r="K17" s="89">
        <v>10</v>
      </c>
      <c r="L17" s="86">
        <v>590000</v>
      </c>
      <c r="M17" s="10"/>
      <c r="N17" s="340">
        <f t="shared" si="0"/>
        <v>0</v>
      </c>
    </row>
    <row r="18" spans="1:14" s="2" customFormat="1" hidden="1">
      <c r="A18" s="11">
        <v>16</v>
      </c>
      <c r="B18" s="18" t="s">
        <v>247</v>
      </c>
      <c r="C18" s="18" t="s">
        <v>253</v>
      </c>
      <c r="D18" s="81" t="s">
        <v>238</v>
      </c>
      <c r="E18" s="88"/>
      <c r="F18" s="82">
        <v>0</v>
      </c>
      <c r="G18" s="83">
        <f>G14*hv_pom/3/conv_kwh_mj</f>
        <v>33.24074074074074</v>
      </c>
      <c r="H18" s="84">
        <f>H16</f>
        <v>1000</v>
      </c>
      <c r="I18" s="85">
        <v>0</v>
      </c>
      <c r="J18" s="86"/>
      <c r="K18" s="89">
        <v>10</v>
      </c>
      <c r="L18" s="86">
        <v>590000</v>
      </c>
      <c r="M18" s="10"/>
      <c r="N18" s="340">
        <f t="shared" si="0"/>
        <v>0</v>
      </c>
    </row>
    <row r="19" spans="1:14" s="2" customFormat="1">
      <c r="A19" s="11">
        <v>17</v>
      </c>
      <c r="B19" s="18" t="s">
        <v>254</v>
      </c>
      <c r="C19" s="18" t="s">
        <v>17</v>
      </c>
      <c r="D19" s="81" t="s">
        <v>235</v>
      </c>
      <c r="E19" s="81"/>
      <c r="F19" s="82">
        <v>1</v>
      </c>
      <c r="G19" s="83">
        <v>10</v>
      </c>
      <c r="H19" s="84">
        <v>1000</v>
      </c>
      <c r="I19" s="85">
        <v>1</v>
      </c>
      <c r="J19" s="86"/>
      <c r="K19" s="89">
        <v>10</v>
      </c>
      <c r="L19" s="86">
        <v>500000</v>
      </c>
      <c r="M19" s="10"/>
      <c r="N19" s="340">
        <f t="shared" si="0"/>
        <v>1</v>
      </c>
    </row>
    <row r="20" spans="1:14" s="2" customFormat="1">
      <c r="A20" s="11">
        <v>18</v>
      </c>
      <c r="B20" s="18" t="s">
        <v>254</v>
      </c>
      <c r="C20" s="18" t="s">
        <v>32</v>
      </c>
      <c r="D20" s="81" t="s">
        <v>235</v>
      </c>
      <c r="E20" s="81"/>
      <c r="F20" s="82">
        <v>1</v>
      </c>
      <c r="G20" s="83">
        <v>10</v>
      </c>
      <c r="H20" s="84">
        <v>1000</v>
      </c>
      <c r="I20" s="85">
        <v>0.8</v>
      </c>
      <c r="J20" s="86"/>
      <c r="K20" s="89">
        <v>10</v>
      </c>
      <c r="L20" s="86">
        <v>500000</v>
      </c>
      <c r="M20" s="10"/>
      <c r="N20" s="340">
        <f t="shared" si="0"/>
        <v>1</v>
      </c>
    </row>
    <row r="21" spans="1:14" s="2" customFormat="1">
      <c r="A21" s="11">
        <v>19</v>
      </c>
      <c r="B21" s="18" t="s">
        <v>254</v>
      </c>
      <c r="C21" s="18" t="s">
        <v>255</v>
      </c>
      <c r="D21" s="81" t="s">
        <v>235</v>
      </c>
      <c r="E21" s="81" t="s">
        <v>238</v>
      </c>
      <c r="F21" s="82">
        <v>0</v>
      </c>
      <c r="G21" s="83">
        <v>10</v>
      </c>
      <c r="H21" s="84">
        <v>1000</v>
      </c>
      <c r="I21" s="85">
        <v>1</v>
      </c>
      <c r="J21" s="86"/>
      <c r="K21" s="89">
        <v>10</v>
      </c>
      <c r="L21" s="86">
        <v>500000</v>
      </c>
      <c r="M21" s="10"/>
      <c r="N21" s="340">
        <f t="shared" si="0"/>
        <v>0</v>
      </c>
    </row>
    <row r="22" spans="1:14" s="2" customFormat="1">
      <c r="A22" s="11">
        <v>20</v>
      </c>
      <c r="B22" s="18" t="s">
        <v>254</v>
      </c>
      <c r="C22" s="18" t="s">
        <v>256</v>
      </c>
      <c r="D22" s="81" t="s">
        <v>235</v>
      </c>
      <c r="E22" s="81" t="s">
        <v>238</v>
      </c>
      <c r="F22" s="82">
        <v>0</v>
      </c>
      <c r="G22" s="83">
        <v>10</v>
      </c>
      <c r="H22" s="84">
        <v>1000</v>
      </c>
      <c r="I22" s="85">
        <v>1</v>
      </c>
      <c r="J22" s="86"/>
      <c r="K22" s="89">
        <v>10</v>
      </c>
      <c r="L22" s="86">
        <v>500000</v>
      </c>
      <c r="M22" s="10"/>
      <c r="N22" s="340">
        <f t="shared" si="0"/>
        <v>0</v>
      </c>
    </row>
    <row r="23" spans="1:14" s="2" customFormat="1" hidden="1">
      <c r="A23" s="11">
        <v>21</v>
      </c>
      <c r="B23" s="18" t="s">
        <v>254</v>
      </c>
      <c r="C23" s="18" t="s">
        <v>21</v>
      </c>
      <c r="D23" s="81" t="s">
        <v>238</v>
      </c>
      <c r="E23" s="88"/>
      <c r="F23" s="82">
        <v>35</v>
      </c>
      <c r="G23" s="83">
        <f>G19*hv_pom/3/conv_kwh_mj</f>
        <v>33.24074074074074</v>
      </c>
      <c r="H23" s="84">
        <v>350</v>
      </c>
      <c r="I23" s="85">
        <v>0</v>
      </c>
      <c r="J23" s="86">
        <v>38.799999999999997</v>
      </c>
      <c r="K23" s="89">
        <v>5</v>
      </c>
      <c r="L23" s="86">
        <v>260000</v>
      </c>
      <c r="M23" s="10"/>
      <c r="N23" s="340">
        <f t="shared" si="0"/>
        <v>7</v>
      </c>
    </row>
    <row r="24" spans="1:14" s="2" customFormat="1" hidden="1">
      <c r="A24" s="11">
        <v>22</v>
      </c>
      <c r="B24" s="18" t="s">
        <v>254</v>
      </c>
      <c r="C24" s="18" t="s">
        <v>34</v>
      </c>
      <c r="D24" s="81" t="s">
        <v>238</v>
      </c>
      <c r="E24" s="88"/>
      <c r="F24" s="82">
        <v>0</v>
      </c>
      <c r="G24" s="83">
        <f>G20*hv_pom/3/conv_kwh_mj</f>
        <v>33.24074074074074</v>
      </c>
      <c r="H24" s="84">
        <v>1340</v>
      </c>
      <c r="I24" s="85">
        <v>0</v>
      </c>
      <c r="J24" s="86">
        <v>165.89</v>
      </c>
      <c r="K24" s="89">
        <v>5</v>
      </c>
      <c r="L24" s="86">
        <v>260000</v>
      </c>
      <c r="M24" s="10"/>
      <c r="N24" s="340">
        <f t="shared" si="0"/>
        <v>0</v>
      </c>
    </row>
    <row r="25" spans="1:14" s="2" customFormat="1" hidden="1">
      <c r="A25" s="11">
        <v>23</v>
      </c>
      <c r="B25" s="18"/>
      <c r="C25" s="18"/>
      <c r="D25" s="81"/>
      <c r="E25" s="81"/>
      <c r="F25" s="82"/>
      <c r="G25" s="83"/>
      <c r="H25" s="84"/>
      <c r="I25" s="85"/>
      <c r="J25" s="86"/>
      <c r="K25" s="89"/>
      <c r="L25" s="86"/>
      <c r="M25" s="10"/>
      <c r="N25" s="340"/>
    </row>
    <row r="26" spans="1:14" hidden="1">
      <c r="A26" s="110">
        <v>24</v>
      </c>
      <c r="B26" s="18"/>
      <c r="C26" s="18"/>
      <c r="D26" s="81"/>
      <c r="E26" s="81"/>
      <c r="F26" s="82"/>
      <c r="G26" s="83"/>
      <c r="H26" s="84"/>
      <c r="I26" s="85"/>
      <c r="J26" s="86"/>
      <c r="K26" s="89"/>
      <c r="L26" s="86"/>
      <c r="M26" s="103"/>
      <c r="N26" s="340"/>
    </row>
    <row r="27" spans="1:14" hidden="1">
      <c r="A27" s="110">
        <v>25</v>
      </c>
      <c r="B27" s="18"/>
      <c r="C27" s="18"/>
      <c r="D27" s="81"/>
      <c r="E27" s="81"/>
      <c r="F27" s="82"/>
      <c r="G27" s="83"/>
      <c r="H27" s="84"/>
      <c r="I27" s="85"/>
      <c r="J27" s="86"/>
      <c r="K27" s="89"/>
      <c r="L27" s="86"/>
      <c r="M27" s="103"/>
      <c r="N27" s="340"/>
    </row>
    <row r="28" spans="1:14" hidden="1">
      <c r="A28" s="110">
        <v>26</v>
      </c>
      <c r="B28" s="18"/>
      <c r="C28" s="18"/>
      <c r="D28" s="81"/>
      <c r="E28" s="81"/>
      <c r="F28" s="82"/>
      <c r="G28" s="83"/>
      <c r="H28" s="84"/>
      <c r="I28" s="85"/>
      <c r="J28" s="86"/>
      <c r="K28" s="89"/>
      <c r="L28" s="86"/>
      <c r="M28" s="103"/>
      <c r="N28" s="2"/>
    </row>
    <row r="29" spans="1:14" hidden="1">
      <c r="A29" s="110">
        <v>27</v>
      </c>
      <c r="B29" s="18"/>
      <c r="C29" s="18"/>
      <c r="D29" s="81"/>
      <c r="E29" s="81"/>
      <c r="F29" s="82"/>
      <c r="G29" s="83"/>
      <c r="H29" s="84"/>
      <c r="I29" s="85"/>
      <c r="J29" s="86"/>
      <c r="K29" s="89"/>
      <c r="L29" s="86"/>
      <c r="M29" s="103"/>
      <c r="N29" s="2"/>
    </row>
    <row r="30" spans="1:14" hidden="1">
      <c r="A30" s="110">
        <v>28</v>
      </c>
      <c r="B30" s="18"/>
      <c r="C30" s="18"/>
      <c r="D30" s="81"/>
      <c r="E30" s="81"/>
      <c r="F30" s="82"/>
      <c r="G30" s="83"/>
      <c r="H30" s="84"/>
      <c r="I30" s="85"/>
      <c r="J30" s="86"/>
      <c r="K30" s="89"/>
      <c r="L30" s="86"/>
      <c r="M30" s="103"/>
      <c r="N30" s="2"/>
    </row>
    <row r="31" spans="1:14" hidden="1">
      <c r="A31" s="110">
        <v>29</v>
      </c>
      <c r="B31" s="18"/>
      <c r="C31" s="18"/>
      <c r="D31" s="81"/>
      <c r="E31" s="81"/>
      <c r="F31" s="82"/>
      <c r="G31" s="83"/>
      <c r="H31" s="84"/>
      <c r="I31" s="85"/>
      <c r="J31" s="86"/>
      <c r="K31" s="89"/>
      <c r="L31" s="86"/>
      <c r="M31" s="103"/>
      <c r="N31" s="2"/>
    </row>
    <row r="32" spans="1:14" hidden="1">
      <c r="A32" s="110">
        <v>30</v>
      </c>
      <c r="B32" s="18"/>
      <c r="C32" s="18"/>
      <c r="D32" s="81"/>
      <c r="E32" s="81"/>
      <c r="F32" s="82"/>
      <c r="G32" s="83"/>
      <c r="H32" s="84"/>
      <c r="I32" s="85"/>
      <c r="J32" s="86"/>
      <c r="K32" s="89"/>
      <c r="L32" s="86"/>
      <c r="M32" s="103"/>
      <c r="N32" s="2"/>
    </row>
    <row r="33" spans="1:13">
      <c r="A33" s="110"/>
      <c r="B33" s="103"/>
      <c r="C33" s="103"/>
      <c r="D33" s="103"/>
      <c r="E33" s="103"/>
      <c r="F33" s="103"/>
      <c r="G33" s="103"/>
      <c r="H33" s="103"/>
      <c r="I33" s="103"/>
      <c r="J33" s="128"/>
      <c r="K33" s="103"/>
      <c r="L33" s="103"/>
      <c r="M33" s="103"/>
    </row>
  </sheetData>
  <autoFilter ref="A2:W32">
    <filterColumn colId="3">
      <filters>
        <filter val="pom"/>
      </filters>
    </filterColumn>
  </autoFilter>
  <mergeCells count="1">
    <mergeCell ref="A1:L1"/>
  </mergeCells>
  <phoneticPr fontId="12" type="noConversion"/>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693"/>
  <sheetViews>
    <sheetView workbookViewId="0">
      <selection sqref="A1:C1"/>
    </sheetView>
  </sheetViews>
  <sheetFormatPr defaultColWidth="9.109375" defaultRowHeight="13.8"/>
  <cols>
    <col min="1" max="3" width="10.109375" style="159" customWidth="1"/>
    <col min="4" max="4" width="11.5546875" style="157" customWidth="1"/>
    <col min="5" max="5" width="10.109375" style="161" customWidth="1"/>
    <col min="6" max="6" width="11.88671875" style="161" customWidth="1"/>
    <col min="7" max="7" width="12.44140625" style="161" customWidth="1"/>
    <col min="8" max="8" width="11.33203125" style="161" customWidth="1"/>
    <col min="9" max="9" width="11.6640625" style="161" customWidth="1"/>
    <col min="10" max="10" width="10.109375" style="161" customWidth="1"/>
    <col min="11" max="11" width="9.109375" style="157" customWidth="1"/>
    <col min="12" max="12" width="10.109375" style="157" customWidth="1"/>
    <col min="13" max="13" width="12.6640625" style="160" customWidth="1"/>
    <col min="14" max="14" width="15" style="160" hidden="1" customWidth="1"/>
    <col min="15" max="17" width="13.44140625" style="160" hidden="1" customWidth="1"/>
    <col min="18" max="18" width="14.5546875" style="160" hidden="1" customWidth="1"/>
    <col min="19" max="20" width="15" style="160" customWidth="1"/>
    <col min="21" max="21" width="13" style="160" customWidth="1"/>
    <col min="22" max="22" width="13.88671875" style="160" customWidth="1"/>
    <col min="23" max="23" width="13" style="160" customWidth="1"/>
    <col min="24" max="24" width="16.33203125" style="160" customWidth="1"/>
    <col min="25" max="25" width="10.109375" style="157" customWidth="1"/>
    <col min="26" max="26" width="10.6640625" style="157" customWidth="1"/>
    <col min="27" max="27" width="10.6640625" style="157" hidden="1" customWidth="1"/>
    <col min="28" max="28" width="10.6640625" style="157" customWidth="1"/>
    <col min="29" max="29" width="10.6640625" style="157" hidden="1" customWidth="1"/>
    <col min="30" max="30" width="10.6640625" style="157" customWidth="1"/>
    <col min="31" max="31" width="11.88671875" style="157" customWidth="1"/>
    <col min="32" max="32" width="10.6640625" style="157" customWidth="1"/>
    <col min="33" max="33" width="11.5546875" style="157" customWidth="1"/>
    <col min="34" max="34" width="12.6640625" style="157" customWidth="1"/>
    <col min="35" max="36" width="10.6640625" style="157" customWidth="1"/>
    <col min="37" max="37" width="14" style="157" customWidth="1"/>
    <col min="38" max="38" width="16.109375" style="157" customWidth="1"/>
    <col min="39" max="16384" width="9.109375" style="6"/>
  </cols>
  <sheetData>
    <row r="1" spans="1:43" s="157" customFormat="1">
      <c r="A1" s="384" t="s">
        <v>257</v>
      </c>
      <c r="B1" s="384"/>
      <c r="C1" s="384"/>
      <c r="D1" s="385" t="s">
        <v>258</v>
      </c>
      <c r="E1" s="386"/>
      <c r="F1" s="386"/>
      <c r="G1" s="386"/>
      <c r="H1" s="386"/>
      <c r="I1" s="386"/>
      <c r="J1" s="386"/>
      <c r="K1" s="386"/>
      <c r="L1" s="386"/>
      <c r="M1" s="386"/>
      <c r="N1" s="387" t="s">
        <v>259</v>
      </c>
      <c r="O1" s="388"/>
      <c r="P1" s="388"/>
      <c r="Q1" s="388"/>
      <c r="R1" s="389"/>
      <c r="S1" s="387" t="s">
        <v>260</v>
      </c>
      <c r="T1" s="388"/>
      <c r="U1" s="388"/>
      <c r="V1" s="389"/>
      <c r="W1" s="387" t="s">
        <v>261</v>
      </c>
      <c r="X1" s="388"/>
      <c r="Y1" s="388"/>
      <c r="Z1" s="385" t="s">
        <v>262</v>
      </c>
      <c r="AA1" s="386"/>
      <c r="AB1" s="386"/>
      <c r="AC1" s="386"/>
      <c r="AD1" s="390"/>
      <c r="AE1" s="382" t="s">
        <v>289</v>
      </c>
      <c r="AF1" s="383"/>
      <c r="AG1" s="383"/>
      <c r="AH1" s="383"/>
      <c r="AI1" s="383"/>
      <c r="AJ1" s="383"/>
      <c r="AK1" s="383"/>
      <c r="AL1" s="383"/>
    </row>
    <row r="2" spans="1:43" s="181" customFormat="1" ht="41.4">
      <c r="A2" s="132" t="s">
        <v>220</v>
      </c>
      <c r="B2" s="133" t="s">
        <v>263</v>
      </c>
      <c r="C2" s="133" t="s">
        <v>42</v>
      </c>
      <c r="D2" s="132" t="s">
        <v>264</v>
      </c>
      <c r="E2" s="133" t="s">
        <v>265</v>
      </c>
      <c r="F2" s="133" t="s">
        <v>266</v>
      </c>
      <c r="G2" s="133" t="s">
        <v>267</v>
      </c>
      <c r="H2" s="133" t="s">
        <v>268</v>
      </c>
      <c r="I2" s="133" t="s">
        <v>298</v>
      </c>
      <c r="J2" s="133" t="s">
        <v>299</v>
      </c>
      <c r="K2" s="133" t="s">
        <v>271</v>
      </c>
      <c r="L2" s="133" t="s">
        <v>272</v>
      </c>
      <c r="M2" s="133" t="s">
        <v>273</v>
      </c>
      <c r="N2" s="132" t="s">
        <v>274</v>
      </c>
      <c r="O2" s="133" t="s">
        <v>275</v>
      </c>
      <c r="P2" s="133" t="s">
        <v>276</v>
      </c>
      <c r="Q2" s="133" t="s">
        <v>277</v>
      </c>
      <c r="R2" s="133" t="s">
        <v>278</v>
      </c>
      <c r="S2" s="134" t="s">
        <v>279</v>
      </c>
      <c r="T2" s="135" t="s">
        <v>280</v>
      </c>
      <c r="U2" s="135" t="s">
        <v>281</v>
      </c>
      <c r="V2" s="135" t="s">
        <v>282</v>
      </c>
      <c r="W2" s="134" t="s">
        <v>283</v>
      </c>
      <c r="X2" s="135" t="s">
        <v>284</v>
      </c>
      <c r="Y2" s="135" t="s">
        <v>285</v>
      </c>
      <c r="Z2" s="136" t="s">
        <v>286</v>
      </c>
      <c r="AA2" s="137" t="s">
        <v>287</v>
      </c>
      <c r="AB2" s="137" t="s">
        <v>25</v>
      </c>
      <c r="AC2" s="138" t="s">
        <v>288</v>
      </c>
      <c r="AD2" s="155" t="s">
        <v>43</v>
      </c>
      <c r="AE2" s="99" t="s">
        <v>290</v>
      </c>
      <c r="AF2" s="99" t="s">
        <v>291</v>
      </c>
      <c r="AG2" s="99" t="s">
        <v>292</v>
      </c>
      <c r="AH2" s="99" t="s">
        <v>293</v>
      </c>
      <c r="AI2" s="99" t="s">
        <v>294</v>
      </c>
      <c r="AJ2" s="99" t="s">
        <v>295</v>
      </c>
      <c r="AK2" s="99" t="s">
        <v>296</v>
      </c>
      <c r="AL2" s="99" t="s">
        <v>297</v>
      </c>
      <c r="AO2" s="331" t="s">
        <v>307</v>
      </c>
      <c r="AP2" s="336" t="s">
        <v>308</v>
      </c>
      <c r="AQ2" s="337">
        <f>'Lyhyt yhteenveto'!L10</f>
        <v>1.29</v>
      </c>
    </row>
    <row r="3" spans="1:43">
      <c r="A3" s="139">
        <v>1</v>
      </c>
      <c r="B3" s="139">
        <f>IFERROR(IF((INDEX(Työkonekanta!$F$3:$F$27,MATCH('S3 Tiekartta'!$A3,Työkonekanta!$A$3:$A$24,0),1))&lt;0,0,(INDEX(Työkonekanta!$F$3:$F$27,MATCH('S3 Tiekartta'!$A3,Työkonekanta!$A$3:$A$24,0),1))),0)</f>
        <v>1</v>
      </c>
      <c r="C3" s="140">
        <v>2019</v>
      </c>
      <c r="D3" s="141" t="str">
        <f>IFERROR(INDEX(Työkonekanta!$D$3:$D$27,MATCH('S3 Tiekartta'!$A3,Työkonekanta!$A$3:$A$24,0),1),"undefined")</f>
        <v>pom</v>
      </c>
      <c r="E3" s="145">
        <f>IFERROR(INDEX(Työkonekanta!$G$3:$G$27,MATCH($A3,Työkonekanta!$A$3:$A$24,0),1)*INDEX(Työkonekanta!$H$3:$H$27,MATCH($A3,Työkonekanta!$A$3:$A$24,0),1)*(1+s0b_kasvu*($C3-2019))*$B3,0)</f>
        <v>10000</v>
      </c>
      <c r="F3" s="145">
        <f t="shared" ref="F3:F66" si="0">IF(D3="pom",$E3*hv_pom,0)</f>
        <v>359000</v>
      </c>
      <c r="G3" s="151">
        <f>$F3*$P3</f>
        <v>359000</v>
      </c>
      <c r="H3" s="145">
        <f>$F3*$Q3</f>
        <v>0</v>
      </c>
      <c r="I3" s="145">
        <f t="shared" ref="I3:I66" si="1">$G3/hv_pom</f>
        <v>10000</v>
      </c>
      <c r="J3" s="145">
        <f t="shared" ref="J3:J66" si="2">$H3/hv_biodies</f>
        <v>0</v>
      </c>
      <c r="K3" s="142" t="str">
        <f>IF($D3="sähkö","kWh",IF($D3="pom","l","undefined"))</f>
        <v>l</v>
      </c>
      <c r="L3" s="146">
        <f>IFERROR(INDEX(Työkonekanta!$I$3:$I$27,MATCH('S3 Tiekartta'!$A3,Työkonekanta!$A$3:$A$24,0),1)*(I3+J3)*f_adblue,0)</f>
        <v>500</v>
      </c>
      <c r="M3" s="146">
        <f t="shared" ref="M3:M82" si="3">IF($D3="sähkö",conv_kwh_mj*$E3,0)</f>
        <v>0</v>
      </c>
      <c r="N3" s="143" t="str">
        <f>IF(tuulisähkö_vuosi&lt;='S3 Tiekartta'!C3,"tuulisähkö",ostosähkö_nyt)</f>
        <v>jäännössähkö</v>
      </c>
      <c r="O3" s="147">
        <f>INDEX(Muuttujat!$J$5:$J$21,MATCH($C3,Muuttujat!$H$5:$H$21,0),1)</f>
        <v>69.24722222222222</v>
      </c>
      <c r="P3" s="148">
        <f>1-Q3</f>
        <v>1</v>
      </c>
      <c r="Q3" s="148">
        <f>INDEX($AP$4:$AP$20,MATCH($C3,$AO$4:$AO$20,0),1)</f>
        <v>0</v>
      </c>
      <c r="R3" s="148">
        <f>INDEX($AP$4:$AP$20,MATCH($C3,$AO$4:$AO$20,0),1)</f>
        <v>0</v>
      </c>
      <c r="S3" s="149">
        <f t="shared" ref="S3:S66" si="4">wtt_ef_e_co2_dies*$G3/1000/1000</f>
        <v>6.785099999999999</v>
      </c>
      <c r="T3" s="150">
        <f t="shared" ref="T3:T66" si="5">wtt_ef_e_co2_biodies*$H3/1000/1000</f>
        <v>0</v>
      </c>
      <c r="U3" s="150">
        <f t="shared" ref="U3:U66" si="6">IF(N3="jäännössähkö",$O3,IF(N3="tuulisähkö",wtt_ef_e_co2_el_wind,0))*$M3/1000/1000</f>
        <v>0</v>
      </c>
      <c r="V3" s="150">
        <f>IFERROR(INDEX(Työkonekanta!$J$3:$J$27,MATCH($A3,Työkonekanta!$A$3:$A$24,0),1)*$B3*ef_li_ion_akku/1000/1000/INDEX(Työkonekanta!$K$3:$K$27,MATCH($A3,Työkonekanta!$A$3:$A$24,0)),0)</f>
        <v>0</v>
      </c>
      <c r="W3" s="149">
        <f t="shared" ref="W3:W82" si="7">($I3*IF($D3="pom",ef_v_co2_pom,0))/1000/1000</f>
        <v>26.497163285999999</v>
      </c>
      <c r="X3" s="150">
        <f t="shared" ref="X3:X82" si="8">($E3*(IF($D3="pom",ef_v_ch4_pom,0)*gwp100_ch4+IF($D3="pom",ef_v_n2o_pom,0)*gwp100_n2o))/1000/1000</f>
        <v>0.31774565999999999</v>
      </c>
      <c r="Y3" s="151">
        <f t="shared" ref="Y3:Y82" si="9">$L3*ef_v_co2_adblue/1000/1000</f>
        <v>0.13</v>
      </c>
      <c r="Z3" s="152">
        <f>SUM($S3:$V3)</f>
        <v>6.785099999999999</v>
      </c>
      <c r="AA3" s="179">
        <f>$W3+$Y3</f>
        <v>26.627163285999998</v>
      </c>
      <c r="AB3" s="179">
        <f>SUM($W3:$Y3)</f>
        <v>26.944908945999998</v>
      </c>
      <c r="AC3" s="180">
        <f t="shared" ref="AC3:AC82" si="10">$Z3+$AA3</f>
        <v>33.412263285999998</v>
      </c>
      <c r="AD3" s="156">
        <f>$Z3+$AB3</f>
        <v>33.730008945999998</v>
      </c>
      <c r="AE3" s="146">
        <f>IFERROR(INDEX(Työkonekanta!$L$3:$L$30,MATCH($A3,Työkonekanta!$A$3:$A$30,0),1),0)*AF3</f>
        <v>500000</v>
      </c>
      <c r="AF3" s="146">
        <f>IFERROR(INDEX(Työkonekanta!$N$3:$N$32,MATCH($A3,Työkonekanta!$A$3:$A$32,0),1),0)</f>
        <v>1</v>
      </c>
      <c r="AG3" s="332">
        <f>I3*INDEX(Muuttujat!$U$5:$U$21,MATCH($C3,Muuttujat!$N$5:$N$21,0),1)</f>
        <v>9700</v>
      </c>
      <c r="AH3" s="332">
        <f>J3*INDEX(Muuttujat!$T$5:$T$21,MATCH($C3,Muuttujat!$N$5:$N$21,0),1)</f>
        <v>0</v>
      </c>
      <c r="AI3" s="332">
        <f t="shared" ref="AI3:AI66" si="11">L3*hinta_adblue</f>
        <v>250</v>
      </c>
      <c r="AJ3" s="332">
        <f t="shared" ref="AJ3:AJ66" si="12">M3/conv_kwh_mj*hinta_sähkö3</f>
        <v>0</v>
      </c>
      <c r="AK3" s="333">
        <f>SUM(AG3:AJ3)</f>
        <v>9950</v>
      </c>
      <c r="AL3" s="332">
        <f t="shared" ref="AL3:AL66" si="13">IFERROR(AK3/B3,0)</f>
        <v>9950</v>
      </c>
      <c r="AM3" s="351"/>
      <c r="AN3" s="351"/>
      <c r="AO3" s="338" t="s">
        <v>42</v>
      </c>
      <c r="AP3" s="338" t="s">
        <v>309</v>
      </c>
      <c r="AQ3" s="338" t="s">
        <v>310</v>
      </c>
    </row>
    <row r="4" spans="1:43">
      <c r="A4" s="139">
        <v>2</v>
      </c>
      <c r="B4" s="139">
        <f>IFERROR(IF((INDEX(Työkonekanta!$F$3:$F$27,MATCH('S3 Tiekartta'!$A4,Työkonekanta!$A$3:$A$24,0),1))&lt;0,0,(INDEX(Työkonekanta!$F$3:$F$27,MATCH('S3 Tiekartta'!$A4,Työkonekanta!$A$3:$A$24,0),1))),0)</f>
        <v>1</v>
      </c>
      <c r="C4" s="140">
        <v>2019</v>
      </c>
      <c r="D4" s="141" t="str">
        <f>IFERROR(INDEX(Työkonekanta!$D$3:$D$27,MATCH('S3 Tiekartta'!$A4,Työkonekanta!$A$3:$A$24,0),1),"undefined")</f>
        <v>pom</v>
      </c>
      <c r="E4" s="145">
        <f>IFERROR(INDEX(Työkonekanta!$G$3:$G$27,MATCH($A4,Työkonekanta!$A$3:$A$24,0),1)*INDEX(Työkonekanta!$H$3:$H$27,MATCH($A4,Työkonekanta!$A$3:$A$24,0),1)*(1+s0b_kasvu*($C4-2019))*$B4,0)</f>
        <v>10000</v>
      </c>
      <c r="F4" s="145">
        <f t="shared" si="0"/>
        <v>359000</v>
      </c>
      <c r="G4" s="151">
        <f t="shared" ref="G4:G67" si="14">$F4*$P4</f>
        <v>359000</v>
      </c>
      <c r="H4" s="145">
        <f t="shared" ref="H4:H67" si="15">$F4*$Q4</f>
        <v>0</v>
      </c>
      <c r="I4" s="145">
        <f t="shared" si="1"/>
        <v>10000</v>
      </c>
      <c r="J4" s="145">
        <f t="shared" si="2"/>
        <v>0</v>
      </c>
      <c r="K4" s="142" t="str">
        <f t="shared" ref="K4:K67" si="16">IF($D4="sähkö","kWh",IF($D4="pom","l","undefined"))</f>
        <v>l</v>
      </c>
      <c r="L4" s="146">
        <f>IFERROR(INDEX(Työkonekanta!$I$3:$I$27,MATCH('S3 Tiekartta'!$A4,Työkonekanta!$A$3:$A$24,0),1)*(I4+J4)*f_adblue,0)</f>
        <v>500</v>
      </c>
      <c r="M4" s="146">
        <f t="shared" si="3"/>
        <v>0</v>
      </c>
      <c r="N4" s="143" t="str">
        <f>IF(tuulisähkö_vuosi&lt;='S3 Tiekartta'!C4,"tuulisähkö",ostosähkö_nyt)</f>
        <v>jäännössähkö</v>
      </c>
      <c r="O4" s="147">
        <f>INDEX(Muuttujat!$J$5:$J$21,MATCH($C4,Muuttujat!$H$5:$H$21,0),1)</f>
        <v>69.24722222222222</v>
      </c>
      <c r="P4" s="148">
        <f t="shared" ref="P4:P67" si="17">1-Q4</f>
        <v>1</v>
      </c>
      <c r="Q4" s="148">
        <f t="shared" ref="Q4:Q67" si="18">INDEX($AP$4:$AP$20,MATCH($C4,$AO$4:$AO$20,0),1)</f>
        <v>0</v>
      </c>
      <c r="R4" s="148">
        <f t="shared" ref="R4:R67" si="19">INDEX($AP$4:$AP$20,MATCH($C4,$AO$4:$AO$20,0),1)</f>
        <v>0</v>
      </c>
      <c r="S4" s="149">
        <f t="shared" si="4"/>
        <v>6.785099999999999</v>
      </c>
      <c r="T4" s="150">
        <f t="shared" si="5"/>
        <v>0</v>
      </c>
      <c r="U4" s="150">
        <f t="shared" si="6"/>
        <v>0</v>
      </c>
      <c r="V4" s="150">
        <f>IFERROR(INDEX(Työkonekanta!$J$3:$J$27,MATCH($A4,Työkonekanta!$A$3:$A$24,0),1)*$B4*ef_li_ion_akku/1000/1000/INDEX(Työkonekanta!$K$3:$K$27,MATCH($A4,Työkonekanta!$A$3:$A$24,0)),0)</f>
        <v>0</v>
      </c>
      <c r="W4" s="149">
        <f t="shared" si="7"/>
        <v>26.497163285999999</v>
      </c>
      <c r="X4" s="150">
        <f t="shared" si="8"/>
        <v>0.31774565999999999</v>
      </c>
      <c r="Y4" s="151">
        <f t="shared" si="9"/>
        <v>0.13</v>
      </c>
      <c r="Z4" s="152">
        <f t="shared" ref="Z4:Z67" si="20">SUM($S4:$V4)</f>
        <v>6.785099999999999</v>
      </c>
      <c r="AA4" s="179">
        <f t="shared" ref="AA4:AA67" si="21">$W4+$Y4</f>
        <v>26.627163285999998</v>
      </c>
      <c r="AB4" s="179">
        <f t="shared" ref="AB4:AB67" si="22">SUM($W4:$Y4)</f>
        <v>26.944908945999998</v>
      </c>
      <c r="AC4" s="180">
        <f t="shared" si="10"/>
        <v>33.412263285999998</v>
      </c>
      <c r="AD4" s="156">
        <f t="shared" ref="AD4:AD67" si="23">$Z4+$AB4</f>
        <v>33.730008945999998</v>
      </c>
      <c r="AE4" s="146">
        <f>IFERROR(INDEX(Työkonekanta!$L$3:$L$30,MATCH($A4,Työkonekanta!$A$3:$A$30,0),1),0)*AF4</f>
        <v>500000</v>
      </c>
      <c r="AF4" s="146">
        <f>IFERROR(INDEX(Työkonekanta!$N$3:$N$32,MATCH($A4,Työkonekanta!$A$3:$A$32,0),1),0)</f>
        <v>1</v>
      </c>
      <c r="AG4" s="332">
        <f>I4*INDEX(Muuttujat!$U$5:$U$21,MATCH($C4,Muuttujat!$N$5:$N$21,0),1)</f>
        <v>9700</v>
      </c>
      <c r="AH4" s="332">
        <f>J4*INDEX(Muuttujat!$T$5:$T$21,MATCH($C4,Muuttujat!$N$5:$N$21,0),1)</f>
        <v>0</v>
      </c>
      <c r="AI4" s="332">
        <f t="shared" si="11"/>
        <v>250</v>
      </c>
      <c r="AJ4" s="332">
        <f t="shared" si="12"/>
        <v>0</v>
      </c>
      <c r="AK4" s="333">
        <f t="shared" ref="AK4:AK67" si="24">SUM(AG4:AJ4)</f>
        <v>9950</v>
      </c>
      <c r="AL4" s="332">
        <f t="shared" si="13"/>
        <v>9950</v>
      </c>
      <c r="AM4" s="351"/>
      <c r="AN4" s="351"/>
      <c r="AO4" s="6">
        <v>2019</v>
      </c>
      <c r="AP4" s="6">
        <v>0</v>
      </c>
      <c r="AQ4" s="6">
        <v>0</v>
      </c>
    </row>
    <row r="5" spans="1:43">
      <c r="A5" s="139">
        <v>3</v>
      </c>
      <c r="B5" s="139">
        <f>IFERROR(IF((INDEX(Työkonekanta!$F$3:$F$27,MATCH('S3 Tiekartta'!$A5,Työkonekanta!$A$3:$A$24,0),1))&lt;0,0,(INDEX(Työkonekanta!$F$3:$F$27,MATCH('S3 Tiekartta'!$A5,Työkonekanta!$A$3:$A$24,0),1))),0)</f>
        <v>1</v>
      </c>
      <c r="C5" s="140">
        <v>2019</v>
      </c>
      <c r="D5" s="141" t="str">
        <f>IFERROR(INDEX(Työkonekanta!$D$3:$D$27,MATCH('S3 Tiekartta'!$A5,Työkonekanta!$A$3:$A$24,0),1),"undefined")</f>
        <v>pom</v>
      </c>
      <c r="E5" s="145">
        <f>IFERROR(INDEX(Työkonekanta!$G$3:$G$27,MATCH($A5,Työkonekanta!$A$3:$A$24,0),1)*INDEX(Työkonekanta!$H$3:$H$27,MATCH($A5,Työkonekanta!$A$3:$A$24,0),1)*(1+s0b_kasvu*($C5-2019))*$B5,0)</f>
        <v>10000</v>
      </c>
      <c r="F5" s="145">
        <f t="shared" si="0"/>
        <v>359000</v>
      </c>
      <c r="G5" s="151">
        <f t="shared" si="14"/>
        <v>359000</v>
      </c>
      <c r="H5" s="145">
        <f t="shared" si="15"/>
        <v>0</v>
      </c>
      <c r="I5" s="145">
        <f t="shared" si="1"/>
        <v>10000</v>
      </c>
      <c r="J5" s="145">
        <f t="shared" si="2"/>
        <v>0</v>
      </c>
      <c r="K5" s="142" t="str">
        <f t="shared" si="16"/>
        <v>l</v>
      </c>
      <c r="L5" s="146">
        <f>IFERROR(INDEX(Työkonekanta!$I$3:$I$27,MATCH('S3 Tiekartta'!$A5,Työkonekanta!$A$3:$A$24,0),1)*(I5+J5)*f_adblue,0)</f>
        <v>500</v>
      </c>
      <c r="M5" s="146">
        <f t="shared" si="3"/>
        <v>0</v>
      </c>
      <c r="N5" s="143" t="str">
        <f>IF(tuulisähkö_vuosi&lt;='S3 Tiekartta'!C5,"tuulisähkö",ostosähkö_nyt)</f>
        <v>jäännössähkö</v>
      </c>
      <c r="O5" s="147">
        <f>INDEX(Muuttujat!$J$5:$J$21,MATCH($C5,Muuttujat!$H$5:$H$21,0),1)</f>
        <v>69.24722222222222</v>
      </c>
      <c r="P5" s="148">
        <f t="shared" si="17"/>
        <v>1</v>
      </c>
      <c r="Q5" s="148">
        <f t="shared" si="18"/>
        <v>0</v>
      </c>
      <c r="R5" s="148">
        <f t="shared" si="19"/>
        <v>0</v>
      </c>
      <c r="S5" s="149">
        <f t="shared" si="4"/>
        <v>6.785099999999999</v>
      </c>
      <c r="T5" s="150">
        <f t="shared" si="5"/>
        <v>0</v>
      </c>
      <c r="U5" s="150">
        <f t="shared" si="6"/>
        <v>0</v>
      </c>
      <c r="V5" s="150">
        <f>IFERROR(INDEX(Työkonekanta!$J$3:$J$27,MATCH($A5,Työkonekanta!$A$3:$A$24,0),1)*$B5*ef_li_ion_akku/1000/1000/INDEX(Työkonekanta!$K$3:$K$27,MATCH($A5,Työkonekanta!$A$3:$A$24,0)),0)</f>
        <v>0</v>
      </c>
      <c r="W5" s="149">
        <f t="shared" si="7"/>
        <v>26.497163285999999</v>
      </c>
      <c r="X5" s="150">
        <f t="shared" si="8"/>
        <v>0.31774565999999999</v>
      </c>
      <c r="Y5" s="151">
        <f t="shared" si="9"/>
        <v>0.13</v>
      </c>
      <c r="Z5" s="152">
        <f t="shared" si="20"/>
        <v>6.785099999999999</v>
      </c>
      <c r="AA5" s="179">
        <f t="shared" si="21"/>
        <v>26.627163285999998</v>
      </c>
      <c r="AB5" s="179">
        <f t="shared" si="22"/>
        <v>26.944908945999998</v>
      </c>
      <c r="AC5" s="180">
        <f t="shared" si="10"/>
        <v>33.412263285999998</v>
      </c>
      <c r="AD5" s="156">
        <f t="shared" si="23"/>
        <v>33.730008945999998</v>
      </c>
      <c r="AE5" s="146">
        <f>IFERROR(INDEX(Työkonekanta!$L$3:$L$30,MATCH($A5,Työkonekanta!$A$3:$A$30,0),1),0)*AF5</f>
        <v>0</v>
      </c>
      <c r="AF5" s="146">
        <f>IFERROR(INDEX(Työkonekanta!$N$3:$N$32,MATCH($A5,Työkonekanta!$A$3:$A$32,0),1),0)</f>
        <v>0</v>
      </c>
      <c r="AG5" s="332">
        <f>I5*INDEX(Muuttujat!$U$5:$U$21,MATCH($C5,Muuttujat!$N$5:$N$21,0),1)</f>
        <v>9700</v>
      </c>
      <c r="AH5" s="332">
        <f>J5*INDEX(Muuttujat!$T$5:$T$21,MATCH($C5,Muuttujat!$N$5:$N$21,0),1)</f>
        <v>0</v>
      </c>
      <c r="AI5" s="332">
        <f t="shared" si="11"/>
        <v>250</v>
      </c>
      <c r="AJ5" s="332">
        <f t="shared" si="12"/>
        <v>0</v>
      </c>
      <c r="AK5" s="333">
        <f t="shared" si="24"/>
        <v>9950</v>
      </c>
      <c r="AL5" s="332">
        <f t="shared" si="13"/>
        <v>9950</v>
      </c>
      <c r="AM5" s="351"/>
      <c r="AN5" s="351"/>
      <c r="AO5" s="6">
        <v>2020</v>
      </c>
      <c r="AP5" s="6">
        <v>0</v>
      </c>
      <c r="AQ5" s="6">
        <v>0</v>
      </c>
    </row>
    <row r="6" spans="1:43">
      <c r="A6" s="139">
        <v>4</v>
      </c>
      <c r="B6" s="139">
        <f>IFERROR(IF((INDEX(Työkonekanta!$F$3:$F$27,MATCH('S3 Tiekartta'!$A6,Työkonekanta!$A$3:$A$24,0),1))&lt;0,0,(INDEX(Työkonekanta!$F$3:$F$27,MATCH('S3 Tiekartta'!$A6,Työkonekanta!$A$3:$A$24,0),1))),0)</f>
        <v>1</v>
      </c>
      <c r="C6" s="140">
        <v>2019</v>
      </c>
      <c r="D6" s="141" t="str">
        <f>IFERROR(INDEX(Työkonekanta!$D$3:$D$27,MATCH('S3 Tiekartta'!$A6,Työkonekanta!$A$3:$A$24,0),1),"undefined")</f>
        <v>pom</v>
      </c>
      <c r="E6" s="145">
        <f>IFERROR(INDEX(Työkonekanta!$G$3:$G$27,MATCH($A6,Työkonekanta!$A$3:$A$24,0),1)*INDEX(Työkonekanta!$H$3:$H$27,MATCH($A6,Työkonekanta!$A$3:$A$24,0),1)*(1+s0b_kasvu*($C6-2019))*$B6,0)</f>
        <v>10000</v>
      </c>
      <c r="F6" s="145">
        <f t="shared" si="0"/>
        <v>359000</v>
      </c>
      <c r="G6" s="151">
        <f t="shared" si="14"/>
        <v>359000</v>
      </c>
      <c r="H6" s="145">
        <f t="shared" si="15"/>
        <v>0</v>
      </c>
      <c r="I6" s="145">
        <f t="shared" si="1"/>
        <v>10000</v>
      </c>
      <c r="J6" s="145">
        <f t="shared" si="2"/>
        <v>0</v>
      </c>
      <c r="K6" s="142" t="str">
        <f t="shared" si="16"/>
        <v>l</v>
      </c>
      <c r="L6" s="146">
        <f>IFERROR(INDEX(Työkonekanta!$I$3:$I$27,MATCH('S3 Tiekartta'!$A6,Työkonekanta!$A$3:$A$24,0),1)*(I6+J6)*f_adblue,0)</f>
        <v>500</v>
      </c>
      <c r="M6" s="146">
        <f t="shared" si="3"/>
        <v>0</v>
      </c>
      <c r="N6" s="143" t="str">
        <f>IF(tuulisähkö_vuosi&lt;='S3 Tiekartta'!C6,"tuulisähkö",ostosähkö_nyt)</f>
        <v>jäännössähkö</v>
      </c>
      <c r="O6" s="147">
        <f>INDEX(Muuttujat!$J$5:$J$21,MATCH($C6,Muuttujat!$H$5:$H$21,0),1)</f>
        <v>69.24722222222222</v>
      </c>
      <c r="P6" s="148">
        <f t="shared" si="17"/>
        <v>1</v>
      </c>
      <c r="Q6" s="148">
        <f t="shared" si="18"/>
        <v>0</v>
      </c>
      <c r="R6" s="148">
        <f t="shared" si="19"/>
        <v>0</v>
      </c>
      <c r="S6" s="149">
        <f t="shared" si="4"/>
        <v>6.785099999999999</v>
      </c>
      <c r="T6" s="150">
        <f t="shared" si="5"/>
        <v>0</v>
      </c>
      <c r="U6" s="150">
        <f t="shared" si="6"/>
        <v>0</v>
      </c>
      <c r="V6" s="150">
        <f>IFERROR(INDEX(Työkonekanta!$J$3:$J$27,MATCH($A6,Työkonekanta!$A$3:$A$24,0),1)*$B6*ef_li_ion_akku/1000/1000/INDEX(Työkonekanta!$K$3:$K$27,MATCH($A6,Työkonekanta!$A$3:$A$24,0)),0)</f>
        <v>0</v>
      </c>
      <c r="W6" s="149">
        <f t="shared" si="7"/>
        <v>26.497163285999999</v>
      </c>
      <c r="X6" s="150">
        <f t="shared" si="8"/>
        <v>0.31774565999999999</v>
      </c>
      <c r="Y6" s="151">
        <f t="shared" si="9"/>
        <v>0.13</v>
      </c>
      <c r="Z6" s="152">
        <f t="shared" si="20"/>
        <v>6.785099999999999</v>
      </c>
      <c r="AA6" s="179">
        <f t="shared" si="21"/>
        <v>26.627163285999998</v>
      </c>
      <c r="AB6" s="179">
        <f t="shared" si="22"/>
        <v>26.944908945999998</v>
      </c>
      <c r="AC6" s="180">
        <f t="shared" si="10"/>
        <v>33.412263285999998</v>
      </c>
      <c r="AD6" s="156">
        <f t="shared" si="23"/>
        <v>33.730008945999998</v>
      </c>
      <c r="AE6" s="146">
        <f>IFERROR(INDEX(Työkonekanta!$L$3:$L$30,MATCH($A6,Työkonekanta!$A$3:$A$30,0),1),0)*AF6</f>
        <v>0</v>
      </c>
      <c r="AF6" s="146">
        <f>IFERROR(INDEX(Työkonekanta!$N$3:$N$32,MATCH($A6,Työkonekanta!$A$3:$A$32,0),1),0)</f>
        <v>0</v>
      </c>
      <c r="AG6" s="332">
        <f>I6*INDEX(Muuttujat!$U$5:$U$21,MATCH($C6,Muuttujat!$N$5:$N$21,0),1)</f>
        <v>9700</v>
      </c>
      <c r="AH6" s="332">
        <f>J6*INDEX(Muuttujat!$T$5:$T$21,MATCH($C6,Muuttujat!$N$5:$N$21,0),1)</f>
        <v>0</v>
      </c>
      <c r="AI6" s="332">
        <f t="shared" si="11"/>
        <v>250</v>
      </c>
      <c r="AJ6" s="332">
        <f t="shared" si="12"/>
        <v>0</v>
      </c>
      <c r="AK6" s="333">
        <f t="shared" si="24"/>
        <v>9950</v>
      </c>
      <c r="AL6" s="332">
        <f t="shared" si="13"/>
        <v>9950</v>
      </c>
      <c r="AM6" s="351"/>
      <c r="AN6" s="351"/>
      <c r="AO6" s="6">
        <v>2021</v>
      </c>
      <c r="AP6" s="6">
        <v>0.03</v>
      </c>
      <c r="AQ6" s="6">
        <v>0.03</v>
      </c>
    </row>
    <row r="7" spans="1:43">
      <c r="A7" s="139">
        <v>5</v>
      </c>
      <c r="B7" s="139">
        <f>IFERROR(IF((INDEX(Työkonekanta!$F$3:$F$27,MATCH('S3 Tiekartta'!$A7,Työkonekanta!$A$3:$A$24,0),1))&lt;0,0,(INDEX(Työkonekanta!$F$3:$F$27,MATCH('S3 Tiekartta'!$A7,Työkonekanta!$A$3:$A$24,0),1))),0)</f>
        <v>0</v>
      </c>
      <c r="C7" s="140">
        <v>2019</v>
      </c>
      <c r="D7" s="141" t="str">
        <f>IFERROR(INDEX(Työkonekanta!$D$3:$D$27,MATCH('S3 Tiekartta'!$A7,Työkonekanta!$A$3:$A$24,0),1),"undefined")</f>
        <v>sähkö</v>
      </c>
      <c r="E7" s="145">
        <f>IFERROR(INDEX(Työkonekanta!$G$3:$G$27,MATCH($A7,Työkonekanta!$A$3:$A$24,0),1)*INDEX(Työkonekanta!$H$3:$H$27,MATCH($A7,Työkonekanta!$A$3:$A$24,0),1)*(1+s0b_kasvu*($C7-2019))*$B7,0)</f>
        <v>0</v>
      </c>
      <c r="F7" s="145">
        <f t="shared" si="0"/>
        <v>0</v>
      </c>
      <c r="G7" s="151">
        <f t="shared" si="14"/>
        <v>0</v>
      </c>
      <c r="H7" s="145">
        <f t="shared" si="15"/>
        <v>0</v>
      </c>
      <c r="I7" s="145">
        <f t="shared" si="1"/>
        <v>0</v>
      </c>
      <c r="J7" s="145">
        <f t="shared" si="2"/>
        <v>0</v>
      </c>
      <c r="K7" s="142" t="str">
        <f t="shared" si="16"/>
        <v>kWh</v>
      </c>
      <c r="L7" s="146">
        <f>IFERROR(INDEX(Työkonekanta!$I$3:$I$27,MATCH('S3 Tiekartta'!$A7,Työkonekanta!$A$3:$A$24,0),1)*(I7+J7)*f_adblue,0)</f>
        <v>0</v>
      </c>
      <c r="M7" s="146">
        <f t="shared" si="3"/>
        <v>0</v>
      </c>
      <c r="N7" s="143" t="str">
        <f>IF(tuulisähkö_vuosi&lt;='S3 Tiekartta'!C7,"tuulisähkö",ostosähkö_nyt)</f>
        <v>jäännössähkö</v>
      </c>
      <c r="O7" s="147">
        <f>INDEX(Muuttujat!$J$5:$J$21,MATCH($C7,Muuttujat!$H$5:$H$21,0),1)</f>
        <v>69.24722222222222</v>
      </c>
      <c r="P7" s="148">
        <f t="shared" si="17"/>
        <v>1</v>
      </c>
      <c r="Q7" s="148">
        <f t="shared" si="18"/>
        <v>0</v>
      </c>
      <c r="R7" s="148">
        <f t="shared" si="19"/>
        <v>0</v>
      </c>
      <c r="S7" s="149">
        <f t="shared" si="4"/>
        <v>0</v>
      </c>
      <c r="T7" s="150">
        <f t="shared" si="5"/>
        <v>0</v>
      </c>
      <c r="U7" s="150">
        <f t="shared" si="6"/>
        <v>0</v>
      </c>
      <c r="V7" s="150">
        <f>IFERROR(INDEX(Työkonekanta!$J$3:$J$27,MATCH($A7,Työkonekanta!$A$3:$A$24,0),1)*$B7*ef_li_ion_akku/1000/1000/INDEX(Työkonekanta!$K$3:$K$27,MATCH($A7,Työkonekanta!$A$3:$A$24,0)),0)</f>
        <v>0</v>
      </c>
      <c r="W7" s="149">
        <f t="shared" si="7"/>
        <v>0</v>
      </c>
      <c r="X7" s="150">
        <f t="shared" si="8"/>
        <v>0</v>
      </c>
      <c r="Y7" s="151">
        <f t="shared" si="9"/>
        <v>0</v>
      </c>
      <c r="Z7" s="152">
        <f t="shared" si="20"/>
        <v>0</v>
      </c>
      <c r="AA7" s="179">
        <f t="shared" si="21"/>
        <v>0</v>
      </c>
      <c r="AB7" s="179">
        <f t="shared" si="22"/>
        <v>0</v>
      </c>
      <c r="AC7" s="180">
        <f t="shared" si="10"/>
        <v>0</v>
      </c>
      <c r="AD7" s="156">
        <f t="shared" si="23"/>
        <v>0</v>
      </c>
      <c r="AE7" s="146">
        <f>IFERROR(INDEX(Työkonekanta!$L$3:$L$30,MATCH($A7,Työkonekanta!$A$3:$A$30,0),1),0)*AF7</f>
        <v>0</v>
      </c>
      <c r="AF7" s="146">
        <f>IFERROR(INDEX(Työkonekanta!$N$3:$N$32,MATCH($A7,Työkonekanta!$A$3:$A$32,0),1),0)</f>
        <v>0</v>
      </c>
      <c r="AG7" s="332">
        <f>I7*INDEX(Muuttujat!$U$5:$U$21,MATCH($C7,Muuttujat!$N$5:$N$21,0),1)</f>
        <v>0</v>
      </c>
      <c r="AH7" s="332">
        <f>J7*INDEX(Muuttujat!$T$5:$T$21,MATCH($C7,Muuttujat!$N$5:$N$21,0),1)</f>
        <v>0</v>
      </c>
      <c r="AI7" s="332">
        <f t="shared" si="11"/>
        <v>0</v>
      </c>
      <c r="AJ7" s="332">
        <f t="shared" si="12"/>
        <v>0</v>
      </c>
      <c r="AK7" s="333">
        <f t="shared" si="24"/>
        <v>0</v>
      </c>
      <c r="AL7" s="332">
        <f t="shared" si="13"/>
        <v>0</v>
      </c>
      <c r="AM7" s="351"/>
      <c r="AN7" s="351"/>
      <c r="AO7" s="6">
        <v>2022</v>
      </c>
      <c r="AP7" s="6">
        <v>0.04</v>
      </c>
      <c r="AQ7" s="6">
        <v>0.04</v>
      </c>
    </row>
    <row r="8" spans="1:43">
      <c r="A8" s="139">
        <v>6</v>
      </c>
      <c r="B8" s="139">
        <f>IFERROR(IF((INDEX(Työkonekanta!$F$3:$F$27,MATCH('S3 Tiekartta'!$A8,Työkonekanta!$A$3:$A$24,0),1))&lt;0,0,(INDEX(Työkonekanta!$F$3:$F$27,MATCH('S3 Tiekartta'!$A8,Työkonekanta!$A$3:$A$24,0),1))),0)</f>
        <v>0</v>
      </c>
      <c r="C8" s="140">
        <v>2019</v>
      </c>
      <c r="D8" s="141" t="str">
        <f>IFERROR(INDEX(Työkonekanta!$D$3:$D$27,MATCH('S3 Tiekartta'!$A8,Työkonekanta!$A$3:$A$24,0),1),"undefined")</f>
        <v>sähkö</v>
      </c>
      <c r="E8" s="145">
        <f>IFERROR(INDEX(Työkonekanta!$G$3:$G$27,MATCH($A8,Työkonekanta!$A$3:$A$24,0),1)*INDEX(Työkonekanta!$H$3:$H$27,MATCH($A8,Työkonekanta!$A$3:$A$24,0),1)*(1+s0b_kasvu*($C8-2019))*$B8,0)</f>
        <v>0</v>
      </c>
      <c r="F8" s="145">
        <f t="shared" si="0"/>
        <v>0</v>
      </c>
      <c r="G8" s="151">
        <f t="shared" si="14"/>
        <v>0</v>
      </c>
      <c r="H8" s="145">
        <f t="shared" si="15"/>
        <v>0</v>
      </c>
      <c r="I8" s="145">
        <f t="shared" si="1"/>
        <v>0</v>
      </c>
      <c r="J8" s="145">
        <f t="shared" si="2"/>
        <v>0</v>
      </c>
      <c r="K8" s="142" t="str">
        <f t="shared" si="16"/>
        <v>kWh</v>
      </c>
      <c r="L8" s="146">
        <f>IFERROR(INDEX(Työkonekanta!$I$3:$I$27,MATCH('S3 Tiekartta'!$A8,Työkonekanta!$A$3:$A$24,0),1)*(I8+J8)*f_adblue,0)</f>
        <v>0</v>
      </c>
      <c r="M8" s="146">
        <f t="shared" si="3"/>
        <v>0</v>
      </c>
      <c r="N8" s="143" t="str">
        <f>IF(tuulisähkö_vuosi&lt;='S3 Tiekartta'!C8,"tuulisähkö",ostosähkö_nyt)</f>
        <v>jäännössähkö</v>
      </c>
      <c r="O8" s="147">
        <f>INDEX(Muuttujat!$J$5:$J$21,MATCH($C8,Muuttujat!$H$5:$H$21,0),1)</f>
        <v>69.24722222222222</v>
      </c>
      <c r="P8" s="148">
        <f t="shared" si="17"/>
        <v>1</v>
      </c>
      <c r="Q8" s="148">
        <f t="shared" si="18"/>
        <v>0</v>
      </c>
      <c r="R8" s="148">
        <f t="shared" si="19"/>
        <v>0</v>
      </c>
      <c r="S8" s="149">
        <f t="shared" si="4"/>
        <v>0</v>
      </c>
      <c r="T8" s="150">
        <f t="shared" si="5"/>
        <v>0</v>
      </c>
      <c r="U8" s="150">
        <f t="shared" si="6"/>
        <v>0</v>
      </c>
      <c r="V8" s="150">
        <f>IFERROR(INDEX(Työkonekanta!$J$3:$J$27,MATCH($A8,Työkonekanta!$A$3:$A$24,0),1)*$B8*ef_li_ion_akku/1000/1000/INDEX(Työkonekanta!$K$3:$K$27,MATCH($A8,Työkonekanta!$A$3:$A$24,0)),0)</f>
        <v>0</v>
      </c>
      <c r="W8" s="149">
        <f t="shared" si="7"/>
        <v>0</v>
      </c>
      <c r="X8" s="150">
        <f t="shared" si="8"/>
        <v>0</v>
      </c>
      <c r="Y8" s="151">
        <f t="shared" si="9"/>
        <v>0</v>
      </c>
      <c r="Z8" s="152">
        <f t="shared" si="20"/>
        <v>0</v>
      </c>
      <c r="AA8" s="179">
        <f t="shared" si="21"/>
        <v>0</v>
      </c>
      <c r="AB8" s="179">
        <f t="shared" si="22"/>
        <v>0</v>
      </c>
      <c r="AC8" s="180">
        <f t="shared" si="10"/>
        <v>0</v>
      </c>
      <c r="AD8" s="156">
        <f t="shared" si="23"/>
        <v>0</v>
      </c>
      <c r="AE8" s="146">
        <f>IFERROR(INDEX(Työkonekanta!$L$3:$L$30,MATCH($A8,Työkonekanta!$A$3:$A$30,0),1),0)*AF8</f>
        <v>0</v>
      </c>
      <c r="AF8" s="146">
        <f>IFERROR(INDEX(Työkonekanta!$N$3:$N$32,MATCH($A8,Työkonekanta!$A$3:$A$32,0),1),0)</f>
        <v>0</v>
      </c>
      <c r="AG8" s="332">
        <f>I8*INDEX(Muuttujat!$U$5:$U$21,MATCH($C8,Muuttujat!$N$5:$N$21,0),1)</f>
        <v>0</v>
      </c>
      <c r="AH8" s="332">
        <f>J8*INDEX(Muuttujat!$T$5:$T$21,MATCH($C8,Muuttujat!$N$5:$N$21,0),1)</f>
        <v>0</v>
      </c>
      <c r="AI8" s="332">
        <f t="shared" si="11"/>
        <v>0</v>
      </c>
      <c r="AJ8" s="332">
        <f t="shared" si="12"/>
        <v>0</v>
      </c>
      <c r="AK8" s="333">
        <f t="shared" si="24"/>
        <v>0</v>
      </c>
      <c r="AL8" s="332">
        <f t="shared" si="13"/>
        <v>0</v>
      </c>
      <c r="AM8" s="351"/>
      <c r="AN8" s="351"/>
      <c r="AO8" s="6">
        <v>2023</v>
      </c>
      <c r="AP8" s="6">
        <v>0.05</v>
      </c>
      <c r="AQ8" s="6">
        <v>0.05</v>
      </c>
    </row>
    <row r="9" spans="1:43">
      <c r="A9" s="139">
        <v>7</v>
      </c>
      <c r="B9" s="139">
        <f>IFERROR(IF((INDEX(Työkonekanta!$F$3:$F$27,MATCH('S3 Tiekartta'!$A9,Työkonekanta!$A$3:$A$24,0),1))&lt;0,0,(INDEX(Työkonekanta!$F$3:$F$27,MATCH('S3 Tiekartta'!$A9,Työkonekanta!$A$3:$A$24,0),1))),0)</f>
        <v>1</v>
      </c>
      <c r="C9" s="140">
        <v>2019</v>
      </c>
      <c r="D9" s="141" t="str">
        <f>IFERROR(INDEX(Työkonekanta!$D$3:$D$27,MATCH('S3 Tiekartta'!$A9,Työkonekanta!$A$3:$A$24,0),1),"undefined")</f>
        <v>pom</v>
      </c>
      <c r="E9" s="145">
        <f>IFERROR(INDEX(Työkonekanta!$G$3:$G$27,MATCH($A9,Työkonekanta!$A$3:$A$24,0),1)*INDEX(Työkonekanta!$H$3:$H$27,MATCH($A9,Työkonekanta!$A$3:$A$24,0),1)*(1+s0b_kasvu*($C9-2019))*$B9,0)</f>
        <v>10000</v>
      </c>
      <c r="F9" s="145">
        <f t="shared" si="0"/>
        <v>359000</v>
      </c>
      <c r="G9" s="151">
        <f t="shared" si="14"/>
        <v>359000</v>
      </c>
      <c r="H9" s="145">
        <f t="shared" si="15"/>
        <v>0</v>
      </c>
      <c r="I9" s="145">
        <f t="shared" si="1"/>
        <v>10000</v>
      </c>
      <c r="J9" s="145">
        <f t="shared" si="2"/>
        <v>0</v>
      </c>
      <c r="K9" s="142" t="str">
        <f t="shared" si="16"/>
        <v>l</v>
      </c>
      <c r="L9" s="146">
        <f>IFERROR(INDEX(Työkonekanta!$I$3:$I$27,MATCH('S3 Tiekartta'!$A9,Työkonekanta!$A$3:$A$24,0),1)*(I9+J9)*f_adblue,0)</f>
        <v>0</v>
      </c>
      <c r="M9" s="146">
        <f t="shared" si="3"/>
        <v>0</v>
      </c>
      <c r="N9" s="143" t="str">
        <f>IF(tuulisähkö_vuosi&lt;='S3 Tiekartta'!C9,"tuulisähkö",ostosähkö_nyt)</f>
        <v>jäännössähkö</v>
      </c>
      <c r="O9" s="147">
        <f>INDEX(Muuttujat!$J$5:$J$21,MATCH($C9,Muuttujat!$H$5:$H$21,0),1)</f>
        <v>69.24722222222222</v>
      </c>
      <c r="P9" s="148">
        <f t="shared" si="17"/>
        <v>1</v>
      </c>
      <c r="Q9" s="148">
        <f t="shared" si="18"/>
        <v>0</v>
      </c>
      <c r="R9" s="148">
        <f t="shared" si="19"/>
        <v>0</v>
      </c>
      <c r="S9" s="149">
        <f t="shared" si="4"/>
        <v>6.785099999999999</v>
      </c>
      <c r="T9" s="150">
        <f t="shared" si="5"/>
        <v>0</v>
      </c>
      <c r="U9" s="150">
        <f t="shared" si="6"/>
        <v>0</v>
      </c>
      <c r="V9" s="150">
        <f>IFERROR(INDEX(Työkonekanta!$J$3:$J$27,MATCH($A9,Työkonekanta!$A$3:$A$24,0),1)*$B9*ef_li_ion_akku/1000/1000/INDEX(Työkonekanta!$K$3:$K$27,MATCH($A9,Työkonekanta!$A$3:$A$24,0)),0)</f>
        <v>0</v>
      </c>
      <c r="W9" s="149">
        <f t="shared" si="7"/>
        <v>26.497163285999999</v>
      </c>
      <c r="X9" s="150">
        <f t="shared" si="8"/>
        <v>0.31774565999999999</v>
      </c>
      <c r="Y9" s="151">
        <f t="shared" si="9"/>
        <v>0</v>
      </c>
      <c r="Z9" s="152">
        <f t="shared" si="20"/>
        <v>6.785099999999999</v>
      </c>
      <c r="AA9" s="179">
        <f t="shared" si="21"/>
        <v>26.497163285999999</v>
      </c>
      <c r="AB9" s="179">
        <f t="shared" si="22"/>
        <v>26.814908945999999</v>
      </c>
      <c r="AC9" s="180">
        <f t="shared" si="10"/>
        <v>33.282263285999996</v>
      </c>
      <c r="AD9" s="156">
        <f t="shared" si="23"/>
        <v>33.600008945999996</v>
      </c>
      <c r="AE9" s="146">
        <f>IFERROR(INDEX(Työkonekanta!$L$3:$L$30,MATCH($A9,Työkonekanta!$A$3:$A$30,0),1),0)*AF9</f>
        <v>500000</v>
      </c>
      <c r="AF9" s="146">
        <f>IFERROR(INDEX(Työkonekanta!$N$3:$N$32,MATCH($A9,Työkonekanta!$A$3:$A$32,0),1),0)</f>
        <v>1</v>
      </c>
      <c r="AG9" s="332">
        <f>I9*INDEX(Muuttujat!$U$5:$U$21,MATCH($C9,Muuttujat!$N$5:$N$21,0),1)</f>
        <v>9700</v>
      </c>
      <c r="AH9" s="332">
        <f>J9*INDEX(Muuttujat!$T$5:$T$21,MATCH($C9,Muuttujat!$N$5:$N$21,0),1)</f>
        <v>0</v>
      </c>
      <c r="AI9" s="332">
        <f t="shared" si="11"/>
        <v>0</v>
      </c>
      <c r="AJ9" s="332">
        <f t="shared" si="12"/>
        <v>0</v>
      </c>
      <c r="AK9" s="333">
        <f t="shared" si="24"/>
        <v>9700</v>
      </c>
      <c r="AL9" s="332">
        <f t="shared" si="13"/>
        <v>9700</v>
      </c>
      <c r="AM9" s="351"/>
      <c r="AN9" s="351"/>
      <c r="AO9" s="6">
        <v>2024</v>
      </c>
      <c r="AP9" s="6">
        <v>0.06</v>
      </c>
      <c r="AQ9" s="6">
        <v>0.06</v>
      </c>
    </row>
    <row r="10" spans="1:43">
      <c r="A10" s="139">
        <v>8</v>
      </c>
      <c r="B10" s="139">
        <f>IFERROR(IF((INDEX(Työkonekanta!$F$3:$F$27,MATCH('S3 Tiekartta'!$A10,Työkonekanta!$A$3:$A$24,0),1))&lt;0,0,(INDEX(Työkonekanta!$F$3:$F$27,MATCH('S3 Tiekartta'!$A10,Työkonekanta!$A$3:$A$24,0),1))),0)</f>
        <v>1</v>
      </c>
      <c r="C10" s="140">
        <v>2019</v>
      </c>
      <c r="D10" s="141" t="str">
        <f>IFERROR(INDEX(Työkonekanta!$D$3:$D$27,MATCH('S3 Tiekartta'!$A10,Työkonekanta!$A$3:$A$24,0),1),"undefined")</f>
        <v>pom</v>
      </c>
      <c r="E10" s="145">
        <f>IFERROR(INDEX(Työkonekanta!$G$3:$G$27,MATCH($A10,Työkonekanta!$A$3:$A$24,0),1)*INDEX(Työkonekanta!$H$3:$H$27,MATCH($A10,Työkonekanta!$A$3:$A$24,0),1)*(1+s0b_kasvu*($C10-2019))*$B10,0)</f>
        <v>10000</v>
      </c>
      <c r="F10" s="145">
        <f t="shared" si="0"/>
        <v>359000</v>
      </c>
      <c r="G10" s="151">
        <f t="shared" si="14"/>
        <v>359000</v>
      </c>
      <c r="H10" s="145">
        <f t="shared" si="15"/>
        <v>0</v>
      </c>
      <c r="I10" s="145">
        <f t="shared" si="1"/>
        <v>10000</v>
      </c>
      <c r="J10" s="145">
        <f t="shared" si="2"/>
        <v>0</v>
      </c>
      <c r="K10" s="142" t="str">
        <f t="shared" si="16"/>
        <v>l</v>
      </c>
      <c r="L10" s="146">
        <f>IFERROR(INDEX(Työkonekanta!$I$3:$I$27,MATCH('S3 Tiekartta'!$A10,Työkonekanta!$A$3:$A$24,0),1)*(I10+J10)*f_adblue,0)</f>
        <v>500</v>
      </c>
      <c r="M10" s="146">
        <f t="shared" si="3"/>
        <v>0</v>
      </c>
      <c r="N10" s="143" t="str">
        <f>IF(tuulisähkö_vuosi&lt;='S3 Tiekartta'!C10,"tuulisähkö",ostosähkö_nyt)</f>
        <v>jäännössähkö</v>
      </c>
      <c r="O10" s="147">
        <f>INDEX(Muuttujat!$J$5:$J$21,MATCH($C10,Muuttujat!$H$5:$H$21,0),1)</f>
        <v>69.24722222222222</v>
      </c>
      <c r="P10" s="148">
        <f t="shared" si="17"/>
        <v>1</v>
      </c>
      <c r="Q10" s="148">
        <f t="shared" si="18"/>
        <v>0</v>
      </c>
      <c r="R10" s="148">
        <f t="shared" si="19"/>
        <v>0</v>
      </c>
      <c r="S10" s="149">
        <f t="shared" si="4"/>
        <v>6.785099999999999</v>
      </c>
      <c r="T10" s="150">
        <f t="shared" si="5"/>
        <v>0</v>
      </c>
      <c r="U10" s="150">
        <f t="shared" si="6"/>
        <v>0</v>
      </c>
      <c r="V10" s="150">
        <f>IFERROR(INDEX(Työkonekanta!$J$3:$J$27,MATCH($A10,Työkonekanta!$A$3:$A$24,0),1)*$B10*ef_li_ion_akku/1000/1000/INDEX(Työkonekanta!$K$3:$K$27,MATCH($A10,Työkonekanta!$A$3:$A$24,0)),0)</f>
        <v>0</v>
      </c>
      <c r="W10" s="149">
        <f t="shared" si="7"/>
        <v>26.497163285999999</v>
      </c>
      <c r="X10" s="150">
        <f t="shared" si="8"/>
        <v>0.31774565999999999</v>
      </c>
      <c r="Y10" s="151">
        <f t="shared" si="9"/>
        <v>0.13</v>
      </c>
      <c r="Z10" s="152">
        <f t="shared" si="20"/>
        <v>6.785099999999999</v>
      </c>
      <c r="AA10" s="179">
        <f t="shared" si="21"/>
        <v>26.627163285999998</v>
      </c>
      <c r="AB10" s="179">
        <f t="shared" si="22"/>
        <v>26.944908945999998</v>
      </c>
      <c r="AC10" s="180">
        <f t="shared" si="10"/>
        <v>33.412263285999998</v>
      </c>
      <c r="AD10" s="156">
        <f t="shared" si="23"/>
        <v>33.730008945999998</v>
      </c>
      <c r="AE10" s="146">
        <f>IFERROR(INDEX(Työkonekanta!$L$3:$L$30,MATCH($A10,Työkonekanta!$A$3:$A$30,0),1),0)*AF10</f>
        <v>500000</v>
      </c>
      <c r="AF10" s="146">
        <f>IFERROR(INDEX(Työkonekanta!$N$3:$N$32,MATCH($A10,Työkonekanta!$A$3:$A$32,0),1),0)</f>
        <v>1</v>
      </c>
      <c r="AG10" s="332">
        <f>I10*INDEX(Muuttujat!$U$5:$U$21,MATCH($C10,Muuttujat!$N$5:$N$21,0),1)</f>
        <v>9700</v>
      </c>
      <c r="AH10" s="332">
        <f>J10*INDEX(Muuttujat!$T$5:$T$21,MATCH($C10,Muuttujat!$N$5:$N$21,0),1)</f>
        <v>0</v>
      </c>
      <c r="AI10" s="332">
        <f t="shared" si="11"/>
        <v>250</v>
      </c>
      <c r="AJ10" s="332">
        <f t="shared" si="12"/>
        <v>0</v>
      </c>
      <c r="AK10" s="333">
        <f t="shared" si="24"/>
        <v>9950</v>
      </c>
      <c r="AL10" s="332">
        <f t="shared" si="13"/>
        <v>9950</v>
      </c>
      <c r="AM10" s="351"/>
      <c r="AN10" s="351"/>
      <c r="AO10" s="6">
        <v>2025</v>
      </c>
      <c r="AP10" s="6">
        <v>7.0000000000000007E-2</v>
      </c>
      <c r="AQ10" s="6">
        <v>7.0000000000000007E-2</v>
      </c>
    </row>
    <row r="11" spans="1:43">
      <c r="A11" s="139">
        <v>9</v>
      </c>
      <c r="B11" s="139">
        <f>IFERROR(IF((INDEX(Työkonekanta!$F$3:$F$27,MATCH('S3 Tiekartta'!$A11,Työkonekanta!$A$3:$A$24,0),1))&lt;0,0,(INDEX(Työkonekanta!$F$3:$F$27,MATCH('S3 Tiekartta'!$A11,Työkonekanta!$A$3:$A$24,0),1))),0)</f>
        <v>0</v>
      </c>
      <c r="C11" s="140">
        <v>2019</v>
      </c>
      <c r="D11" s="141" t="str">
        <f>IFERROR(INDEX(Työkonekanta!$D$3:$D$27,MATCH('S3 Tiekartta'!$A11,Työkonekanta!$A$3:$A$24,0),1),"undefined")</f>
        <v>sähkö</v>
      </c>
      <c r="E11" s="145">
        <f>IFERROR(INDEX(Työkonekanta!$G$3:$G$27,MATCH($A11,Työkonekanta!$A$3:$A$24,0),1)*INDEX(Työkonekanta!$H$3:$H$27,MATCH($A11,Työkonekanta!$A$3:$A$24,0),1)*(1+s0b_kasvu*($C11-2019))*$B11,0)</f>
        <v>0</v>
      </c>
      <c r="F11" s="145">
        <f t="shared" si="0"/>
        <v>0</v>
      </c>
      <c r="G11" s="151">
        <f t="shared" si="14"/>
        <v>0</v>
      </c>
      <c r="H11" s="145">
        <f t="shared" si="15"/>
        <v>0</v>
      </c>
      <c r="I11" s="145">
        <f t="shared" si="1"/>
        <v>0</v>
      </c>
      <c r="J11" s="145">
        <f t="shared" si="2"/>
        <v>0</v>
      </c>
      <c r="K11" s="142" t="str">
        <f t="shared" si="16"/>
        <v>kWh</v>
      </c>
      <c r="L11" s="146">
        <f>IFERROR(INDEX(Työkonekanta!$I$3:$I$27,MATCH('S3 Tiekartta'!$A11,Työkonekanta!$A$3:$A$24,0),1)*(I11+J11)*f_adblue,0)</f>
        <v>0</v>
      </c>
      <c r="M11" s="146">
        <f t="shared" si="3"/>
        <v>0</v>
      </c>
      <c r="N11" s="143" t="str">
        <f>IF(tuulisähkö_vuosi&lt;='S3 Tiekartta'!C11,"tuulisähkö",ostosähkö_nyt)</f>
        <v>jäännössähkö</v>
      </c>
      <c r="O11" s="147">
        <f>INDEX(Muuttujat!$J$5:$J$21,MATCH($C11,Muuttujat!$H$5:$H$21,0),1)</f>
        <v>69.24722222222222</v>
      </c>
      <c r="P11" s="148">
        <f t="shared" si="17"/>
        <v>1</v>
      </c>
      <c r="Q11" s="148">
        <f t="shared" si="18"/>
        <v>0</v>
      </c>
      <c r="R11" s="148">
        <f t="shared" si="19"/>
        <v>0</v>
      </c>
      <c r="S11" s="149">
        <f t="shared" si="4"/>
        <v>0</v>
      </c>
      <c r="T11" s="150">
        <f t="shared" si="5"/>
        <v>0</v>
      </c>
      <c r="U11" s="150">
        <f t="shared" si="6"/>
        <v>0</v>
      </c>
      <c r="V11" s="150">
        <f>IFERROR(INDEX(Työkonekanta!$J$3:$J$27,MATCH($A11,Työkonekanta!$A$3:$A$24,0),1)*$B11*ef_li_ion_akku/1000/1000/INDEX(Työkonekanta!$K$3:$K$27,MATCH($A11,Työkonekanta!$A$3:$A$24,0)),0)</f>
        <v>0</v>
      </c>
      <c r="W11" s="149">
        <f t="shared" si="7"/>
        <v>0</v>
      </c>
      <c r="X11" s="150">
        <f t="shared" si="8"/>
        <v>0</v>
      </c>
      <c r="Y11" s="151">
        <f t="shared" si="9"/>
        <v>0</v>
      </c>
      <c r="Z11" s="152">
        <f t="shared" si="20"/>
        <v>0</v>
      </c>
      <c r="AA11" s="179">
        <f t="shared" si="21"/>
        <v>0</v>
      </c>
      <c r="AB11" s="179">
        <f t="shared" si="22"/>
        <v>0</v>
      </c>
      <c r="AC11" s="180">
        <f t="shared" si="10"/>
        <v>0</v>
      </c>
      <c r="AD11" s="156">
        <f t="shared" si="23"/>
        <v>0</v>
      </c>
      <c r="AE11" s="146">
        <f>IFERROR(INDEX(Työkonekanta!$L$3:$L$30,MATCH($A11,Työkonekanta!$A$3:$A$30,0),1),0)*AF11</f>
        <v>0</v>
      </c>
      <c r="AF11" s="146">
        <f>IFERROR(INDEX(Työkonekanta!$N$3:$N$32,MATCH($A11,Työkonekanta!$A$3:$A$32,0),1),0)</f>
        <v>0</v>
      </c>
      <c r="AG11" s="332">
        <f>I11*INDEX(Muuttujat!$U$5:$U$21,MATCH($C11,Muuttujat!$N$5:$N$21,0),1)</f>
        <v>0</v>
      </c>
      <c r="AH11" s="332">
        <f>J11*INDEX(Muuttujat!$T$5:$T$21,MATCH($C11,Muuttujat!$N$5:$N$21,0),1)</f>
        <v>0</v>
      </c>
      <c r="AI11" s="332">
        <f t="shared" si="11"/>
        <v>0</v>
      </c>
      <c r="AJ11" s="332">
        <f t="shared" si="12"/>
        <v>0</v>
      </c>
      <c r="AK11" s="333">
        <f t="shared" si="24"/>
        <v>0</v>
      </c>
      <c r="AL11" s="332">
        <f t="shared" si="13"/>
        <v>0</v>
      </c>
      <c r="AM11" s="351"/>
      <c r="AN11" s="351"/>
      <c r="AO11" s="6">
        <v>2026</v>
      </c>
      <c r="AP11" s="6">
        <v>0.08</v>
      </c>
      <c r="AQ11" s="6">
        <v>0.08</v>
      </c>
    </row>
    <row r="12" spans="1:43">
      <c r="A12" s="139">
        <v>10</v>
      </c>
      <c r="B12" s="139">
        <f>IFERROR(IF((INDEX(Työkonekanta!$F$3:$F$27,MATCH('S3 Tiekartta'!$A12,Työkonekanta!$A$3:$A$24,0),1))&lt;0,0,(INDEX(Työkonekanta!$F$3:$F$27,MATCH('S3 Tiekartta'!$A12,Työkonekanta!$A$3:$A$24,0),1))),0)</f>
        <v>0</v>
      </c>
      <c r="C12" s="140">
        <v>2019</v>
      </c>
      <c r="D12" s="141" t="str">
        <f>IFERROR(INDEX(Työkonekanta!$D$3:$D$27,MATCH('S3 Tiekartta'!$A12,Työkonekanta!$A$3:$A$24,0),1),"undefined")</f>
        <v>sähkö</v>
      </c>
      <c r="E12" s="145">
        <f>IFERROR(INDEX(Työkonekanta!$G$3:$G$27,MATCH($A12,Työkonekanta!$A$3:$A$24,0),1)*INDEX(Työkonekanta!$H$3:$H$27,MATCH($A12,Työkonekanta!$A$3:$A$24,0),1)*(1+s0b_kasvu*($C12-2019))*$B12,0)</f>
        <v>0</v>
      </c>
      <c r="F12" s="145">
        <f t="shared" si="0"/>
        <v>0</v>
      </c>
      <c r="G12" s="151">
        <f t="shared" si="14"/>
        <v>0</v>
      </c>
      <c r="H12" s="145">
        <f t="shared" si="15"/>
        <v>0</v>
      </c>
      <c r="I12" s="145">
        <f t="shared" si="1"/>
        <v>0</v>
      </c>
      <c r="J12" s="145">
        <f t="shared" si="2"/>
        <v>0</v>
      </c>
      <c r="K12" s="142" t="str">
        <f t="shared" si="16"/>
        <v>kWh</v>
      </c>
      <c r="L12" s="146">
        <f>IFERROR(INDEX(Työkonekanta!$I$3:$I$27,MATCH('S3 Tiekartta'!$A12,Työkonekanta!$A$3:$A$24,0),1)*(I12+J12)*f_adblue,0)</f>
        <v>0</v>
      </c>
      <c r="M12" s="146">
        <f t="shared" si="3"/>
        <v>0</v>
      </c>
      <c r="N12" s="143" t="str">
        <f>IF(tuulisähkö_vuosi&lt;='S3 Tiekartta'!C12,"tuulisähkö",ostosähkö_nyt)</f>
        <v>jäännössähkö</v>
      </c>
      <c r="O12" s="147">
        <f>INDEX(Muuttujat!$J$5:$J$21,MATCH($C12,Muuttujat!$H$5:$H$21,0),1)</f>
        <v>69.24722222222222</v>
      </c>
      <c r="P12" s="148">
        <f t="shared" si="17"/>
        <v>1</v>
      </c>
      <c r="Q12" s="148">
        <f t="shared" si="18"/>
        <v>0</v>
      </c>
      <c r="R12" s="148">
        <f t="shared" si="19"/>
        <v>0</v>
      </c>
      <c r="S12" s="149">
        <f t="shared" si="4"/>
        <v>0</v>
      </c>
      <c r="T12" s="150">
        <f t="shared" si="5"/>
        <v>0</v>
      </c>
      <c r="U12" s="150">
        <f t="shared" si="6"/>
        <v>0</v>
      </c>
      <c r="V12" s="150">
        <f>IFERROR(INDEX(Työkonekanta!$J$3:$J$27,MATCH($A12,Työkonekanta!$A$3:$A$24,0),1)*$B12*ef_li_ion_akku/1000/1000/INDEX(Työkonekanta!$K$3:$K$27,MATCH($A12,Työkonekanta!$A$3:$A$24,0)),0)</f>
        <v>0</v>
      </c>
      <c r="W12" s="149">
        <f t="shared" si="7"/>
        <v>0</v>
      </c>
      <c r="X12" s="150">
        <f t="shared" si="8"/>
        <v>0</v>
      </c>
      <c r="Y12" s="151">
        <f t="shared" si="9"/>
        <v>0</v>
      </c>
      <c r="Z12" s="152">
        <f t="shared" si="20"/>
        <v>0</v>
      </c>
      <c r="AA12" s="179">
        <f t="shared" si="21"/>
        <v>0</v>
      </c>
      <c r="AB12" s="179">
        <f t="shared" si="22"/>
        <v>0</v>
      </c>
      <c r="AC12" s="180">
        <f t="shared" si="10"/>
        <v>0</v>
      </c>
      <c r="AD12" s="156">
        <f t="shared" si="23"/>
        <v>0</v>
      </c>
      <c r="AE12" s="146">
        <f>IFERROR(INDEX(Työkonekanta!$L$3:$L$30,MATCH($A12,Työkonekanta!$A$3:$A$30,0),1),0)*AF12</f>
        <v>0</v>
      </c>
      <c r="AF12" s="146">
        <f>IFERROR(INDEX(Työkonekanta!$N$3:$N$32,MATCH($A12,Työkonekanta!$A$3:$A$32,0),1),0)</f>
        <v>0</v>
      </c>
      <c r="AG12" s="332">
        <f>I12*INDEX(Muuttujat!$U$5:$U$21,MATCH($C12,Muuttujat!$N$5:$N$21,0),1)</f>
        <v>0</v>
      </c>
      <c r="AH12" s="332">
        <f>J12*INDEX(Muuttujat!$T$5:$T$21,MATCH($C12,Muuttujat!$N$5:$N$21,0),1)</f>
        <v>0</v>
      </c>
      <c r="AI12" s="332">
        <f t="shared" si="11"/>
        <v>0</v>
      </c>
      <c r="AJ12" s="332">
        <f t="shared" si="12"/>
        <v>0</v>
      </c>
      <c r="AK12" s="333">
        <f t="shared" si="24"/>
        <v>0</v>
      </c>
      <c r="AL12" s="332">
        <f t="shared" si="13"/>
        <v>0</v>
      </c>
      <c r="AM12" s="351"/>
      <c r="AN12" s="351"/>
      <c r="AO12" s="334">
        <v>2027</v>
      </c>
      <c r="AP12" s="335">
        <f>AQ12*AQ2</f>
        <v>0.11609999999999999</v>
      </c>
      <c r="AQ12" s="334">
        <v>0.09</v>
      </c>
    </row>
    <row r="13" spans="1:43">
      <c r="A13" s="139">
        <v>11</v>
      </c>
      <c r="B13" s="139">
        <f>IFERROR(IF((INDEX(Työkonekanta!$F$3:$F$27,MATCH('S3 Tiekartta'!$A13,Työkonekanta!$A$3:$A$24,0),1))&lt;0,0,(INDEX(Työkonekanta!$F$3:$F$27,MATCH('S3 Tiekartta'!$A13,Työkonekanta!$A$3:$A$24,0),1))),0)</f>
        <v>1</v>
      </c>
      <c r="C13" s="140">
        <v>2019</v>
      </c>
      <c r="D13" s="141" t="str">
        <f>IFERROR(INDEX(Työkonekanta!$D$3:$D$27,MATCH('S3 Tiekartta'!$A13,Työkonekanta!$A$3:$A$24,0),1),"undefined")</f>
        <v>pom</v>
      </c>
      <c r="E13" s="145">
        <f>IFERROR(INDEX(Työkonekanta!$G$3:$G$27,MATCH($A13,Työkonekanta!$A$3:$A$24,0),1)*INDEX(Työkonekanta!$H$3:$H$27,MATCH($A13,Työkonekanta!$A$3:$A$24,0),1)*(1+s0b_kasvu*($C13-2019))*$B13,0)</f>
        <v>10000</v>
      </c>
      <c r="F13" s="145">
        <f t="shared" si="0"/>
        <v>359000</v>
      </c>
      <c r="G13" s="151">
        <f t="shared" si="14"/>
        <v>359000</v>
      </c>
      <c r="H13" s="145">
        <f t="shared" si="15"/>
        <v>0</v>
      </c>
      <c r="I13" s="145">
        <f t="shared" si="1"/>
        <v>10000</v>
      </c>
      <c r="J13" s="145">
        <f t="shared" si="2"/>
        <v>0</v>
      </c>
      <c r="K13" s="142" t="str">
        <f t="shared" si="16"/>
        <v>l</v>
      </c>
      <c r="L13" s="146">
        <f>IFERROR(INDEX(Työkonekanta!$I$3:$I$27,MATCH('S3 Tiekartta'!$A13,Työkonekanta!$A$3:$A$24,0),1)*(I13+J13)*f_adblue,0)</f>
        <v>500</v>
      </c>
      <c r="M13" s="146">
        <f t="shared" si="3"/>
        <v>0</v>
      </c>
      <c r="N13" s="143" t="str">
        <f>IF(tuulisähkö_vuosi&lt;='S3 Tiekartta'!C13,"tuulisähkö",ostosähkö_nyt)</f>
        <v>jäännössähkö</v>
      </c>
      <c r="O13" s="147">
        <f>INDEX(Muuttujat!$J$5:$J$21,MATCH($C13,Muuttujat!$H$5:$H$21,0),1)</f>
        <v>69.24722222222222</v>
      </c>
      <c r="P13" s="148">
        <f t="shared" si="17"/>
        <v>1</v>
      </c>
      <c r="Q13" s="148">
        <f t="shared" si="18"/>
        <v>0</v>
      </c>
      <c r="R13" s="148">
        <f t="shared" si="19"/>
        <v>0</v>
      </c>
      <c r="S13" s="149">
        <f t="shared" si="4"/>
        <v>6.785099999999999</v>
      </c>
      <c r="T13" s="150">
        <f t="shared" si="5"/>
        <v>0</v>
      </c>
      <c r="U13" s="150">
        <f t="shared" si="6"/>
        <v>0</v>
      </c>
      <c r="V13" s="150">
        <f>IFERROR(INDEX(Työkonekanta!$J$3:$J$27,MATCH($A13,Työkonekanta!$A$3:$A$24,0),1)*$B13*ef_li_ion_akku/1000/1000/INDEX(Työkonekanta!$K$3:$K$27,MATCH($A13,Työkonekanta!$A$3:$A$24,0)),0)</f>
        <v>0</v>
      </c>
      <c r="W13" s="149">
        <f t="shared" si="7"/>
        <v>26.497163285999999</v>
      </c>
      <c r="X13" s="150">
        <f t="shared" si="8"/>
        <v>0.31774565999999999</v>
      </c>
      <c r="Y13" s="151">
        <f t="shared" si="9"/>
        <v>0.13</v>
      </c>
      <c r="Z13" s="152">
        <f t="shared" si="20"/>
        <v>6.785099999999999</v>
      </c>
      <c r="AA13" s="179">
        <f t="shared" si="21"/>
        <v>26.627163285999998</v>
      </c>
      <c r="AB13" s="179">
        <f t="shared" si="22"/>
        <v>26.944908945999998</v>
      </c>
      <c r="AC13" s="180">
        <f t="shared" si="10"/>
        <v>33.412263285999998</v>
      </c>
      <c r="AD13" s="156">
        <f t="shared" si="23"/>
        <v>33.730008945999998</v>
      </c>
      <c r="AE13" s="146">
        <f>IFERROR(INDEX(Työkonekanta!$L$3:$L$30,MATCH($A13,Työkonekanta!$A$3:$A$30,0),1),0)*AF13</f>
        <v>500000</v>
      </c>
      <c r="AF13" s="146">
        <f>IFERROR(INDEX(Työkonekanta!$N$3:$N$32,MATCH($A13,Työkonekanta!$A$3:$A$32,0),1),0)</f>
        <v>1</v>
      </c>
      <c r="AG13" s="332">
        <f>I13*INDEX(Muuttujat!$U$5:$U$21,MATCH($C13,Muuttujat!$N$5:$N$21,0),1)</f>
        <v>9700</v>
      </c>
      <c r="AH13" s="332">
        <f>J13*INDEX(Muuttujat!$T$5:$T$21,MATCH($C13,Muuttujat!$N$5:$N$21,0),1)</f>
        <v>0</v>
      </c>
      <c r="AI13" s="332">
        <f t="shared" si="11"/>
        <v>250</v>
      </c>
      <c r="AJ13" s="332">
        <f t="shared" si="12"/>
        <v>0</v>
      </c>
      <c r="AK13" s="333">
        <f t="shared" si="24"/>
        <v>9950</v>
      </c>
      <c r="AL13" s="332">
        <f t="shared" si="13"/>
        <v>9950</v>
      </c>
      <c r="AM13" s="351"/>
      <c r="AN13" s="351"/>
      <c r="AO13" s="6">
        <v>2028</v>
      </c>
      <c r="AP13" s="335">
        <f>AP12*$AQ$2</f>
        <v>0.14976899999999999</v>
      </c>
      <c r="AQ13" s="6">
        <v>0.1</v>
      </c>
    </row>
    <row r="14" spans="1:43">
      <c r="A14" s="139">
        <v>12</v>
      </c>
      <c r="B14" s="139">
        <f>IFERROR(IF((INDEX(Työkonekanta!$F$3:$F$27,MATCH('S3 Tiekartta'!$A14,Työkonekanta!$A$3:$A$24,0),1))&lt;0,0,(INDEX(Työkonekanta!$F$3:$F$27,MATCH('S3 Tiekartta'!$A14,Työkonekanta!$A$3:$A$24,0),1))),0)</f>
        <v>1</v>
      </c>
      <c r="C14" s="140">
        <v>2019</v>
      </c>
      <c r="D14" s="141" t="str">
        <f>IFERROR(INDEX(Työkonekanta!$D$3:$D$27,MATCH('S3 Tiekartta'!$A14,Työkonekanta!$A$3:$A$24,0),1),"undefined")</f>
        <v>pom</v>
      </c>
      <c r="E14" s="145">
        <f>IFERROR(INDEX(Työkonekanta!$G$3:$G$27,MATCH($A14,Työkonekanta!$A$3:$A$24,0),1)*INDEX(Työkonekanta!$H$3:$H$27,MATCH($A14,Työkonekanta!$A$3:$A$24,0),1)*(1+s0b_kasvu*($C14-2019))*$B14,0)</f>
        <v>10000</v>
      </c>
      <c r="F14" s="145">
        <f t="shared" si="0"/>
        <v>359000</v>
      </c>
      <c r="G14" s="151">
        <f t="shared" si="14"/>
        <v>359000</v>
      </c>
      <c r="H14" s="145">
        <f t="shared" si="15"/>
        <v>0</v>
      </c>
      <c r="I14" s="145">
        <f t="shared" si="1"/>
        <v>10000</v>
      </c>
      <c r="J14" s="145">
        <f t="shared" si="2"/>
        <v>0</v>
      </c>
      <c r="K14" s="142" t="str">
        <f t="shared" si="16"/>
        <v>l</v>
      </c>
      <c r="L14" s="146">
        <f>IFERROR(INDEX(Työkonekanta!$I$3:$I$27,MATCH('S3 Tiekartta'!$A14,Työkonekanta!$A$3:$A$24,0),1)*(I14+J14)*f_adblue,0)</f>
        <v>500</v>
      </c>
      <c r="M14" s="146">
        <f t="shared" si="3"/>
        <v>0</v>
      </c>
      <c r="N14" s="143" t="str">
        <f>IF(tuulisähkö_vuosi&lt;='S3 Tiekartta'!C14,"tuulisähkö",ostosähkö_nyt)</f>
        <v>jäännössähkö</v>
      </c>
      <c r="O14" s="147">
        <f>INDEX(Muuttujat!$J$5:$J$21,MATCH($C14,Muuttujat!$H$5:$H$21,0),1)</f>
        <v>69.24722222222222</v>
      </c>
      <c r="P14" s="148">
        <f t="shared" si="17"/>
        <v>1</v>
      </c>
      <c r="Q14" s="148">
        <f t="shared" si="18"/>
        <v>0</v>
      </c>
      <c r="R14" s="148">
        <f t="shared" si="19"/>
        <v>0</v>
      </c>
      <c r="S14" s="149">
        <f t="shared" si="4"/>
        <v>6.785099999999999</v>
      </c>
      <c r="T14" s="150">
        <f t="shared" si="5"/>
        <v>0</v>
      </c>
      <c r="U14" s="150">
        <f t="shared" si="6"/>
        <v>0</v>
      </c>
      <c r="V14" s="150">
        <f>IFERROR(INDEX(Työkonekanta!$J$3:$J$27,MATCH($A14,Työkonekanta!$A$3:$A$24,0),1)*$B14*ef_li_ion_akku/1000/1000/INDEX(Työkonekanta!$K$3:$K$27,MATCH($A14,Työkonekanta!$A$3:$A$24,0)),0)</f>
        <v>0</v>
      </c>
      <c r="W14" s="149">
        <f t="shared" si="7"/>
        <v>26.497163285999999</v>
      </c>
      <c r="X14" s="150">
        <f t="shared" si="8"/>
        <v>0.31774565999999999</v>
      </c>
      <c r="Y14" s="151">
        <f t="shared" si="9"/>
        <v>0.13</v>
      </c>
      <c r="Z14" s="152">
        <f t="shared" si="20"/>
        <v>6.785099999999999</v>
      </c>
      <c r="AA14" s="179">
        <f t="shared" si="21"/>
        <v>26.627163285999998</v>
      </c>
      <c r="AB14" s="179">
        <f t="shared" si="22"/>
        <v>26.944908945999998</v>
      </c>
      <c r="AC14" s="180">
        <f t="shared" si="10"/>
        <v>33.412263285999998</v>
      </c>
      <c r="AD14" s="156">
        <f t="shared" si="23"/>
        <v>33.730008945999998</v>
      </c>
      <c r="AE14" s="146">
        <f>IFERROR(INDEX(Työkonekanta!$L$3:$L$30,MATCH($A14,Työkonekanta!$A$3:$A$30,0),1),0)*AF14</f>
        <v>500000</v>
      </c>
      <c r="AF14" s="146">
        <f>IFERROR(INDEX(Työkonekanta!$N$3:$N$32,MATCH($A14,Työkonekanta!$A$3:$A$32,0),1),0)</f>
        <v>1</v>
      </c>
      <c r="AG14" s="332">
        <f>I14*INDEX(Muuttujat!$U$5:$U$21,MATCH($C14,Muuttujat!$N$5:$N$21,0),1)</f>
        <v>9700</v>
      </c>
      <c r="AH14" s="332">
        <f>J14*INDEX(Muuttujat!$T$5:$T$21,MATCH($C14,Muuttujat!$N$5:$N$21,0),1)</f>
        <v>0</v>
      </c>
      <c r="AI14" s="332">
        <f t="shared" si="11"/>
        <v>250</v>
      </c>
      <c r="AJ14" s="332">
        <f t="shared" si="12"/>
        <v>0</v>
      </c>
      <c r="AK14" s="333">
        <f t="shared" si="24"/>
        <v>9950</v>
      </c>
      <c r="AL14" s="332">
        <f t="shared" si="13"/>
        <v>9950</v>
      </c>
      <c r="AM14" s="351"/>
      <c r="AN14" s="351"/>
      <c r="AO14" s="6">
        <v>2029</v>
      </c>
      <c r="AP14" s="335">
        <f t="shared" ref="AP14:AP20" si="25">AP13*$AQ$2</f>
        <v>0.19320200999999998</v>
      </c>
      <c r="AQ14" s="6">
        <v>0.1</v>
      </c>
    </row>
    <row r="15" spans="1:43">
      <c r="A15" s="139">
        <v>13</v>
      </c>
      <c r="B15" s="139">
        <f>IFERROR(IF((INDEX(Työkonekanta!$F$3:$F$27,MATCH('S3 Tiekartta'!$A15,Työkonekanta!$A$3:$A$24,0),1))&lt;0,0,(INDEX(Työkonekanta!$F$3:$F$27,MATCH('S3 Tiekartta'!$A15,Työkonekanta!$A$3:$A$24,0),1))),0)</f>
        <v>0</v>
      </c>
      <c r="C15" s="140">
        <v>2019</v>
      </c>
      <c r="D15" s="141" t="str">
        <f>IFERROR(INDEX(Työkonekanta!$D$3:$D$27,MATCH('S3 Tiekartta'!$A15,Työkonekanta!$A$3:$A$24,0),1),"undefined")</f>
        <v>pom</v>
      </c>
      <c r="E15" s="145">
        <f>IFERROR(INDEX(Työkonekanta!$G$3:$G$27,MATCH($A15,Työkonekanta!$A$3:$A$24,0),1)*INDEX(Työkonekanta!$H$3:$H$27,MATCH($A15,Työkonekanta!$A$3:$A$24,0),1)*(1+s0b_kasvu*($C15-2019))*$B15,0)</f>
        <v>0</v>
      </c>
      <c r="F15" s="145">
        <f t="shared" si="0"/>
        <v>0</v>
      </c>
      <c r="G15" s="151">
        <f t="shared" si="14"/>
        <v>0</v>
      </c>
      <c r="H15" s="145">
        <f t="shared" si="15"/>
        <v>0</v>
      </c>
      <c r="I15" s="145">
        <f t="shared" si="1"/>
        <v>0</v>
      </c>
      <c r="J15" s="145">
        <f t="shared" si="2"/>
        <v>0</v>
      </c>
      <c r="K15" s="142" t="str">
        <f t="shared" si="16"/>
        <v>l</v>
      </c>
      <c r="L15" s="146">
        <f>IFERROR(INDEX(Työkonekanta!$I$3:$I$27,MATCH('S3 Tiekartta'!$A15,Työkonekanta!$A$3:$A$24,0),1)*(I15+J15)*f_adblue,0)</f>
        <v>0</v>
      </c>
      <c r="M15" s="146">
        <f t="shared" si="3"/>
        <v>0</v>
      </c>
      <c r="N15" s="143" t="str">
        <f>IF(tuulisähkö_vuosi&lt;='S3 Tiekartta'!C15,"tuulisähkö",ostosähkö_nyt)</f>
        <v>jäännössähkö</v>
      </c>
      <c r="O15" s="147">
        <f>INDEX(Muuttujat!$J$5:$J$21,MATCH($C15,Muuttujat!$H$5:$H$21,0),1)</f>
        <v>69.24722222222222</v>
      </c>
      <c r="P15" s="148">
        <f t="shared" si="17"/>
        <v>1</v>
      </c>
      <c r="Q15" s="148">
        <f t="shared" si="18"/>
        <v>0</v>
      </c>
      <c r="R15" s="148">
        <f t="shared" si="19"/>
        <v>0</v>
      </c>
      <c r="S15" s="149">
        <f t="shared" si="4"/>
        <v>0</v>
      </c>
      <c r="T15" s="150">
        <f t="shared" si="5"/>
        <v>0</v>
      </c>
      <c r="U15" s="150">
        <f t="shared" si="6"/>
        <v>0</v>
      </c>
      <c r="V15" s="150">
        <f>IFERROR(INDEX(Työkonekanta!$J$3:$J$27,MATCH($A15,Työkonekanta!$A$3:$A$24,0),1)*$B15*ef_li_ion_akku/1000/1000/INDEX(Työkonekanta!$K$3:$K$27,MATCH($A15,Työkonekanta!$A$3:$A$24,0)),0)</f>
        <v>0</v>
      </c>
      <c r="W15" s="149">
        <f t="shared" si="7"/>
        <v>0</v>
      </c>
      <c r="X15" s="150">
        <f t="shared" si="8"/>
        <v>0</v>
      </c>
      <c r="Y15" s="151">
        <f t="shared" si="9"/>
        <v>0</v>
      </c>
      <c r="Z15" s="152">
        <f t="shared" si="20"/>
        <v>0</v>
      </c>
      <c r="AA15" s="179">
        <f t="shared" si="21"/>
        <v>0</v>
      </c>
      <c r="AB15" s="179">
        <f t="shared" si="22"/>
        <v>0</v>
      </c>
      <c r="AC15" s="180">
        <f t="shared" si="10"/>
        <v>0</v>
      </c>
      <c r="AD15" s="156">
        <f t="shared" si="23"/>
        <v>0</v>
      </c>
      <c r="AE15" s="146">
        <f>IFERROR(INDEX(Työkonekanta!$L$3:$L$30,MATCH($A15,Työkonekanta!$A$3:$A$30,0),1),0)*AF15</f>
        <v>0</v>
      </c>
      <c r="AF15" s="146">
        <f>IFERROR(INDEX(Työkonekanta!$N$3:$N$32,MATCH($A15,Työkonekanta!$A$3:$A$32,0),1),0)</f>
        <v>0</v>
      </c>
      <c r="AG15" s="332">
        <f>I15*INDEX(Muuttujat!$U$5:$U$21,MATCH($C15,Muuttujat!$N$5:$N$21,0),1)</f>
        <v>0</v>
      </c>
      <c r="AH15" s="332">
        <f>J15*INDEX(Muuttujat!$T$5:$T$21,MATCH($C15,Muuttujat!$N$5:$N$21,0),1)</f>
        <v>0</v>
      </c>
      <c r="AI15" s="332">
        <f t="shared" si="11"/>
        <v>0</v>
      </c>
      <c r="AJ15" s="332">
        <f t="shared" si="12"/>
        <v>0</v>
      </c>
      <c r="AK15" s="333">
        <f t="shared" si="24"/>
        <v>0</v>
      </c>
      <c r="AL15" s="332">
        <f t="shared" si="13"/>
        <v>0</v>
      </c>
      <c r="AM15" s="351"/>
      <c r="AN15" s="351"/>
      <c r="AO15" s="6">
        <v>2030</v>
      </c>
      <c r="AP15" s="335">
        <f t="shared" si="25"/>
        <v>0.24923059289999999</v>
      </c>
      <c r="AQ15" s="6">
        <v>0.1</v>
      </c>
    </row>
    <row r="16" spans="1:43">
      <c r="A16" s="139">
        <v>14</v>
      </c>
      <c r="B16" s="139">
        <f>IFERROR(IF((INDEX(Työkonekanta!$F$3:$F$27,MATCH('S3 Tiekartta'!$A16,Työkonekanta!$A$3:$A$24,0),1))&lt;0,0,(INDEX(Työkonekanta!$F$3:$F$27,MATCH('S3 Tiekartta'!$A16,Työkonekanta!$A$3:$A$24,0),1))),0)</f>
        <v>0</v>
      </c>
      <c r="C16" s="140">
        <v>2019</v>
      </c>
      <c r="D16" s="141" t="str">
        <f>IFERROR(INDEX(Työkonekanta!$D$3:$D$27,MATCH('S3 Tiekartta'!$A16,Työkonekanta!$A$3:$A$24,0),1),"undefined")</f>
        <v>pom</v>
      </c>
      <c r="E16" s="145">
        <f>IFERROR(INDEX(Työkonekanta!$G$3:$G$27,MATCH($A16,Työkonekanta!$A$3:$A$24,0),1)*INDEX(Työkonekanta!$H$3:$H$27,MATCH($A16,Työkonekanta!$A$3:$A$24,0),1)*(1+s0b_kasvu*($C16-2019))*$B16,0)</f>
        <v>0</v>
      </c>
      <c r="F16" s="145">
        <f t="shared" si="0"/>
        <v>0</v>
      </c>
      <c r="G16" s="151">
        <f t="shared" si="14"/>
        <v>0</v>
      </c>
      <c r="H16" s="145">
        <f t="shared" si="15"/>
        <v>0</v>
      </c>
      <c r="I16" s="145">
        <f t="shared" si="1"/>
        <v>0</v>
      </c>
      <c r="J16" s="145">
        <f t="shared" si="2"/>
        <v>0</v>
      </c>
      <c r="K16" s="142" t="str">
        <f t="shared" si="16"/>
        <v>l</v>
      </c>
      <c r="L16" s="146">
        <f>IFERROR(INDEX(Työkonekanta!$I$3:$I$27,MATCH('S3 Tiekartta'!$A16,Työkonekanta!$A$3:$A$24,0),1)*(I16+J16)*f_adblue,0)</f>
        <v>0</v>
      </c>
      <c r="M16" s="146">
        <f t="shared" si="3"/>
        <v>0</v>
      </c>
      <c r="N16" s="143" t="str">
        <f>IF(tuulisähkö_vuosi&lt;='S3 Tiekartta'!C16,"tuulisähkö",ostosähkö_nyt)</f>
        <v>jäännössähkö</v>
      </c>
      <c r="O16" s="147">
        <f>INDEX(Muuttujat!$J$5:$J$21,MATCH($C16,Muuttujat!$H$5:$H$21,0),1)</f>
        <v>69.24722222222222</v>
      </c>
      <c r="P16" s="148">
        <f t="shared" si="17"/>
        <v>1</v>
      </c>
      <c r="Q16" s="148">
        <f t="shared" si="18"/>
        <v>0</v>
      </c>
      <c r="R16" s="148">
        <f t="shared" si="19"/>
        <v>0</v>
      </c>
      <c r="S16" s="149">
        <f t="shared" si="4"/>
        <v>0</v>
      </c>
      <c r="T16" s="150">
        <f t="shared" si="5"/>
        <v>0</v>
      </c>
      <c r="U16" s="150">
        <f t="shared" si="6"/>
        <v>0</v>
      </c>
      <c r="V16" s="150">
        <f>IFERROR(INDEX(Työkonekanta!$J$3:$J$27,MATCH($A16,Työkonekanta!$A$3:$A$24,0),1)*$B16*ef_li_ion_akku/1000/1000/INDEX(Työkonekanta!$K$3:$K$27,MATCH($A16,Työkonekanta!$A$3:$A$24,0)),0)</f>
        <v>0</v>
      </c>
      <c r="W16" s="149">
        <f t="shared" si="7"/>
        <v>0</v>
      </c>
      <c r="X16" s="150">
        <f t="shared" si="8"/>
        <v>0</v>
      </c>
      <c r="Y16" s="151">
        <f t="shared" si="9"/>
        <v>0</v>
      </c>
      <c r="Z16" s="152">
        <f t="shared" si="20"/>
        <v>0</v>
      </c>
      <c r="AA16" s="179">
        <f t="shared" si="21"/>
        <v>0</v>
      </c>
      <c r="AB16" s="179">
        <f t="shared" si="22"/>
        <v>0</v>
      </c>
      <c r="AC16" s="180">
        <f t="shared" si="10"/>
        <v>0</v>
      </c>
      <c r="AD16" s="156">
        <f t="shared" si="23"/>
        <v>0</v>
      </c>
      <c r="AE16" s="146">
        <f>IFERROR(INDEX(Työkonekanta!$L$3:$L$30,MATCH($A16,Työkonekanta!$A$3:$A$30,0),1),0)*AF16</f>
        <v>0</v>
      </c>
      <c r="AF16" s="146">
        <f>IFERROR(INDEX(Työkonekanta!$N$3:$N$32,MATCH($A16,Työkonekanta!$A$3:$A$32,0),1),0)</f>
        <v>0</v>
      </c>
      <c r="AG16" s="332">
        <f>I16*INDEX(Muuttujat!$U$5:$U$21,MATCH($C16,Muuttujat!$N$5:$N$21,0),1)</f>
        <v>0</v>
      </c>
      <c r="AH16" s="332">
        <f>J16*INDEX(Muuttujat!$T$5:$T$21,MATCH($C16,Muuttujat!$N$5:$N$21,0),1)</f>
        <v>0</v>
      </c>
      <c r="AI16" s="332">
        <f t="shared" si="11"/>
        <v>0</v>
      </c>
      <c r="AJ16" s="332">
        <f t="shared" si="12"/>
        <v>0</v>
      </c>
      <c r="AK16" s="333">
        <f t="shared" si="24"/>
        <v>0</v>
      </c>
      <c r="AL16" s="332">
        <f t="shared" si="13"/>
        <v>0</v>
      </c>
      <c r="AM16" s="351"/>
      <c r="AN16" s="351"/>
      <c r="AO16" s="6">
        <v>2031</v>
      </c>
      <c r="AP16" s="335">
        <f t="shared" si="25"/>
        <v>0.32150746484100001</v>
      </c>
      <c r="AQ16" s="6">
        <v>0.1</v>
      </c>
    </row>
    <row r="17" spans="1:43">
      <c r="A17" s="139">
        <v>15</v>
      </c>
      <c r="B17" s="139">
        <f>IFERROR(IF((INDEX(Työkonekanta!$F$3:$F$27,MATCH('S3 Tiekartta'!$A17,Työkonekanta!$A$3:$A$24,0),1))&lt;0,0,(INDEX(Työkonekanta!$F$3:$F$27,MATCH('S3 Tiekartta'!$A17,Työkonekanta!$A$3:$A$24,0),1))),0)</f>
        <v>0</v>
      </c>
      <c r="C17" s="140">
        <v>2019</v>
      </c>
      <c r="D17" s="141" t="str">
        <f>IFERROR(INDEX(Työkonekanta!$D$3:$D$27,MATCH('S3 Tiekartta'!$A17,Työkonekanta!$A$3:$A$24,0),1),"undefined")</f>
        <v>sähkö</v>
      </c>
      <c r="E17" s="145">
        <f>IFERROR(INDEX(Työkonekanta!$G$3:$G$27,MATCH($A17,Työkonekanta!$A$3:$A$24,0),1)*INDEX(Työkonekanta!$H$3:$H$27,MATCH($A17,Työkonekanta!$A$3:$A$24,0),1)*(1+s0b_kasvu*($C17-2019))*$B17,0)</f>
        <v>0</v>
      </c>
      <c r="F17" s="145">
        <f t="shared" si="0"/>
        <v>0</v>
      </c>
      <c r="G17" s="151">
        <f t="shared" si="14"/>
        <v>0</v>
      </c>
      <c r="H17" s="145">
        <f t="shared" si="15"/>
        <v>0</v>
      </c>
      <c r="I17" s="145">
        <f t="shared" si="1"/>
        <v>0</v>
      </c>
      <c r="J17" s="145">
        <f t="shared" si="2"/>
        <v>0</v>
      </c>
      <c r="K17" s="142" t="str">
        <f t="shared" si="16"/>
        <v>kWh</v>
      </c>
      <c r="L17" s="146">
        <f>IFERROR(INDEX(Työkonekanta!$I$3:$I$27,MATCH('S3 Tiekartta'!$A17,Työkonekanta!$A$3:$A$24,0),1)*(I17+J17)*f_adblue,0)</f>
        <v>0</v>
      </c>
      <c r="M17" s="146">
        <f t="shared" si="3"/>
        <v>0</v>
      </c>
      <c r="N17" s="143" t="str">
        <f>IF(tuulisähkö_vuosi&lt;='S3 Tiekartta'!C17,"tuulisähkö",ostosähkö_nyt)</f>
        <v>jäännössähkö</v>
      </c>
      <c r="O17" s="147">
        <f>INDEX(Muuttujat!$J$5:$J$21,MATCH($C17,Muuttujat!$H$5:$H$21,0),1)</f>
        <v>69.24722222222222</v>
      </c>
      <c r="P17" s="148">
        <f t="shared" si="17"/>
        <v>1</v>
      </c>
      <c r="Q17" s="148">
        <f t="shared" si="18"/>
        <v>0</v>
      </c>
      <c r="R17" s="148">
        <f t="shared" si="19"/>
        <v>0</v>
      </c>
      <c r="S17" s="149">
        <f t="shared" si="4"/>
        <v>0</v>
      </c>
      <c r="T17" s="150">
        <f t="shared" si="5"/>
        <v>0</v>
      </c>
      <c r="U17" s="150">
        <f t="shared" si="6"/>
        <v>0</v>
      </c>
      <c r="V17" s="150">
        <f>IFERROR(INDEX(Työkonekanta!$J$3:$J$27,MATCH($A17,Työkonekanta!$A$3:$A$24,0),1)*$B17*ef_li_ion_akku/1000/1000/INDEX(Työkonekanta!$K$3:$K$27,MATCH($A17,Työkonekanta!$A$3:$A$24,0)),0)</f>
        <v>0</v>
      </c>
      <c r="W17" s="149">
        <f t="shared" si="7"/>
        <v>0</v>
      </c>
      <c r="X17" s="150">
        <f t="shared" si="8"/>
        <v>0</v>
      </c>
      <c r="Y17" s="151">
        <f t="shared" si="9"/>
        <v>0</v>
      </c>
      <c r="Z17" s="152">
        <f t="shared" si="20"/>
        <v>0</v>
      </c>
      <c r="AA17" s="179">
        <f t="shared" si="21"/>
        <v>0</v>
      </c>
      <c r="AB17" s="179">
        <f t="shared" si="22"/>
        <v>0</v>
      </c>
      <c r="AC17" s="180">
        <f t="shared" si="10"/>
        <v>0</v>
      </c>
      <c r="AD17" s="156">
        <f t="shared" si="23"/>
        <v>0</v>
      </c>
      <c r="AE17" s="146">
        <f>IFERROR(INDEX(Työkonekanta!$L$3:$L$30,MATCH($A17,Työkonekanta!$A$3:$A$30,0),1),0)*AF17</f>
        <v>0</v>
      </c>
      <c r="AF17" s="146">
        <f>IFERROR(INDEX(Työkonekanta!$N$3:$N$32,MATCH($A17,Työkonekanta!$A$3:$A$32,0),1),0)</f>
        <v>0</v>
      </c>
      <c r="AG17" s="332">
        <f>I17*INDEX(Muuttujat!$U$5:$U$21,MATCH($C17,Muuttujat!$N$5:$N$21,0),1)</f>
        <v>0</v>
      </c>
      <c r="AH17" s="332">
        <f>J17*INDEX(Muuttujat!$T$5:$T$21,MATCH($C17,Muuttujat!$N$5:$N$21,0),1)</f>
        <v>0</v>
      </c>
      <c r="AI17" s="332">
        <f t="shared" si="11"/>
        <v>0</v>
      </c>
      <c r="AJ17" s="332">
        <f t="shared" si="12"/>
        <v>0</v>
      </c>
      <c r="AK17" s="333">
        <f t="shared" si="24"/>
        <v>0</v>
      </c>
      <c r="AL17" s="332">
        <f t="shared" si="13"/>
        <v>0</v>
      </c>
      <c r="AM17" s="351"/>
      <c r="AN17" s="351"/>
      <c r="AO17" s="6">
        <v>2032</v>
      </c>
      <c r="AP17" s="335">
        <f t="shared" si="25"/>
        <v>0.41474462964489001</v>
      </c>
      <c r="AQ17" s="6">
        <v>0.1</v>
      </c>
    </row>
    <row r="18" spans="1:43">
      <c r="A18" s="139">
        <v>16</v>
      </c>
      <c r="B18" s="139">
        <f>IFERROR(IF((INDEX(Työkonekanta!$F$3:$F$27,MATCH('S3 Tiekartta'!$A18,Työkonekanta!$A$3:$A$24,0),1))&lt;0,0,(INDEX(Työkonekanta!$F$3:$F$27,MATCH('S3 Tiekartta'!$A18,Työkonekanta!$A$3:$A$24,0),1))),0)</f>
        <v>0</v>
      </c>
      <c r="C18" s="140">
        <v>2019</v>
      </c>
      <c r="D18" s="141" t="str">
        <f>IFERROR(INDEX(Työkonekanta!$D$3:$D$27,MATCH('S3 Tiekartta'!$A18,Työkonekanta!$A$3:$A$24,0),1),"undefined")</f>
        <v>sähkö</v>
      </c>
      <c r="E18" s="145">
        <f>IFERROR(INDEX(Työkonekanta!$G$3:$G$27,MATCH($A18,Työkonekanta!$A$3:$A$24,0),1)*INDEX(Työkonekanta!$H$3:$H$27,MATCH($A18,Työkonekanta!$A$3:$A$24,0),1)*(1+s0b_kasvu*($C18-2019))*$B18,0)</f>
        <v>0</v>
      </c>
      <c r="F18" s="145">
        <f t="shared" si="0"/>
        <v>0</v>
      </c>
      <c r="G18" s="151">
        <f t="shared" si="14"/>
        <v>0</v>
      </c>
      <c r="H18" s="145">
        <f t="shared" si="15"/>
        <v>0</v>
      </c>
      <c r="I18" s="145">
        <f t="shared" si="1"/>
        <v>0</v>
      </c>
      <c r="J18" s="145">
        <f t="shared" si="2"/>
        <v>0</v>
      </c>
      <c r="K18" s="142" t="str">
        <f t="shared" si="16"/>
        <v>kWh</v>
      </c>
      <c r="L18" s="146">
        <f>IFERROR(INDEX(Työkonekanta!$I$3:$I$27,MATCH('S3 Tiekartta'!$A18,Työkonekanta!$A$3:$A$24,0),1)*(I18+J18)*f_adblue,0)</f>
        <v>0</v>
      </c>
      <c r="M18" s="146">
        <f t="shared" si="3"/>
        <v>0</v>
      </c>
      <c r="N18" s="143" t="str">
        <f>IF(tuulisähkö_vuosi&lt;='S3 Tiekartta'!C18,"tuulisähkö",ostosähkö_nyt)</f>
        <v>jäännössähkö</v>
      </c>
      <c r="O18" s="147">
        <f>INDEX(Muuttujat!$J$5:$J$21,MATCH($C18,Muuttujat!$H$5:$H$21,0),1)</f>
        <v>69.24722222222222</v>
      </c>
      <c r="P18" s="148">
        <f t="shared" si="17"/>
        <v>1</v>
      </c>
      <c r="Q18" s="148">
        <f t="shared" si="18"/>
        <v>0</v>
      </c>
      <c r="R18" s="148">
        <f t="shared" si="19"/>
        <v>0</v>
      </c>
      <c r="S18" s="149">
        <f t="shared" si="4"/>
        <v>0</v>
      </c>
      <c r="T18" s="150">
        <f t="shared" si="5"/>
        <v>0</v>
      </c>
      <c r="U18" s="150">
        <f t="shared" si="6"/>
        <v>0</v>
      </c>
      <c r="V18" s="150">
        <f>IFERROR(INDEX(Työkonekanta!$J$3:$J$27,MATCH($A18,Työkonekanta!$A$3:$A$24,0),1)*$B18*ef_li_ion_akku/1000/1000/INDEX(Työkonekanta!$K$3:$K$27,MATCH($A18,Työkonekanta!$A$3:$A$24,0)),0)</f>
        <v>0</v>
      </c>
      <c r="W18" s="149">
        <f t="shared" si="7"/>
        <v>0</v>
      </c>
      <c r="X18" s="150">
        <f t="shared" si="8"/>
        <v>0</v>
      </c>
      <c r="Y18" s="151">
        <f t="shared" si="9"/>
        <v>0</v>
      </c>
      <c r="Z18" s="152">
        <f t="shared" si="20"/>
        <v>0</v>
      </c>
      <c r="AA18" s="179">
        <f t="shared" si="21"/>
        <v>0</v>
      </c>
      <c r="AB18" s="179">
        <f t="shared" si="22"/>
        <v>0</v>
      </c>
      <c r="AC18" s="180">
        <f t="shared" si="10"/>
        <v>0</v>
      </c>
      <c r="AD18" s="156">
        <f t="shared" si="23"/>
        <v>0</v>
      </c>
      <c r="AE18" s="146">
        <f>IFERROR(INDEX(Työkonekanta!$L$3:$L$30,MATCH($A18,Työkonekanta!$A$3:$A$30,0),1),0)*AF18</f>
        <v>0</v>
      </c>
      <c r="AF18" s="146">
        <f>IFERROR(INDEX(Työkonekanta!$N$3:$N$32,MATCH($A18,Työkonekanta!$A$3:$A$32,0),1),0)</f>
        <v>0</v>
      </c>
      <c r="AG18" s="332">
        <f>I18*INDEX(Muuttujat!$U$5:$U$21,MATCH($C18,Muuttujat!$N$5:$N$21,0),1)</f>
        <v>0</v>
      </c>
      <c r="AH18" s="332">
        <f>J18*INDEX(Muuttujat!$T$5:$T$21,MATCH($C18,Muuttujat!$N$5:$N$21,0),1)</f>
        <v>0</v>
      </c>
      <c r="AI18" s="332">
        <f t="shared" si="11"/>
        <v>0</v>
      </c>
      <c r="AJ18" s="332">
        <f t="shared" si="12"/>
        <v>0</v>
      </c>
      <c r="AK18" s="333">
        <f t="shared" si="24"/>
        <v>0</v>
      </c>
      <c r="AL18" s="332">
        <f t="shared" si="13"/>
        <v>0</v>
      </c>
      <c r="AM18" s="351"/>
      <c r="AN18" s="351"/>
      <c r="AO18" s="6">
        <v>2033</v>
      </c>
      <c r="AP18" s="335">
        <f t="shared" si="25"/>
        <v>0.53502057224190813</v>
      </c>
      <c r="AQ18" s="6">
        <v>0.1</v>
      </c>
    </row>
    <row r="19" spans="1:43">
      <c r="A19" s="139">
        <v>17</v>
      </c>
      <c r="B19" s="139">
        <f>IFERROR(IF((INDEX(Työkonekanta!$F$3:$F$27,MATCH('S3 Tiekartta'!$A19,Työkonekanta!$A$3:$A$24,0),1))&lt;0,0,(INDEX(Työkonekanta!$F$3:$F$27,MATCH('S3 Tiekartta'!$A19,Työkonekanta!$A$3:$A$24,0),1))),0)</f>
        <v>1</v>
      </c>
      <c r="C19" s="140">
        <v>2019</v>
      </c>
      <c r="D19" s="141" t="str">
        <f>IFERROR(INDEX(Työkonekanta!$D$3:$D$27,MATCH('S3 Tiekartta'!$A19,Työkonekanta!$A$3:$A$24,0),1),"undefined")</f>
        <v>pom</v>
      </c>
      <c r="E19" s="145">
        <f>IFERROR(INDEX(Työkonekanta!$G$3:$G$27,MATCH($A19,Työkonekanta!$A$3:$A$24,0),1)*INDEX(Työkonekanta!$H$3:$H$27,MATCH($A19,Työkonekanta!$A$3:$A$24,0),1)*(1+s0b_kasvu*($C19-2019))*$B19,0)</f>
        <v>10000</v>
      </c>
      <c r="F19" s="145">
        <f t="shared" si="0"/>
        <v>359000</v>
      </c>
      <c r="G19" s="151">
        <f t="shared" si="14"/>
        <v>359000</v>
      </c>
      <c r="H19" s="145">
        <f t="shared" si="15"/>
        <v>0</v>
      </c>
      <c r="I19" s="145">
        <f t="shared" si="1"/>
        <v>10000</v>
      </c>
      <c r="J19" s="145">
        <f t="shared" si="2"/>
        <v>0</v>
      </c>
      <c r="K19" s="142" t="str">
        <f t="shared" si="16"/>
        <v>l</v>
      </c>
      <c r="L19" s="146">
        <f>IFERROR(INDEX(Työkonekanta!$I$3:$I$27,MATCH('S3 Tiekartta'!$A19,Työkonekanta!$A$3:$A$24,0),1)*(I19+J19)*f_adblue,0)</f>
        <v>500</v>
      </c>
      <c r="M19" s="146">
        <f t="shared" si="3"/>
        <v>0</v>
      </c>
      <c r="N19" s="143" t="str">
        <f>IF(tuulisähkö_vuosi&lt;='S3 Tiekartta'!C19,"tuulisähkö",ostosähkö_nyt)</f>
        <v>jäännössähkö</v>
      </c>
      <c r="O19" s="147">
        <f>INDEX(Muuttujat!$J$5:$J$21,MATCH($C19,Muuttujat!$H$5:$H$21,0),1)</f>
        <v>69.24722222222222</v>
      </c>
      <c r="P19" s="148">
        <f t="shared" si="17"/>
        <v>1</v>
      </c>
      <c r="Q19" s="148">
        <f t="shared" si="18"/>
        <v>0</v>
      </c>
      <c r="R19" s="148">
        <f t="shared" si="19"/>
        <v>0</v>
      </c>
      <c r="S19" s="149">
        <f t="shared" si="4"/>
        <v>6.785099999999999</v>
      </c>
      <c r="T19" s="150">
        <f t="shared" si="5"/>
        <v>0</v>
      </c>
      <c r="U19" s="150">
        <f t="shared" si="6"/>
        <v>0</v>
      </c>
      <c r="V19" s="150">
        <f>IFERROR(INDEX(Työkonekanta!$J$3:$J$27,MATCH($A19,Työkonekanta!$A$3:$A$24,0),1)*$B19*ef_li_ion_akku/1000/1000/INDEX(Työkonekanta!$K$3:$K$27,MATCH($A19,Työkonekanta!$A$3:$A$24,0)),0)</f>
        <v>0</v>
      </c>
      <c r="W19" s="149">
        <f t="shared" si="7"/>
        <v>26.497163285999999</v>
      </c>
      <c r="X19" s="150">
        <f t="shared" si="8"/>
        <v>0.31774565999999999</v>
      </c>
      <c r="Y19" s="151">
        <f t="shared" si="9"/>
        <v>0.13</v>
      </c>
      <c r="Z19" s="152">
        <f t="shared" si="20"/>
        <v>6.785099999999999</v>
      </c>
      <c r="AA19" s="179">
        <f t="shared" si="21"/>
        <v>26.627163285999998</v>
      </c>
      <c r="AB19" s="179">
        <f t="shared" si="22"/>
        <v>26.944908945999998</v>
      </c>
      <c r="AC19" s="180">
        <f t="shared" si="10"/>
        <v>33.412263285999998</v>
      </c>
      <c r="AD19" s="156">
        <f t="shared" si="23"/>
        <v>33.730008945999998</v>
      </c>
      <c r="AE19" s="146">
        <f>IFERROR(INDEX(Työkonekanta!$L$3:$L$30,MATCH($A19,Työkonekanta!$A$3:$A$30,0),1),0)*AF19</f>
        <v>500000</v>
      </c>
      <c r="AF19" s="146">
        <f>IFERROR(INDEX(Työkonekanta!$N$3:$N$32,MATCH($A19,Työkonekanta!$A$3:$A$32,0),1),0)</f>
        <v>1</v>
      </c>
      <c r="AG19" s="332">
        <f>I19*INDEX(Muuttujat!$U$5:$U$21,MATCH($C19,Muuttujat!$N$5:$N$21,0),1)</f>
        <v>9700</v>
      </c>
      <c r="AH19" s="332">
        <f>J19*INDEX(Muuttujat!$T$5:$T$21,MATCH($C19,Muuttujat!$N$5:$N$21,0),1)</f>
        <v>0</v>
      </c>
      <c r="AI19" s="332">
        <f t="shared" si="11"/>
        <v>250</v>
      </c>
      <c r="AJ19" s="332">
        <f t="shared" si="12"/>
        <v>0</v>
      </c>
      <c r="AK19" s="333">
        <f t="shared" si="24"/>
        <v>9950</v>
      </c>
      <c r="AL19" s="332">
        <f t="shared" si="13"/>
        <v>9950</v>
      </c>
      <c r="AM19" s="351"/>
      <c r="AN19" s="351"/>
      <c r="AO19" s="6">
        <v>2034</v>
      </c>
      <c r="AP19" s="335">
        <f t="shared" si="25"/>
        <v>0.69017653819206148</v>
      </c>
      <c r="AQ19" s="6">
        <v>0.1</v>
      </c>
    </row>
    <row r="20" spans="1:43">
      <c r="A20" s="139">
        <v>18</v>
      </c>
      <c r="B20" s="139">
        <f>IFERROR(IF((INDEX(Työkonekanta!$F$3:$F$27,MATCH('S3 Tiekartta'!$A20,Työkonekanta!$A$3:$A$24,0),1))&lt;0,0,(INDEX(Työkonekanta!$F$3:$F$27,MATCH('S3 Tiekartta'!$A20,Työkonekanta!$A$3:$A$24,0),1))),0)</f>
        <v>1</v>
      </c>
      <c r="C20" s="140">
        <v>2019</v>
      </c>
      <c r="D20" s="141" t="str">
        <f>IFERROR(INDEX(Työkonekanta!$D$3:$D$27,MATCH('S3 Tiekartta'!$A20,Työkonekanta!$A$3:$A$24,0),1),"undefined")</f>
        <v>pom</v>
      </c>
      <c r="E20" s="145">
        <f>IFERROR(INDEX(Työkonekanta!$G$3:$G$27,MATCH($A20,Työkonekanta!$A$3:$A$24,0),1)*INDEX(Työkonekanta!$H$3:$H$27,MATCH($A20,Työkonekanta!$A$3:$A$24,0),1)*(1+s0b_kasvu*($C20-2019))*$B20,0)</f>
        <v>10000</v>
      </c>
      <c r="F20" s="145">
        <f t="shared" si="0"/>
        <v>359000</v>
      </c>
      <c r="G20" s="151">
        <f t="shared" si="14"/>
        <v>359000</v>
      </c>
      <c r="H20" s="145">
        <f t="shared" si="15"/>
        <v>0</v>
      </c>
      <c r="I20" s="145">
        <f t="shared" si="1"/>
        <v>10000</v>
      </c>
      <c r="J20" s="145">
        <f t="shared" si="2"/>
        <v>0</v>
      </c>
      <c r="K20" s="142" t="str">
        <f t="shared" si="16"/>
        <v>l</v>
      </c>
      <c r="L20" s="146">
        <f>IFERROR(INDEX(Työkonekanta!$I$3:$I$27,MATCH('S3 Tiekartta'!$A20,Työkonekanta!$A$3:$A$24,0),1)*(I20+J20)*f_adblue,0)</f>
        <v>400</v>
      </c>
      <c r="M20" s="146">
        <f t="shared" si="3"/>
        <v>0</v>
      </c>
      <c r="N20" s="143" t="str">
        <f>IF(tuulisähkö_vuosi&lt;='S3 Tiekartta'!C20,"tuulisähkö",ostosähkö_nyt)</f>
        <v>jäännössähkö</v>
      </c>
      <c r="O20" s="147">
        <f>INDEX(Muuttujat!$J$5:$J$21,MATCH($C20,Muuttujat!$H$5:$H$21,0),1)</f>
        <v>69.24722222222222</v>
      </c>
      <c r="P20" s="148">
        <f t="shared" si="17"/>
        <v>1</v>
      </c>
      <c r="Q20" s="148">
        <f t="shared" si="18"/>
        <v>0</v>
      </c>
      <c r="R20" s="148">
        <f t="shared" si="19"/>
        <v>0</v>
      </c>
      <c r="S20" s="149">
        <f t="shared" si="4"/>
        <v>6.785099999999999</v>
      </c>
      <c r="T20" s="150">
        <f t="shared" si="5"/>
        <v>0</v>
      </c>
      <c r="U20" s="150">
        <f t="shared" si="6"/>
        <v>0</v>
      </c>
      <c r="V20" s="150">
        <f>IFERROR(INDEX(Työkonekanta!$J$3:$J$27,MATCH($A20,Työkonekanta!$A$3:$A$24,0),1)*$B20*ef_li_ion_akku/1000/1000/INDEX(Työkonekanta!$K$3:$K$27,MATCH($A20,Työkonekanta!$A$3:$A$24,0)),0)</f>
        <v>0</v>
      </c>
      <c r="W20" s="149">
        <f t="shared" si="7"/>
        <v>26.497163285999999</v>
      </c>
      <c r="X20" s="150">
        <f t="shared" si="8"/>
        <v>0.31774565999999999</v>
      </c>
      <c r="Y20" s="151">
        <f t="shared" si="9"/>
        <v>0.104</v>
      </c>
      <c r="Z20" s="152">
        <f t="shared" si="20"/>
        <v>6.785099999999999</v>
      </c>
      <c r="AA20" s="179">
        <f t="shared" si="21"/>
        <v>26.601163285999998</v>
      </c>
      <c r="AB20" s="179">
        <f t="shared" si="22"/>
        <v>26.918908945999998</v>
      </c>
      <c r="AC20" s="180">
        <f t="shared" si="10"/>
        <v>33.386263285999995</v>
      </c>
      <c r="AD20" s="156">
        <f t="shared" si="23"/>
        <v>33.704008945999995</v>
      </c>
      <c r="AE20" s="146">
        <f>IFERROR(INDEX(Työkonekanta!$L$3:$L$30,MATCH($A20,Työkonekanta!$A$3:$A$30,0),1),0)*AF20</f>
        <v>500000</v>
      </c>
      <c r="AF20" s="146">
        <f>IFERROR(INDEX(Työkonekanta!$N$3:$N$32,MATCH($A20,Työkonekanta!$A$3:$A$32,0),1),0)</f>
        <v>1</v>
      </c>
      <c r="AG20" s="332">
        <f>I20*INDEX(Muuttujat!$U$5:$U$21,MATCH($C20,Muuttujat!$N$5:$N$21,0),1)</f>
        <v>9700</v>
      </c>
      <c r="AH20" s="332">
        <f>J20*INDEX(Muuttujat!$T$5:$T$21,MATCH($C20,Muuttujat!$N$5:$N$21,0),1)</f>
        <v>0</v>
      </c>
      <c r="AI20" s="332">
        <f t="shared" si="11"/>
        <v>200</v>
      </c>
      <c r="AJ20" s="332">
        <f t="shared" si="12"/>
        <v>0</v>
      </c>
      <c r="AK20" s="333">
        <f t="shared" si="24"/>
        <v>9900</v>
      </c>
      <c r="AL20" s="332">
        <f t="shared" si="13"/>
        <v>9900</v>
      </c>
      <c r="AM20" s="351"/>
      <c r="AN20" s="351"/>
      <c r="AO20" s="6">
        <v>2035</v>
      </c>
      <c r="AP20" s="335">
        <f t="shared" si="25"/>
        <v>0.89032773426775935</v>
      </c>
      <c r="AQ20" s="6">
        <v>0.1</v>
      </c>
    </row>
    <row r="21" spans="1:43">
      <c r="A21" s="139">
        <v>19</v>
      </c>
      <c r="B21" s="139">
        <f>IFERROR(IF((INDEX(Työkonekanta!$F$3:$F$27,MATCH('S3 Tiekartta'!$A21,Työkonekanta!$A$3:$A$24,0),1))&lt;0,0,(INDEX(Työkonekanta!$F$3:$F$27,MATCH('S3 Tiekartta'!$A21,Työkonekanta!$A$3:$A$24,0),1))),0)</f>
        <v>0</v>
      </c>
      <c r="C21" s="140">
        <v>2019</v>
      </c>
      <c r="D21" s="141" t="str">
        <f>IFERROR(INDEX(Työkonekanta!$D$3:$D$27,MATCH('S3 Tiekartta'!$A21,Työkonekanta!$A$3:$A$24,0),1),"undefined")</f>
        <v>pom</v>
      </c>
      <c r="E21" s="145">
        <f>IFERROR(INDEX(Työkonekanta!$G$3:$G$27,MATCH($A21,Työkonekanta!$A$3:$A$24,0),1)*INDEX(Työkonekanta!$H$3:$H$27,MATCH($A21,Työkonekanta!$A$3:$A$24,0),1)*(1+s0b_kasvu*($C21-2019))*$B21,0)</f>
        <v>0</v>
      </c>
      <c r="F21" s="145">
        <f t="shared" si="0"/>
        <v>0</v>
      </c>
      <c r="G21" s="151">
        <f t="shared" si="14"/>
        <v>0</v>
      </c>
      <c r="H21" s="145">
        <f t="shared" si="15"/>
        <v>0</v>
      </c>
      <c r="I21" s="145">
        <f t="shared" si="1"/>
        <v>0</v>
      </c>
      <c r="J21" s="145">
        <f t="shared" si="2"/>
        <v>0</v>
      </c>
      <c r="K21" s="142" t="str">
        <f t="shared" si="16"/>
        <v>l</v>
      </c>
      <c r="L21" s="146">
        <f>IFERROR(INDEX(Työkonekanta!$I$3:$I$27,MATCH('S3 Tiekartta'!$A21,Työkonekanta!$A$3:$A$24,0),1)*(I21+J21)*f_adblue,0)</f>
        <v>0</v>
      </c>
      <c r="M21" s="146">
        <f t="shared" si="3"/>
        <v>0</v>
      </c>
      <c r="N21" s="143" t="str">
        <f>IF(tuulisähkö_vuosi&lt;='S3 Tiekartta'!C21,"tuulisähkö",ostosähkö_nyt)</f>
        <v>jäännössähkö</v>
      </c>
      <c r="O21" s="147">
        <f>INDEX(Muuttujat!$J$5:$J$21,MATCH($C21,Muuttujat!$H$5:$H$21,0),1)</f>
        <v>69.24722222222222</v>
      </c>
      <c r="P21" s="148">
        <f t="shared" si="17"/>
        <v>1</v>
      </c>
      <c r="Q21" s="148">
        <f t="shared" si="18"/>
        <v>0</v>
      </c>
      <c r="R21" s="148">
        <f t="shared" si="19"/>
        <v>0</v>
      </c>
      <c r="S21" s="149">
        <f t="shared" si="4"/>
        <v>0</v>
      </c>
      <c r="T21" s="150">
        <f t="shared" si="5"/>
        <v>0</v>
      </c>
      <c r="U21" s="150">
        <f t="shared" si="6"/>
        <v>0</v>
      </c>
      <c r="V21" s="150">
        <f>IFERROR(INDEX(Työkonekanta!$J$3:$J$27,MATCH($A21,Työkonekanta!$A$3:$A$24,0),1)*$B21*ef_li_ion_akku/1000/1000/INDEX(Työkonekanta!$K$3:$K$27,MATCH($A21,Työkonekanta!$A$3:$A$24,0)),0)</f>
        <v>0</v>
      </c>
      <c r="W21" s="149">
        <f t="shared" si="7"/>
        <v>0</v>
      </c>
      <c r="X21" s="150">
        <f t="shared" si="8"/>
        <v>0</v>
      </c>
      <c r="Y21" s="151">
        <f t="shared" si="9"/>
        <v>0</v>
      </c>
      <c r="Z21" s="152">
        <f t="shared" si="20"/>
        <v>0</v>
      </c>
      <c r="AA21" s="179">
        <f t="shared" si="21"/>
        <v>0</v>
      </c>
      <c r="AB21" s="179">
        <f t="shared" si="22"/>
        <v>0</v>
      </c>
      <c r="AC21" s="180">
        <f t="shared" si="10"/>
        <v>0</v>
      </c>
      <c r="AD21" s="156">
        <f t="shared" si="23"/>
        <v>0</v>
      </c>
      <c r="AE21" s="146">
        <f>IFERROR(INDEX(Työkonekanta!$L$3:$L$30,MATCH($A21,Työkonekanta!$A$3:$A$30,0),1),0)*AF21</f>
        <v>0</v>
      </c>
      <c r="AF21" s="146">
        <f>IFERROR(INDEX(Työkonekanta!$N$3:$N$32,MATCH($A21,Työkonekanta!$A$3:$A$32,0),1),0)</f>
        <v>0</v>
      </c>
      <c r="AG21" s="332">
        <f>I21*INDEX(Muuttujat!$U$5:$U$21,MATCH($C21,Muuttujat!$N$5:$N$21,0),1)</f>
        <v>0</v>
      </c>
      <c r="AH21" s="332">
        <f>J21*INDEX(Muuttujat!$T$5:$T$21,MATCH($C21,Muuttujat!$N$5:$N$21,0),1)</f>
        <v>0</v>
      </c>
      <c r="AI21" s="332">
        <f t="shared" si="11"/>
        <v>0</v>
      </c>
      <c r="AJ21" s="332">
        <f t="shared" si="12"/>
        <v>0</v>
      </c>
      <c r="AK21" s="333">
        <f t="shared" si="24"/>
        <v>0</v>
      </c>
      <c r="AL21" s="332">
        <f t="shared" si="13"/>
        <v>0</v>
      </c>
      <c r="AM21" s="351"/>
      <c r="AN21" s="351"/>
    </row>
    <row r="22" spans="1:43">
      <c r="A22" s="139">
        <v>20</v>
      </c>
      <c r="B22" s="139">
        <f>IFERROR(IF((INDEX(Työkonekanta!$F$3:$F$27,MATCH('S3 Tiekartta'!$A22,Työkonekanta!$A$3:$A$24,0),1))&lt;0,0,(INDEX(Työkonekanta!$F$3:$F$27,MATCH('S3 Tiekartta'!$A22,Työkonekanta!$A$3:$A$24,0),1))),0)</f>
        <v>0</v>
      </c>
      <c r="C22" s="140">
        <v>2019</v>
      </c>
      <c r="D22" s="141" t="str">
        <f>IFERROR(INDEX(Työkonekanta!$D$3:$D$27,MATCH('S3 Tiekartta'!$A22,Työkonekanta!$A$3:$A$24,0),1),"undefined")</f>
        <v>pom</v>
      </c>
      <c r="E22" s="145">
        <f>IFERROR(INDEX(Työkonekanta!$G$3:$G$27,MATCH($A22,Työkonekanta!$A$3:$A$24,0),1)*INDEX(Työkonekanta!$H$3:$H$27,MATCH($A22,Työkonekanta!$A$3:$A$24,0),1)*(1+s0b_kasvu*($C22-2019))*$B22,0)</f>
        <v>0</v>
      </c>
      <c r="F22" s="145">
        <f t="shared" si="0"/>
        <v>0</v>
      </c>
      <c r="G22" s="151">
        <f t="shared" si="14"/>
        <v>0</v>
      </c>
      <c r="H22" s="145">
        <f t="shared" si="15"/>
        <v>0</v>
      </c>
      <c r="I22" s="145">
        <f t="shared" si="1"/>
        <v>0</v>
      </c>
      <c r="J22" s="145">
        <f t="shared" si="2"/>
        <v>0</v>
      </c>
      <c r="K22" s="142" t="str">
        <f t="shared" si="16"/>
        <v>l</v>
      </c>
      <c r="L22" s="146">
        <f>IFERROR(INDEX(Työkonekanta!$I$3:$I$27,MATCH('S3 Tiekartta'!$A22,Työkonekanta!$A$3:$A$24,0),1)*(I22+J22)*f_adblue,0)</f>
        <v>0</v>
      </c>
      <c r="M22" s="146">
        <f t="shared" si="3"/>
        <v>0</v>
      </c>
      <c r="N22" s="143" t="str">
        <f>IF(tuulisähkö_vuosi&lt;='S3 Tiekartta'!C22,"tuulisähkö",ostosähkö_nyt)</f>
        <v>jäännössähkö</v>
      </c>
      <c r="O22" s="147">
        <f>INDEX(Muuttujat!$J$5:$J$21,MATCH($C22,Muuttujat!$H$5:$H$21,0),1)</f>
        <v>69.24722222222222</v>
      </c>
      <c r="P22" s="148">
        <f t="shared" si="17"/>
        <v>1</v>
      </c>
      <c r="Q22" s="148">
        <f t="shared" si="18"/>
        <v>0</v>
      </c>
      <c r="R22" s="148">
        <f t="shared" si="19"/>
        <v>0</v>
      </c>
      <c r="S22" s="149">
        <f t="shared" si="4"/>
        <v>0</v>
      </c>
      <c r="T22" s="150">
        <f t="shared" si="5"/>
        <v>0</v>
      </c>
      <c r="U22" s="150">
        <f t="shared" si="6"/>
        <v>0</v>
      </c>
      <c r="V22" s="150">
        <f>IFERROR(INDEX(Työkonekanta!$J$3:$J$27,MATCH($A22,Työkonekanta!$A$3:$A$24,0),1)*$B22*ef_li_ion_akku/1000/1000/INDEX(Työkonekanta!$K$3:$K$27,MATCH($A22,Työkonekanta!$A$3:$A$24,0)),0)</f>
        <v>0</v>
      </c>
      <c r="W22" s="149">
        <f t="shared" si="7"/>
        <v>0</v>
      </c>
      <c r="X22" s="150">
        <f t="shared" si="8"/>
        <v>0</v>
      </c>
      <c r="Y22" s="151">
        <f t="shared" si="9"/>
        <v>0</v>
      </c>
      <c r="Z22" s="152">
        <f t="shared" si="20"/>
        <v>0</v>
      </c>
      <c r="AA22" s="179">
        <f t="shared" si="21"/>
        <v>0</v>
      </c>
      <c r="AB22" s="179">
        <f t="shared" si="22"/>
        <v>0</v>
      </c>
      <c r="AC22" s="180">
        <f t="shared" si="10"/>
        <v>0</v>
      </c>
      <c r="AD22" s="156">
        <f t="shared" si="23"/>
        <v>0</v>
      </c>
      <c r="AE22" s="146">
        <f>IFERROR(INDEX(Työkonekanta!$L$3:$L$30,MATCH($A22,Työkonekanta!$A$3:$A$30,0),1),0)*AF22</f>
        <v>0</v>
      </c>
      <c r="AF22" s="146">
        <f>IFERROR(INDEX(Työkonekanta!$N$3:$N$32,MATCH($A22,Työkonekanta!$A$3:$A$32,0),1),0)</f>
        <v>0</v>
      </c>
      <c r="AG22" s="332">
        <f>I22*INDEX(Muuttujat!$U$5:$U$21,MATCH($C22,Muuttujat!$N$5:$N$21,0),1)</f>
        <v>0</v>
      </c>
      <c r="AH22" s="332">
        <f>J22*INDEX(Muuttujat!$T$5:$T$21,MATCH($C22,Muuttujat!$N$5:$N$21,0),1)</f>
        <v>0</v>
      </c>
      <c r="AI22" s="332">
        <f t="shared" si="11"/>
        <v>0</v>
      </c>
      <c r="AJ22" s="332">
        <f t="shared" si="12"/>
        <v>0</v>
      </c>
      <c r="AK22" s="333">
        <f t="shared" si="24"/>
        <v>0</v>
      </c>
      <c r="AL22" s="332">
        <f t="shared" si="13"/>
        <v>0</v>
      </c>
      <c r="AM22" s="351"/>
      <c r="AN22" s="351"/>
    </row>
    <row r="23" spans="1:43">
      <c r="A23" s="139">
        <v>21</v>
      </c>
      <c r="B23" s="139">
        <f>IFERROR(IF((INDEX(Työkonekanta!$F$3:$F$27,MATCH('S3 Tiekartta'!$A23,Työkonekanta!$A$3:$A$24,0),1))&lt;0,0,(INDEX(Työkonekanta!$F$3:$F$27,MATCH('S3 Tiekartta'!$A23,Työkonekanta!$A$3:$A$24,0),1))),0)</f>
        <v>35</v>
      </c>
      <c r="C23" s="140">
        <v>2019</v>
      </c>
      <c r="D23" s="141" t="str">
        <f>IFERROR(INDEX(Työkonekanta!$D$3:$D$27,MATCH('S3 Tiekartta'!$A23,Työkonekanta!$A$3:$A$24,0),1),"undefined")</f>
        <v>sähkö</v>
      </c>
      <c r="E23" s="145">
        <f>IFERROR(INDEX(Työkonekanta!$G$3:$G$27,MATCH($A23,Työkonekanta!$A$3:$A$24,0),1)*INDEX(Työkonekanta!$H$3:$H$27,MATCH($A23,Työkonekanta!$A$3:$A$24,0),1)*(1+s0b_kasvu*($C23-2019))*$B23,0)</f>
        <v>407199.07407407404</v>
      </c>
      <c r="F23" s="145">
        <f t="shared" si="0"/>
        <v>0</v>
      </c>
      <c r="G23" s="151">
        <f t="shared" si="14"/>
        <v>0</v>
      </c>
      <c r="H23" s="145">
        <f t="shared" si="15"/>
        <v>0</v>
      </c>
      <c r="I23" s="145">
        <f t="shared" si="1"/>
        <v>0</v>
      </c>
      <c r="J23" s="145">
        <f t="shared" si="2"/>
        <v>0</v>
      </c>
      <c r="K23" s="142" t="str">
        <f t="shared" si="16"/>
        <v>kWh</v>
      </c>
      <c r="L23" s="146">
        <f>IFERROR(INDEX(Työkonekanta!$I$3:$I$27,MATCH('S3 Tiekartta'!$A23,Työkonekanta!$A$3:$A$24,0),1)*(I23+J23)*f_adblue,0)</f>
        <v>0</v>
      </c>
      <c r="M23" s="146">
        <f t="shared" si="3"/>
        <v>1465916.6666666665</v>
      </c>
      <c r="N23" s="143" t="str">
        <f>IF(tuulisähkö_vuosi&lt;='S3 Tiekartta'!C23,"tuulisähkö",ostosähkö_nyt)</f>
        <v>jäännössähkö</v>
      </c>
      <c r="O23" s="147">
        <f>INDEX(Muuttujat!$J$5:$J$21,MATCH($C23,Muuttujat!$H$5:$H$21,0),1)</f>
        <v>69.24722222222222</v>
      </c>
      <c r="P23" s="148">
        <f t="shared" si="17"/>
        <v>1</v>
      </c>
      <c r="Q23" s="148">
        <f t="shared" si="18"/>
        <v>0</v>
      </c>
      <c r="R23" s="148">
        <f t="shared" si="19"/>
        <v>0</v>
      </c>
      <c r="S23" s="149">
        <f t="shared" si="4"/>
        <v>0</v>
      </c>
      <c r="T23" s="150">
        <f t="shared" si="5"/>
        <v>0</v>
      </c>
      <c r="U23" s="150">
        <f t="shared" si="6"/>
        <v>101.51065717592591</v>
      </c>
      <c r="V23" s="150">
        <f>IFERROR(INDEX(Työkonekanta!$J$3:$J$27,MATCH($A23,Työkonekanta!$A$3:$A$24,0),1)*$B23*ef_li_ion_akku/1000/1000/INDEX(Työkonekanta!$K$3:$K$27,MATCH($A23,Työkonekanta!$A$3:$A$24,0)),0)</f>
        <v>43.121723076923082</v>
      </c>
      <c r="W23" s="149">
        <f t="shared" si="7"/>
        <v>0</v>
      </c>
      <c r="X23" s="150">
        <f t="shared" si="8"/>
        <v>0</v>
      </c>
      <c r="Y23" s="151">
        <f t="shared" si="9"/>
        <v>0</v>
      </c>
      <c r="Z23" s="152">
        <f t="shared" si="20"/>
        <v>144.632380252849</v>
      </c>
      <c r="AA23" s="179">
        <f t="shared" si="21"/>
        <v>0</v>
      </c>
      <c r="AB23" s="179">
        <f t="shared" si="22"/>
        <v>0</v>
      </c>
      <c r="AC23" s="180">
        <f t="shared" si="10"/>
        <v>144.632380252849</v>
      </c>
      <c r="AD23" s="156">
        <f t="shared" si="23"/>
        <v>144.632380252849</v>
      </c>
      <c r="AE23" s="146">
        <f>IFERROR(INDEX(Työkonekanta!$L$3:$L$30,MATCH($A23,Työkonekanta!$A$3:$A$30,0),1),0)*AF23</f>
        <v>1820000</v>
      </c>
      <c r="AF23" s="146">
        <f>IFERROR(INDEX(Työkonekanta!$N$3:$N$32,MATCH($A23,Työkonekanta!$A$3:$A$32,0),1),0)</f>
        <v>7</v>
      </c>
      <c r="AG23" s="332">
        <f>I23*INDEX(Muuttujat!$U$5:$U$21,MATCH($C23,Muuttujat!$N$5:$N$21,0),1)</f>
        <v>0</v>
      </c>
      <c r="AH23" s="332">
        <f>J23*INDEX(Muuttujat!$T$5:$T$21,MATCH($C23,Muuttujat!$N$5:$N$21,0),1)</f>
        <v>0</v>
      </c>
      <c r="AI23" s="332">
        <f t="shared" si="11"/>
        <v>0</v>
      </c>
      <c r="AJ23" s="332">
        <f t="shared" si="12"/>
        <v>36037.118055555555</v>
      </c>
      <c r="AK23" s="333">
        <f t="shared" si="24"/>
        <v>36037.118055555555</v>
      </c>
      <c r="AL23" s="332">
        <f t="shared" si="13"/>
        <v>1029.6319444444443</v>
      </c>
      <c r="AM23" s="351"/>
      <c r="AN23" s="351"/>
    </row>
    <row r="24" spans="1:43">
      <c r="A24" s="139">
        <v>22</v>
      </c>
      <c r="B24" s="139">
        <f>IFERROR(IF((INDEX(Työkonekanta!$F$3:$F$27,MATCH('S3 Tiekartta'!$A24,Työkonekanta!$A$3:$A$24,0),1))&lt;0,0,(INDEX(Työkonekanta!$F$3:$F$27,MATCH('S3 Tiekartta'!$A24,Työkonekanta!$A$3:$A$24,0),1))),0)</f>
        <v>0</v>
      </c>
      <c r="C24" s="140">
        <v>2019</v>
      </c>
      <c r="D24" s="141" t="str">
        <f>IFERROR(INDEX(Työkonekanta!$D$3:$D$27,MATCH('S3 Tiekartta'!$A24,Työkonekanta!$A$3:$A$24,0),1),"undefined")</f>
        <v>sähkö</v>
      </c>
      <c r="E24" s="145">
        <f>IFERROR(INDEX(Työkonekanta!$G$3:$G$27,MATCH($A24,Työkonekanta!$A$3:$A$24,0),1)*INDEX(Työkonekanta!$H$3:$H$27,MATCH($A24,Työkonekanta!$A$3:$A$24,0),1)*(1+s0b_kasvu*($C24-2019))*$B24,0)</f>
        <v>0</v>
      </c>
      <c r="F24" s="145">
        <f t="shared" si="0"/>
        <v>0</v>
      </c>
      <c r="G24" s="151">
        <f t="shared" si="14"/>
        <v>0</v>
      </c>
      <c r="H24" s="145">
        <f t="shared" si="15"/>
        <v>0</v>
      </c>
      <c r="I24" s="145">
        <f t="shared" si="1"/>
        <v>0</v>
      </c>
      <c r="J24" s="145">
        <f t="shared" si="2"/>
        <v>0</v>
      </c>
      <c r="K24" s="142" t="str">
        <f t="shared" si="16"/>
        <v>kWh</v>
      </c>
      <c r="L24" s="146">
        <f>IFERROR(INDEX(Työkonekanta!$I$3:$I$27,MATCH('S3 Tiekartta'!$A24,Työkonekanta!$A$3:$A$24,0),1)*(I24+J24)*f_adblue,0)</f>
        <v>0</v>
      </c>
      <c r="M24" s="146">
        <f t="shared" si="3"/>
        <v>0</v>
      </c>
      <c r="N24" s="143" t="str">
        <f>IF(tuulisähkö_vuosi&lt;='S3 Tiekartta'!C24,"tuulisähkö",ostosähkö_nyt)</f>
        <v>jäännössähkö</v>
      </c>
      <c r="O24" s="147">
        <f>INDEX(Muuttujat!$J$5:$J$21,MATCH($C24,Muuttujat!$H$5:$H$21,0),1)</f>
        <v>69.24722222222222</v>
      </c>
      <c r="P24" s="148">
        <f t="shared" si="17"/>
        <v>1</v>
      </c>
      <c r="Q24" s="148">
        <f t="shared" si="18"/>
        <v>0</v>
      </c>
      <c r="R24" s="148">
        <f t="shared" si="19"/>
        <v>0</v>
      </c>
      <c r="S24" s="149">
        <f t="shared" si="4"/>
        <v>0</v>
      </c>
      <c r="T24" s="150">
        <f t="shared" si="5"/>
        <v>0</v>
      </c>
      <c r="U24" s="150">
        <f t="shared" si="6"/>
        <v>0</v>
      </c>
      <c r="V24" s="150">
        <f>IFERROR(INDEX(Työkonekanta!$J$3:$J$27,MATCH($A24,Työkonekanta!$A$3:$A$24,0),1)*$B24*ef_li_ion_akku/1000/1000/INDEX(Työkonekanta!$K$3:$K$27,MATCH($A24,Työkonekanta!$A$3:$A$24,0)),0)</f>
        <v>0</v>
      </c>
      <c r="W24" s="149">
        <f t="shared" si="7"/>
        <v>0</v>
      </c>
      <c r="X24" s="150">
        <f t="shared" si="8"/>
        <v>0</v>
      </c>
      <c r="Y24" s="151">
        <f t="shared" si="9"/>
        <v>0</v>
      </c>
      <c r="Z24" s="152">
        <f t="shared" si="20"/>
        <v>0</v>
      </c>
      <c r="AA24" s="179">
        <f t="shared" si="21"/>
        <v>0</v>
      </c>
      <c r="AB24" s="179">
        <f t="shared" si="22"/>
        <v>0</v>
      </c>
      <c r="AC24" s="180">
        <f t="shared" si="10"/>
        <v>0</v>
      </c>
      <c r="AD24" s="156">
        <f t="shared" si="23"/>
        <v>0</v>
      </c>
      <c r="AE24" s="146">
        <f>IFERROR(INDEX(Työkonekanta!$L$3:$L$30,MATCH($A24,Työkonekanta!$A$3:$A$30,0),1),0)*AF24</f>
        <v>0</v>
      </c>
      <c r="AF24" s="146">
        <f>IFERROR(INDEX(Työkonekanta!$N$3:$N$32,MATCH($A24,Työkonekanta!$A$3:$A$32,0),1),0)</f>
        <v>0</v>
      </c>
      <c r="AG24" s="332">
        <f>I24*INDEX(Muuttujat!$U$5:$U$21,MATCH($C24,Muuttujat!$N$5:$N$21,0),1)</f>
        <v>0</v>
      </c>
      <c r="AH24" s="332">
        <f>J24*INDEX(Muuttujat!$T$5:$T$21,MATCH($C24,Muuttujat!$N$5:$N$21,0),1)</f>
        <v>0</v>
      </c>
      <c r="AI24" s="332">
        <f t="shared" si="11"/>
        <v>0</v>
      </c>
      <c r="AJ24" s="332">
        <f t="shared" si="12"/>
        <v>0</v>
      </c>
      <c r="AK24" s="333">
        <f t="shared" si="24"/>
        <v>0</v>
      </c>
      <c r="AL24" s="332">
        <f t="shared" si="13"/>
        <v>0</v>
      </c>
      <c r="AM24" s="351"/>
      <c r="AN24" s="351"/>
    </row>
    <row r="25" spans="1:43">
      <c r="A25" s="139">
        <v>23</v>
      </c>
      <c r="B25" s="139">
        <f>IFERROR(IF((INDEX(Työkonekanta!$F$3:$F$27,MATCH('S3 Tiekartta'!$A25,Työkonekanta!$A$3:$A$24,0),1))&lt;0,0,(INDEX(Työkonekanta!$F$3:$F$27,MATCH('S3 Tiekartta'!$A25,Työkonekanta!$A$3:$A$24,0),1))),0)</f>
        <v>0</v>
      </c>
      <c r="C25" s="140">
        <v>2019</v>
      </c>
      <c r="D25" s="141" t="str">
        <f>IFERROR(INDEX(Työkonekanta!$D$3:$D$27,MATCH('S3 Tiekartta'!$A25,Työkonekanta!$A$3:$A$24,0),1),"undefined")</f>
        <v>undefined</v>
      </c>
      <c r="E25" s="145">
        <f>IFERROR(INDEX(Työkonekanta!$G$3:$G$27,MATCH($A25,Työkonekanta!$A$3:$A$24,0),1)*INDEX(Työkonekanta!$H$3:$H$27,MATCH($A25,Työkonekanta!$A$3:$A$24,0),1)*(1+s0b_kasvu*($C25-2019))*$B25,0)</f>
        <v>0</v>
      </c>
      <c r="F25" s="145">
        <f t="shared" si="0"/>
        <v>0</v>
      </c>
      <c r="G25" s="151">
        <f t="shared" si="14"/>
        <v>0</v>
      </c>
      <c r="H25" s="145">
        <f t="shared" si="15"/>
        <v>0</v>
      </c>
      <c r="I25" s="145">
        <f t="shared" si="1"/>
        <v>0</v>
      </c>
      <c r="J25" s="145">
        <f t="shared" si="2"/>
        <v>0</v>
      </c>
      <c r="K25" s="142" t="str">
        <f t="shared" si="16"/>
        <v>undefined</v>
      </c>
      <c r="L25" s="146">
        <f>IFERROR(INDEX(Työkonekanta!$I$3:$I$27,MATCH('S3 Tiekartta'!$A25,Työkonekanta!$A$3:$A$24,0),1)*(I25+J25)*f_adblue,0)</f>
        <v>0</v>
      </c>
      <c r="M25" s="146">
        <f t="shared" si="3"/>
        <v>0</v>
      </c>
      <c r="N25" s="143" t="str">
        <f>IF(tuulisähkö_vuosi&lt;='S3 Tiekartta'!C25,"tuulisähkö",ostosähkö_nyt)</f>
        <v>jäännössähkö</v>
      </c>
      <c r="O25" s="147">
        <f>INDEX(Muuttujat!$J$5:$J$21,MATCH($C25,Muuttujat!$H$5:$H$21,0),1)</f>
        <v>69.24722222222222</v>
      </c>
      <c r="P25" s="148">
        <f t="shared" si="17"/>
        <v>1</v>
      </c>
      <c r="Q25" s="148">
        <f t="shared" si="18"/>
        <v>0</v>
      </c>
      <c r="R25" s="148">
        <f t="shared" si="19"/>
        <v>0</v>
      </c>
      <c r="S25" s="149">
        <f t="shared" si="4"/>
        <v>0</v>
      </c>
      <c r="T25" s="150">
        <f t="shared" si="5"/>
        <v>0</v>
      </c>
      <c r="U25" s="150">
        <f t="shared" si="6"/>
        <v>0</v>
      </c>
      <c r="V25" s="150">
        <f>IFERROR(INDEX(Työkonekanta!$J$3:$J$27,MATCH($A25,Työkonekanta!$A$3:$A$24,0),1)*$B25*ef_li_ion_akku/1000/1000/INDEX(Työkonekanta!$K$3:$K$27,MATCH($A25,Työkonekanta!$A$3:$A$24,0)),0)</f>
        <v>0</v>
      </c>
      <c r="W25" s="149">
        <f t="shared" si="7"/>
        <v>0</v>
      </c>
      <c r="X25" s="150">
        <f t="shared" si="8"/>
        <v>0</v>
      </c>
      <c r="Y25" s="151">
        <f t="shared" si="9"/>
        <v>0</v>
      </c>
      <c r="Z25" s="152">
        <f t="shared" si="20"/>
        <v>0</v>
      </c>
      <c r="AA25" s="179">
        <f t="shared" si="21"/>
        <v>0</v>
      </c>
      <c r="AB25" s="179">
        <f t="shared" si="22"/>
        <v>0</v>
      </c>
      <c r="AC25" s="180">
        <f t="shared" si="10"/>
        <v>0</v>
      </c>
      <c r="AD25" s="156">
        <f t="shared" si="23"/>
        <v>0</v>
      </c>
      <c r="AE25" s="146">
        <f>IFERROR(INDEX(Työkonekanta!$L$3:$L$30,MATCH($A25,Työkonekanta!$A$3:$A$30,0),1),0)*AF25</f>
        <v>0</v>
      </c>
      <c r="AF25" s="146">
        <f>IFERROR(INDEX(Työkonekanta!$N$3:$N$32,MATCH($A25,Työkonekanta!$A$3:$A$32,0),1),0)</f>
        <v>0</v>
      </c>
      <c r="AG25" s="332">
        <f>I25*INDEX(Muuttujat!$U$5:$U$21,MATCH($C25,Muuttujat!$N$5:$N$21,0),1)</f>
        <v>0</v>
      </c>
      <c r="AH25" s="332">
        <f>J25*INDEX(Muuttujat!$T$5:$T$21,MATCH($C25,Muuttujat!$N$5:$N$21,0),1)</f>
        <v>0</v>
      </c>
      <c r="AI25" s="332">
        <f t="shared" si="11"/>
        <v>0</v>
      </c>
      <c r="AJ25" s="332">
        <f t="shared" si="12"/>
        <v>0</v>
      </c>
      <c r="AK25" s="333">
        <f t="shared" si="24"/>
        <v>0</v>
      </c>
      <c r="AL25" s="332">
        <f t="shared" si="13"/>
        <v>0</v>
      </c>
      <c r="AM25" s="351"/>
      <c r="AN25" s="351"/>
    </row>
    <row r="26" spans="1:43">
      <c r="A26" s="139">
        <v>24</v>
      </c>
      <c r="B26" s="139">
        <f>IFERROR(IF((INDEX(Työkonekanta!$F$3:$F$27,MATCH('S3 Tiekartta'!$A26,Työkonekanta!$A$3:$A$24,0),1))&lt;0,0,(INDEX(Työkonekanta!$F$3:$F$27,MATCH('S3 Tiekartta'!$A26,Työkonekanta!$A$3:$A$24,0),1))),0)</f>
        <v>0</v>
      </c>
      <c r="C26" s="140">
        <v>2019</v>
      </c>
      <c r="D26" s="141" t="str">
        <f>IFERROR(INDEX(Työkonekanta!$D$3:$D$27,MATCH('S3 Tiekartta'!$A26,Työkonekanta!$A$3:$A$24,0),1),"undefined")</f>
        <v>undefined</v>
      </c>
      <c r="E26" s="145">
        <f>IFERROR(INDEX(Työkonekanta!$G$3:$G$27,MATCH($A26,Työkonekanta!$A$3:$A$24,0),1)*INDEX(Työkonekanta!$H$3:$H$27,MATCH($A26,Työkonekanta!$A$3:$A$24,0),1)*(1+s0b_kasvu*($C26-2019))*$B26,0)</f>
        <v>0</v>
      </c>
      <c r="F26" s="145">
        <f t="shared" si="0"/>
        <v>0</v>
      </c>
      <c r="G26" s="151">
        <f t="shared" si="14"/>
        <v>0</v>
      </c>
      <c r="H26" s="145">
        <f t="shared" si="15"/>
        <v>0</v>
      </c>
      <c r="I26" s="145">
        <f t="shared" si="1"/>
        <v>0</v>
      </c>
      <c r="J26" s="145">
        <f t="shared" si="2"/>
        <v>0</v>
      </c>
      <c r="K26" s="142" t="str">
        <f t="shared" si="16"/>
        <v>undefined</v>
      </c>
      <c r="L26" s="146">
        <f>IFERROR(INDEX(Työkonekanta!$I$3:$I$27,MATCH('S3 Tiekartta'!$A26,Työkonekanta!$A$3:$A$24,0),1)*(I26+J26)*f_adblue,0)</f>
        <v>0</v>
      </c>
      <c r="M26" s="146">
        <f t="shared" si="3"/>
        <v>0</v>
      </c>
      <c r="N26" s="143" t="str">
        <f>IF(tuulisähkö_vuosi&lt;='S3 Tiekartta'!C26,"tuulisähkö",ostosähkö_nyt)</f>
        <v>jäännössähkö</v>
      </c>
      <c r="O26" s="147">
        <f>INDEX(Muuttujat!$J$5:$J$21,MATCH($C26,Muuttujat!$H$5:$H$21,0),1)</f>
        <v>69.24722222222222</v>
      </c>
      <c r="P26" s="148">
        <f t="shared" si="17"/>
        <v>1</v>
      </c>
      <c r="Q26" s="148">
        <f t="shared" si="18"/>
        <v>0</v>
      </c>
      <c r="R26" s="148">
        <f t="shared" si="19"/>
        <v>0</v>
      </c>
      <c r="S26" s="149">
        <f t="shared" si="4"/>
        <v>0</v>
      </c>
      <c r="T26" s="150">
        <f t="shared" si="5"/>
        <v>0</v>
      </c>
      <c r="U26" s="150">
        <f t="shared" si="6"/>
        <v>0</v>
      </c>
      <c r="V26" s="150">
        <f>IFERROR(INDEX(Työkonekanta!$J$3:$J$27,MATCH($A26,Työkonekanta!$A$3:$A$24,0),1)*$B26*ef_li_ion_akku/1000/1000/INDEX(Työkonekanta!$K$3:$K$27,MATCH($A26,Työkonekanta!$A$3:$A$24,0)),0)</f>
        <v>0</v>
      </c>
      <c r="W26" s="149">
        <f t="shared" si="7"/>
        <v>0</v>
      </c>
      <c r="X26" s="150">
        <f t="shared" si="8"/>
        <v>0</v>
      </c>
      <c r="Y26" s="151">
        <f t="shared" si="9"/>
        <v>0</v>
      </c>
      <c r="Z26" s="152">
        <f t="shared" si="20"/>
        <v>0</v>
      </c>
      <c r="AA26" s="179">
        <f t="shared" si="21"/>
        <v>0</v>
      </c>
      <c r="AB26" s="179">
        <f t="shared" si="22"/>
        <v>0</v>
      </c>
      <c r="AC26" s="180">
        <f t="shared" si="10"/>
        <v>0</v>
      </c>
      <c r="AD26" s="156">
        <f t="shared" si="23"/>
        <v>0</v>
      </c>
      <c r="AE26" s="146">
        <f>IFERROR(INDEX(Työkonekanta!$L$3:$L$30,MATCH($A26,Työkonekanta!$A$3:$A$30,0),1),0)*AF26</f>
        <v>0</v>
      </c>
      <c r="AF26" s="146">
        <f>IFERROR(INDEX(Työkonekanta!$N$3:$N$32,MATCH($A26,Työkonekanta!$A$3:$A$32,0),1),0)</f>
        <v>0</v>
      </c>
      <c r="AG26" s="332">
        <f>I26*INDEX(Muuttujat!$U$5:$U$21,MATCH($C26,Muuttujat!$N$5:$N$21,0),1)</f>
        <v>0</v>
      </c>
      <c r="AH26" s="332">
        <f>J26*INDEX(Muuttujat!$T$5:$T$21,MATCH($C26,Muuttujat!$N$5:$N$21,0),1)</f>
        <v>0</v>
      </c>
      <c r="AI26" s="332">
        <f t="shared" si="11"/>
        <v>0</v>
      </c>
      <c r="AJ26" s="332">
        <f t="shared" si="12"/>
        <v>0</v>
      </c>
      <c r="AK26" s="333">
        <f t="shared" si="24"/>
        <v>0</v>
      </c>
      <c r="AL26" s="332">
        <f t="shared" si="13"/>
        <v>0</v>
      </c>
      <c r="AM26" s="351"/>
      <c r="AN26" s="351"/>
    </row>
    <row r="27" spans="1:43">
      <c r="A27" s="139">
        <v>25</v>
      </c>
      <c r="B27" s="139">
        <f>IFERROR(IF((INDEX(Työkonekanta!$F$3:$F$27,MATCH('S3 Tiekartta'!$A27,Työkonekanta!$A$3:$A$24,0),1))&lt;0,0,(INDEX(Työkonekanta!$F$3:$F$27,MATCH('S3 Tiekartta'!$A27,Työkonekanta!$A$3:$A$24,0),1))),0)</f>
        <v>0</v>
      </c>
      <c r="C27" s="140">
        <v>2019</v>
      </c>
      <c r="D27" s="141" t="str">
        <f>IFERROR(INDEX(Työkonekanta!$D$3:$D$27,MATCH('S3 Tiekartta'!$A27,Työkonekanta!$A$3:$A$24,0),1),"undefined")</f>
        <v>undefined</v>
      </c>
      <c r="E27" s="145">
        <f>IFERROR(INDEX(Työkonekanta!$G$3:$G$27,MATCH($A27,Työkonekanta!$A$3:$A$24,0),1)*INDEX(Työkonekanta!$H$3:$H$27,MATCH($A27,Työkonekanta!$A$3:$A$24,0),1)*(1+s0b_kasvu*($C27-2019))*$B27,0)</f>
        <v>0</v>
      </c>
      <c r="F27" s="145">
        <f t="shared" si="0"/>
        <v>0</v>
      </c>
      <c r="G27" s="151">
        <f t="shared" si="14"/>
        <v>0</v>
      </c>
      <c r="H27" s="145">
        <f t="shared" si="15"/>
        <v>0</v>
      </c>
      <c r="I27" s="145">
        <f t="shared" si="1"/>
        <v>0</v>
      </c>
      <c r="J27" s="145">
        <f t="shared" si="2"/>
        <v>0</v>
      </c>
      <c r="K27" s="142" t="str">
        <f t="shared" si="16"/>
        <v>undefined</v>
      </c>
      <c r="L27" s="146">
        <f>IFERROR(INDEX(Työkonekanta!$I$3:$I$27,MATCH('S3 Tiekartta'!$A27,Työkonekanta!$A$3:$A$24,0),1)*(I27+J27)*f_adblue,0)</f>
        <v>0</v>
      </c>
      <c r="M27" s="146">
        <f t="shared" si="3"/>
        <v>0</v>
      </c>
      <c r="N27" s="143" t="str">
        <f>IF(tuulisähkö_vuosi&lt;='S3 Tiekartta'!C27,"tuulisähkö",ostosähkö_nyt)</f>
        <v>jäännössähkö</v>
      </c>
      <c r="O27" s="147">
        <f>INDEX(Muuttujat!$J$5:$J$21,MATCH($C27,Muuttujat!$H$5:$H$21,0),1)</f>
        <v>69.24722222222222</v>
      </c>
      <c r="P27" s="148">
        <f t="shared" si="17"/>
        <v>1</v>
      </c>
      <c r="Q27" s="148">
        <f t="shared" si="18"/>
        <v>0</v>
      </c>
      <c r="R27" s="148">
        <f t="shared" si="19"/>
        <v>0</v>
      </c>
      <c r="S27" s="149">
        <f t="shared" si="4"/>
        <v>0</v>
      </c>
      <c r="T27" s="150">
        <f t="shared" si="5"/>
        <v>0</v>
      </c>
      <c r="U27" s="150">
        <f t="shared" si="6"/>
        <v>0</v>
      </c>
      <c r="V27" s="150">
        <f>IFERROR(INDEX(Työkonekanta!$J$3:$J$27,MATCH($A27,Työkonekanta!$A$3:$A$24,0),1)*$B27*ef_li_ion_akku/1000/1000/INDEX(Työkonekanta!$K$3:$K$27,MATCH($A27,Työkonekanta!$A$3:$A$24,0)),0)</f>
        <v>0</v>
      </c>
      <c r="W27" s="149">
        <f t="shared" si="7"/>
        <v>0</v>
      </c>
      <c r="X27" s="150">
        <f t="shared" si="8"/>
        <v>0</v>
      </c>
      <c r="Y27" s="151">
        <f t="shared" si="9"/>
        <v>0</v>
      </c>
      <c r="Z27" s="152">
        <f t="shared" si="20"/>
        <v>0</v>
      </c>
      <c r="AA27" s="179">
        <f t="shared" si="21"/>
        <v>0</v>
      </c>
      <c r="AB27" s="179">
        <f t="shared" si="22"/>
        <v>0</v>
      </c>
      <c r="AC27" s="180">
        <f t="shared" si="10"/>
        <v>0</v>
      </c>
      <c r="AD27" s="156">
        <f t="shared" si="23"/>
        <v>0</v>
      </c>
      <c r="AE27" s="146">
        <f>IFERROR(INDEX(Työkonekanta!$L$3:$L$30,MATCH($A27,Työkonekanta!$A$3:$A$30,0),1),0)*AF27</f>
        <v>0</v>
      </c>
      <c r="AF27" s="146">
        <f>IFERROR(INDEX(Työkonekanta!$N$3:$N$32,MATCH($A27,Työkonekanta!$A$3:$A$32,0),1),0)</f>
        <v>0</v>
      </c>
      <c r="AG27" s="332">
        <f>I27*INDEX(Muuttujat!$U$5:$U$21,MATCH($C27,Muuttujat!$N$5:$N$21,0),1)</f>
        <v>0</v>
      </c>
      <c r="AH27" s="332">
        <f>J27*INDEX(Muuttujat!$T$5:$T$21,MATCH($C27,Muuttujat!$N$5:$N$21,0),1)</f>
        <v>0</v>
      </c>
      <c r="AI27" s="332">
        <f t="shared" si="11"/>
        <v>0</v>
      </c>
      <c r="AJ27" s="332">
        <f t="shared" si="12"/>
        <v>0</v>
      </c>
      <c r="AK27" s="333">
        <f t="shared" si="24"/>
        <v>0</v>
      </c>
      <c r="AL27" s="332">
        <f t="shared" si="13"/>
        <v>0</v>
      </c>
      <c r="AM27" s="351"/>
      <c r="AN27" s="351"/>
    </row>
    <row r="28" spans="1:43">
      <c r="A28" s="139">
        <v>26</v>
      </c>
      <c r="B28" s="139">
        <f>IFERROR(IF((INDEX(Työkonekanta!$F$3:$F$27,MATCH('S3 Tiekartta'!$A28,Työkonekanta!$A$3:$A$24,0),1))&lt;0,0,(INDEX(Työkonekanta!$F$3:$F$27,MATCH('S3 Tiekartta'!$A28,Työkonekanta!$A$3:$A$24,0),1))),0)</f>
        <v>0</v>
      </c>
      <c r="C28" s="140">
        <v>2019</v>
      </c>
      <c r="D28" s="141" t="str">
        <f>IFERROR(INDEX(Työkonekanta!$D$3:$D$27,MATCH('S3 Tiekartta'!$A28,Työkonekanta!$A$3:$A$24,0),1),"undefined")</f>
        <v>undefined</v>
      </c>
      <c r="E28" s="145">
        <f>IFERROR(INDEX(Työkonekanta!$G$3:$G$27,MATCH($A28,Työkonekanta!$A$3:$A$24,0),1)*INDEX(Työkonekanta!$H$3:$H$27,MATCH($A28,Työkonekanta!$A$3:$A$24,0),1)*(1+s0b_kasvu*($C28-2019))*$B28,0)</f>
        <v>0</v>
      </c>
      <c r="F28" s="145">
        <f t="shared" si="0"/>
        <v>0</v>
      </c>
      <c r="G28" s="151">
        <f t="shared" si="14"/>
        <v>0</v>
      </c>
      <c r="H28" s="145">
        <f t="shared" si="15"/>
        <v>0</v>
      </c>
      <c r="I28" s="145">
        <f t="shared" si="1"/>
        <v>0</v>
      </c>
      <c r="J28" s="145">
        <f t="shared" si="2"/>
        <v>0</v>
      </c>
      <c r="K28" s="142" t="str">
        <f t="shared" si="16"/>
        <v>undefined</v>
      </c>
      <c r="L28" s="146">
        <f>IFERROR(INDEX(Työkonekanta!$I$3:$I$27,MATCH('S3 Tiekartta'!$A28,Työkonekanta!$A$3:$A$24,0),1)*(I28+J28)*f_adblue,0)</f>
        <v>0</v>
      </c>
      <c r="M28" s="146">
        <f t="shared" si="3"/>
        <v>0</v>
      </c>
      <c r="N28" s="143" t="str">
        <f>IF(tuulisähkö_vuosi&lt;='S3 Tiekartta'!C28,"tuulisähkö",ostosähkö_nyt)</f>
        <v>jäännössähkö</v>
      </c>
      <c r="O28" s="147">
        <f>INDEX(Muuttujat!$J$5:$J$21,MATCH($C28,Muuttujat!$H$5:$H$21,0),1)</f>
        <v>69.24722222222222</v>
      </c>
      <c r="P28" s="148">
        <f t="shared" si="17"/>
        <v>1</v>
      </c>
      <c r="Q28" s="148">
        <f t="shared" si="18"/>
        <v>0</v>
      </c>
      <c r="R28" s="148">
        <f t="shared" si="19"/>
        <v>0</v>
      </c>
      <c r="S28" s="149">
        <f t="shared" si="4"/>
        <v>0</v>
      </c>
      <c r="T28" s="150">
        <f t="shared" si="5"/>
        <v>0</v>
      </c>
      <c r="U28" s="150">
        <f t="shared" si="6"/>
        <v>0</v>
      </c>
      <c r="V28" s="150">
        <f>IFERROR(INDEX(Työkonekanta!$J$3:$J$27,MATCH($A28,Työkonekanta!$A$3:$A$24,0),1)*$B28*ef_li_ion_akku/1000/1000/INDEX(Työkonekanta!$K$3:$K$27,MATCH($A28,Työkonekanta!$A$3:$A$24,0)),0)</f>
        <v>0</v>
      </c>
      <c r="W28" s="149">
        <f t="shared" si="7"/>
        <v>0</v>
      </c>
      <c r="X28" s="150">
        <f t="shared" si="8"/>
        <v>0</v>
      </c>
      <c r="Y28" s="151">
        <f t="shared" si="9"/>
        <v>0</v>
      </c>
      <c r="Z28" s="152">
        <f t="shared" si="20"/>
        <v>0</v>
      </c>
      <c r="AA28" s="179">
        <f t="shared" si="21"/>
        <v>0</v>
      </c>
      <c r="AB28" s="179">
        <f t="shared" si="22"/>
        <v>0</v>
      </c>
      <c r="AC28" s="180">
        <f t="shared" si="10"/>
        <v>0</v>
      </c>
      <c r="AD28" s="156">
        <f t="shared" si="23"/>
        <v>0</v>
      </c>
      <c r="AE28" s="146">
        <f>IFERROR(INDEX(Työkonekanta!$L$3:$L$30,MATCH($A28,Työkonekanta!$A$3:$A$30,0),1),0)*AF28</f>
        <v>0</v>
      </c>
      <c r="AF28" s="146">
        <f>IFERROR(INDEX(Työkonekanta!$N$3:$N$32,MATCH($A28,Työkonekanta!$A$3:$A$32,0),1),0)</f>
        <v>0</v>
      </c>
      <c r="AG28" s="332">
        <f>I28*INDEX(Muuttujat!$U$5:$U$21,MATCH($C28,Muuttujat!$N$5:$N$21,0),1)</f>
        <v>0</v>
      </c>
      <c r="AH28" s="332">
        <f>J28*INDEX(Muuttujat!$T$5:$T$21,MATCH($C28,Muuttujat!$N$5:$N$21,0),1)</f>
        <v>0</v>
      </c>
      <c r="AI28" s="332">
        <f t="shared" si="11"/>
        <v>0</v>
      </c>
      <c r="AJ28" s="332">
        <f t="shared" si="12"/>
        <v>0</v>
      </c>
      <c r="AK28" s="333">
        <f t="shared" si="24"/>
        <v>0</v>
      </c>
      <c r="AL28" s="332">
        <f t="shared" si="13"/>
        <v>0</v>
      </c>
      <c r="AM28" s="351"/>
      <c r="AN28" s="351"/>
    </row>
    <row r="29" spans="1:43">
      <c r="A29" s="139">
        <v>27</v>
      </c>
      <c r="B29" s="139">
        <f>IFERROR(IF((INDEX(Työkonekanta!$F$3:$F$27,MATCH('S3 Tiekartta'!$A29,Työkonekanta!$A$3:$A$24,0),1))&lt;0,0,(INDEX(Työkonekanta!$F$3:$F$27,MATCH('S3 Tiekartta'!$A29,Työkonekanta!$A$3:$A$24,0),1))),0)</f>
        <v>0</v>
      </c>
      <c r="C29" s="140">
        <v>2019</v>
      </c>
      <c r="D29" s="141" t="str">
        <f>IFERROR(INDEX(Työkonekanta!$D$3:$D$27,MATCH('S3 Tiekartta'!$A29,Työkonekanta!$A$3:$A$24,0),1),"undefined")</f>
        <v>undefined</v>
      </c>
      <c r="E29" s="145">
        <f>IFERROR(INDEX(Työkonekanta!$G$3:$G$27,MATCH($A29,Työkonekanta!$A$3:$A$24,0),1)*INDEX(Työkonekanta!$H$3:$H$27,MATCH($A29,Työkonekanta!$A$3:$A$24,0),1)*(1+s0b_kasvu*($C29-2019))*$B29,0)</f>
        <v>0</v>
      </c>
      <c r="F29" s="145">
        <f t="shared" si="0"/>
        <v>0</v>
      </c>
      <c r="G29" s="151">
        <f t="shared" si="14"/>
        <v>0</v>
      </c>
      <c r="H29" s="145">
        <f t="shared" si="15"/>
        <v>0</v>
      </c>
      <c r="I29" s="145">
        <f t="shared" si="1"/>
        <v>0</v>
      </c>
      <c r="J29" s="145">
        <f t="shared" si="2"/>
        <v>0</v>
      </c>
      <c r="K29" s="142" t="str">
        <f t="shared" si="16"/>
        <v>undefined</v>
      </c>
      <c r="L29" s="146">
        <f>IFERROR(INDEX(Työkonekanta!$I$3:$I$27,MATCH('S3 Tiekartta'!$A29,Työkonekanta!$A$3:$A$24,0),1)*(I29+J29)*f_adblue,0)</f>
        <v>0</v>
      </c>
      <c r="M29" s="146">
        <f t="shared" si="3"/>
        <v>0</v>
      </c>
      <c r="N29" s="143" t="str">
        <f>IF(tuulisähkö_vuosi&lt;='S3 Tiekartta'!C29,"tuulisähkö",ostosähkö_nyt)</f>
        <v>jäännössähkö</v>
      </c>
      <c r="O29" s="147">
        <f>INDEX(Muuttujat!$J$5:$J$21,MATCH($C29,Muuttujat!$H$5:$H$21,0),1)</f>
        <v>69.24722222222222</v>
      </c>
      <c r="P29" s="148">
        <f t="shared" si="17"/>
        <v>1</v>
      </c>
      <c r="Q29" s="148">
        <f t="shared" si="18"/>
        <v>0</v>
      </c>
      <c r="R29" s="148">
        <f t="shared" si="19"/>
        <v>0</v>
      </c>
      <c r="S29" s="149">
        <f t="shared" si="4"/>
        <v>0</v>
      </c>
      <c r="T29" s="150">
        <f t="shared" si="5"/>
        <v>0</v>
      </c>
      <c r="U29" s="150">
        <f t="shared" si="6"/>
        <v>0</v>
      </c>
      <c r="V29" s="150">
        <f>IFERROR(INDEX(Työkonekanta!$J$3:$J$27,MATCH($A29,Työkonekanta!$A$3:$A$24,0),1)*$B29*ef_li_ion_akku/1000/1000/INDEX(Työkonekanta!$K$3:$K$27,MATCH($A29,Työkonekanta!$A$3:$A$24,0)),0)</f>
        <v>0</v>
      </c>
      <c r="W29" s="149">
        <f t="shared" si="7"/>
        <v>0</v>
      </c>
      <c r="X29" s="150">
        <f t="shared" si="8"/>
        <v>0</v>
      </c>
      <c r="Y29" s="151">
        <f t="shared" si="9"/>
        <v>0</v>
      </c>
      <c r="Z29" s="152">
        <f t="shared" si="20"/>
        <v>0</v>
      </c>
      <c r="AA29" s="179">
        <f t="shared" si="21"/>
        <v>0</v>
      </c>
      <c r="AB29" s="179">
        <f t="shared" si="22"/>
        <v>0</v>
      </c>
      <c r="AC29" s="180">
        <f t="shared" si="10"/>
        <v>0</v>
      </c>
      <c r="AD29" s="156">
        <f t="shared" si="23"/>
        <v>0</v>
      </c>
      <c r="AE29" s="146">
        <f>IFERROR(INDEX(Työkonekanta!$L$3:$L$30,MATCH($A29,Työkonekanta!$A$3:$A$30,0),1),0)*AF29</f>
        <v>0</v>
      </c>
      <c r="AF29" s="146">
        <f>IFERROR(INDEX(Työkonekanta!$N$3:$N$32,MATCH($A29,Työkonekanta!$A$3:$A$32,0),1),0)</f>
        <v>0</v>
      </c>
      <c r="AG29" s="332">
        <f>I29*INDEX(Muuttujat!$U$5:$U$21,MATCH($C29,Muuttujat!$N$5:$N$21,0),1)</f>
        <v>0</v>
      </c>
      <c r="AH29" s="332">
        <f>J29*INDEX(Muuttujat!$T$5:$T$21,MATCH($C29,Muuttujat!$N$5:$N$21,0),1)</f>
        <v>0</v>
      </c>
      <c r="AI29" s="332">
        <f t="shared" si="11"/>
        <v>0</v>
      </c>
      <c r="AJ29" s="332">
        <f t="shared" si="12"/>
        <v>0</v>
      </c>
      <c r="AK29" s="333">
        <f t="shared" si="24"/>
        <v>0</v>
      </c>
      <c r="AL29" s="332">
        <f t="shared" si="13"/>
        <v>0</v>
      </c>
      <c r="AM29" s="351"/>
      <c r="AN29" s="351"/>
    </row>
    <row r="30" spans="1:43">
      <c r="A30" s="139">
        <v>28</v>
      </c>
      <c r="B30" s="139">
        <f>IFERROR(IF((INDEX(Työkonekanta!$F$3:$F$27,MATCH('S3 Tiekartta'!$A30,Työkonekanta!$A$3:$A$24,0),1))&lt;0,0,(INDEX(Työkonekanta!$F$3:$F$27,MATCH('S3 Tiekartta'!$A30,Työkonekanta!$A$3:$A$24,0),1))),0)</f>
        <v>0</v>
      </c>
      <c r="C30" s="140">
        <v>2019</v>
      </c>
      <c r="D30" s="141" t="str">
        <f>IFERROR(INDEX(Työkonekanta!$D$3:$D$27,MATCH('S3 Tiekartta'!$A30,Työkonekanta!$A$3:$A$24,0),1),"undefined")</f>
        <v>undefined</v>
      </c>
      <c r="E30" s="145">
        <f>IFERROR(INDEX(Työkonekanta!$G$3:$G$27,MATCH($A30,Työkonekanta!$A$3:$A$24,0),1)*INDEX(Työkonekanta!$H$3:$H$27,MATCH($A30,Työkonekanta!$A$3:$A$24,0),1)*(1+s0b_kasvu*($C30-2019))*$B30,0)</f>
        <v>0</v>
      </c>
      <c r="F30" s="145">
        <f t="shared" si="0"/>
        <v>0</v>
      </c>
      <c r="G30" s="151">
        <f t="shared" si="14"/>
        <v>0</v>
      </c>
      <c r="H30" s="145">
        <f t="shared" si="15"/>
        <v>0</v>
      </c>
      <c r="I30" s="145">
        <f t="shared" si="1"/>
        <v>0</v>
      </c>
      <c r="J30" s="145">
        <f t="shared" si="2"/>
        <v>0</v>
      </c>
      <c r="K30" s="142" t="str">
        <f t="shared" si="16"/>
        <v>undefined</v>
      </c>
      <c r="L30" s="146">
        <f>IFERROR(INDEX(Työkonekanta!$I$3:$I$27,MATCH('S3 Tiekartta'!$A30,Työkonekanta!$A$3:$A$24,0),1)*(I30+J30)*f_adblue,0)</f>
        <v>0</v>
      </c>
      <c r="M30" s="146">
        <f t="shared" si="3"/>
        <v>0</v>
      </c>
      <c r="N30" s="143" t="str">
        <f>IF(tuulisähkö_vuosi&lt;='S3 Tiekartta'!C30,"tuulisähkö",ostosähkö_nyt)</f>
        <v>jäännössähkö</v>
      </c>
      <c r="O30" s="147">
        <f>INDEX(Muuttujat!$J$5:$J$21,MATCH($C30,Muuttujat!$H$5:$H$21,0),1)</f>
        <v>69.24722222222222</v>
      </c>
      <c r="P30" s="148">
        <f t="shared" si="17"/>
        <v>1</v>
      </c>
      <c r="Q30" s="148">
        <f t="shared" si="18"/>
        <v>0</v>
      </c>
      <c r="R30" s="148">
        <f t="shared" si="19"/>
        <v>0</v>
      </c>
      <c r="S30" s="149">
        <f t="shared" si="4"/>
        <v>0</v>
      </c>
      <c r="T30" s="150">
        <f t="shared" si="5"/>
        <v>0</v>
      </c>
      <c r="U30" s="150">
        <f t="shared" si="6"/>
        <v>0</v>
      </c>
      <c r="V30" s="150">
        <f>IFERROR(INDEX(Työkonekanta!$J$3:$J$27,MATCH($A30,Työkonekanta!$A$3:$A$24,0),1)*$B30*ef_li_ion_akku/1000/1000/INDEX(Työkonekanta!$K$3:$K$27,MATCH($A30,Työkonekanta!$A$3:$A$24,0)),0)</f>
        <v>0</v>
      </c>
      <c r="W30" s="149">
        <f t="shared" si="7"/>
        <v>0</v>
      </c>
      <c r="X30" s="150">
        <f t="shared" si="8"/>
        <v>0</v>
      </c>
      <c r="Y30" s="151">
        <f t="shared" si="9"/>
        <v>0</v>
      </c>
      <c r="Z30" s="152">
        <f t="shared" si="20"/>
        <v>0</v>
      </c>
      <c r="AA30" s="179">
        <f t="shared" si="21"/>
        <v>0</v>
      </c>
      <c r="AB30" s="179">
        <f t="shared" si="22"/>
        <v>0</v>
      </c>
      <c r="AC30" s="180">
        <f t="shared" si="10"/>
        <v>0</v>
      </c>
      <c r="AD30" s="156">
        <f t="shared" si="23"/>
        <v>0</v>
      </c>
      <c r="AE30" s="146">
        <f>IFERROR(INDEX(Työkonekanta!$L$3:$L$30,MATCH($A30,Työkonekanta!$A$3:$A$30,0),1),0)*AF30</f>
        <v>0</v>
      </c>
      <c r="AF30" s="146">
        <f>IFERROR(INDEX(Työkonekanta!$N$3:$N$32,MATCH($A30,Työkonekanta!$A$3:$A$32,0),1),0)</f>
        <v>0</v>
      </c>
      <c r="AG30" s="332">
        <f>I30*INDEX(Muuttujat!$U$5:$U$21,MATCH($C30,Muuttujat!$N$5:$N$21,0),1)</f>
        <v>0</v>
      </c>
      <c r="AH30" s="332">
        <f>J30*INDEX(Muuttujat!$T$5:$T$21,MATCH($C30,Muuttujat!$N$5:$N$21,0),1)</f>
        <v>0</v>
      </c>
      <c r="AI30" s="332">
        <f t="shared" si="11"/>
        <v>0</v>
      </c>
      <c r="AJ30" s="332">
        <f t="shared" si="12"/>
        <v>0</v>
      </c>
      <c r="AK30" s="333">
        <f t="shared" si="24"/>
        <v>0</v>
      </c>
      <c r="AL30" s="332">
        <f t="shared" si="13"/>
        <v>0</v>
      </c>
      <c r="AM30" s="351"/>
      <c r="AN30" s="351"/>
    </row>
    <row r="31" spans="1:43">
      <c r="A31" s="139">
        <v>29</v>
      </c>
      <c r="B31" s="139">
        <f>IFERROR(IF((INDEX(Työkonekanta!$F$3:$F$27,MATCH('S3 Tiekartta'!$A31,Työkonekanta!$A$3:$A$24,0),1))&lt;0,0,(INDEX(Työkonekanta!$F$3:$F$27,MATCH('S3 Tiekartta'!$A31,Työkonekanta!$A$3:$A$24,0),1))),0)</f>
        <v>0</v>
      </c>
      <c r="C31" s="140">
        <v>2019</v>
      </c>
      <c r="D31" s="141" t="str">
        <f>IFERROR(INDEX(Työkonekanta!$D$3:$D$27,MATCH('S3 Tiekartta'!$A31,Työkonekanta!$A$3:$A$24,0),1),"undefined")</f>
        <v>undefined</v>
      </c>
      <c r="E31" s="145">
        <f>IFERROR(INDEX(Työkonekanta!$G$3:$G$27,MATCH($A31,Työkonekanta!$A$3:$A$24,0),1)*INDEX(Työkonekanta!$H$3:$H$27,MATCH($A31,Työkonekanta!$A$3:$A$24,0),1)*(1+s0b_kasvu*($C31-2019))*$B31,0)</f>
        <v>0</v>
      </c>
      <c r="F31" s="145">
        <f t="shared" si="0"/>
        <v>0</v>
      </c>
      <c r="G31" s="151">
        <f t="shared" si="14"/>
        <v>0</v>
      </c>
      <c r="H31" s="145">
        <f t="shared" si="15"/>
        <v>0</v>
      </c>
      <c r="I31" s="145">
        <f t="shared" si="1"/>
        <v>0</v>
      </c>
      <c r="J31" s="145">
        <f t="shared" si="2"/>
        <v>0</v>
      </c>
      <c r="K31" s="142" t="str">
        <f t="shared" si="16"/>
        <v>undefined</v>
      </c>
      <c r="L31" s="146">
        <f>IFERROR(INDEX(Työkonekanta!$I$3:$I$27,MATCH('S3 Tiekartta'!$A31,Työkonekanta!$A$3:$A$24,0),1)*(I31+J31)*f_adblue,0)</f>
        <v>0</v>
      </c>
      <c r="M31" s="146">
        <f t="shared" si="3"/>
        <v>0</v>
      </c>
      <c r="N31" s="143" t="str">
        <f>IF(tuulisähkö_vuosi&lt;='S3 Tiekartta'!C31,"tuulisähkö",ostosähkö_nyt)</f>
        <v>jäännössähkö</v>
      </c>
      <c r="O31" s="147">
        <f>INDEX(Muuttujat!$J$5:$J$21,MATCH($C31,Muuttujat!$H$5:$H$21,0),1)</f>
        <v>69.24722222222222</v>
      </c>
      <c r="P31" s="148">
        <f t="shared" si="17"/>
        <v>1</v>
      </c>
      <c r="Q31" s="148">
        <f t="shared" si="18"/>
        <v>0</v>
      </c>
      <c r="R31" s="148">
        <f t="shared" si="19"/>
        <v>0</v>
      </c>
      <c r="S31" s="149">
        <f t="shared" si="4"/>
        <v>0</v>
      </c>
      <c r="T31" s="150">
        <f t="shared" si="5"/>
        <v>0</v>
      </c>
      <c r="U31" s="150">
        <f t="shared" si="6"/>
        <v>0</v>
      </c>
      <c r="V31" s="150">
        <f>IFERROR(INDEX(Työkonekanta!$J$3:$J$27,MATCH($A31,Työkonekanta!$A$3:$A$24,0),1)*$B31*ef_li_ion_akku/1000/1000/INDEX(Työkonekanta!$K$3:$K$27,MATCH($A31,Työkonekanta!$A$3:$A$24,0)),0)</f>
        <v>0</v>
      </c>
      <c r="W31" s="149">
        <f t="shared" si="7"/>
        <v>0</v>
      </c>
      <c r="X31" s="150">
        <f t="shared" si="8"/>
        <v>0</v>
      </c>
      <c r="Y31" s="151">
        <f t="shared" si="9"/>
        <v>0</v>
      </c>
      <c r="Z31" s="152">
        <f t="shared" si="20"/>
        <v>0</v>
      </c>
      <c r="AA31" s="179">
        <f t="shared" si="21"/>
        <v>0</v>
      </c>
      <c r="AB31" s="179">
        <f t="shared" si="22"/>
        <v>0</v>
      </c>
      <c r="AC31" s="180">
        <f t="shared" si="10"/>
        <v>0</v>
      </c>
      <c r="AD31" s="156">
        <f t="shared" si="23"/>
        <v>0</v>
      </c>
      <c r="AE31" s="146">
        <f>IFERROR(INDEX(Työkonekanta!$L$3:$L$30,MATCH($A31,Työkonekanta!$A$3:$A$30,0),1),0)*AF31</f>
        <v>0</v>
      </c>
      <c r="AF31" s="146">
        <f>IFERROR(INDEX(Työkonekanta!$N$3:$N$32,MATCH($A31,Työkonekanta!$A$3:$A$32,0),1),0)</f>
        <v>0</v>
      </c>
      <c r="AG31" s="332">
        <f>I31*INDEX(Muuttujat!$U$5:$U$21,MATCH($C31,Muuttujat!$N$5:$N$21,0),1)</f>
        <v>0</v>
      </c>
      <c r="AH31" s="332">
        <f>J31*INDEX(Muuttujat!$T$5:$T$21,MATCH($C31,Muuttujat!$N$5:$N$21,0),1)</f>
        <v>0</v>
      </c>
      <c r="AI31" s="332">
        <f t="shared" si="11"/>
        <v>0</v>
      </c>
      <c r="AJ31" s="332">
        <f t="shared" si="12"/>
        <v>0</v>
      </c>
      <c r="AK31" s="333">
        <f t="shared" si="24"/>
        <v>0</v>
      </c>
      <c r="AL31" s="332">
        <f t="shared" si="13"/>
        <v>0</v>
      </c>
      <c r="AM31" s="351"/>
      <c r="AN31" s="351"/>
    </row>
    <row r="32" spans="1:43">
      <c r="A32" s="139">
        <v>30</v>
      </c>
      <c r="B32" s="139">
        <f>IFERROR(IF((INDEX(Työkonekanta!$F$3:$F$27,MATCH('S3 Tiekartta'!$A32,Työkonekanta!$A$3:$A$24,0),1))&lt;0,0,(INDEX(Työkonekanta!$F$3:$F$27,MATCH('S3 Tiekartta'!$A32,Työkonekanta!$A$3:$A$24,0),1))),0)</f>
        <v>0</v>
      </c>
      <c r="C32" s="140">
        <v>2019</v>
      </c>
      <c r="D32" s="141" t="str">
        <f>IFERROR(INDEX(Työkonekanta!$D$3:$D$27,MATCH('S3 Tiekartta'!$A32,Työkonekanta!$A$3:$A$24,0),1),"undefined")</f>
        <v>undefined</v>
      </c>
      <c r="E32" s="145">
        <f>IFERROR(INDEX(Työkonekanta!$G$3:$G$27,MATCH($A32,Työkonekanta!$A$3:$A$24,0),1)*INDEX(Työkonekanta!$H$3:$H$27,MATCH($A32,Työkonekanta!$A$3:$A$24,0),1)*(1+s0b_kasvu*($C32-2019))*$B32,0)</f>
        <v>0</v>
      </c>
      <c r="F32" s="145">
        <f t="shared" si="0"/>
        <v>0</v>
      </c>
      <c r="G32" s="151">
        <f t="shared" si="14"/>
        <v>0</v>
      </c>
      <c r="H32" s="145">
        <f t="shared" si="15"/>
        <v>0</v>
      </c>
      <c r="I32" s="145">
        <f t="shared" si="1"/>
        <v>0</v>
      </c>
      <c r="J32" s="145">
        <f t="shared" si="2"/>
        <v>0</v>
      </c>
      <c r="K32" s="142" t="str">
        <f t="shared" si="16"/>
        <v>undefined</v>
      </c>
      <c r="L32" s="146">
        <f>IFERROR(INDEX(Työkonekanta!$I$3:$I$27,MATCH('S3 Tiekartta'!$A32,Työkonekanta!$A$3:$A$24,0),1)*(I32+J32)*f_adblue,0)</f>
        <v>0</v>
      </c>
      <c r="M32" s="146">
        <f t="shared" si="3"/>
        <v>0</v>
      </c>
      <c r="N32" s="143" t="str">
        <f>IF(tuulisähkö_vuosi&lt;='S3 Tiekartta'!C32,"tuulisähkö",ostosähkö_nyt)</f>
        <v>jäännössähkö</v>
      </c>
      <c r="O32" s="147">
        <f>INDEX(Muuttujat!$J$5:$J$21,MATCH($C32,Muuttujat!$H$5:$H$21,0),1)</f>
        <v>69.24722222222222</v>
      </c>
      <c r="P32" s="148">
        <f t="shared" si="17"/>
        <v>1</v>
      </c>
      <c r="Q32" s="148">
        <f t="shared" si="18"/>
        <v>0</v>
      </c>
      <c r="R32" s="148">
        <f t="shared" si="19"/>
        <v>0</v>
      </c>
      <c r="S32" s="149">
        <f t="shared" si="4"/>
        <v>0</v>
      </c>
      <c r="T32" s="150">
        <f t="shared" si="5"/>
        <v>0</v>
      </c>
      <c r="U32" s="150">
        <f t="shared" si="6"/>
        <v>0</v>
      </c>
      <c r="V32" s="150">
        <f>IFERROR(INDEX(Työkonekanta!$J$3:$J$27,MATCH($A32,Työkonekanta!$A$3:$A$24,0),1)*$B32*ef_li_ion_akku/1000/1000/INDEX(Työkonekanta!$K$3:$K$27,MATCH($A32,Työkonekanta!$A$3:$A$24,0)),0)</f>
        <v>0</v>
      </c>
      <c r="W32" s="149">
        <f t="shared" si="7"/>
        <v>0</v>
      </c>
      <c r="X32" s="150">
        <f t="shared" si="8"/>
        <v>0</v>
      </c>
      <c r="Y32" s="151">
        <f t="shared" si="9"/>
        <v>0</v>
      </c>
      <c r="Z32" s="152">
        <f t="shared" si="20"/>
        <v>0</v>
      </c>
      <c r="AA32" s="179">
        <f t="shared" si="21"/>
        <v>0</v>
      </c>
      <c r="AB32" s="179">
        <f t="shared" si="22"/>
        <v>0</v>
      </c>
      <c r="AC32" s="180">
        <f t="shared" si="10"/>
        <v>0</v>
      </c>
      <c r="AD32" s="156">
        <f t="shared" si="23"/>
        <v>0</v>
      </c>
      <c r="AE32" s="146">
        <f>IFERROR(INDEX(Työkonekanta!$L$3:$L$30,MATCH($A32,Työkonekanta!$A$3:$A$30,0),1),0)*AF32</f>
        <v>0</v>
      </c>
      <c r="AF32" s="146">
        <f>IFERROR(INDEX(Työkonekanta!$N$3:$N$32,MATCH($A32,Työkonekanta!$A$3:$A$32,0),1),0)</f>
        <v>0</v>
      </c>
      <c r="AG32" s="332">
        <f>I32*INDEX(Muuttujat!$U$5:$U$21,MATCH($C32,Muuttujat!$N$5:$N$21,0),1)</f>
        <v>0</v>
      </c>
      <c r="AH32" s="332">
        <f>J32*INDEX(Muuttujat!$T$5:$T$21,MATCH($C32,Muuttujat!$N$5:$N$21,0),1)</f>
        <v>0</v>
      </c>
      <c r="AI32" s="332">
        <f t="shared" si="11"/>
        <v>0</v>
      </c>
      <c r="AJ32" s="332">
        <f t="shared" si="12"/>
        <v>0</v>
      </c>
      <c r="AK32" s="333">
        <f t="shared" si="24"/>
        <v>0</v>
      </c>
      <c r="AL32" s="332">
        <f t="shared" si="13"/>
        <v>0</v>
      </c>
      <c r="AM32" s="351"/>
      <c r="AN32" s="351"/>
    </row>
    <row r="33" spans="1:40">
      <c r="A33" s="139">
        <v>1</v>
      </c>
      <c r="B33" s="139">
        <f>IFERROR(IF((INDEX(Työkonekanta!$F$3:$F$27,MATCH('S3 Tiekartta'!$A33,Työkonekanta!$A$3:$A$24,0),1))&lt;0,0,(INDEX(Työkonekanta!$F$3:$F$27,MATCH('S3 Tiekartta'!$A33,Työkonekanta!$A$3:$A$24,0),1))),0)</f>
        <v>1</v>
      </c>
      <c r="C33" s="140">
        <v>2020</v>
      </c>
      <c r="D33" s="141" t="str">
        <f>IFERROR(INDEX(Työkonekanta!$D$3:$D$27,MATCH('S3 Tiekartta'!$A33,Työkonekanta!$A$3:$A$24,0),1),"undefined")</f>
        <v>pom</v>
      </c>
      <c r="E33" s="145">
        <f>IFERROR(INDEX(Työkonekanta!$G$3:$G$27,MATCH($A33,Työkonekanta!$A$3:$A$24,0),1)*INDEX(Työkonekanta!$H$3:$H$27,MATCH($A33,Työkonekanta!$A$3:$A$24,0),1)*(1+s0b_kasvu*($C33-2019))*$B33,0)</f>
        <v>10100</v>
      </c>
      <c r="F33" s="145">
        <f t="shared" si="0"/>
        <v>362590</v>
      </c>
      <c r="G33" s="151">
        <f t="shared" si="14"/>
        <v>362590</v>
      </c>
      <c r="H33" s="145">
        <f t="shared" si="15"/>
        <v>0</v>
      </c>
      <c r="I33" s="145">
        <f t="shared" si="1"/>
        <v>10100</v>
      </c>
      <c r="J33" s="145">
        <f t="shared" si="2"/>
        <v>0</v>
      </c>
      <c r="K33" s="142" t="str">
        <f t="shared" si="16"/>
        <v>l</v>
      </c>
      <c r="L33" s="146">
        <f>IFERROR(INDEX(Työkonekanta!$I$3:$I$27,MATCH('S3 Tiekartta'!$A33,Työkonekanta!$A$3:$A$24,0),1)*(I33+J33)*f_adblue,0)</f>
        <v>505</v>
      </c>
      <c r="M33" s="146">
        <f t="shared" si="3"/>
        <v>0</v>
      </c>
      <c r="N33" s="143" t="str">
        <f>IF(tuulisähkö_vuosi&lt;='S3 Tiekartta'!C33,"tuulisähkö",ostosähkö_nyt)</f>
        <v>jäännössähkö</v>
      </c>
      <c r="O33" s="147">
        <f>INDEX(Muuttujat!$J$5:$J$21,MATCH($C33,Muuttujat!$H$5:$H$21,0),1)</f>
        <v>68.554749999999999</v>
      </c>
      <c r="P33" s="148">
        <f t="shared" si="17"/>
        <v>1</v>
      </c>
      <c r="Q33" s="148">
        <f t="shared" si="18"/>
        <v>0</v>
      </c>
      <c r="R33" s="148">
        <f t="shared" si="19"/>
        <v>0</v>
      </c>
      <c r="S33" s="149">
        <f t="shared" si="4"/>
        <v>6.8529509999999991</v>
      </c>
      <c r="T33" s="150">
        <f t="shared" si="5"/>
        <v>0</v>
      </c>
      <c r="U33" s="150">
        <f t="shared" si="6"/>
        <v>0</v>
      </c>
      <c r="V33" s="150">
        <f>IFERROR(INDEX(Työkonekanta!$J$3:$J$27,MATCH($A33,Työkonekanta!$A$3:$A$24,0),1)*$B33*ef_li_ion_akku/1000/1000/INDEX(Työkonekanta!$K$3:$K$27,MATCH($A33,Työkonekanta!$A$3:$A$24,0)),0)</f>
        <v>0</v>
      </c>
      <c r="W33" s="149">
        <f t="shared" si="7"/>
        <v>26.762134918859999</v>
      </c>
      <c r="X33" s="150">
        <f t="shared" si="8"/>
        <v>0.3209231166</v>
      </c>
      <c r="Y33" s="151">
        <f t="shared" si="9"/>
        <v>0.1313</v>
      </c>
      <c r="Z33" s="152">
        <f t="shared" si="20"/>
        <v>6.8529509999999991</v>
      </c>
      <c r="AA33" s="179">
        <f t="shared" si="21"/>
        <v>26.893434918859999</v>
      </c>
      <c r="AB33" s="179">
        <f t="shared" si="22"/>
        <v>27.214358035459998</v>
      </c>
      <c r="AC33" s="180">
        <f t="shared" si="10"/>
        <v>33.74638591886</v>
      </c>
      <c r="AD33" s="156">
        <f t="shared" si="23"/>
        <v>34.067309035459999</v>
      </c>
      <c r="AE33" s="146">
        <f>IFERROR(INDEX(Työkonekanta!$L$3:$L$30,MATCH($A33,Työkonekanta!$A$3:$A$30,0),1),0)*AF33</f>
        <v>500000</v>
      </c>
      <c r="AF33" s="146">
        <f>IFERROR(INDEX(Työkonekanta!$N$3:$N$32,MATCH($A33,Työkonekanta!$A$3:$A$32,0),1),0)</f>
        <v>1</v>
      </c>
      <c r="AG33" s="332">
        <f>I33*INDEX(Muuttujat!$U$5:$U$21,MATCH($C33,Muuttujat!$N$5:$N$21,0),1)</f>
        <v>9797</v>
      </c>
      <c r="AH33" s="332">
        <f>J33*INDEX(Muuttujat!$T$5:$T$21,MATCH($C33,Muuttujat!$N$5:$N$21,0),1)</f>
        <v>0</v>
      </c>
      <c r="AI33" s="332">
        <f t="shared" si="11"/>
        <v>252.5</v>
      </c>
      <c r="AJ33" s="332">
        <f t="shared" si="12"/>
        <v>0</v>
      </c>
      <c r="AK33" s="333">
        <f t="shared" si="24"/>
        <v>10049.5</v>
      </c>
      <c r="AL33" s="332">
        <f t="shared" si="13"/>
        <v>10049.5</v>
      </c>
      <c r="AM33" s="351"/>
      <c r="AN33" s="351"/>
    </row>
    <row r="34" spans="1:40">
      <c r="A34" s="139">
        <v>2</v>
      </c>
      <c r="B34" s="139">
        <f>IFERROR(IF((INDEX(Työkonekanta!$F$3:$F$27,MATCH('S3 Tiekartta'!$A34,Työkonekanta!$A$3:$A$24,0),1))&lt;0,0,(INDEX(Työkonekanta!$F$3:$F$27,MATCH('S3 Tiekartta'!$A34,Työkonekanta!$A$3:$A$24,0),1))),0)</f>
        <v>1</v>
      </c>
      <c r="C34" s="140">
        <v>2020</v>
      </c>
      <c r="D34" s="141" t="str">
        <f>IFERROR(INDEX(Työkonekanta!$D$3:$D$27,MATCH('S3 Tiekartta'!$A34,Työkonekanta!$A$3:$A$24,0),1),"undefined")</f>
        <v>pom</v>
      </c>
      <c r="E34" s="145">
        <f>IFERROR(INDEX(Työkonekanta!$G$3:$G$27,MATCH($A34,Työkonekanta!$A$3:$A$24,0),1)*INDEX(Työkonekanta!$H$3:$H$27,MATCH($A34,Työkonekanta!$A$3:$A$24,0),1)*(1+s0b_kasvu*($C34-2019))*$B34,0)</f>
        <v>10100</v>
      </c>
      <c r="F34" s="145">
        <f t="shared" si="0"/>
        <v>362590</v>
      </c>
      <c r="G34" s="151">
        <f t="shared" si="14"/>
        <v>362590</v>
      </c>
      <c r="H34" s="145">
        <f t="shared" si="15"/>
        <v>0</v>
      </c>
      <c r="I34" s="145">
        <f t="shared" si="1"/>
        <v>10100</v>
      </c>
      <c r="J34" s="145">
        <f t="shared" si="2"/>
        <v>0</v>
      </c>
      <c r="K34" s="142" t="str">
        <f t="shared" si="16"/>
        <v>l</v>
      </c>
      <c r="L34" s="146">
        <f>IFERROR(INDEX(Työkonekanta!$I$3:$I$27,MATCH('S3 Tiekartta'!$A34,Työkonekanta!$A$3:$A$24,0),1)*(I34+J34)*f_adblue,0)</f>
        <v>505</v>
      </c>
      <c r="M34" s="146">
        <f t="shared" si="3"/>
        <v>0</v>
      </c>
      <c r="N34" s="143" t="str">
        <f>IF(tuulisähkö_vuosi&lt;='S3 Tiekartta'!C34,"tuulisähkö",ostosähkö_nyt)</f>
        <v>jäännössähkö</v>
      </c>
      <c r="O34" s="147">
        <f>INDEX(Muuttujat!$J$5:$J$21,MATCH($C34,Muuttujat!$H$5:$H$21,0),1)</f>
        <v>68.554749999999999</v>
      </c>
      <c r="P34" s="148">
        <f t="shared" si="17"/>
        <v>1</v>
      </c>
      <c r="Q34" s="148">
        <f t="shared" si="18"/>
        <v>0</v>
      </c>
      <c r="R34" s="148">
        <f t="shared" si="19"/>
        <v>0</v>
      </c>
      <c r="S34" s="149">
        <f t="shared" si="4"/>
        <v>6.8529509999999991</v>
      </c>
      <c r="T34" s="150">
        <f t="shared" si="5"/>
        <v>0</v>
      </c>
      <c r="U34" s="150">
        <f t="shared" si="6"/>
        <v>0</v>
      </c>
      <c r="V34" s="150">
        <f>IFERROR(INDEX(Työkonekanta!$J$3:$J$27,MATCH($A34,Työkonekanta!$A$3:$A$24,0),1)*$B34*ef_li_ion_akku/1000/1000/INDEX(Työkonekanta!$K$3:$K$27,MATCH($A34,Työkonekanta!$A$3:$A$24,0)),0)</f>
        <v>0</v>
      </c>
      <c r="W34" s="149">
        <f t="shared" si="7"/>
        <v>26.762134918859999</v>
      </c>
      <c r="X34" s="150">
        <f t="shared" si="8"/>
        <v>0.3209231166</v>
      </c>
      <c r="Y34" s="151">
        <f t="shared" si="9"/>
        <v>0.1313</v>
      </c>
      <c r="Z34" s="152">
        <f t="shared" si="20"/>
        <v>6.8529509999999991</v>
      </c>
      <c r="AA34" s="179">
        <f t="shared" si="21"/>
        <v>26.893434918859999</v>
      </c>
      <c r="AB34" s="179">
        <f t="shared" si="22"/>
        <v>27.214358035459998</v>
      </c>
      <c r="AC34" s="180">
        <f t="shared" si="10"/>
        <v>33.74638591886</v>
      </c>
      <c r="AD34" s="156">
        <f t="shared" si="23"/>
        <v>34.067309035459999</v>
      </c>
      <c r="AE34" s="146">
        <f>IFERROR(INDEX(Työkonekanta!$L$3:$L$30,MATCH($A34,Työkonekanta!$A$3:$A$30,0),1),0)*AF34</f>
        <v>500000</v>
      </c>
      <c r="AF34" s="146">
        <f>IFERROR(INDEX(Työkonekanta!$N$3:$N$32,MATCH($A34,Työkonekanta!$A$3:$A$32,0),1),0)</f>
        <v>1</v>
      </c>
      <c r="AG34" s="332">
        <f>I34*INDEX(Muuttujat!$U$5:$U$21,MATCH($C34,Muuttujat!$N$5:$N$21,0),1)</f>
        <v>9797</v>
      </c>
      <c r="AH34" s="332">
        <f>J34*INDEX(Muuttujat!$T$5:$T$21,MATCH($C34,Muuttujat!$N$5:$N$21,0),1)</f>
        <v>0</v>
      </c>
      <c r="AI34" s="332">
        <f t="shared" si="11"/>
        <v>252.5</v>
      </c>
      <c r="AJ34" s="332">
        <f t="shared" si="12"/>
        <v>0</v>
      </c>
      <c r="AK34" s="333">
        <f t="shared" si="24"/>
        <v>10049.5</v>
      </c>
      <c r="AL34" s="332">
        <f t="shared" si="13"/>
        <v>10049.5</v>
      </c>
      <c r="AM34" s="351"/>
      <c r="AN34" s="351"/>
    </row>
    <row r="35" spans="1:40">
      <c r="A35" s="139">
        <v>3</v>
      </c>
      <c r="B35" s="139">
        <f>IFERROR(IF((INDEX(Työkonekanta!$F$3:$F$27,MATCH('S3 Tiekartta'!$A35,Työkonekanta!$A$3:$A$24,0),1))&lt;0,0,(INDEX(Työkonekanta!$F$3:$F$27,MATCH('S3 Tiekartta'!$A35,Työkonekanta!$A$3:$A$24,0),1))),0)</f>
        <v>1</v>
      </c>
      <c r="C35" s="140">
        <v>2020</v>
      </c>
      <c r="D35" s="141" t="str">
        <f>IFERROR(INDEX(Työkonekanta!$D$3:$D$27,MATCH('S3 Tiekartta'!$A35,Työkonekanta!$A$3:$A$24,0),1),"undefined")</f>
        <v>pom</v>
      </c>
      <c r="E35" s="145">
        <f>IFERROR(INDEX(Työkonekanta!$G$3:$G$27,MATCH($A35,Työkonekanta!$A$3:$A$24,0),1)*INDEX(Työkonekanta!$H$3:$H$27,MATCH($A35,Työkonekanta!$A$3:$A$24,0),1)*(1+s0b_kasvu*($C35-2019))*$B35,0)</f>
        <v>10100</v>
      </c>
      <c r="F35" s="145">
        <f t="shared" si="0"/>
        <v>362590</v>
      </c>
      <c r="G35" s="151">
        <f t="shared" si="14"/>
        <v>362590</v>
      </c>
      <c r="H35" s="145">
        <f t="shared" si="15"/>
        <v>0</v>
      </c>
      <c r="I35" s="145">
        <f t="shared" si="1"/>
        <v>10100</v>
      </c>
      <c r="J35" s="145">
        <f t="shared" si="2"/>
        <v>0</v>
      </c>
      <c r="K35" s="142" t="str">
        <f t="shared" si="16"/>
        <v>l</v>
      </c>
      <c r="L35" s="146">
        <f>IFERROR(INDEX(Työkonekanta!$I$3:$I$27,MATCH('S3 Tiekartta'!$A35,Työkonekanta!$A$3:$A$24,0),1)*(I35+J35)*f_adblue,0)</f>
        <v>505</v>
      </c>
      <c r="M35" s="146">
        <f t="shared" si="3"/>
        <v>0</v>
      </c>
      <c r="N35" s="143" t="str">
        <f>IF(tuulisähkö_vuosi&lt;='S3 Tiekartta'!C35,"tuulisähkö",ostosähkö_nyt)</f>
        <v>jäännössähkö</v>
      </c>
      <c r="O35" s="147">
        <f>INDEX(Muuttujat!$J$5:$J$21,MATCH($C35,Muuttujat!$H$5:$H$21,0),1)</f>
        <v>68.554749999999999</v>
      </c>
      <c r="P35" s="148">
        <f t="shared" si="17"/>
        <v>1</v>
      </c>
      <c r="Q35" s="148">
        <f t="shared" si="18"/>
        <v>0</v>
      </c>
      <c r="R35" s="148">
        <f t="shared" si="19"/>
        <v>0</v>
      </c>
      <c r="S35" s="149">
        <f t="shared" si="4"/>
        <v>6.8529509999999991</v>
      </c>
      <c r="T35" s="150">
        <f t="shared" si="5"/>
        <v>0</v>
      </c>
      <c r="U35" s="150">
        <f t="shared" si="6"/>
        <v>0</v>
      </c>
      <c r="V35" s="150">
        <f>IFERROR(INDEX(Työkonekanta!$J$3:$J$27,MATCH($A35,Työkonekanta!$A$3:$A$24,0),1)*$B35*ef_li_ion_akku/1000/1000/INDEX(Työkonekanta!$K$3:$K$27,MATCH($A35,Työkonekanta!$A$3:$A$24,0)),0)</f>
        <v>0</v>
      </c>
      <c r="W35" s="149">
        <f t="shared" si="7"/>
        <v>26.762134918859999</v>
      </c>
      <c r="X35" s="150">
        <f t="shared" si="8"/>
        <v>0.3209231166</v>
      </c>
      <c r="Y35" s="151">
        <f t="shared" si="9"/>
        <v>0.1313</v>
      </c>
      <c r="Z35" s="152">
        <f t="shared" si="20"/>
        <v>6.8529509999999991</v>
      </c>
      <c r="AA35" s="179">
        <f t="shared" si="21"/>
        <v>26.893434918859999</v>
      </c>
      <c r="AB35" s="179">
        <f t="shared" si="22"/>
        <v>27.214358035459998</v>
      </c>
      <c r="AC35" s="180">
        <f t="shared" si="10"/>
        <v>33.74638591886</v>
      </c>
      <c r="AD35" s="156">
        <f t="shared" si="23"/>
        <v>34.067309035459999</v>
      </c>
      <c r="AE35" s="146">
        <f>IFERROR(INDEX(Työkonekanta!$L$3:$L$30,MATCH($A35,Työkonekanta!$A$3:$A$30,0),1),0)*AF35</f>
        <v>0</v>
      </c>
      <c r="AF35" s="146">
        <f>IFERROR(INDEX(Työkonekanta!$N$3:$N$32,MATCH($A35,Työkonekanta!$A$3:$A$32,0),1),0)</f>
        <v>0</v>
      </c>
      <c r="AG35" s="332">
        <f>I35*INDEX(Muuttujat!$U$5:$U$21,MATCH($C35,Muuttujat!$N$5:$N$21,0),1)</f>
        <v>9797</v>
      </c>
      <c r="AH35" s="332">
        <f>J35*INDEX(Muuttujat!$T$5:$T$21,MATCH($C35,Muuttujat!$N$5:$N$21,0),1)</f>
        <v>0</v>
      </c>
      <c r="AI35" s="332">
        <f t="shared" si="11"/>
        <v>252.5</v>
      </c>
      <c r="AJ35" s="332">
        <f t="shared" si="12"/>
        <v>0</v>
      </c>
      <c r="AK35" s="333">
        <f t="shared" si="24"/>
        <v>10049.5</v>
      </c>
      <c r="AL35" s="332">
        <f t="shared" si="13"/>
        <v>10049.5</v>
      </c>
      <c r="AM35" s="351"/>
      <c r="AN35" s="351"/>
    </row>
    <row r="36" spans="1:40">
      <c r="A36" s="139">
        <v>4</v>
      </c>
      <c r="B36" s="139">
        <f>IFERROR(IF((INDEX(Työkonekanta!$F$3:$F$27,MATCH('S3 Tiekartta'!$A36,Työkonekanta!$A$3:$A$24,0),1))&lt;0,0,(INDEX(Työkonekanta!$F$3:$F$27,MATCH('S3 Tiekartta'!$A36,Työkonekanta!$A$3:$A$24,0),1))),0)</f>
        <v>1</v>
      </c>
      <c r="C36" s="140">
        <v>2020</v>
      </c>
      <c r="D36" s="141" t="str">
        <f>IFERROR(INDEX(Työkonekanta!$D$3:$D$27,MATCH('S3 Tiekartta'!$A36,Työkonekanta!$A$3:$A$24,0),1),"undefined")</f>
        <v>pom</v>
      </c>
      <c r="E36" s="145">
        <f>IFERROR(INDEX(Työkonekanta!$G$3:$G$27,MATCH($A36,Työkonekanta!$A$3:$A$24,0),1)*INDEX(Työkonekanta!$H$3:$H$27,MATCH($A36,Työkonekanta!$A$3:$A$24,0),1)*(1+s0b_kasvu*($C36-2019))*$B36,0)</f>
        <v>10100</v>
      </c>
      <c r="F36" s="145">
        <f t="shared" si="0"/>
        <v>362590</v>
      </c>
      <c r="G36" s="151">
        <f t="shared" si="14"/>
        <v>362590</v>
      </c>
      <c r="H36" s="145">
        <f t="shared" si="15"/>
        <v>0</v>
      </c>
      <c r="I36" s="145">
        <f t="shared" si="1"/>
        <v>10100</v>
      </c>
      <c r="J36" s="145">
        <f t="shared" si="2"/>
        <v>0</v>
      </c>
      <c r="K36" s="142" t="str">
        <f t="shared" si="16"/>
        <v>l</v>
      </c>
      <c r="L36" s="146">
        <f>IFERROR(INDEX(Työkonekanta!$I$3:$I$27,MATCH('S3 Tiekartta'!$A36,Työkonekanta!$A$3:$A$24,0),1)*(I36+J36)*f_adblue,0)</f>
        <v>505</v>
      </c>
      <c r="M36" s="146">
        <f t="shared" si="3"/>
        <v>0</v>
      </c>
      <c r="N36" s="143" t="str">
        <f>IF(tuulisähkö_vuosi&lt;='S3 Tiekartta'!C36,"tuulisähkö",ostosähkö_nyt)</f>
        <v>jäännössähkö</v>
      </c>
      <c r="O36" s="147">
        <f>INDEX(Muuttujat!$J$5:$J$21,MATCH($C36,Muuttujat!$H$5:$H$21,0),1)</f>
        <v>68.554749999999999</v>
      </c>
      <c r="P36" s="148">
        <f t="shared" si="17"/>
        <v>1</v>
      </c>
      <c r="Q36" s="148">
        <f t="shared" si="18"/>
        <v>0</v>
      </c>
      <c r="R36" s="148">
        <f t="shared" si="19"/>
        <v>0</v>
      </c>
      <c r="S36" s="149">
        <f t="shared" si="4"/>
        <v>6.8529509999999991</v>
      </c>
      <c r="T36" s="150">
        <f t="shared" si="5"/>
        <v>0</v>
      </c>
      <c r="U36" s="150">
        <f t="shared" si="6"/>
        <v>0</v>
      </c>
      <c r="V36" s="150">
        <f>IFERROR(INDEX(Työkonekanta!$J$3:$J$27,MATCH($A36,Työkonekanta!$A$3:$A$24,0),1)*$B36*ef_li_ion_akku/1000/1000/INDEX(Työkonekanta!$K$3:$K$27,MATCH($A36,Työkonekanta!$A$3:$A$24,0)),0)</f>
        <v>0</v>
      </c>
      <c r="W36" s="149">
        <f t="shared" si="7"/>
        <v>26.762134918859999</v>
      </c>
      <c r="X36" s="150">
        <f t="shared" si="8"/>
        <v>0.3209231166</v>
      </c>
      <c r="Y36" s="151">
        <f t="shared" si="9"/>
        <v>0.1313</v>
      </c>
      <c r="Z36" s="152">
        <f t="shared" si="20"/>
        <v>6.8529509999999991</v>
      </c>
      <c r="AA36" s="179">
        <f t="shared" si="21"/>
        <v>26.893434918859999</v>
      </c>
      <c r="AB36" s="179">
        <f t="shared" si="22"/>
        <v>27.214358035459998</v>
      </c>
      <c r="AC36" s="180">
        <f t="shared" si="10"/>
        <v>33.74638591886</v>
      </c>
      <c r="AD36" s="156">
        <f t="shared" si="23"/>
        <v>34.067309035459999</v>
      </c>
      <c r="AE36" s="146">
        <f>IFERROR(INDEX(Työkonekanta!$L$3:$L$30,MATCH($A36,Työkonekanta!$A$3:$A$30,0),1),0)*AF36</f>
        <v>0</v>
      </c>
      <c r="AF36" s="146">
        <f>IFERROR(INDEX(Työkonekanta!$N$3:$N$32,MATCH($A36,Työkonekanta!$A$3:$A$32,0),1),0)</f>
        <v>0</v>
      </c>
      <c r="AG36" s="332">
        <f>I36*INDEX(Muuttujat!$U$5:$U$21,MATCH($C36,Muuttujat!$N$5:$N$21,0),1)</f>
        <v>9797</v>
      </c>
      <c r="AH36" s="332">
        <f>J36*INDEX(Muuttujat!$T$5:$T$21,MATCH($C36,Muuttujat!$N$5:$N$21,0),1)</f>
        <v>0</v>
      </c>
      <c r="AI36" s="332">
        <f t="shared" si="11"/>
        <v>252.5</v>
      </c>
      <c r="AJ36" s="332">
        <f t="shared" si="12"/>
        <v>0</v>
      </c>
      <c r="AK36" s="333">
        <f t="shared" si="24"/>
        <v>10049.5</v>
      </c>
      <c r="AL36" s="332">
        <f t="shared" si="13"/>
        <v>10049.5</v>
      </c>
      <c r="AM36" s="351"/>
      <c r="AN36" s="351"/>
    </row>
    <row r="37" spans="1:40">
      <c r="A37" s="139">
        <v>5</v>
      </c>
      <c r="B37" s="139">
        <f>IFERROR(IF((INDEX(Työkonekanta!$F$3:$F$27,MATCH('S3 Tiekartta'!$A37,Työkonekanta!$A$3:$A$24,0),1))&lt;0,0,(INDEX(Työkonekanta!$F$3:$F$27,MATCH('S3 Tiekartta'!$A37,Työkonekanta!$A$3:$A$24,0),1))),0)</f>
        <v>0</v>
      </c>
      <c r="C37" s="140">
        <v>2020</v>
      </c>
      <c r="D37" s="141" t="str">
        <f>IFERROR(INDEX(Työkonekanta!$D$3:$D$27,MATCH('S3 Tiekartta'!$A37,Työkonekanta!$A$3:$A$24,0),1),"undefined")</f>
        <v>sähkö</v>
      </c>
      <c r="E37" s="145">
        <f>IFERROR(INDEX(Työkonekanta!$G$3:$G$27,MATCH($A37,Työkonekanta!$A$3:$A$24,0),1)*INDEX(Työkonekanta!$H$3:$H$27,MATCH($A37,Työkonekanta!$A$3:$A$24,0),1)*(1+s0b_kasvu*($C37-2019))*$B37,0)</f>
        <v>0</v>
      </c>
      <c r="F37" s="145">
        <f t="shared" si="0"/>
        <v>0</v>
      </c>
      <c r="G37" s="151">
        <f t="shared" si="14"/>
        <v>0</v>
      </c>
      <c r="H37" s="145">
        <f t="shared" si="15"/>
        <v>0</v>
      </c>
      <c r="I37" s="145">
        <f t="shared" si="1"/>
        <v>0</v>
      </c>
      <c r="J37" s="145">
        <f t="shared" si="2"/>
        <v>0</v>
      </c>
      <c r="K37" s="142" t="str">
        <f t="shared" si="16"/>
        <v>kWh</v>
      </c>
      <c r="L37" s="146">
        <f>IFERROR(INDEX(Työkonekanta!$I$3:$I$27,MATCH('S3 Tiekartta'!$A37,Työkonekanta!$A$3:$A$24,0),1)*(I37+J37)*f_adblue,0)</f>
        <v>0</v>
      </c>
      <c r="M37" s="146">
        <f t="shared" si="3"/>
        <v>0</v>
      </c>
      <c r="N37" s="143" t="str">
        <f>IF(tuulisähkö_vuosi&lt;='S3 Tiekartta'!C37,"tuulisähkö",ostosähkö_nyt)</f>
        <v>jäännössähkö</v>
      </c>
      <c r="O37" s="147">
        <f>INDEX(Muuttujat!$J$5:$J$21,MATCH($C37,Muuttujat!$H$5:$H$21,0),1)</f>
        <v>68.554749999999999</v>
      </c>
      <c r="P37" s="148">
        <f t="shared" si="17"/>
        <v>1</v>
      </c>
      <c r="Q37" s="148">
        <f t="shared" si="18"/>
        <v>0</v>
      </c>
      <c r="R37" s="148">
        <f t="shared" si="19"/>
        <v>0</v>
      </c>
      <c r="S37" s="149">
        <f t="shared" si="4"/>
        <v>0</v>
      </c>
      <c r="T37" s="150">
        <f t="shared" si="5"/>
        <v>0</v>
      </c>
      <c r="U37" s="150">
        <f t="shared" si="6"/>
        <v>0</v>
      </c>
      <c r="V37" s="150">
        <f>IFERROR(INDEX(Työkonekanta!$J$3:$J$27,MATCH($A37,Työkonekanta!$A$3:$A$24,0),1)*$B37*ef_li_ion_akku/1000/1000/INDEX(Työkonekanta!$K$3:$K$27,MATCH($A37,Työkonekanta!$A$3:$A$24,0)),0)</f>
        <v>0</v>
      </c>
      <c r="W37" s="149">
        <f t="shared" si="7"/>
        <v>0</v>
      </c>
      <c r="X37" s="150">
        <f t="shared" si="8"/>
        <v>0</v>
      </c>
      <c r="Y37" s="151">
        <f t="shared" si="9"/>
        <v>0</v>
      </c>
      <c r="Z37" s="152">
        <f t="shared" si="20"/>
        <v>0</v>
      </c>
      <c r="AA37" s="179">
        <f t="shared" si="21"/>
        <v>0</v>
      </c>
      <c r="AB37" s="179">
        <f t="shared" si="22"/>
        <v>0</v>
      </c>
      <c r="AC37" s="180">
        <f t="shared" si="10"/>
        <v>0</v>
      </c>
      <c r="AD37" s="156">
        <f t="shared" si="23"/>
        <v>0</v>
      </c>
      <c r="AE37" s="146">
        <f>IFERROR(INDEX(Työkonekanta!$L$3:$L$30,MATCH($A37,Työkonekanta!$A$3:$A$30,0),1),0)*AF37</f>
        <v>0</v>
      </c>
      <c r="AF37" s="146">
        <f>IFERROR(INDEX(Työkonekanta!$N$3:$N$32,MATCH($A37,Työkonekanta!$A$3:$A$32,0),1),0)</f>
        <v>0</v>
      </c>
      <c r="AG37" s="332">
        <f>I37*INDEX(Muuttujat!$U$5:$U$21,MATCH($C37,Muuttujat!$N$5:$N$21,0),1)</f>
        <v>0</v>
      </c>
      <c r="AH37" s="332">
        <f>J37*INDEX(Muuttujat!$T$5:$T$21,MATCH($C37,Muuttujat!$N$5:$N$21,0),1)</f>
        <v>0</v>
      </c>
      <c r="AI37" s="332">
        <f t="shared" si="11"/>
        <v>0</v>
      </c>
      <c r="AJ37" s="332">
        <f t="shared" si="12"/>
        <v>0</v>
      </c>
      <c r="AK37" s="333">
        <f t="shared" si="24"/>
        <v>0</v>
      </c>
      <c r="AL37" s="332">
        <f t="shared" si="13"/>
        <v>0</v>
      </c>
      <c r="AM37" s="351"/>
      <c r="AN37" s="351"/>
    </row>
    <row r="38" spans="1:40">
      <c r="A38" s="139">
        <v>6</v>
      </c>
      <c r="B38" s="139">
        <f>IFERROR(IF((INDEX(Työkonekanta!$F$3:$F$27,MATCH('S3 Tiekartta'!$A38,Työkonekanta!$A$3:$A$24,0),1))&lt;0,0,(INDEX(Työkonekanta!$F$3:$F$27,MATCH('S3 Tiekartta'!$A38,Työkonekanta!$A$3:$A$24,0),1))),0)</f>
        <v>0</v>
      </c>
      <c r="C38" s="140">
        <v>2020</v>
      </c>
      <c r="D38" s="141" t="str">
        <f>IFERROR(INDEX(Työkonekanta!$D$3:$D$27,MATCH('S3 Tiekartta'!$A38,Työkonekanta!$A$3:$A$24,0),1),"undefined")</f>
        <v>sähkö</v>
      </c>
      <c r="E38" s="145">
        <f>IFERROR(INDEX(Työkonekanta!$G$3:$G$27,MATCH($A38,Työkonekanta!$A$3:$A$24,0),1)*INDEX(Työkonekanta!$H$3:$H$27,MATCH($A38,Työkonekanta!$A$3:$A$24,0),1)*(1+s0b_kasvu*($C38-2019))*$B38,0)</f>
        <v>0</v>
      </c>
      <c r="F38" s="145">
        <f t="shared" si="0"/>
        <v>0</v>
      </c>
      <c r="G38" s="151">
        <f t="shared" si="14"/>
        <v>0</v>
      </c>
      <c r="H38" s="145">
        <f t="shared" si="15"/>
        <v>0</v>
      </c>
      <c r="I38" s="145">
        <f t="shared" si="1"/>
        <v>0</v>
      </c>
      <c r="J38" s="145">
        <f t="shared" si="2"/>
        <v>0</v>
      </c>
      <c r="K38" s="142" t="str">
        <f t="shared" si="16"/>
        <v>kWh</v>
      </c>
      <c r="L38" s="146">
        <f>IFERROR(INDEX(Työkonekanta!$I$3:$I$27,MATCH('S3 Tiekartta'!$A38,Työkonekanta!$A$3:$A$24,0),1)*(I38+J38)*f_adblue,0)</f>
        <v>0</v>
      </c>
      <c r="M38" s="146">
        <f t="shared" si="3"/>
        <v>0</v>
      </c>
      <c r="N38" s="143" t="str">
        <f>IF(tuulisähkö_vuosi&lt;='S3 Tiekartta'!C38,"tuulisähkö",ostosähkö_nyt)</f>
        <v>jäännössähkö</v>
      </c>
      <c r="O38" s="147">
        <f>INDEX(Muuttujat!$J$5:$J$21,MATCH($C38,Muuttujat!$H$5:$H$21,0),1)</f>
        <v>68.554749999999999</v>
      </c>
      <c r="P38" s="148">
        <f t="shared" si="17"/>
        <v>1</v>
      </c>
      <c r="Q38" s="148">
        <f t="shared" si="18"/>
        <v>0</v>
      </c>
      <c r="R38" s="148">
        <f t="shared" si="19"/>
        <v>0</v>
      </c>
      <c r="S38" s="149">
        <f t="shared" si="4"/>
        <v>0</v>
      </c>
      <c r="T38" s="150">
        <f t="shared" si="5"/>
        <v>0</v>
      </c>
      <c r="U38" s="150">
        <f t="shared" si="6"/>
        <v>0</v>
      </c>
      <c r="V38" s="150">
        <f>IFERROR(INDEX(Työkonekanta!$J$3:$J$27,MATCH($A38,Työkonekanta!$A$3:$A$24,0),1)*$B38*ef_li_ion_akku/1000/1000/INDEX(Työkonekanta!$K$3:$K$27,MATCH($A38,Työkonekanta!$A$3:$A$24,0)),0)</f>
        <v>0</v>
      </c>
      <c r="W38" s="149">
        <f t="shared" si="7"/>
        <v>0</v>
      </c>
      <c r="X38" s="150">
        <f t="shared" si="8"/>
        <v>0</v>
      </c>
      <c r="Y38" s="151">
        <f t="shared" si="9"/>
        <v>0</v>
      </c>
      <c r="Z38" s="152">
        <f t="shared" si="20"/>
        <v>0</v>
      </c>
      <c r="AA38" s="179">
        <f t="shared" si="21"/>
        <v>0</v>
      </c>
      <c r="AB38" s="179">
        <f t="shared" si="22"/>
        <v>0</v>
      </c>
      <c r="AC38" s="180">
        <f t="shared" si="10"/>
        <v>0</v>
      </c>
      <c r="AD38" s="156">
        <f t="shared" si="23"/>
        <v>0</v>
      </c>
      <c r="AE38" s="146">
        <f>IFERROR(INDEX(Työkonekanta!$L$3:$L$30,MATCH($A38,Työkonekanta!$A$3:$A$30,0),1),0)*AF38</f>
        <v>0</v>
      </c>
      <c r="AF38" s="146">
        <f>IFERROR(INDEX(Työkonekanta!$N$3:$N$32,MATCH($A38,Työkonekanta!$A$3:$A$32,0),1),0)</f>
        <v>0</v>
      </c>
      <c r="AG38" s="332">
        <f>I38*INDEX(Muuttujat!$U$5:$U$21,MATCH($C38,Muuttujat!$N$5:$N$21,0),1)</f>
        <v>0</v>
      </c>
      <c r="AH38" s="332">
        <f>J38*INDEX(Muuttujat!$T$5:$T$21,MATCH($C38,Muuttujat!$N$5:$N$21,0),1)</f>
        <v>0</v>
      </c>
      <c r="AI38" s="332">
        <f t="shared" si="11"/>
        <v>0</v>
      </c>
      <c r="AJ38" s="332">
        <f t="shared" si="12"/>
        <v>0</v>
      </c>
      <c r="AK38" s="333">
        <f t="shared" si="24"/>
        <v>0</v>
      </c>
      <c r="AL38" s="332">
        <f t="shared" si="13"/>
        <v>0</v>
      </c>
      <c r="AM38" s="351"/>
      <c r="AN38" s="351"/>
    </row>
    <row r="39" spans="1:40">
      <c r="A39" s="139">
        <v>7</v>
      </c>
      <c r="B39" s="139">
        <f>IFERROR(IF((INDEX(Työkonekanta!$F$3:$F$27,MATCH('S3 Tiekartta'!$A39,Työkonekanta!$A$3:$A$24,0),1))&lt;0,0,(INDEX(Työkonekanta!$F$3:$F$27,MATCH('S3 Tiekartta'!$A39,Työkonekanta!$A$3:$A$24,0),1))),0)</f>
        <v>1</v>
      </c>
      <c r="C39" s="140">
        <v>2020</v>
      </c>
      <c r="D39" s="141" t="str">
        <f>IFERROR(INDEX(Työkonekanta!$D$3:$D$27,MATCH('S3 Tiekartta'!$A39,Työkonekanta!$A$3:$A$24,0),1),"undefined")</f>
        <v>pom</v>
      </c>
      <c r="E39" s="145">
        <f>IFERROR(INDEX(Työkonekanta!$G$3:$G$27,MATCH($A39,Työkonekanta!$A$3:$A$24,0),1)*INDEX(Työkonekanta!$H$3:$H$27,MATCH($A39,Työkonekanta!$A$3:$A$24,0),1)*(1+s0b_kasvu*($C39-2019))*$B39,0)</f>
        <v>10100</v>
      </c>
      <c r="F39" s="145">
        <f t="shared" si="0"/>
        <v>362590</v>
      </c>
      <c r="G39" s="151">
        <f t="shared" si="14"/>
        <v>362590</v>
      </c>
      <c r="H39" s="145">
        <f t="shared" si="15"/>
        <v>0</v>
      </c>
      <c r="I39" s="145">
        <f t="shared" si="1"/>
        <v>10100</v>
      </c>
      <c r="J39" s="145">
        <f t="shared" si="2"/>
        <v>0</v>
      </c>
      <c r="K39" s="142" t="str">
        <f t="shared" si="16"/>
        <v>l</v>
      </c>
      <c r="L39" s="146">
        <f>IFERROR(INDEX(Työkonekanta!$I$3:$I$27,MATCH('S3 Tiekartta'!$A39,Työkonekanta!$A$3:$A$24,0),1)*(I39+J39)*f_adblue,0)</f>
        <v>0</v>
      </c>
      <c r="M39" s="146">
        <f t="shared" si="3"/>
        <v>0</v>
      </c>
      <c r="N39" s="143" t="str">
        <f>IF(tuulisähkö_vuosi&lt;='S3 Tiekartta'!C39,"tuulisähkö",ostosähkö_nyt)</f>
        <v>jäännössähkö</v>
      </c>
      <c r="O39" s="147">
        <f>INDEX(Muuttujat!$J$5:$J$21,MATCH($C39,Muuttujat!$H$5:$H$21,0),1)</f>
        <v>68.554749999999999</v>
      </c>
      <c r="P39" s="148">
        <f t="shared" si="17"/>
        <v>1</v>
      </c>
      <c r="Q39" s="148">
        <f t="shared" si="18"/>
        <v>0</v>
      </c>
      <c r="R39" s="148">
        <f t="shared" si="19"/>
        <v>0</v>
      </c>
      <c r="S39" s="149">
        <f t="shared" si="4"/>
        <v>6.8529509999999991</v>
      </c>
      <c r="T39" s="150">
        <f t="shared" si="5"/>
        <v>0</v>
      </c>
      <c r="U39" s="150">
        <f t="shared" si="6"/>
        <v>0</v>
      </c>
      <c r="V39" s="150">
        <f>IFERROR(INDEX(Työkonekanta!$J$3:$J$27,MATCH($A39,Työkonekanta!$A$3:$A$24,0),1)*$B39*ef_li_ion_akku/1000/1000/INDEX(Työkonekanta!$K$3:$K$27,MATCH($A39,Työkonekanta!$A$3:$A$24,0)),0)</f>
        <v>0</v>
      </c>
      <c r="W39" s="149">
        <f t="shared" si="7"/>
        <v>26.762134918859999</v>
      </c>
      <c r="X39" s="150">
        <f t="shared" si="8"/>
        <v>0.3209231166</v>
      </c>
      <c r="Y39" s="151">
        <f t="shared" si="9"/>
        <v>0</v>
      </c>
      <c r="Z39" s="152">
        <f t="shared" si="20"/>
        <v>6.8529509999999991</v>
      </c>
      <c r="AA39" s="179">
        <f t="shared" si="21"/>
        <v>26.762134918859999</v>
      </c>
      <c r="AB39" s="179">
        <f t="shared" si="22"/>
        <v>27.083058035459999</v>
      </c>
      <c r="AC39" s="180">
        <f t="shared" si="10"/>
        <v>33.615085918859997</v>
      </c>
      <c r="AD39" s="156">
        <f t="shared" si="23"/>
        <v>33.936009035459996</v>
      </c>
      <c r="AE39" s="146">
        <f>IFERROR(INDEX(Työkonekanta!$L$3:$L$30,MATCH($A39,Työkonekanta!$A$3:$A$30,0),1),0)*AF39</f>
        <v>500000</v>
      </c>
      <c r="AF39" s="146">
        <f>IFERROR(INDEX(Työkonekanta!$N$3:$N$32,MATCH($A39,Työkonekanta!$A$3:$A$32,0),1),0)</f>
        <v>1</v>
      </c>
      <c r="AG39" s="332">
        <f>I39*INDEX(Muuttujat!$U$5:$U$21,MATCH($C39,Muuttujat!$N$5:$N$21,0),1)</f>
        <v>9797</v>
      </c>
      <c r="AH39" s="332">
        <f>J39*INDEX(Muuttujat!$T$5:$T$21,MATCH($C39,Muuttujat!$N$5:$N$21,0),1)</f>
        <v>0</v>
      </c>
      <c r="AI39" s="332">
        <f t="shared" si="11"/>
        <v>0</v>
      </c>
      <c r="AJ39" s="332">
        <f t="shared" si="12"/>
        <v>0</v>
      </c>
      <c r="AK39" s="333">
        <f t="shared" si="24"/>
        <v>9797</v>
      </c>
      <c r="AL39" s="332">
        <f t="shared" si="13"/>
        <v>9797</v>
      </c>
      <c r="AM39" s="351"/>
      <c r="AN39" s="351"/>
    </row>
    <row r="40" spans="1:40">
      <c r="A40" s="139">
        <v>8</v>
      </c>
      <c r="B40" s="139">
        <f>IFERROR(IF((INDEX(Työkonekanta!$F$3:$F$27,MATCH('S3 Tiekartta'!$A40,Työkonekanta!$A$3:$A$24,0),1))&lt;0,0,(INDEX(Työkonekanta!$F$3:$F$27,MATCH('S3 Tiekartta'!$A40,Työkonekanta!$A$3:$A$24,0),1))),0)</f>
        <v>1</v>
      </c>
      <c r="C40" s="140">
        <v>2020</v>
      </c>
      <c r="D40" s="141" t="str">
        <f>IFERROR(INDEX(Työkonekanta!$D$3:$D$27,MATCH('S3 Tiekartta'!$A40,Työkonekanta!$A$3:$A$24,0),1),"undefined")</f>
        <v>pom</v>
      </c>
      <c r="E40" s="145">
        <f>IFERROR(INDEX(Työkonekanta!$G$3:$G$27,MATCH($A40,Työkonekanta!$A$3:$A$24,0),1)*INDEX(Työkonekanta!$H$3:$H$27,MATCH($A40,Työkonekanta!$A$3:$A$24,0),1)*(1+s0b_kasvu*($C40-2019))*$B40,0)</f>
        <v>10100</v>
      </c>
      <c r="F40" s="145">
        <f t="shared" si="0"/>
        <v>362590</v>
      </c>
      <c r="G40" s="151">
        <f t="shared" si="14"/>
        <v>362590</v>
      </c>
      <c r="H40" s="145">
        <f t="shared" si="15"/>
        <v>0</v>
      </c>
      <c r="I40" s="145">
        <f t="shared" si="1"/>
        <v>10100</v>
      </c>
      <c r="J40" s="145">
        <f t="shared" si="2"/>
        <v>0</v>
      </c>
      <c r="K40" s="142" t="str">
        <f t="shared" si="16"/>
        <v>l</v>
      </c>
      <c r="L40" s="146">
        <f>IFERROR(INDEX(Työkonekanta!$I$3:$I$27,MATCH('S3 Tiekartta'!$A40,Työkonekanta!$A$3:$A$24,0),1)*(I40+J40)*f_adblue,0)</f>
        <v>505</v>
      </c>
      <c r="M40" s="146">
        <f t="shared" si="3"/>
        <v>0</v>
      </c>
      <c r="N40" s="143" t="str">
        <f>IF(tuulisähkö_vuosi&lt;='S3 Tiekartta'!C40,"tuulisähkö",ostosähkö_nyt)</f>
        <v>jäännössähkö</v>
      </c>
      <c r="O40" s="147">
        <f>INDEX(Muuttujat!$J$5:$J$21,MATCH($C40,Muuttujat!$H$5:$H$21,0),1)</f>
        <v>68.554749999999999</v>
      </c>
      <c r="P40" s="148">
        <f t="shared" si="17"/>
        <v>1</v>
      </c>
      <c r="Q40" s="148">
        <f t="shared" si="18"/>
        <v>0</v>
      </c>
      <c r="R40" s="148">
        <f t="shared" si="19"/>
        <v>0</v>
      </c>
      <c r="S40" s="149">
        <f t="shared" si="4"/>
        <v>6.8529509999999991</v>
      </c>
      <c r="T40" s="150">
        <f t="shared" si="5"/>
        <v>0</v>
      </c>
      <c r="U40" s="150">
        <f t="shared" si="6"/>
        <v>0</v>
      </c>
      <c r="V40" s="150">
        <f>IFERROR(INDEX(Työkonekanta!$J$3:$J$27,MATCH($A40,Työkonekanta!$A$3:$A$24,0),1)*$B40*ef_li_ion_akku/1000/1000/INDEX(Työkonekanta!$K$3:$K$27,MATCH($A40,Työkonekanta!$A$3:$A$24,0)),0)</f>
        <v>0</v>
      </c>
      <c r="W40" s="149">
        <f t="shared" si="7"/>
        <v>26.762134918859999</v>
      </c>
      <c r="X40" s="150">
        <f t="shared" si="8"/>
        <v>0.3209231166</v>
      </c>
      <c r="Y40" s="151">
        <f t="shared" si="9"/>
        <v>0.1313</v>
      </c>
      <c r="Z40" s="152">
        <f t="shared" si="20"/>
        <v>6.8529509999999991</v>
      </c>
      <c r="AA40" s="179">
        <f t="shared" si="21"/>
        <v>26.893434918859999</v>
      </c>
      <c r="AB40" s="179">
        <f t="shared" si="22"/>
        <v>27.214358035459998</v>
      </c>
      <c r="AC40" s="180">
        <f t="shared" si="10"/>
        <v>33.74638591886</v>
      </c>
      <c r="AD40" s="156">
        <f t="shared" si="23"/>
        <v>34.067309035459999</v>
      </c>
      <c r="AE40" s="146">
        <f>IFERROR(INDEX(Työkonekanta!$L$3:$L$30,MATCH($A40,Työkonekanta!$A$3:$A$30,0),1),0)*AF40</f>
        <v>500000</v>
      </c>
      <c r="AF40" s="146">
        <f>IFERROR(INDEX(Työkonekanta!$N$3:$N$32,MATCH($A40,Työkonekanta!$A$3:$A$32,0),1),0)</f>
        <v>1</v>
      </c>
      <c r="AG40" s="332">
        <f>I40*INDEX(Muuttujat!$U$5:$U$21,MATCH($C40,Muuttujat!$N$5:$N$21,0),1)</f>
        <v>9797</v>
      </c>
      <c r="AH40" s="332">
        <f>J40*INDEX(Muuttujat!$T$5:$T$21,MATCH($C40,Muuttujat!$N$5:$N$21,0),1)</f>
        <v>0</v>
      </c>
      <c r="AI40" s="332">
        <f t="shared" si="11"/>
        <v>252.5</v>
      </c>
      <c r="AJ40" s="332">
        <f t="shared" si="12"/>
        <v>0</v>
      </c>
      <c r="AK40" s="333">
        <f t="shared" si="24"/>
        <v>10049.5</v>
      </c>
      <c r="AL40" s="332">
        <f t="shared" si="13"/>
        <v>10049.5</v>
      </c>
      <c r="AM40" s="351"/>
      <c r="AN40" s="351"/>
    </row>
    <row r="41" spans="1:40">
      <c r="A41" s="139">
        <v>9</v>
      </c>
      <c r="B41" s="139">
        <f>IFERROR(IF((INDEX(Työkonekanta!$F$3:$F$27,MATCH('S3 Tiekartta'!$A41,Työkonekanta!$A$3:$A$24,0),1))&lt;0,0,(INDEX(Työkonekanta!$F$3:$F$27,MATCH('S3 Tiekartta'!$A41,Työkonekanta!$A$3:$A$24,0),1))),0)</f>
        <v>0</v>
      </c>
      <c r="C41" s="140">
        <v>2020</v>
      </c>
      <c r="D41" s="141" t="str">
        <f>IFERROR(INDEX(Työkonekanta!$D$3:$D$27,MATCH('S3 Tiekartta'!$A41,Työkonekanta!$A$3:$A$24,0),1),"undefined")</f>
        <v>sähkö</v>
      </c>
      <c r="E41" s="145">
        <f>IFERROR(INDEX(Työkonekanta!$G$3:$G$27,MATCH($A41,Työkonekanta!$A$3:$A$24,0),1)*INDEX(Työkonekanta!$H$3:$H$27,MATCH($A41,Työkonekanta!$A$3:$A$24,0),1)*(1+s0b_kasvu*($C41-2019))*$B41,0)</f>
        <v>0</v>
      </c>
      <c r="F41" s="145">
        <f t="shared" si="0"/>
        <v>0</v>
      </c>
      <c r="G41" s="151">
        <f t="shared" si="14"/>
        <v>0</v>
      </c>
      <c r="H41" s="145">
        <f t="shared" si="15"/>
        <v>0</v>
      </c>
      <c r="I41" s="145">
        <f t="shared" si="1"/>
        <v>0</v>
      </c>
      <c r="J41" s="145">
        <f t="shared" si="2"/>
        <v>0</v>
      </c>
      <c r="K41" s="142" t="str">
        <f t="shared" si="16"/>
        <v>kWh</v>
      </c>
      <c r="L41" s="146">
        <f>IFERROR(INDEX(Työkonekanta!$I$3:$I$27,MATCH('S3 Tiekartta'!$A41,Työkonekanta!$A$3:$A$24,0),1)*(I41+J41)*f_adblue,0)</f>
        <v>0</v>
      </c>
      <c r="M41" s="146">
        <f t="shared" si="3"/>
        <v>0</v>
      </c>
      <c r="N41" s="143" t="str">
        <f>IF(tuulisähkö_vuosi&lt;='S3 Tiekartta'!C41,"tuulisähkö",ostosähkö_nyt)</f>
        <v>jäännössähkö</v>
      </c>
      <c r="O41" s="147">
        <f>INDEX(Muuttujat!$J$5:$J$21,MATCH($C41,Muuttujat!$H$5:$H$21,0),1)</f>
        <v>68.554749999999999</v>
      </c>
      <c r="P41" s="148">
        <f t="shared" si="17"/>
        <v>1</v>
      </c>
      <c r="Q41" s="148">
        <f t="shared" si="18"/>
        <v>0</v>
      </c>
      <c r="R41" s="148">
        <f t="shared" si="19"/>
        <v>0</v>
      </c>
      <c r="S41" s="149">
        <f t="shared" si="4"/>
        <v>0</v>
      </c>
      <c r="T41" s="150">
        <f t="shared" si="5"/>
        <v>0</v>
      </c>
      <c r="U41" s="150">
        <f t="shared" si="6"/>
        <v>0</v>
      </c>
      <c r="V41" s="150">
        <f>IFERROR(INDEX(Työkonekanta!$J$3:$J$27,MATCH($A41,Työkonekanta!$A$3:$A$24,0),1)*$B41*ef_li_ion_akku/1000/1000/INDEX(Työkonekanta!$K$3:$K$27,MATCH($A41,Työkonekanta!$A$3:$A$24,0)),0)</f>
        <v>0</v>
      </c>
      <c r="W41" s="149">
        <f t="shared" si="7"/>
        <v>0</v>
      </c>
      <c r="X41" s="150">
        <f t="shared" si="8"/>
        <v>0</v>
      </c>
      <c r="Y41" s="151">
        <f t="shared" si="9"/>
        <v>0</v>
      </c>
      <c r="Z41" s="152">
        <f t="shared" si="20"/>
        <v>0</v>
      </c>
      <c r="AA41" s="179">
        <f t="shared" si="21"/>
        <v>0</v>
      </c>
      <c r="AB41" s="179">
        <f t="shared" si="22"/>
        <v>0</v>
      </c>
      <c r="AC41" s="180">
        <f t="shared" si="10"/>
        <v>0</v>
      </c>
      <c r="AD41" s="156">
        <f t="shared" si="23"/>
        <v>0</v>
      </c>
      <c r="AE41" s="146">
        <f>IFERROR(INDEX(Työkonekanta!$L$3:$L$30,MATCH($A41,Työkonekanta!$A$3:$A$30,0),1),0)*AF41</f>
        <v>0</v>
      </c>
      <c r="AF41" s="146">
        <f>IFERROR(INDEX(Työkonekanta!$N$3:$N$32,MATCH($A41,Työkonekanta!$A$3:$A$32,0),1),0)</f>
        <v>0</v>
      </c>
      <c r="AG41" s="332">
        <f>I41*INDEX(Muuttujat!$U$5:$U$21,MATCH($C41,Muuttujat!$N$5:$N$21,0),1)</f>
        <v>0</v>
      </c>
      <c r="AH41" s="332">
        <f>J41*INDEX(Muuttujat!$T$5:$T$21,MATCH($C41,Muuttujat!$N$5:$N$21,0),1)</f>
        <v>0</v>
      </c>
      <c r="AI41" s="332">
        <f t="shared" si="11"/>
        <v>0</v>
      </c>
      <c r="AJ41" s="332">
        <f t="shared" si="12"/>
        <v>0</v>
      </c>
      <c r="AK41" s="333">
        <f t="shared" si="24"/>
        <v>0</v>
      </c>
      <c r="AL41" s="332">
        <f t="shared" si="13"/>
        <v>0</v>
      </c>
      <c r="AM41" s="351"/>
      <c r="AN41" s="351"/>
    </row>
    <row r="42" spans="1:40">
      <c r="A42" s="139">
        <v>10</v>
      </c>
      <c r="B42" s="139">
        <f>IFERROR(IF((INDEX(Työkonekanta!$F$3:$F$27,MATCH('S3 Tiekartta'!$A42,Työkonekanta!$A$3:$A$24,0),1))&lt;0,0,(INDEX(Työkonekanta!$F$3:$F$27,MATCH('S3 Tiekartta'!$A42,Työkonekanta!$A$3:$A$24,0),1))),0)</f>
        <v>0</v>
      </c>
      <c r="C42" s="140">
        <v>2020</v>
      </c>
      <c r="D42" s="141" t="str">
        <f>IFERROR(INDEX(Työkonekanta!$D$3:$D$27,MATCH('S3 Tiekartta'!$A42,Työkonekanta!$A$3:$A$24,0),1),"undefined")</f>
        <v>sähkö</v>
      </c>
      <c r="E42" s="145">
        <f>IFERROR(INDEX(Työkonekanta!$G$3:$G$27,MATCH($A42,Työkonekanta!$A$3:$A$24,0),1)*INDEX(Työkonekanta!$H$3:$H$27,MATCH($A42,Työkonekanta!$A$3:$A$24,0),1)*(1+s0b_kasvu*($C42-2019))*$B42,0)</f>
        <v>0</v>
      </c>
      <c r="F42" s="145">
        <f t="shared" si="0"/>
        <v>0</v>
      </c>
      <c r="G42" s="151">
        <f t="shared" si="14"/>
        <v>0</v>
      </c>
      <c r="H42" s="145">
        <f t="shared" si="15"/>
        <v>0</v>
      </c>
      <c r="I42" s="145">
        <f t="shared" si="1"/>
        <v>0</v>
      </c>
      <c r="J42" s="145">
        <f t="shared" si="2"/>
        <v>0</v>
      </c>
      <c r="K42" s="142" t="str">
        <f t="shared" si="16"/>
        <v>kWh</v>
      </c>
      <c r="L42" s="146">
        <f>IFERROR(INDEX(Työkonekanta!$I$3:$I$27,MATCH('S3 Tiekartta'!$A42,Työkonekanta!$A$3:$A$24,0),1)*(I42+J42)*f_adblue,0)</f>
        <v>0</v>
      </c>
      <c r="M42" s="146">
        <f t="shared" si="3"/>
        <v>0</v>
      </c>
      <c r="N42" s="143" t="str">
        <f>IF(tuulisähkö_vuosi&lt;='S3 Tiekartta'!C42,"tuulisähkö",ostosähkö_nyt)</f>
        <v>jäännössähkö</v>
      </c>
      <c r="O42" s="147">
        <f>INDEX(Muuttujat!$J$5:$J$21,MATCH($C42,Muuttujat!$H$5:$H$21,0),1)</f>
        <v>68.554749999999999</v>
      </c>
      <c r="P42" s="148">
        <f t="shared" si="17"/>
        <v>1</v>
      </c>
      <c r="Q42" s="148">
        <f t="shared" si="18"/>
        <v>0</v>
      </c>
      <c r="R42" s="148">
        <f t="shared" si="19"/>
        <v>0</v>
      </c>
      <c r="S42" s="149">
        <f t="shared" si="4"/>
        <v>0</v>
      </c>
      <c r="T42" s="150">
        <f t="shared" si="5"/>
        <v>0</v>
      </c>
      <c r="U42" s="150">
        <f t="shared" si="6"/>
        <v>0</v>
      </c>
      <c r="V42" s="150">
        <f>IFERROR(INDEX(Työkonekanta!$J$3:$J$27,MATCH($A42,Työkonekanta!$A$3:$A$24,0),1)*$B42*ef_li_ion_akku/1000/1000/INDEX(Työkonekanta!$K$3:$K$27,MATCH($A42,Työkonekanta!$A$3:$A$24,0)),0)</f>
        <v>0</v>
      </c>
      <c r="W42" s="149">
        <f t="shared" si="7"/>
        <v>0</v>
      </c>
      <c r="X42" s="150">
        <f t="shared" si="8"/>
        <v>0</v>
      </c>
      <c r="Y42" s="151">
        <f t="shared" si="9"/>
        <v>0</v>
      </c>
      <c r="Z42" s="152">
        <f t="shared" si="20"/>
        <v>0</v>
      </c>
      <c r="AA42" s="179">
        <f t="shared" si="21"/>
        <v>0</v>
      </c>
      <c r="AB42" s="179">
        <f t="shared" si="22"/>
        <v>0</v>
      </c>
      <c r="AC42" s="180">
        <f t="shared" si="10"/>
        <v>0</v>
      </c>
      <c r="AD42" s="156">
        <f t="shared" si="23"/>
        <v>0</v>
      </c>
      <c r="AE42" s="146">
        <f>IFERROR(INDEX(Työkonekanta!$L$3:$L$30,MATCH($A42,Työkonekanta!$A$3:$A$30,0),1),0)*AF42</f>
        <v>0</v>
      </c>
      <c r="AF42" s="146">
        <f>IFERROR(INDEX(Työkonekanta!$N$3:$N$32,MATCH($A42,Työkonekanta!$A$3:$A$32,0),1),0)</f>
        <v>0</v>
      </c>
      <c r="AG42" s="332">
        <f>I42*INDEX(Muuttujat!$U$5:$U$21,MATCH($C42,Muuttujat!$N$5:$N$21,0),1)</f>
        <v>0</v>
      </c>
      <c r="AH42" s="332">
        <f>J42*INDEX(Muuttujat!$T$5:$T$21,MATCH($C42,Muuttujat!$N$5:$N$21,0),1)</f>
        <v>0</v>
      </c>
      <c r="AI42" s="332">
        <f t="shared" si="11"/>
        <v>0</v>
      </c>
      <c r="AJ42" s="332">
        <f t="shared" si="12"/>
        <v>0</v>
      </c>
      <c r="AK42" s="333">
        <f t="shared" si="24"/>
        <v>0</v>
      </c>
      <c r="AL42" s="332">
        <f t="shared" si="13"/>
        <v>0</v>
      </c>
      <c r="AM42" s="351"/>
      <c r="AN42" s="351"/>
    </row>
    <row r="43" spans="1:40">
      <c r="A43" s="139">
        <v>11</v>
      </c>
      <c r="B43" s="139">
        <f>IFERROR(IF((INDEX(Työkonekanta!$F$3:$F$27,MATCH('S3 Tiekartta'!$A43,Työkonekanta!$A$3:$A$24,0),1))&lt;0,0,(INDEX(Työkonekanta!$F$3:$F$27,MATCH('S3 Tiekartta'!$A43,Työkonekanta!$A$3:$A$24,0),1))),0)</f>
        <v>1</v>
      </c>
      <c r="C43" s="140">
        <v>2020</v>
      </c>
      <c r="D43" s="141" t="str">
        <f>IFERROR(INDEX(Työkonekanta!$D$3:$D$27,MATCH('S3 Tiekartta'!$A43,Työkonekanta!$A$3:$A$24,0),1),"undefined")</f>
        <v>pom</v>
      </c>
      <c r="E43" s="145">
        <f>IFERROR(INDEX(Työkonekanta!$G$3:$G$27,MATCH($A43,Työkonekanta!$A$3:$A$24,0),1)*INDEX(Työkonekanta!$H$3:$H$27,MATCH($A43,Työkonekanta!$A$3:$A$24,0),1)*(1+s0b_kasvu*($C43-2019))*$B43,0)</f>
        <v>10100</v>
      </c>
      <c r="F43" s="145">
        <f t="shared" si="0"/>
        <v>362590</v>
      </c>
      <c r="G43" s="151">
        <f t="shared" si="14"/>
        <v>362590</v>
      </c>
      <c r="H43" s="145">
        <f t="shared" si="15"/>
        <v>0</v>
      </c>
      <c r="I43" s="145">
        <f t="shared" si="1"/>
        <v>10100</v>
      </c>
      <c r="J43" s="145">
        <f t="shared" si="2"/>
        <v>0</v>
      </c>
      <c r="K43" s="142" t="str">
        <f t="shared" si="16"/>
        <v>l</v>
      </c>
      <c r="L43" s="146">
        <f>IFERROR(INDEX(Työkonekanta!$I$3:$I$27,MATCH('S3 Tiekartta'!$A43,Työkonekanta!$A$3:$A$24,0),1)*(I43+J43)*f_adblue,0)</f>
        <v>505</v>
      </c>
      <c r="M43" s="146">
        <f t="shared" si="3"/>
        <v>0</v>
      </c>
      <c r="N43" s="143" t="str">
        <f>IF(tuulisähkö_vuosi&lt;='S3 Tiekartta'!C43,"tuulisähkö",ostosähkö_nyt)</f>
        <v>jäännössähkö</v>
      </c>
      <c r="O43" s="147">
        <f>INDEX(Muuttujat!$J$5:$J$21,MATCH($C43,Muuttujat!$H$5:$H$21,0),1)</f>
        <v>68.554749999999999</v>
      </c>
      <c r="P43" s="148">
        <f t="shared" si="17"/>
        <v>1</v>
      </c>
      <c r="Q43" s="148">
        <f t="shared" si="18"/>
        <v>0</v>
      </c>
      <c r="R43" s="148">
        <f t="shared" si="19"/>
        <v>0</v>
      </c>
      <c r="S43" s="149">
        <f t="shared" si="4"/>
        <v>6.8529509999999991</v>
      </c>
      <c r="T43" s="150">
        <f t="shared" si="5"/>
        <v>0</v>
      </c>
      <c r="U43" s="150">
        <f t="shared" si="6"/>
        <v>0</v>
      </c>
      <c r="V43" s="150">
        <f>IFERROR(INDEX(Työkonekanta!$J$3:$J$27,MATCH($A43,Työkonekanta!$A$3:$A$24,0),1)*$B43*ef_li_ion_akku/1000/1000/INDEX(Työkonekanta!$K$3:$K$27,MATCH($A43,Työkonekanta!$A$3:$A$24,0)),0)</f>
        <v>0</v>
      </c>
      <c r="W43" s="149">
        <f t="shared" si="7"/>
        <v>26.762134918859999</v>
      </c>
      <c r="X43" s="150">
        <f t="shared" si="8"/>
        <v>0.3209231166</v>
      </c>
      <c r="Y43" s="151">
        <f t="shared" si="9"/>
        <v>0.1313</v>
      </c>
      <c r="Z43" s="152">
        <f t="shared" si="20"/>
        <v>6.8529509999999991</v>
      </c>
      <c r="AA43" s="179">
        <f t="shared" si="21"/>
        <v>26.893434918859999</v>
      </c>
      <c r="AB43" s="179">
        <f t="shared" si="22"/>
        <v>27.214358035459998</v>
      </c>
      <c r="AC43" s="180">
        <f t="shared" si="10"/>
        <v>33.74638591886</v>
      </c>
      <c r="AD43" s="156">
        <f t="shared" si="23"/>
        <v>34.067309035459999</v>
      </c>
      <c r="AE43" s="146">
        <f>IFERROR(INDEX(Työkonekanta!$L$3:$L$30,MATCH($A43,Työkonekanta!$A$3:$A$30,0),1),0)*AF43</f>
        <v>500000</v>
      </c>
      <c r="AF43" s="146">
        <f>IFERROR(INDEX(Työkonekanta!$N$3:$N$32,MATCH($A43,Työkonekanta!$A$3:$A$32,0),1),0)</f>
        <v>1</v>
      </c>
      <c r="AG43" s="332">
        <f>I43*INDEX(Muuttujat!$U$5:$U$21,MATCH($C43,Muuttujat!$N$5:$N$21,0),1)</f>
        <v>9797</v>
      </c>
      <c r="AH43" s="332">
        <f>J43*INDEX(Muuttujat!$T$5:$T$21,MATCH($C43,Muuttujat!$N$5:$N$21,0),1)</f>
        <v>0</v>
      </c>
      <c r="AI43" s="332">
        <f t="shared" si="11"/>
        <v>252.5</v>
      </c>
      <c r="AJ43" s="332">
        <f t="shared" si="12"/>
        <v>0</v>
      </c>
      <c r="AK43" s="333">
        <f t="shared" si="24"/>
        <v>10049.5</v>
      </c>
      <c r="AL43" s="332">
        <f t="shared" si="13"/>
        <v>10049.5</v>
      </c>
      <c r="AM43" s="351"/>
      <c r="AN43" s="351"/>
    </row>
    <row r="44" spans="1:40">
      <c r="A44" s="139">
        <v>12</v>
      </c>
      <c r="B44" s="139">
        <f>IFERROR(IF((INDEX(Työkonekanta!$F$3:$F$27,MATCH('S3 Tiekartta'!$A44,Työkonekanta!$A$3:$A$24,0),1))&lt;0,0,(INDEX(Työkonekanta!$F$3:$F$27,MATCH('S3 Tiekartta'!$A44,Työkonekanta!$A$3:$A$24,0),1))),0)</f>
        <v>1</v>
      </c>
      <c r="C44" s="140">
        <v>2020</v>
      </c>
      <c r="D44" s="141" t="str">
        <f>IFERROR(INDEX(Työkonekanta!$D$3:$D$27,MATCH('S3 Tiekartta'!$A44,Työkonekanta!$A$3:$A$24,0),1),"undefined")</f>
        <v>pom</v>
      </c>
      <c r="E44" s="145">
        <f>IFERROR(INDEX(Työkonekanta!$G$3:$G$27,MATCH($A44,Työkonekanta!$A$3:$A$24,0),1)*INDEX(Työkonekanta!$H$3:$H$27,MATCH($A44,Työkonekanta!$A$3:$A$24,0),1)*(1+s0b_kasvu*($C44-2019))*$B44,0)</f>
        <v>10100</v>
      </c>
      <c r="F44" s="145">
        <f t="shared" si="0"/>
        <v>362590</v>
      </c>
      <c r="G44" s="151">
        <f t="shared" si="14"/>
        <v>362590</v>
      </c>
      <c r="H44" s="145">
        <f t="shared" si="15"/>
        <v>0</v>
      </c>
      <c r="I44" s="145">
        <f t="shared" si="1"/>
        <v>10100</v>
      </c>
      <c r="J44" s="145">
        <f t="shared" si="2"/>
        <v>0</v>
      </c>
      <c r="K44" s="142" t="str">
        <f t="shared" si="16"/>
        <v>l</v>
      </c>
      <c r="L44" s="146">
        <f>IFERROR(INDEX(Työkonekanta!$I$3:$I$27,MATCH('S3 Tiekartta'!$A44,Työkonekanta!$A$3:$A$24,0),1)*(I44+J44)*f_adblue,0)</f>
        <v>505</v>
      </c>
      <c r="M44" s="146">
        <f t="shared" si="3"/>
        <v>0</v>
      </c>
      <c r="N44" s="143" t="str">
        <f>IF(tuulisähkö_vuosi&lt;='S3 Tiekartta'!C44,"tuulisähkö",ostosähkö_nyt)</f>
        <v>jäännössähkö</v>
      </c>
      <c r="O44" s="147">
        <f>INDEX(Muuttujat!$J$5:$J$21,MATCH($C44,Muuttujat!$H$5:$H$21,0),1)</f>
        <v>68.554749999999999</v>
      </c>
      <c r="P44" s="148">
        <f t="shared" si="17"/>
        <v>1</v>
      </c>
      <c r="Q44" s="148">
        <f t="shared" si="18"/>
        <v>0</v>
      </c>
      <c r="R44" s="148">
        <f t="shared" si="19"/>
        <v>0</v>
      </c>
      <c r="S44" s="149">
        <f t="shared" si="4"/>
        <v>6.8529509999999991</v>
      </c>
      <c r="T44" s="150">
        <f t="shared" si="5"/>
        <v>0</v>
      </c>
      <c r="U44" s="150">
        <f t="shared" si="6"/>
        <v>0</v>
      </c>
      <c r="V44" s="150">
        <f>IFERROR(INDEX(Työkonekanta!$J$3:$J$27,MATCH($A44,Työkonekanta!$A$3:$A$24,0),1)*$B44*ef_li_ion_akku/1000/1000/INDEX(Työkonekanta!$K$3:$K$27,MATCH($A44,Työkonekanta!$A$3:$A$24,0)),0)</f>
        <v>0</v>
      </c>
      <c r="W44" s="149">
        <f t="shared" si="7"/>
        <v>26.762134918859999</v>
      </c>
      <c r="X44" s="150">
        <f t="shared" si="8"/>
        <v>0.3209231166</v>
      </c>
      <c r="Y44" s="151">
        <f t="shared" si="9"/>
        <v>0.1313</v>
      </c>
      <c r="Z44" s="152">
        <f t="shared" si="20"/>
        <v>6.8529509999999991</v>
      </c>
      <c r="AA44" s="179">
        <f t="shared" si="21"/>
        <v>26.893434918859999</v>
      </c>
      <c r="AB44" s="179">
        <f t="shared" si="22"/>
        <v>27.214358035459998</v>
      </c>
      <c r="AC44" s="180">
        <f t="shared" si="10"/>
        <v>33.74638591886</v>
      </c>
      <c r="AD44" s="156">
        <f t="shared" si="23"/>
        <v>34.067309035459999</v>
      </c>
      <c r="AE44" s="146">
        <f>IFERROR(INDEX(Työkonekanta!$L$3:$L$30,MATCH($A44,Työkonekanta!$A$3:$A$30,0),1),0)*AF44</f>
        <v>500000</v>
      </c>
      <c r="AF44" s="146">
        <f>IFERROR(INDEX(Työkonekanta!$N$3:$N$32,MATCH($A44,Työkonekanta!$A$3:$A$32,0),1),0)</f>
        <v>1</v>
      </c>
      <c r="AG44" s="332">
        <f>I44*INDEX(Muuttujat!$U$5:$U$21,MATCH($C44,Muuttujat!$N$5:$N$21,0),1)</f>
        <v>9797</v>
      </c>
      <c r="AH44" s="332">
        <f>J44*INDEX(Muuttujat!$T$5:$T$21,MATCH($C44,Muuttujat!$N$5:$N$21,0),1)</f>
        <v>0</v>
      </c>
      <c r="AI44" s="332">
        <f t="shared" si="11"/>
        <v>252.5</v>
      </c>
      <c r="AJ44" s="332">
        <f t="shared" si="12"/>
        <v>0</v>
      </c>
      <c r="AK44" s="333">
        <f t="shared" si="24"/>
        <v>10049.5</v>
      </c>
      <c r="AL44" s="332">
        <f t="shared" si="13"/>
        <v>10049.5</v>
      </c>
      <c r="AM44" s="351"/>
      <c r="AN44" s="351"/>
    </row>
    <row r="45" spans="1:40">
      <c r="A45" s="139">
        <v>13</v>
      </c>
      <c r="B45" s="139">
        <f>IFERROR(IF((INDEX(Työkonekanta!$F$3:$F$27,MATCH('S3 Tiekartta'!$A45,Työkonekanta!$A$3:$A$24,0),1))&lt;0,0,(INDEX(Työkonekanta!$F$3:$F$27,MATCH('S3 Tiekartta'!$A45,Työkonekanta!$A$3:$A$24,0),1))),0)</f>
        <v>0</v>
      </c>
      <c r="C45" s="140">
        <v>2020</v>
      </c>
      <c r="D45" s="141" t="str">
        <f>IFERROR(INDEX(Työkonekanta!$D$3:$D$27,MATCH('S3 Tiekartta'!$A45,Työkonekanta!$A$3:$A$24,0),1),"undefined")</f>
        <v>pom</v>
      </c>
      <c r="E45" s="145">
        <f>IFERROR(INDEX(Työkonekanta!$G$3:$G$27,MATCH($A45,Työkonekanta!$A$3:$A$24,0),1)*INDEX(Työkonekanta!$H$3:$H$27,MATCH($A45,Työkonekanta!$A$3:$A$24,0),1)*(1+s0b_kasvu*($C45-2019))*$B45,0)</f>
        <v>0</v>
      </c>
      <c r="F45" s="145">
        <f t="shared" si="0"/>
        <v>0</v>
      </c>
      <c r="G45" s="151">
        <f t="shared" si="14"/>
        <v>0</v>
      </c>
      <c r="H45" s="145">
        <f t="shared" si="15"/>
        <v>0</v>
      </c>
      <c r="I45" s="145">
        <f t="shared" si="1"/>
        <v>0</v>
      </c>
      <c r="J45" s="145">
        <f t="shared" si="2"/>
        <v>0</v>
      </c>
      <c r="K45" s="142" t="str">
        <f t="shared" si="16"/>
        <v>l</v>
      </c>
      <c r="L45" s="146">
        <f>IFERROR(INDEX(Työkonekanta!$I$3:$I$27,MATCH('S3 Tiekartta'!$A45,Työkonekanta!$A$3:$A$24,0),1)*(I45+J45)*f_adblue,0)</f>
        <v>0</v>
      </c>
      <c r="M45" s="146">
        <f t="shared" si="3"/>
        <v>0</v>
      </c>
      <c r="N45" s="143" t="str">
        <f>IF(tuulisähkö_vuosi&lt;='S3 Tiekartta'!C45,"tuulisähkö",ostosähkö_nyt)</f>
        <v>jäännössähkö</v>
      </c>
      <c r="O45" s="147">
        <f>INDEX(Muuttujat!$J$5:$J$21,MATCH($C45,Muuttujat!$H$5:$H$21,0),1)</f>
        <v>68.554749999999999</v>
      </c>
      <c r="P45" s="148">
        <f t="shared" si="17"/>
        <v>1</v>
      </c>
      <c r="Q45" s="148">
        <f t="shared" si="18"/>
        <v>0</v>
      </c>
      <c r="R45" s="148">
        <f t="shared" si="19"/>
        <v>0</v>
      </c>
      <c r="S45" s="149">
        <f t="shared" si="4"/>
        <v>0</v>
      </c>
      <c r="T45" s="150">
        <f t="shared" si="5"/>
        <v>0</v>
      </c>
      <c r="U45" s="150">
        <f t="shared" si="6"/>
        <v>0</v>
      </c>
      <c r="V45" s="150">
        <f>IFERROR(INDEX(Työkonekanta!$J$3:$J$27,MATCH($A45,Työkonekanta!$A$3:$A$24,0),1)*$B45*ef_li_ion_akku/1000/1000/INDEX(Työkonekanta!$K$3:$K$27,MATCH($A45,Työkonekanta!$A$3:$A$24,0)),0)</f>
        <v>0</v>
      </c>
      <c r="W45" s="149">
        <f t="shared" si="7"/>
        <v>0</v>
      </c>
      <c r="X45" s="150">
        <f t="shared" si="8"/>
        <v>0</v>
      </c>
      <c r="Y45" s="151">
        <f t="shared" si="9"/>
        <v>0</v>
      </c>
      <c r="Z45" s="152">
        <f t="shared" si="20"/>
        <v>0</v>
      </c>
      <c r="AA45" s="179">
        <f t="shared" si="21"/>
        <v>0</v>
      </c>
      <c r="AB45" s="179">
        <f t="shared" si="22"/>
        <v>0</v>
      </c>
      <c r="AC45" s="180">
        <f t="shared" si="10"/>
        <v>0</v>
      </c>
      <c r="AD45" s="156">
        <f t="shared" si="23"/>
        <v>0</v>
      </c>
      <c r="AE45" s="146">
        <f>IFERROR(INDEX(Työkonekanta!$L$3:$L$30,MATCH($A45,Työkonekanta!$A$3:$A$30,0),1),0)*AF45</f>
        <v>0</v>
      </c>
      <c r="AF45" s="146">
        <f>IFERROR(INDEX(Työkonekanta!$N$3:$N$32,MATCH($A45,Työkonekanta!$A$3:$A$32,0),1),0)</f>
        <v>0</v>
      </c>
      <c r="AG45" s="332">
        <f>I45*INDEX(Muuttujat!$U$5:$U$21,MATCH($C45,Muuttujat!$N$5:$N$21,0),1)</f>
        <v>0</v>
      </c>
      <c r="AH45" s="332">
        <f>J45*INDEX(Muuttujat!$T$5:$T$21,MATCH($C45,Muuttujat!$N$5:$N$21,0),1)</f>
        <v>0</v>
      </c>
      <c r="AI45" s="332">
        <f t="shared" si="11"/>
        <v>0</v>
      </c>
      <c r="AJ45" s="332">
        <f t="shared" si="12"/>
        <v>0</v>
      </c>
      <c r="AK45" s="333">
        <f t="shared" si="24"/>
        <v>0</v>
      </c>
      <c r="AL45" s="332">
        <f t="shared" si="13"/>
        <v>0</v>
      </c>
      <c r="AM45" s="351"/>
      <c r="AN45" s="351"/>
    </row>
    <row r="46" spans="1:40">
      <c r="A46" s="139">
        <v>14</v>
      </c>
      <c r="B46" s="139">
        <f>IFERROR(IF((INDEX(Työkonekanta!$F$3:$F$27,MATCH('S3 Tiekartta'!$A46,Työkonekanta!$A$3:$A$24,0),1))&lt;0,0,(INDEX(Työkonekanta!$F$3:$F$27,MATCH('S3 Tiekartta'!$A46,Työkonekanta!$A$3:$A$24,0),1))),0)</f>
        <v>0</v>
      </c>
      <c r="C46" s="140">
        <v>2020</v>
      </c>
      <c r="D46" s="141" t="str">
        <f>IFERROR(INDEX(Työkonekanta!$D$3:$D$27,MATCH('S3 Tiekartta'!$A46,Työkonekanta!$A$3:$A$24,0),1),"undefined")</f>
        <v>pom</v>
      </c>
      <c r="E46" s="145">
        <f>IFERROR(INDEX(Työkonekanta!$G$3:$G$27,MATCH($A46,Työkonekanta!$A$3:$A$24,0),1)*INDEX(Työkonekanta!$H$3:$H$27,MATCH($A46,Työkonekanta!$A$3:$A$24,0),1)*(1+s0b_kasvu*($C46-2019))*$B46,0)</f>
        <v>0</v>
      </c>
      <c r="F46" s="145">
        <f t="shared" si="0"/>
        <v>0</v>
      </c>
      <c r="G46" s="151">
        <f t="shared" si="14"/>
        <v>0</v>
      </c>
      <c r="H46" s="145">
        <f t="shared" si="15"/>
        <v>0</v>
      </c>
      <c r="I46" s="145">
        <f t="shared" si="1"/>
        <v>0</v>
      </c>
      <c r="J46" s="145">
        <f t="shared" si="2"/>
        <v>0</v>
      </c>
      <c r="K46" s="142" t="str">
        <f t="shared" si="16"/>
        <v>l</v>
      </c>
      <c r="L46" s="146">
        <f>IFERROR(INDEX(Työkonekanta!$I$3:$I$27,MATCH('S3 Tiekartta'!$A46,Työkonekanta!$A$3:$A$24,0),1)*(I46+J46)*f_adblue,0)</f>
        <v>0</v>
      </c>
      <c r="M46" s="146">
        <f t="shared" si="3"/>
        <v>0</v>
      </c>
      <c r="N46" s="143" t="str">
        <f>IF(tuulisähkö_vuosi&lt;='S3 Tiekartta'!C46,"tuulisähkö",ostosähkö_nyt)</f>
        <v>jäännössähkö</v>
      </c>
      <c r="O46" s="147">
        <f>INDEX(Muuttujat!$J$5:$J$21,MATCH($C46,Muuttujat!$H$5:$H$21,0),1)</f>
        <v>68.554749999999999</v>
      </c>
      <c r="P46" s="148">
        <f t="shared" si="17"/>
        <v>1</v>
      </c>
      <c r="Q46" s="148">
        <f t="shared" si="18"/>
        <v>0</v>
      </c>
      <c r="R46" s="148">
        <f t="shared" si="19"/>
        <v>0</v>
      </c>
      <c r="S46" s="149">
        <f t="shared" si="4"/>
        <v>0</v>
      </c>
      <c r="T46" s="150">
        <f t="shared" si="5"/>
        <v>0</v>
      </c>
      <c r="U46" s="150">
        <f t="shared" si="6"/>
        <v>0</v>
      </c>
      <c r="V46" s="150">
        <f>IFERROR(INDEX(Työkonekanta!$J$3:$J$27,MATCH($A46,Työkonekanta!$A$3:$A$24,0),1)*$B46*ef_li_ion_akku/1000/1000/INDEX(Työkonekanta!$K$3:$K$27,MATCH($A46,Työkonekanta!$A$3:$A$24,0)),0)</f>
        <v>0</v>
      </c>
      <c r="W46" s="149">
        <f t="shared" si="7"/>
        <v>0</v>
      </c>
      <c r="X46" s="150">
        <f t="shared" si="8"/>
        <v>0</v>
      </c>
      <c r="Y46" s="151">
        <f t="shared" si="9"/>
        <v>0</v>
      </c>
      <c r="Z46" s="152">
        <f t="shared" si="20"/>
        <v>0</v>
      </c>
      <c r="AA46" s="179">
        <f t="shared" si="21"/>
        <v>0</v>
      </c>
      <c r="AB46" s="179">
        <f t="shared" si="22"/>
        <v>0</v>
      </c>
      <c r="AC46" s="180">
        <f t="shared" si="10"/>
        <v>0</v>
      </c>
      <c r="AD46" s="156">
        <f t="shared" si="23"/>
        <v>0</v>
      </c>
      <c r="AE46" s="146">
        <f>IFERROR(INDEX(Työkonekanta!$L$3:$L$30,MATCH($A46,Työkonekanta!$A$3:$A$30,0),1),0)*AF46</f>
        <v>0</v>
      </c>
      <c r="AF46" s="146">
        <f>IFERROR(INDEX(Työkonekanta!$N$3:$N$32,MATCH($A46,Työkonekanta!$A$3:$A$32,0),1),0)</f>
        <v>0</v>
      </c>
      <c r="AG46" s="332">
        <f>I46*INDEX(Muuttujat!$U$5:$U$21,MATCH($C46,Muuttujat!$N$5:$N$21,0),1)</f>
        <v>0</v>
      </c>
      <c r="AH46" s="332">
        <f>J46*INDEX(Muuttujat!$T$5:$T$21,MATCH($C46,Muuttujat!$N$5:$N$21,0),1)</f>
        <v>0</v>
      </c>
      <c r="AI46" s="332">
        <f t="shared" si="11"/>
        <v>0</v>
      </c>
      <c r="AJ46" s="332">
        <f t="shared" si="12"/>
        <v>0</v>
      </c>
      <c r="AK46" s="333">
        <f t="shared" si="24"/>
        <v>0</v>
      </c>
      <c r="AL46" s="332">
        <f t="shared" si="13"/>
        <v>0</v>
      </c>
      <c r="AM46" s="351"/>
      <c r="AN46" s="351"/>
    </row>
    <row r="47" spans="1:40">
      <c r="A47" s="139">
        <v>15</v>
      </c>
      <c r="B47" s="139">
        <f>IFERROR(IF((INDEX(Työkonekanta!$F$3:$F$27,MATCH('S3 Tiekartta'!$A47,Työkonekanta!$A$3:$A$24,0),1))&lt;0,0,(INDEX(Työkonekanta!$F$3:$F$27,MATCH('S3 Tiekartta'!$A47,Työkonekanta!$A$3:$A$24,0),1))),0)</f>
        <v>0</v>
      </c>
      <c r="C47" s="140">
        <v>2020</v>
      </c>
      <c r="D47" s="141" t="str">
        <f>IFERROR(INDEX(Työkonekanta!$D$3:$D$27,MATCH('S3 Tiekartta'!$A47,Työkonekanta!$A$3:$A$24,0),1),"undefined")</f>
        <v>sähkö</v>
      </c>
      <c r="E47" s="145">
        <f>IFERROR(INDEX(Työkonekanta!$G$3:$G$27,MATCH($A47,Työkonekanta!$A$3:$A$24,0),1)*INDEX(Työkonekanta!$H$3:$H$27,MATCH($A47,Työkonekanta!$A$3:$A$24,0),1)*(1+s0b_kasvu*($C47-2019))*$B47,0)</f>
        <v>0</v>
      </c>
      <c r="F47" s="145">
        <f t="shared" si="0"/>
        <v>0</v>
      </c>
      <c r="G47" s="151">
        <f t="shared" si="14"/>
        <v>0</v>
      </c>
      <c r="H47" s="145">
        <f t="shared" si="15"/>
        <v>0</v>
      </c>
      <c r="I47" s="145">
        <f t="shared" si="1"/>
        <v>0</v>
      </c>
      <c r="J47" s="145">
        <f t="shared" si="2"/>
        <v>0</v>
      </c>
      <c r="K47" s="142" t="str">
        <f t="shared" si="16"/>
        <v>kWh</v>
      </c>
      <c r="L47" s="146">
        <f>IFERROR(INDEX(Työkonekanta!$I$3:$I$27,MATCH('S3 Tiekartta'!$A47,Työkonekanta!$A$3:$A$24,0),1)*(I47+J47)*f_adblue,0)</f>
        <v>0</v>
      </c>
      <c r="M47" s="146">
        <f t="shared" si="3"/>
        <v>0</v>
      </c>
      <c r="N47" s="143" t="str">
        <f>IF(tuulisähkö_vuosi&lt;='S3 Tiekartta'!C47,"tuulisähkö",ostosähkö_nyt)</f>
        <v>jäännössähkö</v>
      </c>
      <c r="O47" s="147">
        <f>INDEX(Muuttujat!$J$5:$J$21,MATCH($C47,Muuttujat!$H$5:$H$21,0),1)</f>
        <v>68.554749999999999</v>
      </c>
      <c r="P47" s="148">
        <f t="shared" si="17"/>
        <v>1</v>
      </c>
      <c r="Q47" s="148">
        <f t="shared" si="18"/>
        <v>0</v>
      </c>
      <c r="R47" s="148">
        <f t="shared" si="19"/>
        <v>0</v>
      </c>
      <c r="S47" s="149">
        <f t="shared" si="4"/>
        <v>0</v>
      </c>
      <c r="T47" s="150">
        <f t="shared" si="5"/>
        <v>0</v>
      </c>
      <c r="U47" s="150">
        <f t="shared" si="6"/>
        <v>0</v>
      </c>
      <c r="V47" s="150">
        <f>IFERROR(INDEX(Työkonekanta!$J$3:$J$27,MATCH($A47,Työkonekanta!$A$3:$A$24,0),1)*$B47*ef_li_ion_akku/1000/1000/INDEX(Työkonekanta!$K$3:$K$27,MATCH($A47,Työkonekanta!$A$3:$A$24,0)),0)</f>
        <v>0</v>
      </c>
      <c r="W47" s="149">
        <f t="shared" si="7"/>
        <v>0</v>
      </c>
      <c r="X47" s="150">
        <f t="shared" si="8"/>
        <v>0</v>
      </c>
      <c r="Y47" s="151">
        <f t="shared" si="9"/>
        <v>0</v>
      </c>
      <c r="Z47" s="152">
        <f t="shared" si="20"/>
        <v>0</v>
      </c>
      <c r="AA47" s="179">
        <f t="shared" si="21"/>
        <v>0</v>
      </c>
      <c r="AB47" s="179">
        <f t="shared" si="22"/>
        <v>0</v>
      </c>
      <c r="AC47" s="180">
        <f t="shared" si="10"/>
        <v>0</v>
      </c>
      <c r="AD47" s="156">
        <f t="shared" si="23"/>
        <v>0</v>
      </c>
      <c r="AE47" s="146">
        <f>IFERROR(INDEX(Työkonekanta!$L$3:$L$30,MATCH($A47,Työkonekanta!$A$3:$A$30,0),1),0)*AF47</f>
        <v>0</v>
      </c>
      <c r="AF47" s="146">
        <f>IFERROR(INDEX(Työkonekanta!$N$3:$N$32,MATCH($A47,Työkonekanta!$A$3:$A$32,0),1),0)</f>
        <v>0</v>
      </c>
      <c r="AG47" s="332">
        <f>I47*INDEX(Muuttujat!$U$5:$U$21,MATCH($C47,Muuttujat!$N$5:$N$21,0),1)</f>
        <v>0</v>
      </c>
      <c r="AH47" s="332">
        <f>J47*INDEX(Muuttujat!$T$5:$T$21,MATCH($C47,Muuttujat!$N$5:$N$21,0),1)</f>
        <v>0</v>
      </c>
      <c r="AI47" s="332">
        <f t="shared" si="11"/>
        <v>0</v>
      </c>
      <c r="AJ47" s="332">
        <f t="shared" si="12"/>
        <v>0</v>
      </c>
      <c r="AK47" s="333">
        <f t="shared" si="24"/>
        <v>0</v>
      </c>
      <c r="AL47" s="332">
        <f t="shared" si="13"/>
        <v>0</v>
      </c>
      <c r="AM47" s="351"/>
      <c r="AN47" s="351"/>
    </row>
    <row r="48" spans="1:40">
      <c r="A48" s="139">
        <v>16</v>
      </c>
      <c r="B48" s="139">
        <f>IFERROR(IF((INDEX(Työkonekanta!$F$3:$F$27,MATCH('S3 Tiekartta'!$A48,Työkonekanta!$A$3:$A$24,0),1))&lt;0,0,(INDEX(Työkonekanta!$F$3:$F$27,MATCH('S3 Tiekartta'!$A48,Työkonekanta!$A$3:$A$24,0),1))),0)</f>
        <v>0</v>
      </c>
      <c r="C48" s="140">
        <v>2020</v>
      </c>
      <c r="D48" s="141" t="str">
        <f>IFERROR(INDEX(Työkonekanta!$D$3:$D$27,MATCH('S3 Tiekartta'!$A48,Työkonekanta!$A$3:$A$24,0),1),"undefined")</f>
        <v>sähkö</v>
      </c>
      <c r="E48" s="145">
        <f>IFERROR(INDEX(Työkonekanta!$G$3:$G$27,MATCH($A48,Työkonekanta!$A$3:$A$24,0),1)*INDEX(Työkonekanta!$H$3:$H$27,MATCH($A48,Työkonekanta!$A$3:$A$24,0),1)*(1+s0b_kasvu*($C48-2019))*$B48,0)</f>
        <v>0</v>
      </c>
      <c r="F48" s="145">
        <f t="shared" si="0"/>
        <v>0</v>
      </c>
      <c r="G48" s="151">
        <f t="shared" si="14"/>
        <v>0</v>
      </c>
      <c r="H48" s="145">
        <f t="shared" si="15"/>
        <v>0</v>
      </c>
      <c r="I48" s="145">
        <f t="shared" si="1"/>
        <v>0</v>
      </c>
      <c r="J48" s="145">
        <f t="shared" si="2"/>
        <v>0</v>
      </c>
      <c r="K48" s="142" t="str">
        <f t="shared" si="16"/>
        <v>kWh</v>
      </c>
      <c r="L48" s="146">
        <f>IFERROR(INDEX(Työkonekanta!$I$3:$I$27,MATCH('S3 Tiekartta'!$A48,Työkonekanta!$A$3:$A$24,0),1)*(I48+J48)*f_adblue,0)</f>
        <v>0</v>
      </c>
      <c r="M48" s="146">
        <f t="shared" si="3"/>
        <v>0</v>
      </c>
      <c r="N48" s="143" t="str">
        <f>IF(tuulisähkö_vuosi&lt;='S3 Tiekartta'!C48,"tuulisähkö",ostosähkö_nyt)</f>
        <v>jäännössähkö</v>
      </c>
      <c r="O48" s="147">
        <f>INDEX(Muuttujat!$J$5:$J$21,MATCH($C48,Muuttujat!$H$5:$H$21,0),1)</f>
        <v>68.554749999999999</v>
      </c>
      <c r="P48" s="148">
        <f t="shared" si="17"/>
        <v>1</v>
      </c>
      <c r="Q48" s="148">
        <f t="shared" si="18"/>
        <v>0</v>
      </c>
      <c r="R48" s="148">
        <f t="shared" si="19"/>
        <v>0</v>
      </c>
      <c r="S48" s="149">
        <f t="shared" si="4"/>
        <v>0</v>
      </c>
      <c r="T48" s="150">
        <f t="shared" si="5"/>
        <v>0</v>
      </c>
      <c r="U48" s="150">
        <f t="shared" si="6"/>
        <v>0</v>
      </c>
      <c r="V48" s="150">
        <f>IFERROR(INDEX(Työkonekanta!$J$3:$J$27,MATCH($A48,Työkonekanta!$A$3:$A$24,0),1)*$B48*ef_li_ion_akku/1000/1000/INDEX(Työkonekanta!$K$3:$K$27,MATCH($A48,Työkonekanta!$A$3:$A$24,0)),0)</f>
        <v>0</v>
      </c>
      <c r="W48" s="149">
        <f t="shared" si="7"/>
        <v>0</v>
      </c>
      <c r="X48" s="150">
        <f t="shared" si="8"/>
        <v>0</v>
      </c>
      <c r="Y48" s="151">
        <f t="shared" si="9"/>
        <v>0</v>
      </c>
      <c r="Z48" s="152">
        <f t="shared" si="20"/>
        <v>0</v>
      </c>
      <c r="AA48" s="179">
        <f t="shared" si="21"/>
        <v>0</v>
      </c>
      <c r="AB48" s="179">
        <f t="shared" si="22"/>
        <v>0</v>
      </c>
      <c r="AC48" s="180">
        <f t="shared" si="10"/>
        <v>0</v>
      </c>
      <c r="AD48" s="156">
        <f t="shared" si="23"/>
        <v>0</v>
      </c>
      <c r="AE48" s="146">
        <f>IFERROR(INDEX(Työkonekanta!$L$3:$L$30,MATCH($A48,Työkonekanta!$A$3:$A$30,0),1),0)*AF48</f>
        <v>0</v>
      </c>
      <c r="AF48" s="146">
        <f>IFERROR(INDEX(Työkonekanta!$N$3:$N$32,MATCH($A48,Työkonekanta!$A$3:$A$32,0),1),0)</f>
        <v>0</v>
      </c>
      <c r="AG48" s="332">
        <f>I48*INDEX(Muuttujat!$U$5:$U$21,MATCH($C48,Muuttujat!$N$5:$N$21,0),1)</f>
        <v>0</v>
      </c>
      <c r="AH48" s="332">
        <f>J48*INDEX(Muuttujat!$T$5:$T$21,MATCH($C48,Muuttujat!$N$5:$N$21,0),1)</f>
        <v>0</v>
      </c>
      <c r="AI48" s="332">
        <f t="shared" si="11"/>
        <v>0</v>
      </c>
      <c r="AJ48" s="332">
        <f t="shared" si="12"/>
        <v>0</v>
      </c>
      <c r="AK48" s="333">
        <f t="shared" si="24"/>
        <v>0</v>
      </c>
      <c r="AL48" s="332">
        <f t="shared" si="13"/>
        <v>0</v>
      </c>
      <c r="AM48" s="351"/>
      <c r="AN48" s="351"/>
    </row>
    <row r="49" spans="1:40">
      <c r="A49" s="139">
        <v>17</v>
      </c>
      <c r="B49" s="139">
        <f>IFERROR(IF((INDEX(Työkonekanta!$F$3:$F$27,MATCH('S3 Tiekartta'!$A49,Työkonekanta!$A$3:$A$24,0),1))&lt;0,0,(INDEX(Työkonekanta!$F$3:$F$27,MATCH('S3 Tiekartta'!$A49,Työkonekanta!$A$3:$A$24,0),1))),0)</f>
        <v>1</v>
      </c>
      <c r="C49" s="140">
        <v>2020</v>
      </c>
      <c r="D49" s="141" t="str">
        <f>IFERROR(INDEX(Työkonekanta!$D$3:$D$27,MATCH('S3 Tiekartta'!$A49,Työkonekanta!$A$3:$A$24,0),1),"undefined")</f>
        <v>pom</v>
      </c>
      <c r="E49" s="145">
        <f>IFERROR(INDEX(Työkonekanta!$G$3:$G$27,MATCH($A49,Työkonekanta!$A$3:$A$24,0),1)*INDEX(Työkonekanta!$H$3:$H$27,MATCH($A49,Työkonekanta!$A$3:$A$24,0),1)*(1+s0b_kasvu*($C49-2019))*$B49,0)</f>
        <v>10100</v>
      </c>
      <c r="F49" s="145">
        <f t="shared" si="0"/>
        <v>362590</v>
      </c>
      <c r="G49" s="151">
        <f t="shared" si="14"/>
        <v>362590</v>
      </c>
      <c r="H49" s="145">
        <f t="shared" si="15"/>
        <v>0</v>
      </c>
      <c r="I49" s="145">
        <f t="shared" si="1"/>
        <v>10100</v>
      </c>
      <c r="J49" s="145">
        <f t="shared" si="2"/>
        <v>0</v>
      </c>
      <c r="K49" s="142" t="str">
        <f t="shared" si="16"/>
        <v>l</v>
      </c>
      <c r="L49" s="146">
        <f>IFERROR(INDEX(Työkonekanta!$I$3:$I$27,MATCH('S3 Tiekartta'!$A49,Työkonekanta!$A$3:$A$24,0),1)*(I49+J49)*f_adblue,0)</f>
        <v>505</v>
      </c>
      <c r="M49" s="146">
        <f t="shared" si="3"/>
        <v>0</v>
      </c>
      <c r="N49" s="143" t="str">
        <f>IF(tuulisähkö_vuosi&lt;='S3 Tiekartta'!C49,"tuulisähkö",ostosähkö_nyt)</f>
        <v>jäännössähkö</v>
      </c>
      <c r="O49" s="147">
        <f>INDEX(Muuttujat!$J$5:$J$21,MATCH($C49,Muuttujat!$H$5:$H$21,0),1)</f>
        <v>68.554749999999999</v>
      </c>
      <c r="P49" s="148">
        <f t="shared" si="17"/>
        <v>1</v>
      </c>
      <c r="Q49" s="148">
        <f t="shared" si="18"/>
        <v>0</v>
      </c>
      <c r="R49" s="148">
        <f t="shared" si="19"/>
        <v>0</v>
      </c>
      <c r="S49" s="149">
        <f t="shared" si="4"/>
        <v>6.8529509999999991</v>
      </c>
      <c r="T49" s="150">
        <f t="shared" si="5"/>
        <v>0</v>
      </c>
      <c r="U49" s="150">
        <f t="shared" si="6"/>
        <v>0</v>
      </c>
      <c r="V49" s="150">
        <f>IFERROR(INDEX(Työkonekanta!$J$3:$J$27,MATCH($A49,Työkonekanta!$A$3:$A$24,0),1)*$B49*ef_li_ion_akku/1000/1000/INDEX(Työkonekanta!$K$3:$K$27,MATCH($A49,Työkonekanta!$A$3:$A$24,0)),0)</f>
        <v>0</v>
      </c>
      <c r="W49" s="149">
        <f t="shared" si="7"/>
        <v>26.762134918859999</v>
      </c>
      <c r="X49" s="150">
        <f t="shared" si="8"/>
        <v>0.3209231166</v>
      </c>
      <c r="Y49" s="151">
        <f t="shared" si="9"/>
        <v>0.1313</v>
      </c>
      <c r="Z49" s="152">
        <f t="shared" si="20"/>
        <v>6.8529509999999991</v>
      </c>
      <c r="AA49" s="179">
        <f t="shared" si="21"/>
        <v>26.893434918859999</v>
      </c>
      <c r="AB49" s="179">
        <f t="shared" si="22"/>
        <v>27.214358035459998</v>
      </c>
      <c r="AC49" s="180">
        <f t="shared" si="10"/>
        <v>33.74638591886</v>
      </c>
      <c r="AD49" s="156">
        <f t="shared" si="23"/>
        <v>34.067309035459999</v>
      </c>
      <c r="AE49" s="146">
        <f>IFERROR(INDEX(Työkonekanta!$L$3:$L$30,MATCH($A49,Työkonekanta!$A$3:$A$30,0),1),0)*AF49</f>
        <v>500000</v>
      </c>
      <c r="AF49" s="146">
        <f>IFERROR(INDEX(Työkonekanta!$N$3:$N$32,MATCH($A49,Työkonekanta!$A$3:$A$32,0),1),0)</f>
        <v>1</v>
      </c>
      <c r="AG49" s="332">
        <f>I49*INDEX(Muuttujat!$U$5:$U$21,MATCH($C49,Muuttujat!$N$5:$N$21,0),1)</f>
        <v>9797</v>
      </c>
      <c r="AH49" s="332">
        <f>J49*INDEX(Muuttujat!$T$5:$T$21,MATCH($C49,Muuttujat!$N$5:$N$21,0),1)</f>
        <v>0</v>
      </c>
      <c r="AI49" s="332">
        <f t="shared" si="11"/>
        <v>252.5</v>
      </c>
      <c r="AJ49" s="332">
        <f t="shared" si="12"/>
        <v>0</v>
      </c>
      <c r="AK49" s="333">
        <f t="shared" si="24"/>
        <v>10049.5</v>
      </c>
      <c r="AL49" s="332">
        <f t="shared" si="13"/>
        <v>10049.5</v>
      </c>
      <c r="AM49" s="351"/>
      <c r="AN49" s="351"/>
    </row>
    <row r="50" spans="1:40">
      <c r="A50" s="139">
        <v>18</v>
      </c>
      <c r="B50" s="139">
        <f>IFERROR(IF((INDEX(Työkonekanta!$F$3:$F$27,MATCH('S3 Tiekartta'!$A50,Työkonekanta!$A$3:$A$24,0),1))&lt;0,0,(INDEX(Työkonekanta!$F$3:$F$27,MATCH('S3 Tiekartta'!$A50,Työkonekanta!$A$3:$A$24,0),1))),0)</f>
        <v>1</v>
      </c>
      <c r="C50" s="140">
        <v>2020</v>
      </c>
      <c r="D50" s="141" t="str">
        <f>IFERROR(INDEX(Työkonekanta!$D$3:$D$27,MATCH('S3 Tiekartta'!$A50,Työkonekanta!$A$3:$A$24,0),1),"undefined")</f>
        <v>pom</v>
      </c>
      <c r="E50" s="145">
        <f>IFERROR(INDEX(Työkonekanta!$G$3:$G$27,MATCH($A50,Työkonekanta!$A$3:$A$24,0),1)*INDEX(Työkonekanta!$H$3:$H$27,MATCH($A50,Työkonekanta!$A$3:$A$24,0),1)*(1+s0b_kasvu*($C50-2019))*$B50,0)</f>
        <v>10100</v>
      </c>
      <c r="F50" s="145">
        <f t="shared" si="0"/>
        <v>362590</v>
      </c>
      <c r="G50" s="151">
        <f t="shared" si="14"/>
        <v>362590</v>
      </c>
      <c r="H50" s="145">
        <f t="shared" si="15"/>
        <v>0</v>
      </c>
      <c r="I50" s="145">
        <f t="shared" si="1"/>
        <v>10100</v>
      </c>
      <c r="J50" s="145">
        <f t="shared" si="2"/>
        <v>0</v>
      </c>
      <c r="K50" s="142" t="str">
        <f t="shared" si="16"/>
        <v>l</v>
      </c>
      <c r="L50" s="146">
        <f>IFERROR(INDEX(Työkonekanta!$I$3:$I$27,MATCH('S3 Tiekartta'!$A50,Työkonekanta!$A$3:$A$24,0),1)*(I50+J50)*f_adblue,0)</f>
        <v>404</v>
      </c>
      <c r="M50" s="146">
        <f t="shared" si="3"/>
        <v>0</v>
      </c>
      <c r="N50" s="143" t="str">
        <f>IF(tuulisähkö_vuosi&lt;='S3 Tiekartta'!C50,"tuulisähkö",ostosähkö_nyt)</f>
        <v>jäännössähkö</v>
      </c>
      <c r="O50" s="147">
        <f>INDEX(Muuttujat!$J$5:$J$21,MATCH($C50,Muuttujat!$H$5:$H$21,0),1)</f>
        <v>68.554749999999999</v>
      </c>
      <c r="P50" s="148">
        <f t="shared" si="17"/>
        <v>1</v>
      </c>
      <c r="Q50" s="148">
        <f t="shared" si="18"/>
        <v>0</v>
      </c>
      <c r="R50" s="148">
        <f t="shared" si="19"/>
        <v>0</v>
      </c>
      <c r="S50" s="149">
        <f t="shared" si="4"/>
        <v>6.8529509999999991</v>
      </c>
      <c r="T50" s="150">
        <f t="shared" si="5"/>
        <v>0</v>
      </c>
      <c r="U50" s="150">
        <f t="shared" si="6"/>
        <v>0</v>
      </c>
      <c r="V50" s="150">
        <f>IFERROR(INDEX(Työkonekanta!$J$3:$J$27,MATCH($A50,Työkonekanta!$A$3:$A$24,0),1)*$B50*ef_li_ion_akku/1000/1000/INDEX(Työkonekanta!$K$3:$K$27,MATCH($A50,Työkonekanta!$A$3:$A$24,0)),0)</f>
        <v>0</v>
      </c>
      <c r="W50" s="149">
        <f t="shared" si="7"/>
        <v>26.762134918859999</v>
      </c>
      <c r="X50" s="150">
        <f t="shared" si="8"/>
        <v>0.3209231166</v>
      </c>
      <c r="Y50" s="151">
        <f t="shared" si="9"/>
        <v>0.10504000000000001</v>
      </c>
      <c r="Z50" s="152">
        <f t="shared" si="20"/>
        <v>6.8529509999999991</v>
      </c>
      <c r="AA50" s="179">
        <f t="shared" si="21"/>
        <v>26.867174918859998</v>
      </c>
      <c r="AB50" s="179">
        <f t="shared" si="22"/>
        <v>27.188098035459998</v>
      </c>
      <c r="AC50" s="180">
        <f t="shared" si="10"/>
        <v>33.720125918859999</v>
      </c>
      <c r="AD50" s="156">
        <f t="shared" si="23"/>
        <v>34.041049035459999</v>
      </c>
      <c r="AE50" s="146">
        <f>IFERROR(INDEX(Työkonekanta!$L$3:$L$30,MATCH($A50,Työkonekanta!$A$3:$A$30,0),1),0)*AF50</f>
        <v>500000</v>
      </c>
      <c r="AF50" s="146">
        <f>IFERROR(INDEX(Työkonekanta!$N$3:$N$32,MATCH($A50,Työkonekanta!$A$3:$A$32,0),1),0)</f>
        <v>1</v>
      </c>
      <c r="AG50" s="332">
        <f>I50*INDEX(Muuttujat!$U$5:$U$21,MATCH($C50,Muuttujat!$N$5:$N$21,0),1)</f>
        <v>9797</v>
      </c>
      <c r="AH50" s="332">
        <f>J50*INDEX(Muuttujat!$T$5:$T$21,MATCH($C50,Muuttujat!$N$5:$N$21,0),1)</f>
        <v>0</v>
      </c>
      <c r="AI50" s="332">
        <f t="shared" si="11"/>
        <v>202</v>
      </c>
      <c r="AJ50" s="332">
        <f t="shared" si="12"/>
        <v>0</v>
      </c>
      <c r="AK50" s="333">
        <f t="shared" si="24"/>
        <v>9999</v>
      </c>
      <c r="AL50" s="332">
        <f t="shared" si="13"/>
        <v>9999</v>
      </c>
      <c r="AM50" s="351"/>
      <c r="AN50" s="351"/>
    </row>
    <row r="51" spans="1:40">
      <c r="A51" s="139">
        <v>19</v>
      </c>
      <c r="B51" s="139">
        <f>IFERROR(IF((INDEX(Työkonekanta!$F$3:$F$27,MATCH('S3 Tiekartta'!$A51,Työkonekanta!$A$3:$A$24,0),1))&lt;0,0,(INDEX(Työkonekanta!$F$3:$F$27,MATCH('S3 Tiekartta'!$A51,Työkonekanta!$A$3:$A$24,0),1))),0)</f>
        <v>0</v>
      </c>
      <c r="C51" s="140">
        <v>2020</v>
      </c>
      <c r="D51" s="141" t="str">
        <f>IFERROR(INDEX(Työkonekanta!$D$3:$D$27,MATCH('S3 Tiekartta'!$A51,Työkonekanta!$A$3:$A$24,0),1),"undefined")</f>
        <v>pom</v>
      </c>
      <c r="E51" s="145">
        <f>IFERROR(INDEX(Työkonekanta!$G$3:$G$27,MATCH($A51,Työkonekanta!$A$3:$A$24,0),1)*INDEX(Työkonekanta!$H$3:$H$27,MATCH($A51,Työkonekanta!$A$3:$A$24,0),1)*(1+s0b_kasvu*($C51-2019))*$B51,0)</f>
        <v>0</v>
      </c>
      <c r="F51" s="145">
        <f t="shared" si="0"/>
        <v>0</v>
      </c>
      <c r="G51" s="151">
        <f t="shared" si="14"/>
        <v>0</v>
      </c>
      <c r="H51" s="145">
        <f t="shared" si="15"/>
        <v>0</v>
      </c>
      <c r="I51" s="145">
        <f t="shared" si="1"/>
        <v>0</v>
      </c>
      <c r="J51" s="145">
        <f t="shared" si="2"/>
        <v>0</v>
      </c>
      <c r="K51" s="142" t="str">
        <f t="shared" si="16"/>
        <v>l</v>
      </c>
      <c r="L51" s="146">
        <f>IFERROR(INDEX(Työkonekanta!$I$3:$I$27,MATCH('S3 Tiekartta'!$A51,Työkonekanta!$A$3:$A$24,0),1)*(I51+J51)*f_adblue,0)</f>
        <v>0</v>
      </c>
      <c r="M51" s="146">
        <f t="shared" si="3"/>
        <v>0</v>
      </c>
      <c r="N51" s="143" t="str">
        <f>IF(tuulisähkö_vuosi&lt;='S3 Tiekartta'!C51,"tuulisähkö",ostosähkö_nyt)</f>
        <v>jäännössähkö</v>
      </c>
      <c r="O51" s="147">
        <f>INDEX(Muuttujat!$J$5:$J$21,MATCH($C51,Muuttujat!$H$5:$H$21,0),1)</f>
        <v>68.554749999999999</v>
      </c>
      <c r="P51" s="148">
        <f t="shared" si="17"/>
        <v>1</v>
      </c>
      <c r="Q51" s="148">
        <f t="shared" si="18"/>
        <v>0</v>
      </c>
      <c r="R51" s="148">
        <f t="shared" si="19"/>
        <v>0</v>
      </c>
      <c r="S51" s="149">
        <f t="shared" si="4"/>
        <v>0</v>
      </c>
      <c r="T51" s="150">
        <f t="shared" si="5"/>
        <v>0</v>
      </c>
      <c r="U51" s="150">
        <f t="shared" si="6"/>
        <v>0</v>
      </c>
      <c r="V51" s="150">
        <f>IFERROR(INDEX(Työkonekanta!$J$3:$J$27,MATCH($A51,Työkonekanta!$A$3:$A$24,0),1)*$B51*ef_li_ion_akku/1000/1000/INDEX(Työkonekanta!$K$3:$K$27,MATCH($A51,Työkonekanta!$A$3:$A$24,0)),0)</f>
        <v>0</v>
      </c>
      <c r="W51" s="149">
        <f t="shared" si="7"/>
        <v>0</v>
      </c>
      <c r="X51" s="150">
        <f t="shared" si="8"/>
        <v>0</v>
      </c>
      <c r="Y51" s="151">
        <f t="shared" si="9"/>
        <v>0</v>
      </c>
      <c r="Z51" s="152">
        <f t="shared" si="20"/>
        <v>0</v>
      </c>
      <c r="AA51" s="179">
        <f t="shared" si="21"/>
        <v>0</v>
      </c>
      <c r="AB51" s="179">
        <f t="shared" si="22"/>
        <v>0</v>
      </c>
      <c r="AC51" s="180">
        <f t="shared" si="10"/>
        <v>0</v>
      </c>
      <c r="AD51" s="156">
        <f t="shared" si="23"/>
        <v>0</v>
      </c>
      <c r="AE51" s="146">
        <f>IFERROR(INDEX(Työkonekanta!$L$3:$L$30,MATCH($A51,Työkonekanta!$A$3:$A$30,0),1),0)*AF51</f>
        <v>0</v>
      </c>
      <c r="AF51" s="146">
        <f>IFERROR(INDEX(Työkonekanta!$N$3:$N$32,MATCH($A51,Työkonekanta!$A$3:$A$32,0),1),0)</f>
        <v>0</v>
      </c>
      <c r="AG51" s="332">
        <f>I51*INDEX(Muuttujat!$U$5:$U$21,MATCH($C51,Muuttujat!$N$5:$N$21,0),1)</f>
        <v>0</v>
      </c>
      <c r="AH51" s="332">
        <f>J51*INDEX(Muuttujat!$T$5:$T$21,MATCH($C51,Muuttujat!$N$5:$N$21,0),1)</f>
        <v>0</v>
      </c>
      <c r="AI51" s="332">
        <f t="shared" si="11"/>
        <v>0</v>
      </c>
      <c r="AJ51" s="332">
        <f t="shared" si="12"/>
        <v>0</v>
      </c>
      <c r="AK51" s="333">
        <f t="shared" si="24"/>
        <v>0</v>
      </c>
      <c r="AL51" s="332">
        <f t="shared" si="13"/>
        <v>0</v>
      </c>
      <c r="AM51" s="351"/>
      <c r="AN51" s="351"/>
    </row>
    <row r="52" spans="1:40">
      <c r="A52" s="139">
        <v>20</v>
      </c>
      <c r="B52" s="139">
        <f>IFERROR(IF((INDEX(Työkonekanta!$F$3:$F$27,MATCH('S3 Tiekartta'!$A52,Työkonekanta!$A$3:$A$24,0),1))&lt;0,0,(INDEX(Työkonekanta!$F$3:$F$27,MATCH('S3 Tiekartta'!$A52,Työkonekanta!$A$3:$A$24,0),1))),0)</f>
        <v>0</v>
      </c>
      <c r="C52" s="140">
        <v>2020</v>
      </c>
      <c r="D52" s="141" t="str">
        <f>IFERROR(INDEX(Työkonekanta!$D$3:$D$27,MATCH('S3 Tiekartta'!$A52,Työkonekanta!$A$3:$A$24,0),1),"undefined")</f>
        <v>pom</v>
      </c>
      <c r="E52" s="145">
        <f>IFERROR(INDEX(Työkonekanta!$G$3:$G$27,MATCH($A52,Työkonekanta!$A$3:$A$24,0),1)*INDEX(Työkonekanta!$H$3:$H$27,MATCH($A52,Työkonekanta!$A$3:$A$24,0),1)*(1+s0b_kasvu*($C52-2019))*$B52,0)</f>
        <v>0</v>
      </c>
      <c r="F52" s="145">
        <f t="shared" si="0"/>
        <v>0</v>
      </c>
      <c r="G52" s="151">
        <f t="shared" si="14"/>
        <v>0</v>
      </c>
      <c r="H52" s="145">
        <f t="shared" si="15"/>
        <v>0</v>
      </c>
      <c r="I52" s="145">
        <f t="shared" si="1"/>
        <v>0</v>
      </c>
      <c r="J52" s="145">
        <f t="shared" si="2"/>
        <v>0</v>
      </c>
      <c r="K52" s="142" t="str">
        <f t="shared" si="16"/>
        <v>l</v>
      </c>
      <c r="L52" s="146">
        <f>IFERROR(INDEX(Työkonekanta!$I$3:$I$27,MATCH('S3 Tiekartta'!$A52,Työkonekanta!$A$3:$A$24,0),1)*(I52+J52)*f_adblue,0)</f>
        <v>0</v>
      </c>
      <c r="M52" s="146">
        <f t="shared" si="3"/>
        <v>0</v>
      </c>
      <c r="N52" s="143" t="str">
        <f>IF(tuulisähkö_vuosi&lt;='S3 Tiekartta'!C52,"tuulisähkö",ostosähkö_nyt)</f>
        <v>jäännössähkö</v>
      </c>
      <c r="O52" s="147">
        <f>INDEX(Muuttujat!$J$5:$J$21,MATCH($C52,Muuttujat!$H$5:$H$21,0),1)</f>
        <v>68.554749999999999</v>
      </c>
      <c r="P52" s="148">
        <f t="shared" si="17"/>
        <v>1</v>
      </c>
      <c r="Q52" s="148">
        <f t="shared" si="18"/>
        <v>0</v>
      </c>
      <c r="R52" s="148">
        <f t="shared" si="19"/>
        <v>0</v>
      </c>
      <c r="S52" s="149">
        <f t="shared" si="4"/>
        <v>0</v>
      </c>
      <c r="T52" s="150">
        <f t="shared" si="5"/>
        <v>0</v>
      </c>
      <c r="U52" s="150">
        <f t="shared" si="6"/>
        <v>0</v>
      </c>
      <c r="V52" s="150">
        <f>IFERROR(INDEX(Työkonekanta!$J$3:$J$27,MATCH($A52,Työkonekanta!$A$3:$A$24,0),1)*$B52*ef_li_ion_akku/1000/1000/INDEX(Työkonekanta!$K$3:$K$27,MATCH($A52,Työkonekanta!$A$3:$A$24,0)),0)</f>
        <v>0</v>
      </c>
      <c r="W52" s="149">
        <f t="shared" si="7"/>
        <v>0</v>
      </c>
      <c r="X52" s="150">
        <f t="shared" si="8"/>
        <v>0</v>
      </c>
      <c r="Y52" s="151">
        <f t="shared" si="9"/>
        <v>0</v>
      </c>
      <c r="Z52" s="152">
        <f t="shared" si="20"/>
        <v>0</v>
      </c>
      <c r="AA52" s="179">
        <f t="shared" si="21"/>
        <v>0</v>
      </c>
      <c r="AB52" s="179">
        <f t="shared" si="22"/>
        <v>0</v>
      </c>
      <c r="AC52" s="180">
        <f t="shared" si="10"/>
        <v>0</v>
      </c>
      <c r="AD52" s="156">
        <f t="shared" si="23"/>
        <v>0</v>
      </c>
      <c r="AE52" s="146">
        <f>IFERROR(INDEX(Työkonekanta!$L$3:$L$30,MATCH($A52,Työkonekanta!$A$3:$A$30,0),1),0)*AF52</f>
        <v>0</v>
      </c>
      <c r="AF52" s="146">
        <f>IFERROR(INDEX(Työkonekanta!$N$3:$N$32,MATCH($A52,Työkonekanta!$A$3:$A$32,0),1),0)</f>
        <v>0</v>
      </c>
      <c r="AG52" s="332">
        <f>I52*INDEX(Muuttujat!$U$5:$U$21,MATCH($C52,Muuttujat!$N$5:$N$21,0),1)</f>
        <v>0</v>
      </c>
      <c r="AH52" s="332">
        <f>J52*INDEX(Muuttujat!$T$5:$T$21,MATCH($C52,Muuttujat!$N$5:$N$21,0),1)</f>
        <v>0</v>
      </c>
      <c r="AI52" s="332">
        <f t="shared" si="11"/>
        <v>0</v>
      </c>
      <c r="AJ52" s="332">
        <f t="shared" si="12"/>
        <v>0</v>
      </c>
      <c r="AK52" s="333">
        <f t="shared" si="24"/>
        <v>0</v>
      </c>
      <c r="AL52" s="332">
        <f t="shared" si="13"/>
        <v>0</v>
      </c>
      <c r="AM52" s="351"/>
      <c r="AN52" s="351"/>
    </row>
    <row r="53" spans="1:40">
      <c r="A53" s="139">
        <v>21</v>
      </c>
      <c r="B53" s="139">
        <f>IFERROR(IF((INDEX(Työkonekanta!$F$3:$F$27,MATCH('S3 Tiekartta'!$A53,Työkonekanta!$A$3:$A$24,0),1))&lt;0,0,(INDEX(Työkonekanta!$F$3:$F$27,MATCH('S3 Tiekartta'!$A53,Työkonekanta!$A$3:$A$24,0),1))),0)</f>
        <v>35</v>
      </c>
      <c r="C53" s="140">
        <v>2020</v>
      </c>
      <c r="D53" s="141" t="str">
        <f>IFERROR(INDEX(Työkonekanta!$D$3:$D$27,MATCH('S3 Tiekartta'!$A53,Työkonekanta!$A$3:$A$24,0),1),"undefined")</f>
        <v>sähkö</v>
      </c>
      <c r="E53" s="145">
        <f>IFERROR(INDEX(Työkonekanta!$G$3:$G$27,MATCH($A53,Työkonekanta!$A$3:$A$24,0),1)*INDEX(Työkonekanta!$H$3:$H$27,MATCH($A53,Työkonekanta!$A$3:$A$24,0),1)*(1+s0b_kasvu*($C53-2019))*$B53,0)</f>
        <v>411271.06481481483</v>
      </c>
      <c r="F53" s="145">
        <f t="shared" si="0"/>
        <v>0</v>
      </c>
      <c r="G53" s="151">
        <f t="shared" si="14"/>
        <v>0</v>
      </c>
      <c r="H53" s="145">
        <f t="shared" si="15"/>
        <v>0</v>
      </c>
      <c r="I53" s="145">
        <f t="shared" si="1"/>
        <v>0</v>
      </c>
      <c r="J53" s="145">
        <f t="shared" si="2"/>
        <v>0</v>
      </c>
      <c r="K53" s="142" t="str">
        <f t="shared" si="16"/>
        <v>kWh</v>
      </c>
      <c r="L53" s="146">
        <f>IFERROR(INDEX(Työkonekanta!$I$3:$I$27,MATCH('S3 Tiekartta'!$A53,Työkonekanta!$A$3:$A$24,0),1)*(I53+J53)*f_adblue,0)</f>
        <v>0</v>
      </c>
      <c r="M53" s="146">
        <f t="shared" si="3"/>
        <v>1480575.8333333335</v>
      </c>
      <c r="N53" s="143" t="str">
        <f>IF(tuulisähkö_vuosi&lt;='S3 Tiekartta'!C53,"tuulisähkö",ostosähkö_nyt)</f>
        <v>jäännössähkö</v>
      </c>
      <c r="O53" s="147">
        <f>INDEX(Muuttujat!$J$5:$J$21,MATCH($C53,Muuttujat!$H$5:$H$21,0),1)</f>
        <v>68.554749999999999</v>
      </c>
      <c r="P53" s="148">
        <f t="shared" si="17"/>
        <v>1</v>
      </c>
      <c r="Q53" s="148">
        <f t="shared" si="18"/>
        <v>0</v>
      </c>
      <c r="R53" s="148">
        <f t="shared" si="19"/>
        <v>0</v>
      </c>
      <c r="S53" s="149">
        <f t="shared" si="4"/>
        <v>0</v>
      </c>
      <c r="T53" s="150">
        <f t="shared" si="5"/>
        <v>0</v>
      </c>
      <c r="U53" s="150">
        <f t="shared" si="6"/>
        <v>101.50050611020835</v>
      </c>
      <c r="V53" s="150">
        <f>IFERROR(INDEX(Työkonekanta!$J$3:$J$27,MATCH($A53,Työkonekanta!$A$3:$A$24,0),1)*$B53*ef_li_ion_akku/1000/1000/INDEX(Työkonekanta!$K$3:$K$27,MATCH($A53,Työkonekanta!$A$3:$A$24,0)),0)</f>
        <v>43.121723076923082</v>
      </c>
      <c r="W53" s="149">
        <f t="shared" si="7"/>
        <v>0</v>
      </c>
      <c r="X53" s="150">
        <f t="shared" si="8"/>
        <v>0</v>
      </c>
      <c r="Y53" s="151">
        <f t="shared" si="9"/>
        <v>0</v>
      </c>
      <c r="Z53" s="152">
        <f t="shared" si="20"/>
        <v>144.62222918713144</v>
      </c>
      <c r="AA53" s="179">
        <f t="shared" si="21"/>
        <v>0</v>
      </c>
      <c r="AB53" s="179">
        <f t="shared" si="22"/>
        <v>0</v>
      </c>
      <c r="AC53" s="180">
        <f t="shared" si="10"/>
        <v>144.62222918713144</v>
      </c>
      <c r="AD53" s="156">
        <f t="shared" si="23"/>
        <v>144.62222918713144</v>
      </c>
      <c r="AE53" s="146">
        <f>IFERROR(INDEX(Työkonekanta!$L$3:$L$30,MATCH($A53,Työkonekanta!$A$3:$A$30,0),1),0)*AF53</f>
        <v>1820000</v>
      </c>
      <c r="AF53" s="146">
        <f>IFERROR(INDEX(Työkonekanta!$N$3:$N$32,MATCH($A53,Työkonekanta!$A$3:$A$32,0),1),0)</f>
        <v>7</v>
      </c>
      <c r="AG53" s="332">
        <f>I53*INDEX(Muuttujat!$U$5:$U$21,MATCH($C53,Muuttujat!$N$5:$N$21,0),1)</f>
        <v>0</v>
      </c>
      <c r="AH53" s="332">
        <f>J53*INDEX(Muuttujat!$T$5:$T$21,MATCH($C53,Muuttujat!$N$5:$N$21,0),1)</f>
        <v>0</v>
      </c>
      <c r="AI53" s="332">
        <f t="shared" si="11"/>
        <v>0</v>
      </c>
      <c r="AJ53" s="332">
        <f t="shared" si="12"/>
        <v>36397.48923611112</v>
      </c>
      <c r="AK53" s="333">
        <f t="shared" si="24"/>
        <v>36397.48923611112</v>
      </c>
      <c r="AL53" s="332">
        <f t="shared" si="13"/>
        <v>1039.9282638888892</v>
      </c>
      <c r="AM53" s="351"/>
      <c r="AN53" s="351"/>
    </row>
    <row r="54" spans="1:40">
      <c r="A54" s="139">
        <v>22</v>
      </c>
      <c r="B54" s="139">
        <f>IFERROR(IF((INDEX(Työkonekanta!$F$3:$F$27,MATCH('S3 Tiekartta'!$A54,Työkonekanta!$A$3:$A$24,0),1))&lt;0,0,(INDEX(Työkonekanta!$F$3:$F$27,MATCH('S3 Tiekartta'!$A54,Työkonekanta!$A$3:$A$24,0),1))),0)</f>
        <v>0</v>
      </c>
      <c r="C54" s="140">
        <v>2020</v>
      </c>
      <c r="D54" s="141" t="str">
        <f>IFERROR(INDEX(Työkonekanta!$D$3:$D$27,MATCH('S3 Tiekartta'!$A54,Työkonekanta!$A$3:$A$24,0),1),"undefined")</f>
        <v>sähkö</v>
      </c>
      <c r="E54" s="145">
        <f>IFERROR(INDEX(Työkonekanta!$G$3:$G$27,MATCH($A54,Työkonekanta!$A$3:$A$24,0),1)*INDEX(Työkonekanta!$H$3:$H$27,MATCH($A54,Työkonekanta!$A$3:$A$24,0),1)*(1+s0b_kasvu*($C54-2019))*$B54,0)</f>
        <v>0</v>
      </c>
      <c r="F54" s="145">
        <f t="shared" si="0"/>
        <v>0</v>
      </c>
      <c r="G54" s="151">
        <f t="shared" si="14"/>
        <v>0</v>
      </c>
      <c r="H54" s="145">
        <f t="shared" si="15"/>
        <v>0</v>
      </c>
      <c r="I54" s="145">
        <f t="shared" si="1"/>
        <v>0</v>
      </c>
      <c r="J54" s="145">
        <f t="shared" si="2"/>
        <v>0</v>
      </c>
      <c r="K54" s="142" t="str">
        <f t="shared" si="16"/>
        <v>kWh</v>
      </c>
      <c r="L54" s="146">
        <f>IFERROR(INDEX(Työkonekanta!$I$3:$I$27,MATCH('S3 Tiekartta'!$A54,Työkonekanta!$A$3:$A$24,0),1)*(I54+J54)*f_adblue,0)</f>
        <v>0</v>
      </c>
      <c r="M54" s="146">
        <f t="shared" si="3"/>
        <v>0</v>
      </c>
      <c r="N54" s="143" t="str">
        <f>IF(tuulisähkö_vuosi&lt;='S3 Tiekartta'!C54,"tuulisähkö",ostosähkö_nyt)</f>
        <v>jäännössähkö</v>
      </c>
      <c r="O54" s="147">
        <f>INDEX(Muuttujat!$J$5:$J$21,MATCH($C54,Muuttujat!$H$5:$H$21,0),1)</f>
        <v>68.554749999999999</v>
      </c>
      <c r="P54" s="148">
        <f t="shared" si="17"/>
        <v>1</v>
      </c>
      <c r="Q54" s="148">
        <f t="shared" si="18"/>
        <v>0</v>
      </c>
      <c r="R54" s="148">
        <f t="shared" si="19"/>
        <v>0</v>
      </c>
      <c r="S54" s="149">
        <f t="shared" si="4"/>
        <v>0</v>
      </c>
      <c r="T54" s="150">
        <f t="shared" si="5"/>
        <v>0</v>
      </c>
      <c r="U54" s="150">
        <f t="shared" si="6"/>
        <v>0</v>
      </c>
      <c r="V54" s="150">
        <f>IFERROR(INDEX(Työkonekanta!$J$3:$J$27,MATCH($A54,Työkonekanta!$A$3:$A$24,0),1)*$B54*ef_li_ion_akku/1000/1000/INDEX(Työkonekanta!$K$3:$K$27,MATCH($A54,Työkonekanta!$A$3:$A$24,0)),0)</f>
        <v>0</v>
      </c>
      <c r="W54" s="149">
        <f t="shared" si="7"/>
        <v>0</v>
      </c>
      <c r="X54" s="150">
        <f t="shared" si="8"/>
        <v>0</v>
      </c>
      <c r="Y54" s="151">
        <f t="shared" si="9"/>
        <v>0</v>
      </c>
      <c r="Z54" s="152">
        <f t="shared" si="20"/>
        <v>0</v>
      </c>
      <c r="AA54" s="179">
        <f t="shared" si="21"/>
        <v>0</v>
      </c>
      <c r="AB54" s="179">
        <f t="shared" si="22"/>
        <v>0</v>
      </c>
      <c r="AC54" s="180">
        <f t="shared" si="10"/>
        <v>0</v>
      </c>
      <c r="AD54" s="156">
        <f t="shared" si="23"/>
        <v>0</v>
      </c>
      <c r="AE54" s="146">
        <f>IFERROR(INDEX(Työkonekanta!$L$3:$L$30,MATCH($A54,Työkonekanta!$A$3:$A$30,0),1),0)*AF54</f>
        <v>0</v>
      </c>
      <c r="AF54" s="146">
        <f>IFERROR(INDEX(Työkonekanta!$N$3:$N$32,MATCH($A54,Työkonekanta!$A$3:$A$32,0),1),0)</f>
        <v>0</v>
      </c>
      <c r="AG54" s="332">
        <f>I54*INDEX(Muuttujat!$U$5:$U$21,MATCH($C54,Muuttujat!$N$5:$N$21,0),1)</f>
        <v>0</v>
      </c>
      <c r="AH54" s="332">
        <f>J54*INDEX(Muuttujat!$T$5:$T$21,MATCH($C54,Muuttujat!$N$5:$N$21,0),1)</f>
        <v>0</v>
      </c>
      <c r="AI54" s="332">
        <f t="shared" si="11"/>
        <v>0</v>
      </c>
      <c r="AJ54" s="332">
        <f t="shared" si="12"/>
        <v>0</v>
      </c>
      <c r="AK54" s="333">
        <f t="shared" si="24"/>
        <v>0</v>
      </c>
      <c r="AL54" s="332">
        <f t="shared" si="13"/>
        <v>0</v>
      </c>
      <c r="AM54" s="351"/>
      <c r="AN54" s="351"/>
    </row>
    <row r="55" spans="1:40">
      <c r="A55" s="139">
        <v>23</v>
      </c>
      <c r="B55" s="139">
        <f>IFERROR(IF((INDEX(Työkonekanta!$F$3:$F$27,MATCH('S3 Tiekartta'!$A55,Työkonekanta!$A$3:$A$24,0),1))&lt;0,0,(INDEX(Työkonekanta!$F$3:$F$27,MATCH('S3 Tiekartta'!$A55,Työkonekanta!$A$3:$A$24,0),1))),0)</f>
        <v>0</v>
      </c>
      <c r="C55" s="140">
        <v>2020</v>
      </c>
      <c r="D55" s="141" t="str">
        <f>IFERROR(INDEX(Työkonekanta!$D$3:$D$27,MATCH('S3 Tiekartta'!$A55,Työkonekanta!$A$3:$A$24,0),1),"undefined")</f>
        <v>undefined</v>
      </c>
      <c r="E55" s="145">
        <f>IFERROR(INDEX(Työkonekanta!$G$3:$G$27,MATCH($A55,Työkonekanta!$A$3:$A$24,0),1)*INDEX(Työkonekanta!$H$3:$H$27,MATCH($A55,Työkonekanta!$A$3:$A$24,0),1)*(1+s0b_kasvu*($C55-2019))*$B55,0)</f>
        <v>0</v>
      </c>
      <c r="F55" s="145">
        <f t="shared" si="0"/>
        <v>0</v>
      </c>
      <c r="G55" s="151">
        <f t="shared" si="14"/>
        <v>0</v>
      </c>
      <c r="H55" s="145">
        <f t="shared" si="15"/>
        <v>0</v>
      </c>
      <c r="I55" s="145">
        <f t="shared" si="1"/>
        <v>0</v>
      </c>
      <c r="J55" s="145">
        <f t="shared" si="2"/>
        <v>0</v>
      </c>
      <c r="K55" s="142" t="str">
        <f t="shared" si="16"/>
        <v>undefined</v>
      </c>
      <c r="L55" s="146">
        <f>IFERROR(INDEX(Työkonekanta!$I$3:$I$27,MATCH('S3 Tiekartta'!$A55,Työkonekanta!$A$3:$A$24,0),1)*(I55+J55)*f_adblue,0)</f>
        <v>0</v>
      </c>
      <c r="M55" s="146">
        <f t="shared" si="3"/>
        <v>0</v>
      </c>
      <c r="N55" s="143" t="str">
        <f>IF(tuulisähkö_vuosi&lt;='S3 Tiekartta'!C55,"tuulisähkö",ostosähkö_nyt)</f>
        <v>jäännössähkö</v>
      </c>
      <c r="O55" s="147">
        <f>INDEX(Muuttujat!$J$5:$J$21,MATCH($C55,Muuttujat!$H$5:$H$21,0),1)</f>
        <v>68.554749999999999</v>
      </c>
      <c r="P55" s="148">
        <f t="shared" si="17"/>
        <v>1</v>
      </c>
      <c r="Q55" s="148">
        <f t="shared" si="18"/>
        <v>0</v>
      </c>
      <c r="R55" s="148">
        <f t="shared" si="19"/>
        <v>0</v>
      </c>
      <c r="S55" s="149">
        <f t="shared" si="4"/>
        <v>0</v>
      </c>
      <c r="T55" s="150">
        <f t="shared" si="5"/>
        <v>0</v>
      </c>
      <c r="U55" s="150">
        <f t="shared" si="6"/>
        <v>0</v>
      </c>
      <c r="V55" s="150">
        <f>IFERROR(INDEX(Työkonekanta!$J$3:$J$27,MATCH($A55,Työkonekanta!$A$3:$A$24,0),1)*$B55*ef_li_ion_akku/1000/1000/INDEX(Työkonekanta!$K$3:$K$27,MATCH($A55,Työkonekanta!$A$3:$A$24,0)),0)</f>
        <v>0</v>
      </c>
      <c r="W55" s="149">
        <f t="shared" si="7"/>
        <v>0</v>
      </c>
      <c r="X55" s="150">
        <f t="shared" si="8"/>
        <v>0</v>
      </c>
      <c r="Y55" s="151">
        <f t="shared" si="9"/>
        <v>0</v>
      </c>
      <c r="Z55" s="152">
        <f t="shared" si="20"/>
        <v>0</v>
      </c>
      <c r="AA55" s="179">
        <f t="shared" si="21"/>
        <v>0</v>
      </c>
      <c r="AB55" s="179">
        <f t="shared" si="22"/>
        <v>0</v>
      </c>
      <c r="AC55" s="180">
        <f t="shared" si="10"/>
        <v>0</v>
      </c>
      <c r="AD55" s="156">
        <f t="shared" si="23"/>
        <v>0</v>
      </c>
      <c r="AE55" s="146">
        <f>IFERROR(INDEX(Työkonekanta!$L$3:$L$30,MATCH($A55,Työkonekanta!$A$3:$A$30,0),1),0)*AF55</f>
        <v>0</v>
      </c>
      <c r="AF55" s="146">
        <f>IFERROR(INDEX(Työkonekanta!$N$3:$N$32,MATCH($A55,Työkonekanta!$A$3:$A$32,0),1),0)</f>
        <v>0</v>
      </c>
      <c r="AG55" s="332">
        <f>I55*INDEX(Muuttujat!$U$5:$U$21,MATCH($C55,Muuttujat!$N$5:$N$21,0),1)</f>
        <v>0</v>
      </c>
      <c r="AH55" s="332">
        <f>J55*INDEX(Muuttujat!$T$5:$T$21,MATCH($C55,Muuttujat!$N$5:$N$21,0),1)</f>
        <v>0</v>
      </c>
      <c r="AI55" s="332">
        <f t="shared" si="11"/>
        <v>0</v>
      </c>
      <c r="AJ55" s="332">
        <f t="shared" si="12"/>
        <v>0</v>
      </c>
      <c r="AK55" s="333">
        <f t="shared" si="24"/>
        <v>0</v>
      </c>
      <c r="AL55" s="332">
        <f t="shared" si="13"/>
        <v>0</v>
      </c>
      <c r="AM55" s="351"/>
      <c r="AN55" s="351"/>
    </row>
    <row r="56" spans="1:40">
      <c r="A56" s="139">
        <v>24</v>
      </c>
      <c r="B56" s="139">
        <f>IFERROR(IF((INDEX(Työkonekanta!$F$3:$F$27,MATCH('S3 Tiekartta'!$A56,Työkonekanta!$A$3:$A$24,0),1))&lt;0,0,(INDEX(Työkonekanta!$F$3:$F$27,MATCH('S3 Tiekartta'!$A56,Työkonekanta!$A$3:$A$24,0),1))),0)</f>
        <v>0</v>
      </c>
      <c r="C56" s="140">
        <v>2020</v>
      </c>
      <c r="D56" s="141" t="str">
        <f>IFERROR(INDEX(Työkonekanta!$D$3:$D$27,MATCH('S3 Tiekartta'!$A56,Työkonekanta!$A$3:$A$24,0),1),"undefined")</f>
        <v>undefined</v>
      </c>
      <c r="E56" s="145">
        <f>IFERROR(INDEX(Työkonekanta!$G$3:$G$27,MATCH($A56,Työkonekanta!$A$3:$A$24,0),1)*INDEX(Työkonekanta!$H$3:$H$27,MATCH($A56,Työkonekanta!$A$3:$A$24,0),1)*(1+s0b_kasvu*($C56-2019))*$B56,0)</f>
        <v>0</v>
      </c>
      <c r="F56" s="145">
        <f t="shared" si="0"/>
        <v>0</v>
      </c>
      <c r="G56" s="151">
        <f t="shared" si="14"/>
        <v>0</v>
      </c>
      <c r="H56" s="145">
        <f t="shared" si="15"/>
        <v>0</v>
      </c>
      <c r="I56" s="145">
        <f t="shared" si="1"/>
        <v>0</v>
      </c>
      <c r="J56" s="145">
        <f t="shared" si="2"/>
        <v>0</v>
      </c>
      <c r="K56" s="142" t="str">
        <f t="shared" si="16"/>
        <v>undefined</v>
      </c>
      <c r="L56" s="146">
        <f>IFERROR(INDEX(Työkonekanta!$I$3:$I$27,MATCH('S3 Tiekartta'!$A56,Työkonekanta!$A$3:$A$24,0),1)*(I56+J56)*f_adblue,0)</f>
        <v>0</v>
      </c>
      <c r="M56" s="146">
        <f t="shared" si="3"/>
        <v>0</v>
      </c>
      <c r="N56" s="143" t="str">
        <f>IF(tuulisähkö_vuosi&lt;='S3 Tiekartta'!C56,"tuulisähkö",ostosähkö_nyt)</f>
        <v>jäännössähkö</v>
      </c>
      <c r="O56" s="147">
        <f>INDEX(Muuttujat!$J$5:$J$21,MATCH($C56,Muuttujat!$H$5:$H$21,0),1)</f>
        <v>68.554749999999999</v>
      </c>
      <c r="P56" s="148">
        <f t="shared" si="17"/>
        <v>1</v>
      </c>
      <c r="Q56" s="148">
        <f t="shared" si="18"/>
        <v>0</v>
      </c>
      <c r="R56" s="148">
        <f t="shared" si="19"/>
        <v>0</v>
      </c>
      <c r="S56" s="149">
        <f t="shared" si="4"/>
        <v>0</v>
      </c>
      <c r="T56" s="150">
        <f t="shared" si="5"/>
        <v>0</v>
      </c>
      <c r="U56" s="150">
        <f t="shared" si="6"/>
        <v>0</v>
      </c>
      <c r="V56" s="150">
        <f>IFERROR(INDEX(Työkonekanta!$J$3:$J$27,MATCH($A56,Työkonekanta!$A$3:$A$24,0),1)*$B56*ef_li_ion_akku/1000/1000/INDEX(Työkonekanta!$K$3:$K$27,MATCH($A56,Työkonekanta!$A$3:$A$24,0)),0)</f>
        <v>0</v>
      </c>
      <c r="W56" s="149">
        <f t="shared" si="7"/>
        <v>0</v>
      </c>
      <c r="X56" s="150">
        <f t="shared" si="8"/>
        <v>0</v>
      </c>
      <c r="Y56" s="151">
        <f t="shared" si="9"/>
        <v>0</v>
      </c>
      <c r="Z56" s="152">
        <f t="shared" si="20"/>
        <v>0</v>
      </c>
      <c r="AA56" s="179">
        <f t="shared" si="21"/>
        <v>0</v>
      </c>
      <c r="AB56" s="179">
        <f t="shared" si="22"/>
        <v>0</v>
      </c>
      <c r="AC56" s="180">
        <f t="shared" si="10"/>
        <v>0</v>
      </c>
      <c r="AD56" s="156">
        <f t="shared" si="23"/>
        <v>0</v>
      </c>
      <c r="AE56" s="146">
        <f>IFERROR(INDEX(Työkonekanta!$L$3:$L$30,MATCH($A56,Työkonekanta!$A$3:$A$30,0),1),0)*AF56</f>
        <v>0</v>
      </c>
      <c r="AF56" s="146">
        <f>IFERROR(INDEX(Työkonekanta!$N$3:$N$32,MATCH($A56,Työkonekanta!$A$3:$A$32,0),1),0)</f>
        <v>0</v>
      </c>
      <c r="AG56" s="332">
        <f>I56*INDEX(Muuttujat!$U$5:$U$21,MATCH($C56,Muuttujat!$N$5:$N$21,0),1)</f>
        <v>0</v>
      </c>
      <c r="AH56" s="332">
        <f>J56*INDEX(Muuttujat!$T$5:$T$21,MATCH($C56,Muuttujat!$N$5:$N$21,0),1)</f>
        <v>0</v>
      </c>
      <c r="AI56" s="332">
        <f t="shared" si="11"/>
        <v>0</v>
      </c>
      <c r="AJ56" s="332">
        <f t="shared" si="12"/>
        <v>0</v>
      </c>
      <c r="AK56" s="333">
        <f t="shared" si="24"/>
        <v>0</v>
      </c>
      <c r="AL56" s="332">
        <f t="shared" si="13"/>
        <v>0</v>
      </c>
      <c r="AM56" s="351"/>
      <c r="AN56" s="351"/>
    </row>
    <row r="57" spans="1:40">
      <c r="A57" s="139">
        <v>25</v>
      </c>
      <c r="B57" s="139">
        <f>IFERROR(IF((INDEX(Työkonekanta!$F$3:$F$27,MATCH('S3 Tiekartta'!$A57,Työkonekanta!$A$3:$A$24,0),1))&lt;0,0,(INDEX(Työkonekanta!$F$3:$F$27,MATCH('S3 Tiekartta'!$A57,Työkonekanta!$A$3:$A$24,0),1))),0)</f>
        <v>0</v>
      </c>
      <c r="C57" s="140">
        <v>2020</v>
      </c>
      <c r="D57" s="141" t="str">
        <f>IFERROR(INDEX(Työkonekanta!$D$3:$D$27,MATCH('S3 Tiekartta'!$A57,Työkonekanta!$A$3:$A$24,0),1),"undefined")</f>
        <v>undefined</v>
      </c>
      <c r="E57" s="145">
        <f>IFERROR(INDEX(Työkonekanta!$G$3:$G$27,MATCH($A57,Työkonekanta!$A$3:$A$24,0),1)*INDEX(Työkonekanta!$H$3:$H$27,MATCH($A57,Työkonekanta!$A$3:$A$24,0),1)*(1+s0b_kasvu*($C57-2019))*$B57,0)</f>
        <v>0</v>
      </c>
      <c r="F57" s="145">
        <f t="shared" si="0"/>
        <v>0</v>
      </c>
      <c r="G57" s="151">
        <f t="shared" si="14"/>
        <v>0</v>
      </c>
      <c r="H57" s="145">
        <f t="shared" si="15"/>
        <v>0</v>
      </c>
      <c r="I57" s="145">
        <f t="shared" si="1"/>
        <v>0</v>
      </c>
      <c r="J57" s="145">
        <f t="shared" si="2"/>
        <v>0</v>
      </c>
      <c r="K57" s="142" t="str">
        <f t="shared" si="16"/>
        <v>undefined</v>
      </c>
      <c r="L57" s="146">
        <f>IFERROR(INDEX(Työkonekanta!$I$3:$I$27,MATCH('S3 Tiekartta'!$A57,Työkonekanta!$A$3:$A$24,0),1)*(I57+J57)*f_adblue,0)</f>
        <v>0</v>
      </c>
      <c r="M57" s="146">
        <f t="shared" si="3"/>
        <v>0</v>
      </c>
      <c r="N57" s="143" t="str">
        <f>IF(tuulisähkö_vuosi&lt;='S3 Tiekartta'!C57,"tuulisähkö",ostosähkö_nyt)</f>
        <v>jäännössähkö</v>
      </c>
      <c r="O57" s="147">
        <f>INDEX(Muuttujat!$J$5:$J$21,MATCH($C57,Muuttujat!$H$5:$H$21,0),1)</f>
        <v>68.554749999999999</v>
      </c>
      <c r="P57" s="148">
        <f t="shared" si="17"/>
        <v>1</v>
      </c>
      <c r="Q57" s="148">
        <f t="shared" si="18"/>
        <v>0</v>
      </c>
      <c r="R57" s="148">
        <f t="shared" si="19"/>
        <v>0</v>
      </c>
      <c r="S57" s="149">
        <f t="shared" si="4"/>
        <v>0</v>
      </c>
      <c r="T57" s="150">
        <f t="shared" si="5"/>
        <v>0</v>
      </c>
      <c r="U57" s="150">
        <f t="shared" si="6"/>
        <v>0</v>
      </c>
      <c r="V57" s="150">
        <f>IFERROR(INDEX(Työkonekanta!$J$3:$J$27,MATCH($A57,Työkonekanta!$A$3:$A$24,0),1)*$B57*ef_li_ion_akku/1000/1000/INDEX(Työkonekanta!$K$3:$K$27,MATCH($A57,Työkonekanta!$A$3:$A$24,0)),0)</f>
        <v>0</v>
      </c>
      <c r="W57" s="149">
        <f t="shared" si="7"/>
        <v>0</v>
      </c>
      <c r="X57" s="150">
        <f t="shared" si="8"/>
        <v>0</v>
      </c>
      <c r="Y57" s="151">
        <f t="shared" si="9"/>
        <v>0</v>
      </c>
      <c r="Z57" s="152">
        <f t="shared" si="20"/>
        <v>0</v>
      </c>
      <c r="AA57" s="179">
        <f t="shared" si="21"/>
        <v>0</v>
      </c>
      <c r="AB57" s="179">
        <f t="shared" si="22"/>
        <v>0</v>
      </c>
      <c r="AC57" s="180">
        <f t="shared" si="10"/>
        <v>0</v>
      </c>
      <c r="AD57" s="156">
        <f t="shared" si="23"/>
        <v>0</v>
      </c>
      <c r="AE57" s="146">
        <f>IFERROR(INDEX(Työkonekanta!$L$3:$L$30,MATCH($A57,Työkonekanta!$A$3:$A$30,0),1),0)*AF57</f>
        <v>0</v>
      </c>
      <c r="AF57" s="146">
        <f>IFERROR(INDEX(Työkonekanta!$N$3:$N$32,MATCH($A57,Työkonekanta!$A$3:$A$32,0),1),0)</f>
        <v>0</v>
      </c>
      <c r="AG57" s="332">
        <f>I57*INDEX(Muuttujat!$U$5:$U$21,MATCH($C57,Muuttujat!$N$5:$N$21,0),1)</f>
        <v>0</v>
      </c>
      <c r="AH57" s="332">
        <f>J57*INDEX(Muuttujat!$T$5:$T$21,MATCH($C57,Muuttujat!$N$5:$N$21,0),1)</f>
        <v>0</v>
      </c>
      <c r="AI57" s="332">
        <f t="shared" si="11"/>
        <v>0</v>
      </c>
      <c r="AJ57" s="332">
        <f t="shared" si="12"/>
        <v>0</v>
      </c>
      <c r="AK57" s="333">
        <f t="shared" si="24"/>
        <v>0</v>
      </c>
      <c r="AL57" s="332">
        <f t="shared" si="13"/>
        <v>0</v>
      </c>
      <c r="AM57" s="351"/>
      <c r="AN57" s="351"/>
    </row>
    <row r="58" spans="1:40">
      <c r="A58" s="139">
        <v>26</v>
      </c>
      <c r="B58" s="139">
        <f>IFERROR(IF((INDEX(Työkonekanta!$F$3:$F$27,MATCH('S3 Tiekartta'!$A58,Työkonekanta!$A$3:$A$24,0),1))&lt;0,0,(INDEX(Työkonekanta!$F$3:$F$27,MATCH('S3 Tiekartta'!$A58,Työkonekanta!$A$3:$A$24,0),1))),0)</f>
        <v>0</v>
      </c>
      <c r="C58" s="140">
        <v>2020</v>
      </c>
      <c r="D58" s="141" t="str">
        <f>IFERROR(INDEX(Työkonekanta!$D$3:$D$27,MATCH('S3 Tiekartta'!$A58,Työkonekanta!$A$3:$A$24,0),1),"undefined")</f>
        <v>undefined</v>
      </c>
      <c r="E58" s="145">
        <f>IFERROR(INDEX(Työkonekanta!$G$3:$G$27,MATCH($A58,Työkonekanta!$A$3:$A$24,0),1)*INDEX(Työkonekanta!$H$3:$H$27,MATCH($A58,Työkonekanta!$A$3:$A$24,0),1)*(1+s0b_kasvu*($C58-2019))*$B58,0)</f>
        <v>0</v>
      </c>
      <c r="F58" s="145">
        <f t="shared" si="0"/>
        <v>0</v>
      </c>
      <c r="G58" s="151">
        <f t="shared" si="14"/>
        <v>0</v>
      </c>
      <c r="H58" s="145">
        <f t="shared" si="15"/>
        <v>0</v>
      </c>
      <c r="I58" s="145">
        <f t="shared" si="1"/>
        <v>0</v>
      </c>
      <c r="J58" s="145">
        <f t="shared" si="2"/>
        <v>0</v>
      </c>
      <c r="K58" s="142" t="str">
        <f t="shared" si="16"/>
        <v>undefined</v>
      </c>
      <c r="L58" s="146">
        <f>IFERROR(INDEX(Työkonekanta!$I$3:$I$27,MATCH('S3 Tiekartta'!$A58,Työkonekanta!$A$3:$A$24,0),1)*(I58+J58)*f_adblue,0)</f>
        <v>0</v>
      </c>
      <c r="M58" s="146">
        <f t="shared" si="3"/>
        <v>0</v>
      </c>
      <c r="N58" s="143" t="str">
        <f>IF(tuulisähkö_vuosi&lt;='S3 Tiekartta'!C58,"tuulisähkö",ostosähkö_nyt)</f>
        <v>jäännössähkö</v>
      </c>
      <c r="O58" s="147">
        <f>INDEX(Muuttujat!$J$5:$J$21,MATCH($C58,Muuttujat!$H$5:$H$21,0),1)</f>
        <v>68.554749999999999</v>
      </c>
      <c r="P58" s="148">
        <f t="shared" si="17"/>
        <v>1</v>
      </c>
      <c r="Q58" s="148">
        <f t="shared" si="18"/>
        <v>0</v>
      </c>
      <c r="R58" s="148">
        <f t="shared" si="19"/>
        <v>0</v>
      </c>
      <c r="S58" s="149">
        <f t="shared" si="4"/>
        <v>0</v>
      </c>
      <c r="T58" s="150">
        <f t="shared" si="5"/>
        <v>0</v>
      </c>
      <c r="U58" s="150">
        <f t="shared" si="6"/>
        <v>0</v>
      </c>
      <c r="V58" s="150">
        <f>IFERROR(INDEX(Työkonekanta!$J$3:$J$27,MATCH($A58,Työkonekanta!$A$3:$A$24,0),1)*$B58*ef_li_ion_akku/1000/1000/INDEX(Työkonekanta!$K$3:$K$27,MATCH($A58,Työkonekanta!$A$3:$A$24,0)),0)</f>
        <v>0</v>
      </c>
      <c r="W58" s="149">
        <f t="shared" si="7"/>
        <v>0</v>
      </c>
      <c r="X58" s="150">
        <f t="shared" si="8"/>
        <v>0</v>
      </c>
      <c r="Y58" s="151">
        <f t="shared" si="9"/>
        <v>0</v>
      </c>
      <c r="Z58" s="152">
        <f t="shared" si="20"/>
        <v>0</v>
      </c>
      <c r="AA58" s="179">
        <f t="shared" si="21"/>
        <v>0</v>
      </c>
      <c r="AB58" s="179">
        <f t="shared" si="22"/>
        <v>0</v>
      </c>
      <c r="AC58" s="180">
        <f t="shared" si="10"/>
        <v>0</v>
      </c>
      <c r="AD58" s="156">
        <f t="shared" si="23"/>
        <v>0</v>
      </c>
      <c r="AE58" s="146">
        <f>IFERROR(INDEX(Työkonekanta!$L$3:$L$30,MATCH($A58,Työkonekanta!$A$3:$A$30,0),1),0)*AF58</f>
        <v>0</v>
      </c>
      <c r="AF58" s="146">
        <f>IFERROR(INDEX(Työkonekanta!$N$3:$N$32,MATCH($A58,Työkonekanta!$A$3:$A$32,0),1),0)</f>
        <v>0</v>
      </c>
      <c r="AG58" s="332">
        <f>I58*INDEX(Muuttujat!$U$5:$U$21,MATCH($C58,Muuttujat!$N$5:$N$21,0),1)</f>
        <v>0</v>
      </c>
      <c r="AH58" s="332">
        <f>J58*INDEX(Muuttujat!$T$5:$T$21,MATCH($C58,Muuttujat!$N$5:$N$21,0),1)</f>
        <v>0</v>
      </c>
      <c r="AI58" s="332">
        <f t="shared" si="11"/>
        <v>0</v>
      </c>
      <c r="AJ58" s="332">
        <f t="shared" si="12"/>
        <v>0</v>
      </c>
      <c r="AK58" s="333">
        <f t="shared" si="24"/>
        <v>0</v>
      </c>
      <c r="AL58" s="332">
        <f t="shared" si="13"/>
        <v>0</v>
      </c>
      <c r="AM58" s="351"/>
      <c r="AN58" s="351"/>
    </row>
    <row r="59" spans="1:40">
      <c r="A59" s="139">
        <v>27</v>
      </c>
      <c r="B59" s="139">
        <f>IFERROR(IF((INDEX(Työkonekanta!$F$3:$F$27,MATCH('S3 Tiekartta'!$A59,Työkonekanta!$A$3:$A$24,0),1))&lt;0,0,(INDEX(Työkonekanta!$F$3:$F$27,MATCH('S3 Tiekartta'!$A59,Työkonekanta!$A$3:$A$24,0),1))),0)</f>
        <v>0</v>
      </c>
      <c r="C59" s="140">
        <v>2020</v>
      </c>
      <c r="D59" s="141" t="str">
        <f>IFERROR(INDEX(Työkonekanta!$D$3:$D$27,MATCH('S3 Tiekartta'!$A59,Työkonekanta!$A$3:$A$24,0),1),"undefined")</f>
        <v>undefined</v>
      </c>
      <c r="E59" s="145">
        <f>IFERROR(INDEX(Työkonekanta!$G$3:$G$27,MATCH($A59,Työkonekanta!$A$3:$A$24,0),1)*INDEX(Työkonekanta!$H$3:$H$27,MATCH($A59,Työkonekanta!$A$3:$A$24,0),1)*(1+s0b_kasvu*($C59-2019))*$B59,0)</f>
        <v>0</v>
      </c>
      <c r="F59" s="145">
        <f t="shared" si="0"/>
        <v>0</v>
      </c>
      <c r="G59" s="151">
        <f t="shared" si="14"/>
        <v>0</v>
      </c>
      <c r="H59" s="145">
        <f t="shared" si="15"/>
        <v>0</v>
      </c>
      <c r="I59" s="145">
        <f t="shared" si="1"/>
        <v>0</v>
      </c>
      <c r="J59" s="145">
        <f t="shared" si="2"/>
        <v>0</v>
      </c>
      <c r="K59" s="142" t="str">
        <f t="shared" si="16"/>
        <v>undefined</v>
      </c>
      <c r="L59" s="146">
        <f>IFERROR(INDEX(Työkonekanta!$I$3:$I$27,MATCH('S3 Tiekartta'!$A59,Työkonekanta!$A$3:$A$24,0),1)*(I59+J59)*f_adblue,0)</f>
        <v>0</v>
      </c>
      <c r="M59" s="146">
        <f t="shared" si="3"/>
        <v>0</v>
      </c>
      <c r="N59" s="143" t="str">
        <f>IF(tuulisähkö_vuosi&lt;='S3 Tiekartta'!C59,"tuulisähkö",ostosähkö_nyt)</f>
        <v>jäännössähkö</v>
      </c>
      <c r="O59" s="147">
        <f>INDEX(Muuttujat!$J$5:$J$21,MATCH($C59,Muuttujat!$H$5:$H$21,0),1)</f>
        <v>68.554749999999999</v>
      </c>
      <c r="P59" s="148">
        <f t="shared" si="17"/>
        <v>1</v>
      </c>
      <c r="Q59" s="148">
        <f t="shared" si="18"/>
        <v>0</v>
      </c>
      <c r="R59" s="148">
        <f t="shared" si="19"/>
        <v>0</v>
      </c>
      <c r="S59" s="149">
        <f t="shared" si="4"/>
        <v>0</v>
      </c>
      <c r="T59" s="150">
        <f t="shared" si="5"/>
        <v>0</v>
      </c>
      <c r="U59" s="150">
        <f t="shared" si="6"/>
        <v>0</v>
      </c>
      <c r="V59" s="150">
        <f>IFERROR(INDEX(Työkonekanta!$J$3:$J$27,MATCH($A59,Työkonekanta!$A$3:$A$24,0),1)*$B59*ef_li_ion_akku/1000/1000/INDEX(Työkonekanta!$K$3:$K$27,MATCH($A59,Työkonekanta!$A$3:$A$24,0)),0)</f>
        <v>0</v>
      </c>
      <c r="W59" s="149">
        <f t="shared" si="7"/>
        <v>0</v>
      </c>
      <c r="X59" s="150">
        <f t="shared" si="8"/>
        <v>0</v>
      </c>
      <c r="Y59" s="151">
        <f t="shared" si="9"/>
        <v>0</v>
      </c>
      <c r="Z59" s="152">
        <f t="shared" si="20"/>
        <v>0</v>
      </c>
      <c r="AA59" s="179">
        <f t="shared" si="21"/>
        <v>0</v>
      </c>
      <c r="AB59" s="179">
        <f t="shared" si="22"/>
        <v>0</v>
      </c>
      <c r="AC59" s="180">
        <f t="shared" si="10"/>
        <v>0</v>
      </c>
      <c r="AD59" s="156">
        <f t="shared" si="23"/>
        <v>0</v>
      </c>
      <c r="AE59" s="146">
        <f>IFERROR(INDEX(Työkonekanta!$L$3:$L$30,MATCH($A59,Työkonekanta!$A$3:$A$30,0),1),0)*AF59</f>
        <v>0</v>
      </c>
      <c r="AF59" s="146">
        <f>IFERROR(INDEX(Työkonekanta!$N$3:$N$32,MATCH($A59,Työkonekanta!$A$3:$A$32,0),1),0)</f>
        <v>0</v>
      </c>
      <c r="AG59" s="332">
        <f>I59*INDEX(Muuttujat!$U$5:$U$21,MATCH($C59,Muuttujat!$N$5:$N$21,0),1)</f>
        <v>0</v>
      </c>
      <c r="AH59" s="332">
        <f>J59*INDEX(Muuttujat!$T$5:$T$21,MATCH($C59,Muuttujat!$N$5:$N$21,0),1)</f>
        <v>0</v>
      </c>
      <c r="AI59" s="332">
        <f t="shared" si="11"/>
        <v>0</v>
      </c>
      <c r="AJ59" s="332">
        <f t="shared" si="12"/>
        <v>0</v>
      </c>
      <c r="AK59" s="333">
        <f t="shared" si="24"/>
        <v>0</v>
      </c>
      <c r="AL59" s="332">
        <f t="shared" si="13"/>
        <v>0</v>
      </c>
      <c r="AM59" s="351"/>
      <c r="AN59" s="351"/>
    </row>
    <row r="60" spans="1:40">
      <c r="A60" s="139">
        <v>28</v>
      </c>
      <c r="B60" s="139">
        <f>IFERROR(IF((INDEX(Työkonekanta!$F$3:$F$27,MATCH('S3 Tiekartta'!$A60,Työkonekanta!$A$3:$A$24,0),1))&lt;0,0,(INDEX(Työkonekanta!$F$3:$F$27,MATCH('S3 Tiekartta'!$A60,Työkonekanta!$A$3:$A$24,0),1))),0)</f>
        <v>0</v>
      </c>
      <c r="C60" s="140">
        <v>2020</v>
      </c>
      <c r="D60" s="141" t="str">
        <f>IFERROR(INDEX(Työkonekanta!$D$3:$D$27,MATCH('S3 Tiekartta'!$A60,Työkonekanta!$A$3:$A$24,0),1),"undefined")</f>
        <v>undefined</v>
      </c>
      <c r="E60" s="145">
        <f>IFERROR(INDEX(Työkonekanta!$G$3:$G$27,MATCH($A60,Työkonekanta!$A$3:$A$24,0),1)*INDEX(Työkonekanta!$H$3:$H$27,MATCH($A60,Työkonekanta!$A$3:$A$24,0),1)*(1+s0b_kasvu*($C60-2019))*$B60,0)</f>
        <v>0</v>
      </c>
      <c r="F60" s="145">
        <f t="shared" si="0"/>
        <v>0</v>
      </c>
      <c r="G60" s="151">
        <f t="shared" si="14"/>
        <v>0</v>
      </c>
      <c r="H60" s="145">
        <f t="shared" si="15"/>
        <v>0</v>
      </c>
      <c r="I60" s="145">
        <f t="shared" si="1"/>
        <v>0</v>
      </c>
      <c r="J60" s="145">
        <f t="shared" si="2"/>
        <v>0</v>
      </c>
      <c r="K60" s="142" t="str">
        <f t="shared" si="16"/>
        <v>undefined</v>
      </c>
      <c r="L60" s="146">
        <f>IFERROR(INDEX(Työkonekanta!$I$3:$I$27,MATCH('S3 Tiekartta'!$A60,Työkonekanta!$A$3:$A$24,0),1)*(I60+J60)*f_adblue,0)</f>
        <v>0</v>
      </c>
      <c r="M60" s="146">
        <f t="shared" si="3"/>
        <v>0</v>
      </c>
      <c r="N60" s="143" t="str">
        <f>IF(tuulisähkö_vuosi&lt;='S3 Tiekartta'!C60,"tuulisähkö",ostosähkö_nyt)</f>
        <v>jäännössähkö</v>
      </c>
      <c r="O60" s="147">
        <f>INDEX(Muuttujat!$J$5:$J$21,MATCH($C60,Muuttujat!$H$5:$H$21,0),1)</f>
        <v>68.554749999999999</v>
      </c>
      <c r="P60" s="148">
        <f t="shared" si="17"/>
        <v>1</v>
      </c>
      <c r="Q60" s="148">
        <f t="shared" si="18"/>
        <v>0</v>
      </c>
      <c r="R60" s="148">
        <f t="shared" si="19"/>
        <v>0</v>
      </c>
      <c r="S60" s="149">
        <f t="shared" si="4"/>
        <v>0</v>
      </c>
      <c r="T60" s="150">
        <f t="shared" si="5"/>
        <v>0</v>
      </c>
      <c r="U60" s="150">
        <f t="shared" si="6"/>
        <v>0</v>
      </c>
      <c r="V60" s="150">
        <f>IFERROR(INDEX(Työkonekanta!$J$3:$J$27,MATCH($A60,Työkonekanta!$A$3:$A$24,0),1)*$B60*ef_li_ion_akku/1000/1000/INDEX(Työkonekanta!$K$3:$K$27,MATCH($A60,Työkonekanta!$A$3:$A$24,0)),0)</f>
        <v>0</v>
      </c>
      <c r="W60" s="149">
        <f t="shared" si="7"/>
        <v>0</v>
      </c>
      <c r="X60" s="150">
        <f t="shared" si="8"/>
        <v>0</v>
      </c>
      <c r="Y60" s="151">
        <f t="shared" si="9"/>
        <v>0</v>
      </c>
      <c r="Z60" s="152">
        <f t="shared" si="20"/>
        <v>0</v>
      </c>
      <c r="AA60" s="179">
        <f t="shared" si="21"/>
        <v>0</v>
      </c>
      <c r="AB60" s="179">
        <f t="shared" si="22"/>
        <v>0</v>
      </c>
      <c r="AC60" s="180">
        <f t="shared" si="10"/>
        <v>0</v>
      </c>
      <c r="AD60" s="156">
        <f t="shared" si="23"/>
        <v>0</v>
      </c>
      <c r="AE60" s="146">
        <f>IFERROR(INDEX(Työkonekanta!$L$3:$L$30,MATCH($A60,Työkonekanta!$A$3:$A$30,0),1),0)*AF60</f>
        <v>0</v>
      </c>
      <c r="AF60" s="146">
        <f>IFERROR(INDEX(Työkonekanta!$N$3:$N$32,MATCH($A60,Työkonekanta!$A$3:$A$32,0),1),0)</f>
        <v>0</v>
      </c>
      <c r="AG60" s="332">
        <f>I60*INDEX(Muuttujat!$U$5:$U$21,MATCH($C60,Muuttujat!$N$5:$N$21,0),1)</f>
        <v>0</v>
      </c>
      <c r="AH60" s="332">
        <f>J60*INDEX(Muuttujat!$T$5:$T$21,MATCH($C60,Muuttujat!$N$5:$N$21,0),1)</f>
        <v>0</v>
      </c>
      <c r="AI60" s="332">
        <f t="shared" si="11"/>
        <v>0</v>
      </c>
      <c r="AJ60" s="332">
        <f t="shared" si="12"/>
        <v>0</v>
      </c>
      <c r="AK60" s="333">
        <f t="shared" si="24"/>
        <v>0</v>
      </c>
      <c r="AL60" s="332">
        <f t="shared" si="13"/>
        <v>0</v>
      </c>
      <c r="AM60" s="351"/>
      <c r="AN60" s="351"/>
    </row>
    <row r="61" spans="1:40">
      <c r="A61" s="139">
        <v>29</v>
      </c>
      <c r="B61" s="139">
        <f>IFERROR(IF((INDEX(Työkonekanta!$F$3:$F$27,MATCH('S3 Tiekartta'!$A61,Työkonekanta!$A$3:$A$24,0),1))&lt;0,0,(INDEX(Työkonekanta!$F$3:$F$27,MATCH('S3 Tiekartta'!$A61,Työkonekanta!$A$3:$A$24,0),1))),0)</f>
        <v>0</v>
      </c>
      <c r="C61" s="140">
        <v>2020</v>
      </c>
      <c r="D61" s="141" t="str">
        <f>IFERROR(INDEX(Työkonekanta!$D$3:$D$27,MATCH('S3 Tiekartta'!$A61,Työkonekanta!$A$3:$A$24,0),1),"undefined")</f>
        <v>undefined</v>
      </c>
      <c r="E61" s="145">
        <f>IFERROR(INDEX(Työkonekanta!$G$3:$G$27,MATCH($A61,Työkonekanta!$A$3:$A$24,0),1)*INDEX(Työkonekanta!$H$3:$H$27,MATCH($A61,Työkonekanta!$A$3:$A$24,0),1)*(1+s0b_kasvu*($C61-2019))*$B61,0)</f>
        <v>0</v>
      </c>
      <c r="F61" s="145">
        <f t="shared" si="0"/>
        <v>0</v>
      </c>
      <c r="G61" s="151">
        <f t="shared" si="14"/>
        <v>0</v>
      </c>
      <c r="H61" s="145">
        <f t="shared" si="15"/>
        <v>0</v>
      </c>
      <c r="I61" s="145">
        <f t="shared" si="1"/>
        <v>0</v>
      </c>
      <c r="J61" s="145">
        <f t="shared" si="2"/>
        <v>0</v>
      </c>
      <c r="K61" s="142" t="str">
        <f t="shared" si="16"/>
        <v>undefined</v>
      </c>
      <c r="L61" s="146">
        <f>IFERROR(INDEX(Työkonekanta!$I$3:$I$27,MATCH('S3 Tiekartta'!$A61,Työkonekanta!$A$3:$A$24,0),1)*(I61+J61)*f_adblue,0)</f>
        <v>0</v>
      </c>
      <c r="M61" s="146">
        <f t="shared" si="3"/>
        <v>0</v>
      </c>
      <c r="N61" s="143" t="str">
        <f>IF(tuulisähkö_vuosi&lt;='S3 Tiekartta'!C61,"tuulisähkö",ostosähkö_nyt)</f>
        <v>jäännössähkö</v>
      </c>
      <c r="O61" s="147">
        <f>INDEX(Muuttujat!$J$5:$J$21,MATCH($C61,Muuttujat!$H$5:$H$21,0),1)</f>
        <v>68.554749999999999</v>
      </c>
      <c r="P61" s="148">
        <f t="shared" si="17"/>
        <v>1</v>
      </c>
      <c r="Q61" s="148">
        <f t="shared" si="18"/>
        <v>0</v>
      </c>
      <c r="R61" s="148">
        <f t="shared" si="19"/>
        <v>0</v>
      </c>
      <c r="S61" s="149">
        <f t="shared" si="4"/>
        <v>0</v>
      </c>
      <c r="T61" s="150">
        <f t="shared" si="5"/>
        <v>0</v>
      </c>
      <c r="U61" s="150">
        <f t="shared" si="6"/>
        <v>0</v>
      </c>
      <c r="V61" s="150">
        <f>IFERROR(INDEX(Työkonekanta!$J$3:$J$27,MATCH($A61,Työkonekanta!$A$3:$A$24,0),1)*$B61*ef_li_ion_akku/1000/1000/INDEX(Työkonekanta!$K$3:$K$27,MATCH($A61,Työkonekanta!$A$3:$A$24,0)),0)</f>
        <v>0</v>
      </c>
      <c r="W61" s="149">
        <f t="shared" si="7"/>
        <v>0</v>
      </c>
      <c r="X61" s="150">
        <f t="shared" si="8"/>
        <v>0</v>
      </c>
      <c r="Y61" s="151">
        <f t="shared" si="9"/>
        <v>0</v>
      </c>
      <c r="Z61" s="152">
        <f t="shared" si="20"/>
        <v>0</v>
      </c>
      <c r="AA61" s="179">
        <f t="shared" si="21"/>
        <v>0</v>
      </c>
      <c r="AB61" s="179">
        <f t="shared" si="22"/>
        <v>0</v>
      </c>
      <c r="AC61" s="180">
        <f t="shared" si="10"/>
        <v>0</v>
      </c>
      <c r="AD61" s="156">
        <f t="shared" si="23"/>
        <v>0</v>
      </c>
      <c r="AE61" s="146">
        <f>IFERROR(INDEX(Työkonekanta!$L$3:$L$30,MATCH($A61,Työkonekanta!$A$3:$A$30,0),1),0)*AF61</f>
        <v>0</v>
      </c>
      <c r="AF61" s="146">
        <f>IFERROR(INDEX(Työkonekanta!$N$3:$N$32,MATCH($A61,Työkonekanta!$A$3:$A$32,0),1),0)</f>
        <v>0</v>
      </c>
      <c r="AG61" s="332">
        <f>I61*INDEX(Muuttujat!$U$5:$U$21,MATCH($C61,Muuttujat!$N$5:$N$21,0),1)</f>
        <v>0</v>
      </c>
      <c r="AH61" s="332">
        <f>J61*INDEX(Muuttujat!$T$5:$T$21,MATCH($C61,Muuttujat!$N$5:$N$21,0),1)</f>
        <v>0</v>
      </c>
      <c r="AI61" s="332">
        <f t="shared" si="11"/>
        <v>0</v>
      </c>
      <c r="AJ61" s="332">
        <f t="shared" si="12"/>
        <v>0</v>
      </c>
      <c r="AK61" s="333">
        <f t="shared" si="24"/>
        <v>0</v>
      </c>
      <c r="AL61" s="332">
        <f t="shared" si="13"/>
        <v>0</v>
      </c>
      <c r="AM61" s="351"/>
      <c r="AN61" s="351"/>
    </row>
    <row r="62" spans="1:40">
      <c r="A62" s="139">
        <v>30</v>
      </c>
      <c r="B62" s="139">
        <f>IFERROR(IF((INDEX(Työkonekanta!$F$3:$F$27,MATCH('S3 Tiekartta'!$A62,Työkonekanta!$A$3:$A$24,0),1))&lt;0,0,(INDEX(Työkonekanta!$F$3:$F$27,MATCH('S3 Tiekartta'!$A62,Työkonekanta!$A$3:$A$24,0),1))),0)</f>
        <v>0</v>
      </c>
      <c r="C62" s="140">
        <v>2020</v>
      </c>
      <c r="D62" s="141" t="str">
        <f>IFERROR(INDEX(Työkonekanta!$D$3:$D$27,MATCH('S3 Tiekartta'!$A62,Työkonekanta!$A$3:$A$24,0),1),"undefined")</f>
        <v>undefined</v>
      </c>
      <c r="E62" s="145">
        <f>IFERROR(INDEX(Työkonekanta!$G$3:$G$27,MATCH($A62,Työkonekanta!$A$3:$A$24,0),1)*INDEX(Työkonekanta!$H$3:$H$27,MATCH($A62,Työkonekanta!$A$3:$A$24,0),1)*(1+s0b_kasvu*($C62-2019))*$B62,0)</f>
        <v>0</v>
      </c>
      <c r="F62" s="145">
        <f t="shared" si="0"/>
        <v>0</v>
      </c>
      <c r="G62" s="151">
        <f t="shared" si="14"/>
        <v>0</v>
      </c>
      <c r="H62" s="145">
        <f t="shared" si="15"/>
        <v>0</v>
      </c>
      <c r="I62" s="145">
        <f t="shared" si="1"/>
        <v>0</v>
      </c>
      <c r="J62" s="145">
        <f t="shared" si="2"/>
        <v>0</v>
      </c>
      <c r="K62" s="142" t="str">
        <f t="shared" si="16"/>
        <v>undefined</v>
      </c>
      <c r="L62" s="146">
        <f>IFERROR(INDEX(Työkonekanta!$I$3:$I$27,MATCH('S3 Tiekartta'!$A62,Työkonekanta!$A$3:$A$24,0),1)*(I62+J62)*f_adblue,0)</f>
        <v>0</v>
      </c>
      <c r="M62" s="146">
        <f t="shared" si="3"/>
        <v>0</v>
      </c>
      <c r="N62" s="143" t="str">
        <f>IF(tuulisähkö_vuosi&lt;='S3 Tiekartta'!C62,"tuulisähkö",ostosähkö_nyt)</f>
        <v>jäännössähkö</v>
      </c>
      <c r="O62" s="147">
        <f>INDEX(Muuttujat!$J$5:$J$21,MATCH($C62,Muuttujat!$H$5:$H$21,0),1)</f>
        <v>68.554749999999999</v>
      </c>
      <c r="P62" s="148">
        <f t="shared" si="17"/>
        <v>1</v>
      </c>
      <c r="Q62" s="148">
        <f t="shared" si="18"/>
        <v>0</v>
      </c>
      <c r="R62" s="148">
        <f t="shared" si="19"/>
        <v>0</v>
      </c>
      <c r="S62" s="149">
        <f t="shared" si="4"/>
        <v>0</v>
      </c>
      <c r="T62" s="150">
        <f t="shared" si="5"/>
        <v>0</v>
      </c>
      <c r="U62" s="150">
        <f t="shared" si="6"/>
        <v>0</v>
      </c>
      <c r="V62" s="150">
        <f>IFERROR(INDEX(Työkonekanta!$J$3:$J$27,MATCH($A62,Työkonekanta!$A$3:$A$24,0),1)*$B62*ef_li_ion_akku/1000/1000/INDEX(Työkonekanta!$K$3:$K$27,MATCH($A62,Työkonekanta!$A$3:$A$24,0)),0)</f>
        <v>0</v>
      </c>
      <c r="W62" s="149">
        <f t="shared" si="7"/>
        <v>0</v>
      </c>
      <c r="X62" s="150">
        <f t="shared" si="8"/>
        <v>0</v>
      </c>
      <c r="Y62" s="151">
        <f t="shared" si="9"/>
        <v>0</v>
      </c>
      <c r="Z62" s="152">
        <f t="shared" si="20"/>
        <v>0</v>
      </c>
      <c r="AA62" s="179">
        <f t="shared" si="21"/>
        <v>0</v>
      </c>
      <c r="AB62" s="179">
        <f t="shared" si="22"/>
        <v>0</v>
      </c>
      <c r="AC62" s="180">
        <f t="shared" si="10"/>
        <v>0</v>
      </c>
      <c r="AD62" s="156">
        <f t="shared" si="23"/>
        <v>0</v>
      </c>
      <c r="AE62" s="146">
        <f>IFERROR(INDEX(Työkonekanta!$L$3:$L$30,MATCH($A62,Työkonekanta!$A$3:$A$30,0),1),0)*AF62</f>
        <v>0</v>
      </c>
      <c r="AF62" s="146">
        <f>IFERROR(INDEX(Työkonekanta!$N$3:$N$32,MATCH($A62,Työkonekanta!$A$3:$A$32,0),1),0)</f>
        <v>0</v>
      </c>
      <c r="AG62" s="332">
        <f>I62*INDEX(Muuttujat!$U$5:$U$21,MATCH($C62,Muuttujat!$N$5:$N$21,0),1)</f>
        <v>0</v>
      </c>
      <c r="AH62" s="332">
        <f>J62*INDEX(Muuttujat!$T$5:$T$21,MATCH($C62,Muuttujat!$N$5:$N$21,0),1)</f>
        <v>0</v>
      </c>
      <c r="AI62" s="332">
        <f t="shared" si="11"/>
        <v>0</v>
      </c>
      <c r="AJ62" s="332">
        <f t="shared" si="12"/>
        <v>0</v>
      </c>
      <c r="AK62" s="333">
        <f t="shared" si="24"/>
        <v>0</v>
      </c>
      <c r="AL62" s="332">
        <f t="shared" si="13"/>
        <v>0</v>
      </c>
      <c r="AM62" s="351"/>
      <c r="AN62" s="351"/>
    </row>
    <row r="63" spans="1:40">
      <c r="A63" s="139">
        <v>1</v>
      </c>
      <c r="B63" s="139">
        <f>IFERROR(IF((INDEX(Työkonekanta!$F$3:$F$27,MATCH('S3 Tiekartta'!$A63,Työkonekanta!$A$3:$A$24,0),1))&lt;0,0,(INDEX(Työkonekanta!$F$3:$F$27,MATCH('S3 Tiekartta'!$A63,Työkonekanta!$A$3:$A$24,0),1))),0)</f>
        <v>1</v>
      </c>
      <c r="C63" s="140">
        <v>2021</v>
      </c>
      <c r="D63" s="141" t="str">
        <f>IFERROR(INDEX(Työkonekanta!$D$3:$D$27,MATCH('S3 Tiekartta'!$A63,Työkonekanta!$A$3:$A$24,0),1),"undefined")</f>
        <v>pom</v>
      </c>
      <c r="E63" s="145">
        <f>IFERROR(INDEX(Työkonekanta!$G$3:$G$27,MATCH($A63,Työkonekanta!$A$3:$A$24,0),1)*INDEX(Työkonekanta!$H$3:$H$27,MATCH($A63,Työkonekanta!$A$3:$A$24,0),1)*(1+s0b_kasvu*($C63-2019))*$B63,0)</f>
        <v>10200</v>
      </c>
      <c r="F63" s="145">
        <f t="shared" si="0"/>
        <v>366180</v>
      </c>
      <c r="G63" s="151">
        <f t="shared" si="14"/>
        <v>355194.6</v>
      </c>
      <c r="H63" s="145">
        <f t="shared" si="15"/>
        <v>10985.4</v>
      </c>
      <c r="I63" s="145">
        <f t="shared" si="1"/>
        <v>9894</v>
      </c>
      <c r="J63" s="145">
        <f t="shared" si="2"/>
        <v>320.27405247813414</v>
      </c>
      <c r="K63" s="142" t="str">
        <f t="shared" si="16"/>
        <v>l</v>
      </c>
      <c r="L63" s="146">
        <f>IFERROR(INDEX(Työkonekanta!$I$3:$I$27,MATCH('S3 Tiekartta'!$A63,Työkonekanta!$A$3:$A$24,0),1)*(I63+J63)*f_adblue,0)</f>
        <v>510.71370262390678</v>
      </c>
      <c r="M63" s="146">
        <f t="shared" si="3"/>
        <v>0</v>
      </c>
      <c r="N63" s="143" t="str">
        <f>IF(tuulisähkö_vuosi&lt;='S3 Tiekartta'!C63,"tuulisähkö",ostosähkö_nyt)</f>
        <v>jäännössähkö</v>
      </c>
      <c r="O63" s="147">
        <f>INDEX(Muuttujat!$J$5:$J$21,MATCH($C63,Muuttujat!$H$5:$H$21,0),1)</f>
        <v>67.8692025</v>
      </c>
      <c r="P63" s="148">
        <f t="shared" si="17"/>
        <v>0.97</v>
      </c>
      <c r="Q63" s="148">
        <f t="shared" si="18"/>
        <v>0.03</v>
      </c>
      <c r="R63" s="148">
        <f t="shared" si="19"/>
        <v>0.03</v>
      </c>
      <c r="S63" s="149">
        <f t="shared" si="4"/>
        <v>6.7131779399999996</v>
      </c>
      <c r="T63" s="150">
        <f t="shared" si="5"/>
        <v>0.68548895999999993</v>
      </c>
      <c r="U63" s="150">
        <f t="shared" si="6"/>
        <v>0</v>
      </c>
      <c r="V63" s="150">
        <f>IFERROR(INDEX(Työkonekanta!$J$3:$J$27,MATCH($A63,Työkonekanta!$A$3:$A$24,0),1)*$B63*ef_li_ion_akku/1000/1000/INDEX(Työkonekanta!$K$3:$K$27,MATCH($A63,Työkonekanta!$A$3:$A$24,0)),0)</f>
        <v>0</v>
      </c>
      <c r="W63" s="149">
        <f t="shared" si="7"/>
        <v>26.2162933551684</v>
      </c>
      <c r="X63" s="150">
        <f t="shared" si="8"/>
        <v>0.32410057319999996</v>
      </c>
      <c r="Y63" s="151">
        <f t="shared" si="9"/>
        <v>0.13278556268221575</v>
      </c>
      <c r="Z63" s="152">
        <f t="shared" si="20"/>
        <v>7.3986668999999994</v>
      </c>
      <c r="AA63" s="179">
        <f t="shared" si="21"/>
        <v>26.349078917850616</v>
      </c>
      <c r="AB63" s="179">
        <f t="shared" si="22"/>
        <v>26.673179491050615</v>
      </c>
      <c r="AC63" s="180">
        <f t="shared" si="10"/>
        <v>33.747745817850614</v>
      </c>
      <c r="AD63" s="156">
        <f t="shared" si="23"/>
        <v>34.071846391050613</v>
      </c>
      <c r="AE63" s="146">
        <f>IFERROR(INDEX(Työkonekanta!$L$3:$L$30,MATCH($A63,Työkonekanta!$A$3:$A$30,0),1),0)*AF63</f>
        <v>500000</v>
      </c>
      <c r="AF63" s="146">
        <f>IFERROR(INDEX(Työkonekanta!$N$3:$N$32,MATCH($A63,Työkonekanta!$A$3:$A$32,0),1),0)</f>
        <v>1</v>
      </c>
      <c r="AG63" s="332">
        <f>I63*INDEX(Muuttujat!$U$5:$U$21,MATCH($C63,Muuttujat!$N$5:$N$21,0),1)</f>
        <v>9795.06</v>
      </c>
      <c r="AH63" s="332">
        <f>J63*INDEX(Muuttujat!$T$5:$T$21,MATCH($C63,Muuttujat!$N$5:$N$21,0),1)</f>
        <v>445.18093294460647</v>
      </c>
      <c r="AI63" s="332">
        <f t="shared" si="11"/>
        <v>255.35685131195339</v>
      </c>
      <c r="AJ63" s="332">
        <f t="shared" si="12"/>
        <v>0</v>
      </c>
      <c r="AK63" s="333">
        <f t="shared" si="24"/>
        <v>10495.597784256559</v>
      </c>
      <c r="AL63" s="332">
        <f t="shared" si="13"/>
        <v>10495.597784256559</v>
      </c>
      <c r="AM63" s="351"/>
      <c r="AN63" s="351"/>
    </row>
    <row r="64" spans="1:40">
      <c r="A64" s="139">
        <v>2</v>
      </c>
      <c r="B64" s="139">
        <f>IFERROR(IF((INDEX(Työkonekanta!$F$3:$F$27,MATCH('S3 Tiekartta'!$A64,Työkonekanta!$A$3:$A$24,0),1))&lt;0,0,(INDEX(Työkonekanta!$F$3:$F$27,MATCH('S3 Tiekartta'!$A64,Työkonekanta!$A$3:$A$24,0),1))),0)</f>
        <v>1</v>
      </c>
      <c r="C64" s="140">
        <v>2021</v>
      </c>
      <c r="D64" s="141" t="str">
        <f>IFERROR(INDEX(Työkonekanta!$D$3:$D$27,MATCH('S3 Tiekartta'!$A64,Työkonekanta!$A$3:$A$24,0),1),"undefined")</f>
        <v>pom</v>
      </c>
      <c r="E64" s="145">
        <f>IFERROR(INDEX(Työkonekanta!$G$3:$G$27,MATCH($A64,Työkonekanta!$A$3:$A$24,0),1)*INDEX(Työkonekanta!$H$3:$H$27,MATCH($A64,Työkonekanta!$A$3:$A$24,0),1)*(1+s0b_kasvu*($C64-2019))*$B64,0)</f>
        <v>10200</v>
      </c>
      <c r="F64" s="145">
        <f t="shared" si="0"/>
        <v>366180</v>
      </c>
      <c r="G64" s="151">
        <f t="shared" si="14"/>
        <v>355194.6</v>
      </c>
      <c r="H64" s="145">
        <f t="shared" si="15"/>
        <v>10985.4</v>
      </c>
      <c r="I64" s="145">
        <f t="shared" si="1"/>
        <v>9894</v>
      </c>
      <c r="J64" s="145">
        <f t="shared" si="2"/>
        <v>320.27405247813414</v>
      </c>
      <c r="K64" s="142" t="str">
        <f t="shared" si="16"/>
        <v>l</v>
      </c>
      <c r="L64" s="146">
        <f>IFERROR(INDEX(Työkonekanta!$I$3:$I$27,MATCH('S3 Tiekartta'!$A64,Työkonekanta!$A$3:$A$24,0),1)*(I64+J64)*f_adblue,0)</f>
        <v>510.71370262390678</v>
      </c>
      <c r="M64" s="146">
        <f t="shared" si="3"/>
        <v>0</v>
      </c>
      <c r="N64" s="143" t="str">
        <f>IF(tuulisähkö_vuosi&lt;='S3 Tiekartta'!C64,"tuulisähkö",ostosähkö_nyt)</f>
        <v>jäännössähkö</v>
      </c>
      <c r="O64" s="147">
        <f>INDEX(Muuttujat!$J$5:$J$21,MATCH($C64,Muuttujat!$H$5:$H$21,0),1)</f>
        <v>67.8692025</v>
      </c>
      <c r="P64" s="148">
        <f t="shared" si="17"/>
        <v>0.97</v>
      </c>
      <c r="Q64" s="148">
        <f t="shared" si="18"/>
        <v>0.03</v>
      </c>
      <c r="R64" s="148">
        <f t="shared" si="19"/>
        <v>0.03</v>
      </c>
      <c r="S64" s="149">
        <f t="shared" si="4"/>
        <v>6.7131779399999996</v>
      </c>
      <c r="T64" s="150">
        <f t="shared" si="5"/>
        <v>0.68548895999999993</v>
      </c>
      <c r="U64" s="150">
        <f t="shared" si="6"/>
        <v>0</v>
      </c>
      <c r="V64" s="150">
        <f>IFERROR(INDEX(Työkonekanta!$J$3:$J$27,MATCH($A64,Työkonekanta!$A$3:$A$24,0),1)*$B64*ef_li_ion_akku/1000/1000/INDEX(Työkonekanta!$K$3:$K$27,MATCH($A64,Työkonekanta!$A$3:$A$24,0)),0)</f>
        <v>0</v>
      </c>
      <c r="W64" s="149">
        <f t="shared" si="7"/>
        <v>26.2162933551684</v>
      </c>
      <c r="X64" s="150">
        <f t="shared" si="8"/>
        <v>0.32410057319999996</v>
      </c>
      <c r="Y64" s="151">
        <f t="shared" si="9"/>
        <v>0.13278556268221575</v>
      </c>
      <c r="Z64" s="152">
        <f t="shared" si="20"/>
        <v>7.3986668999999994</v>
      </c>
      <c r="AA64" s="179">
        <f t="shared" si="21"/>
        <v>26.349078917850616</v>
      </c>
      <c r="AB64" s="179">
        <f t="shared" si="22"/>
        <v>26.673179491050615</v>
      </c>
      <c r="AC64" s="180">
        <f t="shared" si="10"/>
        <v>33.747745817850614</v>
      </c>
      <c r="AD64" s="156">
        <f t="shared" si="23"/>
        <v>34.071846391050613</v>
      </c>
      <c r="AE64" s="146">
        <f>IFERROR(INDEX(Työkonekanta!$L$3:$L$30,MATCH($A64,Työkonekanta!$A$3:$A$30,0),1),0)*AF64</f>
        <v>500000</v>
      </c>
      <c r="AF64" s="146">
        <f>IFERROR(INDEX(Työkonekanta!$N$3:$N$32,MATCH($A64,Työkonekanta!$A$3:$A$32,0),1),0)</f>
        <v>1</v>
      </c>
      <c r="AG64" s="332">
        <f>I64*INDEX(Muuttujat!$U$5:$U$21,MATCH($C64,Muuttujat!$N$5:$N$21,0),1)</f>
        <v>9795.06</v>
      </c>
      <c r="AH64" s="332">
        <f>J64*INDEX(Muuttujat!$T$5:$T$21,MATCH($C64,Muuttujat!$N$5:$N$21,0),1)</f>
        <v>445.18093294460647</v>
      </c>
      <c r="AI64" s="332">
        <f t="shared" si="11"/>
        <v>255.35685131195339</v>
      </c>
      <c r="AJ64" s="332">
        <f t="shared" si="12"/>
        <v>0</v>
      </c>
      <c r="AK64" s="333">
        <f t="shared" si="24"/>
        <v>10495.597784256559</v>
      </c>
      <c r="AL64" s="332">
        <f t="shared" si="13"/>
        <v>10495.597784256559</v>
      </c>
      <c r="AM64" s="351"/>
      <c r="AN64" s="351"/>
    </row>
    <row r="65" spans="1:40">
      <c r="A65" s="139">
        <v>3</v>
      </c>
      <c r="B65" s="139">
        <f>IFERROR(IF((INDEX(Työkonekanta!$F$3:$F$27,MATCH('S3 Tiekartta'!$A65,Työkonekanta!$A$3:$A$24,0),1))&lt;0,0,(INDEX(Työkonekanta!$F$3:$F$27,MATCH('S3 Tiekartta'!$A65,Työkonekanta!$A$3:$A$24,0),1))),0)</f>
        <v>1</v>
      </c>
      <c r="C65" s="140">
        <v>2021</v>
      </c>
      <c r="D65" s="141" t="str">
        <f>IFERROR(INDEX(Työkonekanta!$D$3:$D$27,MATCH('S3 Tiekartta'!$A65,Työkonekanta!$A$3:$A$24,0),1),"undefined")</f>
        <v>pom</v>
      </c>
      <c r="E65" s="145">
        <f>IFERROR(INDEX(Työkonekanta!$G$3:$G$27,MATCH($A65,Työkonekanta!$A$3:$A$24,0),1)*INDEX(Työkonekanta!$H$3:$H$27,MATCH($A65,Työkonekanta!$A$3:$A$24,0),1)*(1+s0b_kasvu*($C65-2019))*$B65,0)</f>
        <v>10200</v>
      </c>
      <c r="F65" s="145">
        <f t="shared" si="0"/>
        <v>366180</v>
      </c>
      <c r="G65" s="151">
        <f t="shared" si="14"/>
        <v>355194.6</v>
      </c>
      <c r="H65" s="145">
        <f t="shared" si="15"/>
        <v>10985.4</v>
      </c>
      <c r="I65" s="145">
        <f t="shared" si="1"/>
        <v>9894</v>
      </c>
      <c r="J65" s="145">
        <f t="shared" si="2"/>
        <v>320.27405247813414</v>
      </c>
      <c r="K65" s="142" t="str">
        <f t="shared" si="16"/>
        <v>l</v>
      </c>
      <c r="L65" s="146">
        <f>IFERROR(INDEX(Työkonekanta!$I$3:$I$27,MATCH('S3 Tiekartta'!$A65,Työkonekanta!$A$3:$A$24,0),1)*(I65+J65)*f_adblue,0)</f>
        <v>510.71370262390678</v>
      </c>
      <c r="M65" s="146">
        <f t="shared" si="3"/>
        <v>0</v>
      </c>
      <c r="N65" s="143" t="str">
        <f>IF(tuulisähkö_vuosi&lt;='S3 Tiekartta'!C65,"tuulisähkö",ostosähkö_nyt)</f>
        <v>jäännössähkö</v>
      </c>
      <c r="O65" s="147">
        <f>INDEX(Muuttujat!$J$5:$J$21,MATCH($C65,Muuttujat!$H$5:$H$21,0),1)</f>
        <v>67.8692025</v>
      </c>
      <c r="P65" s="148">
        <f t="shared" si="17"/>
        <v>0.97</v>
      </c>
      <c r="Q65" s="148">
        <f t="shared" si="18"/>
        <v>0.03</v>
      </c>
      <c r="R65" s="148">
        <f t="shared" si="19"/>
        <v>0.03</v>
      </c>
      <c r="S65" s="149">
        <f t="shared" si="4"/>
        <v>6.7131779399999996</v>
      </c>
      <c r="T65" s="150">
        <f t="shared" si="5"/>
        <v>0.68548895999999993</v>
      </c>
      <c r="U65" s="150">
        <f t="shared" si="6"/>
        <v>0</v>
      </c>
      <c r="V65" s="150">
        <f>IFERROR(INDEX(Työkonekanta!$J$3:$J$27,MATCH($A65,Työkonekanta!$A$3:$A$24,0),1)*$B65*ef_li_ion_akku/1000/1000/INDEX(Työkonekanta!$K$3:$K$27,MATCH($A65,Työkonekanta!$A$3:$A$24,0)),0)</f>
        <v>0</v>
      </c>
      <c r="W65" s="149">
        <f t="shared" si="7"/>
        <v>26.2162933551684</v>
      </c>
      <c r="X65" s="150">
        <f t="shared" si="8"/>
        <v>0.32410057319999996</v>
      </c>
      <c r="Y65" s="151">
        <f t="shared" si="9"/>
        <v>0.13278556268221575</v>
      </c>
      <c r="Z65" s="152">
        <f t="shared" si="20"/>
        <v>7.3986668999999994</v>
      </c>
      <c r="AA65" s="179">
        <f t="shared" si="21"/>
        <v>26.349078917850616</v>
      </c>
      <c r="AB65" s="179">
        <f t="shared" si="22"/>
        <v>26.673179491050615</v>
      </c>
      <c r="AC65" s="180">
        <f t="shared" si="10"/>
        <v>33.747745817850614</v>
      </c>
      <c r="AD65" s="156">
        <f t="shared" si="23"/>
        <v>34.071846391050613</v>
      </c>
      <c r="AE65" s="146">
        <f>IFERROR(INDEX(Työkonekanta!$L$3:$L$30,MATCH($A65,Työkonekanta!$A$3:$A$30,0),1),0)*AF65</f>
        <v>0</v>
      </c>
      <c r="AF65" s="146">
        <f>IFERROR(INDEX(Työkonekanta!$N$3:$N$32,MATCH($A65,Työkonekanta!$A$3:$A$32,0),1),0)</f>
        <v>0</v>
      </c>
      <c r="AG65" s="332">
        <f>I65*INDEX(Muuttujat!$U$5:$U$21,MATCH($C65,Muuttujat!$N$5:$N$21,0),1)</f>
        <v>9795.06</v>
      </c>
      <c r="AH65" s="332">
        <f>J65*INDEX(Muuttujat!$T$5:$T$21,MATCH($C65,Muuttujat!$N$5:$N$21,0),1)</f>
        <v>445.18093294460647</v>
      </c>
      <c r="AI65" s="332">
        <f t="shared" si="11"/>
        <v>255.35685131195339</v>
      </c>
      <c r="AJ65" s="332">
        <f t="shared" si="12"/>
        <v>0</v>
      </c>
      <c r="AK65" s="333">
        <f t="shared" si="24"/>
        <v>10495.597784256559</v>
      </c>
      <c r="AL65" s="332">
        <f t="shared" si="13"/>
        <v>10495.597784256559</v>
      </c>
      <c r="AM65" s="351"/>
      <c r="AN65" s="351"/>
    </row>
    <row r="66" spans="1:40">
      <c r="A66" s="139">
        <v>4</v>
      </c>
      <c r="B66" s="139">
        <f>IFERROR(IF((INDEX(Työkonekanta!$F$3:$F$27,MATCH('S3 Tiekartta'!$A66,Työkonekanta!$A$3:$A$24,0),1))&lt;0,0,(INDEX(Työkonekanta!$F$3:$F$27,MATCH('S3 Tiekartta'!$A66,Työkonekanta!$A$3:$A$24,0),1))),0)</f>
        <v>1</v>
      </c>
      <c r="C66" s="140">
        <v>2021</v>
      </c>
      <c r="D66" s="141" t="str">
        <f>IFERROR(INDEX(Työkonekanta!$D$3:$D$27,MATCH('S3 Tiekartta'!$A66,Työkonekanta!$A$3:$A$24,0),1),"undefined")</f>
        <v>pom</v>
      </c>
      <c r="E66" s="145">
        <f>IFERROR(INDEX(Työkonekanta!$G$3:$G$27,MATCH($A66,Työkonekanta!$A$3:$A$24,0),1)*INDEX(Työkonekanta!$H$3:$H$27,MATCH($A66,Työkonekanta!$A$3:$A$24,0),1)*(1+s0b_kasvu*($C66-2019))*$B66,0)</f>
        <v>10200</v>
      </c>
      <c r="F66" s="145">
        <f t="shared" si="0"/>
        <v>366180</v>
      </c>
      <c r="G66" s="151">
        <f t="shared" si="14"/>
        <v>355194.6</v>
      </c>
      <c r="H66" s="145">
        <f t="shared" si="15"/>
        <v>10985.4</v>
      </c>
      <c r="I66" s="145">
        <f t="shared" si="1"/>
        <v>9894</v>
      </c>
      <c r="J66" s="145">
        <f t="shared" si="2"/>
        <v>320.27405247813414</v>
      </c>
      <c r="K66" s="142" t="str">
        <f t="shared" si="16"/>
        <v>l</v>
      </c>
      <c r="L66" s="146">
        <f>IFERROR(INDEX(Työkonekanta!$I$3:$I$27,MATCH('S3 Tiekartta'!$A66,Työkonekanta!$A$3:$A$24,0),1)*(I66+J66)*f_adblue,0)</f>
        <v>510.71370262390678</v>
      </c>
      <c r="M66" s="146">
        <f t="shared" si="3"/>
        <v>0</v>
      </c>
      <c r="N66" s="143" t="str">
        <f>IF(tuulisähkö_vuosi&lt;='S3 Tiekartta'!C66,"tuulisähkö",ostosähkö_nyt)</f>
        <v>jäännössähkö</v>
      </c>
      <c r="O66" s="147">
        <f>INDEX(Muuttujat!$J$5:$J$21,MATCH($C66,Muuttujat!$H$5:$H$21,0),1)</f>
        <v>67.8692025</v>
      </c>
      <c r="P66" s="148">
        <f t="shared" si="17"/>
        <v>0.97</v>
      </c>
      <c r="Q66" s="148">
        <f t="shared" si="18"/>
        <v>0.03</v>
      </c>
      <c r="R66" s="148">
        <f t="shared" si="19"/>
        <v>0.03</v>
      </c>
      <c r="S66" s="149">
        <f t="shared" si="4"/>
        <v>6.7131779399999996</v>
      </c>
      <c r="T66" s="150">
        <f t="shared" si="5"/>
        <v>0.68548895999999993</v>
      </c>
      <c r="U66" s="150">
        <f t="shared" si="6"/>
        <v>0</v>
      </c>
      <c r="V66" s="150">
        <f>IFERROR(INDEX(Työkonekanta!$J$3:$J$27,MATCH($A66,Työkonekanta!$A$3:$A$24,0),1)*$B66*ef_li_ion_akku/1000/1000/INDEX(Työkonekanta!$K$3:$K$27,MATCH($A66,Työkonekanta!$A$3:$A$24,0)),0)</f>
        <v>0</v>
      </c>
      <c r="W66" s="149">
        <f t="shared" si="7"/>
        <v>26.2162933551684</v>
      </c>
      <c r="X66" s="150">
        <f t="shared" si="8"/>
        <v>0.32410057319999996</v>
      </c>
      <c r="Y66" s="151">
        <f t="shared" si="9"/>
        <v>0.13278556268221575</v>
      </c>
      <c r="Z66" s="152">
        <f t="shared" si="20"/>
        <v>7.3986668999999994</v>
      </c>
      <c r="AA66" s="179">
        <f t="shared" si="21"/>
        <v>26.349078917850616</v>
      </c>
      <c r="AB66" s="179">
        <f t="shared" si="22"/>
        <v>26.673179491050615</v>
      </c>
      <c r="AC66" s="180">
        <f t="shared" si="10"/>
        <v>33.747745817850614</v>
      </c>
      <c r="AD66" s="156">
        <f t="shared" si="23"/>
        <v>34.071846391050613</v>
      </c>
      <c r="AE66" s="146">
        <f>IFERROR(INDEX(Työkonekanta!$L$3:$L$30,MATCH($A66,Työkonekanta!$A$3:$A$30,0),1),0)*AF66</f>
        <v>0</v>
      </c>
      <c r="AF66" s="146">
        <f>IFERROR(INDEX(Työkonekanta!$N$3:$N$32,MATCH($A66,Työkonekanta!$A$3:$A$32,0),1),0)</f>
        <v>0</v>
      </c>
      <c r="AG66" s="332">
        <f>I66*INDEX(Muuttujat!$U$5:$U$21,MATCH($C66,Muuttujat!$N$5:$N$21,0),1)</f>
        <v>9795.06</v>
      </c>
      <c r="AH66" s="332">
        <f>J66*INDEX(Muuttujat!$T$5:$T$21,MATCH($C66,Muuttujat!$N$5:$N$21,0),1)</f>
        <v>445.18093294460647</v>
      </c>
      <c r="AI66" s="332">
        <f t="shared" si="11"/>
        <v>255.35685131195339</v>
      </c>
      <c r="AJ66" s="332">
        <f t="shared" si="12"/>
        <v>0</v>
      </c>
      <c r="AK66" s="333">
        <f t="shared" si="24"/>
        <v>10495.597784256559</v>
      </c>
      <c r="AL66" s="332">
        <f t="shared" si="13"/>
        <v>10495.597784256559</v>
      </c>
      <c r="AM66" s="351"/>
      <c r="AN66" s="351"/>
    </row>
    <row r="67" spans="1:40">
      <c r="A67" s="139">
        <v>5</v>
      </c>
      <c r="B67" s="139">
        <f>IFERROR(IF((INDEX(Työkonekanta!$F$3:$F$27,MATCH('S3 Tiekartta'!$A67,Työkonekanta!$A$3:$A$24,0),1))&lt;0,0,(INDEX(Työkonekanta!$F$3:$F$27,MATCH('S3 Tiekartta'!$A67,Työkonekanta!$A$3:$A$24,0),1))),0)</f>
        <v>0</v>
      </c>
      <c r="C67" s="140">
        <v>2021</v>
      </c>
      <c r="D67" s="141" t="str">
        <f>IFERROR(INDEX(Työkonekanta!$D$3:$D$27,MATCH('S3 Tiekartta'!$A67,Työkonekanta!$A$3:$A$24,0),1),"undefined")</f>
        <v>sähkö</v>
      </c>
      <c r="E67" s="145">
        <f>IFERROR(INDEX(Työkonekanta!$G$3:$G$27,MATCH($A67,Työkonekanta!$A$3:$A$24,0),1)*INDEX(Työkonekanta!$H$3:$H$27,MATCH($A67,Työkonekanta!$A$3:$A$24,0),1)*(1+s0b_kasvu*($C67-2019))*$B67,0)</f>
        <v>0</v>
      </c>
      <c r="F67" s="145">
        <f t="shared" ref="F67:F130" si="26">IF(D67="pom",$E67*hv_pom,0)</f>
        <v>0</v>
      </c>
      <c r="G67" s="151">
        <f t="shared" si="14"/>
        <v>0</v>
      </c>
      <c r="H67" s="145">
        <f t="shared" si="15"/>
        <v>0</v>
      </c>
      <c r="I67" s="145">
        <f t="shared" ref="I67:I130" si="27">$G67/hv_pom</f>
        <v>0</v>
      </c>
      <c r="J67" s="145">
        <f t="shared" ref="J67:J130" si="28">$H67/hv_biodies</f>
        <v>0</v>
      </c>
      <c r="K67" s="142" t="str">
        <f t="shared" si="16"/>
        <v>kWh</v>
      </c>
      <c r="L67" s="146">
        <f>IFERROR(INDEX(Työkonekanta!$I$3:$I$27,MATCH('S3 Tiekartta'!$A67,Työkonekanta!$A$3:$A$24,0),1)*(I67+J67)*f_adblue,0)</f>
        <v>0</v>
      </c>
      <c r="M67" s="146">
        <f t="shared" si="3"/>
        <v>0</v>
      </c>
      <c r="N67" s="143" t="str">
        <f>IF(tuulisähkö_vuosi&lt;='S3 Tiekartta'!C67,"tuulisähkö",ostosähkö_nyt)</f>
        <v>jäännössähkö</v>
      </c>
      <c r="O67" s="147">
        <f>INDEX(Muuttujat!$J$5:$J$21,MATCH($C67,Muuttujat!$H$5:$H$21,0),1)</f>
        <v>67.8692025</v>
      </c>
      <c r="P67" s="148">
        <f t="shared" si="17"/>
        <v>0.97</v>
      </c>
      <c r="Q67" s="148">
        <f t="shared" si="18"/>
        <v>0.03</v>
      </c>
      <c r="R67" s="148">
        <f t="shared" si="19"/>
        <v>0.03</v>
      </c>
      <c r="S67" s="149">
        <f t="shared" ref="S67:S130" si="29">wtt_ef_e_co2_dies*$G67/1000/1000</f>
        <v>0</v>
      </c>
      <c r="T67" s="150">
        <f t="shared" ref="T67:T130" si="30">wtt_ef_e_co2_biodies*$H67/1000/1000</f>
        <v>0</v>
      </c>
      <c r="U67" s="150">
        <f t="shared" ref="U67:U130" si="31">IF(N67="jäännössähkö",$O67,IF(N67="tuulisähkö",wtt_ef_e_co2_el_wind,0))*$M67/1000/1000</f>
        <v>0</v>
      </c>
      <c r="V67" s="150">
        <f>IFERROR(INDEX(Työkonekanta!$J$3:$J$27,MATCH($A67,Työkonekanta!$A$3:$A$24,0),1)*$B67*ef_li_ion_akku/1000/1000/INDEX(Työkonekanta!$K$3:$K$27,MATCH($A67,Työkonekanta!$A$3:$A$24,0)),0)</f>
        <v>0</v>
      </c>
      <c r="W67" s="149">
        <f t="shared" si="7"/>
        <v>0</v>
      </c>
      <c r="X67" s="150">
        <f t="shared" si="8"/>
        <v>0</v>
      </c>
      <c r="Y67" s="151">
        <f t="shared" si="9"/>
        <v>0</v>
      </c>
      <c r="Z67" s="152">
        <f t="shared" si="20"/>
        <v>0</v>
      </c>
      <c r="AA67" s="179">
        <f t="shared" si="21"/>
        <v>0</v>
      </c>
      <c r="AB67" s="179">
        <f t="shared" si="22"/>
        <v>0</v>
      </c>
      <c r="AC67" s="180">
        <f t="shared" si="10"/>
        <v>0</v>
      </c>
      <c r="AD67" s="156">
        <f t="shared" si="23"/>
        <v>0</v>
      </c>
      <c r="AE67" s="146">
        <f>IFERROR(INDEX(Työkonekanta!$L$3:$L$30,MATCH($A67,Työkonekanta!$A$3:$A$30,0),1),0)*AF67</f>
        <v>0</v>
      </c>
      <c r="AF67" s="146">
        <f>IFERROR(INDEX(Työkonekanta!$N$3:$N$32,MATCH($A67,Työkonekanta!$A$3:$A$32,0),1),0)</f>
        <v>0</v>
      </c>
      <c r="AG67" s="332">
        <f>I67*INDEX(Muuttujat!$U$5:$U$21,MATCH($C67,Muuttujat!$N$5:$N$21,0),1)</f>
        <v>0</v>
      </c>
      <c r="AH67" s="332">
        <f>J67*INDEX(Muuttujat!$T$5:$T$21,MATCH($C67,Muuttujat!$N$5:$N$21,0),1)</f>
        <v>0</v>
      </c>
      <c r="AI67" s="332">
        <f t="shared" ref="AI67:AI130" si="32">L67*hinta_adblue</f>
        <v>0</v>
      </c>
      <c r="AJ67" s="332">
        <f t="shared" ref="AJ67:AJ130" si="33">M67/conv_kwh_mj*hinta_sähkö3</f>
        <v>0</v>
      </c>
      <c r="AK67" s="333">
        <f t="shared" si="24"/>
        <v>0</v>
      </c>
      <c r="AL67" s="332">
        <f t="shared" ref="AL67:AL130" si="34">IFERROR(AK67/B67,0)</f>
        <v>0</v>
      </c>
      <c r="AM67" s="351"/>
      <c r="AN67" s="351"/>
    </row>
    <row r="68" spans="1:40">
      <c r="A68" s="139">
        <v>6</v>
      </c>
      <c r="B68" s="139">
        <f>IFERROR(IF((INDEX(Työkonekanta!$F$3:$F$27,MATCH('S3 Tiekartta'!$A68,Työkonekanta!$A$3:$A$24,0),1))&lt;0,0,(INDEX(Työkonekanta!$F$3:$F$27,MATCH('S3 Tiekartta'!$A68,Työkonekanta!$A$3:$A$24,0),1))),0)</f>
        <v>0</v>
      </c>
      <c r="C68" s="140">
        <v>2021</v>
      </c>
      <c r="D68" s="141" t="str">
        <f>IFERROR(INDEX(Työkonekanta!$D$3:$D$27,MATCH('S3 Tiekartta'!$A68,Työkonekanta!$A$3:$A$24,0),1),"undefined")</f>
        <v>sähkö</v>
      </c>
      <c r="E68" s="145">
        <f>IFERROR(INDEX(Työkonekanta!$G$3:$G$27,MATCH($A68,Työkonekanta!$A$3:$A$24,0),1)*INDEX(Työkonekanta!$H$3:$H$27,MATCH($A68,Työkonekanta!$A$3:$A$24,0),1)*(1+s0b_kasvu*($C68-2019))*$B68,0)</f>
        <v>0</v>
      </c>
      <c r="F68" s="145">
        <f t="shared" si="26"/>
        <v>0</v>
      </c>
      <c r="G68" s="151">
        <f t="shared" ref="G68:G131" si="35">$F68*$P68</f>
        <v>0</v>
      </c>
      <c r="H68" s="145">
        <f t="shared" ref="H68:H131" si="36">$F68*$Q68</f>
        <v>0</v>
      </c>
      <c r="I68" s="145">
        <f t="shared" si="27"/>
        <v>0</v>
      </c>
      <c r="J68" s="145">
        <f t="shared" si="28"/>
        <v>0</v>
      </c>
      <c r="K68" s="142" t="str">
        <f t="shared" ref="K68:K131" si="37">IF($D68="sähkö","kWh",IF($D68="pom","l","undefined"))</f>
        <v>kWh</v>
      </c>
      <c r="L68" s="146">
        <f>IFERROR(INDEX(Työkonekanta!$I$3:$I$27,MATCH('S3 Tiekartta'!$A68,Työkonekanta!$A$3:$A$24,0),1)*(I68+J68)*f_adblue,0)</f>
        <v>0</v>
      </c>
      <c r="M68" s="146">
        <f t="shared" si="3"/>
        <v>0</v>
      </c>
      <c r="N68" s="143" t="str">
        <f>IF(tuulisähkö_vuosi&lt;='S3 Tiekartta'!C68,"tuulisähkö",ostosähkö_nyt)</f>
        <v>jäännössähkö</v>
      </c>
      <c r="O68" s="147">
        <f>INDEX(Muuttujat!$J$5:$J$21,MATCH($C68,Muuttujat!$H$5:$H$21,0),1)</f>
        <v>67.8692025</v>
      </c>
      <c r="P68" s="148">
        <f t="shared" ref="P68:P131" si="38">1-Q68</f>
        <v>0.97</v>
      </c>
      <c r="Q68" s="148">
        <f t="shared" ref="Q68:Q131" si="39">INDEX($AP$4:$AP$20,MATCH($C68,$AO$4:$AO$20,0),1)</f>
        <v>0.03</v>
      </c>
      <c r="R68" s="148">
        <f t="shared" ref="R68:R131" si="40">INDEX($AP$4:$AP$20,MATCH($C68,$AO$4:$AO$20,0),1)</f>
        <v>0.03</v>
      </c>
      <c r="S68" s="149">
        <f t="shared" si="29"/>
        <v>0</v>
      </c>
      <c r="T68" s="150">
        <f t="shared" si="30"/>
        <v>0</v>
      </c>
      <c r="U68" s="150">
        <f t="shared" si="31"/>
        <v>0</v>
      </c>
      <c r="V68" s="150">
        <f>IFERROR(INDEX(Työkonekanta!$J$3:$J$27,MATCH($A68,Työkonekanta!$A$3:$A$24,0),1)*$B68*ef_li_ion_akku/1000/1000/INDEX(Työkonekanta!$K$3:$K$27,MATCH($A68,Työkonekanta!$A$3:$A$24,0)),0)</f>
        <v>0</v>
      </c>
      <c r="W68" s="149">
        <f t="shared" si="7"/>
        <v>0</v>
      </c>
      <c r="X68" s="150">
        <f t="shared" si="8"/>
        <v>0</v>
      </c>
      <c r="Y68" s="151">
        <f t="shared" si="9"/>
        <v>0</v>
      </c>
      <c r="Z68" s="152">
        <f t="shared" ref="Z68:Z131" si="41">SUM($S68:$V68)</f>
        <v>0</v>
      </c>
      <c r="AA68" s="179">
        <f t="shared" ref="AA68:AA131" si="42">$W68+$Y68</f>
        <v>0</v>
      </c>
      <c r="AB68" s="179">
        <f t="shared" ref="AB68:AB131" si="43">SUM($W68:$Y68)</f>
        <v>0</v>
      </c>
      <c r="AC68" s="180">
        <f t="shared" si="10"/>
        <v>0</v>
      </c>
      <c r="AD68" s="156">
        <f t="shared" ref="AD68:AD131" si="44">$Z68+$AB68</f>
        <v>0</v>
      </c>
      <c r="AE68" s="146">
        <f>IFERROR(INDEX(Työkonekanta!$L$3:$L$30,MATCH($A68,Työkonekanta!$A$3:$A$30,0),1),0)*AF68</f>
        <v>0</v>
      </c>
      <c r="AF68" s="146">
        <f>IFERROR(INDEX(Työkonekanta!$N$3:$N$32,MATCH($A68,Työkonekanta!$A$3:$A$32,0),1),0)</f>
        <v>0</v>
      </c>
      <c r="AG68" s="332">
        <f>I68*INDEX(Muuttujat!$U$5:$U$21,MATCH($C68,Muuttujat!$N$5:$N$21,0),1)</f>
        <v>0</v>
      </c>
      <c r="AH68" s="332">
        <f>J68*INDEX(Muuttujat!$T$5:$T$21,MATCH($C68,Muuttujat!$N$5:$N$21,0),1)</f>
        <v>0</v>
      </c>
      <c r="AI68" s="332">
        <f t="shared" si="32"/>
        <v>0</v>
      </c>
      <c r="AJ68" s="332">
        <f t="shared" si="33"/>
        <v>0</v>
      </c>
      <c r="AK68" s="333">
        <f t="shared" ref="AK68:AK131" si="45">SUM(AG68:AJ68)</f>
        <v>0</v>
      </c>
      <c r="AL68" s="332">
        <f t="shared" si="34"/>
        <v>0</v>
      </c>
      <c r="AM68" s="351"/>
      <c r="AN68" s="351"/>
    </row>
    <row r="69" spans="1:40">
      <c r="A69" s="139">
        <v>7</v>
      </c>
      <c r="B69" s="139">
        <f>IFERROR(IF((INDEX(Työkonekanta!$F$3:$F$27,MATCH('S3 Tiekartta'!$A69,Työkonekanta!$A$3:$A$24,0),1))&lt;0,0,(INDEX(Työkonekanta!$F$3:$F$27,MATCH('S3 Tiekartta'!$A69,Työkonekanta!$A$3:$A$24,0),1))),0)</f>
        <v>1</v>
      </c>
      <c r="C69" s="140">
        <v>2021</v>
      </c>
      <c r="D69" s="141" t="str">
        <f>IFERROR(INDEX(Työkonekanta!$D$3:$D$27,MATCH('S3 Tiekartta'!$A69,Työkonekanta!$A$3:$A$24,0),1),"undefined")</f>
        <v>pom</v>
      </c>
      <c r="E69" s="145">
        <f>IFERROR(INDEX(Työkonekanta!$G$3:$G$27,MATCH($A69,Työkonekanta!$A$3:$A$24,0),1)*INDEX(Työkonekanta!$H$3:$H$27,MATCH($A69,Työkonekanta!$A$3:$A$24,0),1)*(1+s0b_kasvu*($C69-2019))*$B69,0)</f>
        <v>10200</v>
      </c>
      <c r="F69" s="145">
        <f t="shared" si="26"/>
        <v>366180</v>
      </c>
      <c r="G69" s="151">
        <f t="shared" si="35"/>
        <v>355194.6</v>
      </c>
      <c r="H69" s="145">
        <f t="shared" si="36"/>
        <v>10985.4</v>
      </c>
      <c r="I69" s="145">
        <f t="shared" si="27"/>
        <v>9894</v>
      </c>
      <c r="J69" s="145">
        <f t="shared" si="28"/>
        <v>320.27405247813414</v>
      </c>
      <c r="K69" s="142" t="str">
        <f t="shared" si="37"/>
        <v>l</v>
      </c>
      <c r="L69" s="146">
        <f>IFERROR(INDEX(Työkonekanta!$I$3:$I$27,MATCH('S3 Tiekartta'!$A69,Työkonekanta!$A$3:$A$24,0),1)*(I69+J69)*f_adblue,0)</f>
        <v>0</v>
      </c>
      <c r="M69" s="146">
        <f t="shared" si="3"/>
        <v>0</v>
      </c>
      <c r="N69" s="143" t="str">
        <f>IF(tuulisähkö_vuosi&lt;='S3 Tiekartta'!C69,"tuulisähkö",ostosähkö_nyt)</f>
        <v>jäännössähkö</v>
      </c>
      <c r="O69" s="147">
        <f>INDEX(Muuttujat!$J$5:$J$21,MATCH($C69,Muuttujat!$H$5:$H$21,0),1)</f>
        <v>67.8692025</v>
      </c>
      <c r="P69" s="148">
        <f t="shared" si="38"/>
        <v>0.97</v>
      </c>
      <c r="Q69" s="148">
        <f t="shared" si="39"/>
        <v>0.03</v>
      </c>
      <c r="R69" s="148">
        <f t="shared" si="40"/>
        <v>0.03</v>
      </c>
      <c r="S69" s="149">
        <f t="shared" si="29"/>
        <v>6.7131779399999996</v>
      </c>
      <c r="T69" s="150">
        <f t="shared" si="30"/>
        <v>0.68548895999999993</v>
      </c>
      <c r="U69" s="150">
        <f t="shared" si="31"/>
        <v>0</v>
      </c>
      <c r="V69" s="150">
        <f>IFERROR(INDEX(Työkonekanta!$J$3:$J$27,MATCH($A69,Työkonekanta!$A$3:$A$24,0),1)*$B69*ef_li_ion_akku/1000/1000/INDEX(Työkonekanta!$K$3:$K$27,MATCH($A69,Työkonekanta!$A$3:$A$24,0)),0)</f>
        <v>0</v>
      </c>
      <c r="W69" s="149">
        <f t="shared" si="7"/>
        <v>26.2162933551684</v>
      </c>
      <c r="X69" s="150">
        <f t="shared" si="8"/>
        <v>0.32410057319999996</v>
      </c>
      <c r="Y69" s="151">
        <f t="shared" si="9"/>
        <v>0</v>
      </c>
      <c r="Z69" s="152">
        <f t="shared" si="41"/>
        <v>7.3986668999999994</v>
      </c>
      <c r="AA69" s="179">
        <f t="shared" si="42"/>
        <v>26.2162933551684</v>
      </c>
      <c r="AB69" s="179">
        <f t="shared" si="43"/>
        <v>26.540393928368399</v>
      </c>
      <c r="AC69" s="180">
        <f t="shared" si="10"/>
        <v>33.614960255168398</v>
      </c>
      <c r="AD69" s="156">
        <f t="shared" si="44"/>
        <v>33.939060828368397</v>
      </c>
      <c r="AE69" s="146">
        <f>IFERROR(INDEX(Työkonekanta!$L$3:$L$30,MATCH($A69,Työkonekanta!$A$3:$A$30,0),1),0)*AF69</f>
        <v>500000</v>
      </c>
      <c r="AF69" s="146">
        <f>IFERROR(INDEX(Työkonekanta!$N$3:$N$32,MATCH($A69,Työkonekanta!$A$3:$A$32,0),1),0)</f>
        <v>1</v>
      </c>
      <c r="AG69" s="332">
        <f>I69*INDEX(Muuttujat!$U$5:$U$21,MATCH($C69,Muuttujat!$N$5:$N$21,0),1)</f>
        <v>9795.06</v>
      </c>
      <c r="AH69" s="332">
        <f>J69*INDEX(Muuttujat!$T$5:$T$21,MATCH($C69,Muuttujat!$N$5:$N$21,0),1)</f>
        <v>445.18093294460647</v>
      </c>
      <c r="AI69" s="332">
        <f t="shared" si="32"/>
        <v>0</v>
      </c>
      <c r="AJ69" s="332">
        <f t="shared" si="33"/>
        <v>0</v>
      </c>
      <c r="AK69" s="333">
        <f t="shared" si="45"/>
        <v>10240.240932944605</v>
      </c>
      <c r="AL69" s="332">
        <f t="shared" si="34"/>
        <v>10240.240932944605</v>
      </c>
      <c r="AM69" s="351"/>
      <c r="AN69" s="351"/>
    </row>
    <row r="70" spans="1:40">
      <c r="A70" s="139">
        <v>8</v>
      </c>
      <c r="B70" s="139">
        <f>IFERROR(IF((INDEX(Työkonekanta!$F$3:$F$27,MATCH('S3 Tiekartta'!$A70,Työkonekanta!$A$3:$A$24,0),1))&lt;0,0,(INDEX(Työkonekanta!$F$3:$F$27,MATCH('S3 Tiekartta'!$A70,Työkonekanta!$A$3:$A$24,0),1))),0)</f>
        <v>1</v>
      </c>
      <c r="C70" s="140">
        <v>2021</v>
      </c>
      <c r="D70" s="141" t="str">
        <f>IFERROR(INDEX(Työkonekanta!$D$3:$D$27,MATCH('S3 Tiekartta'!$A70,Työkonekanta!$A$3:$A$24,0),1),"undefined")</f>
        <v>pom</v>
      </c>
      <c r="E70" s="145">
        <f>IFERROR(INDEX(Työkonekanta!$G$3:$G$27,MATCH($A70,Työkonekanta!$A$3:$A$24,0),1)*INDEX(Työkonekanta!$H$3:$H$27,MATCH($A70,Työkonekanta!$A$3:$A$24,0),1)*(1+s0b_kasvu*($C70-2019))*$B70,0)</f>
        <v>10200</v>
      </c>
      <c r="F70" s="145">
        <f t="shared" si="26"/>
        <v>366180</v>
      </c>
      <c r="G70" s="151">
        <f t="shared" si="35"/>
        <v>355194.6</v>
      </c>
      <c r="H70" s="145">
        <f t="shared" si="36"/>
        <v>10985.4</v>
      </c>
      <c r="I70" s="145">
        <f t="shared" si="27"/>
        <v>9894</v>
      </c>
      <c r="J70" s="145">
        <f t="shared" si="28"/>
        <v>320.27405247813414</v>
      </c>
      <c r="K70" s="142" t="str">
        <f t="shared" si="37"/>
        <v>l</v>
      </c>
      <c r="L70" s="146">
        <f>IFERROR(INDEX(Työkonekanta!$I$3:$I$27,MATCH('S3 Tiekartta'!$A70,Työkonekanta!$A$3:$A$24,0),1)*(I70+J70)*f_adblue,0)</f>
        <v>510.71370262390678</v>
      </c>
      <c r="M70" s="146">
        <f t="shared" si="3"/>
        <v>0</v>
      </c>
      <c r="N70" s="143" t="str">
        <f>IF(tuulisähkö_vuosi&lt;='S3 Tiekartta'!C70,"tuulisähkö",ostosähkö_nyt)</f>
        <v>jäännössähkö</v>
      </c>
      <c r="O70" s="147">
        <f>INDEX(Muuttujat!$J$5:$J$21,MATCH($C70,Muuttujat!$H$5:$H$21,0),1)</f>
        <v>67.8692025</v>
      </c>
      <c r="P70" s="148">
        <f t="shared" si="38"/>
        <v>0.97</v>
      </c>
      <c r="Q70" s="148">
        <f t="shared" si="39"/>
        <v>0.03</v>
      </c>
      <c r="R70" s="148">
        <f t="shared" si="40"/>
        <v>0.03</v>
      </c>
      <c r="S70" s="149">
        <f t="shared" si="29"/>
        <v>6.7131779399999996</v>
      </c>
      <c r="T70" s="150">
        <f t="shared" si="30"/>
        <v>0.68548895999999993</v>
      </c>
      <c r="U70" s="150">
        <f t="shared" si="31"/>
        <v>0</v>
      </c>
      <c r="V70" s="150">
        <f>IFERROR(INDEX(Työkonekanta!$J$3:$J$27,MATCH($A70,Työkonekanta!$A$3:$A$24,0),1)*$B70*ef_li_ion_akku/1000/1000/INDEX(Työkonekanta!$K$3:$K$27,MATCH($A70,Työkonekanta!$A$3:$A$24,0)),0)</f>
        <v>0</v>
      </c>
      <c r="W70" s="149">
        <f t="shared" si="7"/>
        <v>26.2162933551684</v>
      </c>
      <c r="X70" s="150">
        <f t="shared" si="8"/>
        <v>0.32410057319999996</v>
      </c>
      <c r="Y70" s="151">
        <f t="shared" si="9"/>
        <v>0.13278556268221575</v>
      </c>
      <c r="Z70" s="152">
        <f t="shared" si="41"/>
        <v>7.3986668999999994</v>
      </c>
      <c r="AA70" s="179">
        <f t="shared" si="42"/>
        <v>26.349078917850616</v>
      </c>
      <c r="AB70" s="179">
        <f t="shared" si="43"/>
        <v>26.673179491050615</v>
      </c>
      <c r="AC70" s="180">
        <f t="shared" si="10"/>
        <v>33.747745817850614</v>
      </c>
      <c r="AD70" s="156">
        <f t="shared" si="44"/>
        <v>34.071846391050613</v>
      </c>
      <c r="AE70" s="146">
        <f>IFERROR(INDEX(Työkonekanta!$L$3:$L$30,MATCH($A70,Työkonekanta!$A$3:$A$30,0),1),0)*AF70</f>
        <v>500000</v>
      </c>
      <c r="AF70" s="146">
        <f>IFERROR(INDEX(Työkonekanta!$N$3:$N$32,MATCH($A70,Työkonekanta!$A$3:$A$32,0),1),0)</f>
        <v>1</v>
      </c>
      <c r="AG70" s="332">
        <f>I70*INDEX(Muuttujat!$U$5:$U$21,MATCH($C70,Muuttujat!$N$5:$N$21,0),1)</f>
        <v>9795.06</v>
      </c>
      <c r="AH70" s="332">
        <f>J70*INDEX(Muuttujat!$T$5:$T$21,MATCH($C70,Muuttujat!$N$5:$N$21,0),1)</f>
        <v>445.18093294460647</v>
      </c>
      <c r="AI70" s="332">
        <f t="shared" si="32"/>
        <v>255.35685131195339</v>
      </c>
      <c r="AJ70" s="332">
        <f t="shared" si="33"/>
        <v>0</v>
      </c>
      <c r="AK70" s="333">
        <f t="shared" si="45"/>
        <v>10495.597784256559</v>
      </c>
      <c r="AL70" s="332">
        <f t="shared" si="34"/>
        <v>10495.597784256559</v>
      </c>
      <c r="AM70" s="351"/>
      <c r="AN70" s="351"/>
    </row>
    <row r="71" spans="1:40">
      <c r="A71" s="139">
        <v>9</v>
      </c>
      <c r="B71" s="139">
        <f>IFERROR(IF((INDEX(Työkonekanta!$F$3:$F$27,MATCH('S3 Tiekartta'!$A71,Työkonekanta!$A$3:$A$24,0),1))&lt;0,0,(INDEX(Työkonekanta!$F$3:$F$27,MATCH('S3 Tiekartta'!$A71,Työkonekanta!$A$3:$A$24,0),1))),0)</f>
        <v>0</v>
      </c>
      <c r="C71" s="140">
        <v>2021</v>
      </c>
      <c r="D71" s="141" t="str">
        <f>IFERROR(INDEX(Työkonekanta!$D$3:$D$27,MATCH('S3 Tiekartta'!$A71,Työkonekanta!$A$3:$A$24,0),1),"undefined")</f>
        <v>sähkö</v>
      </c>
      <c r="E71" s="145">
        <f>IFERROR(INDEX(Työkonekanta!$G$3:$G$27,MATCH($A71,Työkonekanta!$A$3:$A$24,0),1)*INDEX(Työkonekanta!$H$3:$H$27,MATCH($A71,Työkonekanta!$A$3:$A$24,0),1)*(1+s0b_kasvu*($C71-2019))*$B71,0)</f>
        <v>0</v>
      </c>
      <c r="F71" s="145">
        <f t="shared" si="26"/>
        <v>0</v>
      </c>
      <c r="G71" s="151">
        <f t="shared" si="35"/>
        <v>0</v>
      </c>
      <c r="H71" s="145">
        <f t="shared" si="36"/>
        <v>0</v>
      </c>
      <c r="I71" s="145">
        <f t="shared" si="27"/>
        <v>0</v>
      </c>
      <c r="J71" s="145">
        <f t="shared" si="28"/>
        <v>0</v>
      </c>
      <c r="K71" s="142" t="str">
        <f t="shared" si="37"/>
        <v>kWh</v>
      </c>
      <c r="L71" s="146">
        <f>IFERROR(INDEX(Työkonekanta!$I$3:$I$27,MATCH('S3 Tiekartta'!$A71,Työkonekanta!$A$3:$A$24,0),1)*(I71+J71)*f_adblue,0)</f>
        <v>0</v>
      </c>
      <c r="M71" s="146">
        <f t="shared" si="3"/>
        <v>0</v>
      </c>
      <c r="N71" s="143" t="str">
        <f>IF(tuulisähkö_vuosi&lt;='S3 Tiekartta'!C71,"tuulisähkö",ostosähkö_nyt)</f>
        <v>jäännössähkö</v>
      </c>
      <c r="O71" s="147">
        <f>INDEX(Muuttujat!$J$5:$J$21,MATCH($C71,Muuttujat!$H$5:$H$21,0),1)</f>
        <v>67.8692025</v>
      </c>
      <c r="P71" s="148">
        <f t="shared" si="38"/>
        <v>0.97</v>
      </c>
      <c r="Q71" s="148">
        <f t="shared" si="39"/>
        <v>0.03</v>
      </c>
      <c r="R71" s="148">
        <f t="shared" si="40"/>
        <v>0.03</v>
      </c>
      <c r="S71" s="149">
        <f t="shared" si="29"/>
        <v>0</v>
      </c>
      <c r="T71" s="150">
        <f t="shared" si="30"/>
        <v>0</v>
      </c>
      <c r="U71" s="150">
        <f t="shared" si="31"/>
        <v>0</v>
      </c>
      <c r="V71" s="150">
        <f>IFERROR(INDEX(Työkonekanta!$J$3:$J$27,MATCH($A71,Työkonekanta!$A$3:$A$24,0),1)*$B71*ef_li_ion_akku/1000/1000/INDEX(Työkonekanta!$K$3:$K$27,MATCH($A71,Työkonekanta!$A$3:$A$24,0)),0)</f>
        <v>0</v>
      </c>
      <c r="W71" s="149">
        <f t="shared" si="7"/>
        <v>0</v>
      </c>
      <c r="X71" s="150">
        <f t="shared" si="8"/>
        <v>0</v>
      </c>
      <c r="Y71" s="151">
        <f t="shared" si="9"/>
        <v>0</v>
      </c>
      <c r="Z71" s="152">
        <f t="shared" si="41"/>
        <v>0</v>
      </c>
      <c r="AA71" s="179">
        <f t="shared" si="42"/>
        <v>0</v>
      </c>
      <c r="AB71" s="179">
        <f t="shared" si="43"/>
        <v>0</v>
      </c>
      <c r="AC71" s="180">
        <f t="shared" si="10"/>
        <v>0</v>
      </c>
      <c r="AD71" s="156">
        <f t="shared" si="44"/>
        <v>0</v>
      </c>
      <c r="AE71" s="146">
        <f>IFERROR(INDEX(Työkonekanta!$L$3:$L$30,MATCH($A71,Työkonekanta!$A$3:$A$30,0),1),0)*AF71</f>
        <v>0</v>
      </c>
      <c r="AF71" s="146">
        <f>IFERROR(INDEX(Työkonekanta!$N$3:$N$32,MATCH($A71,Työkonekanta!$A$3:$A$32,0),1),0)</f>
        <v>0</v>
      </c>
      <c r="AG71" s="332">
        <f>I71*INDEX(Muuttujat!$U$5:$U$21,MATCH($C71,Muuttujat!$N$5:$N$21,0),1)</f>
        <v>0</v>
      </c>
      <c r="AH71" s="332">
        <f>J71*INDEX(Muuttujat!$T$5:$T$21,MATCH($C71,Muuttujat!$N$5:$N$21,0),1)</f>
        <v>0</v>
      </c>
      <c r="AI71" s="332">
        <f t="shared" si="32"/>
        <v>0</v>
      </c>
      <c r="AJ71" s="332">
        <f t="shared" si="33"/>
        <v>0</v>
      </c>
      <c r="AK71" s="333">
        <f t="shared" si="45"/>
        <v>0</v>
      </c>
      <c r="AL71" s="332">
        <f t="shared" si="34"/>
        <v>0</v>
      </c>
      <c r="AM71" s="351"/>
      <c r="AN71" s="351"/>
    </row>
    <row r="72" spans="1:40">
      <c r="A72" s="139">
        <v>10</v>
      </c>
      <c r="B72" s="139">
        <f>IFERROR(IF((INDEX(Työkonekanta!$F$3:$F$27,MATCH('S3 Tiekartta'!$A72,Työkonekanta!$A$3:$A$24,0),1))&lt;0,0,(INDEX(Työkonekanta!$F$3:$F$27,MATCH('S3 Tiekartta'!$A72,Työkonekanta!$A$3:$A$24,0),1))),0)</f>
        <v>0</v>
      </c>
      <c r="C72" s="140">
        <v>2021</v>
      </c>
      <c r="D72" s="141" t="str">
        <f>IFERROR(INDEX(Työkonekanta!$D$3:$D$27,MATCH('S3 Tiekartta'!$A72,Työkonekanta!$A$3:$A$24,0),1),"undefined")</f>
        <v>sähkö</v>
      </c>
      <c r="E72" s="145">
        <f>IFERROR(INDEX(Työkonekanta!$G$3:$G$27,MATCH($A72,Työkonekanta!$A$3:$A$24,0),1)*INDEX(Työkonekanta!$H$3:$H$27,MATCH($A72,Työkonekanta!$A$3:$A$24,0),1)*(1+s0b_kasvu*($C72-2019))*$B72,0)</f>
        <v>0</v>
      </c>
      <c r="F72" s="145">
        <f t="shared" si="26"/>
        <v>0</v>
      </c>
      <c r="G72" s="151">
        <f t="shared" si="35"/>
        <v>0</v>
      </c>
      <c r="H72" s="145">
        <f t="shared" si="36"/>
        <v>0</v>
      </c>
      <c r="I72" s="145">
        <f t="shared" si="27"/>
        <v>0</v>
      </c>
      <c r="J72" s="145">
        <f t="shared" si="28"/>
        <v>0</v>
      </c>
      <c r="K72" s="142" t="str">
        <f t="shared" si="37"/>
        <v>kWh</v>
      </c>
      <c r="L72" s="146">
        <f>IFERROR(INDEX(Työkonekanta!$I$3:$I$27,MATCH('S3 Tiekartta'!$A72,Työkonekanta!$A$3:$A$24,0),1)*(I72+J72)*f_adblue,0)</f>
        <v>0</v>
      </c>
      <c r="M72" s="146">
        <f t="shared" si="3"/>
        <v>0</v>
      </c>
      <c r="N72" s="143" t="str">
        <f>IF(tuulisähkö_vuosi&lt;='S3 Tiekartta'!C72,"tuulisähkö",ostosähkö_nyt)</f>
        <v>jäännössähkö</v>
      </c>
      <c r="O72" s="147">
        <f>INDEX(Muuttujat!$J$5:$J$21,MATCH($C72,Muuttujat!$H$5:$H$21,0),1)</f>
        <v>67.8692025</v>
      </c>
      <c r="P72" s="148">
        <f t="shared" si="38"/>
        <v>0.97</v>
      </c>
      <c r="Q72" s="148">
        <f t="shared" si="39"/>
        <v>0.03</v>
      </c>
      <c r="R72" s="148">
        <f t="shared" si="40"/>
        <v>0.03</v>
      </c>
      <c r="S72" s="149">
        <f t="shared" si="29"/>
        <v>0</v>
      </c>
      <c r="T72" s="150">
        <f t="shared" si="30"/>
        <v>0</v>
      </c>
      <c r="U72" s="150">
        <f t="shared" si="31"/>
        <v>0</v>
      </c>
      <c r="V72" s="150">
        <f>IFERROR(INDEX(Työkonekanta!$J$3:$J$27,MATCH($A72,Työkonekanta!$A$3:$A$24,0),1)*$B72*ef_li_ion_akku/1000/1000/INDEX(Työkonekanta!$K$3:$K$27,MATCH($A72,Työkonekanta!$A$3:$A$24,0)),0)</f>
        <v>0</v>
      </c>
      <c r="W72" s="149">
        <f t="shared" si="7"/>
        <v>0</v>
      </c>
      <c r="X72" s="150">
        <f t="shared" si="8"/>
        <v>0</v>
      </c>
      <c r="Y72" s="151">
        <f t="shared" si="9"/>
        <v>0</v>
      </c>
      <c r="Z72" s="152">
        <f t="shared" si="41"/>
        <v>0</v>
      </c>
      <c r="AA72" s="179">
        <f t="shared" si="42"/>
        <v>0</v>
      </c>
      <c r="AB72" s="179">
        <f t="shared" si="43"/>
        <v>0</v>
      </c>
      <c r="AC72" s="180">
        <f t="shared" si="10"/>
        <v>0</v>
      </c>
      <c r="AD72" s="156">
        <f t="shared" si="44"/>
        <v>0</v>
      </c>
      <c r="AE72" s="146">
        <f>IFERROR(INDEX(Työkonekanta!$L$3:$L$30,MATCH($A72,Työkonekanta!$A$3:$A$30,0),1),0)*AF72</f>
        <v>0</v>
      </c>
      <c r="AF72" s="146">
        <f>IFERROR(INDEX(Työkonekanta!$N$3:$N$32,MATCH($A72,Työkonekanta!$A$3:$A$32,0),1),0)</f>
        <v>0</v>
      </c>
      <c r="AG72" s="332">
        <f>I72*INDEX(Muuttujat!$U$5:$U$21,MATCH($C72,Muuttujat!$N$5:$N$21,0),1)</f>
        <v>0</v>
      </c>
      <c r="AH72" s="332">
        <f>J72*INDEX(Muuttujat!$T$5:$T$21,MATCH($C72,Muuttujat!$N$5:$N$21,0),1)</f>
        <v>0</v>
      </c>
      <c r="AI72" s="332">
        <f t="shared" si="32"/>
        <v>0</v>
      </c>
      <c r="AJ72" s="332">
        <f t="shared" si="33"/>
        <v>0</v>
      </c>
      <c r="AK72" s="333">
        <f t="shared" si="45"/>
        <v>0</v>
      </c>
      <c r="AL72" s="332">
        <f t="shared" si="34"/>
        <v>0</v>
      </c>
      <c r="AM72" s="351"/>
      <c r="AN72" s="351"/>
    </row>
    <row r="73" spans="1:40">
      <c r="A73" s="139">
        <v>11</v>
      </c>
      <c r="B73" s="139">
        <f>IFERROR(IF((INDEX(Työkonekanta!$F$3:$F$27,MATCH('S3 Tiekartta'!$A73,Työkonekanta!$A$3:$A$24,0),1))&lt;0,0,(INDEX(Työkonekanta!$F$3:$F$27,MATCH('S3 Tiekartta'!$A73,Työkonekanta!$A$3:$A$24,0),1))),0)</f>
        <v>1</v>
      </c>
      <c r="C73" s="140">
        <v>2021</v>
      </c>
      <c r="D73" s="141" t="str">
        <f>IFERROR(INDEX(Työkonekanta!$D$3:$D$27,MATCH('S3 Tiekartta'!$A73,Työkonekanta!$A$3:$A$24,0),1),"undefined")</f>
        <v>pom</v>
      </c>
      <c r="E73" s="145">
        <f>IFERROR(INDEX(Työkonekanta!$G$3:$G$27,MATCH($A73,Työkonekanta!$A$3:$A$24,0),1)*INDEX(Työkonekanta!$H$3:$H$27,MATCH($A73,Työkonekanta!$A$3:$A$24,0),1)*(1+s0b_kasvu*($C73-2019))*$B73,0)</f>
        <v>10200</v>
      </c>
      <c r="F73" s="145">
        <f t="shared" si="26"/>
        <v>366180</v>
      </c>
      <c r="G73" s="151">
        <f t="shared" si="35"/>
        <v>355194.6</v>
      </c>
      <c r="H73" s="145">
        <f t="shared" si="36"/>
        <v>10985.4</v>
      </c>
      <c r="I73" s="145">
        <f t="shared" si="27"/>
        <v>9894</v>
      </c>
      <c r="J73" s="145">
        <f t="shared" si="28"/>
        <v>320.27405247813414</v>
      </c>
      <c r="K73" s="142" t="str">
        <f t="shared" si="37"/>
        <v>l</v>
      </c>
      <c r="L73" s="146">
        <f>IFERROR(INDEX(Työkonekanta!$I$3:$I$27,MATCH('S3 Tiekartta'!$A73,Työkonekanta!$A$3:$A$24,0),1)*(I73+J73)*f_adblue,0)</f>
        <v>510.71370262390678</v>
      </c>
      <c r="M73" s="146">
        <f t="shared" si="3"/>
        <v>0</v>
      </c>
      <c r="N73" s="143" t="str">
        <f>IF(tuulisähkö_vuosi&lt;='S3 Tiekartta'!C73,"tuulisähkö",ostosähkö_nyt)</f>
        <v>jäännössähkö</v>
      </c>
      <c r="O73" s="147">
        <f>INDEX(Muuttujat!$J$5:$J$21,MATCH($C73,Muuttujat!$H$5:$H$21,0),1)</f>
        <v>67.8692025</v>
      </c>
      <c r="P73" s="148">
        <f t="shared" si="38"/>
        <v>0.97</v>
      </c>
      <c r="Q73" s="148">
        <f t="shared" si="39"/>
        <v>0.03</v>
      </c>
      <c r="R73" s="148">
        <f t="shared" si="40"/>
        <v>0.03</v>
      </c>
      <c r="S73" s="149">
        <f t="shared" si="29"/>
        <v>6.7131779399999996</v>
      </c>
      <c r="T73" s="150">
        <f t="shared" si="30"/>
        <v>0.68548895999999993</v>
      </c>
      <c r="U73" s="150">
        <f t="shared" si="31"/>
        <v>0</v>
      </c>
      <c r="V73" s="150">
        <f>IFERROR(INDEX(Työkonekanta!$J$3:$J$27,MATCH($A73,Työkonekanta!$A$3:$A$24,0),1)*$B73*ef_li_ion_akku/1000/1000/INDEX(Työkonekanta!$K$3:$K$27,MATCH($A73,Työkonekanta!$A$3:$A$24,0)),0)</f>
        <v>0</v>
      </c>
      <c r="W73" s="149">
        <f t="shared" si="7"/>
        <v>26.2162933551684</v>
      </c>
      <c r="X73" s="150">
        <f t="shared" si="8"/>
        <v>0.32410057319999996</v>
      </c>
      <c r="Y73" s="151">
        <f t="shared" si="9"/>
        <v>0.13278556268221575</v>
      </c>
      <c r="Z73" s="152">
        <f t="shared" si="41"/>
        <v>7.3986668999999994</v>
      </c>
      <c r="AA73" s="179">
        <f t="shared" si="42"/>
        <v>26.349078917850616</v>
      </c>
      <c r="AB73" s="179">
        <f t="shared" si="43"/>
        <v>26.673179491050615</v>
      </c>
      <c r="AC73" s="180">
        <f t="shared" si="10"/>
        <v>33.747745817850614</v>
      </c>
      <c r="AD73" s="156">
        <f t="shared" si="44"/>
        <v>34.071846391050613</v>
      </c>
      <c r="AE73" s="146">
        <f>IFERROR(INDEX(Työkonekanta!$L$3:$L$30,MATCH($A73,Työkonekanta!$A$3:$A$30,0),1),0)*AF73</f>
        <v>500000</v>
      </c>
      <c r="AF73" s="146">
        <f>IFERROR(INDEX(Työkonekanta!$N$3:$N$32,MATCH($A73,Työkonekanta!$A$3:$A$32,0),1),0)</f>
        <v>1</v>
      </c>
      <c r="AG73" s="332">
        <f>I73*INDEX(Muuttujat!$U$5:$U$21,MATCH($C73,Muuttujat!$N$5:$N$21,0),1)</f>
        <v>9795.06</v>
      </c>
      <c r="AH73" s="332">
        <f>J73*INDEX(Muuttujat!$T$5:$T$21,MATCH($C73,Muuttujat!$N$5:$N$21,0),1)</f>
        <v>445.18093294460647</v>
      </c>
      <c r="AI73" s="332">
        <f t="shared" si="32"/>
        <v>255.35685131195339</v>
      </c>
      <c r="AJ73" s="332">
        <f t="shared" si="33"/>
        <v>0</v>
      </c>
      <c r="AK73" s="333">
        <f t="shared" si="45"/>
        <v>10495.597784256559</v>
      </c>
      <c r="AL73" s="332">
        <f t="shared" si="34"/>
        <v>10495.597784256559</v>
      </c>
      <c r="AM73" s="351"/>
      <c r="AN73" s="351"/>
    </row>
    <row r="74" spans="1:40">
      <c r="A74" s="139">
        <v>12</v>
      </c>
      <c r="B74" s="139">
        <f>IFERROR(IF((INDEX(Työkonekanta!$F$3:$F$27,MATCH('S3 Tiekartta'!$A74,Työkonekanta!$A$3:$A$24,0),1))&lt;0,0,(INDEX(Työkonekanta!$F$3:$F$27,MATCH('S3 Tiekartta'!$A74,Työkonekanta!$A$3:$A$24,0),1))),0)</f>
        <v>1</v>
      </c>
      <c r="C74" s="140">
        <v>2021</v>
      </c>
      <c r="D74" s="141" t="str">
        <f>IFERROR(INDEX(Työkonekanta!$D$3:$D$27,MATCH('S3 Tiekartta'!$A74,Työkonekanta!$A$3:$A$24,0),1),"undefined")</f>
        <v>pom</v>
      </c>
      <c r="E74" s="145">
        <f>IFERROR(INDEX(Työkonekanta!$G$3:$G$27,MATCH($A74,Työkonekanta!$A$3:$A$24,0),1)*INDEX(Työkonekanta!$H$3:$H$27,MATCH($A74,Työkonekanta!$A$3:$A$24,0),1)*(1+s0b_kasvu*($C74-2019))*$B74,0)</f>
        <v>10200</v>
      </c>
      <c r="F74" s="145">
        <f t="shared" si="26"/>
        <v>366180</v>
      </c>
      <c r="G74" s="151">
        <f t="shared" si="35"/>
        <v>355194.6</v>
      </c>
      <c r="H74" s="145">
        <f t="shared" si="36"/>
        <v>10985.4</v>
      </c>
      <c r="I74" s="145">
        <f t="shared" si="27"/>
        <v>9894</v>
      </c>
      <c r="J74" s="145">
        <f t="shared" si="28"/>
        <v>320.27405247813414</v>
      </c>
      <c r="K74" s="142" t="str">
        <f t="shared" si="37"/>
        <v>l</v>
      </c>
      <c r="L74" s="146">
        <f>IFERROR(INDEX(Työkonekanta!$I$3:$I$27,MATCH('S3 Tiekartta'!$A74,Työkonekanta!$A$3:$A$24,0),1)*(I74+J74)*f_adblue,0)</f>
        <v>510.71370262390678</v>
      </c>
      <c r="M74" s="146">
        <f t="shared" si="3"/>
        <v>0</v>
      </c>
      <c r="N74" s="143" t="str">
        <f>IF(tuulisähkö_vuosi&lt;='S3 Tiekartta'!C74,"tuulisähkö",ostosähkö_nyt)</f>
        <v>jäännössähkö</v>
      </c>
      <c r="O74" s="147">
        <f>INDEX(Muuttujat!$J$5:$J$21,MATCH($C74,Muuttujat!$H$5:$H$21,0),1)</f>
        <v>67.8692025</v>
      </c>
      <c r="P74" s="148">
        <f t="shared" si="38"/>
        <v>0.97</v>
      </c>
      <c r="Q74" s="148">
        <f t="shared" si="39"/>
        <v>0.03</v>
      </c>
      <c r="R74" s="148">
        <f t="shared" si="40"/>
        <v>0.03</v>
      </c>
      <c r="S74" s="149">
        <f t="shared" si="29"/>
        <v>6.7131779399999996</v>
      </c>
      <c r="T74" s="150">
        <f t="shared" si="30"/>
        <v>0.68548895999999993</v>
      </c>
      <c r="U74" s="150">
        <f t="shared" si="31"/>
        <v>0</v>
      </c>
      <c r="V74" s="150">
        <f>IFERROR(INDEX(Työkonekanta!$J$3:$J$27,MATCH($A74,Työkonekanta!$A$3:$A$24,0),1)*$B74*ef_li_ion_akku/1000/1000/INDEX(Työkonekanta!$K$3:$K$27,MATCH($A74,Työkonekanta!$A$3:$A$24,0)),0)</f>
        <v>0</v>
      </c>
      <c r="W74" s="149">
        <f t="shared" si="7"/>
        <v>26.2162933551684</v>
      </c>
      <c r="X74" s="150">
        <f t="shared" si="8"/>
        <v>0.32410057319999996</v>
      </c>
      <c r="Y74" s="151">
        <f t="shared" si="9"/>
        <v>0.13278556268221575</v>
      </c>
      <c r="Z74" s="152">
        <f t="shared" si="41"/>
        <v>7.3986668999999994</v>
      </c>
      <c r="AA74" s="179">
        <f t="shared" si="42"/>
        <v>26.349078917850616</v>
      </c>
      <c r="AB74" s="179">
        <f t="shared" si="43"/>
        <v>26.673179491050615</v>
      </c>
      <c r="AC74" s="180">
        <f t="shared" si="10"/>
        <v>33.747745817850614</v>
      </c>
      <c r="AD74" s="156">
        <f t="shared" si="44"/>
        <v>34.071846391050613</v>
      </c>
      <c r="AE74" s="146">
        <f>IFERROR(INDEX(Työkonekanta!$L$3:$L$30,MATCH($A74,Työkonekanta!$A$3:$A$30,0),1),0)*AF74</f>
        <v>500000</v>
      </c>
      <c r="AF74" s="146">
        <f>IFERROR(INDEX(Työkonekanta!$N$3:$N$32,MATCH($A74,Työkonekanta!$A$3:$A$32,0),1),0)</f>
        <v>1</v>
      </c>
      <c r="AG74" s="332">
        <f>I74*INDEX(Muuttujat!$U$5:$U$21,MATCH($C74,Muuttujat!$N$5:$N$21,0),1)</f>
        <v>9795.06</v>
      </c>
      <c r="AH74" s="332">
        <f>J74*INDEX(Muuttujat!$T$5:$T$21,MATCH($C74,Muuttujat!$N$5:$N$21,0),1)</f>
        <v>445.18093294460647</v>
      </c>
      <c r="AI74" s="332">
        <f t="shared" si="32"/>
        <v>255.35685131195339</v>
      </c>
      <c r="AJ74" s="332">
        <f t="shared" si="33"/>
        <v>0</v>
      </c>
      <c r="AK74" s="333">
        <f t="shared" si="45"/>
        <v>10495.597784256559</v>
      </c>
      <c r="AL74" s="332">
        <f t="shared" si="34"/>
        <v>10495.597784256559</v>
      </c>
      <c r="AM74" s="351"/>
      <c r="AN74" s="351"/>
    </row>
    <row r="75" spans="1:40">
      <c r="A75" s="139">
        <v>13</v>
      </c>
      <c r="B75" s="139">
        <f>IFERROR(IF((INDEX(Työkonekanta!$F$3:$F$27,MATCH('S3 Tiekartta'!$A75,Työkonekanta!$A$3:$A$24,0),1))&lt;0,0,(INDEX(Työkonekanta!$F$3:$F$27,MATCH('S3 Tiekartta'!$A75,Työkonekanta!$A$3:$A$24,0),1))),0)</f>
        <v>0</v>
      </c>
      <c r="C75" s="140">
        <v>2021</v>
      </c>
      <c r="D75" s="141" t="str">
        <f>IFERROR(INDEX(Työkonekanta!$D$3:$D$27,MATCH('S3 Tiekartta'!$A75,Työkonekanta!$A$3:$A$24,0),1),"undefined")</f>
        <v>pom</v>
      </c>
      <c r="E75" s="145">
        <f>IFERROR(INDEX(Työkonekanta!$G$3:$G$27,MATCH($A75,Työkonekanta!$A$3:$A$24,0),1)*INDEX(Työkonekanta!$H$3:$H$27,MATCH($A75,Työkonekanta!$A$3:$A$24,0),1)*(1+s0b_kasvu*($C75-2019))*$B75,0)</f>
        <v>0</v>
      </c>
      <c r="F75" s="145">
        <f t="shared" si="26"/>
        <v>0</v>
      </c>
      <c r="G75" s="151">
        <f t="shared" si="35"/>
        <v>0</v>
      </c>
      <c r="H75" s="145">
        <f t="shared" si="36"/>
        <v>0</v>
      </c>
      <c r="I75" s="145">
        <f t="shared" si="27"/>
        <v>0</v>
      </c>
      <c r="J75" s="145">
        <f t="shared" si="28"/>
        <v>0</v>
      </c>
      <c r="K75" s="142" t="str">
        <f t="shared" si="37"/>
        <v>l</v>
      </c>
      <c r="L75" s="146">
        <f>IFERROR(INDEX(Työkonekanta!$I$3:$I$27,MATCH('S3 Tiekartta'!$A75,Työkonekanta!$A$3:$A$24,0),1)*(I75+J75)*f_adblue,0)</f>
        <v>0</v>
      </c>
      <c r="M75" s="146">
        <f t="shared" si="3"/>
        <v>0</v>
      </c>
      <c r="N75" s="143" t="str">
        <f>IF(tuulisähkö_vuosi&lt;='S3 Tiekartta'!C75,"tuulisähkö",ostosähkö_nyt)</f>
        <v>jäännössähkö</v>
      </c>
      <c r="O75" s="147">
        <f>INDEX(Muuttujat!$J$5:$J$21,MATCH($C75,Muuttujat!$H$5:$H$21,0),1)</f>
        <v>67.8692025</v>
      </c>
      <c r="P75" s="148">
        <f t="shared" si="38"/>
        <v>0.97</v>
      </c>
      <c r="Q75" s="148">
        <f t="shared" si="39"/>
        <v>0.03</v>
      </c>
      <c r="R75" s="148">
        <f t="shared" si="40"/>
        <v>0.03</v>
      </c>
      <c r="S75" s="149">
        <f t="shared" si="29"/>
        <v>0</v>
      </c>
      <c r="T75" s="150">
        <f t="shared" si="30"/>
        <v>0</v>
      </c>
      <c r="U75" s="150">
        <f t="shared" si="31"/>
        <v>0</v>
      </c>
      <c r="V75" s="150">
        <f>IFERROR(INDEX(Työkonekanta!$J$3:$J$27,MATCH($A75,Työkonekanta!$A$3:$A$24,0),1)*$B75*ef_li_ion_akku/1000/1000/INDEX(Työkonekanta!$K$3:$K$27,MATCH($A75,Työkonekanta!$A$3:$A$24,0)),0)</f>
        <v>0</v>
      </c>
      <c r="W75" s="149">
        <f t="shared" si="7"/>
        <v>0</v>
      </c>
      <c r="X75" s="150">
        <f t="shared" si="8"/>
        <v>0</v>
      </c>
      <c r="Y75" s="151">
        <f t="shared" si="9"/>
        <v>0</v>
      </c>
      <c r="Z75" s="152">
        <f t="shared" si="41"/>
        <v>0</v>
      </c>
      <c r="AA75" s="179">
        <f t="shared" si="42"/>
        <v>0</v>
      </c>
      <c r="AB75" s="179">
        <f t="shared" si="43"/>
        <v>0</v>
      </c>
      <c r="AC75" s="180">
        <f t="shared" si="10"/>
        <v>0</v>
      </c>
      <c r="AD75" s="156">
        <f t="shared" si="44"/>
        <v>0</v>
      </c>
      <c r="AE75" s="146">
        <f>IFERROR(INDEX(Työkonekanta!$L$3:$L$30,MATCH($A75,Työkonekanta!$A$3:$A$30,0),1),0)*AF75</f>
        <v>0</v>
      </c>
      <c r="AF75" s="146">
        <f>IFERROR(INDEX(Työkonekanta!$N$3:$N$32,MATCH($A75,Työkonekanta!$A$3:$A$32,0),1),0)</f>
        <v>0</v>
      </c>
      <c r="AG75" s="332">
        <f>I75*INDEX(Muuttujat!$U$5:$U$21,MATCH($C75,Muuttujat!$N$5:$N$21,0),1)</f>
        <v>0</v>
      </c>
      <c r="AH75" s="332">
        <f>J75*INDEX(Muuttujat!$T$5:$T$21,MATCH($C75,Muuttujat!$N$5:$N$21,0),1)</f>
        <v>0</v>
      </c>
      <c r="AI75" s="332">
        <f t="shared" si="32"/>
        <v>0</v>
      </c>
      <c r="AJ75" s="332">
        <f t="shared" si="33"/>
        <v>0</v>
      </c>
      <c r="AK75" s="333">
        <f t="shared" si="45"/>
        <v>0</v>
      </c>
      <c r="AL75" s="332">
        <f t="shared" si="34"/>
        <v>0</v>
      </c>
      <c r="AM75" s="351"/>
      <c r="AN75" s="351"/>
    </row>
    <row r="76" spans="1:40">
      <c r="A76" s="139">
        <v>14</v>
      </c>
      <c r="B76" s="139">
        <f>IFERROR(IF((INDEX(Työkonekanta!$F$3:$F$27,MATCH('S3 Tiekartta'!$A76,Työkonekanta!$A$3:$A$24,0),1))&lt;0,0,(INDEX(Työkonekanta!$F$3:$F$27,MATCH('S3 Tiekartta'!$A76,Työkonekanta!$A$3:$A$24,0),1))),0)</f>
        <v>0</v>
      </c>
      <c r="C76" s="140">
        <v>2021</v>
      </c>
      <c r="D76" s="141" t="str">
        <f>IFERROR(INDEX(Työkonekanta!$D$3:$D$27,MATCH('S3 Tiekartta'!$A76,Työkonekanta!$A$3:$A$24,0),1),"undefined")</f>
        <v>pom</v>
      </c>
      <c r="E76" s="145">
        <f>IFERROR(INDEX(Työkonekanta!$G$3:$G$27,MATCH($A76,Työkonekanta!$A$3:$A$24,0),1)*INDEX(Työkonekanta!$H$3:$H$27,MATCH($A76,Työkonekanta!$A$3:$A$24,0),1)*(1+s0b_kasvu*($C76-2019))*$B76,0)</f>
        <v>0</v>
      </c>
      <c r="F76" s="145">
        <f t="shared" si="26"/>
        <v>0</v>
      </c>
      <c r="G76" s="151">
        <f t="shared" si="35"/>
        <v>0</v>
      </c>
      <c r="H76" s="145">
        <f t="shared" si="36"/>
        <v>0</v>
      </c>
      <c r="I76" s="145">
        <f t="shared" si="27"/>
        <v>0</v>
      </c>
      <c r="J76" s="145">
        <f t="shared" si="28"/>
        <v>0</v>
      </c>
      <c r="K76" s="142" t="str">
        <f t="shared" si="37"/>
        <v>l</v>
      </c>
      <c r="L76" s="146">
        <f>IFERROR(INDEX(Työkonekanta!$I$3:$I$27,MATCH('S3 Tiekartta'!$A76,Työkonekanta!$A$3:$A$24,0),1)*(I76+J76)*f_adblue,0)</f>
        <v>0</v>
      </c>
      <c r="M76" s="146">
        <f t="shared" si="3"/>
        <v>0</v>
      </c>
      <c r="N76" s="143" t="str">
        <f>IF(tuulisähkö_vuosi&lt;='S3 Tiekartta'!C76,"tuulisähkö",ostosähkö_nyt)</f>
        <v>jäännössähkö</v>
      </c>
      <c r="O76" s="147">
        <f>INDEX(Muuttujat!$J$5:$J$21,MATCH($C76,Muuttujat!$H$5:$H$21,0),1)</f>
        <v>67.8692025</v>
      </c>
      <c r="P76" s="148">
        <f t="shared" si="38"/>
        <v>0.97</v>
      </c>
      <c r="Q76" s="148">
        <f t="shared" si="39"/>
        <v>0.03</v>
      </c>
      <c r="R76" s="148">
        <f t="shared" si="40"/>
        <v>0.03</v>
      </c>
      <c r="S76" s="149">
        <f t="shared" si="29"/>
        <v>0</v>
      </c>
      <c r="T76" s="150">
        <f t="shared" si="30"/>
        <v>0</v>
      </c>
      <c r="U76" s="150">
        <f t="shared" si="31"/>
        <v>0</v>
      </c>
      <c r="V76" s="150">
        <f>IFERROR(INDEX(Työkonekanta!$J$3:$J$27,MATCH($A76,Työkonekanta!$A$3:$A$24,0),1)*$B76*ef_li_ion_akku/1000/1000/INDEX(Työkonekanta!$K$3:$K$27,MATCH($A76,Työkonekanta!$A$3:$A$24,0)),0)</f>
        <v>0</v>
      </c>
      <c r="W76" s="149">
        <f t="shared" si="7"/>
        <v>0</v>
      </c>
      <c r="X76" s="150">
        <f t="shared" si="8"/>
        <v>0</v>
      </c>
      <c r="Y76" s="151">
        <f t="shared" si="9"/>
        <v>0</v>
      </c>
      <c r="Z76" s="152">
        <f t="shared" si="41"/>
        <v>0</v>
      </c>
      <c r="AA76" s="179">
        <f t="shared" si="42"/>
        <v>0</v>
      </c>
      <c r="AB76" s="179">
        <f t="shared" si="43"/>
        <v>0</v>
      </c>
      <c r="AC76" s="180">
        <f t="shared" si="10"/>
        <v>0</v>
      </c>
      <c r="AD76" s="156">
        <f t="shared" si="44"/>
        <v>0</v>
      </c>
      <c r="AE76" s="146">
        <f>IFERROR(INDEX(Työkonekanta!$L$3:$L$30,MATCH($A76,Työkonekanta!$A$3:$A$30,0),1),0)*AF76</f>
        <v>0</v>
      </c>
      <c r="AF76" s="146">
        <f>IFERROR(INDEX(Työkonekanta!$N$3:$N$32,MATCH($A76,Työkonekanta!$A$3:$A$32,0),1),0)</f>
        <v>0</v>
      </c>
      <c r="AG76" s="332">
        <f>I76*INDEX(Muuttujat!$U$5:$U$21,MATCH($C76,Muuttujat!$N$5:$N$21,0),1)</f>
        <v>0</v>
      </c>
      <c r="AH76" s="332">
        <f>J76*INDEX(Muuttujat!$T$5:$T$21,MATCH($C76,Muuttujat!$N$5:$N$21,0),1)</f>
        <v>0</v>
      </c>
      <c r="AI76" s="332">
        <f t="shared" si="32"/>
        <v>0</v>
      </c>
      <c r="AJ76" s="332">
        <f t="shared" si="33"/>
        <v>0</v>
      </c>
      <c r="AK76" s="333">
        <f t="shared" si="45"/>
        <v>0</v>
      </c>
      <c r="AL76" s="332">
        <f t="shared" si="34"/>
        <v>0</v>
      </c>
      <c r="AM76" s="351"/>
      <c r="AN76" s="351"/>
    </row>
    <row r="77" spans="1:40">
      <c r="A77" s="139">
        <v>15</v>
      </c>
      <c r="B77" s="139">
        <f>IFERROR(IF((INDEX(Työkonekanta!$F$3:$F$27,MATCH('S3 Tiekartta'!$A77,Työkonekanta!$A$3:$A$24,0),1))&lt;0,0,(INDEX(Työkonekanta!$F$3:$F$27,MATCH('S3 Tiekartta'!$A77,Työkonekanta!$A$3:$A$24,0),1))),0)</f>
        <v>0</v>
      </c>
      <c r="C77" s="140">
        <v>2021</v>
      </c>
      <c r="D77" s="141" t="str">
        <f>IFERROR(INDEX(Työkonekanta!$D$3:$D$27,MATCH('S3 Tiekartta'!$A77,Työkonekanta!$A$3:$A$24,0),1),"undefined")</f>
        <v>sähkö</v>
      </c>
      <c r="E77" s="145">
        <f>IFERROR(INDEX(Työkonekanta!$G$3:$G$27,MATCH($A77,Työkonekanta!$A$3:$A$24,0),1)*INDEX(Työkonekanta!$H$3:$H$27,MATCH($A77,Työkonekanta!$A$3:$A$24,0),1)*(1+s0b_kasvu*($C77-2019))*$B77,0)</f>
        <v>0</v>
      </c>
      <c r="F77" s="145">
        <f t="shared" si="26"/>
        <v>0</v>
      </c>
      <c r="G77" s="151">
        <f t="shared" si="35"/>
        <v>0</v>
      </c>
      <c r="H77" s="145">
        <f t="shared" si="36"/>
        <v>0</v>
      </c>
      <c r="I77" s="145">
        <f t="shared" si="27"/>
        <v>0</v>
      </c>
      <c r="J77" s="145">
        <f t="shared" si="28"/>
        <v>0</v>
      </c>
      <c r="K77" s="142" t="str">
        <f t="shared" si="37"/>
        <v>kWh</v>
      </c>
      <c r="L77" s="146">
        <f>IFERROR(INDEX(Työkonekanta!$I$3:$I$27,MATCH('S3 Tiekartta'!$A77,Työkonekanta!$A$3:$A$24,0),1)*(I77+J77)*f_adblue,0)</f>
        <v>0</v>
      </c>
      <c r="M77" s="146">
        <f t="shared" si="3"/>
        <v>0</v>
      </c>
      <c r="N77" s="143" t="str">
        <f>IF(tuulisähkö_vuosi&lt;='S3 Tiekartta'!C77,"tuulisähkö",ostosähkö_nyt)</f>
        <v>jäännössähkö</v>
      </c>
      <c r="O77" s="147">
        <f>INDEX(Muuttujat!$J$5:$J$21,MATCH($C77,Muuttujat!$H$5:$H$21,0),1)</f>
        <v>67.8692025</v>
      </c>
      <c r="P77" s="148">
        <f t="shared" si="38"/>
        <v>0.97</v>
      </c>
      <c r="Q77" s="148">
        <f t="shared" si="39"/>
        <v>0.03</v>
      </c>
      <c r="R77" s="148">
        <f t="shared" si="40"/>
        <v>0.03</v>
      </c>
      <c r="S77" s="149">
        <f t="shared" si="29"/>
        <v>0</v>
      </c>
      <c r="T77" s="150">
        <f t="shared" si="30"/>
        <v>0</v>
      </c>
      <c r="U77" s="150">
        <f t="shared" si="31"/>
        <v>0</v>
      </c>
      <c r="V77" s="150">
        <f>IFERROR(INDEX(Työkonekanta!$J$3:$J$27,MATCH($A77,Työkonekanta!$A$3:$A$24,0),1)*$B77*ef_li_ion_akku/1000/1000/INDEX(Työkonekanta!$K$3:$K$27,MATCH($A77,Työkonekanta!$A$3:$A$24,0)),0)</f>
        <v>0</v>
      </c>
      <c r="W77" s="149">
        <f t="shared" si="7"/>
        <v>0</v>
      </c>
      <c r="X77" s="150">
        <f t="shared" si="8"/>
        <v>0</v>
      </c>
      <c r="Y77" s="151">
        <f t="shared" si="9"/>
        <v>0</v>
      </c>
      <c r="Z77" s="152">
        <f t="shared" si="41"/>
        <v>0</v>
      </c>
      <c r="AA77" s="179">
        <f t="shared" si="42"/>
        <v>0</v>
      </c>
      <c r="AB77" s="179">
        <f t="shared" si="43"/>
        <v>0</v>
      </c>
      <c r="AC77" s="180">
        <f t="shared" si="10"/>
        <v>0</v>
      </c>
      <c r="AD77" s="156">
        <f t="shared" si="44"/>
        <v>0</v>
      </c>
      <c r="AE77" s="146">
        <f>IFERROR(INDEX(Työkonekanta!$L$3:$L$30,MATCH($A77,Työkonekanta!$A$3:$A$30,0),1),0)*AF77</f>
        <v>0</v>
      </c>
      <c r="AF77" s="146">
        <f>IFERROR(INDEX(Työkonekanta!$N$3:$N$32,MATCH($A77,Työkonekanta!$A$3:$A$32,0),1),0)</f>
        <v>0</v>
      </c>
      <c r="AG77" s="332">
        <f>I77*INDEX(Muuttujat!$U$5:$U$21,MATCH($C77,Muuttujat!$N$5:$N$21,0),1)</f>
        <v>0</v>
      </c>
      <c r="AH77" s="332">
        <f>J77*INDEX(Muuttujat!$T$5:$T$21,MATCH($C77,Muuttujat!$N$5:$N$21,0),1)</f>
        <v>0</v>
      </c>
      <c r="AI77" s="332">
        <f t="shared" si="32"/>
        <v>0</v>
      </c>
      <c r="AJ77" s="332">
        <f t="shared" si="33"/>
        <v>0</v>
      </c>
      <c r="AK77" s="333">
        <f t="shared" si="45"/>
        <v>0</v>
      </c>
      <c r="AL77" s="332">
        <f t="shared" si="34"/>
        <v>0</v>
      </c>
      <c r="AM77" s="351"/>
      <c r="AN77" s="351"/>
    </row>
    <row r="78" spans="1:40">
      <c r="A78" s="139">
        <v>16</v>
      </c>
      <c r="B78" s="139">
        <f>IFERROR(IF((INDEX(Työkonekanta!$F$3:$F$27,MATCH('S3 Tiekartta'!$A78,Työkonekanta!$A$3:$A$24,0),1))&lt;0,0,(INDEX(Työkonekanta!$F$3:$F$27,MATCH('S3 Tiekartta'!$A78,Työkonekanta!$A$3:$A$24,0),1))),0)</f>
        <v>0</v>
      </c>
      <c r="C78" s="140">
        <v>2021</v>
      </c>
      <c r="D78" s="141" t="str">
        <f>IFERROR(INDEX(Työkonekanta!$D$3:$D$27,MATCH('S3 Tiekartta'!$A78,Työkonekanta!$A$3:$A$24,0),1),"undefined")</f>
        <v>sähkö</v>
      </c>
      <c r="E78" s="145">
        <f>IFERROR(INDEX(Työkonekanta!$G$3:$G$27,MATCH($A78,Työkonekanta!$A$3:$A$24,0),1)*INDEX(Työkonekanta!$H$3:$H$27,MATCH($A78,Työkonekanta!$A$3:$A$24,0),1)*(1+s0b_kasvu*($C78-2019))*$B78,0)</f>
        <v>0</v>
      </c>
      <c r="F78" s="145">
        <f t="shared" si="26"/>
        <v>0</v>
      </c>
      <c r="G78" s="151">
        <f t="shared" si="35"/>
        <v>0</v>
      </c>
      <c r="H78" s="145">
        <f t="shared" si="36"/>
        <v>0</v>
      </c>
      <c r="I78" s="145">
        <f t="shared" si="27"/>
        <v>0</v>
      </c>
      <c r="J78" s="145">
        <f t="shared" si="28"/>
        <v>0</v>
      </c>
      <c r="K78" s="142" t="str">
        <f t="shared" si="37"/>
        <v>kWh</v>
      </c>
      <c r="L78" s="146">
        <f>IFERROR(INDEX(Työkonekanta!$I$3:$I$27,MATCH('S3 Tiekartta'!$A78,Työkonekanta!$A$3:$A$24,0),1)*(I78+J78)*f_adblue,0)</f>
        <v>0</v>
      </c>
      <c r="M78" s="146">
        <f t="shared" si="3"/>
        <v>0</v>
      </c>
      <c r="N78" s="143" t="str">
        <f>IF(tuulisähkö_vuosi&lt;='S3 Tiekartta'!C78,"tuulisähkö",ostosähkö_nyt)</f>
        <v>jäännössähkö</v>
      </c>
      <c r="O78" s="147">
        <f>INDEX(Muuttujat!$J$5:$J$21,MATCH($C78,Muuttujat!$H$5:$H$21,0),1)</f>
        <v>67.8692025</v>
      </c>
      <c r="P78" s="148">
        <f t="shared" si="38"/>
        <v>0.97</v>
      </c>
      <c r="Q78" s="148">
        <f t="shared" si="39"/>
        <v>0.03</v>
      </c>
      <c r="R78" s="148">
        <f t="shared" si="40"/>
        <v>0.03</v>
      </c>
      <c r="S78" s="149">
        <f t="shared" si="29"/>
        <v>0</v>
      </c>
      <c r="T78" s="150">
        <f t="shared" si="30"/>
        <v>0</v>
      </c>
      <c r="U78" s="150">
        <f t="shared" si="31"/>
        <v>0</v>
      </c>
      <c r="V78" s="150">
        <f>IFERROR(INDEX(Työkonekanta!$J$3:$J$27,MATCH($A78,Työkonekanta!$A$3:$A$24,0),1)*$B78*ef_li_ion_akku/1000/1000/INDEX(Työkonekanta!$K$3:$K$27,MATCH($A78,Työkonekanta!$A$3:$A$24,0)),0)</f>
        <v>0</v>
      </c>
      <c r="W78" s="149">
        <f t="shared" si="7"/>
        <v>0</v>
      </c>
      <c r="X78" s="150">
        <f t="shared" si="8"/>
        <v>0</v>
      </c>
      <c r="Y78" s="151">
        <f t="shared" si="9"/>
        <v>0</v>
      </c>
      <c r="Z78" s="152">
        <f t="shared" si="41"/>
        <v>0</v>
      </c>
      <c r="AA78" s="179">
        <f t="shared" si="42"/>
        <v>0</v>
      </c>
      <c r="AB78" s="179">
        <f t="shared" si="43"/>
        <v>0</v>
      </c>
      <c r="AC78" s="180">
        <f t="shared" si="10"/>
        <v>0</v>
      </c>
      <c r="AD78" s="156">
        <f t="shared" si="44"/>
        <v>0</v>
      </c>
      <c r="AE78" s="146">
        <f>IFERROR(INDEX(Työkonekanta!$L$3:$L$30,MATCH($A78,Työkonekanta!$A$3:$A$30,0),1),0)*AF78</f>
        <v>0</v>
      </c>
      <c r="AF78" s="146">
        <f>IFERROR(INDEX(Työkonekanta!$N$3:$N$32,MATCH($A78,Työkonekanta!$A$3:$A$32,0),1),0)</f>
        <v>0</v>
      </c>
      <c r="AG78" s="332">
        <f>I78*INDEX(Muuttujat!$U$5:$U$21,MATCH($C78,Muuttujat!$N$5:$N$21,0),1)</f>
        <v>0</v>
      </c>
      <c r="AH78" s="332">
        <f>J78*INDEX(Muuttujat!$T$5:$T$21,MATCH($C78,Muuttujat!$N$5:$N$21,0),1)</f>
        <v>0</v>
      </c>
      <c r="AI78" s="332">
        <f t="shared" si="32"/>
        <v>0</v>
      </c>
      <c r="AJ78" s="332">
        <f t="shared" si="33"/>
        <v>0</v>
      </c>
      <c r="AK78" s="333">
        <f t="shared" si="45"/>
        <v>0</v>
      </c>
      <c r="AL78" s="332">
        <f t="shared" si="34"/>
        <v>0</v>
      </c>
      <c r="AM78" s="351"/>
      <c r="AN78" s="351"/>
    </row>
    <row r="79" spans="1:40">
      <c r="A79" s="139">
        <v>17</v>
      </c>
      <c r="B79" s="139">
        <f>IFERROR(IF((INDEX(Työkonekanta!$F$3:$F$27,MATCH('S3 Tiekartta'!$A79,Työkonekanta!$A$3:$A$24,0),1))&lt;0,0,(INDEX(Työkonekanta!$F$3:$F$27,MATCH('S3 Tiekartta'!$A79,Työkonekanta!$A$3:$A$24,0),1))),0)</f>
        <v>1</v>
      </c>
      <c r="C79" s="140">
        <v>2021</v>
      </c>
      <c r="D79" s="141" t="str">
        <f>IFERROR(INDEX(Työkonekanta!$D$3:$D$27,MATCH('S3 Tiekartta'!$A79,Työkonekanta!$A$3:$A$24,0),1),"undefined")</f>
        <v>pom</v>
      </c>
      <c r="E79" s="145">
        <f>IFERROR(INDEX(Työkonekanta!$G$3:$G$27,MATCH($A79,Työkonekanta!$A$3:$A$24,0),1)*INDEX(Työkonekanta!$H$3:$H$27,MATCH($A79,Työkonekanta!$A$3:$A$24,0),1)*(1+s0b_kasvu*($C79-2019))*$B79,0)</f>
        <v>10200</v>
      </c>
      <c r="F79" s="145">
        <f t="shared" si="26"/>
        <v>366180</v>
      </c>
      <c r="G79" s="151">
        <f t="shared" si="35"/>
        <v>355194.6</v>
      </c>
      <c r="H79" s="145">
        <f t="shared" si="36"/>
        <v>10985.4</v>
      </c>
      <c r="I79" s="145">
        <f t="shared" si="27"/>
        <v>9894</v>
      </c>
      <c r="J79" s="145">
        <f t="shared" si="28"/>
        <v>320.27405247813414</v>
      </c>
      <c r="K79" s="142" t="str">
        <f t="shared" si="37"/>
        <v>l</v>
      </c>
      <c r="L79" s="146">
        <f>IFERROR(INDEX(Työkonekanta!$I$3:$I$27,MATCH('S3 Tiekartta'!$A79,Työkonekanta!$A$3:$A$24,0),1)*(I79+J79)*f_adblue,0)</f>
        <v>510.71370262390678</v>
      </c>
      <c r="M79" s="146">
        <f t="shared" si="3"/>
        <v>0</v>
      </c>
      <c r="N79" s="143" t="str">
        <f>IF(tuulisähkö_vuosi&lt;='S3 Tiekartta'!C79,"tuulisähkö",ostosähkö_nyt)</f>
        <v>jäännössähkö</v>
      </c>
      <c r="O79" s="147">
        <f>INDEX(Muuttujat!$J$5:$J$21,MATCH($C79,Muuttujat!$H$5:$H$21,0),1)</f>
        <v>67.8692025</v>
      </c>
      <c r="P79" s="148">
        <f t="shared" si="38"/>
        <v>0.97</v>
      </c>
      <c r="Q79" s="148">
        <f t="shared" si="39"/>
        <v>0.03</v>
      </c>
      <c r="R79" s="148">
        <f t="shared" si="40"/>
        <v>0.03</v>
      </c>
      <c r="S79" s="149">
        <f t="shared" si="29"/>
        <v>6.7131779399999996</v>
      </c>
      <c r="T79" s="150">
        <f t="shared" si="30"/>
        <v>0.68548895999999993</v>
      </c>
      <c r="U79" s="150">
        <f t="shared" si="31"/>
        <v>0</v>
      </c>
      <c r="V79" s="150">
        <f>IFERROR(INDEX(Työkonekanta!$J$3:$J$27,MATCH($A79,Työkonekanta!$A$3:$A$24,0),1)*$B79*ef_li_ion_akku/1000/1000/INDEX(Työkonekanta!$K$3:$K$27,MATCH($A79,Työkonekanta!$A$3:$A$24,0)),0)</f>
        <v>0</v>
      </c>
      <c r="W79" s="149">
        <f t="shared" si="7"/>
        <v>26.2162933551684</v>
      </c>
      <c r="X79" s="150">
        <f t="shared" si="8"/>
        <v>0.32410057319999996</v>
      </c>
      <c r="Y79" s="151">
        <f t="shared" si="9"/>
        <v>0.13278556268221575</v>
      </c>
      <c r="Z79" s="152">
        <f t="shared" si="41"/>
        <v>7.3986668999999994</v>
      </c>
      <c r="AA79" s="179">
        <f t="shared" si="42"/>
        <v>26.349078917850616</v>
      </c>
      <c r="AB79" s="179">
        <f t="shared" si="43"/>
        <v>26.673179491050615</v>
      </c>
      <c r="AC79" s="180">
        <f t="shared" si="10"/>
        <v>33.747745817850614</v>
      </c>
      <c r="AD79" s="156">
        <f t="shared" si="44"/>
        <v>34.071846391050613</v>
      </c>
      <c r="AE79" s="146">
        <f>IFERROR(INDEX(Työkonekanta!$L$3:$L$30,MATCH($A79,Työkonekanta!$A$3:$A$30,0),1),0)*AF79</f>
        <v>500000</v>
      </c>
      <c r="AF79" s="146">
        <f>IFERROR(INDEX(Työkonekanta!$N$3:$N$32,MATCH($A79,Työkonekanta!$A$3:$A$32,0),1),0)</f>
        <v>1</v>
      </c>
      <c r="AG79" s="332">
        <f>I79*INDEX(Muuttujat!$U$5:$U$21,MATCH($C79,Muuttujat!$N$5:$N$21,0),1)</f>
        <v>9795.06</v>
      </c>
      <c r="AH79" s="332">
        <f>J79*INDEX(Muuttujat!$T$5:$T$21,MATCH($C79,Muuttujat!$N$5:$N$21,0),1)</f>
        <v>445.18093294460647</v>
      </c>
      <c r="AI79" s="332">
        <f t="shared" si="32"/>
        <v>255.35685131195339</v>
      </c>
      <c r="AJ79" s="332">
        <f t="shared" si="33"/>
        <v>0</v>
      </c>
      <c r="AK79" s="333">
        <f t="shared" si="45"/>
        <v>10495.597784256559</v>
      </c>
      <c r="AL79" s="332">
        <f t="shared" si="34"/>
        <v>10495.597784256559</v>
      </c>
      <c r="AM79" s="351"/>
      <c r="AN79" s="351"/>
    </row>
    <row r="80" spans="1:40">
      <c r="A80" s="139">
        <v>18</v>
      </c>
      <c r="B80" s="139">
        <f>IFERROR(IF((INDEX(Työkonekanta!$F$3:$F$27,MATCH('S3 Tiekartta'!$A80,Työkonekanta!$A$3:$A$24,0),1))&lt;0,0,(INDEX(Työkonekanta!$F$3:$F$27,MATCH('S3 Tiekartta'!$A80,Työkonekanta!$A$3:$A$24,0),1))),0)</f>
        <v>1</v>
      </c>
      <c r="C80" s="140">
        <v>2021</v>
      </c>
      <c r="D80" s="141" t="str">
        <f>IFERROR(INDEX(Työkonekanta!$D$3:$D$27,MATCH('S3 Tiekartta'!$A80,Työkonekanta!$A$3:$A$24,0),1),"undefined")</f>
        <v>pom</v>
      </c>
      <c r="E80" s="145">
        <f>IFERROR(INDEX(Työkonekanta!$G$3:$G$27,MATCH($A80,Työkonekanta!$A$3:$A$24,0),1)*INDEX(Työkonekanta!$H$3:$H$27,MATCH($A80,Työkonekanta!$A$3:$A$24,0),1)*(1+s0b_kasvu*($C80-2019))*$B80,0)</f>
        <v>10200</v>
      </c>
      <c r="F80" s="145">
        <f t="shared" si="26"/>
        <v>366180</v>
      </c>
      <c r="G80" s="151">
        <f t="shared" si="35"/>
        <v>355194.6</v>
      </c>
      <c r="H80" s="145">
        <f t="shared" si="36"/>
        <v>10985.4</v>
      </c>
      <c r="I80" s="145">
        <f t="shared" si="27"/>
        <v>9894</v>
      </c>
      <c r="J80" s="145">
        <f t="shared" si="28"/>
        <v>320.27405247813414</v>
      </c>
      <c r="K80" s="142" t="str">
        <f t="shared" si="37"/>
        <v>l</v>
      </c>
      <c r="L80" s="146">
        <f>IFERROR(INDEX(Työkonekanta!$I$3:$I$27,MATCH('S3 Tiekartta'!$A80,Työkonekanta!$A$3:$A$24,0),1)*(I80+J80)*f_adblue,0)</f>
        <v>408.57096209912544</v>
      </c>
      <c r="M80" s="146">
        <f t="shared" si="3"/>
        <v>0</v>
      </c>
      <c r="N80" s="143" t="str">
        <f>IF(tuulisähkö_vuosi&lt;='S3 Tiekartta'!C80,"tuulisähkö",ostosähkö_nyt)</f>
        <v>jäännössähkö</v>
      </c>
      <c r="O80" s="147">
        <f>INDEX(Muuttujat!$J$5:$J$21,MATCH($C80,Muuttujat!$H$5:$H$21,0),1)</f>
        <v>67.8692025</v>
      </c>
      <c r="P80" s="148">
        <f t="shared" si="38"/>
        <v>0.97</v>
      </c>
      <c r="Q80" s="148">
        <f t="shared" si="39"/>
        <v>0.03</v>
      </c>
      <c r="R80" s="148">
        <f t="shared" si="40"/>
        <v>0.03</v>
      </c>
      <c r="S80" s="149">
        <f t="shared" si="29"/>
        <v>6.7131779399999996</v>
      </c>
      <c r="T80" s="150">
        <f t="shared" si="30"/>
        <v>0.68548895999999993</v>
      </c>
      <c r="U80" s="150">
        <f t="shared" si="31"/>
        <v>0</v>
      </c>
      <c r="V80" s="150">
        <f>IFERROR(INDEX(Työkonekanta!$J$3:$J$27,MATCH($A80,Työkonekanta!$A$3:$A$24,0),1)*$B80*ef_li_ion_akku/1000/1000/INDEX(Työkonekanta!$K$3:$K$27,MATCH($A80,Työkonekanta!$A$3:$A$24,0)),0)</f>
        <v>0</v>
      </c>
      <c r="W80" s="149">
        <f t="shared" si="7"/>
        <v>26.2162933551684</v>
      </c>
      <c r="X80" s="150">
        <f t="shared" si="8"/>
        <v>0.32410057319999996</v>
      </c>
      <c r="Y80" s="151">
        <f t="shared" si="9"/>
        <v>0.10622845014577262</v>
      </c>
      <c r="Z80" s="152">
        <f t="shared" si="41"/>
        <v>7.3986668999999994</v>
      </c>
      <c r="AA80" s="179">
        <f t="shared" si="42"/>
        <v>26.322521805314171</v>
      </c>
      <c r="AB80" s="179">
        <f t="shared" si="43"/>
        <v>26.64662237851417</v>
      </c>
      <c r="AC80" s="180">
        <f t="shared" si="10"/>
        <v>33.721188705314169</v>
      </c>
      <c r="AD80" s="156">
        <f t="shared" si="44"/>
        <v>34.045289278514169</v>
      </c>
      <c r="AE80" s="146">
        <f>IFERROR(INDEX(Työkonekanta!$L$3:$L$30,MATCH($A80,Työkonekanta!$A$3:$A$30,0),1),0)*AF80</f>
        <v>500000</v>
      </c>
      <c r="AF80" s="146">
        <f>IFERROR(INDEX(Työkonekanta!$N$3:$N$32,MATCH($A80,Työkonekanta!$A$3:$A$32,0),1),0)</f>
        <v>1</v>
      </c>
      <c r="AG80" s="332">
        <f>I80*INDEX(Muuttujat!$U$5:$U$21,MATCH($C80,Muuttujat!$N$5:$N$21,0),1)</f>
        <v>9795.06</v>
      </c>
      <c r="AH80" s="332">
        <f>J80*INDEX(Muuttujat!$T$5:$T$21,MATCH($C80,Muuttujat!$N$5:$N$21,0),1)</f>
        <v>445.18093294460647</v>
      </c>
      <c r="AI80" s="332">
        <f t="shared" si="32"/>
        <v>204.28548104956272</v>
      </c>
      <c r="AJ80" s="332">
        <f t="shared" si="33"/>
        <v>0</v>
      </c>
      <c r="AK80" s="333">
        <f t="shared" si="45"/>
        <v>10444.526413994168</v>
      </c>
      <c r="AL80" s="332">
        <f t="shared" si="34"/>
        <v>10444.526413994168</v>
      </c>
      <c r="AM80" s="351"/>
      <c r="AN80" s="351"/>
    </row>
    <row r="81" spans="1:40">
      <c r="A81" s="139">
        <v>19</v>
      </c>
      <c r="B81" s="139">
        <f>IFERROR(IF((INDEX(Työkonekanta!$F$3:$F$27,MATCH('S3 Tiekartta'!$A81,Työkonekanta!$A$3:$A$24,0),1))&lt;0,0,(INDEX(Työkonekanta!$F$3:$F$27,MATCH('S3 Tiekartta'!$A81,Työkonekanta!$A$3:$A$24,0),1))),0)</f>
        <v>0</v>
      </c>
      <c r="C81" s="140">
        <v>2021</v>
      </c>
      <c r="D81" s="141" t="str">
        <f>IFERROR(INDEX(Työkonekanta!$D$3:$D$27,MATCH('S3 Tiekartta'!$A81,Työkonekanta!$A$3:$A$24,0),1),"undefined")</f>
        <v>pom</v>
      </c>
      <c r="E81" s="145">
        <f>IFERROR(INDEX(Työkonekanta!$G$3:$G$27,MATCH($A81,Työkonekanta!$A$3:$A$24,0),1)*INDEX(Työkonekanta!$H$3:$H$27,MATCH($A81,Työkonekanta!$A$3:$A$24,0),1)*(1+s0b_kasvu*($C81-2019))*$B81,0)</f>
        <v>0</v>
      </c>
      <c r="F81" s="145">
        <f t="shared" si="26"/>
        <v>0</v>
      </c>
      <c r="G81" s="151">
        <f t="shared" si="35"/>
        <v>0</v>
      </c>
      <c r="H81" s="145">
        <f t="shared" si="36"/>
        <v>0</v>
      </c>
      <c r="I81" s="145">
        <f t="shared" si="27"/>
        <v>0</v>
      </c>
      <c r="J81" s="145">
        <f t="shared" si="28"/>
        <v>0</v>
      </c>
      <c r="K81" s="142" t="str">
        <f t="shared" si="37"/>
        <v>l</v>
      </c>
      <c r="L81" s="146">
        <f>IFERROR(INDEX(Työkonekanta!$I$3:$I$27,MATCH('S3 Tiekartta'!$A81,Työkonekanta!$A$3:$A$24,0),1)*(I81+J81)*f_adblue,0)</f>
        <v>0</v>
      </c>
      <c r="M81" s="146">
        <f t="shared" si="3"/>
        <v>0</v>
      </c>
      <c r="N81" s="143" t="str">
        <f>IF(tuulisähkö_vuosi&lt;='S3 Tiekartta'!C81,"tuulisähkö",ostosähkö_nyt)</f>
        <v>jäännössähkö</v>
      </c>
      <c r="O81" s="147">
        <f>INDEX(Muuttujat!$J$5:$J$21,MATCH($C81,Muuttujat!$H$5:$H$21,0),1)</f>
        <v>67.8692025</v>
      </c>
      <c r="P81" s="148">
        <f t="shared" si="38"/>
        <v>0.97</v>
      </c>
      <c r="Q81" s="148">
        <f t="shared" si="39"/>
        <v>0.03</v>
      </c>
      <c r="R81" s="148">
        <f t="shared" si="40"/>
        <v>0.03</v>
      </c>
      <c r="S81" s="149">
        <f t="shared" si="29"/>
        <v>0</v>
      </c>
      <c r="T81" s="150">
        <f t="shared" si="30"/>
        <v>0</v>
      </c>
      <c r="U81" s="150">
        <f t="shared" si="31"/>
        <v>0</v>
      </c>
      <c r="V81" s="150">
        <f>IFERROR(INDEX(Työkonekanta!$J$3:$J$27,MATCH($A81,Työkonekanta!$A$3:$A$24,0),1)*$B81*ef_li_ion_akku/1000/1000/INDEX(Työkonekanta!$K$3:$K$27,MATCH($A81,Työkonekanta!$A$3:$A$24,0)),0)</f>
        <v>0</v>
      </c>
      <c r="W81" s="149">
        <f t="shared" si="7"/>
        <v>0</v>
      </c>
      <c r="X81" s="150">
        <f t="shared" si="8"/>
        <v>0</v>
      </c>
      <c r="Y81" s="151">
        <f t="shared" si="9"/>
        <v>0</v>
      </c>
      <c r="Z81" s="152">
        <f t="shared" si="41"/>
        <v>0</v>
      </c>
      <c r="AA81" s="179">
        <f t="shared" si="42"/>
        <v>0</v>
      </c>
      <c r="AB81" s="179">
        <f t="shared" si="43"/>
        <v>0</v>
      </c>
      <c r="AC81" s="180">
        <f t="shared" si="10"/>
        <v>0</v>
      </c>
      <c r="AD81" s="156">
        <f t="shared" si="44"/>
        <v>0</v>
      </c>
      <c r="AE81" s="146">
        <f>IFERROR(INDEX(Työkonekanta!$L$3:$L$30,MATCH($A81,Työkonekanta!$A$3:$A$30,0),1),0)*AF81</f>
        <v>0</v>
      </c>
      <c r="AF81" s="146">
        <f>IFERROR(INDEX(Työkonekanta!$N$3:$N$32,MATCH($A81,Työkonekanta!$A$3:$A$32,0),1),0)</f>
        <v>0</v>
      </c>
      <c r="AG81" s="332">
        <f>I81*INDEX(Muuttujat!$U$5:$U$21,MATCH($C81,Muuttujat!$N$5:$N$21,0),1)</f>
        <v>0</v>
      </c>
      <c r="AH81" s="332">
        <f>J81*INDEX(Muuttujat!$T$5:$T$21,MATCH($C81,Muuttujat!$N$5:$N$21,0),1)</f>
        <v>0</v>
      </c>
      <c r="AI81" s="332">
        <f t="shared" si="32"/>
        <v>0</v>
      </c>
      <c r="AJ81" s="332">
        <f t="shared" si="33"/>
        <v>0</v>
      </c>
      <c r="AK81" s="333">
        <f t="shared" si="45"/>
        <v>0</v>
      </c>
      <c r="AL81" s="332">
        <f t="shared" si="34"/>
        <v>0</v>
      </c>
      <c r="AM81" s="351"/>
      <c r="AN81" s="351"/>
    </row>
    <row r="82" spans="1:40">
      <c r="A82" s="139">
        <v>20</v>
      </c>
      <c r="B82" s="139">
        <f>IFERROR(IF((INDEX(Työkonekanta!$F$3:$F$27,MATCH('S3 Tiekartta'!$A82,Työkonekanta!$A$3:$A$24,0),1))&lt;0,0,(INDEX(Työkonekanta!$F$3:$F$27,MATCH('S3 Tiekartta'!$A82,Työkonekanta!$A$3:$A$24,0),1))),0)</f>
        <v>0</v>
      </c>
      <c r="C82" s="140">
        <v>2021</v>
      </c>
      <c r="D82" s="141" t="str">
        <f>IFERROR(INDEX(Työkonekanta!$D$3:$D$27,MATCH('S3 Tiekartta'!$A82,Työkonekanta!$A$3:$A$24,0),1),"undefined")</f>
        <v>pom</v>
      </c>
      <c r="E82" s="145">
        <f>IFERROR(INDEX(Työkonekanta!$G$3:$G$27,MATCH($A82,Työkonekanta!$A$3:$A$24,0),1)*INDEX(Työkonekanta!$H$3:$H$27,MATCH($A82,Työkonekanta!$A$3:$A$24,0),1)*(1+s0b_kasvu*($C82-2019))*$B82,0)</f>
        <v>0</v>
      </c>
      <c r="F82" s="145">
        <f t="shared" si="26"/>
        <v>0</v>
      </c>
      <c r="G82" s="151">
        <f t="shared" si="35"/>
        <v>0</v>
      </c>
      <c r="H82" s="145">
        <f t="shared" si="36"/>
        <v>0</v>
      </c>
      <c r="I82" s="145">
        <f t="shared" si="27"/>
        <v>0</v>
      </c>
      <c r="J82" s="145">
        <f t="shared" si="28"/>
        <v>0</v>
      </c>
      <c r="K82" s="142" t="str">
        <f t="shared" si="37"/>
        <v>l</v>
      </c>
      <c r="L82" s="146">
        <f>IFERROR(INDEX(Työkonekanta!$I$3:$I$27,MATCH('S3 Tiekartta'!$A82,Työkonekanta!$A$3:$A$24,0),1)*(I82+J82)*f_adblue,0)</f>
        <v>0</v>
      </c>
      <c r="M82" s="146">
        <f t="shared" si="3"/>
        <v>0</v>
      </c>
      <c r="N82" s="143" t="str">
        <f>IF(tuulisähkö_vuosi&lt;='S3 Tiekartta'!C82,"tuulisähkö",ostosähkö_nyt)</f>
        <v>jäännössähkö</v>
      </c>
      <c r="O82" s="147">
        <f>INDEX(Muuttujat!$J$5:$J$21,MATCH($C82,Muuttujat!$H$5:$H$21,0),1)</f>
        <v>67.8692025</v>
      </c>
      <c r="P82" s="148">
        <f t="shared" si="38"/>
        <v>0.97</v>
      </c>
      <c r="Q82" s="148">
        <f t="shared" si="39"/>
        <v>0.03</v>
      </c>
      <c r="R82" s="148">
        <f t="shared" si="40"/>
        <v>0.03</v>
      </c>
      <c r="S82" s="149">
        <f t="shared" si="29"/>
        <v>0</v>
      </c>
      <c r="T82" s="150">
        <f t="shared" si="30"/>
        <v>0</v>
      </c>
      <c r="U82" s="150">
        <f t="shared" si="31"/>
        <v>0</v>
      </c>
      <c r="V82" s="150">
        <f>IFERROR(INDEX(Työkonekanta!$J$3:$J$27,MATCH($A82,Työkonekanta!$A$3:$A$24,0),1)*$B82*ef_li_ion_akku/1000/1000/INDEX(Työkonekanta!$K$3:$K$27,MATCH($A82,Työkonekanta!$A$3:$A$24,0)),0)</f>
        <v>0</v>
      </c>
      <c r="W82" s="149">
        <f t="shared" si="7"/>
        <v>0</v>
      </c>
      <c r="X82" s="150">
        <f t="shared" si="8"/>
        <v>0</v>
      </c>
      <c r="Y82" s="151">
        <f t="shared" si="9"/>
        <v>0</v>
      </c>
      <c r="Z82" s="152">
        <f t="shared" si="41"/>
        <v>0</v>
      </c>
      <c r="AA82" s="179">
        <f t="shared" si="42"/>
        <v>0</v>
      </c>
      <c r="AB82" s="179">
        <f t="shared" si="43"/>
        <v>0</v>
      </c>
      <c r="AC82" s="180">
        <f t="shared" si="10"/>
        <v>0</v>
      </c>
      <c r="AD82" s="156">
        <f t="shared" si="44"/>
        <v>0</v>
      </c>
      <c r="AE82" s="146">
        <f>IFERROR(INDEX(Työkonekanta!$L$3:$L$30,MATCH($A82,Työkonekanta!$A$3:$A$30,0),1),0)*AF82</f>
        <v>0</v>
      </c>
      <c r="AF82" s="146">
        <f>IFERROR(INDEX(Työkonekanta!$N$3:$N$32,MATCH($A82,Työkonekanta!$A$3:$A$32,0),1),0)</f>
        <v>0</v>
      </c>
      <c r="AG82" s="332">
        <f>I82*INDEX(Muuttujat!$U$5:$U$21,MATCH($C82,Muuttujat!$N$5:$N$21,0),1)</f>
        <v>0</v>
      </c>
      <c r="AH82" s="332">
        <f>J82*INDEX(Muuttujat!$T$5:$T$21,MATCH($C82,Muuttujat!$N$5:$N$21,0),1)</f>
        <v>0</v>
      </c>
      <c r="AI82" s="332">
        <f t="shared" si="32"/>
        <v>0</v>
      </c>
      <c r="AJ82" s="332">
        <f t="shared" si="33"/>
        <v>0</v>
      </c>
      <c r="AK82" s="333">
        <f t="shared" si="45"/>
        <v>0</v>
      </c>
      <c r="AL82" s="332">
        <f t="shared" si="34"/>
        <v>0</v>
      </c>
      <c r="AM82" s="351"/>
      <c r="AN82" s="351"/>
    </row>
    <row r="83" spans="1:40">
      <c r="A83" s="139">
        <v>21</v>
      </c>
      <c r="B83" s="139">
        <f>IFERROR(IF((INDEX(Työkonekanta!$F$3:$F$27,MATCH('S3 Tiekartta'!$A83,Työkonekanta!$A$3:$A$24,0),1))&lt;0,0,(INDEX(Työkonekanta!$F$3:$F$27,MATCH('S3 Tiekartta'!$A83,Työkonekanta!$A$3:$A$24,0),1))),0)</f>
        <v>35</v>
      </c>
      <c r="C83" s="140">
        <v>2021</v>
      </c>
      <c r="D83" s="141" t="str">
        <f>IFERROR(INDEX(Työkonekanta!$D$3:$D$27,MATCH('S3 Tiekartta'!$A83,Työkonekanta!$A$3:$A$24,0),1),"undefined")</f>
        <v>sähkö</v>
      </c>
      <c r="E83" s="145">
        <f>IFERROR(INDEX(Työkonekanta!$G$3:$G$27,MATCH($A83,Työkonekanta!$A$3:$A$24,0),1)*INDEX(Työkonekanta!$H$3:$H$27,MATCH($A83,Työkonekanta!$A$3:$A$24,0),1)*(1+s0b_kasvu*($C83-2019))*$B83,0)</f>
        <v>415343.05555555556</v>
      </c>
      <c r="F83" s="145">
        <f t="shared" si="26"/>
        <v>0</v>
      </c>
      <c r="G83" s="151">
        <f t="shared" si="35"/>
        <v>0</v>
      </c>
      <c r="H83" s="145">
        <f t="shared" si="36"/>
        <v>0</v>
      </c>
      <c r="I83" s="145">
        <f t="shared" si="27"/>
        <v>0</v>
      </c>
      <c r="J83" s="145">
        <f t="shared" si="28"/>
        <v>0</v>
      </c>
      <c r="K83" s="142" t="str">
        <f t="shared" si="37"/>
        <v>kWh</v>
      </c>
      <c r="L83" s="146">
        <f>IFERROR(INDEX(Työkonekanta!$I$3:$I$27,MATCH('S3 Tiekartta'!$A83,Työkonekanta!$A$3:$A$24,0),1)*(I83+J83)*f_adblue,0)</f>
        <v>0</v>
      </c>
      <c r="M83" s="146">
        <f t="shared" ref="M83:M146" si="46">IF($D83="sähkö",conv_kwh_mj*$E83,0)</f>
        <v>1495235</v>
      </c>
      <c r="N83" s="143" t="str">
        <f>IF(tuulisähkö_vuosi&lt;='S3 Tiekartta'!C83,"tuulisähkö",ostosähkö_nyt)</f>
        <v>jäännössähkö</v>
      </c>
      <c r="O83" s="147">
        <f>INDEX(Muuttujat!$J$5:$J$21,MATCH($C83,Muuttujat!$H$5:$H$21,0),1)</f>
        <v>67.8692025</v>
      </c>
      <c r="P83" s="148">
        <f t="shared" si="38"/>
        <v>0.97</v>
      </c>
      <c r="Q83" s="148">
        <f t="shared" si="39"/>
        <v>0.03</v>
      </c>
      <c r="R83" s="148">
        <f t="shared" si="40"/>
        <v>0.03</v>
      </c>
      <c r="S83" s="149">
        <f t="shared" si="29"/>
        <v>0</v>
      </c>
      <c r="T83" s="150">
        <f t="shared" si="30"/>
        <v>0</v>
      </c>
      <c r="U83" s="150">
        <f t="shared" si="31"/>
        <v>101.4804070000875</v>
      </c>
      <c r="V83" s="150">
        <f>IFERROR(INDEX(Työkonekanta!$J$3:$J$27,MATCH($A83,Työkonekanta!$A$3:$A$24,0),1)*$B83*ef_li_ion_akku/1000/1000/INDEX(Työkonekanta!$K$3:$K$27,MATCH($A83,Työkonekanta!$A$3:$A$24,0)),0)</f>
        <v>43.121723076923082</v>
      </c>
      <c r="W83" s="149">
        <f t="shared" ref="W83:W146" si="47">($I83*IF($D83="pom",ef_v_co2_pom,0))/1000/1000</f>
        <v>0</v>
      </c>
      <c r="X83" s="150">
        <f t="shared" ref="X83:X146" si="48">($E83*(IF($D83="pom",ef_v_ch4_pom,0)*gwp100_ch4+IF($D83="pom",ef_v_n2o_pom,0)*gwp100_n2o))/1000/1000</f>
        <v>0</v>
      </c>
      <c r="Y83" s="151">
        <f t="shared" ref="Y83:Y146" si="49">$L83*ef_v_co2_adblue/1000/1000</f>
        <v>0</v>
      </c>
      <c r="Z83" s="152">
        <f t="shared" si="41"/>
        <v>144.60213007701057</v>
      </c>
      <c r="AA83" s="179">
        <f t="shared" si="42"/>
        <v>0</v>
      </c>
      <c r="AB83" s="179">
        <f t="shared" si="43"/>
        <v>0</v>
      </c>
      <c r="AC83" s="180">
        <f t="shared" ref="AC83:AC146" si="50">$Z83+$AA83</f>
        <v>144.60213007701057</v>
      </c>
      <c r="AD83" s="156">
        <f t="shared" si="44"/>
        <v>144.60213007701057</v>
      </c>
      <c r="AE83" s="146">
        <f>IFERROR(INDEX(Työkonekanta!$L$3:$L$30,MATCH($A83,Työkonekanta!$A$3:$A$30,0),1),0)*AF83</f>
        <v>1820000</v>
      </c>
      <c r="AF83" s="146">
        <f>IFERROR(INDEX(Työkonekanta!$N$3:$N$32,MATCH($A83,Työkonekanta!$A$3:$A$32,0),1),0)</f>
        <v>7</v>
      </c>
      <c r="AG83" s="332">
        <f>I83*INDEX(Muuttujat!$U$5:$U$21,MATCH($C83,Muuttujat!$N$5:$N$21,0),1)</f>
        <v>0</v>
      </c>
      <c r="AH83" s="332">
        <f>J83*INDEX(Muuttujat!$T$5:$T$21,MATCH($C83,Muuttujat!$N$5:$N$21,0),1)</f>
        <v>0</v>
      </c>
      <c r="AI83" s="332">
        <f t="shared" si="32"/>
        <v>0</v>
      </c>
      <c r="AJ83" s="332">
        <f t="shared" si="33"/>
        <v>36757.86041666667</v>
      </c>
      <c r="AK83" s="333">
        <f t="shared" si="45"/>
        <v>36757.86041666667</v>
      </c>
      <c r="AL83" s="332">
        <f t="shared" si="34"/>
        <v>1050.2245833333334</v>
      </c>
      <c r="AM83" s="351"/>
      <c r="AN83" s="351"/>
    </row>
    <row r="84" spans="1:40">
      <c r="A84" s="139">
        <v>22</v>
      </c>
      <c r="B84" s="139">
        <f>IFERROR(IF((INDEX(Työkonekanta!$F$3:$F$27,MATCH('S3 Tiekartta'!$A84,Työkonekanta!$A$3:$A$24,0),1))&lt;0,0,(INDEX(Työkonekanta!$F$3:$F$27,MATCH('S3 Tiekartta'!$A84,Työkonekanta!$A$3:$A$24,0),1))),0)</f>
        <v>0</v>
      </c>
      <c r="C84" s="140">
        <v>2021</v>
      </c>
      <c r="D84" s="141" t="str">
        <f>IFERROR(INDEX(Työkonekanta!$D$3:$D$27,MATCH('S3 Tiekartta'!$A84,Työkonekanta!$A$3:$A$24,0),1),"undefined")</f>
        <v>sähkö</v>
      </c>
      <c r="E84" s="145">
        <f>IFERROR(INDEX(Työkonekanta!$G$3:$G$27,MATCH($A84,Työkonekanta!$A$3:$A$24,0),1)*INDEX(Työkonekanta!$H$3:$H$27,MATCH($A84,Työkonekanta!$A$3:$A$24,0),1)*(1+s0b_kasvu*($C84-2019))*$B84,0)</f>
        <v>0</v>
      </c>
      <c r="F84" s="145">
        <f t="shared" si="26"/>
        <v>0</v>
      </c>
      <c r="G84" s="151">
        <f t="shared" si="35"/>
        <v>0</v>
      </c>
      <c r="H84" s="145">
        <f t="shared" si="36"/>
        <v>0</v>
      </c>
      <c r="I84" s="145">
        <f t="shared" si="27"/>
        <v>0</v>
      </c>
      <c r="J84" s="145">
        <f t="shared" si="28"/>
        <v>0</v>
      </c>
      <c r="K84" s="142" t="str">
        <f t="shared" si="37"/>
        <v>kWh</v>
      </c>
      <c r="L84" s="146">
        <f>IFERROR(INDEX(Työkonekanta!$I$3:$I$27,MATCH('S3 Tiekartta'!$A84,Työkonekanta!$A$3:$A$24,0),1)*(I84+J84)*f_adblue,0)</f>
        <v>0</v>
      </c>
      <c r="M84" s="146">
        <f t="shared" si="46"/>
        <v>0</v>
      </c>
      <c r="N84" s="143" t="str">
        <f>IF(tuulisähkö_vuosi&lt;='S3 Tiekartta'!C84,"tuulisähkö",ostosähkö_nyt)</f>
        <v>jäännössähkö</v>
      </c>
      <c r="O84" s="147">
        <f>INDEX(Muuttujat!$J$5:$J$21,MATCH($C84,Muuttujat!$H$5:$H$21,0),1)</f>
        <v>67.8692025</v>
      </c>
      <c r="P84" s="148">
        <f t="shared" si="38"/>
        <v>0.97</v>
      </c>
      <c r="Q84" s="148">
        <f t="shared" si="39"/>
        <v>0.03</v>
      </c>
      <c r="R84" s="148">
        <f t="shared" si="40"/>
        <v>0.03</v>
      </c>
      <c r="S84" s="149">
        <f t="shared" si="29"/>
        <v>0</v>
      </c>
      <c r="T84" s="150">
        <f t="shared" si="30"/>
        <v>0</v>
      </c>
      <c r="U84" s="150">
        <f t="shared" si="31"/>
        <v>0</v>
      </c>
      <c r="V84" s="150">
        <f>IFERROR(INDEX(Työkonekanta!$J$3:$J$27,MATCH($A84,Työkonekanta!$A$3:$A$24,0),1)*$B84*ef_li_ion_akku/1000/1000/INDEX(Työkonekanta!$K$3:$K$27,MATCH($A84,Työkonekanta!$A$3:$A$24,0)),0)</f>
        <v>0</v>
      </c>
      <c r="W84" s="149">
        <f t="shared" si="47"/>
        <v>0</v>
      </c>
      <c r="X84" s="150">
        <f t="shared" si="48"/>
        <v>0</v>
      </c>
      <c r="Y84" s="151">
        <f t="shared" si="49"/>
        <v>0</v>
      </c>
      <c r="Z84" s="152">
        <f t="shared" si="41"/>
        <v>0</v>
      </c>
      <c r="AA84" s="179">
        <f t="shared" si="42"/>
        <v>0</v>
      </c>
      <c r="AB84" s="179">
        <f t="shared" si="43"/>
        <v>0</v>
      </c>
      <c r="AC84" s="180">
        <f t="shared" si="50"/>
        <v>0</v>
      </c>
      <c r="AD84" s="156">
        <f t="shared" si="44"/>
        <v>0</v>
      </c>
      <c r="AE84" s="146">
        <f>IFERROR(INDEX(Työkonekanta!$L$3:$L$30,MATCH($A84,Työkonekanta!$A$3:$A$30,0),1),0)*AF84</f>
        <v>0</v>
      </c>
      <c r="AF84" s="146">
        <f>IFERROR(INDEX(Työkonekanta!$N$3:$N$32,MATCH($A84,Työkonekanta!$A$3:$A$32,0),1),0)</f>
        <v>0</v>
      </c>
      <c r="AG84" s="332">
        <f>I84*INDEX(Muuttujat!$U$5:$U$21,MATCH($C84,Muuttujat!$N$5:$N$21,0),1)</f>
        <v>0</v>
      </c>
      <c r="AH84" s="332">
        <f>J84*INDEX(Muuttujat!$T$5:$T$21,MATCH($C84,Muuttujat!$N$5:$N$21,0),1)</f>
        <v>0</v>
      </c>
      <c r="AI84" s="332">
        <f t="shared" si="32"/>
        <v>0</v>
      </c>
      <c r="AJ84" s="332">
        <f t="shared" si="33"/>
        <v>0</v>
      </c>
      <c r="AK84" s="333">
        <f t="shared" si="45"/>
        <v>0</v>
      </c>
      <c r="AL84" s="332">
        <f t="shared" si="34"/>
        <v>0</v>
      </c>
      <c r="AM84" s="351"/>
      <c r="AN84" s="351"/>
    </row>
    <row r="85" spans="1:40">
      <c r="A85" s="139">
        <v>23</v>
      </c>
      <c r="B85" s="139">
        <f>IFERROR(IF((INDEX(Työkonekanta!$F$3:$F$27,MATCH('S3 Tiekartta'!$A85,Työkonekanta!$A$3:$A$24,0),1))&lt;0,0,(INDEX(Työkonekanta!$F$3:$F$27,MATCH('S3 Tiekartta'!$A85,Työkonekanta!$A$3:$A$24,0),1))),0)</f>
        <v>0</v>
      </c>
      <c r="C85" s="140">
        <v>2021</v>
      </c>
      <c r="D85" s="141" t="str">
        <f>IFERROR(INDEX(Työkonekanta!$D$3:$D$27,MATCH('S3 Tiekartta'!$A85,Työkonekanta!$A$3:$A$24,0),1),"undefined")</f>
        <v>undefined</v>
      </c>
      <c r="E85" s="145">
        <f>IFERROR(INDEX(Työkonekanta!$G$3:$G$27,MATCH($A85,Työkonekanta!$A$3:$A$24,0),1)*INDEX(Työkonekanta!$H$3:$H$27,MATCH($A85,Työkonekanta!$A$3:$A$24,0),1)*(1+s0b_kasvu*($C85-2019))*$B85,0)</f>
        <v>0</v>
      </c>
      <c r="F85" s="145">
        <f t="shared" si="26"/>
        <v>0</v>
      </c>
      <c r="G85" s="151">
        <f t="shared" si="35"/>
        <v>0</v>
      </c>
      <c r="H85" s="145">
        <f t="shared" si="36"/>
        <v>0</v>
      </c>
      <c r="I85" s="145">
        <f t="shared" si="27"/>
        <v>0</v>
      </c>
      <c r="J85" s="145">
        <f t="shared" si="28"/>
        <v>0</v>
      </c>
      <c r="K85" s="142" t="str">
        <f t="shared" si="37"/>
        <v>undefined</v>
      </c>
      <c r="L85" s="146">
        <f>IFERROR(INDEX(Työkonekanta!$I$3:$I$27,MATCH('S3 Tiekartta'!$A85,Työkonekanta!$A$3:$A$24,0),1)*(I85+J85)*f_adblue,0)</f>
        <v>0</v>
      </c>
      <c r="M85" s="146">
        <f t="shared" si="46"/>
        <v>0</v>
      </c>
      <c r="N85" s="143" t="str">
        <f>IF(tuulisähkö_vuosi&lt;='S3 Tiekartta'!C85,"tuulisähkö",ostosähkö_nyt)</f>
        <v>jäännössähkö</v>
      </c>
      <c r="O85" s="147">
        <f>INDEX(Muuttujat!$J$5:$J$21,MATCH($C85,Muuttujat!$H$5:$H$21,0),1)</f>
        <v>67.8692025</v>
      </c>
      <c r="P85" s="148">
        <f t="shared" si="38"/>
        <v>0.97</v>
      </c>
      <c r="Q85" s="148">
        <f t="shared" si="39"/>
        <v>0.03</v>
      </c>
      <c r="R85" s="148">
        <f t="shared" si="40"/>
        <v>0.03</v>
      </c>
      <c r="S85" s="149">
        <f t="shared" si="29"/>
        <v>0</v>
      </c>
      <c r="T85" s="150">
        <f t="shared" si="30"/>
        <v>0</v>
      </c>
      <c r="U85" s="150">
        <f t="shared" si="31"/>
        <v>0</v>
      </c>
      <c r="V85" s="150">
        <f>IFERROR(INDEX(Työkonekanta!$J$3:$J$27,MATCH($A85,Työkonekanta!$A$3:$A$24,0),1)*$B85*ef_li_ion_akku/1000/1000/INDEX(Työkonekanta!$K$3:$K$27,MATCH($A85,Työkonekanta!$A$3:$A$24,0)),0)</f>
        <v>0</v>
      </c>
      <c r="W85" s="149">
        <f t="shared" si="47"/>
        <v>0</v>
      </c>
      <c r="X85" s="150">
        <f t="shared" si="48"/>
        <v>0</v>
      </c>
      <c r="Y85" s="151">
        <f t="shared" si="49"/>
        <v>0</v>
      </c>
      <c r="Z85" s="152">
        <f t="shared" si="41"/>
        <v>0</v>
      </c>
      <c r="AA85" s="179">
        <f t="shared" si="42"/>
        <v>0</v>
      </c>
      <c r="AB85" s="179">
        <f t="shared" si="43"/>
        <v>0</v>
      </c>
      <c r="AC85" s="180">
        <f t="shared" si="50"/>
        <v>0</v>
      </c>
      <c r="AD85" s="156">
        <f t="shared" si="44"/>
        <v>0</v>
      </c>
      <c r="AE85" s="146">
        <f>IFERROR(INDEX(Työkonekanta!$L$3:$L$30,MATCH($A85,Työkonekanta!$A$3:$A$30,0),1),0)*AF85</f>
        <v>0</v>
      </c>
      <c r="AF85" s="146">
        <f>IFERROR(INDEX(Työkonekanta!$N$3:$N$32,MATCH($A85,Työkonekanta!$A$3:$A$32,0),1),0)</f>
        <v>0</v>
      </c>
      <c r="AG85" s="332">
        <f>I85*INDEX(Muuttujat!$U$5:$U$21,MATCH($C85,Muuttujat!$N$5:$N$21,0),1)</f>
        <v>0</v>
      </c>
      <c r="AH85" s="332">
        <f>J85*INDEX(Muuttujat!$T$5:$T$21,MATCH($C85,Muuttujat!$N$5:$N$21,0),1)</f>
        <v>0</v>
      </c>
      <c r="AI85" s="332">
        <f t="shared" si="32"/>
        <v>0</v>
      </c>
      <c r="AJ85" s="332">
        <f t="shared" si="33"/>
        <v>0</v>
      </c>
      <c r="AK85" s="333">
        <f t="shared" si="45"/>
        <v>0</v>
      </c>
      <c r="AL85" s="332">
        <f t="shared" si="34"/>
        <v>0</v>
      </c>
      <c r="AM85" s="351"/>
      <c r="AN85" s="351"/>
    </row>
    <row r="86" spans="1:40">
      <c r="A86" s="139">
        <v>24</v>
      </c>
      <c r="B86" s="139">
        <f>IFERROR(IF((INDEX(Työkonekanta!$F$3:$F$27,MATCH('S3 Tiekartta'!$A86,Työkonekanta!$A$3:$A$24,0),1))&lt;0,0,(INDEX(Työkonekanta!$F$3:$F$27,MATCH('S3 Tiekartta'!$A86,Työkonekanta!$A$3:$A$24,0),1))),0)</f>
        <v>0</v>
      </c>
      <c r="C86" s="140">
        <v>2021</v>
      </c>
      <c r="D86" s="141" t="str">
        <f>IFERROR(INDEX(Työkonekanta!$D$3:$D$27,MATCH('S3 Tiekartta'!$A86,Työkonekanta!$A$3:$A$24,0),1),"undefined")</f>
        <v>undefined</v>
      </c>
      <c r="E86" s="145">
        <f>IFERROR(INDEX(Työkonekanta!$G$3:$G$27,MATCH($A86,Työkonekanta!$A$3:$A$24,0),1)*INDEX(Työkonekanta!$H$3:$H$27,MATCH($A86,Työkonekanta!$A$3:$A$24,0),1)*(1+s0b_kasvu*($C86-2019))*$B86,0)</f>
        <v>0</v>
      </c>
      <c r="F86" s="145">
        <f t="shared" si="26"/>
        <v>0</v>
      </c>
      <c r="G86" s="151">
        <f t="shared" si="35"/>
        <v>0</v>
      </c>
      <c r="H86" s="145">
        <f t="shared" si="36"/>
        <v>0</v>
      </c>
      <c r="I86" s="145">
        <f t="shared" si="27"/>
        <v>0</v>
      </c>
      <c r="J86" s="145">
        <f t="shared" si="28"/>
        <v>0</v>
      </c>
      <c r="K86" s="142" t="str">
        <f t="shared" si="37"/>
        <v>undefined</v>
      </c>
      <c r="L86" s="146">
        <f>IFERROR(INDEX(Työkonekanta!$I$3:$I$27,MATCH('S3 Tiekartta'!$A86,Työkonekanta!$A$3:$A$24,0),1)*(I86+J86)*f_adblue,0)</f>
        <v>0</v>
      </c>
      <c r="M86" s="146">
        <f t="shared" si="46"/>
        <v>0</v>
      </c>
      <c r="N86" s="143" t="str">
        <f>IF(tuulisähkö_vuosi&lt;='S3 Tiekartta'!C86,"tuulisähkö",ostosähkö_nyt)</f>
        <v>jäännössähkö</v>
      </c>
      <c r="O86" s="147">
        <f>INDEX(Muuttujat!$J$5:$J$21,MATCH($C86,Muuttujat!$H$5:$H$21,0),1)</f>
        <v>67.8692025</v>
      </c>
      <c r="P86" s="148">
        <f t="shared" si="38"/>
        <v>0.97</v>
      </c>
      <c r="Q86" s="148">
        <f t="shared" si="39"/>
        <v>0.03</v>
      </c>
      <c r="R86" s="148">
        <f t="shared" si="40"/>
        <v>0.03</v>
      </c>
      <c r="S86" s="149">
        <f t="shared" si="29"/>
        <v>0</v>
      </c>
      <c r="T86" s="150">
        <f t="shared" si="30"/>
        <v>0</v>
      </c>
      <c r="U86" s="150">
        <f t="shared" si="31"/>
        <v>0</v>
      </c>
      <c r="V86" s="150">
        <f>IFERROR(INDEX(Työkonekanta!$J$3:$J$27,MATCH($A86,Työkonekanta!$A$3:$A$24,0),1)*$B86*ef_li_ion_akku/1000/1000/INDEX(Työkonekanta!$K$3:$K$27,MATCH($A86,Työkonekanta!$A$3:$A$24,0)),0)</f>
        <v>0</v>
      </c>
      <c r="W86" s="149">
        <f t="shared" si="47"/>
        <v>0</v>
      </c>
      <c r="X86" s="150">
        <f t="shared" si="48"/>
        <v>0</v>
      </c>
      <c r="Y86" s="151">
        <f t="shared" si="49"/>
        <v>0</v>
      </c>
      <c r="Z86" s="152">
        <f t="shared" si="41"/>
        <v>0</v>
      </c>
      <c r="AA86" s="179">
        <f t="shared" si="42"/>
        <v>0</v>
      </c>
      <c r="AB86" s="179">
        <f t="shared" si="43"/>
        <v>0</v>
      </c>
      <c r="AC86" s="180">
        <f t="shared" si="50"/>
        <v>0</v>
      </c>
      <c r="AD86" s="156">
        <f t="shared" si="44"/>
        <v>0</v>
      </c>
      <c r="AE86" s="146">
        <f>IFERROR(INDEX(Työkonekanta!$L$3:$L$30,MATCH($A86,Työkonekanta!$A$3:$A$30,0),1),0)*AF86</f>
        <v>0</v>
      </c>
      <c r="AF86" s="146">
        <f>IFERROR(INDEX(Työkonekanta!$N$3:$N$32,MATCH($A86,Työkonekanta!$A$3:$A$32,0),1),0)</f>
        <v>0</v>
      </c>
      <c r="AG86" s="332">
        <f>I86*INDEX(Muuttujat!$U$5:$U$21,MATCH($C86,Muuttujat!$N$5:$N$21,0),1)</f>
        <v>0</v>
      </c>
      <c r="AH86" s="332">
        <f>J86*INDEX(Muuttujat!$T$5:$T$21,MATCH($C86,Muuttujat!$N$5:$N$21,0),1)</f>
        <v>0</v>
      </c>
      <c r="AI86" s="332">
        <f t="shared" si="32"/>
        <v>0</v>
      </c>
      <c r="AJ86" s="332">
        <f t="shared" si="33"/>
        <v>0</v>
      </c>
      <c r="AK86" s="333">
        <f t="shared" si="45"/>
        <v>0</v>
      </c>
      <c r="AL86" s="332">
        <f t="shared" si="34"/>
        <v>0</v>
      </c>
      <c r="AM86" s="351"/>
      <c r="AN86" s="351"/>
    </row>
    <row r="87" spans="1:40">
      <c r="A87" s="139">
        <v>25</v>
      </c>
      <c r="B87" s="139">
        <f>IFERROR(IF((INDEX(Työkonekanta!$F$3:$F$27,MATCH('S3 Tiekartta'!$A87,Työkonekanta!$A$3:$A$24,0),1))&lt;0,0,(INDEX(Työkonekanta!$F$3:$F$27,MATCH('S3 Tiekartta'!$A87,Työkonekanta!$A$3:$A$24,0),1))),0)</f>
        <v>0</v>
      </c>
      <c r="C87" s="140">
        <v>2021</v>
      </c>
      <c r="D87" s="141" t="str">
        <f>IFERROR(INDEX(Työkonekanta!$D$3:$D$27,MATCH('S3 Tiekartta'!$A87,Työkonekanta!$A$3:$A$24,0),1),"undefined")</f>
        <v>undefined</v>
      </c>
      <c r="E87" s="145">
        <f>IFERROR(INDEX(Työkonekanta!$G$3:$G$27,MATCH($A87,Työkonekanta!$A$3:$A$24,0),1)*INDEX(Työkonekanta!$H$3:$H$27,MATCH($A87,Työkonekanta!$A$3:$A$24,0),1)*(1+s0b_kasvu*($C87-2019))*$B87,0)</f>
        <v>0</v>
      </c>
      <c r="F87" s="145">
        <f t="shared" si="26"/>
        <v>0</v>
      </c>
      <c r="G87" s="151">
        <f t="shared" si="35"/>
        <v>0</v>
      </c>
      <c r="H87" s="145">
        <f t="shared" si="36"/>
        <v>0</v>
      </c>
      <c r="I87" s="145">
        <f t="shared" si="27"/>
        <v>0</v>
      </c>
      <c r="J87" s="145">
        <f t="shared" si="28"/>
        <v>0</v>
      </c>
      <c r="K87" s="142" t="str">
        <f t="shared" si="37"/>
        <v>undefined</v>
      </c>
      <c r="L87" s="146">
        <f>IFERROR(INDEX(Työkonekanta!$I$3:$I$27,MATCH('S3 Tiekartta'!$A87,Työkonekanta!$A$3:$A$24,0),1)*(I87+J87)*f_adblue,0)</f>
        <v>0</v>
      </c>
      <c r="M87" s="146">
        <f t="shared" si="46"/>
        <v>0</v>
      </c>
      <c r="N87" s="143" t="str">
        <f>IF(tuulisähkö_vuosi&lt;='S3 Tiekartta'!C87,"tuulisähkö",ostosähkö_nyt)</f>
        <v>jäännössähkö</v>
      </c>
      <c r="O87" s="147">
        <f>INDEX(Muuttujat!$J$5:$J$21,MATCH($C87,Muuttujat!$H$5:$H$21,0),1)</f>
        <v>67.8692025</v>
      </c>
      <c r="P87" s="148">
        <f t="shared" si="38"/>
        <v>0.97</v>
      </c>
      <c r="Q87" s="148">
        <f t="shared" si="39"/>
        <v>0.03</v>
      </c>
      <c r="R87" s="148">
        <f t="shared" si="40"/>
        <v>0.03</v>
      </c>
      <c r="S87" s="149">
        <f t="shared" si="29"/>
        <v>0</v>
      </c>
      <c r="T87" s="150">
        <f t="shared" si="30"/>
        <v>0</v>
      </c>
      <c r="U87" s="150">
        <f t="shared" si="31"/>
        <v>0</v>
      </c>
      <c r="V87" s="150">
        <f>IFERROR(INDEX(Työkonekanta!$J$3:$J$27,MATCH($A87,Työkonekanta!$A$3:$A$24,0),1)*$B87*ef_li_ion_akku/1000/1000/INDEX(Työkonekanta!$K$3:$K$27,MATCH($A87,Työkonekanta!$A$3:$A$24,0)),0)</f>
        <v>0</v>
      </c>
      <c r="W87" s="149">
        <f t="shared" si="47"/>
        <v>0</v>
      </c>
      <c r="X87" s="150">
        <f t="shared" si="48"/>
        <v>0</v>
      </c>
      <c r="Y87" s="151">
        <f t="shared" si="49"/>
        <v>0</v>
      </c>
      <c r="Z87" s="152">
        <f t="shared" si="41"/>
        <v>0</v>
      </c>
      <c r="AA87" s="179">
        <f t="shared" si="42"/>
        <v>0</v>
      </c>
      <c r="AB87" s="179">
        <f t="shared" si="43"/>
        <v>0</v>
      </c>
      <c r="AC87" s="180">
        <f t="shared" si="50"/>
        <v>0</v>
      </c>
      <c r="AD87" s="156">
        <f t="shared" si="44"/>
        <v>0</v>
      </c>
      <c r="AE87" s="146">
        <f>IFERROR(INDEX(Työkonekanta!$L$3:$L$30,MATCH($A87,Työkonekanta!$A$3:$A$30,0),1),0)*AF87</f>
        <v>0</v>
      </c>
      <c r="AF87" s="146">
        <f>IFERROR(INDEX(Työkonekanta!$N$3:$N$32,MATCH($A87,Työkonekanta!$A$3:$A$32,0),1),0)</f>
        <v>0</v>
      </c>
      <c r="AG87" s="332">
        <f>I87*INDEX(Muuttujat!$U$5:$U$21,MATCH($C87,Muuttujat!$N$5:$N$21,0),1)</f>
        <v>0</v>
      </c>
      <c r="AH87" s="332">
        <f>J87*INDEX(Muuttujat!$T$5:$T$21,MATCH($C87,Muuttujat!$N$5:$N$21,0),1)</f>
        <v>0</v>
      </c>
      <c r="AI87" s="332">
        <f t="shared" si="32"/>
        <v>0</v>
      </c>
      <c r="AJ87" s="332">
        <f t="shared" si="33"/>
        <v>0</v>
      </c>
      <c r="AK87" s="333">
        <f t="shared" si="45"/>
        <v>0</v>
      </c>
      <c r="AL87" s="332">
        <f t="shared" si="34"/>
        <v>0</v>
      </c>
      <c r="AM87" s="351"/>
      <c r="AN87" s="351"/>
    </row>
    <row r="88" spans="1:40">
      <c r="A88" s="139">
        <v>26</v>
      </c>
      <c r="B88" s="139">
        <f>IFERROR(IF((INDEX(Työkonekanta!$F$3:$F$27,MATCH('S3 Tiekartta'!$A88,Työkonekanta!$A$3:$A$24,0),1))&lt;0,0,(INDEX(Työkonekanta!$F$3:$F$27,MATCH('S3 Tiekartta'!$A88,Työkonekanta!$A$3:$A$24,0),1))),0)</f>
        <v>0</v>
      </c>
      <c r="C88" s="140">
        <v>2021</v>
      </c>
      <c r="D88" s="141" t="str">
        <f>IFERROR(INDEX(Työkonekanta!$D$3:$D$27,MATCH('S3 Tiekartta'!$A88,Työkonekanta!$A$3:$A$24,0),1),"undefined")</f>
        <v>undefined</v>
      </c>
      <c r="E88" s="145">
        <f>IFERROR(INDEX(Työkonekanta!$G$3:$G$27,MATCH($A88,Työkonekanta!$A$3:$A$24,0),1)*INDEX(Työkonekanta!$H$3:$H$27,MATCH($A88,Työkonekanta!$A$3:$A$24,0),1)*(1+s0b_kasvu*($C88-2019))*$B88,0)</f>
        <v>0</v>
      </c>
      <c r="F88" s="145">
        <f t="shared" si="26"/>
        <v>0</v>
      </c>
      <c r="G88" s="151">
        <f t="shared" si="35"/>
        <v>0</v>
      </c>
      <c r="H88" s="145">
        <f t="shared" si="36"/>
        <v>0</v>
      </c>
      <c r="I88" s="145">
        <f t="shared" si="27"/>
        <v>0</v>
      </c>
      <c r="J88" s="145">
        <f t="shared" si="28"/>
        <v>0</v>
      </c>
      <c r="K88" s="142" t="str">
        <f t="shared" si="37"/>
        <v>undefined</v>
      </c>
      <c r="L88" s="146">
        <f>IFERROR(INDEX(Työkonekanta!$I$3:$I$27,MATCH('S3 Tiekartta'!$A88,Työkonekanta!$A$3:$A$24,0),1)*(I88+J88)*f_adblue,0)</f>
        <v>0</v>
      </c>
      <c r="M88" s="146">
        <f t="shared" si="46"/>
        <v>0</v>
      </c>
      <c r="N88" s="143" t="str">
        <f>IF(tuulisähkö_vuosi&lt;='S3 Tiekartta'!C88,"tuulisähkö",ostosähkö_nyt)</f>
        <v>jäännössähkö</v>
      </c>
      <c r="O88" s="147">
        <f>INDEX(Muuttujat!$J$5:$J$21,MATCH($C88,Muuttujat!$H$5:$H$21,0),1)</f>
        <v>67.8692025</v>
      </c>
      <c r="P88" s="148">
        <f t="shared" si="38"/>
        <v>0.97</v>
      </c>
      <c r="Q88" s="148">
        <f t="shared" si="39"/>
        <v>0.03</v>
      </c>
      <c r="R88" s="148">
        <f t="shared" si="40"/>
        <v>0.03</v>
      </c>
      <c r="S88" s="149">
        <f t="shared" si="29"/>
        <v>0</v>
      </c>
      <c r="T88" s="150">
        <f t="shared" si="30"/>
        <v>0</v>
      </c>
      <c r="U88" s="150">
        <f t="shared" si="31"/>
        <v>0</v>
      </c>
      <c r="V88" s="150">
        <f>IFERROR(INDEX(Työkonekanta!$J$3:$J$27,MATCH($A88,Työkonekanta!$A$3:$A$24,0),1)*$B88*ef_li_ion_akku/1000/1000/INDEX(Työkonekanta!$K$3:$K$27,MATCH($A88,Työkonekanta!$A$3:$A$24,0)),0)</f>
        <v>0</v>
      </c>
      <c r="W88" s="149">
        <f t="shared" si="47"/>
        <v>0</v>
      </c>
      <c r="X88" s="150">
        <f t="shared" si="48"/>
        <v>0</v>
      </c>
      <c r="Y88" s="151">
        <f t="shared" si="49"/>
        <v>0</v>
      </c>
      <c r="Z88" s="152">
        <f t="shared" si="41"/>
        <v>0</v>
      </c>
      <c r="AA88" s="179">
        <f t="shared" si="42"/>
        <v>0</v>
      </c>
      <c r="AB88" s="179">
        <f t="shared" si="43"/>
        <v>0</v>
      </c>
      <c r="AC88" s="180">
        <f t="shared" si="50"/>
        <v>0</v>
      </c>
      <c r="AD88" s="156">
        <f t="shared" si="44"/>
        <v>0</v>
      </c>
      <c r="AE88" s="146">
        <f>IFERROR(INDEX(Työkonekanta!$L$3:$L$30,MATCH($A88,Työkonekanta!$A$3:$A$30,0),1),0)*AF88</f>
        <v>0</v>
      </c>
      <c r="AF88" s="146">
        <f>IFERROR(INDEX(Työkonekanta!$N$3:$N$32,MATCH($A88,Työkonekanta!$A$3:$A$32,0),1),0)</f>
        <v>0</v>
      </c>
      <c r="AG88" s="332">
        <f>I88*INDEX(Muuttujat!$U$5:$U$21,MATCH($C88,Muuttujat!$N$5:$N$21,0),1)</f>
        <v>0</v>
      </c>
      <c r="AH88" s="332">
        <f>J88*INDEX(Muuttujat!$T$5:$T$21,MATCH($C88,Muuttujat!$N$5:$N$21,0),1)</f>
        <v>0</v>
      </c>
      <c r="AI88" s="332">
        <f t="shared" si="32"/>
        <v>0</v>
      </c>
      <c r="AJ88" s="332">
        <f t="shared" si="33"/>
        <v>0</v>
      </c>
      <c r="AK88" s="333">
        <f t="shared" si="45"/>
        <v>0</v>
      </c>
      <c r="AL88" s="332">
        <f t="shared" si="34"/>
        <v>0</v>
      </c>
      <c r="AM88" s="351"/>
      <c r="AN88" s="351"/>
    </row>
    <row r="89" spans="1:40">
      <c r="A89" s="139">
        <v>27</v>
      </c>
      <c r="B89" s="139">
        <f>IFERROR(IF((INDEX(Työkonekanta!$F$3:$F$27,MATCH('S3 Tiekartta'!$A89,Työkonekanta!$A$3:$A$24,0),1))&lt;0,0,(INDEX(Työkonekanta!$F$3:$F$27,MATCH('S3 Tiekartta'!$A89,Työkonekanta!$A$3:$A$24,0),1))),0)</f>
        <v>0</v>
      </c>
      <c r="C89" s="140">
        <v>2021</v>
      </c>
      <c r="D89" s="141" t="str">
        <f>IFERROR(INDEX(Työkonekanta!$D$3:$D$27,MATCH('S3 Tiekartta'!$A89,Työkonekanta!$A$3:$A$24,0),1),"undefined")</f>
        <v>undefined</v>
      </c>
      <c r="E89" s="145">
        <f>IFERROR(INDEX(Työkonekanta!$G$3:$G$27,MATCH($A89,Työkonekanta!$A$3:$A$24,0),1)*INDEX(Työkonekanta!$H$3:$H$27,MATCH($A89,Työkonekanta!$A$3:$A$24,0),1)*(1+s0b_kasvu*($C89-2019))*$B89,0)</f>
        <v>0</v>
      </c>
      <c r="F89" s="145">
        <f t="shared" si="26"/>
        <v>0</v>
      </c>
      <c r="G89" s="151">
        <f t="shared" si="35"/>
        <v>0</v>
      </c>
      <c r="H89" s="145">
        <f t="shared" si="36"/>
        <v>0</v>
      </c>
      <c r="I89" s="145">
        <f t="shared" si="27"/>
        <v>0</v>
      </c>
      <c r="J89" s="145">
        <f t="shared" si="28"/>
        <v>0</v>
      </c>
      <c r="K89" s="142" t="str">
        <f t="shared" si="37"/>
        <v>undefined</v>
      </c>
      <c r="L89" s="146">
        <f>IFERROR(INDEX(Työkonekanta!$I$3:$I$27,MATCH('S3 Tiekartta'!$A89,Työkonekanta!$A$3:$A$24,0),1)*(I89+J89)*f_adblue,0)</f>
        <v>0</v>
      </c>
      <c r="M89" s="146">
        <f t="shared" si="46"/>
        <v>0</v>
      </c>
      <c r="N89" s="143" t="str">
        <f>IF(tuulisähkö_vuosi&lt;='S3 Tiekartta'!C89,"tuulisähkö",ostosähkö_nyt)</f>
        <v>jäännössähkö</v>
      </c>
      <c r="O89" s="147">
        <f>INDEX(Muuttujat!$J$5:$J$21,MATCH($C89,Muuttujat!$H$5:$H$21,0),1)</f>
        <v>67.8692025</v>
      </c>
      <c r="P89" s="148">
        <f t="shared" si="38"/>
        <v>0.97</v>
      </c>
      <c r="Q89" s="148">
        <f t="shared" si="39"/>
        <v>0.03</v>
      </c>
      <c r="R89" s="148">
        <f t="shared" si="40"/>
        <v>0.03</v>
      </c>
      <c r="S89" s="149">
        <f t="shared" si="29"/>
        <v>0</v>
      </c>
      <c r="T89" s="150">
        <f t="shared" si="30"/>
        <v>0</v>
      </c>
      <c r="U89" s="150">
        <f t="shared" si="31"/>
        <v>0</v>
      </c>
      <c r="V89" s="150">
        <f>IFERROR(INDEX(Työkonekanta!$J$3:$J$27,MATCH($A89,Työkonekanta!$A$3:$A$24,0),1)*$B89*ef_li_ion_akku/1000/1000/INDEX(Työkonekanta!$K$3:$K$27,MATCH($A89,Työkonekanta!$A$3:$A$24,0)),0)</f>
        <v>0</v>
      </c>
      <c r="W89" s="149">
        <f t="shared" si="47"/>
        <v>0</v>
      </c>
      <c r="X89" s="150">
        <f t="shared" si="48"/>
        <v>0</v>
      </c>
      <c r="Y89" s="151">
        <f t="shared" si="49"/>
        <v>0</v>
      </c>
      <c r="Z89" s="152">
        <f t="shared" si="41"/>
        <v>0</v>
      </c>
      <c r="AA89" s="179">
        <f t="shared" si="42"/>
        <v>0</v>
      </c>
      <c r="AB89" s="179">
        <f t="shared" si="43"/>
        <v>0</v>
      </c>
      <c r="AC89" s="180">
        <f t="shared" si="50"/>
        <v>0</v>
      </c>
      <c r="AD89" s="156">
        <f t="shared" si="44"/>
        <v>0</v>
      </c>
      <c r="AE89" s="146">
        <f>IFERROR(INDEX(Työkonekanta!$L$3:$L$30,MATCH($A89,Työkonekanta!$A$3:$A$30,0),1),0)*AF89</f>
        <v>0</v>
      </c>
      <c r="AF89" s="146">
        <f>IFERROR(INDEX(Työkonekanta!$N$3:$N$32,MATCH($A89,Työkonekanta!$A$3:$A$32,0),1),0)</f>
        <v>0</v>
      </c>
      <c r="AG89" s="332">
        <f>I89*INDEX(Muuttujat!$U$5:$U$21,MATCH($C89,Muuttujat!$N$5:$N$21,0),1)</f>
        <v>0</v>
      </c>
      <c r="AH89" s="332">
        <f>J89*INDEX(Muuttujat!$T$5:$T$21,MATCH($C89,Muuttujat!$N$5:$N$21,0),1)</f>
        <v>0</v>
      </c>
      <c r="AI89" s="332">
        <f t="shared" si="32"/>
        <v>0</v>
      </c>
      <c r="AJ89" s="332">
        <f t="shared" si="33"/>
        <v>0</v>
      </c>
      <c r="AK89" s="333">
        <f t="shared" si="45"/>
        <v>0</v>
      </c>
      <c r="AL89" s="332">
        <f t="shared" si="34"/>
        <v>0</v>
      </c>
      <c r="AM89" s="351"/>
      <c r="AN89" s="351"/>
    </row>
    <row r="90" spans="1:40">
      <c r="A90" s="139">
        <v>28</v>
      </c>
      <c r="B90" s="139">
        <f>IFERROR(IF((INDEX(Työkonekanta!$F$3:$F$27,MATCH('S3 Tiekartta'!$A90,Työkonekanta!$A$3:$A$24,0),1))&lt;0,0,(INDEX(Työkonekanta!$F$3:$F$27,MATCH('S3 Tiekartta'!$A90,Työkonekanta!$A$3:$A$24,0),1))),0)</f>
        <v>0</v>
      </c>
      <c r="C90" s="140">
        <v>2021</v>
      </c>
      <c r="D90" s="141" t="str">
        <f>IFERROR(INDEX(Työkonekanta!$D$3:$D$27,MATCH('S3 Tiekartta'!$A90,Työkonekanta!$A$3:$A$24,0),1),"undefined")</f>
        <v>undefined</v>
      </c>
      <c r="E90" s="145">
        <f>IFERROR(INDEX(Työkonekanta!$G$3:$G$27,MATCH($A90,Työkonekanta!$A$3:$A$24,0),1)*INDEX(Työkonekanta!$H$3:$H$27,MATCH($A90,Työkonekanta!$A$3:$A$24,0),1)*(1+s0b_kasvu*($C90-2019))*$B90,0)</f>
        <v>0</v>
      </c>
      <c r="F90" s="145">
        <f t="shared" si="26"/>
        <v>0</v>
      </c>
      <c r="G90" s="151">
        <f t="shared" si="35"/>
        <v>0</v>
      </c>
      <c r="H90" s="145">
        <f t="shared" si="36"/>
        <v>0</v>
      </c>
      <c r="I90" s="145">
        <f t="shared" si="27"/>
        <v>0</v>
      </c>
      <c r="J90" s="145">
        <f t="shared" si="28"/>
        <v>0</v>
      </c>
      <c r="K90" s="142" t="str">
        <f t="shared" si="37"/>
        <v>undefined</v>
      </c>
      <c r="L90" s="146">
        <f>IFERROR(INDEX(Työkonekanta!$I$3:$I$27,MATCH('S3 Tiekartta'!$A90,Työkonekanta!$A$3:$A$24,0),1)*(I90+J90)*f_adblue,0)</f>
        <v>0</v>
      </c>
      <c r="M90" s="146">
        <f t="shared" si="46"/>
        <v>0</v>
      </c>
      <c r="N90" s="143" t="str">
        <f>IF(tuulisähkö_vuosi&lt;='S3 Tiekartta'!C90,"tuulisähkö",ostosähkö_nyt)</f>
        <v>jäännössähkö</v>
      </c>
      <c r="O90" s="147">
        <f>INDEX(Muuttujat!$J$5:$J$21,MATCH($C90,Muuttujat!$H$5:$H$21,0),1)</f>
        <v>67.8692025</v>
      </c>
      <c r="P90" s="148">
        <f t="shared" si="38"/>
        <v>0.97</v>
      </c>
      <c r="Q90" s="148">
        <f t="shared" si="39"/>
        <v>0.03</v>
      </c>
      <c r="R90" s="148">
        <f t="shared" si="40"/>
        <v>0.03</v>
      </c>
      <c r="S90" s="149">
        <f t="shared" si="29"/>
        <v>0</v>
      </c>
      <c r="T90" s="150">
        <f t="shared" si="30"/>
        <v>0</v>
      </c>
      <c r="U90" s="150">
        <f t="shared" si="31"/>
        <v>0</v>
      </c>
      <c r="V90" s="150">
        <f>IFERROR(INDEX(Työkonekanta!$J$3:$J$27,MATCH($A90,Työkonekanta!$A$3:$A$24,0),1)*$B90*ef_li_ion_akku/1000/1000/INDEX(Työkonekanta!$K$3:$K$27,MATCH($A90,Työkonekanta!$A$3:$A$24,0)),0)</f>
        <v>0</v>
      </c>
      <c r="W90" s="149">
        <f t="shared" si="47"/>
        <v>0</v>
      </c>
      <c r="X90" s="150">
        <f t="shared" si="48"/>
        <v>0</v>
      </c>
      <c r="Y90" s="151">
        <f t="shared" si="49"/>
        <v>0</v>
      </c>
      <c r="Z90" s="152">
        <f t="shared" si="41"/>
        <v>0</v>
      </c>
      <c r="AA90" s="179">
        <f t="shared" si="42"/>
        <v>0</v>
      </c>
      <c r="AB90" s="179">
        <f t="shared" si="43"/>
        <v>0</v>
      </c>
      <c r="AC90" s="180">
        <f t="shared" si="50"/>
        <v>0</v>
      </c>
      <c r="AD90" s="156">
        <f t="shared" si="44"/>
        <v>0</v>
      </c>
      <c r="AE90" s="146">
        <f>IFERROR(INDEX(Työkonekanta!$L$3:$L$30,MATCH($A90,Työkonekanta!$A$3:$A$30,0),1),0)*AF90</f>
        <v>0</v>
      </c>
      <c r="AF90" s="146">
        <f>IFERROR(INDEX(Työkonekanta!$N$3:$N$32,MATCH($A90,Työkonekanta!$A$3:$A$32,0),1),0)</f>
        <v>0</v>
      </c>
      <c r="AG90" s="332">
        <f>I90*INDEX(Muuttujat!$U$5:$U$21,MATCH($C90,Muuttujat!$N$5:$N$21,0),1)</f>
        <v>0</v>
      </c>
      <c r="AH90" s="332">
        <f>J90*INDEX(Muuttujat!$T$5:$T$21,MATCH($C90,Muuttujat!$N$5:$N$21,0),1)</f>
        <v>0</v>
      </c>
      <c r="AI90" s="332">
        <f t="shared" si="32"/>
        <v>0</v>
      </c>
      <c r="AJ90" s="332">
        <f t="shared" si="33"/>
        <v>0</v>
      </c>
      <c r="AK90" s="333">
        <f t="shared" si="45"/>
        <v>0</v>
      </c>
      <c r="AL90" s="332">
        <f t="shared" si="34"/>
        <v>0</v>
      </c>
      <c r="AM90" s="351"/>
      <c r="AN90" s="351"/>
    </row>
    <row r="91" spans="1:40">
      <c r="A91" s="139">
        <v>29</v>
      </c>
      <c r="B91" s="139">
        <f>IFERROR(IF((INDEX(Työkonekanta!$F$3:$F$27,MATCH('S3 Tiekartta'!$A91,Työkonekanta!$A$3:$A$24,0),1))&lt;0,0,(INDEX(Työkonekanta!$F$3:$F$27,MATCH('S3 Tiekartta'!$A91,Työkonekanta!$A$3:$A$24,0),1))),0)</f>
        <v>0</v>
      </c>
      <c r="C91" s="140">
        <v>2021</v>
      </c>
      <c r="D91" s="141" t="str">
        <f>IFERROR(INDEX(Työkonekanta!$D$3:$D$27,MATCH('S3 Tiekartta'!$A91,Työkonekanta!$A$3:$A$24,0),1),"undefined")</f>
        <v>undefined</v>
      </c>
      <c r="E91" s="145">
        <f>IFERROR(INDEX(Työkonekanta!$G$3:$G$27,MATCH($A91,Työkonekanta!$A$3:$A$24,0),1)*INDEX(Työkonekanta!$H$3:$H$27,MATCH($A91,Työkonekanta!$A$3:$A$24,0),1)*(1+s0b_kasvu*($C91-2019))*$B91,0)</f>
        <v>0</v>
      </c>
      <c r="F91" s="145">
        <f t="shared" si="26"/>
        <v>0</v>
      </c>
      <c r="G91" s="151">
        <f t="shared" si="35"/>
        <v>0</v>
      </c>
      <c r="H91" s="145">
        <f t="shared" si="36"/>
        <v>0</v>
      </c>
      <c r="I91" s="145">
        <f t="shared" si="27"/>
        <v>0</v>
      </c>
      <c r="J91" s="145">
        <f t="shared" si="28"/>
        <v>0</v>
      </c>
      <c r="K91" s="142" t="str">
        <f t="shared" si="37"/>
        <v>undefined</v>
      </c>
      <c r="L91" s="146">
        <f>IFERROR(INDEX(Työkonekanta!$I$3:$I$27,MATCH('S3 Tiekartta'!$A91,Työkonekanta!$A$3:$A$24,0),1)*(I91+J91)*f_adblue,0)</f>
        <v>0</v>
      </c>
      <c r="M91" s="146">
        <f t="shared" si="46"/>
        <v>0</v>
      </c>
      <c r="N91" s="143" t="str">
        <f>IF(tuulisähkö_vuosi&lt;='S3 Tiekartta'!C91,"tuulisähkö",ostosähkö_nyt)</f>
        <v>jäännössähkö</v>
      </c>
      <c r="O91" s="147">
        <f>INDEX(Muuttujat!$J$5:$J$21,MATCH($C91,Muuttujat!$H$5:$H$21,0),1)</f>
        <v>67.8692025</v>
      </c>
      <c r="P91" s="148">
        <f t="shared" si="38"/>
        <v>0.97</v>
      </c>
      <c r="Q91" s="148">
        <f t="shared" si="39"/>
        <v>0.03</v>
      </c>
      <c r="R91" s="148">
        <f t="shared" si="40"/>
        <v>0.03</v>
      </c>
      <c r="S91" s="149">
        <f t="shared" si="29"/>
        <v>0</v>
      </c>
      <c r="T91" s="150">
        <f t="shared" si="30"/>
        <v>0</v>
      </c>
      <c r="U91" s="150">
        <f t="shared" si="31"/>
        <v>0</v>
      </c>
      <c r="V91" s="150">
        <f>IFERROR(INDEX(Työkonekanta!$J$3:$J$27,MATCH($A91,Työkonekanta!$A$3:$A$24,0),1)*$B91*ef_li_ion_akku/1000/1000/INDEX(Työkonekanta!$K$3:$K$27,MATCH($A91,Työkonekanta!$A$3:$A$24,0)),0)</f>
        <v>0</v>
      </c>
      <c r="W91" s="149">
        <f t="shared" si="47"/>
        <v>0</v>
      </c>
      <c r="X91" s="150">
        <f t="shared" si="48"/>
        <v>0</v>
      </c>
      <c r="Y91" s="151">
        <f t="shared" si="49"/>
        <v>0</v>
      </c>
      <c r="Z91" s="152">
        <f t="shared" si="41"/>
        <v>0</v>
      </c>
      <c r="AA91" s="179">
        <f t="shared" si="42"/>
        <v>0</v>
      </c>
      <c r="AB91" s="179">
        <f t="shared" si="43"/>
        <v>0</v>
      </c>
      <c r="AC91" s="180">
        <f t="shared" si="50"/>
        <v>0</v>
      </c>
      <c r="AD91" s="156">
        <f t="shared" si="44"/>
        <v>0</v>
      </c>
      <c r="AE91" s="146">
        <f>IFERROR(INDEX(Työkonekanta!$L$3:$L$30,MATCH($A91,Työkonekanta!$A$3:$A$30,0),1),0)*AF91</f>
        <v>0</v>
      </c>
      <c r="AF91" s="146">
        <f>IFERROR(INDEX(Työkonekanta!$N$3:$N$32,MATCH($A91,Työkonekanta!$A$3:$A$32,0),1),0)</f>
        <v>0</v>
      </c>
      <c r="AG91" s="332">
        <f>I91*INDEX(Muuttujat!$U$5:$U$21,MATCH($C91,Muuttujat!$N$5:$N$21,0),1)</f>
        <v>0</v>
      </c>
      <c r="AH91" s="332">
        <f>J91*INDEX(Muuttujat!$T$5:$T$21,MATCH($C91,Muuttujat!$N$5:$N$21,0),1)</f>
        <v>0</v>
      </c>
      <c r="AI91" s="332">
        <f t="shared" si="32"/>
        <v>0</v>
      </c>
      <c r="AJ91" s="332">
        <f t="shared" si="33"/>
        <v>0</v>
      </c>
      <c r="AK91" s="333">
        <f t="shared" si="45"/>
        <v>0</v>
      </c>
      <c r="AL91" s="332">
        <f t="shared" si="34"/>
        <v>0</v>
      </c>
      <c r="AM91" s="351"/>
      <c r="AN91" s="351"/>
    </row>
    <row r="92" spans="1:40">
      <c r="A92" s="139">
        <v>30</v>
      </c>
      <c r="B92" s="139">
        <f>IFERROR(IF((INDEX(Työkonekanta!$F$3:$F$27,MATCH('S3 Tiekartta'!$A92,Työkonekanta!$A$3:$A$24,0),1))&lt;0,0,(INDEX(Työkonekanta!$F$3:$F$27,MATCH('S3 Tiekartta'!$A92,Työkonekanta!$A$3:$A$24,0),1))),0)</f>
        <v>0</v>
      </c>
      <c r="C92" s="140">
        <v>2021</v>
      </c>
      <c r="D92" s="141" t="str">
        <f>IFERROR(INDEX(Työkonekanta!$D$3:$D$27,MATCH('S3 Tiekartta'!$A92,Työkonekanta!$A$3:$A$24,0),1),"undefined")</f>
        <v>undefined</v>
      </c>
      <c r="E92" s="145">
        <f>IFERROR(INDEX(Työkonekanta!$G$3:$G$27,MATCH($A92,Työkonekanta!$A$3:$A$24,0),1)*INDEX(Työkonekanta!$H$3:$H$27,MATCH($A92,Työkonekanta!$A$3:$A$24,0),1)*(1+s0b_kasvu*($C92-2019))*$B92,0)</f>
        <v>0</v>
      </c>
      <c r="F92" s="145">
        <f t="shared" si="26"/>
        <v>0</v>
      </c>
      <c r="G92" s="151">
        <f t="shared" si="35"/>
        <v>0</v>
      </c>
      <c r="H92" s="145">
        <f t="shared" si="36"/>
        <v>0</v>
      </c>
      <c r="I92" s="145">
        <f t="shared" si="27"/>
        <v>0</v>
      </c>
      <c r="J92" s="145">
        <f t="shared" si="28"/>
        <v>0</v>
      </c>
      <c r="K92" s="142" t="str">
        <f t="shared" si="37"/>
        <v>undefined</v>
      </c>
      <c r="L92" s="146">
        <f>IFERROR(INDEX(Työkonekanta!$I$3:$I$27,MATCH('S3 Tiekartta'!$A92,Työkonekanta!$A$3:$A$24,0),1)*(I92+J92)*f_adblue,0)</f>
        <v>0</v>
      </c>
      <c r="M92" s="146">
        <f t="shared" si="46"/>
        <v>0</v>
      </c>
      <c r="N92" s="143" t="str">
        <f>IF(tuulisähkö_vuosi&lt;='S3 Tiekartta'!C92,"tuulisähkö",ostosähkö_nyt)</f>
        <v>jäännössähkö</v>
      </c>
      <c r="O92" s="147">
        <f>INDEX(Muuttujat!$J$5:$J$21,MATCH($C92,Muuttujat!$H$5:$H$21,0),1)</f>
        <v>67.8692025</v>
      </c>
      <c r="P92" s="148">
        <f t="shared" si="38"/>
        <v>0.97</v>
      </c>
      <c r="Q92" s="148">
        <f t="shared" si="39"/>
        <v>0.03</v>
      </c>
      <c r="R92" s="148">
        <f t="shared" si="40"/>
        <v>0.03</v>
      </c>
      <c r="S92" s="149">
        <f t="shared" si="29"/>
        <v>0</v>
      </c>
      <c r="T92" s="150">
        <f t="shared" si="30"/>
        <v>0</v>
      </c>
      <c r="U92" s="150">
        <f t="shared" si="31"/>
        <v>0</v>
      </c>
      <c r="V92" s="150">
        <f>IFERROR(INDEX(Työkonekanta!$J$3:$J$27,MATCH($A92,Työkonekanta!$A$3:$A$24,0),1)*$B92*ef_li_ion_akku/1000/1000/INDEX(Työkonekanta!$K$3:$K$27,MATCH($A92,Työkonekanta!$A$3:$A$24,0)),0)</f>
        <v>0</v>
      </c>
      <c r="W92" s="149">
        <f t="shared" si="47"/>
        <v>0</v>
      </c>
      <c r="X92" s="150">
        <f t="shared" si="48"/>
        <v>0</v>
      </c>
      <c r="Y92" s="151">
        <f t="shared" si="49"/>
        <v>0</v>
      </c>
      <c r="Z92" s="152">
        <f t="shared" si="41"/>
        <v>0</v>
      </c>
      <c r="AA92" s="179">
        <f t="shared" si="42"/>
        <v>0</v>
      </c>
      <c r="AB92" s="179">
        <f t="shared" si="43"/>
        <v>0</v>
      </c>
      <c r="AC92" s="180">
        <f t="shared" si="50"/>
        <v>0</v>
      </c>
      <c r="AD92" s="156">
        <f t="shared" si="44"/>
        <v>0</v>
      </c>
      <c r="AE92" s="146">
        <f>IFERROR(INDEX(Työkonekanta!$L$3:$L$30,MATCH($A92,Työkonekanta!$A$3:$A$30,0),1),0)*AF92</f>
        <v>0</v>
      </c>
      <c r="AF92" s="146">
        <f>IFERROR(INDEX(Työkonekanta!$N$3:$N$32,MATCH($A92,Työkonekanta!$A$3:$A$32,0),1),0)</f>
        <v>0</v>
      </c>
      <c r="AG92" s="332">
        <f>I92*INDEX(Muuttujat!$U$5:$U$21,MATCH($C92,Muuttujat!$N$5:$N$21,0),1)</f>
        <v>0</v>
      </c>
      <c r="AH92" s="332">
        <f>J92*INDEX(Muuttujat!$T$5:$T$21,MATCH($C92,Muuttujat!$N$5:$N$21,0),1)</f>
        <v>0</v>
      </c>
      <c r="AI92" s="332">
        <f t="shared" si="32"/>
        <v>0</v>
      </c>
      <c r="AJ92" s="332">
        <f t="shared" si="33"/>
        <v>0</v>
      </c>
      <c r="AK92" s="333">
        <f t="shared" si="45"/>
        <v>0</v>
      </c>
      <c r="AL92" s="332">
        <f t="shared" si="34"/>
        <v>0</v>
      </c>
      <c r="AM92" s="351"/>
      <c r="AN92" s="351"/>
    </row>
    <row r="93" spans="1:40">
      <c r="A93" s="139">
        <v>1</v>
      </c>
      <c r="B93" s="139">
        <f>IFERROR(IF((INDEX(Työkonekanta!$F$3:$F$27,MATCH('S3 Tiekartta'!$A93,Työkonekanta!$A$3:$A$24,0),1))&lt;0,0,(INDEX(Työkonekanta!$F$3:$F$27,MATCH('S3 Tiekartta'!$A93,Työkonekanta!$A$3:$A$24,0),1))),0)</f>
        <v>1</v>
      </c>
      <c r="C93" s="140">
        <v>2022</v>
      </c>
      <c r="D93" s="141" t="str">
        <f>IFERROR(INDEX(Työkonekanta!$D$3:$D$27,MATCH('S3 Tiekartta'!$A93,Työkonekanta!$A$3:$A$24,0),1),"undefined")</f>
        <v>pom</v>
      </c>
      <c r="E93" s="145">
        <f>IFERROR(INDEX(Työkonekanta!$G$3:$G$27,MATCH($A93,Työkonekanta!$A$3:$A$24,0),1)*INDEX(Työkonekanta!$H$3:$H$27,MATCH($A93,Työkonekanta!$A$3:$A$24,0),1)*(1+s0b_kasvu*($C93-2019))*$B93,0)</f>
        <v>10300</v>
      </c>
      <c r="F93" s="145">
        <f t="shared" si="26"/>
        <v>369770</v>
      </c>
      <c r="G93" s="151">
        <f t="shared" si="35"/>
        <v>354979.2</v>
      </c>
      <c r="H93" s="145">
        <f t="shared" si="36"/>
        <v>14790.800000000001</v>
      </c>
      <c r="I93" s="145">
        <f t="shared" si="27"/>
        <v>9888</v>
      </c>
      <c r="J93" s="145">
        <f t="shared" si="28"/>
        <v>431.21865889212836</v>
      </c>
      <c r="K93" s="142" t="str">
        <f t="shared" si="37"/>
        <v>l</v>
      </c>
      <c r="L93" s="146">
        <f>IFERROR(INDEX(Työkonekanta!$I$3:$I$27,MATCH('S3 Tiekartta'!$A93,Työkonekanta!$A$3:$A$24,0),1)*(I93+J93)*f_adblue,0)</f>
        <v>515.9609329446065</v>
      </c>
      <c r="M93" s="146">
        <f t="shared" si="46"/>
        <v>0</v>
      </c>
      <c r="N93" s="143" t="str">
        <f>IF(tuulisähkö_vuosi&lt;='S3 Tiekartta'!C93,"tuulisähkö",ostosähkö_nyt)</f>
        <v>jäännössähkö</v>
      </c>
      <c r="O93" s="147">
        <f>INDEX(Muuttujat!$J$5:$J$21,MATCH($C93,Muuttujat!$H$5:$H$21,0),1)</f>
        <v>67.190510474999996</v>
      </c>
      <c r="P93" s="148">
        <f t="shared" si="38"/>
        <v>0.96</v>
      </c>
      <c r="Q93" s="148">
        <f t="shared" si="39"/>
        <v>0.04</v>
      </c>
      <c r="R93" s="148">
        <f t="shared" si="40"/>
        <v>0.04</v>
      </c>
      <c r="S93" s="149">
        <f t="shared" si="29"/>
        <v>6.7091068800000002</v>
      </c>
      <c r="T93" s="150">
        <f t="shared" si="30"/>
        <v>0.92294591999999998</v>
      </c>
      <c r="U93" s="150">
        <f t="shared" si="31"/>
        <v>0</v>
      </c>
      <c r="V93" s="150">
        <f>IFERROR(INDEX(Työkonekanta!$J$3:$J$27,MATCH($A93,Työkonekanta!$A$3:$A$24,0),1)*$B93*ef_li_ion_akku/1000/1000/INDEX(Työkonekanta!$K$3:$K$27,MATCH($A93,Työkonekanta!$A$3:$A$24,0)),0)</f>
        <v>0</v>
      </c>
      <c r="W93" s="149">
        <f t="shared" si="47"/>
        <v>26.200395057196797</v>
      </c>
      <c r="X93" s="150">
        <f t="shared" si="48"/>
        <v>0.32727802980000004</v>
      </c>
      <c r="Y93" s="151">
        <f t="shared" si="49"/>
        <v>0.13414984256559767</v>
      </c>
      <c r="Z93" s="152">
        <f t="shared" si="41"/>
        <v>7.6320528000000003</v>
      </c>
      <c r="AA93" s="179">
        <f t="shared" si="42"/>
        <v>26.334544899762395</v>
      </c>
      <c r="AB93" s="179">
        <f t="shared" si="43"/>
        <v>26.661822929562394</v>
      </c>
      <c r="AC93" s="180">
        <f t="shared" si="50"/>
        <v>33.966597699762396</v>
      </c>
      <c r="AD93" s="156">
        <f t="shared" si="44"/>
        <v>34.293875729562394</v>
      </c>
      <c r="AE93" s="146">
        <f>IFERROR(INDEX(Työkonekanta!$L$3:$L$30,MATCH($A93,Työkonekanta!$A$3:$A$30,0),1),0)*AF93</f>
        <v>500000</v>
      </c>
      <c r="AF93" s="146">
        <f>IFERROR(INDEX(Työkonekanta!$N$3:$N$32,MATCH($A93,Työkonekanta!$A$3:$A$32,0),1),0)</f>
        <v>1</v>
      </c>
      <c r="AG93" s="332">
        <f>I93*INDEX(Muuttujat!$U$5:$U$21,MATCH($C93,Muuttujat!$N$5:$N$21,0),1)</f>
        <v>9888</v>
      </c>
      <c r="AH93" s="332">
        <f>J93*INDEX(Muuttujat!$T$5:$T$21,MATCH($C93,Muuttujat!$N$5:$N$21,0),1)</f>
        <v>603.70612244897961</v>
      </c>
      <c r="AI93" s="332">
        <f t="shared" si="32"/>
        <v>257.98046647230325</v>
      </c>
      <c r="AJ93" s="332">
        <f t="shared" si="33"/>
        <v>0</v>
      </c>
      <c r="AK93" s="333">
        <f t="shared" si="45"/>
        <v>10749.686588921282</v>
      </c>
      <c r="AL93" s="332">
        <f t="shared" si="34"/>
        <v>10749.686588921282</v>
      </c>
      <c r="AM93" s="351"/>
      <c r="AN93" s="351"/>
    </row>
    <row r="94" spans="1:40">
      <c r="A94" s="139">
        <v>2</v>
      </c>
      <c r="B94" s="139">
        <f>IFERROR(IF((INDEX(Työkonekanta!$F$3:$F$27,MATCH('S3 Tiekartta'!$A94,Työkonekanta!$A$3:$A$24,0),1))&lt;0,0,(INDEX(Työkonekanta!$F$3:$F$27,MATCH('S3 Tiekartta'!$A94,Työkonekanta!$A$3:$A$24,0),1))),0)</f>
        <v>1</v>
      </c>
      <c r="C94" s="140">
        <v>2022</v>
      </c>
      <c r="D94" s="141" t="str">
        <f>IFERROR(INDEX(Työkonekanta!$D$3:$D$27,MATCH('S3 Tiekartta'!$A94,Työkonekanta!$A$3:$A$24,0),1),"undefined")</f>
        <v>pom</v>
      </c>
      <c r="E94" s="145">
        <f>IFERROR(INDEX(Työkonekanta!$G$3:$G$27,MATCH($A94,Työkonekanta!$A$3:$A$24,0),1)*INDEX(Työkonekanta!$H$3:$H$27,MATCH($A94,Työkonekanta!$A$3:$A$24,0),1)*(1+s0b_kasvu*($C94-2019))*$B94,0)</f>
        <v>10300</v>
      </c>
      <c r="F94" s="145">
        <f t="shared" si="26"/>
        <v>369770</v>
      </c>
      <c r="G94" s="151">
        <f t="shared" si="35"/>
        <v>354979.2</v>
      </c>
      <c r="H94" s="145">
        <f t="shared" si="36"/>
        <v>14790.800000000001</v>
      </c>
      <c r="I94" s="145">
        <f t="shared" si="27"/>
        <v>9888</v>
      </c>
      <c r="J94" s="145">
        <f t="shared" si="28"/>
        <v>431.21865889212836</v>
      </c>
      <c r="K94" s="142" t="str">
        <f t="shared" si="37"/>
        <v>l</v>
      </c>
      <c r="L94" s="146">
        <f>IFERROR(INDEX(Työkonekanta!$I$3:$I$27,MATCH('S3 Tiekartta'!$A94,Työkonekanta!$A$3:$A$24,0),1)*(I94+J94)*f_adblue,0)</f>
        <v>515.9609329446065</v>
      </c>
      <c r="M94" s="146">
        <f t="shared" si="46"/>
        <v>0</v>
      </c>
      <c r="N94" s="143" t="str">
        <f>IF(tuulisähkö_vuosi&lt;='S3 Tiekartta'!C94,"tuulisähkö",ostosähkö_nyt)</f>
        <v>jäännössähkö</v>
      </c>
      <c r="O94" s="147">
        <f>INDEX(Muuttujat!$J$5:$J$21,MATCH($C94,Muuttujat!$H$5:$H$21,0),1)</f>
        <v>67.190510474999996</v>
      </c>
      <c r="P94" s="148">
        <f t="shared" si="38"/>
        <v>0.96</v>
      </c>
      <c r="Q94" s="148">
        <f t="shared" si="39"/>
        <v>0.04</v>
      </c>
      <c r="R94" s="148">
        <f t="shared" si="40"/>
        <v>0.04</v>
      </c>
      <c r="S94" s="149">
        <f t="shared" si="29"/>
        <v>6.7091068800000002</v>
      </c>
      <c r="T94" s="150">
        <f t="shared" si="30"/>
        <v>0.92294591999999998</v>
      </c>
      <c r="U94" s="150">
        <f t="shared" si="31"/>
        <v>0</v>
      </c>
      <c r="V94" s="150">
        <f>IFERROR(INDEX(Työkonekanta!$J$3:$J$27,MATCH($A94,Työkonekanta!$A$3:$A$24,0),1)*$B94*ef_li_ion_akku/1000/1000/INDEX(Työkonekanta!$K$3:$K$27,MATCH($A94,Työkonekanta!$A$3:$A$24,0)),0)</f>
        <v>0</v>
      </c>
      <c r="W94" s="149">
        <f t="shared" si="47"/>
        <v>26.200395057196797</v>
      </c>
      <c r="X94" s="150">
        <f t="shared" si="48"/>
        <v>0.32727802980000004</v>
      </c>
      <c r="Y94" s="151">
        <f t="shared" si="49"/>
        <v>0.13414984256559767</v>
      </c>
      <c r="Z94" s="152">
        <f t="shared" si="41"/>
        <v>7.6320528000000003</v>
      </c>
      <c r="AA94" s="179">
        <f t="shared" si="42"/>
        <v>26.334544899762395</v>
      </c>
      <c r="AB94" s="179">
        <f t="shared" si="43"/>
        <v>26.661822929562394</v>
      </c>
      <c r="AC94" s="180">
        <f t="shared" si="50"/>
        <v>33.966597699762396</v>
      </c>
      <c r="AD94" s="156">
        <f t="shared" si="44"/>
        <v>34.293875729562394</v>
      </c>
      <c r="AE94" s="146">
        <f>IFERROR(INDEX(Työkonekanta!$L$3:$L$30,MATCH($A94,Työkonekanta!$A$3:$A$30,0),1),0)*AF94</f>
        <v>500000</v>
      </c>
      <c r="AF94" s="146">
        <f>IFERROR(INDEX(Työkonekanta!$N$3:$N$32,MATCH($A94,Työkonekanta!$A$3:$A$32,0),1),0)</f>
        <v>1</v>
      </c>
      <c r="AG94" s="332">
        <f>I94*INDEX(Muuttujat!$U$5:$U$21,MATCH($C94,Muuttujat!$N$5:$N$21,0),1)</f>
        <v>9888</v>
      </c>
      <c r="AH94" s="332">
        <f>J94*INDEX(Muuttujat!$T$5:$T$21,MATCH($C94,Muuttujat!$N$5:$N$21,0),1)</f>
        <v>603.70612244897961</v>
      </c>
      <c r="AI94" s="332">
        <f t="shared" si="32"/>
        <v>257.98046647230325</v>
      </c>
      <c r="AJ94" s="332">
        <f t="shared" si="33"/>
        <v>0</v>
      </c>
      <c r="AK94" s="333">
        <f t="shared" si="45"/>
        <v>10749.686588921282</v>
      </c>
      <c r="AL94" s="332">
        <f t="shared" si="34"/>
        <v>10749.686588921282</v>
      </c>
      <c r="AM94" s="351"/>
      <c r="AN94" s="351"/>
    </row>
    <row r="95" spans="1:40">
      <c r="A95" s="139">
        <v>3</v>
      </c>
      <c r="B95" s="139">
        <f>IFERROR(IF((INDEX(Työkonekanta!$F$3:$F$27,MATCH('S3 Tiekartta'!$A95,Työkonekanta!$A$3:$A$24,0),1))&lt;0,0,(INDEX(Työkonekanta!$F$3:$F$27,MATCH('S3 Tiekartta'!$A95,Työkonekanta!$A$3:$A$24,0),1))),0)</f>
        <v>1</v>
      </c>
      <c r="C95" s="140">
        <v>2022</v>
      </c>
      <c r="D95" s="141" t="str">
        <f>IFERROR(INDEX(Työkonekanta!$D$3:$D$27,MATCH('S3 Tiekartta'!$A95,Työkonekanta!$A$3:$A$24,0),1),"undefined")</f>
        <v>pom</v>
      </c>
      <c r="E95" s="145">
        <f>IFERROR(INDEX(Työkonekanta!$G$3:$G$27,MATCH($A95,Työkonekanta!$A$3:$A$24,0),1)*INDEX(Työkonekanta!$H$3:$H$27,MATCH($A95,Työkonekanta!$A$3:$A$24,0),1)*(1+s0b_kasvu*($C95-2019))*$B95,0)</f>
        <v>10300</v>
      </c>
      <c r="F95" s="145">
        <f t="shared" si="26"/>
        <v>369770</v>
      </c>
      <c r="G95" s="151">
        <f t="shared" si="35"/>
        <v>354979.2</v>
      </c>
      <c r="H95" s="145">
        <f t="shared" si="36"/>
        <v>14790.800000000001</v>
      </c>
      <c r="I95" s="145">
        <f t="shared" si="27"/>
        <v>9888</v>
      </c>
      <c r="J95" s="145">
        <f t="shared" si="28"/>
        <v>431.21865889212836</v>
      </c>
      <c r="K95" s="142" t="str">
        <f t="shared" si="37"/>
        <v>l</v>
      </c>
      <c r="L95" s="146">
        <f>IFERROR(INDEX(Työkonekanta!$I$3:$I$27,MATCH('S3 Tiekartta'!$A95,Työkonekanta!$A$3:$A$24,0),1)*(I95+J95)*f_adblue,0)</f>
        <v>515.9609329446065</v>
      </c>
      <c r="M95" s="146">
        <f t="shared" si="46"/>
        <v>0</v>
      </c>
      <c r="N95" s="143" t="str">
        <f>IF(tuulisähkö_vuosi&lt;='S3 Tiekartta'!C95,"tuulisähkö",ostosähkö_nyt)</f>
        <v>jäännössähkö</v>
      </c>
      <c r="O95" s="147">
        <f>INDEX(Muuttujat!$J$5:$J$21,MATCH($C95,Muuttujat!$H$5:$H$21,0),1)</f>
        <v>67.190510474999996</v>
      </c>
      <c r="P95" s="148">
        <f t="shared" si="38"/>
        <v>0.96</v>
      </c>
      <c r="Q95" s="148">
        <f t="shared" si="39"/>
        <v>0.04</v>
      </c>
      <c r="R95" s="148">
        <f t="shared" si="40"/>
        <v>0.04</v>
      </c>
      <c r="S95" s="149">
        <f t="shared" si="29"/>
        <v>6.7091068800000002</v>
      </c>
      <c r="T95" s="150">
        <f t="shared" si="30"/>
        <v>0.92294591999999998</v>
      </c>
      <c r="U95" s="150">
        <f t="shared" si="31"/>
        <v>0</v>
      </c>
      <c r="V95" s="150">
        <f>IFERROR(INDEX(Työkonekanta!$J$3:$J$27,MATCH($A95,Työkonekanta!$A$3:$A$24,0),1)*$B95*ef_li_ion_akku/1000/1000/INDEX(Työkonekanta!$K$3:$K$27,MATCH($A95,Työkonekanta!$A$3:$A$24,0)),0)</f>
        <v>0</v>
      </c>
      <c r="W95" s="149">
        <f t="shared" si="47"/>
        <v>26.200395057196797</v>
      </c>
      <c r="X95" s="150">
        <f t="shared" si="48"/>
        <v>0.32727802980000004</v>
      </c>
      <c r="Y95" s="151">
        <f t="shared" si="49"/>
        <v>0.13414984256559767</v>
      </c>
      <c r="Z95" s="152">
        <f t="shared" si="41"/>
        <v>7.6320528000000003</v>
      </c>
      <c r="AA95" s="179">
        <f t="shared" si="42"/>
        <v>26.334544899762395</v>
      </c>
      <c r="AB95" s="179">
        <f t="shared" si="43"/>
        <v>26.661822929562394</v>
      </c>
      <c r="AC95" s="180">
        <f t="shared" si="50"/>
        <v>33.966597699762396</v>
      </c>
      <c r="AD95" s="156">
        <f t="shared" si="44"/>
        <v>34.293875729562394</v>
      </c>
      <c r="AE95" s="146">
        <f>IFERROR(INDEX(Työkonekanta!$L$3:$L$30,MATCH($A95,Työkonekanta!$A$3:$A$30,0),1),0)*AF95</f>
        <v>0</v>
      </c>
      <c r="AF95" s="146">
        <f>IFERROR(INDEX(Työkonekanta!$N$3:$N$32,MATCH($A95,Työkonekanta!$A$3:$A$32,0),1),0)</f>
        <v>0</v>
      </c>
      <c r="AG95" s="332">
        <f>I95*INDEX(Muuttujat!$U$5:$U$21,MATCH($C95,Muuttujat!$N$5:$N$21,0),1)</f>
        <v>9888</v>
      </c>
      <c r="AH95" s="332">
        <f>J95*INDEX(Muuttujat!$T$5:$T$21,MATCH($C95,Muuttujat!$N$5:$N$21,0),1)</f>
        <v>603.70612244897961</v>
      </c>
      <c r="AI95" s="332">
        <f t="shared" si="32"/>
        <v>257.98046647230325</v>
      </c>
      <c r="AJ95" s="332">
        <f t="shared" si="33"/>
        <v>0</v>
      </c>
      <c r="AK95" s="333">
        <f t="shared" si="45"/>
        <v>10749.686588921282</v>
      </c>
      <c r="AL95" s="332">
        <f t="shared" si="34"/>
        <v>10749.686588921282</v>
      </c>
      <c r="AM95" s="351"/>
      <c r="AN95" s="351"/>
    </row>
    <row r="96" spans="1:40">
      <c r="A96" s="139">
        <v>4</v>
      </c>
      <c r="B96" s="139">
        <f>IFERROR(IF((INDEX(Työkonekanta!$F$3:$F$27,MATCH('S3 Tiekartta'!$A96,Työkonekanta!$A$3:$A$24,0),1))&lt;0,0,(INDEX(Työkonekanta!$F$3:$F$27,MATCH('S3 Tiekartta'!$A96,Työkonekanta!$A$3:$A$24,0),1))),0)</f>
        <v>1</v>
      </c>
      <c r="C96" s="140">
        <v>2022</v>
      </c>
      <c r="D96" s="141" t="str">
        <f>IFERROR(INDEX(Työkonekanta!$D$3:$D$27,MATCH('S3 Tiekartta'!$A96,Työkonekanta!$A$3:$A$24,0),1),"undefined")</f>
        <v>pom</v>
      </c>
      <c r="E96" s="145">
        <f>IFERROR(INDEX(Työkonekanta!$G$3:$G$27,MATCH($A96,Työkonekanta!$A$3:$A$24,0),1)*INDEX(Työkonekanta!$H$3:$H$27,MATCH($A96,Työkonekanta!$A$3:$A$24,0),1)*(1+s0b_kasvu*($C96-2019))*$B96,0)</f>
        <v>10300</v>
      </c>
      <c r="F96" s="145">
        <f t="shared" si="26"/>
        <v>369770</v>
      </c>
      <c r="G96" s="151">
        <f t="shared" si="35"/>
        <v>354979.2</v>
      </c>
      <c r="H96" s="145">
        <f t="shared" si="36"/>
        <v>14790.800000000001</v>
      </c>
      <c r="I96" s="145">
        <f t="shared" si="27"/>
        <v>9888</v>
      </c>
      <c r="J96" s="145">
        <f t="shared" si="28"/>
        <v>431.21865889212836</v>
      </c>
      <c r="K96" s="142" t="str">
        <f t="shared" si="37"/>
        <v>l</v>
      </c>
      <c r="L96" s="146">
        <f>IFERROR(INDEX(Työkonekanta!$I$3:$I$27,MATCH('S3 Tiekartta'!$A96,Työkonekanta!$A$3:$A$24,0),1)*(I96+J96)*f_adblue,0)</f>
        <v>515.9609329446065</v>
      </c>
      <c r="M96" s="146">
        <f t="shared" si="46"/>
        <v>0</v>
      </c>
      <c r="N96" s="143" t="str">
        <f>IF(tuulisähkö_vuosi&lt;='S3 Tiekartta'!C96,"tuulisähkö",ostosähkö_nyt)</f>
        <v>jäännössähkö</v>
      </c>
      <c r="O96" s="147">
        <f>INDEX(Muuttujat!$J$5:$J$21,MATCH($C96,Muuttujat!$H$5:$H$21,0),1)</f>
        <v>67.190510474999996</v>
      </c>
      <c r="P96" s="148">
        <f t="shared" si="38"/>
        <v>0.96</v>
      </c>
      <c r="Q96" s="148">
        <f t="shared" si="39"/>
        <v>0.04</v>
      </c>
      <c r="R96" s="148">
        <f t="shared" si="40"/>
        <v>0.04</v>
      </c>
      <c r="S96" s="149">
        <f t="shared" si="29"/>
        <v>6.7091068800000002</v>
      </c>
      <c r="T96" s="150">
        <f t="shared" si="30"/>
        <v>0.92294591999999998</v>
      </c>
      <c r="U96" s="150">
        <f t="shared" si="31"/>
        <v>0</v>
      </c>
      <c r="V96" s="150">
        <f>IFERROR(INDEX(Työkonekanta!$J$3:$J$27,MATCH($A96,Työkonekanta!$A$3:$A$24,0),1)*$B96*ef_li_ion_akku/1000/1000/INDEX(Työkonekanta!$K$3:$K$27,MATCH($A96,Työkonekanta!$A$3:$A$24,0)),0)</f>
        <v>0</v>
      </c>
      <c r="W96" s="149">
        <f t="shared" si="47"/>
        <v>26.200395057196797</v>
      </c>
      <c r="X96" s="150">
        <f t="shared" si="48"/>
        <v>0.32727802980000004</v>
      </c>
      <c r="Y96" s="151">
        <f t="shared" si="49"/>
        <v>0.13414984256559767</v>
      </c>
      <c r="Z96" s="152">
        <f t="shared" si="41"/>
        <v>7.6320528000000003</v>
      </c>
      <c r="AA96" s="179">
        <f t="shared" si="42"/>
        <v>26.334544899762395</v>
      </c>
      <c r="AB96" s="179">
        <f t="shared" si="43"/>
        <v>26.661822929562394</v>
      </c>
      <c r="AC96" s="180">
        <f t="shared" si="50"/>
        <v>33.966597699762396</v>
      </c>
      <c r="AD96" s="156">
        <f t="shared" si="44"/>
        <v>34.293875729562394</v>
      </c>
      <c r="AE96" s="146">
        <f>IFERROR(INDEX(Työkonekanta!$L$3:$L$30,MATCH($A96,Työkonekanta!$A$3:$A$30,0),1),0)*AF96</f>
        <v>0</v>
      </c>
      <c r="AF96" s="146">
        <f>IFERROR(INDEX(Työkonekanta!$N$3:$N$32,MATCH($A96,Työkonekanta!$A$3:$A$32,0),1),0)</f>
        <v>0</v>
      </c>
      <c r="AG96" s="332">
        <f>I96*INDEX(Muuttujat!$U$5:$U$21,MATCH($C96,Muuttujat!$N$5:$N$21,0),1)</f>
        <v>9888</v>
      </c>
      <c r="AH96" s="332">
        <f>J96*INDEX(Muuttujat!$T$5:$T$21,MATCH($C96,Muuttujat!$N$5:$N$21,0),1)</f>
        <v>603.70612244897961</v>
      </c>
      <c r="AI96" s="332">
        <f t="shared" si="32"/>
        <v>257.98046647230325</v>
      </c>
      <c r="AJ96" s="332">
        <f t="shared" si="33"/>
        <v>0</v>
      </c>
      <c r="AK96" s="333">
        <f t="shared" si="45"/>
        <v>10749.686588921282</v>
      </c>
      <c r="AL96" s="332">
        <f t="shared" si="34"/>
        <v>10749.686588921282</v>
      </c>
      <c r="AM96" s="351"/>
      <c r="AN96" s="351"/>
    </row>
    <row r="97" spans="1:40">
      <c r="A97" s="139">
        <v>5</v>
      </c>
      <c r="B97" s="139">
        <f>IFERROR(IF((INDEX(Työkonekanta!$F$3:$F$27,MATCH('S3 Tiekartta'!$A97,Työkonekanta!$A$3:$A$24,0),1))&lt;0,0,(INDEX(Työkonekanta!$F$3:$F$27,MATCH('S3 Tiekartta'!$A97,Työkonekanta!$A$3:$A$24,0),1))),0)</f>
        <v>0</v>
      </c>
      <c r="C97" s="140">
        <v>2022</v>
      </c>
      <c r="D97" s="141" t="str">
        <f>IFERROR(INDEX(Työkonekanta!$D$3:$D$27,MATCH('S3 Tiekartta'!$A97,Työkonekanta!$A$3:$A$24,0),1),"undefined")</f>
        <v>sähkö</v>
      </c>
      <c r="E97" s="145">
        <f>IFERROR(INDEX(Työkonekanta!$G$3:$G$27,MATCH($A97,Työkonekanta!$A$3:$A$24,0),1)*INDEX(Työkonekanta!$H$3:$H$27,MATCH($A97,Työkonekanta!$A$3:$A$24,0),1)*(1+s0b_kasvu*($C97-2019))*$B97,0)</f>
        <v>0</v>
      </c>
      <c r="F97" s="145">
        <f t="shared" si="26"/>
        <v>0</v>
      </c>
      <c r="G97" s="151">
        <f t="shared" si="35"/>
        <v>0</v>
      </c>
      <c r="H97" s="145">
        <f t="shared" si="36"/>
        <v>0</v>
      </c>
      <c r="I97" s="145">
        <f t="shared" si="27"/>
        <v>0</v>
      </c>
      <c r="J97" s="145">
        <f t="shared" si="28"/>
        <v>0</v>
      </c>
      <c r="K97" s="142" t="str">
        <f t="shared" si="37"/>
        <v>kWh</v>
      </c>
      <c r="L97" s="146">
        <f>IFERROR(INDEX(Työkonekanta!$I$3:$I$27,MATCH('S3 Tiekartta'!$A97,Työkonekanta!$A$3:$A$24,0),1)*(I97+J97)*f_adblue,0)</f>
        <v>0</v>
      </c>
      <c r="M97" s="146">
        <f t="shared" si="46"/>
        <v>0</v>
      </c>
      <c r="N97" s="143" t="str">
        <f>IF(tuulisähkö_vuosi&lt;='S3 Tiekartta'!C97,"tuulisähkö",ostosähkö_nyt)</f>
        <v>jäännössähkö</v>
      </c>
      <c r="O97" s="147">
        <f>INDEX(Muuttujat!$J$5:$J$21,MATCH($C97,Muuttujat!$H$5:$H$21,0),1)</f>
        <v>67.190510474999996</v>
      </c>
      <c r="P97" s="148">
        <f t="shared" si="38"/>
        <v>0.96</v>
      </c>
      <c r="Q97" s="148">
        <f t="shared" si="39"/>
        <v>0.04</v>
      </c>
      <c r="R97" s="148">
        <f t="shared" si="40"/>
        <v>0.04</v>
      </c>
      <c r="S97" s="149">
        <f t="shared" si="29"/>
        <v>0</v>
      </c>
      <c r="T97" s="150">
        <f t="shared" si="30"/>
        <v>0</v>
      </c>
      <c r="U97" s="150">
        <f t="shared" si="31"/>
        <v>0</v>
      </c>
      <c r="V97" s="150">
        <f>IFERROR(INDEX(Työkonekanta!$J$3:$J$27,MATCH($A97,Työkonekanta!$A$3:$A$24,0),1)*$B97*ef_li_ion_akku/1000/1000/INDEX(Työkonekanta!$K$3:$K$27,MATCH($A97,Työkonekanta!$A$3:$A$24,0)),0)</f>
        <v>0</v>
      </c>
      <c r="W97" s="149">
        <f t="shared" si="47"/>
        <v>0</v>
      </c>
      <c r="X97" s="150">
        <f t="shared" si="48"/>
        <v>0</v>
      </c>
      <c r="Y97" s="151">
        <f t="shared" si="49"/>
        <v>0</v>
      </c>
      <c r="Z97" s="152">
        <f t="shared" si="41"/>
        <v>0</v>
      </c>
      <c r="AA97" s="179">
        <f t="shared" si="42"/>
        <v>0</v>
      </c>
      <c r="AB97" s="179">
        <f t="shared" si="43"/>
        <v>0</v>
      </c>
      <c r="AC97" s="180">
        <f t="shared" si="50"/>
        <v>0</v>
      </c>
      <c r="AD97" s="156">
        <f t="shared" si="44"/>
        <v>0</v>
      </c>
      <c r="AE97" s="146">
        <f>IFERROR(INDEX(Työkonekanta!$L$3:$L$30,MATCH($A97,Työkonekanta!$A$3:$A$30,0),1),0)*AF97</f>
        <v>0</v>
      </c>
      <c r="AF97" s="146">
        <f>IFERROR(INDEX(Työkonekanta!$N$3:$N$32,MATCH($A97,Työkonekanta!$A$3:$A$32,0),1),0)</f>
        <v>0</v>
      </c>
      <c r="AG97" s="332">
        <f>I97*INDEX(Muuttujat!$U$5:$U$21,MATCH($C97,Muuttujat!$N$5:$N$21,0),1)</f>
        <v>0</v>
      </c>
      <c r="AH97" s="332">
        <f>J97*INDEX(Muuttujat!$T$5:$T$21,MATCH($C97,Muuttujat!$N$5:$N$21,0),1)</f>
        <v>0</v>
      </c>
      <c r="AI97" s="332">
        <f t="shared" si="32"/>
        <v>0</v>
      </c>
      <c r="AJ97" s="332">
        <f t="shared" si="33"/>
        <v>0</v>
      </c>
      <c r="AK97" s="333">
        <f t="shared" si="45"/>
        <v>0</v>
      </c>
      <c r="AL97" s="332">
        <f t="shared" si="34"/>
        <v>0</v>
      </c>
      <c r="AM97" s="351"/>
      <c r="AN97" s="351"/>
    </row>
    <row r="98" spans="1:40">
      <c r="A98" s="139">
        <v>6</v>
      </c>
      <c r="B98" s="139">
        <f>IFERROR(IF((INDEX(Työkonekanta!$F$3:$F$27,MATCH('S3 Tiekartta'!$A98,Työkonekanta!$A$3:$A$24,0),1))&lt;0,0,(INDEX(Työkonekanta!$F$3:$F$27,MATCH('S3 Tiekartta'!$A98,Työkonekanta!$A$3:$A$24,0),1))),0)</f>
        <v>0</v>
      </c>
      <c r="C98" s="140">
        <v>2022</v>
      </c>
      <c r="D98" s="141" t="str">
        <f>IFERROR(INDEX(Työkonekanta!$D$3:$D$27,MATCH('S3 Tiekartta'!$A98,Työkonekanta!$A$3:$A$24,0),1),"undefined")</f>
        <v>sähkö</v>
      </c>
      <c r="E98" s="145">
        <f>IFERROR(INDEX(Työkonekanta!$G$3:$G$27,MATCH($A98,Työkonekanta!$A$3:$A$24,0),1)*INDEX(Työkonekanta!$H$3:$H$27,MATCH($A98,Työkonekanta!$A$3:$A$24,0),1)*(1+s0b_kasvu*($C98-2019))*$B98,0)</f>
        <v>0</v>
      </c>
      <c r="F98" s="145">
        <f t="shared" si="26"/>
        <v>0</v>
      </c>
      <c r="G98" s="151">
        <f t="shared" si="35"/>
        <v>0</v>
      </c>
      <c r="H98" s="145">
        <f t="shared" si="36"/>
        <v>0</v>
      </c>
      <c r="I98" s="145">
        <f t="shared" si="27"/>
        <v>0</v>
      </c>
      <c r="J98" s="145">
        <f t="shared" si="28"/>
        <v>0</v>
      </c>
      <c r="K98" s="142" t="str">
        <f t="shared" si="37"/>
        <v>kWh</v>
      </c>
      <c r="L98" s="146">
        <f>IFERROR(INDEX(Työkonekanta!$I$3:$I$27,MATCH('S3 Tiekartta'!$A98,Työkonekanta!$A$3:$A$24,0),1)*(I98+J98)*f_adblue,0)</f>
        <v>0</v>
      </c>
      <c r="M98" s="146">
        <f t="shared" si="46"/>
        <v>0</v>
      </c>
      <c r="N98" s="143" t="str">
        <f>IF(tuulisähkö_vuosi&lt;='S3 Tiekartta'!C98,"tuulisähkö",ostosähkö_nyt)</f>
        <v>jäännössähkö</v>
      </c>
      <c r="O98" s="147">
        <f>INDEX(Muuttujat!$J$5:$J$21,MATCH($C98,Muuttujat!$H$5:$H$21,0),1)</f>
        <v>67.190510474999996</v>
      </c>
      <c r="P98" s="148">
        <f t="shared" si="38"/>
        <v>0.96</v>
      </c>
      <c r="Q98" s="148">
        <f t="shared" si="39"/>
        <v>0.04</v>
      </c>
      <c r="R98" s="148">
        <f t="shared" si="40"/>
        <v>0.04</v>
      </c>
      <c r="S98" s="149">
        <f t="shared" si="29"/>
        <v>0</v>
      </c>
      <c r="T98" s="150">
        <f t="shared" si="30"/>
        <v>0</v>
      </c>
      <c r="U98" s="150">
        <f t="shared" si="31"/>
        <v>0</v>
      </c>
      <c r="V98" s="150">
        <f>IFERROR(INDEX(Työkonekanta!$J$3:$J$27,MATCH($A98,Työkonekanta!$A$3:$A$24,0),1)*$B98*ef_li_ion_akku/1000/1000/INDEX(Työkonekanta!$K$3:$K$27,MATCH($A98,Työkonekanta!$A$3:$A$24,0)),0)</f>
        <v>0</v>
      </c>
      <c r="W98" s="149">
        <f t="shared" si="47"/>
        <v>0</v>
      </c>
      <c r="X98" s="150">
        <f t="shared" si="48"/>
        <v>0</v>
      </c>
      <c r="Y98" s="151">
        <f t="shared" si="49"/>
        <v>0</v>
      </c>
      <c r="Z98" s="152">
        <f t="shared" si="41"/>
        <v>0</v>
      </c>
      <c r="AA98" s="179">
        <f t="shared" si="42"/>
        <v>0</v>
      </c>
      <c r="AB98" s="179">
        <f t="shared" si="43"/>
        <v>0</v>
      </c>
      <c r="AC98" s="180">
        <f t="shared" si="50"/>
        <v>0</v>
      </c>
      <c r="AD98" s="156">
        <f t="shared" si="44"/>
        <v>0</v>
      </c>
      <c r="AE98" s="146">
        <f>IFERROR(INDEX(Työkonekanta!$L$3:$L$30,MATCH($A98,Työkonekanta!$A$3:$A$30,0),1),0)*AF98</f>
        <v>0</v>
      </c>
      <c r="AF98" s="146">
        <f>IFERROR(INDEX(Työkonekanta!$N$3:$N$32,MATCH($A98,Työkonekanta!$A$3:$A$32,0),1),0)</f>
        <v>0</v>
      </c>
      <c r="AG98" s="332">
        <f>I98*INDEX(Muuttujat!$U$5:$U$21,MATCH($C98,Muuttujat!$N$5:$N$21,0),1)</f>
        <v>0</v>
      </c>
      <c r="AH98" s="332">
        <f>J98*INDEX(Muuttujat!$T$5:$T$21,MATCH($C98,Muuttujat!$N$5:$N$21,0),1)</f>
        <v>0</v>
      </c>
      <c r="AI98" s="332">
        <f t="shared" si="32"/>
        <v>0</v>
      </c>
      <c r="AJ98" s="332">
        <f t="shared" si="33"/>
        <v>0</v>
      </c>
      <c r="AK98" s="333">
        <f t="shared" si="45"/>
        <v>0</v>
      </c>
      <c r="AL98" s="332">
        <f t="shared" si="34"/>
        <v>0</v>
      </c>
      <c r="AM98" s="351"/>
      <c r="AN98" s="351"/>
    </row>
    <row r="99" spans="1:40">
      <c r="A99" s="139">
        <v>7</v>
      </c>
      <c r="B99" s="139">
        <f>IFERROR(IF((INDEX(Työkonekanta!$F$3:$F$27,MATCH('S3 Tiekartta'!$A99,Työkonekanta!$A$3:$A$24,0),1))&lt;0,0,(INDEX(Työkonekanta!$F$3:$F$27,MATCH('S3 Tiekartta'!$A99,Työkonekanta!$A$3:$A$24,0),1))),0)</f>
        <v>1</v>
      </c>
      <c r="C99" s="140">
        <v>2022</v>
      </c>
      <c r="D99" s="141" t="str">
        <f>IFERROR(INDEX(Työkonekanta!$D$3:$D$27,MATCH('S3 Tiekartta'!$A99,Työkonekanta!$A$3:$A$24,0),1),"undefined")</f>
        <v>pom</v>
      </c>
      <c r="E99" s="145">
        <f>IFERROR(INDEX(Työkonekanta!$G$3:$G$27,MATCH($A99,Työkonekanta!$A$3:$A$24,0),1)*INDEX(Työkonekanta!$H$3:$H$27,MATCH($A99,Työkonekanta!$A$3:$A$24,0),1)*(1+s0b_kasvu*($C99-2019))*$B99,0)</f>
        <v>10300</v>
      </c>
      <c r="F99" s="145">
        <f t="shared" si="26"/>
        <v>369770</v>
      </c>
      <c r="G99" s="151">
        <f t="shared" si="35"/>
        <v>354979.2</v>
      </c>
      <c r="H99" s="145">
        <f t="shared" si="36"/>
        <v>14790.800000000001</v>
      </c>
      <c r="I99" s="145">
        <f t="shared" si="27"/>
        <v>9888</v>
      </c>
      <c r="J99" s="145">
        <f t="shared" si="28"/>
        <v>431.21865889212836</v>
      </c>
      <c r="K99" s="142" t="str">
        <f t="shared" si="37"/>
        <v>l</v>
      </c>
      <c r="L99" s="146">
        <f>IFERROR(INDEX(Työkonekanta!$I$3:$I$27,MATCH('S3 Tiekartta'!$A99,Työkonekanta!$A$3:$A$24,0),1)*(I99+J99)*f_adblue,0)</f>
        <v>0</v>
      </c>
      <c r="M99" s="146">
        <f t="shared" si="46"/>
        <v>0</v>
      </c>
      <c r="N99" s="143" t="str">
        <f>IF(tuulisähkö_vuosi&lt;='S3 Tiekartta'!C99,"tuulisähkö",ostosähkö_nyt)</f>
        <v>jäännössähkö</v>
      </c>
      <c r="O99" s="147">
        <f>INDEX(Muuttujat!$J$5:$J$21,MATCH($C99,Muuttujat!$H$5:$H$21,0),1)</f>
        <v>67.190510474999996</v>
      </c>
      <c r="P99" s="148">
        <f t="shared" si="38"/>
        <v>0.96</v>
      </c>
      <c r="Q99" s="148">
        <f t="shared" si="39"/>
        <v>0.04</v>
      </c>
      <c r="R99" s="148">
        <f t="shared" si="40"/>
        <v>0.04</v>
      </c>
      <c r="S99" s="149">
        <f t="shared" si="29"/>
        <v>6.7091068800000002</v>
      </c>
      <c r="T99" s="150">
        <f t="shared" si="30"/>
        <v>0.92294591999999998</v>
      </c>
      <c r="U99" s="150">
        <f t="shared" si="31"/>
        <v>0</v>
      </c>
      <c r="V99" s="150">
        <f>IFERROR(INDEX(Työkonekanta!$J$3:$J$27,MATCH($A99,Työkonekanta!$A$3:$A$24,0),1)*$B99*ef_li_ion_akku/1000/1000/INDEX(Työkonekanta!$K$3:$K$27,MATCH($A99,Työkonekanta!$A$3:$A$24,0)),0)</f>
        <v>0</v>
      </c>
      <c r="W99" s="149">
        <f t="shared" si="47"/>
        <v>26.200395057196797</v>
      </c>
      <c r="X99" s="150">
        <f t="shared" si="48"/>
        <v>0.32727802980000004</v>
      </c>
      <c r="Y99" s="151">
        <f t="shared" si="49"/>
        <v>0</v>
      </c>
      <c r="Z99" s="152">
        <f t="shared" si="41"/>
        <v>7.6320528000000003</v>
      </c>
      <c r="AA99" s="179">
        <f t="shared" si="42"/>
        <v>26.200395057196797</v>
      </c>
      <c r="AB99" s="179">
        <f t="shared" si="43"/>
        <v>26.527673086996796</v>
      </c>
      <c r="AC99" s="180">
        <f t="shared" si="50"/>
        <v>33.832447857196797</v>
      </c>
      <c r="AD99" s="156">
        <f t="shared" si="44"/>
        <v>34.159725886996796</v>
      </c>
      <c r="AE99" s="146">
        <f>IFERROR(INDEX(Työkonekanta!$L$3:$L$30,MATCH($A99,Työkonekanta!$A$3:$A$30,0),1),0)*AF99</f>
        <v>500000</v>
      </c>
      <c r="AF99" s="146">
        <f>IFERROR(INDEX(Työkonekanta!$N$3:$N$32,MATCH($A99,Työkonekanta!$A$3:$A$32,0),1),0)</f>
        <v>1</v>
      </c>
      <c r="AG99" s="332">
        <f>I99*INDEX(Muuttujat!$U$5:$U$21,MATCH($C99,Muuttujat!$N$5:$N$21,0),1)</f>
        <v>9888</v>
      </c>
      <c r="AH99" s="332">
        <f>J99*INDEX(Muuttujat!$T$5:$T$21,MATCH($C99,Muuttujat!$N$5:$N$21,0),1)</f>
        <v>603.70612244897961</v>
      </c>
      <c r="AI99" s="332">
        <f t="shared" si="32"/>
        <v>0</v>
      </c>
      <c r="AJ99" s="332">
        <f t="shared" si="33"/>
        <v>0</v>
      </c>
      <c r="AK99" s="333">
        <f t="shared" si="45"/>
        <v>10491.706122448979</v>
      </c>
      <c r="AL99" s="332">
        <f t="shared" si="34"/>
        <v>10491.706122448979</v>
      </c>
      <c r="AM99" s="351"/>
      <c r="AN99" s="351"/>
    </row>
    <row r="100" spans="1:40">
      <c r="A100" s="139">
        <v>8</v>
      </c>
      <c r="B100" s="139">
        <f>IFERROR(IF((INDEX(Työkonekanta!$F$3:$F$27,MATCH('S3 Tiekartta'!$A100,Työkonekanta!$A$3:$A$24,0),1))&lt;0,0,(INDEX(Työkonekanta!$F$3:$F$27,MATCH('S3 Tiekartta'!$A100,Työkonekanta!$A$3:$A$24,0),1))),0)</f>
        <v>1</v>
      </c>
      <c r="C100" s="140">
        <v>2022</v>
      </c>
      <c r="D100" s="141" t="str">
        <f>IFERROR(INDEX(Työkonekanta!$D$3:$D$27,MATCH('S3 Tiekartta'!$A100,Työkonekanta!$A$3:$A$24,0),1),"undefined")</f>
        <v>pom</v>
      </c>
      <c r="E100" s="145">
        <f>IFERROR(INDEX(Työkonekanta!$G$3:$G$27,MATCH($A100,Työkonekanta!$A$3:$A$24,0),1)*INDEX(Työkonekanta!$H$3:$H$27,MATCH($A100,Työkonekanta!$A$3:$A$24,0),1)*(1+s0b_kasvu*($C100-2019))*$B100,0)</f>
        <v>10300</v>
      </c>
      <c r="F100" s="145">
        <f t="shared" si="26"/>
        <v>369770</v>
      </c>
      <c r="G100" s="151">
        <f t="shared" si="35"/>
        <v>354979.2</v>
      </c>
      <c r="H100" s="145">
        <f t="shared" si="36"/>
        <v>14790.800000000001</v>
      </c>
      <c r="I100" s="145">
        <f t="shared" si="27"/>
        <v>9888</v>
      </c>
      <c r="J100" s="145">
        <f t="shared" si="28"/>
        <v>431.21865889212836</v>
      </c>
      <c r="K100" s="142" t="str">
        <f t="shared" si="37"/>
        <v>l</v>
      </c>
      <c r="L100" s="146">
        <f>IFERROR(INDEX(Työkonekanta!$I$3:$I$27,MATCH('S3 Tiekartta'!$A100,Työkonekanta!$A$3:$A$24,0),1)*(I100+J100)*f_adblue,0)</f>
        <v>515.9609329446065</v>
      </c>
      <c r="M100" s="146">
        <f t="shared" si="46"/>
        <v>0</v>
      </c>
      <c r="N100" s="143" t="str">
        <f>IF(tuulisähkö_vuosi&lt;='S3 Tiekartta'!C100,"tuulisähkö",ostosähkö_nyt)</f>
        <v>jäännössähkö</v>
      </c>
      <c r="O100" s="147">
        <f>INDEX(Muuttujat!$J$5:$J$21,MATCH($C100,Muuttujat!$H$5:$H$21,0),1)</f>
        <v>67.190510474999996</v>
      </c>
      <c r="P100" s="148">
        <f t="shared" si="38"/>
        <v>0.96</v>
      </c>
      <c r="Q100" s="148">
        <f t="shared" si="39"/>
        <v>0.04</v>
      </c>
      <c r="R100" s="148">
        <f t="shared" si="40"/>
        <v>0.04</v>
      </c>
      <c r="S100" s="149">
        <f t="shared" si="29"/>
        <v>6.7091068800000002</v>
      </c>
      <c r="T100" s="150">
        <f t="shared" si="30"/>
        <v>0.92294591999999998</v>
      </c>
      <c r="U100" s="150">
        <f t="shared" si="31"/>
        <v>0</v>
      </c>
      <c r="V100" s="150">
        <f>IFERROR(INDEX(Työkonekanta!$J$3:$J$27,MATCH($A100,Työkonekanta!$A$3:$A$24,0),1)*$B100*ef_li_ion_akku/1000/1000/INDEX(Työkonekanta!$K$3:$K$27,MATCH($A100,Työkonekanta!$A$3:$A$24,0)),0)</f>
        <v>0</v>
      </c>
      <c r="W100" s="149">
        <f t="shared" si="47"/>
        <v>26.200395057196797</v>
      </c>
      <c r="X100" s="150">
        <f t="shared" si="48"/>
        <v>0.32727802980000004</v>
      </c>
      <c r="Y100" s="151">
        <f t="shared" si="49"/>
        <v>0.13414984256559767</v>
      </c>
      <c r="Z100" s="152">
        <f t="shared" si="41"/>
        <v>7.6320528000000003</v>
      </c>
      <c r="AA100" s="179">
        <f t="shared" si="42"/>
        <v>26.334544899762395</v>
      </c>
      <c r="AB100" s="179">
        <f t="shared" si="43"/>
        <v>26.661822929562394</v>
      </c>
      <c r="AC100" s="180">
        <f t="shared" si="50"/>
        <v>33.966597699762396</v>
      </c>
      <c r="AD100" s="156">
        <f t="shared" si="44"/>
        <v>34.293875729562394</v>
      </c>
      <c r="AE100" s="146">
        <f>IFERROR(INDEX(Työkonekanta!$L$3:$L$30,MATCH($A100,Työkonekanta!$A$3:$A$30,0),1),0)*AF100</f>
        <v>500000</v>
      </c>
      <c r="AF100" s="146">
        <f>IFERROR(INDEX(Työkonekanta!$N$3:$N$32,MATCH($A100,Työkonekanta!$A$3:$A$32,0),1),0)</f>
        <v>1</v>
      </c>
      <c r="AG100" s="332">
        <f>I100*INDEX(Muuttujat!$U$5:$U$21,MATCH($C100,Muuttujat!$N$5:$N$21,0),1)</f>
        <v>9888</v>
      </c>
      <c r="AH100" s="332">
        <f>J100*INDEX(Muuttujat!$T$5:$T$21,MATCH($C100,Muuttujat!$N$5:$N$21,0),1)</f>
        <v>603.70612244897961</v>
      </c>
      <c r="AI100" s="332">
        <f t="shared" si="32"/>
        <v>257.98046647230325</v>
      </c>
      <c r="AJ100" s="332">
        <f t="shared" si="33"/>
        <v>0</v>
      </c>
      <c r="AK100" s="333">
        <f t="shared" si="45"/>
        <v>10749.686588921282</v>
      </c>
      <c r="AL100" s="332">
        <f t="shared" si="34"/>
        <v>10749.686588921282</v>
      </c>
      <c r="AM100" s="351"/>
      <c r="AN100" s="351"/>
    </row>
    <row r="101" spans="1:40">
      <c r="A101" s="139">
        <v>9</v>
      </c>
      <c r="B101" s="139">
        <f>IFERROR(IF((INDEX(Työkonekanta!$F$3:$F$27,MATCH('S3 Tiekartta'!$A101,Työkonekanta!$A$3:$A$24,0),1))&lt;0,0,(INDEX(Työkonekanta!$F$3:$F$27,MATCH('S3 Tiekartta'!$A101,Työkonekanta!$A$3:$A$24,0),1))),0)</f>
        <v>0</v>
      </c>
      <c r="C101" s="140">
        <v>2022</v>
      </c>
      <c r="D101" s="141" t="str">
        <f>IFERROR(INDEX(Työkonekanta!$D$3:$D$27,MATCH('S3 Tiekartta'!$A101,Työkonekanta!$A$3:$A$24,0),1),"undefined")</f>
        <v>sähkö</v>
      </c>
      <c r="E101" s="145">
        <f>IFERROR(INDEX(Työkonekanta!$G$3:$G$27,MATCH($A101,Työkonekanta!$A$3:$A$24,0),1)*INDEX(Työkonekanta!$H$3:$H$27,MATCH($A101,Työkonekanta!$A$3:$A$24,0),1)*(1+s0b_kasvu*($C101-2019))*$B101,0)</f>
        <v>0</v>
      </c>
      <c r="F101" s="145">
        <f t="shared" si="26"/>
        <v>0</v>
      </c>
      <c r="G101" s="151">
        <f t="shared" si="35"/>
        <v>0</v>
      </c>
      <c r="H101" s="145">
        <f t="shared" si="36"/>
        <v>0</v>
      </c>
      <c r="I101" s="145">
        <f t="shared" si="27"/>
        <v>0</v>
      </c>
      <c r="J101" s="145">
        <f t="shared" si="28"/>
        <v>0</v>
      </c>
      <c r="K101" s="142" t="str">
        <f t="shared" si="37"/>
        <v>kWh</v>
      </c>
      <c r="L101" s="146">
        <f>IFERROR(INDEX(Työkonekanta!$I$3:$I$27,MATCH('S3 Tiekartta'!$A101,Työkonekanta!$A$3:$A$24,0),1)*(I101+J101)*f_adblue,0)</f>
        <v>0</v>
      </c>
      <c r="M101" s="146">
        <f t="shared" si="46"/>
        <v>0</v>
      </c>
      <c r="N101" s="143" t="str">
        <f>IF(tuulisähkö_vuosi&lt;='S3 Tiekartta'!C101,"tuulisähkö",ostosähkö_nyt)</f>
        <v>jäännössähkö</v>
      </c>
      <c r="O101" s="147">
        <f>INDEX(Muuttujat!$J$5:$J$21,MATCH($C101,Muuttujat!$H$5:$H$21,0),1)</f>
        <v>67.190510474999996</v>
      </c>
      <c r="P101" s="148">
        <f t="shared" si="38"/>
        <v>0.96</v>
      </c>
      <c r="Q101" s="148">
        <f t="shared" si="39"/>
        <v>0.04</v>
      </c>
      <c r="R101" s="148">
        <f t="shared" si="40"/>
        <v>0.04</v>
      </c>
      <c r="S101" s="149">
        <f t="shared" si="29"/>
        <v>0</v>
      </c>
      <c r="T101" s="150">
        <f t="shared" si="30"/>
        <v>0</v>
      </c>
      <c r="U101" s="150">
        <f t="shared" si="31"/>
        <v>0</v>
      </c>
      <c r="V101" s="150">
        <f>IFERROR(INDEX(Työkonekanta!$J$3:$J$27,MATCH($A101,Työkonekanta!$A$3:$A$24,0),1)*$B101*ef_li_ion_akku/1000/1000/INDEX(Työkonekanta!$K$3:$K$27,MATCH($A101,Työkonekanta!$A$3:$A$24,0)),0)</f>
        <v>0</v>
      </c>
      <c r="W101" s="149">
        <f t="shared" si="47"/>
        <v>0</v>
      </c>
      <c r="X101" s="150">
        <f t="shared" si="48"/>
        <v>0</v>
      </c>
      <c r="Y101" s="151">
        <f t="shared" si="49"/>
        <v>0</v>
      </c>
      <c r="Z101" s="152">
        <f t="shared" si="41"/>
        <v>0</v>
      </c>
      <c r="AA101" s="179">
        <f t="shared" si="42"/>
        <v>0</v>
      </c>
      <c r="AB101" s="179">
        <f t="shared" si="43"/>
        <v>0</v>
      </c>
      <c r="AC101" s="180">
        <f t="shared" si="50"/>
        <v>0</v>
      </c>
      <c r="AD101" s="156">
        <f t="shared" si="44"/>
        <v>0</v>
      </c>
      <c r="AE101" s="146">
        <f>IFERROR(INDEX(Työkonekanta!$L$3:$L$30,MATCH($A101,Työkonekanta!$A$3:$A$30,0),1),0)*AF101</f>
        <v>0</v>
      </c>
      <c r="AF101" s="146">
        <f>IFERROR(INDEX(Työkonekanta!$N$3:$N$32,MATCH($A101,Työkonekanta!$A$3:$A$32,0),1),0)</f>
        <v>0</v>
      </c>
      <c r="AG101" s="332">
        <f>I101*INDEX(Muuttujat!$U$5:$U$21,MATCH($C101,Muuttujat!$N$5:$N$21,0),1)</f>
        <v>0</v>
      </c>
      <c r="AH101" s="332">
        <f>J101*INDEX(Muuttujat!$T$5:$T$21,MATCH($C101,Muuttujat!$N$5:$N$21,0),1)</f>
        <v>0</v>
      </c>
      <c r="AI101" s="332">
        <f t="shared" si="32"/>
        <v>0</v>
      </c>
      <c r="AJ101" s="332">
        <f t="shared" si="33"/>
        <v>0</v>
      </c>
      <c r="AK101" s="333">
        <f t="shared" si="45"/>
        <v>0</v>
      </c>
      <c r="AL101" s="332">
        <f t="shared" si="34"/>
        <v>0</v>
      </c>
      <c r="AM101" s="351"/>
      <c r="AN101" s="351"/>
    </row>
    <row r="102" spans="1:40">
      <c r="A102" s="139">
        <v>10</v>
      </c>
      <c r="B102" s="139">
        <f>IFERROR(IF((INDEX(Työkonekanta!$F$3:$F$27,MATCH('S3 Tiekartta'!$A102,Työkonekanta!$A$3:$A$24,0),1))&lt;0,0,(INDEX(Työkonekanta!$F$3:$F$27,MATCH('S3 Tiekartta'!$A102,Työkonekanta!$A$3:$A$24,0),1))),0)</f>
        <v>0</v>
      </c>
      <c r="C102" s="140">
        <v>2022</v>
      </c>
      <c r="D102" s="141" t="str">
        <f>IFERROR(INDEX(Työkonekanta!$D$3:$D$27,MATCH('S3 Tiekartta'!$A102,Työkonekanta!$A$3:$A$24,0),1),"undefined")</f>
        <v>sähkö</v>
      </c>
      <c r="E102" s="145">
        <f>IFERROR(INDEX(Työkonekanta!$G$3:$G$27,MATCH($A102,Työkonekanta!$A$3:$A$24,0),1)*INDEX(Työkonekanta!$H$3:$H$27,MATCH($A102,Työkonekanta!$A$3:$A$24,0),1)*(1+s0b_kasvu*($C102-2019))*$B102,0)</f>
        <v>0</v>
      </c>
      <c r="F102" s="145">
        <f t="shared" si="26"/>
        <v>0</v>
      </c>
      <c r="G102" s="151">
        <f t="shared" si="35"/>
        <v>0</v>
      </c>
      <c r="H102" s="145">
        <f t="shared" si="36"/>
        <v>0</v>
      </c>
      <c r="I102" s="145">
        <f t="shared" si="27"/>
        <v>0</v>
      </c>
      <c r="J102" s="145">
        <f t="shared" si="28"/>
        <v>0</v>
      </c>
      <c r="K102" s="142" t="str">
        <f t="shared" si="37"/>
        <v>kWh</v>
      </c>
      <c r="L102" s="146">
        <f>IFERROR(INDEX(Työkonekanta!$I$3:$I$27,MATCH('S3 Tiekartta'!$A102,Työkonekanta!$A$3:$A$24,0),1)*(I102+J102)*f_adblue,0)</f>
        <v>0</v>
      </c>
      <c r="M102" s="146">
        <f t="shared" si="46"/>
        <v>0</v>
      </c>
      <c r="N102" s="143" t="str">
        <f>IF(tuulisähkö_vuosi&lt;='S3 Tiekartta'!C102,"tuulisähkö",ostosähkö_nyt)</f>
        <v>jäännössähkö</v>
      </c>
      <c r="O102" s="147">
        <f>INDEX(Muuttujat!$J$5:$J$21,MATCH($C102,Muuttujat!$H$5:$H$21,0),1)</f>
        <v>67.190510474999996</v>
      </c>
      <c r="P102" s="148">
        <f t="shared" si="38"/>
        <v>0.96</v>
      </c>
      <c r="Q102" s="148">
        <f t="shared" si="39"/>
        <v>0.04</v>
      </c>
      <c r="R102" s="148">
        <f t="shared" si="40"/>
        <v>0.04</v>
      </c>
      <c r="S102" s="149">
        <f t="shared" si="29"/>
        <v>0</v>
      </c>
      <c r="T102" s="150">
        <f t="shared" si="30"/>
        <v>0</v>
      </c>
      <c r="U102" s="150">
        <f t="shared" si="31"/>
        <v>0</v>
      </c>
      <c r="V102" s="150">
        <f>IFERROR(INDEX(Työkonekanta!$J$3:$J$27,MATCH($A102,Työkonekanta!$A$3:$A$24,0),1)*$B102*ef_li_ion_akku/1000/1000/INDEX(Työkonekanta!$K$3:$K$27,MATCH($A102,Työkonekanta!$A$3:$A$24,0)),0)</f>
        <v>0</v>
      </c>
      <c r="W102" s="149">
        <f t="shared" si="47"/>
        <v>0</v>
      </c>
      <c r="X102" s="150">
        <f t="shared" si="48"/>
        <v>0</v>
      </c>
      <c r="Y102" s="151">
        <f t="shared" si="49"/>
        <v>0</v>
      </c>
      <c r="Z102" s="152">
        <f t="shared" si="41"/>
        <v>0</v>
      </c>
      <c r="AA102" s="179">
        <f t="shared" si="42"/>
        <v>0</v>
      </c>
      <c r="AB102" s="179">
        <f t="shared" si="43"/>
        <v>0</v>
      </c>
      <c r="AC102" s="180">
        <f t="shared" si="50"/>
        <v>0</v>
      </c>
      <c r="AD102" s="156">
        <f t="shared" si="44"/>
        <v>0</v>
      </c>
      <c r="AE102" s="146">
        <f>IFERROR(INDEX(Työkonekanta!$L$3:$L$30,MATCH($A102,Työkonekanta!$A$3:$A$30,0),1),0)*AF102</f>
        <v>0</v>
      </c>
      <c r="AF102" s="146">
        <f>IFERROR(INDEX(Työkonekanta!$N$3:$N$32,MATCH($A102,Työkonekanta!$A$3:$A$32,0),1),0)</f>
        <v>0</v>
      </c>
      <c r="AG102" s="332">
        <f>I102*INDEX(Muuttujat!$U$5:$U$21,MATCH($C102,Muuttujat!$N$5:$N$21,0),1)</f>
        <v>0</v>
      </c>
      <c r="AH102" s="332">
        <f>J102*INDEX(Muuttujat!$T$5:$T$21,MATCH($C102,Muuttujat!$N$5:$N$21,0),1)</f>
        <v>0</v>
      </c>
      <c r="AI102" s="332">
        <f t="shared" si="32"/>
        <v>0</v>
      </c>
      <c r="AJ102" s="332">
        <f t="shared" si="33"/>
        <v>0</v>
      </c>
      <c r="AK102" s="333">
        <f t="shared" si="45"/>
        <v>0</v>
      </c>
      <c r="AL102" s="332">
        <f t="shared" si="34"/>
        <v>0</v>
      </c>
      <c r="AM102" s="351"/>
      <c r="AN102" s="351"/>
    </row>
    <row r="103" spans="1:40">
      <c r="A103" s="139">
        <v>11</v>
      </c>
      <c r="B103" s="139">
        <f>IFERROR(IF((INDEX(Työkonekanta!$F$3:$F$27,MATCH('S3 Tiekartta'!$A103,Työkonekanta!$A$3:$A$24,0),1))&lt;0,0,(INDEX(Työkonekanta!$F$3:$F$27,MATCH('S3 Tiekartta'!$A103,Työkonekanta!$A$3:$A$24,0),1))),0)</f>
        <v>1</v>
      </c>
      <c r="C103" s="140">
        <v>2022</v>
      </c>
      <c r="D103" s="141" t="str">
        <f>IFERROR(INDEX(Työkonekanta!$D$3:$D$27,MATCH('S3 Tiekartta'!$A103,Työkonekanta!$A$3:$A$24,0),1),"undefined")</f>
        <v>pom</v>
      </c>
      <c r="E103" s="145">
        <f>IFERROR(INDEX(Työkonekanta!$G$3:$G$27,MATCH($A103,Työkonekanta!$A$3:$A$24,0),1)*INDEX(Työkonekanta!$H$3:$H$27,MATCH($A103,Työkonekanta!$A$3:$A$24,0),1)*(1+s0b_kasvu*($C103-2019))*$B103,0)</f>
        <v>10300</v>
      </c>
      <c r="F103" s="145">
        <f t="shared" si="26"/>
        <v>369770</v>
      </c>
      <c r="G103" s="151">
        <f t="shared" si="35"/>
        <v>354979.2</v>
      </c>
      <c r="H103" s="145">
        <f t="shared" si="36"/>
        <v>14790.800000000001</v>
      </c>
      <c r="I103" s="145">
        <f t="shared" si="27"/>
        <v>9888</v>
      </c>
      <c r="J103" s="145">
        <f t="shared" si="28"/>
        <v>431.21865889212836</v>
      </c>
      <c r="K103" s="142" t="str">
        <f t="shared" si="37"/>
        <v>l</v>
      </c>
      <c r="L103" s="146">
        <f>IFERROR(INDEX(Työkonekanta!$I$3:$I$27,MATCH('S3 Tiekartta'!$A103,Työkonekanta!$A$3:$A$24,0),1)*(I103+J103)*f_adblue,0)</f>
        <v>515.9609329446065</v>
      </c>
      <c r="M103" s="146">
        <f t="shared" si="46"/>
        <v>0</v>
      </c>
      <c r="N103" s="143" t="str">
        <f>IF(tuulisähkö_vuosi&lt;='S3 Tiekartta'!C103,"tuulisähkö",ostosähkö_nyt)</f>
        <v>jäännössähkö</v>
      </c>
      <c r="O103" s="147">
        <f>INDEX(Muuttujat!$J$5:$J$21,MATCH($C103,Muuttujat!$H$5:$H$21,0),1)</f>
        <v>67.190510474999996</v>
      </c>
      <c r="P103" s="148">
        <f t="shared" si="38"/>
        <v>0.96</v>
      </c>
      <c r="Q103" s="148">
        <f t="shared" si="39"/>
        <v>0.04</v>
      </c>
      <c r="R103" s="148">
        <f t="shared" si="40"/>
        <v>0.04</v>
      </c>
      <c r="S103" s="149">
        <f t="shared" si="29"/>
        <v>6.7091068800000002</v>
      </c>
      <c r="T103" s="150">
        <f t="shared" si="30"/>
        <v>0.92294591999999998</v>
      </c>
      <c r="U103" s="150">
        <f t="shared" si="31"/>
        <v>0</v>
      </c>
      <c r="V103" s="150">
        <f>IFERROR(INDEX(Työkonekanta!$J$3:$J$27,MATCH($A103,Työkonekanta!$A$3:$A$24,0),1)*$B103*ef_li_ion_akku/1000/1000/INDEX(Työkonekanta!$K$3:$K$27,MATCH($A103,Työkonekanta!$A$3:$A$24,0)),0)</f>
        <v>0</v>
      </c>
      <c r="W103" s="149">
        <f t="shared" si="47"/>
        <v>26.200395057196797</v>
      </c>
      <c r="X103" s="150">
        <f t="shared" si="48"/>
        <v>0.32727802980000004</v>
      </c>
      <c r="Y103" s="151">
        <f t="shared" si="49"/>
        <v>0.13414984256559767</v>
      </c>
      <c r="Z103" s="152">
        <f t="shared" si="41"/>
        <v>7.6320528000000003</v>
      </c>
      <c r="AA103" s="179">
        <f t="shared" si="42"/>
        <v>26.334544899762395</v>
      </c>
      <c r="AB103" s="179">
        <f t="shared" si="43"/>
        <v>26.661822929562394</v>
      </c>
      <c r="AC103" s="180">
        <f t="shared" si="50"/>
        <v>33.966597699762396</v>
      </c>
      <c r="AD103" s="156">
        <f t="shared" si="44"/>
        <v>34.293875729562394</v>
      </c>
      <c r="AE103" s="146">
        <f>IFERROR(INDEX(Työkonekanta!$L$3:$L$30,MATCH($A103,Työkonekanta!$A$3:$A$30,0),1),0)*AF103</f>
        <v>500000</v>
      </c>
      <c r="AF103" s="146">
        <f>IFERROR(INDEX(Työkonekanta!$N$3:$N$32,MATCH($A103,Työkonekanta!$A$3:$A$32,0),1),0)</f>
        <v>1</v>
      </c>
      <c r="AG103" s="332">
        <f>I103*INDEX(Muuttujat!$U$5:$U$21,MATCH($C103,Muuttujat!$N$5:$N$21,0),1)</f>
        <v>9888</v>
      </c>
      <c r="AH103" s="332">
        <f>J103*INDEX(Muuttujat!$T$5:$T$21,MATCH($C103,Muuttujat!$N$5:$N$21,0),1)</f>
        <v>603.70612244897961</v>
      </c>
      <c r="AI103" s="332">
        <f t="shared" si="32"/>
        <v>257.98046647230325</v>
      </c>
      <c r="AJ103" s="332">
        <f t="shared" si="33"/>
        <v>0</v>
      </c>
      <c r="AK103" s="333">
        <f t="shared" si="45"/>
        <v>10749.686588921282</v>
      </c>
      <c r="AL103" s="332">
        <f t="shared" si="34"/>
        <v>10749.686588921282</v>
      </c>
      <c r="AM103" s="351"/>
      <c r="AN103" s="351"/>
    </row>
    <row r="104" spans="1:40">
      <c r="A104" s="139">
        <v>12</v>
      </c>
      <c r="B104" s="139">
        <f>IFERROR(IF((INDEX(Työkonekanta!$F$3:$F$27,MATCH('S3 Tiekartta'!$A104,Työkonekanta!$A$3:$A$24,0),1))&lt;0,0,(INDEX(Työkonekanta!$F$3:$F$27,MATCH('S3 Tiekartta'!$A104,Työkonekanta!$A$3:$A$24,0),1))),0)</f>
        <v>1</v>
      </c>
      <c r="C104" s="140">
        <v>2022</v>
      </c>
      <c r="D104" s="141" t="str">
        <f>IFERROR(INDEX(Työkonekanta!$D$3:$D$27,MATCH('S3 Tiekartta'!$A104,Työkonekanta!$A$3:$A$24,0),1),"undefined")</f>
        <v>pom</v>
      </c>
      <c r="E104" s="145">
        <f>IFERROR(INDEX(Työkonekanta!$G$3:$G$27,MATCH($A104,Työkonekanta!$A$3:$A$24,0),1)*INDEX(Työkonekanta!$H$3:$H$27,MATCH($A104,Työkonekanta!$A$3:$A$24,0),1)*(1+s0b_kasvu*($C104-2019))*$B104,0)</f>
        <v>10300</v>
      </c>
      <c r="F104" s="145">
        <f t="shared" si="26"/>
        <v>369770</v>
      </c>
      <c r="G104" s="151">
        <f t="shared" si="35"/>
        <v>354979.2</v>
      </c>
      <c r="H104" s="145">
        <f t="shared" si="36"/>
        <v>14790.800000000001</v>
      </c>
      <c r="I104" s="145">
        <f t="shared" si="27"/>
        <v>9888</v>
      </c>
      <c r="J104" s="145">
        <f t="shared" si="28"/>
        <v>431.21865889212836</v>
      </c>
      <c r="K104" s="142" t="str">
        <f t="shared" si="37"/>
        <v>l</v>
      </c>
      <c r="L104" s="146">
        <f>IFERROR(INDEX(Työkonekanta!$I$3:$I$27,MATCH('S3 Tiekartta'!$A104,Työkonekanta!$A$3:$A$24,0),1)*(I104+J104)*f_adblue,0)</f>
        <v>515.9609329446065</v>
      </c>
      <c r="M104" s="146">
        <f t="shared" si="46"/>
        <v>0</v>
      </c>
      <c r="N104" s="143" t="str">
        <f>IF(tuulisähkö_vuosi&lt;='S3 Tiekartta'!C104,"tuulisähkö",ostosähkö_nyt)</f>
        <v>jäännössähkö</v>
      </c>
      <c r="O104" s="147">
        <f>INDEX(Muuttujat!$J$5:$J$21,MATCH($C104,Muuttujat!$H$5:$H$21,0),1)</f>
        <v>67.190510474999996</v>
      </c>
      <c r="P104" s="148">
        <f t="shared" si="38"/>
        <v>0.96</v>
      </c>
      <c r="Q104" s="148">
        <f t="shared" si="39"/>
        <v>0.04</v>
      </c>
      <c r="R104" s="148">
        <f t="shared" si="40"/>
        <v>0.04</v>
      </c>
      <c r="S104" s="149">
        <f t="shared" si="29"/>
        <v>6.7091068800000002</v>
      </c>
      <c r="T104" s="150">
        <f t="shared" si="30"/>
        <v>0.92294591999999998</v>
      </c>
      <c r="U104" s="150">
        <f t="shared" si="31"/>
        <v>0</v>
      </c>
      <c r="V104" s="150">
        <f>IFERROR(INDEX(Työkonekanta!$J$3:$J$27,MATCH($A104,Työkonekanta!$A$3:$A$24,0),1)*$B104*ef_li_ion_akku/1000/1000/INDEX(Työkonekanta!$K$3:$K$27,MATCH($A104,Työkonekanta!$A$3:$A$24,0)),0)</f>
        <v>0</v>
      </c>
      <c r="W104" s="149">
        <f t="shared" si="47"/>
        <v>26.200395057196797</v>
      </c>
      <c r="X104" s="150">
        <f t="shared" si="48"/>
        <v>0.32727802980000004</v>
      </c>
      <c r="Y104" s="151">
        <f t="shared" si="49"/>
        <v>0.13414984256559767</v>
      </c>
      <c r="Z104" s="152">
        <f t="shared" si="41"/>
        <v>7.6320528000000003</v>
      </c>
      <c r="AA104" s="179">
        <f t="shared" si="42"/>
        <v>26.334544899762395</v>
      </c>
      <c r="AB104" s="179">
        <f t="shared" si="43"/>
        <v>26.661822929562394</v>
      </c>
      <c r="AC104" s="180">
        <f t="shared" si="50"/>
        <v>33.966597699762396</v>
      </c>
      <c r="AD104" s="156">
        <f t="shared" si="44"/>
        <v>34.293875729562394</v>
      </c>
      <c r="AE104" s="146">
        <f>IFERROR(INDEX(Työkonekanta!$L$3:$L$30,MATCH($A104,Työkonekanta!$A$3:$A$30,0),1),0)*AF104</f>
        <v>500000</v>
      </c>
      <c r="AF104" s="146">
        <f>IFERROR(INDEX(Työkonekanta!$N$3:$N$32,MATCH($A104,Työkonekanta!$A$3:$A$32,0),1),0)</f>
        <v>1</v>
      </c>
      <c r="AG104" s="332">
        <f>I104*INDEX(Muuttujat!$U$5:$U$21,MATCH($C104,Muuttujat!$N$5:$N$21,0),1)</f>
        <v>9888</v>
      </c>
      <c r="AH104" s="332">
        <f>J104*INDEX(Muuttujat!$T$5:$T$21,MATCH($C104,Muuttujat!$N$5:$N$21,0),1)</f>
        <v>603.70612244897961</v>
      </c>
      <c r="AI104" s="332">
        <f t="shared" si="32"/>
        <v>257.98046647230325</v>
      </c>
      <c r="AJ104" s="332">
        <f t="shared" si="33"/>
        <v>0</v>
      </c>
      <c r="AK104" s="333">
        <f t="shared" si="45"/>
        <v>10749.686588921282</v>
      </c>
      <c r="AL104" s="332">
        <f t="shared" si="34"/>
        <v>10749.686588921282</v>
      </c>
      <c r="AM104" s="351"/>
      <c r="AN104" s="351"/>
    </row>
    <row r="105" spans="1:40">
      <c r="A105" s="139">
        <v>13</v>
      </c>
      <c r="B105" s="139">
        <f>IFERROR(IF((INDEX(Työkonekanta!$F$3:$F$27,MATCH('S3 Tiekartta'!$A105,Työkonekanta!$A$3:$A$24,0),1))&lt;0,0,(INDEX(Työkonekanta!$F$3:$F$27,MATCH('S3 Tiekartta'!$A105,Työkonekanta!$A$3:$A$24,0),1))),0)</f>
        <v>0</v>
      </c>
      <c r="C105" s="140">
        <v>2022</v>
      </c>
      <c r="D105" s="141" t="str">
        <f>IFERROR(INDEX(Työkonekanta!$D$3:$D$27,MATCH('S3 Tiekartta'!$A105,Työkonekanta!$A$3:$A$24,0),1),"undefined")</f>
        <v>pom</v>
      </c>
      <c r="E105" s="145">
        <f>IFERROR(INDEX(Työkonekanta!$G$3:$G$27,MATCH($A105,Työkonekanta!$A$3:$A$24,0),1)*INDEX(Työkonekanta!$H$3:$H$27,MATCH($A105,Työkonekanta!$A$3:$A$24,0),1)*(1+s0b_kasvu*($C105-2019))*$B105,0)</f>
        <v>0</v>
      </c>
      <c r="F105" s="145">
        <f t="shared" si="26"/>
        <v>0</v>
      </c>
      <c r="G105" s="151">
        <f t="shared" si="35"/>
        <v>0</v>
      </c>
      <c r="H105" s="145">
        <f t="shared" si="36"/>
        <v>0</v>
      </c>
      <c r="I105" s="145">
        <f t="shared" si="27"/>
        <v>0</v>
      </c>
      <c r="J105" s="145">
        <f t="shared" si="28"/>
        <v>0</v>
      </c>
      <c r="K105" s="142" t="str">
        <f t="shared" si="37"/>
        <v>l</v>
      </c>
      <c r="L105" s="146">
        <f>IFERROR(INDEX(Työkonekanta!$I$3:$I$27,MATCH('S3 Tiekartta'!$A105,Työkonekanta!$A$3:$A$24,0),1)*(I105+J105)*f_adblue,0)</f>
        <v>0</v>
      </c>
      <c r="M105" s="146">
        <f t="shared" si="46"/>
        <v>0</v>
      </c>
      <c r="N105" s="143" t="str">
        <f>IF(tuulisähkö_vuosi&lt;='S3 Tiekartta'!C105,"tuulisähkö",ostosähkö_nyt)</f>
        <v>jäännössähkö</v>
      </c>
      <c r="O105" s="147">
        <f>INDEX(Muuttujat!$J$5:$J$21,MATCH($C105,Muuttujat!$H$5:$H$21,0),1)</f>
        <v>67.190510474999996</v>
      </c>
      <c r="P105" s="148">
        <f t="shared" si="38"/>
        <v>0.96</v>
      </c>
      <c r="Q105" s="148">
        <f t="shared" si="39"/>
        <v>0.04</v>
      </c>
      <c r="R105" s="148">
        <f t="shared" si="40"/>
        <v>0.04</v>
      </c>
      <c r="S105" s="149">
        <f t="shared" si="29"/>
        <v>0</v>
      </c>
      <c r="T105" s="150">
        <f t="shared" si="30"/>
        <v>0</v>
      </c>
      <c r="U105" s="150">
        <f t="shared" si="31"/>
        <v>0</v>
      </c>
      <c r="V105" s="150">
        <f>IFERROR(INDEX(Työkonekanta!$J$3:$J$27,MATCH($A105,Työkonekanta!$A$3:$A$24,0),1)*$B105*ef_li_ion_akku/1000/1000/INDEX(Työkonekanta!$K$3:$K$27,MATCH($A105,Työkonekanta!$A$3:$A$24,0)),0)</f>
        <v>0</v>
      </c>
      <c r="W105" s="149">
        <f t="shared" si="47"/>
        <v>0</v>
      </c>
      <c r="X105" s="150">
        <f t="shared" si="48"/>
        <v>0</v>
      </c>
      <c r="Y105" s="151">
        <f t="shared" si="49"/>
        <v>0</v>
      </c>
      <c r="Z105" s="152">
        <f t="shared" si="41"/>
        <v>0</v>
      </c>
      <c r="AA105" s="179">
        <f t="shared" si="42"/>
        <v>0</v>
      </c>
      <c r="AB105" s="179">
        <f t="shared" si="43"/>
        <v>0</v>
      </c>
      <c r="AC105" s="180">
        <f t="shared" si="50"/>
        <v>0</v>
      </c>
      <c r="AD105" s="156">
        <f t="shared" si="44"/>
        <v>0</v>
      </c>
      <c r="AE105" s="146">
        <f>IFERROR(INDEX(Työkonekanta!$L$3:$L$30,MATCH($A105,Työkonekanta!$A$3:$A$30,0),1),0)*AF105</f>
        <v>0</v>
      </c>
      <c r="AF105" s="146">
        <f>IFERROR(INDEX(Työkonekanta!$N$3:$N$32,MATCH($A105,Työkonekanta!$A$3:$A$32,0),1),0)</f>
        <v>0</v>
      </c>
      <c r="AG105" s="332">
        <f>I105*INDEX(Muuttujat!$U$5:$U$21,MATCH($C105,Muuttujat!$N$5:$N$21,0),1)</f>
        <v>0</v>
      </c>
      <c r="AH105" s="332">
        <f>J105*INDEX(Muuttujat!$T$5:$T$21,MATCH($C105,Muuttujat!$N$5:$N$21,0),1)</f>
        <v>0</v>
      </c>
      <c r="AI105" s="332">
        <f t="shared" si="32"/>
        <v>0</v>
      </c>
      <c r="AJ105" s="332">
        <f t="shared" si="33"/>
        <v>0</v>
      </c>
      <c r="AK105" s="333">
        <f t="shared" si="45"/>
        <v>0</v>
      </c>
      <c r="AL105" s="332">
        <f t="shared" si="34"/>
        <v>0</v>
      </c>
      <c r="AM105" s="351"/>
      <c r="AN105" s="351"/>
    </row>
    <row r="106" spans="1:40">
      <c r="A106" s="139">
        <v>14</v>
      </c>
      <c r="B106" s="139">
        <f>IFERROR(IF((INDEX(Työkonekanta!$F$3:$F$27,MATCH('S3 Tiekartta'!$A106,Työkonekanta!$A$3:$A$24,0),1))&lt;0,0,(INDEX(Työkonekanta!$F$3:$F$27,MATCH('S3 Tiekartta'!$A106,Työkonekanta!$A$3:$A$24,0),1))),0)</f>
        <v>0</v>
      </c>
      <c r="C106" s="140">
        <v>2022</v>
      </c>
      <c r="D106" s="141" t="str">
        <f>IFERROR(INDEX(Työkonekanta!$D$3:$D$27,MATCH('S3 Tiekartta'!$A106,Työkonekanta!$A$3:$A$24,0),1),"undefined")</f>
        <v>pom</v>
      </c>
      <c r="E106" s="145">
        <f>IFERROR(INDEX(Työkonekanta!$G$3:$G$27,MATCH($A106,Työkonekanta!$A$3:$A$24,0),1)*INDEX(Työkonekanta!$H$3:$H$27,MATCH($A106,Työkonekanta!$A$3:$A$24,0),1)*(1+s0b_kasvu*($C106-2019))*$B106,0)</f>
        <v>0</v>
      </c>
      <c r="F106" s="145">
        <f t="shared" si="26"/>
        <v>0</v>
      </c>
      <c r="G106" s="151">
        <f t="shared" si="35"/>
        <v>0</v>
      </c>
      <c r="H106" s="145">
        <f t="shared" si="36"/>
        <v>0</v>
      </c>
      <c r="I106" s="145">
        <f t="shared" si="27"/>
        <v>0</v>
      </c>
      <c r="J106" s="145">
        <f t="shared" si="28"/>
        <v>0</v>
      </c>
      <c r="K106" s="142" t="str">
        <f t="shared" si="37"/>
        <v>l</v>
      </c>
      <c r="L106" s="146">
        <f>IFERROR(INDEX(Työkonekanta!$I$3:$I$27,MATCH('S3 Tiekartta'!$A106,Työkonekanta!$A$3:$A$24,0),1)*(I106+J106)*f_adblue,0)</f>
        <v>0</v>
      </c>
      <c r="M106" s="146">
        <f t="shared" si="46"/>
        <v>0</v>
      </c>
      <c r="N106" s="143" t="str">
        <f>IF(tuulisähkö_vuosi&lt;='S3 Tiekartta'!C106,"tuulisähkö",ostosähkö_nyt)</f>
        <v>jäännössähkö</v>
      </c>
      <c r="O106" s="147">
        <f>INDEX(Muuttujat!$J$5:$J$21,MATCH($C106,Muuttujat!$H$5:$H$21,0),1)</f>
        <v>67.190510474999996</v>
      </c>
      <c r="P106" s="148">
        <f t="shared" si="38"/>
        <v>0.96</v>
      </c>
      <c r="Q106" s="148">
        <f t="shared" si="39"/>
        <v>0.04</v>
      </c>
      <c r="R106" s="148">
        <f t="shared" si="40"/>
        <v>0.04</v>
      </c>
      <c r="S106" s="149">
        <f t="shared" si="29"/>
        <v>0</v>
      </c>
      <c r="T106" s="150">
        <f t="shared" si="30"/>
        <v>0</v>
      </c>
      <c r="U106" s="150">
        <f t="shared" si="31"/>
        <v>0</v>
      </c>
      <c r="V106" s="150">
        <f>IFERROR(INDEX(Työkonekanta!$J$3:$J$27,MATCH($A106,Työkonekanta!$A$3:$A$24,0),1)*$B106*ef_li_ion_akku/1000/1000/INDEX(Työkonekanta!$K$3:$K$27,MATCH($A106,Työkonekanta!$A$3:$A$24,0)),0)</f>
        <v>0</v>
      </c>
      <c r="W106" s="149">
        <f t="shared" si="47"/>
        <v>0</v>
      </c>
      <c r="X106" s="150">
        <f t="shared" si="48"/>
        <v>0</v>
      </c>
      <c r="Y106" s="151">
        <f t="shared" si="49"/>
        <v>0</v>
      </c>
      <c r="Z106" s="152">
        <f t="shared" si="41"/>
        <v>0</v>
      </c>
      <c r="AA106" s="179">
        <f t="shared" si="42"/>
        <v>0</v>
      </c>
      <c r="AB106" s="179">
        <f t="shared" si="43"/>
        <v>0</v>
      </c>
      <c r="AC106" s="180">
        <f t="shared" si="50"/>
        <v>0</v>
      </c>
      <c r="AD106" s="156">
        <f t="shared" si="44"/>
        <v>0</v>
      </c>
      <c r="AE106" s="146">
        <f>IFERROR(INDEX(Työkonekanta!$L$3:$L$30,MATCH($A106,Työkonekanta!$A$3:$A$30,0),1),0)*AF106</f>
        <v>0</v>
      </c>
      <c r="AF106" s="146">
        <f>IFERROR(INDEX(Työkonekanta!$N$3:$N$32,MATCH($A106,Työkonekanta!$A$3:$A$32,0),1),0)</f>
        <v>0</v>
      </c>
      <c r="AG106" s="332">
        <f>I106*INDEX(Muuttujat!$U$5:$U$21,MATCH($C106,Muuttujat!$N$5:$N$21,0),1)</f>
        <v>0</v>
      </c>
      <c r="AH106" s="332">
        <f>J106*INDEX(Muuttujat!$T$5:$T$21,MATCH($C106,Muuttujat!$N$5:$N$21,0),1)</f>
        <v>0</v>
      </c>
      <c r="AI106" s="332">
        <f t="shared" si="32"/>
        <v>0</v>
      </c>
      <c r="AJ106" s="332">
        <f t="shared" si="33"/>
        <v>0</v>
      </c>
      <c r="AK106" s="333">
        <f t="shared" si="45"/>
        <v>0</v>
      </c>
      <c r="AL106" s="332">
        <f t="shared" si="34"/>
        <v>0</v>
      </c>
      <c r="AM106" s="351"/>
      <c r="AN106" s="351"/>
    </row>
    <row r="107" spans="1:40">
      <c r="A107" s="139">
        <v>15</v>
      </c>
      <c r="B107" s="139">
        <f>IFERROR(IF((INDEX(Työkonekanta!$F$3:$F$27,MATCH('S3 Tiekartta'!$A107,Työkonekanta!$A$3:$A$24,0),1))&lt;0,0,(INDEX(Työkonekanta!$F$3:$F$27,MATCH('S3 Tiekartta'!$A107,Työkonekanta!$A$3:$A$24,0),1))),0)</f>
        <v>0</v>
      </c>
      <c r="C107" s="140">
        <v>2022</v>
      </c>
      <c r="D107" s="141" t="str">
        <f>IFERROR(INDEX(Työkonekanta!$D$3:$D$27,MATCH('S3 Tiekartta'!$A107,Työkonekanta!$A$3:$A$24,0),1),"undefined")</f>
        <v>sähkö</v>
      </c>
      <c r="E107" s="145">
        <f>IFERROR(INDEX(Työkonekanta!$G$3:$G$27,MATCH($A107,Työkonekanta!$A$3:$A$24,0),1)*INDEX(Työkonekanta!$H$3:$H$27,MATCH($A107,Työkonekanta!$A$3:$A$24,0),1)*(1+s0b_kasvu*($C107-2019))*$B107,0)</f>
        <v>0</v>
      </c>
      <c r="F107" s="145">
        <f t="shared" si="26"/>
        <v>0</v>
      </c>
      <c r="G107" s="151">
        <f t="shared" si="35"/>
        <v>0</v>
      </c>
      <c r="H107" s="145">
        <f t="shared" si="36"/>
        <v>0</v>
      </c>
      <c r="I107" s="145">
        <f t="shared" si="27"/>
        <v>0</v>
      </c>
      <c r="J107" s="145">
        <f t="shared" si="28"/>
        <v>0</v>
      </c>
      <c r="K107" s="142" t="str">
        <f t="shared" si="37"/>
        <v>kWh</v>
      </c>
      <c r="L107" s="146">
        <f>IFERROR(INDEX(Työkonekanta!$I$3:$I$27,MATCH('S3 Tiekartta'!$A107,Työkonekanta!$A$3:$A$24,0),1)*(I107+J107)*f_adblue,0)</f>
        <v>0</v>
      </c>
      <c r="M107" s="146">
        <f t="shared" si="46"/>
        <v>0</v>
      </c>
      <c r="N107" s="143" t="str">
        <f>IF(tuulisähkö_vuosi&lt;='S3 Tiekartta'!C107,"tuulisähkö",ostosähkö_nyt)</f>
        <v>jäännössähkö</v>
      </c>
      <c r="O107" s="147">
        <f>INDEX(Muuttujat!$J$5:$J$21,MATCH($C107,Muuttujat!$H$5:$H$21,0),1)</f>
        <v>67.190510474999996</v>
      </c>
      <c r="P107" s="148">
        <f t="shared" si="38"/>
        <v>0.96</v>
      </c>
      <c r="Q107" s="148">
        <f t="shared" si="39"/>
        <v>0.04</v>
      </c>
      <c r="R107" s="148">
        <f t="shared" si="40"/>
        <v>0.04</v>
      </c>
      <c r="S107" s="149">
        <f t="shared" si="29"/>
        <v>0</v>
      </c>
      <c r="T107" s="150">
        <f t="shared" si="30"/>
        <v>0</v>
      </c>
      <c r="U107" s="150">
        <f t="shared" si="31"/>
        <v>0</v>
      </c>
      <c r="V107" s="150">
        <f>IFERROR(INDEX(Työkonekanta!$J$3:$J$27,MATCH($A107,Työkonekanta!$A$3:$A$24,0),1)*$B107*ef_li_ion_akku/1000/1000/INDEX(Työkonekanta!$K$3:$K$27,MATCH($A107,Työkonekanta!$A$3:$A$24,0)),0)</f>
        <v>0</v>
      </c>
      <c r="W107" s="149">
        <f t="shared" si="47"/>
        <v>0</v>
      </c>
      <c r="X107" s="150">
        <f t="shared" si="48"/>
        <v>0</v>
      </c>
      <c r="Y107" s="151">
        <f t="shared" si="49"/>
        <v>0</v>
      </c>
      <c r="Z107" s="152">
        <f t="shared" si="41"/>
        <v>0</v>
      </c>
      <c r="AA107" s="179">
        <f t="shared" si="42"/>
        <v>0</v>
      </c>
      <c r="AB107" s="179">
        <f t="shared" si="43"/>
        <v>0</v>
      </c>
      <c r="AC107" s="180">
        <f t="shared" si="50"/>
        <v>0</v>
      </c>
      <c r="AD107" s="156">
        <f t="shared" si="44"/>
        <v>0</v>
      </c>
      <c r="AE107" s="146">
        <f>IFERROR(INDEX(Työkonekanta!$L$3:$L$30,MATCH($A107,Työkonekanta!$A$3:$A$30,0),1),0)*AF107</f>
        <v>0</v>
      </c>
      <c r="AF107" s="146">
        <f>IFERROR(INDEX(Työkonekanta!$N$3:$N$32,MATCH($A107,Työkonekanta!$A$3:$A$32,0),1),0)</f>
        <v>0</v>
      </c>
      <c r="AG107" s="332">
        <f>I107*INDEX(Muuttujat!$U$5:$U$21,MATCH($C107,Muuttujat!$N$5:$N$21,0),1)</f>
        <v>0</v>
      </c>
      <c r="AH107" s="332">
        <f>J107*INDEX(Muuttujat!$T$5:$T$21,MATCH($C107,Muuttujat!$N$5:$N$21,0),1)</f>
        <v>0</v>
      </c>
      <c r="AI107" s="332">
        <f t="shared" si="32"/>
        <v>0</v>
      </c>
      <c r="AJ107" s="332">
        <f t="shared" si="33"/>
        <v>0</v>
      </c>
      <c r="AK107" s="333">
        <f t="shared" si="45"/>
        <v>0</v>
      </c>
      <c r="AL107" s="332">
        <f t="shared" si="34"/>
        <v>0</v>
      </c>
      <c r="AM107" s="351"/>
      <c r="AN107" s="351"/>
    </row>
    <row r="108" spans="1:40">
      <c r="A108" s="139">
        <v>16</v>
      </c>
      <c r="B108" s="139">
        <f>IFERROR(IF((INDEX(Työkonekanta!$F$3:$F$27,MATCH('S3 Tiekartta'!$A108,Työkonekanta!$A$3:$A$24,0),1))&lt;0,0,(INDEX(Työkonekanta!$F$3:$F$27,MATCH('S3 Tiekartta'!$A108,Työkonekanta!$A$3:$A$24,0),1))),0)</f>
        <v>0</v>
      </c>
      <c r="C108" s="140">
        <v>2022</v>
      </c>
      <c r="D108" s="141" t="str">
        <f>IFERROR(INDEX(Työkonekanta!$D$3:$D$27,MATCH('S3 Tiekartta'!$A108,Työkonekanta!$A$3:$A$24,0),1),"undefined")</f>
        <v>sähkö</v>
      </c>
      <c r="E108" s="145">
        <f>IFERROR(INDEX(Työkonekanta!$G$3:$G$27,MATCH($A108,Työkonekanta!$A$3:$A$24,0),1)*INDEX(Työkonekanta!$H$3:$H$27,MATCH($A108,Työkonekanta!$A$3:$A$24,0),1)*(1+s0b_kasvu*($C108-2019))*$B108,0)</f>
        <v>0</v>
      </c>
      <c r="F108" s="145">
        <f t="shared" si="26"/>
        <v>0</v>
      </c>
      <c r="G108" s="151">
        <f t="shared" si="35"/>
        <v>0</v>
      </c>
      <c r="H108" s="145">
        <f t="shared" si="36"/>
        <v>0</v>
      </c>
      <c r="I108" s="145">
        <f t="shared" si="27"/>
        <v>0</v>
      </c>
      <c r="J108" s="145">
        <f t="shared" si="28"/>
        <v>0</v>
      </c>
      <c r="K108" s="142" t="str">
        <f t="shared" si="37"/>
        <v>kWh</v>
      </c>
      <c r="L108" s="146">
        <f>IFERROR(INDEX(Työkonekanta!$I$3:$I$27,MATCH('S3 Tiekartta'!$A108,Työkonekanta!$A$3:$A$24,0),1)*(I108+J108)*f_adblue,0)</f>
        <v>0</v>
      </c>
      <c r="M108" s="146">
        <f t="shared" si="46"/>
        <v>0</v>
      </c>
      <c r="N108" s="143" t="str">
        <f>IF(tuulisähkö_vuosi&lt;='S3 Tiekartta'!C108,"tuulisähkö",ostosähkö_nyt)</f>
        <v>jäännössähkö</v>
      </c>
      <c r="O108" s="147">
        <f>INDEX(Muuttujat!$J$5:$J$21,MATCH($C108,Muuttujat!$H$5:$H$21,0),1)</f>
        <v>67.190510474999996</v>
      </c>
      <c r="P108" s="148">
        <f t="shared" si="38"/>
        <v>0.96</v>
      </c>
      <c r="Q108" s="148">
        <f t="shared" si="39"/>
        <v>0.04</v>
      </c>
      <c r="R108" s="148">
        <f t="shared" si="40"/>
        <v>0.04</v>
      </c>
      <c r="S108" s="149">
        <f t="shared" si="29"/>
        <v>0</v>
      </c>
      <c r="T108" s="150">
        <f t="shared" si="30"/>
        <v>0</v>
      </c>
      <c r="U108" s="150">
        <f t="shared" si="31"/>
        <v>0</v>
      </c>
      <c r="V108" s="150">
        <f>IFERROR(INDEX(Työkonekanta!$J$3:$J$27,MATCH($A108,Työkonekanta!$A$3:$A$24,0),1)*$B108*ef_li_ion_akku/1000/1000/INDEX(Työkonekanta!$K$3:$K$27,MATCH($A108,Työkonekanta!$A$3:$A$24,0)),0)</f>
        <v>0</v>
      </c>
      <c r="W108" s="149">
        <f t="shared" si="47"/>
        <v>0</v>
      </c>
      <c r="X108" s="150">
        <f t="shared" si="48"/>
        <v>0</v>
      </c>
      <c r="Y108" s="151">
        <f t="shared" si="49"/>
        <v>0</v>
      </c>
      <c r="Z108" s="152">
        <f t="shared" si="41"/>
        <v>0</v>
      </c>
      <c r="AA108" s="179">
        <f t="shared" si="42"/>
        <v>0</v>
      </c>
      <c r="AB108" s="179">
        <f t="shared" si="43"/>
        <v>0</v>
      </c>
      <c r="AC108" s="180">
        <f t="shared" si="50"/>
        <v>0</v>
      </c>
      <c r="AD108" s="156">
        <f t="shared" si="44"/>
        <v>0</v>
      </c>
      <c r="AE108" s="146">
        <f>IFERROR(INDEX(Työkonekanta!$L$3:$L$30,MATCH($A108,Työkonekanta!$A$3:$A$30,0),1),0)*AF108</f>
        <v>0</v>
      </c>
      <c r="AF108" s="146">
        <f>IFERROR(INDEX(Työkonekanta!$N$3:$N$32,MATCH($A108,Työkonekanta!$A$3:$A$32,0),1),0)</f>
        <v>0</v>
      </c>
      <c r="AG108" s="332">
        <f>I108*INDEX(Muuttujat!$U$5:$U$21,MATCH($C108,Muuttujat!$N$5:$N$21,0),1)</f>
        <v>0</v>
      </c>
      <c r="AH108" s="332">
        <f>J108*INDEX(Muuttujat!$T$5:$T$21,MATCH($C108,Muuttujat!$N$5:$N$21,0),1)</f>
        <v>0</v>
      </c>
      <c r="AI108" s="332">
        <f t="shared" si="32"/>
        <v>0</v>
      </c>
      <c r="AJ108" s="332">
        <f t="shared" si="33"/>
        <v>0</v>
      </c>
      <c r="AK108" s="333">
        <f t="shared" si="45"/>
        <v>0</v>
      </c>
      <c r="AL108" s="332">
        <f t="shared" si="34"/>
        <v>0</v>
      </c>
      <c r="AM108" s="351"/>
      <c r="AN108" s="351"/>
    </row>
    <row r="109" spans="1:40">
      <c r="A109" s="139">
        <v>17</v>
      </c>
      <c r="B109" s="139">
        <f>IFERROR(IF((INDEX(Työkonekanta!$F$3:$F$27,MATCH('S3 Tiekartta'!$A109,Työkonekanta!$A$3:$A$24,0),1))&lt;0,0,(INDEX(Työkonekanta!$F$3:$F$27,MATCH('S3 Tiekartta'!$A109,Työkonekanta!$A$3:$A$24,0),1))),0)</f>
        <v>1</v>
      </c>
      <c r="C109" s="140">
        <v>2022</v>
      </c>
      <c r="D109" s="141" t="str">
        <f>IFERROR(INDEX(Työkonekanta!$D$3:$D$27,MATCH('S3 Tiekartta'!$A109,Työkonekanta!$A$3:$A$24,0),1),"undefined")</f>
        <v>pom</v>
      </c>
      <c r="E109" s="145">
        <f>IFERROR(INDEX(Työkonekanta!$G$3:$G$27,MATCH($A109,Työkonekanta!$A$3:$A$24,0),1)*INDEX(Työkonekanta!$H$3:$H$27,MATCH($A109,Työkonekanta!$A$3:$A$24,0),1)*(1+s0b_kasvu*($C109-2019))*$B109,0)</f>
        <v>10300</v>
      </c>
      <c r="F109" s="145">
        <f t="shared" si="26"/>
        <v>369770</v>
      </c>
      <c r="G109" s="151">
        <f t="shared" si="35"/>
        <v>354979.2</v>
      </c>
      <c r="H109" s="145">
        <f t="shared" si="36"/>
        <v>14790.800000000001</v>
      </c>
      <c r="I109" s="145">
        <f t="shared" si="27"/>
        <v>9888</v>
      </c>
      <c r="J109" s="145">
        <f t="shared" si="28"/>
        <v>431.21865889212836</v>
      </c>
      <c r="K109" s="142" t="str">
        <f t="shared" si="37"/>
        <v>l</v>
      </c>
      <c r="L109" s="146">
        <f>IFERROR(INDEX(Työkonekanta!$I$3:$I$27,MATCH('S3 Tiekartta'!$A109,Työkonekanta!$A$3:$A$24,0),1)*(I109+J109)*f_adblue,0)</f>
        <v>515.9609329446065</v>
      </c>
      <c r="M109" s="146">
        <f t="shared" si="46"/>
        <v>0</v>
      </c>
      <c r="N109" s="143" t="str">
        <f>IF(tuulisähkö_vuosi&lt;='S3 Tiekartta'!C109,"tuulisähkö",ostosähkö_nyt)</f>
        <v>jäännössähkö</v>
      </c>
      <c r="O109" s="147">
        <f>INDEX(Muuttujat!$J$5:$J$21,MATCH($C109,Muuttujat!$H$5:$H$21,0),1)</f>
        <v>67.190510474999996</v>
      </c>
      <c r="P109" s="148">
        <f t="shared" si="38"/>
        <v>0.96</v>
      </c>
      <c r="Q109" s="148">
        <f t="shared" si="39"/>
        <v>0.04</v>
      </c>
      <c r="R109" s="148">
        <f t="shared" si="40"/>
        <v>0.04</v>
      </c>
      <c r="S109" s="149">
        <f t="shared" si="29"/>
        <v>6.7091068800000002</v>
      </c>
      <c r="T109" s="150">
        <f t="shared" si="30"/>
        <v>0.92294591999999998</v>
      </c>
      <c r="U109" s="150">
        <f t="shared" si="31"/>
        <v>0</v>
      </c>
      <c r="V109" s="150">
        <f>IFERROR(INDEX(Työkonekanta!$J$3:$J$27,MATCH($A109,Työkonekanta!$A$3:$A$24,0),1)*$B109*ef_li_ion_akku/1000/1000/INDEX(Työkonekanta!$K$3:$K$27,MATCH($A109,Työkonekanta!$A$3:$A$24,0)),0)</f>
        <v>0</v>
      </c>
      <c r="W109" s="149">
        <f t="shared" si="47"/>
        <v>26.200395057196797</v>
      </c>
      <c r="X109" s="150">
        <f t="shared" si="48"/>
        <v>0.32727802980000004</v>
      </c>
      <c r="Y109" s="151">
        <f t="shared" si="49"/>
        <v>0.13414984256559767</v>
      </c>
      <c r="Z109" s="152">
        <f t="shared" si="41"/>
        <v>7.6320528000000003</v>
      </c>
      <c r="AA109" s="179">
        <f t="shared" si="42"/>
        <v>26.334544899762395</v>
      </c>
      <c r="AB109" s="179">
        <f t="shared" si="43"/>
        <v>26.661822929562394</v>
      </c>
      <c r="AC109" s="180">
        <f t="shared" si="50"/>
        <v>33.966597699762396</v>
      </c>
      <c r="AD109" s="156">
        <f t="shared" si="44"/>
        <v>34.293875729562394</v>
      </c>
      <c r="AE109" s="146">
        <f>IFERROR(INDEX(Työkonekanta!$L$3:$L$30,MATCH($A109,Työkonekanta!$A$3:$A$30,0),1),0)*AF109</f>
        <v>500000</v>
      </c>
      <c r="AF109" s="146">
        <f>IFERROR(INDEX(Työkonekanta!$N$3:$N$32,MATCH($A109,Työkonekanta!$A$3:$A$32,0),1),0)</f>
        <v>1</v>
      </c>
      <c r="AG109" s="332">
        <f>I109*INDEX(Muuttujat!$U$5:$U$21,MATCH($C109,Muuttujat!$N$5:$N$21,0),1)</f>
        <v>9888</v>
      </c>
      <c r="AH109" s="332">
        <f>J109*INDEX(Muuttujat!$T$5:$T$21,MATCH($C109,Muuttujat!$N$5:$N$21,0),1)</f>
        <v>603.70612244897961</v>
      </c>
      <c r="AI109" s="332">
        <f t="shared" si="32"/>
        <v>257.98046647230325</v>
      </c>
      <c r="AJ109" s="332">
        <f t="shared" si="33"/>
        <v>0</v>
      </c>
      <c r="AK109" s="333">
        <f t="shared" si="45"/>
        <v>10749.686588921282</v>
      </c>
      <c r="AL109" s="332">
        <f t="shared" si="34"/>
        <v>10749.686588921282</v>
      </c>
      <c r="AM109" s="351"/>
      <c r="AN109" s="351"/>
    </row>
    <row r="110" spans="1:40">
      <c r="A110" s="139">
        <v>18</v>
      </c>
      <c r="B110" s="139">
        <f>IFERROR(IF((INDEX(Työkonekanta!$F$3:$F$27,MATCH('S3 Tiekartta'!$A110,Työkonekanta!$A$3:$A$24,0),1))&lt;0,0,(INDEX(Työkonekanta!$F$3:$F$27,MATCH('S3 Tiekartta'!$A110,Työkonekanta!$A$3:$A$24,0),1))),0)</f>
        <v>1</v>
      </c>
      <c r="C110" s="140">
        <v>2022</v>
      </c>
      <c r="D110" s="141" t="str">
        <f>IFERROR(INDEX(Työkonekanta!$D$3:$D$27,MATCH('S3 Tiekartta'!$A110,Työkonekanta!$A$3:$A$24,0),1),"undefined")</f>
        <v>pom</v>
      </c>
      <c r="E110" s="145">
        <f>IFERROR(INDEX(Työkonekanta!$G$3:$G$27,MATCH($A110,Työkonekanta!$A$3:$A$24,0),1)*INDEX(Työkonekanta!$H$3:$H$27,MATCH($A110,Työkonekanta!$A$3:$A$24,0),1)*(1+s0b_kasvu*($C110-2019))*$B110,0)</f>
        <v>10300</v>
      </c>
      <c r="F110" s="145">
        <f t="shared" si="26"/>
        <v>369770</v>
      </c>
      <c r="G110" s="151">
        <f t="shared" si="35"/>
        <v>354979.2</v>
      </c>
      <c r="H110" s="145">
        <f t="shared" si="36"/>
        <v>14790.800000000001</v>
      </c>
      <c r="I110" s="145">
        <f t="shared" si="27"/>
        <v>9888</v>
      </c>
      <c r="J110" s="145">
        <f t="shared" si="28"/>
        <v>431.21865889212836</v>
      </c>
      <c r="K110" s="142" t="str">
        <f t="shared" si="37"/>
        <v>l</v>
      </c>
      <c r="L110" s="146">
        <f>IFERROR(INDEX(Työkonekanta!$I$3:$I$27,MATCH('S3 Tiekartta'!$A110,Työkonekanta!$A$3:$A$24,0),1)*(I110+J110)*f_adblue,0)</f>
        <v>412.76874635568521</v>
      </c>
      <c r="M110" s="146">
        <f t="shared" si="46"/>
        <v>0</v>
      </c>
      <c r="N110" s="143" t="str">
        <f>IF(tuulisähkö_vuosi&lt;='S3 Tiekartta'!C110,"tuulisähkö",ostosähkö_nyt)</f>
        <v>jäännössähkö</v>
      </c>
      <c r="O110" s="147">
        <f>INDEX(Muuttujat!$J$5:$J$21,MATCH($C110,Muuttujat!$H$5:$H$21,0),1)</f>
        <v>67.190510474999996</v>
      </c>
      <c r="P110" s="148">
        <f t="shared" si="38"/>
        <v>0.96</v>
      </c>
      <c r="Q110" s="148">
        <f t="shared" si="39"/>
        <v>0.04</v>
      </c>
      <c r="R110" s="148">
        <f t="shared" si="40"/>
        <v>0.04</v>
      </c>
      <c r="S110" s="149">
        <f t="shared" si="29"/>
        <v>6.7091068800000002</v>
      </c>
      <c r="T110" s="150">
        <f t="shared" si="30"/>
        <v>0.92294591999999998</v>
      </c>
      <c r="U110" s="150">
        <f t="shared" si="31"/>
        <v>0</v>
      </c>
      <c r="V110" s="150">
        <f>IFERROR(INDEX(Työkonekanta!$J$3:$J$27,MATCH($A110,Työkonekanta!$A$3:$A$24,0),1)*$B110*ef_li_ion_akku/1000/1000/INDEX(Työkonekanta!$K$3:$K$27,MATCH($A110,Työkonekanta!$A$3:$A$24,0)),0)</f>
        <v>0</v>
      </c>
      <c r="W110" s="149">
        <f t="shared" si="47"/>
        <v>26.200395057196797</v>
      </c>
      <c r="X110" s="150">
        <f t="shared" si="48"/>
        <v>0.32727802980000004</v>
      </c>
      <c r="Y110" s="151">
        <f t="shared" si="49"/>
        <v>0.10731987405247816</v>
      </c>
      <c r="Z110" s="152">
        <f t="shared" si="41"/>
        <v>7.6320528000000003</v>
      </c>
      <c r="AA110" s="179">
        <f t="shared" si="42"/>
        <v>26.307714931249276</v>
      </c>
      <c r="AB110" s="179">
        <f t="shared" si="43"/>
        <v>26.634992961049274</v>
      </c>
      <c r="AC110" s="180">
        <f t="shared" si="50"/>
        <v>33.939767731249276</v>
      </c>
      <c r="AD110" s="156">
        <f t="shared" si="44"/>
        <v>34.267045761049275</v>
      </c>
      <c r="AE110" s="146">
        <f>IFERROR(INDEX(Työkonekanta!$L$3:$L$30,MATCH($A110,Työkonekanta!$A$3:$A$30,0),1),0)*AF110</f>
        <v>500000</v>
      </c>
      <c r="AF110" s="146">
        <f>IFERROR(INDEX(Työkonekanta!$N$3:$N$32,MATCH($A110,Työkonekanta!$A$3:$A$32,0),1),0)</f>
        <v>1</v>
      </c>
      <c r="AG110" s="332">
        <f>I110*INDEX(Muuttujat!$U$5:$U$21,MATCH($C110,Muuttujat!$N$5:$N$21,0),1)</f>
        <v>9888</v>
      </c>
      <c r="AH110" s="332">
        <f>J110*INDEX(Muuttujat!$T$5:$T$21,MATCH($C110,Muuttujat!$N$5:$N$21,0),1)</f>
        <v>603.70612244897961</v>
      </c>
      <c r="AI110" s="332">
        <f t="shared" si="32"/>
        <v>206.3843731778426</v>
      </c>
      <c r="AJ110" s="332">
        <f t="shared" si="33"/>
        <v>0</v>
      </c>
      <c r="AK110" s="333">
        <f t="shared" si="45"/>
        <v>10698.090495626822</v>
      </c>
      <c r="AL110" s="332">
        <f t="shared" si="34"/>
        <v>10698.090495626822</v>
      </c>
      <c r="AM110" s="351"/>
      <c r="AN110" s="351"/>
    </row>
    <row r="111" spans="1:40">
      <c r="A111" s="139">
        <v>19</v>
      </c>
      <c r="B111" s="139">
        <f>IFERROR(IF((INDEX(Työkonekanta!$F$3:$F$27,MATCH('S3 Tiekartta'!$A111,Työkonekanta!$A$3:$A$24,0),1))&lt;0,0,(INDEX(Työkonekanta!$F$3:$F$27,MATCH('S3 Tiekartta'!$A111,Työkonekanta!$A$3:$A$24,0),1))),0)</f>
        <v>0</v>
      </c>
      <c r="C111" s="140">
        <v>2022</v>
      </c>
      <c r="D111" s="141" t="str">
        <f>IFERROR(INDEX(Työkonekanta!$D$3:$D$27,MATCH('S3 Tiekartta'!$A111,Työkonekanta!$A$3:$A$24,0),1),"undefined")</f>
        <v>pom</v>
      </c>
      <c r="E111" s="145">
        <f>IFERROR(INDEX(Työkonekanta!$G$3:$G$27,MATCH($A111,Työkonekanta!$A$3:$A$24,0),1)*INDEX(Työkonekanta!$H$3:$H$27,MATCH($A111,Työkonekanta!$A$3:$A$24,0),1)*(1+s0b_kasvu*($C111-2019))*$B111,0)</f>
        <v>0</v>
      </c>
      <c r="F111" s="145">
        <f t="shared" si="26"/>
        <v>0</v>
      </c>
      <c r="G111" s="151">
        <f t="shared" si="35"/>
        <v>0</v>
      </c>
      <c r="H111" s="145">
        <f t="shared" si="36"/>
        <v>0</v>
      </c>
      <c r="I111" s="145">
        <f t="shared" si="27"/>
        <v>0</v>
      </c>
      <c r="J111" s="145">
        <f t="shared" si="28"/>
        <v>0</v>
      </c>
      <c r="K111" s="142" t="str">
        <f t="shared" si="37"/>
        <v>l</v>
      </c>
      <c r="L111" s="146">
        <f>IFERROR(INDEX(Työkonekanta!$I$3:$I$27,MATCH('S3 Tiekartta'!$A111,Työkonekanta!$A$3:$A$24,0),1)*(I111+J111)*f_adblue,0)</f>
        <v>0</v>
      </c>
      <c r="M111" s="146">
        <f t="shared" si="46"/>
        <v>0</v>
      </c>
      <c r="N111" s="143" t="str">
        <f>IF(tuulisähkö_vuosi&lt;='S3 Tiekartta'!C111,"tuulisähkö",ostosähkö_nyt)</f>
        <v>jäännössähkö</v>
      </c>
      <c r="O111" s="147">
        <f>INDEX(Muuttujat!$J$5:$J$21,MATCH($C111,Muuttujat!$H$5:$H$21,0),1)</f>
        <v>67.190510474999996</v>
      </c>
      <c r="P111" s="148">
        <f t="shared" si="38"/>
        <v>0.96</v>
      </c>
      <c r="Q111" s="148">
        <f t="shared" si="39"/>
        <v>0.04</v>
      </c>
      <c r="R111" s="148">
        <f t="shared" si="40"/>
        <v>0.04</v>
      </c>
      <c r="S111" s="149">
        <f t="shared" si="29"/>
        <v>0</v>
      </c>
      <c r="T111" s="150">
        <f t="shared" si="30"/>
        <v>0</v>
      </c>
      <c r="U111" s="150">
        <f t="shared" si="31"/>
        <v>0</v>
      </c>
      <c r="V111" s="150">
        <f>IFERROR(INDEX(Työkonekanta!$J$3:$J$27,MATCH($A111,Työkonekanta!$A$3:$A$24,0),1)*$B111*ef_li_ion_akku/1000/1000/INDEX(Työkonekanta!$K$3:$K$27,MATCH($A111,Työkonekanta!$A$3:$A$24,0)),0)</f>
        <v>0</v>
      </c>
      <c r="W111" s="149">
        <f t="shared" si="47"/>
        <v>0</v>
      </c>
      <c r="X111" s="150">
        <f t="shared" si="48"/>
        <v>0</v>
      </c>
      <c r="Y111" s="151">
        <f t="shared" si="49"/>
        <v>0</v>
      </c>
      <c r="Z111" s="152">
        <f t="shared" si="41"/>
        <v>0</v>
      </c>
      <c r="AA111" s="179">
        <f t="shared" si="42"/>
        <v>0</v>
      </c>
      <c r="AB111" s="179">
        <f t="shared" si="43"/>
        <v>0</v>
      </c>
      <c r="AC111" s="180">
        <f t="shared" si="50"/>
        <v>0</v>
      </c>
      <c r="AD111" s="156">
        <f t="shared" si="44"/>
        <v>0</v>
      </c>
      <c r="AE111" s="146">
        <f>IFERROR(INDEX(Työkonekanta!$L$3:$L$30,MATCH($A111,Työkonekanta!$A$3:$A$30,0),1),0)*AF111</f>
        <v>0</v>
      </c>
      <c r="AF111" s="146">
        <f>IFERROR(INDEX(Työkonekanta!$N$3:$N$32,MATCH($A111,Työkonekanta!$A$3:$A$32,0),1),0)</f>
        <v>0</v>
      </c>
      <c r="AG111" s="332">
        <f>I111*INDEX(Muuttujat!$U$5:$U$21,MATCH($C111,Muuttujat!$N$5:$N$21,0),1)</f>
        <v>0</v>
      </c>
      <c r="AH111" s="332">
        <f>J111*INDEX(Muuttujat!$T$5:$T$21,MATCH($C111,Muuttujat!$N$5:$N$21,0),1)</f>
        <v>0</v>
      </c>
      <c r="AI111" s="332">
        <f t="shared" si="32"/>
        <v>0</v>
      </c>
      <c r="AJ111" s="332">
        <f t="shared" si="33"/>
        <v>0</v>
      </c>
      <c r="AK111" s="333">
        <f t="shared" si="45"/>
        <v>0</v>
      </c>
      <c r="AL111" s="332">
        <f t="shared" si="34"/>
        <v>0</v>
      </c>
      <c r="AM111" s="351"/>
      <c r="AN111" s="351"/>
    </row>
    <row r="112" spans="1:40">
      <c r="A112" s="139">
        <v>20</v>
      </c>
      <c r="B112" s="139">
        <f>IFERROR(IF((INDEX(Työkonekanta!$F$3:$F$27,MATCH('S3 Tiekartta'!$A112,Työkonekanta!$A$3:$A$24,0),1))&lt;0,0,(INDEX(Työkonekanta!$F$3:$F$27,MATCH('S3 Tiekartta'!$A112,Työkonekanta!$A$3:$A$24,0),1))),0)</f>
        <v>0</v>
      </c>
      <c r="C112" s="140">
        <v>2022</v>
      </c>
      <c r="D112" s="141" t="str">
        <f>IFERROR(INDEX(Työkonekanta!$D$3:$D$27,MATCH('S3 Tiekartta'!$A112,Työkonekanta!$A$3:$A$24,0),1),"undefined")</f>
        <v>pom</v>
      </c>
      <c r="E112" s="145">
        <f>IFERROR(INDEX(Työkonekanta!$G$3:$G$27,MATCH($A112,Työkonekanta!$A$3:$A$24,0),1)*INDEX(Työkonekanta!$H$3:$H$27,MATCH($A112,Työkonekanta!$A$3:$A$24,0),1)*(1+s0b_kasvu*($C112-2019))*$B112,0)</f>
        <v>0</v>
      </c>
      <c r="F112" s="145">
        <f t="shared" si="26"/>
        <v>0</v>
      </c>
      <c r="G112" s="151">
        <f t="shared" si="35"/>
        <v>0</v>
      </c>
      <c r="H112" s="145">
        <f t="shared" si="36"/>
        <v>0</v>
      </c>
      <c r="I112" s="145">
        <f t="shared" si="27"/>
        <v>0</v>
      </c>
      <c r="J112" s="145">
        <f t="shared" si="28"/>
        <v>0</v>
      </c>
      <c r="K112" s="142" t="str">
        <f t="shared" si="37"/>
        <v>l</v>
      </c>
      <c r="L112" s="146">
        <f>IFERROR(INDEX(Työkonekanta!$I$3:$I$27,MATCH('S3 Tiekartta'!$A112,Työkonekanta!$A$3:$A$24,0),1)*(I112+J112)*f_adblue,0)</f>
        <v>0</v>
      </c>
      <c r="M112" s="146">
        <f t="shared" si="46"/>
        <v>0</v>
      </c>
      <c r="N112" s="143" t="str">
        <f>IF(tuulisähkö_vuosi&lt;='S3 Tiekartta'!C112,"tuulisähkö",ostosähkö_nyt)</f>
        <v>jäännössähkö</v>
      </c>
      <c r="O112" s="147">
        <f>INDEX(Muuttujat!$J$5:$J$21,MATCH($C112,Muuttujat!$H$5:$H$21,0),1)</f>
        <v>67.190510474999996</v>
      </c>
      <c r="P112" s="148">
        <f t="shared" si="38"/>
        <v>0.96</v>
      </c>
      <c r="Q112" s="148">
        <f t="shared" si="39"/>
        <v>0.04</v>
      </c>
      <c r="R112" s="148">
        <f t="shared" si="40"/>
        <v>0.04</v>
      </c>
      <c r="S112" s="149">
        <f t="shared" si="29"/>
        <v>0</v>
      </c>
      <c r="T112" s="150">
        <f t="shared" si="30"/>
        <v>0</v>
      </c>
      <c r="U112" s="150">
        <f t="shared" si="31"/>
        <v>0</v>
      </c>
      <c r="V112" s="150">
        <f>IFERROR(INDEX(Työkonekanta!$J$3:$J$27,MATCH($A112,Työkonekanta!$A$3:$A$24,0),1)*$B112*ef_li_ion_akku/1000/1000/INDEX(Työkonekanta!$K$3:$K$27,MATCH($A112,Työkonekanta!$A$3:$A$24,0)),0)</f>
        <v>0</v>
      </c>
      <c r="W112" s="149">
        <f t="shared" si="47"/>
        <v>0</v>
      </c>
      <c r="X112" s="150">
        <f t="shared" si="48"/>
        <v>0</v>
      </c>
      <c r="Y112" s="151">
        <f t="shared" si="49"/>
        <v>0</v>
      </c>
      <c r="Z112" s="152">
        <f t="shared" si="41"/>
        <v>0</v>
      </c>
      <c r="AA112" s="179">
        <f t="shared" si="42"/>
        <v>0</v>
      </c>
      <c r="AB112" s="179">
        <f t="shared" si="43"/>
        <v>0</v>
      </c>
      <c r="AC112" s="180">
        <f t="shared" si="50"/>
        <v>0</v>
      </c>
      <c r="AD112" s="156">
        <f t="shared" si="44"/>
        <v>0</v>
      </c>
      <c r="AE112" s="146">
        <f>IFERROR(INDEX(Työkonekanta!$L$3:$L$30,MATCH($A112,Työkonekanta!$A$3:$A$30,0),1),0)*AF112</f>
        <v>0</v>
      </c>
      <c r="AF112" s="146">
        <f>IFERROR(INDEX(Työkonekanta!$N$3:$N$32,MATCH($A112,Työkonekanta!$A$3:$A$32,0),1),0)</f>
        <v>0</v>
      </c>
      <c r="AG112" s="332">
        <f>I112*INDEX(Muuttujat!$U$5:$U$21,MATCH($C112,Muuttujat!$N$5:$N$21,0),1)</f>
        <v>0</v>
      </c>
      <c r="AH112" s="332">
        <f>J112*INDEX(Muuttujat!$T$5:$T$21,MATCH($C112,Muuttujat!$N$5:$N$21,0),1)</f>
        <v>0</v>
      </c>
      <c r="AI112" s="332">
        <f t="shared" si="32"/>
        <v>0</v>
      </c>
      <c r="AJ112" s="332">
        <f t="shared" si="33"/>
        <v>0</v>
      </c>
      <c r="AK112" s="333">
        <f t="shared" si="45"/>
        <v>0</v>
      </c>
      <c r="AL112" s="332">
        <f t="shared" si="34"/>
        <v>0</v>
      </c>
      <c r="AM112" s="351"/>
      <c r="AN112" s="351"/>
    </row>
    <row r="113" spans="1:40">
      <c r="A113" s="139">
        <v>21</v>
      </c>
      <c r="B113" s="139">
        <f>IFERROR(IF((INDEX(Työkonekanta!$F$3:$F$27,MATCH('S3 Tiekartta'!$A113,Työkonekanta!$A$3:$A$24,0),1))&lt;0,0,(INDEX(Työkonekanta!$F$3:$F$27,MATCH('S3 Tiekartta'!$A113,Työkonekanta!$A$3:$A$24,0),1))),0)</f>
        <v>35</v>
      </c>
      <c r="C113" s="140">
        <v>2022</v>
      </c>
      <c r="D113" s="141" t="str">
        <f>IFERROR(INDEX(Työkonekanta!$D$3:$D$27,MATCH('S3 Tiekartta'!$A113,Työkonekanta!$A$3:$A$24,0),1),"undefined")</f>
        <v>sähkö</v>
      </c>
      <c r="E113" s="145">
        <f>IFERROR(INDEX(Työkonekanta!$G$3:$G$27,MATCH($A113,Työkonekanta!$A$3:$A$24,0),1)*INDEX(Työkonekanta!$H$3:$H$27,MATCH($A113,Työkonekanta!$A$3:$A$24,0),1)*(1+s0b_kasvu*($C113-2019))*$B113,0)</f>
        <v>419415.04629629629</v>
      </c>
      <c r="F113" s="145">
        <f t="shared" si="26"/>
        <v>0</v>
      </c>
      <c r="G113" s="151">
        <f t="shared" si="35"/>
        <v>0</v>
      </c>
      <c r="H113" s="145">
        <f t="shared" si="36"/>
        <v>0</v>
      </c>
      <c r="I113" s="145">
        <f t="shared" si="27"/>
        <v>0</v>
      </c>
      <c r="J113" s="145">
        <f t="shared" si="28"/>
        <v>0</v>
      </c>
      <c r="K113" s="142" t="str">
        <f t="shared" si="37"/>
        <v>kWh</v>
      </c>
      <c r="L113" s="146">
        <f>IFERROR(INDEX(Työkonekanta!$I$3:$I$27,MATCH('S3 Tiekartta'!$A113,Työkonekanta!$A$3:$A$24,0),1)*(I113+J113)*f_adblue,0)</f>
        <v>0</v>
      </c>
      <c r="M113" s="146">
        <f t="shared" si="46"/>
        <v>1509894.1666666667</v>
      </c>
      <c r="N113" s="143" t="str">
        <f>IF(tuulisähkö_vuosi&lt;='S3 Tiekartta'!C113,"tuulisähkö",ostosähkö_nyt)</f>
        <v>jäännössähkö</v>
      </c>
      <c r="O113" s="147">
        <f>INDEX(Muuttujat!$J$5:$J$21,MATCH($C113,Muuttujat!$H$5:$H$21,0),1)</f>
        <v>67.190510474999996</v>
      </c>
      <c r="P113" s="148">
        <f t="shared" si="38"/>
        <v>0.96</v>
      </c>
      <c r="Q113" s="148">
        <f t="shared" si="39"/>
        <v>0.04</v>
      </c>
      <c r="R113" s="148">
        <f t="shared" si="40"/>
        <v>0.04</v>
      </c>
      <c r="S113" s="149">
        <f t="shared" si="29"/>
        <v>0</v>
      </c>
      <c r="T113" s="150">
        <f t="shared" si="30"/>
        <v>0</v>
      </c>
      <c r="U113" s="150">
        <f t="shared" si="31"/>
        <v>101.45055982155806</v>
      </c>
      <c r="V113" s="150">
        <f>IFERROR(INDEX(Työkonekanta!$J$3:$J$27,MATCH($A113,Työkonekanta!$A$3:$A$24,0),1)*$B113*ef_li_ion_akku/1000/1000/INDEX(Työkonekanta!$K$3:$K$27,MATCH($A113,Työkonekanta!$A$3:$A$24,0)),0)</f>
        <v>43.121723076923082</v>
      </c>
      <c r="W113" s="149">
        <f t="shared" si="47"/>
        <v>0</v>
      </c>
      <c r="X113" s="150">
        <f t="shared" si="48"/>
        <v>0</v>
      </c>
      <c r="Y113" s="151">
        <f t="shared" si="49"/>
        <v>0</v>
      </c>
      <c r="Z113" s="152">
        <f t="shared" si="41"/>
        <v>144.57228289848115</v>
      </c>
      <c r="AA113" s="179">
        <f t="shared" si="42"/>
        <v>0</v>
      </c>
      <c r="AB113" s="179">
        <f t="shared" si="43"/>
        <v>0</v>
      </c>
      <c r="AC113" s="180">
        <f t="shared" si="50"/>
        <v>144.57228289848115</v>
      </c>
      <c r="AD113" s="156">
        <f t="shared" si="44"/>
        <v>144.57228289848115</v>
      </c>
      <c r="AE113" s="146">
        <f>IFERROR(INDEX(Työkonekanta!$L$3:$L$30,MATCH($A113,Työkonekanta!$A$3:$A$30,0),1),0)*AF113</f>
        <v>1820000</v>
      </c>
      <c r="AF113" s="146">
        <f>IFERROR(INDEX(Työkonekanta!$N$3:$N$32,MATCH($A113,Työkonekanta!$A$3:$A$32,0),1),0)</f>
        <v>7</v>
      </c>
      <c r="AG113" s="332">
        <f>I113*INDEX(Muuttujat!$U$5:$U$21,MATCH($C113,Muuttujat!$N$5:$N$21,0),1)</f>
        <v>0</v>
      </c>
      <c r="AH113" s="332">
        <f>J113*INDEX(Muuttujat!$T$5:$T$21,MATCH($C113,Muuttujat!$N$5:$N$21,0),1)</f>
        <v>0</v>
      </c>
      <c r="AI113" s="332">
        <f t="shared" si="32"/>
        <v>0</v>
      </c>
      <c r="AJ113" s="332">
        <f t="shared" si="33"/>
        <v>37118.231597222228</v>
      </c>
      <c r="AK113" s="333">
        <f t="shared" si="45"/>
        <v>37118.231597222228</v>
      </c>
      <c r="AL113" s="332">
        <f t="shared" si="34"/>
        <v>1060.520902777778</v>
      </c>
      <c r="AM113" s="351"/>
      <c r="AN113" s="351"/>
    </row>
    <row r="114" spans="1:40">
      <c r="A114" s="139">
        <v>22</v>
      </c>
      <c r="B114" s="139">
        <f>IFERROR(IF((INDEX(Työkonekanta!$F$3:$F$27,MATCH('S3 Tiekartta'!$A114,Työkonekanta!$A$3:$A$24,0),1))&lt;0,0,(INDEX(Työkonekanta!$F$3:$F$27,MATCH('S3 Tiekartta'!$A114,Työkonekanta!$A$3:$A$24,0),1))),0)</f>
        <v>0</v>
      </c>
      <c r="C114" s="140">
        <v>2022</v>
      </c>
      <c r="D114" s="141" t="str">
        <f>IFERROR(INDEX(Työkonekanta!$D$3:$D$27,MATCH('S3 Tiekartta'!$A114,Työkonekanta!$A$3:$A$24,0),1),"undefined")</f>
        <v>sähkö</v>
      </c>
      <c r="E114" s="145">
        <f>IFERROR(INDEX(Työkonekanta!$G$3:$G$27,MATCH($A114,Työkonekanta!$A$3:$A$24,0),1)*INDEX(Työkonekanta!$H$3:$H$27,MATCH($A114,Työkonekanta!$A$3:$A$24,0),1)*(1+s0b_kasvu*($C114-2019))*$B114,0)</f>
        <v>0</v>
      </c>
      <c r="F114" s="145">
        <f t="shared" si="26"/>
        <v>0</v>
      </c>
      <c r="G114" s="151">
        <f t="shared" si="35"/>
        <v>0</v>
      </c>
      <c r="H114" s="145">
        <f t="shared" si="36"/>
        <v>0</v>
      </c>
      <c r="I114" s="145">
        <f t="shared" si="27"/>
        <v>0</v>
      </c>
      <c r="J114" s="145">
        <f t="shared" si="28"/>
        <v>0</v>
      </c>
      <c r="K114" s="142" t="str">
        <f t="shared" si="37"/>
        <v>kWh</v>
      </c>
      <c r="L114" s="146">
        <f>IFERROR(INDEX(Työkonekanta!$I$3:$I$27,MATCH('S3 Tiekartta'!$A114,Työkonekanta!$A$3:$A$24,0),1)*(I114+J114)*f_adblue,0)</f>
        <v>0</v>
      </c>
      <c r="M114" s="146">
        <f t="shared" si="46"/>
        <v>0</v>
      </c>
      <c r="N114" s="143" t="str">
        <f>IF(tuulisähkö_vuosi&lt;='S3 Tiekartta'!C114,"tuulisähkö",ostosähkö_nyt)</f>
        <v>jäännössähkö</v>
      </c>
      <c r="O114" s="147">
        <f>INDEX(Muuttujat!$J$5:$J$21,MATCH($C114,Muuttujat!$H$5:$H$21,0),1)</f>
        <v>67.190510474999996</v>
      </c>
      <c r="P114" s="148">
        <f t="shared" si="38"/>
        <v>0.96</v>
      </c>
      <c r="Q114" s="148">
        <f t="shared" si="39"/>
        <v>0.04</v>
      </c>
      <c r="R114" s="148">
        <f t="shared" si="40"/>
        <v>0.04</v>
      </c>
      <c r="S114" s="149">
        <f t="shared" si="29"/>
        <v>0</v>
      </c>
      <c r="T114" s="150">
        <f t="shared" si="30"/>
        <v>0</v>
      </c>
      <c r="U114" s="150">
        <f t="shared" si="31"/>
        <v>0</v>
      </c>
      <c r="V114" s="150">
        <f>IFERROR(INDEX(Työkonekanta!$J$3:$J$27,MATCH($A114,Työkonekanta!$A$3:$A$24,0),1)*$B114*ef_li_ion_akku/1000/1000/INDEX(Työkonekanta!$K$3:$K$27,MATCH($A114,Työkonekanta!$A$3:$A$24,0)),0)</f>
        <v>0</v>
      </c>
      <c r="W114" s="149">
        <f t="shared" si="47"/>
        <v>0</v>
      </c>
      <c r="X114" s="150">
        <f t="shared" si="48"/>
        <v>0</v>
      </c>
      <c r="Y114" s="151">
        <f t="shared" si="49"/>
        <v>0</v>
      </c>
      <c r="Z114" s="152">
        <f t="shared" si="41"/>
        <v>0</v>
      </c>
      <c r="AA114" s="179">
        <f t="shared" si="42"/>
        <v>0</v>
      </c>
      <c r="AB114" s="179">
        <f t="shared" si="43"/>
        <v>0</v>
      </c>
      <c r="AC114" s="180">
        <f t="shared" si="50"/>
        <v>0</v>
      </c>
      <c r="AD114" s="156">
        <f t="shared" si="44"/>
        <v>0</v>
      </c>
      <c r="AE114" s="146">
        <f>IFERROR(INDEX(Työkonekanta!$L$3:$L$30,MATCH($A114,Työkonekanta!$A$3:$A$30,0),1),0)*AF114</f>
        <v>0</v>
      </c>
      <c r="AF114" s="146">
        <f>IFERROR(INDEX(Työkonekanta!$N$3:$N$32,MATCH($A114,Työkonekanta!$A$3:$A$32,0),1),0)</f>
        <v>0</v>
      </c>
      <c r="AG114" s="332">
        <f>I114*INDEX(Muuttujat!$U$5:$U$21,MATCH($C114,Muuttujat!$N$5:$N$21,0),1)</f>
        <v>0</v>
      </c>
      <c r="AH114" s="332">
        <f>J114*INDEX(Muuttujat!$T$5:$T$21,MATCH($C114,Muuttujat!$N$5:$N$21,0),1)</f>
        <v>0</v>
      </c>
      <c r="AI114" s="332">
        <f t="shared" si="32"/>
        <v>0</v>
      </c>
      <c r="AJ114" s="332">
        <f t="shared" si="33"/>
        <v>0</v>
      </c>
      <c r="AK114" s="333">
        <f t="shared" si="45"/>
        <v>0</v>
      </c>
      <c r="AL114" s="332">
        <f t="shared" si="34"/>
        <v>0</v>
      </c>
      <c r="AM114" s="351"/>
      <c r="AN114" s="351"/>
    </row>
    <row r="115" spans="1:40">
      <c r="A115" s="139">
        <v>23</v>
      </c>
      <c r="B115" s="139">
        <f>IFERROR(IF((INDEX(Työkonekanta!$F$3:$F$27,MATCH('S3 Tiekartta'!$A115,Työkonekanta!$A$3:$A$24,0),1))&lt;0,0,(INDEX(Työkonekanta!$F$3:$F$27,MATCH('S3 Tiekartta'!$A115,Työkonekanta!$A$3:$A$24,0),1))),0)</f>
        <v>0</v>
      </c>
      <c r="C115" s="140">
        <v>2022</v>
      </c>
      <c r="D115" s="141" t="str">
        <f>IFERROR(INDEX(Työkonekanta!$D$3:$D$27,MATCH('S3 Tiekartta'!$A115,Työkonekanta!$A$3:$A$24,0),1),"undefined")</f>
        <v>undefined</v>
      </c>
      <c r="E115" s="145">
        <f>IFERROR(INDEX(Työkonekanta!$G$3:$G$27,MATCH($A115,Työkonekanta!$A$3:$A$24,0),1)*INDEX(Työkonekanta!$H$3:$H$27,MATCH($A115,Työkonekanta!$A$3:$A$24,0),1)*(1+s0b_kasvu*($C115-2019))*$B115,0)</f>
        <v>0</v>
      </c>
      <c r="F115" s="145">
        <f t="shared" si="26"/>
        <v>0</v>
      </c>
      <c r="G115" s="151">
        <f t="shared" si="35"/>
        <v>0</v>
      </c>
      <c r="H115" s="145">
        <f t="shared" si="36"/>
        <v>0</v>
      </c>
      <c r="I115" s="145">
        <f t="shared" si="27"/>
        <v>0</v>
      </c>
      <c r="J115" s="145">
        <f t="shared" si="28"/>
        <v>0</v>
      </c>
      <c r="K115" s="142" t="str">
        <f t="shared" si="37"/>
        <v>undefined</v>
      </c>
      <c r="L115" s="146">
        <f>IFERROR(INDEX(Työkonekanta!$I$3:$I$27,MATCH('S3 Tiekartta'!$A115,Työkonekanta!$A$3:$A$24,0),1)*(I115+J115)*f_adblue,0)</f>
        <v>0</v>
      </c>
      <c r="M115" s="146">
        <f t="shared" si="46"/>
        <v>0</v>
      </c>
      <c r="N115" s="143" t="str">
        <f>IF(tuulisähkö_vuosi&lt;='S3 Tiekartta'!C115,"tuulisähkö",ostosähkö_nyt)</f>
        <v>jäännössähkö</v>
      </c>
      <c r="O115" s="147">
        <f>INDEX(Muuttujat!$J$5:$J$21,MATCH($C115,Muuttujat!$H$5:$H$21,0),1)</f>
        <v>67.190510474999996</v>
      </c>
      <c r="P115" s="148">
        <f t="shared" si="38"/>
        <v>0.96</v>
      </c>
      <c r="Q115" s="148">
        <f t="shared" si="39"/>
        <v>0.04</v>
      </c>
      <c r="R115" s="148">
        <f t="shared" si="40"/>
        <v>0.04</v>
      </c>
      <c r="S115" s="149">
        <f t="shared" si="29"/>
        <v>0</v>
      </c>
      <c r="T115" s="150">
        <f t="shared" si="30"/>
        <v>0</v>
      </c>
      <c r="U115" s="150">
        <f t="shared" si="31"/>
        <v>0</v>
      </c>
      <c r="V115" s="150">
        <f>IFERROR(INDEX(Työkonekanta!$J$3:$J$27,MATCH($A115,Työkonekanta!$A$3:$A$24,0),1)*$B115*ef_li_ion_akku/1000/1000/INDEX(Työkonekanta!$K$3:$K$27,MATCH($A115,Työkonekanta!$A$3:$A$24,0)),0)</f>
        <v>0</v>
      </c>
      <c r="W115" s="149">
        <f t="shared" si="47"/>
        <v>0</v>
      </c>
      <c r="X115" s="150">
        <f t="shared" si="48"/>
        <v>0</v>
      </c>
      <c r="Y115" s="151">
        <f t="shared" si="49"/>
        <v>0</v>
      </c>
      <c r="Z115" s="152">
        <f t="shared" si="41"/>
        <v>0</v>
      </c>
      <c r="AA115" s="179">
        <f t="shared" si="42"/>
        <v>0</v>
      </c>
      <c r="AB115" s="179">
        <f t="shared" si="43"/>
        <v>0</v>
      </c>
      <c r="AC115" s="180">
        <f t="shared" si="50"/>
        <v>0</v>
      </c>
      <c r="AD115" s="156">
        <f t="shared" si="44"/>
        <v>0</v>
      </c>
      <c r="AE115" s="146">
        <f>IFERROR(INDEX(Työkonekanta!$L$3:$L$30,MATCH($A115,Työkonekanta!$A$3:$A$30,0),1),0)*AF115</f>
        <v>0</v>
      </c>
      <c r="AF115" s="146">
        <f>IFERROR(INDEX(Työkonekanta!$N$3:$N$32,MATCH($A115,Työkonekanta!$A$3:$A$32,0),1),0)</f>
        <v>0</v>
      </c>
      <c r="AG115" s="332">
        <f>I115*INDEX(Muuttujat!$U$5:$U$21,MATCH($C115,Muuttujat!$N$5:$N$21,0),1)</f>
        <v>0</v>
      </c>
      <c r="AH115" s="332">
        <f>J115*INDEX(Muuttujat!$T$5:$T$21,MATCH($C115,Muuttujat!$N$5:$N$21,0),1)</f>
        <v>0</v>
      </c>
      <c r="AI115" s="332">
        <f t="shared" si="32"/>
        <v>0</v>
      </c>
      <c r="AJ115" s="332">
        <f t="shared" si="33"/>
        <v>0</v>
      </c>
      <c r="AK115" s="333">
        <f t="shared" si="45"/>
        <v>0</v>
      </c>
      <c r="AL115" s="332">
        <f t="shared" si="34"/>
        <v>0</v>
      </c>
      <c r="AM115" s="351"/>
      <c r="AN115" s="351"/>
    </row>
    <row r="116" spans="1:40">
      <c r="A116" s="139">
        <v>24</v>
      </c>
      <c r="B116" s="139">
        <f>IFERROR(IF((INDEX(Työkonekanta!$F$3:$F$27,MATCH('S3 Tiekartta'!$A116,Työkonekanta!$A$3:$A$24,0),1))&lt;0,0,(INDEX(Työkonekanta!$F$3:$F$27,MATCH('S3 Tiekartta'!$A116,Työkonekanta!$A$3:$A$24,0),1))),0)</f>
        <v>0</v>
      </c>
      <c r="C116" s="140">
        <v>2022</v>
      </c>
      <c r="D116" s="141" t="str">
        <f>IFERROR(INDEX(Työkonekanta!$D$3:$D$27,MATCH('S3 Tiekartta'!$A116,Työkonekanta!$A$3:$A$24,0),1),"undefined")</f>
        <v>undefined</v>
      </c>
      <c r="E116" s="145">
        <f>IFERROR(INDEX(Työkonekanta!$G$3:$G$27,MATCH($A116,Työkonekanta!$A$3:$A$24,0),1)*INDEX(Työkonekanta!$H$3:$H$27,MATCH($A116,Työkonekanta!$A$3:$A$24,0),1)*(1+s0b_kasvu*($C116-2019))*$B116,0)</f>
        <v>0</v>
      </c>
      <c r="F116" s="145">
        <f t="shared" si="26"/>
        <v>0</v>
      </c>
      <c r="G116" s="151">
        <f t="shared" si="35"/>
        <v>0</v>
      </c>
      <c r="H116" s="145">
        <f t="shared" si="36"/>
        <v>0</v>
      </c>
      <c r="I116" s="145">
        <f t="shared" si="27"/>
        <v>0</v>
      </c>
      <c r="J116" s="145">
        <f t="shared" si="28"/>
        <v>0</v>
      </c>
      <c r="K116" s="142" t="str">
        <f t="shared" si="37"/>
        <v>undefined</v>
      </c>
      <c r="L116" s="146">
        <f>IFERROR(INDEX(Työkonekanta!$I$3:$I$27,MATCH('S3 Tiekartta'!$A116,Työkonekanta!$A$3:$A$24,0),1)*(I116+J116)*f_adblue,0)</f>
        <v>0</v>
      </c>
      <c r="M116" s="146">
        <f t="shared" si="46"/>
        <v>0</v>
      </c>
      <c r="N116" s="143" t="str">
        <f>IF(tuulisähkö_vuosi&lt;='S3 Tiekartta'!C116,"tuulisähkö",ostosähkö_nyt)</f>
        <v>jäännössähkö</v>
      </c>
      <c r="O116" s="147">
        <f>INDEX(Muuttujat!$J$5:$J$21,MATCH($C116,Muuttujat!$H$5:$H$21,0),1)</f>
        <v>67.190510474999996</v>
      </c>
      <c r="P116" s="148">
        <f t="shared" si="38"/>
        <v>0.96</v>
      </c>
      <c r="Q116" s="148">
        <f t="shared" si="39"/>
        <v>0.04</v>
      </c>
      <c r="R116" s="148">
        <f t="shared" si="40"/>
        <v>0.04</v>
      </c>
      <c r="S116" s="149">
        <f t="shared" si="29"/>
        <v>0</v>
      </c>
      <c r="T116" s="150">
        <f t="shared" si="30"/>
        <v>0</v>
      </c>
      <c r="U116" s="150">
        <f t="shared" si="31"/>
        <v>0</v>
      </c>
      <c r="V116" s="150">
        <f>IFERROR(INDEX(Työkonekanta!$J$3:$J$27,MATCH($A116,Työkonekanta!$A$3:$A$24,0),1)*$B116*ef_li_ion_akku/1000/1000/INDEX(Työkonekanta!$K$3:$K$27,MATCH($A116,Työkonekanta!$A$3:$A$24,0)),0)</f>
        <v>0</v>
      </c>
      <c r="W116" s="149">
        <f t="shared" si="47"/>
        <v>0</v>
      </c>
      <c r="X116" s="150">
        <f t="shared" si="48"/>
        <v>0</v>
      </c>
      <c r="Y116" s="151">
        <f t="shared" si="49"/>
        <v>0</v>
      </c>
      <c r="Z116" s="152">
        <f t="shared" si="41"/>
        <v>0</v>
      </c>
      <c r="AA116" s="179">
        <f t="shared" si="42"/>
        <v>0</v>
      </c>
      <c r="AB116" s="179">
        <f t="shared" si="43"/>
        <v>0</v>
      </c>
      <c r="AC116" s="180">
        <f t="shared" si="50"/>
        <v>0</v>
      </c>
      <c r="AD116" s="156">
        <f t="shared" si="44"/>
        <v>0</v>
      </c>
      <c r="AE116" s="146">
        <f>IFERROR(INDEX(Työkonekanta!$L$3:$L$30,MATCH($A116,Työkonekanta!$A$3:$A$30,0),1),0)*AF116</f>
        <v>0</v>
      </c>
      <c r="AF116" s="146">
        <f>IFERROR(INDEX(Työkonekanta!$N$3:$N$32,MATCH($A116,Työkonekanta!$A$3:$A$32,0),1),0)</f>
        <v>0</v>
      </c>
      <c r="AG116" s="332">
        <f>I116*INDEX(Muuttujat!$U$5:$U$21,MATCH($C116,Muuttujat!$N$5:$N$21,0),1)</f>
        <v>0</v>
      </c>
      <c r="AH116" s="332">
        <f>J116*INDEX(Muuttujat!$T$5:$T$21,MATCH($C116,Muuttujat!$N$5:$N$21,0),1)</f>
        <v>0</v>
      </c>
      <c r="AI116" s="332">
        <f t="shared" si="32"/>
        <v>0</v>
      </c>
      <c r="AJ116" s="332">
        <f t="shared" si="33"/>
        <v>0</v>
      </c>
      <c r="AK116" s="333">
        <f t="shared" si="45"/>
        <v>0</v>
      </c>
      <c r="AL116" s="332">
        <f t="shared" si="34"/>
        <v>0</v>
      </c>
      <c r="AM116" s="351"/>
      <c r="AN116" s="351"/>
    </row>
    <row r="117" spans="1:40">
      <c r="A117" s="139">
        <v>25</v>
      </c>
      <c r="B117" s="139">
        <f>IFERROR(IF((INDEX(Työkonekanta!$F$3:$F$27,MATCH('S3 Tiekartta'!$A117,Työkonekanta!$A$3:$A$24,0),1))&lt;0,0,(INDEX(Työkonekanta!$F$3:$F$27,MATCH('S3 Tiekartta'!$A117,Työkonekanta!$A$3:$A$24,0),1))),0)</f>
        <v>0</v>
      </c>
      <c r="C117" s="140">
        <v>2022</v>
      </c>
      <c r="D117" s="141" t="str">
        <f>IFERROR(INDEX(Työkonekanta!$D$3:$D$27,MATCH('S3 Tiekartta'!$A117,Työkonekanta!$A$3:$A$24,0),1),"undefined")</f>
        <v>undefined</v>
      </c>
      <c r="E117" s="145">
        <f>IFERROR(INDEX(Työkonekanta!$G$3:$G$27,MATCH($A117,Työkonekanta!$A$3:$A$24,0),1)*INDEX(Työkonekanta!$H$3:$H$27,MATCH($A117,Työkonekanta!$A$3:$A$24,0),1)*(1+s0b_kasvu*($C117-2019))*$B117,0)</f>
        <v>0</v>
      </c>
      <c r="F117" s="145">
        <f t="shared" si="26"/>
        <v>0</v>
      </c>
      <c r="G117" s="151">
        <f t="shared" si="35"/>
        <v>0</v>
      </c>
      <c r="H117" s="145">
        <f t="shared" si="36"/>
        <v>0</v>
      </c>
      <c r="I117" s="145">
        <f t="shared" si="27"/>
        <v>0</v>
      </c>
      <c r="J117" s="145">
        <f t="shared" si="28"/>
        <v>0</v>
      </c>
      <c r="K117" s="142" t="str">
        <f t="shared" si="37"/>
        <v>undefined</v>
      </c>
      <c r="L117" s="146">
        <f>IFERROR(INDEX(Työkonekanta!$I$3:$I$27,MATCH('S3 Tiekartta'!$A117,Työkonekanta!$A$3:$A$24,0),1)*(I117+J117)*f_adblue,0)</f>
        <v>0</v>
      </c>
      <c r="M117" s="146">
        <f t="shared" si="46"/>
        <v>0</v>
      </c>
      <c r="N117" s="143" t="str">
        <f>IF(tuulisähkö_vuosi&lt;='S3 Tiekartta'!C117,"tuulisähkö",ostosähkö_nyt)</f>
        <v>jäännössähkö</v>
      </c>
      <c r="O117" s="147">
        <f>INDEX(Muuttujat!$J$5:$J$21,MATCH($C117,Muuttujat!$H$5:$H$21,0),1)</f>
        <v>67.190510474999996</v>
      </c>
      <c r="P117" s="148">
        <f t="shared" si="38"/>
        <v>0.96</v>
      </c>
      <c r="Q117" s="148">
        <f t="shared" si="39"/>
        <v>0.04</v>
      </c>
      <c r="R117" s="148">
        <f t="shared" si="40"/>
        <v>0.04</v>
      </c>
      <c r="S117" s="149">
        <f t="shared" si="29"/>
        <v>0</v>
      </c>
      <c r="T117" s="150">
        <f t="shared" si="30"/>
        <v>0</v>
      </c>
      <c r="U117" s="150">
        <f t="shared" si="31"/>
        <v>0</v>
      </c>
      <c r="V117" s="150">
        <f>IFERROR(INDEX(Työkonekanta!$J$3:$J$27,MATCH($A117,Työkonekanta!$A$3:$A$24,0),1)*$B117*ef_li_ion_akku/1000/1000/INDEX(Työkonekanta!$K$3:$K$27,MATCH($A117,Työkonekanta!$A$3:$A$24,0)),0)</f>
        <v>0</v>
      </c>
      <c r="W117" s="149">
        <f t="shared" si="47"/>
        <v>0</v>
      </c>
      <c r="X117" s="150">
        <f t="shared" si="48"/>
        <v>0</v>
      </c>
      <c r="Y117" s="151">
        <f t="shared" si="49"/>
        <v>0</v>
      </c>
      <c r="Z117" s="152">
        <f t="shared" si="41"/>
        <v>0</v>
      </c>
      <c r="AA117" s="179">
        <f t="shared" si="42"/>
        <v>0</v>
      </c>
      <c r="AB117" s="179">
        <f t="shared" si="43"/>
        <v>0</v>
      </c>
      <c r="AC117" s="180">
        <f t="shared" si="50"/>
        <v>0</v>
      </c>
      <c r="AD117" s="156">
        <f t="shared" si="44"/>
        <v>0</v>
      </c>
      <c r="AE117" s="146">
        <f>IFERROR(INDEX(Työkonekanta!$L$3:$L$30,MATCH($A117,Työkonekanta!$A$3:$A$30,0),1),0)*AF117</f>
        <v>0</v>
      </c>
      <c r="AF117" s="146">
        <f>IFERROR(INDEX(Työkonekanta!$N$3:$N$32,MATCH($A117,Työkonekanta!$A$3:$A$32,0),1),0)</f>
        <v>0</v>
      </c>
      <c r="AG117" s="332">
        <f>I117*INDEX(Muuttujat!$U$5:$U$21,MATCH($C117,Muuttujat!$N$5:$N$21,0),1)</f>
        <v>0</v>
      </c>
      <c r="AH117" s="332">
        <f>J117*INDEX(Muuttujat!$T$5:$T$21,MATCH($C117,Muuttujat!$N$5:$N$21,0),1)</f>
        <v>0</v>
      </c>
      <c r="AI117" s="332">
        <f t="shared" si="32"/>
        <v>0</v>
      </c>
      <c r="AJ117" s="332">
        <f t="shared" si="33"/>
        <v>0</v>
      </c>
      <c r="AK117" s="333">
        <f t="shared" si="45"/>
        <v>0</v>
      </c>
      <c r="AL117" s="332">
        <f t="shared" si="34"/>
        <v>0</v>
      </c>
      <c r="AM117" s="351"/>
      <c r="AN117" s="351"/>
    </row>
    <row r="118" spans="1:40">
      <c r="A118" s="139">
        <v>26</v>
      </c>
      <c r="B118" s="139">
        <f>IFERROR(IF((INDEX(Työkonekanta!$F$3:$F$27,MATCH('S3 Tiekartta'!$A118,Työkonekanta!$A$3:$A$24,0),1))&lt;0,0,(INDEX(Työkonekanta!$F$3:$F$27,MATCH('S3 Tiekartta'!$A118,Työkonekanta!$A$3:$A$24,0),1))),0)</f>
        <v>0</v>
      </c>
      <c r="C118" s="140">
        <v>2022</v>
      </c>
      <c r="D118" s="141" t="str">
        <f>IFERROR(INDEX(Työkonekanta!$D$3:$D$27,MATCH('S3 Tiekartta'!$A118,Työkonekanta!$A$3:$A$24,0),1),"undefined")</f>
        <v>undefined</v>
      </c>
      <c r="E118" s="145">
        <f>IFERROR(INDEX(Työkonekanta!$G$3:$G$27,MATCH($A118,Työkonekanta!$A$3:$A$24,0),1)*INDEX(Työkonekanta!$H$3:$H$27,MATCH($A118,Työkonekanta!$A$3:$A$24,0),1)*(1+s0b_kasvu*($C118-2019))*$B118,0)</f>
        <v>0</v>
      </c>
      <c r="F118" s="145">
        <f t="shared" si="26"/>
        <v>0</v>
      </c>
      <c r="G118" s="151">
        <f t="shared" si="35"/>
        <v>0</v>
      </c>
      <c r="H118" s="145">
        <f t="shared" si="36"/>
        <v>0</v>
      </c>
      <c r="I118" s="145">
        <f t="shared" si="27"/>
        <v>0</v>
      </c>
      <c r="J118" s="145">
        <f t="shared" si="28"/>
        <v>0</v>
      </c>
      <c r="K118" s="142" t="str">
        <f t="shared" si="37"/>
        <v>undefined</v>
      </c>
      <c r="L118" s="146">
        <f>IFERROR(INDEX(Työkonekanta!$I$3:$I$27,MATCH('S3 Tiekartta'!$A118,Työkonekanta!$A$3:$A$24,0),1)*(I118+J118)*f_adblue,0)</f>
        <v>0</v>
      </c>
      <c r="M118" s="146">
        <f t="shared" si="46"/>
        <v>0</v>
      </c>
      <c r="N118" s="143" t="str">
        <f>IF(tuulisähkö_vuosi&lt;='S3 Tiekartta'!C118,"tuulisähkö",ostosähkö_nyt)</f>
        <v>jäännössähkö</v>
      </c>
      <c r="O118" s="147">
        <f>INDEX(Muuttujat!$J$5:$J$21,MATCH($C118,Muuttujat!$H$5:$H$21,0),1)</f>
        <v>67.190510474999996</v>
      </c>
      <c r="P118" s="148">
        <f t="shared" si="38"/>
        <v>0.96</v>
      </c>
      <c r="Q118" s="148">
        <f t="shared" si="39"/>
        <v>0.04</v>
      </c>
      <c r="R118" s="148">
        <f t="shared" si="40"/>
        <v>0.04</v>
      </c>
      <c r="S118" s="149">
        <f t="shared" si="29"/>
        <v>0</v>
      </c>
      <c r="T118" s="150">
        <f t="shared" si="30"/>
        <v>0</v>
      </c>
      <c r="U118" s="150">
        <f t="shared" si="31"/>
        <v>0</v>
      </c>
      <c r="V118" s="150">
        <f>IFERROR(INDEX(Työkonekanta!$J$3:$J$27,MATCH($A118,Työkonekanta!$A$3:$A$24,0),1)*$B118*ef_li_ion_akku/1000/1000/INDEX(Työkonekanta!$K$3:$K$27,MATCH($A118,Työkonekanta!$A$3:$A$24,0)),0)</f>
        <v>0</v>
      </c>
      <c r="W118" s="149">
        <f t="shared" si="47"/>
        <v>0</v>
      </c>
      <c r="X118" s="150">
        <f t="shared" si="48"/>
        <v>0</v>
      </c>
      <c r="Y118" s="151">
        <f t="shared" si="49"/>
        <v>0</v>
      </c>
      <c r="Z118" s="152">
        <f t="shared" si="41"/>
        <v>0</v>
      </c>
      <c r="AA118" s="179">
        <f t="shared" si="42"/>
        <v>0</v>
      </c>
      <c r="AB118" s="179">
        <f t="shared" si="43"/>
        <v>0</v>
      </c>
      <c r="AC118" s="180">
        <f t="shared" si="50"/>
        <v>0</v>
      </c>
      <c r="AD118" s="156">
        <f t="shared" si="44"/>
        <v>0</v>
      </c>
      <c r="AE118" s="146">
        <f>IFERROR(INDEX(Työkonekanta!$L$3:$L$30,MATCH($A118,Työkonekanta!$A$3:$A$30,0),1),0)*AF118</f>
        <v>0</v>
      </c>
      <c r="AF118" s="146">
        <f>IFERROR(INDEX(Työkonekanta!$N$3:$N$32,MATCH($A118,Työkonekanta!$A$3:$A$32,0),1),0)</f>
        <v>0</v>
      </c>
      <c r="AG118" s="332">
        <f>I118*INDEX(Muuttujat!$U$5:$U$21,MATCH($C118,Muuttujat!$N$5:$N$21,0),1)</f>
        <v>0</v>
      </c>
      <c r="AH118" s="332">
        <f>J118*INDEX(Muuttujat!$T$5:$T$21,MATCH($C118,Muuttujat!$N$5:$N$21,0),1)</f>
        <v>0</v>
      </c>
      <c r="AI118" s="332">
        <f t="shared" si="32"/>
        <v>0</v>
      </c>
      <c r="AJ118" s="332">
        <f t="shared" si="33"/>
        <v>0</v>
      </c>
      <c r="AK118" s="333">
        <f t="shared" si="45"/>
        <v>0</v>
      </c>
      <c r="AL118" s="332">
        <f t="shared" si="34"/>
        <v>0</v>
      </c>
      <c r="AM118" s="351"/>
      <c r="AN118" s="351"/>
    </row>
    <row r="119" spans="1:40">
      <c r="A119" s="139">
        <v>27</v>
      </c>
      <c r="B119" s="139">
        <f>IFERROR(IF((INDEX(Työkonekanta!$F$3:$F$27,MATCH('S3 Tiekartta'!$A119,Työkonekanta!$A$3:$A$24,0),1))&lt;0,0,(INDEX(Työkonekanta!$F$3:$F$27,MATCH('S3 Tiekartta'!$A119,Työkonekanta!$A$3:$A$24,0),1))),0)</f>
        <v>0</v>
      </c>
      <c r="C119" s="140">
        <v>2022</v>
      </c>
      <c r="D119" s="141" t="str">
        <f>IFERROR(INDEX(Työkonekanta!$D$3:$D$27,MATCH('S3 Tiekartta'!$A119,Työkonekanta!$A$3:$A$24,0),1),"undefined")</f>
        <v>undefined</v>
      </c>
      <c r="E119" s="145">
        <f>IFERROR(INDEX(Työkonekanta!$G$3:$G$27,MATCH($A119,Työkonekanta!$A$3:$A$24,0),1)*INDEX(Työkonekanta!$H$3:$H$27,MATCH($A119,Työkonekanta!$A$3:$A$24,0),1)*(1+s0b_kasvu*($C119-2019))*$B119,0)</f>
        <v>0</v>
      </c>
      <c r="F119" s="145">
        <f t="shared" si="26"/>
        <v>0</v>
      </c>
      <c r="G119" s="151">
        <f t="shared" si="35"/>
        <v>0</v>
      </c>
      <c r="H119" s="145">
        <f t="shared" si="36"/>
        <v>0</v>
      </c>
      <c r="I119" s="145">
        <f t="shared" si="27"/>
        <v>0</v>
      </c>
      <c r="J119" s="145">
        <f t="shared" si="28"/>
        <v>0</v>
      </c>
      <c r="K119" s="142" t="str">
        <f t="shared" si="37"/>
        <v>undefined</v>
      </c>
      <c r="L119" s="146">
        <f>IFERROR(INDEX(Työkonekanta!$I$3:$I$27,MATCH('S3 Tiekartta'!$A119,Työkonekanta!$A$3:$A$24,0),1)*(I119+J119)*f_adblue,0)</f>
        <v>0</v>
      </c>
      <c r="M119" s="146">
        <f t="shared" si="46"/>
        <v>0</v>
      </c>
      <c r="N119" s="143" t="str">
        <f>IF(tuulisähkö_vuosi&lt;='S3 Tiekartta'!C119,"tuulisähkö",ostosähkö_nyt)</f>
        <v>jäännössähkö</v>
      </c>
      <c r="O119" s="147">
        <f>INDEX(Muuttujat!$J$5:$J$21,MATCH($C119,Muuttujat!$H$5:$H$21,0),1)</f>
        <v>67.190510474999996</v>
      </c>
      <c r="P119" s="148">
        <f t="shared" si="38"/>
        <v>0.96</v>
      </c>
      <c r="Q119" s="148">
        <f t="shared" si="39"/>
        <v>0.04</v>
      </c>
      <c r="R119" s="148">
        <f t="shared" si="40"/>
        <v>0.04</v>
      </c>
      <c r="S119" s="149">
        <f t="shared" si="29"/>
        <v>0</v>
      </c>
      <c r="T119" s="150">
        <f t="shared" si="30"/>
        <v>0</v>
      </c>
      <c r="U119" s="150">
        <f t="shared" si="31"/>
        <v>0</v>
      </c>
      <c r="V119" s="150">
        <f>IFERROR(INDEX(Työkonekanta!$J$3:$J$27,MATCH($A119,Työkonekanta!$A$3:$A$24,0),1)*$B119*ef_li_ion_akku/1000/1000/INDEX(Työkonekanta!$K$3:$K$27,MATCH($A119,Työkonekanta!$A$3:$A$24,0)),0)</f>
        <v>0</v>
      </c>
      <c r="W119" s="149">
        <f t="shared" si="47"/>
        <v>0</v>
      </c>
      <c r="X119" s="150">
        <f t="shared" si="48"/>
        <v>0</v>
      </c>
      <c r="Y119" s="151">
        <f t="shared" si="49"/>
        <v>0</v>
      </c>
      <c r="Z119" s="152">
        <f t="shared" si="41"/>
        <v>0</v>
      </c>
      <c r="AA119" s="179">
        <f t="shared" si="42"/>
        <v>0</v>
      </c>
      <c r="AB119" s="179">
        <f t="shared" si="43"/>
        <v>0</v>
      </c>
      <c r="AC119" s="180">
        <f t="shared" si="50"/>
        <v>0</v>
      </c>
      <c r="AD119" s="156">
        <f t="shared" si="44"/>
        <v>0</v>
      </c>
      <c r="AE119" s="146">
        <f>IFERROR(INDEX(Työkonekanta!$L$3:$L$30,MATCH($A119,Työkonekanta!$A$3:$A$30,0),1),0)*AF119</f>
        <v>0</v>
      </c>
      <c r="AF119" s="146">
        <f>IFERROR(INDEX(Työkonekanta!$N$3:$N$32,MATCH($A119,Työkonekanta!$A$3:$A$32,0),1),0)</f>
        <v>0</v>
      </c>
      <c r="AG119" s="332">
        <f>I119*INDEX(Muuttujat!$U$5:$U$21,MATCH($C119,Muuttujat!$N$5:$N$21,0),1)</f>
        <v>0</v>
      </c>
      <c r="AH119" s="332">
        <f>J119*INDEX(Muuttujat!$T$5:$T$21,MATCH($C119,Muuttujat!$N$5:$N$21,0),1)</f>
        <v>0</v>
      </c>
      <c r="AI119" s="332">
        <f t="shared" si="32"/>
        <v>0</v>
      </c>
      <c r="AJ119" s="332">
        <f t="shared" si="33"/>
        <v>0</v>
      </c>
      <c r="AK119" s="333">
        <f t="shared" si="45"/>
        <v>0</v>
      </c>
      <c r="AL119" s="332">
        <f t="shared" si="34"/>
        <v>0</v>
      </c>
      <c r="AM119" s="351"/>
      <c r="AN119" s="351"/>
    </row>
    <row r="120" spans="1:40">
      <c r="A120" s="139">
        <v>28</v>
      </c>
      <c r="B120" s="139">
        <f>IFERROR(IF((INDEX(Työkonekanta!$F$3:$F$27,MATCH('S3 Tiekartta'!$A120,Työkonekanta!$A$3:$A$24,0),1))&lt;0,0,(INDEX(Työkonekanta!$F$3:$F$27,MATCH('S3 Tiekartta'!$A120,Työkonekanta!$A$3:$A$24,0),1))),0)</f>
        <v>0</v>
      </c>
      <c r="C120" s="140">
        <v>2022</v>
      </c>
      <c r="D120" s="141" t="str">
        <f>IFERROR(INDEX(Työkonekanta!$D$3:$D$27,MATCH('S3 Tiekartta'!$A120,Työkonekanta!$A$3:$A$24,0),1),"undefined")</f>
        <v>undefined</v>
      </c>
      <c r="E120" s="145">
        <f>IFERROR(INDEX(Työkonekanta!$G$3:$G$27,MATCH($A120,Työkonekanta!$A$3:$A$24,0),1)*INDEX(Työkonekanta!$H$3:$H$27,MATCH($A120,Työkonekanta!$A$3:$A$24,0),1)*(1+s0b_kasvu*($C120-2019))*$B120,0)</f>
        <v>0</v>
      </c>
      <c r="F120" s="145">
        <f t="shared" si="26"/>
        <v>0</v>
      </c>
      <c r="G120" s="151">
        <f t="shared" si="35"/>
        <v>0</v>
      </c>
      <c r="H120" s="145">
        <f t="shared" si="36"/>
        <v>0</v>
      </c>
      <c r="I120" s="145">
        <f t="shared" si="27"/>
        <v>0</v>
      </c>
      <c r="J120" s="145">
        <f t="shared" si="28"/>
        <v>0</v>
      </c>
      <c r="K120" s="142" t="str">
        <f t="shared" si="37"/>
        <v>undefined</v>
      </c>
      <c r="L120" s="146">
        <f>IFERROR(INDEX(Työkonekanta!$I$3:$I$27,MATCH('S3 Tiekartta'!$A120,Työkonekanta!$A$3:$A$24,0),1)*(I120+J120)*f_adblue,0)</f>
        <v>0</v>
      </c>
      <c r="M120" s="146">
        <f t="shared" si="46"/>
        <v>0</v>
      </c>
      <c r="N120" s="143" t="str">
        <f>IF(tuulisähkö_vuosi&lt;='S3 Tiekartta'!C120,"tuulisähkö",ostosähkö_nyt)</f>
        <v>jäännössähkö</v>
      </c>
      <c r="O120" s="147">
        <f>INDEX(Muuttujat!$J$5:$J$21,MATCH($C120,Muuttujat!$H$5:$H$21,0),1)</f>
        <v>67.190510474999996</v>
      </c>
      <c r="P120" s="148">
        <f t="shared" si="38"/>
        <v>0.96</v>
      </c>
      <c r="Q120" s="148">
        <f t="shared" si="39"/>
        <v>0.04</v>
      </c>
      <c r="R120" s="148">
        <f t="shared" si="40"/>
        <v>0.04</v>
      </c>
      <c r="S120" s="149">
        <f t="shared" si="29"/>
        <v>0</v>
      </c>
      <c r="T120" s="150">
        <f t="shared" si="30"/>
        <v>0</v>
      </c>
      <c r="U120" s="150">
        <f t="shared" si="31"/>
        <v>0</v>
      </c>
      <c r="V120" s="150">
        <f>IFERROR(INDEX(Työkonekanta!$J$3:$J$27,MATCH($A120,Työkonekanta!$A$3:$A$24,0),1)*$B120*ef_li_ion_akku/1000/1000/INDEX(Työkonekanta!$K$3:$K$27,MATCH($A120,Työkonekanta!$A$3:$A$24,0)),0)</f>
        <v>0</v>
      </c>
      <c r="W120" s="149">
        <f t="shared" si="47"/>
        <v>0</v>
      </c>
      <c r="X120" s="150">
        <f t="shared" si="48"/>
        <v>0</v>
      </c>
      <c r="Y120" s="151">
        <f t="shared" si="49"/>
        <v>0</v>
      </c>
      <c r="Z120" s="152">
        <f t="shared" si="41"/>
        <v>0</v>
      </c>
      <c r="AA120" s="179">
        <f t="shared" si="42"/>
        <v>0</v>
      </c>
      <c r="AB120" s="179">
        <f t="shared" si="43"/>
        <v>0</v>
      </c>
      <c r="AC120" s="180">
        <f t="shared" si="50"/>
        <v>0</v>
      </c>
      <c r="AD120" s="156">
        <f t="shared" si="44"/>
        <v>0</v>
      </c>
      <c r="AE120" s="146">
        <f>IFERROR(INDEX(Työkonekanta!$L$3:$L$30,MATCH($A120,Työkonekanta!$A$3:$A$30,0),1),0)*AF120</f>
        <v>0</v>
      </c>
      <c r="AF120" s="146">
        <f>IFERROR(INDEX(Työkonekanta!$N$3:$N$32,MATCH($A120,Työkonekanta!$A$3:$A$32,0),1),0)</f>
        <v>0</v>
      </c>
      <c r="AG120" s="332">
        <f>I120*INDEX(Muuttujat!$U$5:$U$21,MATCH($C120,Muuttujat!$N$5:$N$21,0),1)</f>
        <v>0</v>
      </c>
      <c r="AH120" s="332">
        <f>J120*INDEX(Muuttujat!$T$5:$T$21,MATCH($C120,Muuttujat!$N$5:$N$21,0),1)</f>
        <v>0</v>
      </c>
      <c r="AI120" s="332">
        <f t="shared" si="32"/>
        <v>0</v>
      </c>
      <c r="AJ120" s="332">
        <f t="shared" si="33"/>
        <v>0</v>
      </c>
      <c r="AK120" s="333">
        <f t="shared" si="45"/>
        <v>0</v>
      </c>
      <c r="AL120" s="332">
        <f t="shared" si="34"/>
        <v>0</v>
      </c>
      <c r="AM120" s="351"/>
      <c r="AN120" s="351"/>
    </row>
    <row r="121" spans="1:40">
      <c r="A121" s="139">
        <v>29</v>
      </c>
      <c r="B121" s="139">
        <f>IFERROR(IF((INDEX(Työkonekanta!$F$3:$F$27,MATCH('S3 Tiekartta'!$A121,Työkonekanta!$A$3:$A$24,0),1))&lt;0,0,(INDEX(Työkonekanta!$F$3:$F$27,MATCH('S3 Tiekartta'!$A121,Työkonekanta!$A$3:$A$24,0),1))),0)</f>
        <v>0</v>
      </c>
      <c r="C121" s="140">
        <v>2022</v>
      </c>
      <c r="D121" s="141" t="str">
        <f>IFERROR(INDEX(Työkonekanta!$D$3:$D$27,MATCH('S3 Tiekartta'!$A121,Työkonekanta!$A$3:$A$24,0),1),"undefined")</f>
        <v>undefined</v>
      </c>
      <c r="E121" s="145">
        <f>IFERROR(INDEX(Työkonekanta!$G$3:$G$27,MATCH($A121,Työkonekanta!$A$3:$A$24,0),1)*INDEX(Työkonekanta!$H$3:$H$27,MATCH($A121,Työkonekanta!$A$3:$A$24,0),1)*(1+s0b_kasvu*($C121-2019))*$B121,0)</f>
        <v>0</v>
      </c>
      <c r="F121" s="145">
        <f t="shared" si="26"/>
        <v>0</v>
      </c>
      <c r="G121" s="151">
        <f t="shared" si="35"/>
        <v>0</v>
      </c>
      <c r="H121" s="145">
        <f t="shared" si="36"/>
        <v>0</v>
      </c>
      <c r="I121" s="145">
        <f t="shared" si="27"/>
        <v>0</v>
      </c>
      <c r="J121" s="145">
        <f t="shared" si="28"/>
        <v>0</v>
      </c>
      <c r="K121" s="142" t="str">
        <f t="shared" si="37"/>
        <v>undefined</v>
      </c>
      <c r="L121" s="146">
        <f>IFERROR(INDEX(Työkonekanta!$I$3:$I$27,MATCH('S3 Tiekartta'!$A121,Työkonekanta!$A$3:$A$24,0),1)*(I121+J121)*f_adblue,0)</f>
        <v>0</v>
      </c>
      <c r="M121" s="146">
        <f t="shared" si="46"/>
        <v>0</v>
      </c>
      <c r="N121" s="143" t="str">
        <f>IF(tuulisähkö_vuosi&lt;='S3 Tiekartta'!C121,"tuulisähkö",ostosähkö_nyt)</f>
        <v>jäännössähkö</v>
      </c>
      <c r="O121" s="147">
        <f>INDEX(Muuttujat!$J$5:$J$21,MATCH($C121,Muuttujat!$H$5:$H$21,0),1)</f>
        <v>67.190510474999996</v>
      </c>
      <c r="P121" s="148">
        <f t="shared" si="38"/>
        <v>0.96</v>
      </c>
      <c r="Q121" s="148">
        <f t="shared" si="39"/>
        <v>0.04</v>
      </c>
      <c r="R121" s="148">
        <f t="shared" si="40"/>
        <v>0.04</v>
      </c>
      <c r="S121" s="149">
        <f t="shared" si="29"/>
        <v>0</v>
      </c>
      <c r="T121" s="150">
        <f t="shared" si="30"/>
        <v>0</v>
      </c>
      <c r="U121" s="150">
        <f t="shared" si="31"/>
        <v>0</v>
      </c>
      <c r="V121" s="150">
        <f>IFERROR(INDEX(Työkonekanta!$J$3:$J$27,MATCH($A121,Työkonekanta!$A$3:$A$24,0),1)*$B121*ef_li_ion_akku/1000/1000/INDEX(Työkonekanta!$K$3:$K$27,MATCH($A121,Työkonekanta!$A$3:$A$24,0)),0)</f>
        <v>0</v>
      </c>
      <c r="W121" s="149">
        <f t="shared" si="47"/>
        <v>0</v>
      </c>
      <c r="X121" s="150">
        <f t="shared" si="48"/>
        <v>0</v>
      </c>
      <c r="Y121" s="151">
        <f t="shared" si="49"/>
        <v>0</v>
      </c>
      <c r="Z121" s="152">
        <f t="shared" si="41"/>
        <v>0</v>
      </c>
      <c r="AA121" s="179">
        <f t="shared" si="42"/>
        <v>0</v>
      </c>
      <c r="AB121" s="179">
        <f t="shared" si="43"/>
        <v>0</v>
      </c>
      <c r="AC121" s="180">
        <f t="shared" si="50"/>
        <v>0</v>
      </c>
      <c r="AD121" s="156">
        <f t="shared" si="44"/>
        <v>0</v>
      </c>
      <c r="AE121" s="146">
        <f>IFERROR(INDEX(Työkonekanta!$L$3:$L$30,MATCH($A121,Työkonekanta!$A$3:$A$30,0),1),0)*AF121</f>
        <v>0</v>
      </c>
      <c r="AF121" s="146">
        <f>IFERROR(INDEX(Työkonekanta!$N$3:$N$32,MATCH($A121,Työkonekanta!$A$3:$A$32,0),1),0)</f>
        <v>0</v>
      </c>
      <c r="AG121" s="332">
        <f>I121*INDEX(Muuttujat!$U$5:$U$21,MATCH($C121,Muuttujat!$N$5:$N$21,0),1)</f>
        <v>0</v>
      </c>
      <c r="AH121" s="332">
        <f>J121*INDEX(Muuttujat!$T$5:$T$21,MATCH($C121,Muuttujat!$N$5:$N$21,0),1)</f>
        <v>0</v>
      </c>
      <c r="AI121" s="332">
        <f t="shared" si="32"/>
        <v>0</v>
      </c>
      <c r="AJ121" s="332">
        <f t="shared" si="33"/>
        <v>0</v>
      </c>
      <c r="AK121" s="333">
        <f t="shared" si="45"/>
        <v>0</v>
      </c>
      <c r="AL121" s="332">
        <f t="shared" si="34"/>
        <v>0</v>
      </c>
      <c r="AM121" s="351"/>
      <c r="AN121" s="351"/>
    </row>
    <row r="122" spans="1:40">
      <c r="A122" s="139">
        <v>30</v>
      </c>
      <c r="B122" s="139">
        <f>IFERROR(IF((INDEX(Työkonekanta!$F$3:$F$27,MATCH('S3 Tiekartta'!$A122,Työkonekanta!$A$3:$A$24,0),1))&lt;0,0,(INDEX(Työkonekanta!$F$3:$F$27,MATCH('S3 Tiekartta'!$A122,Työkonekanta!$A$3:$A$24,0),1))),0)</f>
        <v>0</v>
      </c>
      <c r="C122" s="140">
        <v>2022</v>
      </c>
      <c r="D122" s="141" t="str">
        <f>IFERROR(INDEX(Työkonekanta!$D$3:$D$27,MATCH('S3 Tiekartta'!$A122,Työkonekanta!$A$3:$A$24,0),1),"undefined")</f>
        <v>undefined</v>
      </c>
      <c r="E122" s="145">
        <f>IFERROR(INDEX(Työkonekanta!$G$3:$G$27,MATCH($A122,Työkonekanta!$A$3:$A$24,0),1)*INDEX(Työkonekanta!$H$3:$H$27,MATCH($A122,Työkonekanta!$A$3:$A$24,0),1)*(1+s0b_kasvu*($C122-2019))*$B122,0)</f>
        <v>0</v>
      </c>
      <c r="F122" s="145">
        <f t="shared" si="26"/>
        <v>0</v>
      </c>
      <c r="G122" s="151">
        <f t="shared" si="35"/>
        <v>0</v>
      </c>
      <c r="H122" s="145">
        <f t="shared" si="36"/>
        <v>0</v>
      </c>
      <c r="I122" s="145">
        <f t="shared" si="27"/>
        <v>0</v>
      </c>
      <c r="J122" s="145">
        <f t="shared" si="28"/>
        <v>0</v>
      </c>
      <c r="K122" s="142" t="str">
        <f t="shared" si="37"/>
        <v>undefined</v>
      </c>
      <c r="L122" s="146">
        <f>IFERROR(INDEX(Työkonekanta!$I$3:$I$27,MATCH('S3 Tiekartta'!$A122,Työkonekanta!$A$3:$A$24,0),1)*(I122+J122)*f_adblue,0)</f>
        <v>0</v>
      </c>
      <c r="M122" s="146">
        <f t="shared" si="46"/>
        <v>0</v>
      </c>
      <c r="N122" s="143" t="str">
        <f>IF(tuulisähkö_vuosi&lt;='S3 Tiekartta'!C122,"tuulisähkö",ostosähkö_nyt)</f>
        <v>jäännössähkö</v>
      </c>
      <c r="O122" s="147">
        <f>INDEX(Muuttujat!$J$5:$J$21,MATCH($C122,Muuttujat!$H$5:$H$21,0),1)</f>
        <v>67.190510474999996</v>
      </c>
      <c r="P122" s="148">
        <f t="shared" si="38"/>
        <v>0.96</v>
      </c>
      <c r="Q122" s="148">
        <f t="shared" si="39"/>
        <v>0.04</v>
      </c>
      <c r="R122" s="148">
        <f t="shared" si="40"/>
        <v>0.04</v>
      </c>
      <c r="S122" s="149">
        <f t="shared" si="29"/>
        <v>0</v>
      </c>
      <c r="T122" s="150">
        <f t="shared" si="30"/>
        <v>0</v>
      </c>
      <c r="U122" s="150">
        <f t="shared" si="31"/>
        <v>0</v>
      </c>
      <c r="V122" s="150">
        <f>IFERROR(INDEX(Työkonekanta!$J$3:$J$27,MATCH($A122,Työkonekanta!$A$3:$A$24,0),1)*$B122*ef_li_ion_akku/1000/1000/INDEX(Työkonekanta!$K$3:$K$27,MATCH($A122,Työkonekanta!$A$3:$A$24,0)),0)</f>
        <v>0</v>
      </c>
      <c r="W122" s="149">
        <f t="shared" si="47"/>
        <v>0</v>
      </c>
      <c r="X122" s="150">
        <f t="shared" si="48"/>
        <v>0</v>
      </c>
      <c r="Y122" s="151">
        <f t="shared" si="49"/>
        <v>0</v>
      </c>
      <c r="Z122" s="152">
        <f t="shared" si="41"/>
        <v>0</v>
      </c>
      <c r="AA122" s="179">
        <f t="shared" si="42"/>
        <v>0</v>
      </c>
      <c r="AB122" s="179">
        <f t="shared" si="43"/>
        <v>0</v>
      </c>
      <c r="AC122" s="180">
        <f t="shared" si="50"/>
        <v>0</v>
      </c>
      <c r="AD122" s="156">
        <f t="shared" si="44"/>
        <v>0</v>
      </c>
      <c r="AE122" s="146">
        <f>IFERROR(INDEX(Työkonekanta!$L$3:$L$30,MATCH($A122,Työkonekanta!$A$3:$A$30,0),1),0)*AF122</f>
        <v>0</v>
      </c>
      <c r="AF122" s="146">
        <f>IFERROR(INDEX(Työkonekanta!$N$3:$N$32,MATCH($A122,Työkonekanta!$A$3:$A$32,0),1),0)</f>
        <v>0</v>
      </c>
      <c r="AG122" s="332">
        <f>I122*INDEX(Muuttujat!$U$5:$U$21,MATCH($C122,Muuttujat!$N$5:$N$21,0),1)</f>
        <v>0</v>
      </c>
      <c r="AH122" s="332">
        <f>J122*INDEX(Muuttujat!$T$5:$T$21,MATCH($C122,Muuttujat!$N$5:$N$21,0),1)</f>
        <v>0</v>
      </c>
      <c r="AI122" s="332">
        <f t="shared" si="32"/>
        <v>0</v>
      </c>
      <c r="AJ122" s="332">
        <f t="shared" si="33"/>
        <v>0</v>
      </c>
      <c r="AK122" s="333">
        <f t="shared" si="45"/>
        <v>0</v>
      </c>
      <c r="AL122" s="332">
        <f t="shared" si="34"/>
        <v>0</v>
      </c>
      <c r="AM122" s="351"/>
      <c r="AN122" s="351"/>
    </row>
    <row r="123" spans="1:40">
      <c r="A123" s="139">
        <v>1</v>
      </c>
      <c r="B123" s="139">
        <f>IFERROR(IF((INDEX(Työkonekanta!$F$3:$F$27,MATCH('S3 Tiekartta'!$A123,Työkonekanta!$A$3:$A$24,0),1))&lt;0,0,(INDEX(Työkonekanta!$F$3:$F$27,MATCH('S3 Tiekartta'!$A123,Työkonekanta!$A$3:$A$24,0),1))),0)</f>
        <v>1</v>
      </c>
      <c r="C123" s="140">
        <v>2023</v>
      </c>
      <c r="D123" s="141" t="str">
        <f>IFERROR(INDEX(Työkonekanta!$D$3:$D$27,MATCH('S3 Tiekartta'!$A123,Työkonekanta!$A$3:$A$24,0),1),"undefined")</f>
        <v>pom</v>
      </c>
      <c r="E123" s="145">
        <f>IFERROR(INDEX(Työkonekanta!$G$3:$G$27,MATCH($A123,Työkonekanta!$A$3:$A$24,0),1)*INDEX(Työkonekanta!$H$3:$H$27,MATCH($A123,Työkonekanta!$A$3:$A$24,0),1)*(1+s0b_kasvu*($C123-2019))*$B123,0)</f>
        <v>10400</v>
      </c>
      <c r="F123" s="145">
        <f t="shared" si="26"/>
        <v>373360</v>
      </c>
      <c r="G123" s="151">
        <f t="shared" si="35"/>
        <v>354692</v>
      </c>
      <c r="H123" s="145">
        <f t="shared" si="36"/>
        <v>18668</v>
      </c>
      <c r="I123" s="145">
        <f t="shared" si="27"/>
        <v>9880</v>
      </c>
      <c r="J123" s="145">
        <f t="shared" si="28"/>
        <v>544.25655976676387</v>
      </c>
      <c r="K123" s="142" t="str">
        <f t="shared" si="37"/>
        <v>l</v>
      </c>
      <c r="L123" s="146">
        <f>IFERROR(INDEX(Työkonekanta!$I$3:$I$27,MATCH('S3 Tiekartta'!$A123,Työkonekanta!$A$3:$A$24,0),1)*(I123+J123)*f_adblue,0)</f>
        <v>521.21282798833818</v>
      </c>
      <c r="M123" s="146">
        <f t="shared" si="46"/>
        <v>0</v>
      </c>
      <c r="N123" s="143" t="str">
        <f>IF(tuulisähkö_vuosi&lt;='S3 Tiekartta'!C123,"tuulisähkö",ostosähkö_nyt)</f>
        <v>jäännössähkö</v>
      </c>
      <c r="O123" s="147">
        <f>INDEX(Muuttujat!$J$5:$J$21,MATCH($C123,Muuttujat!$H$5:$H$21,0),1)</f>
        <v>66.51860537025</v>
      </c>
      <c r="P123" s="148">
        <f t="shared" si="38"/>
        <v>0.95</v>
      </c>
      <c r="Q123" s="148">
        <f t="shared" si="39"/>
        <v>0.05</v>
      </c>
      <c r="R123" s="148">
        <f t="shared" si="40"/>
        <v>0.05</v>
      </c>
      <c r="S123" s="149">
        <f t="shared" si="29"/>
        <v>6.7036787999999996</v>
      </c>
      <c r="T123" s="150">
        <f t="shared" si="30"/>
        <v>1.1648832</v>
      </c>
      <c r="U123" s="150">
        <f t="shared" si="31"/>
        <v>0</v>
      </c>
      <c r="V123" s="150">
        <f>IFERROR(INDEX(Työkonekanta!$J$3:$J$27,MATCH($A123,Työkonekanta!$A$3:$A$24,0),1)*$B123*ef_li_ion_akku/1000/1000/INDEX(Työkonekanta!$K$3:$K$27,MATCH($A123,Työkonekanta!$A$3:$A$24,0)),0)</f>
        <v>0</v>
      </c>
      <c r="W123" s="149">
        <f t="shared" si="47"/>
        <v>26.179197326567998</v>
      </c>
      <c r="X123" s="150">
        <f t="shared" si="48"/>
        <v>0.3304554864</v>
      </c>
      <c r="Y123" s="151">
        <f t="shared" si="49"/>
        <v>0.13551533527696794</v>
      </c>
      <c r="Z123" s="152">
        <f t="shared" si="41"/>
        <v>7.8685619999999998</v>
      </c>
      <c r="AA123" s="179">
        <f t="shared" si="42"/>
        <v>26.314712661844965</v>
      </c>
      <c r="AB123" s="179">
        <f t="shared" si="43"/>
        <v>26.645168148244966</v>
      </c>
      <c r="AC123" s="180">
        <f t="shared" si="50"/>
        <v>34.183274661844962</v>
      </c>
      <c r="AD123" s="156">
        <f t="shared" si="44"/>
        <v>34.513730148244967</v>
      </c>
      <c r="AE123" s="146">
        <f>IFERROR(INDEX(Työkonekanta!$L$3:$L$30,MATCH($A123,Työkonekanta!$A$3:$A$30,0),1),0)*AF123</f>
        <v>500000</v>
      </c>
      <c r="AF123" s="146">
        <f>IFERROR(INDEX(Työkonekanta!$N$3:$N$32,MATCH($A123,Työkonekanta!$A$3:$A$32,0),1),0)</f>
        <v>1</v>
      </c>
      <c r="AG123" s="332">
        <f>I123*INDEX(Muuttujat!$U$5:$U$21,MATCH($C123,Muuttujat!$N$5:$N$21,0),1)</f>
        <v>9978.7999999999993</v>
      </c>
      <c r="AH123" s="332">
        <f>J123*INDEX(Muuttujat!$T$5:$T$21,MATCH($C123,Muuttujat!$N$5:$N$21,0),1)</f>
        <v>767.40174927113719</v>
      </c>
      <c r="AI123" s="332">
        <f t="shared" si="32"/>
        <v>260.60641399416909</v>
      </c>
      <c r="AJ123" s="332">
        <f t="shared" si="33"/>
        <v>0</v>
      </c>
      <c r="AK123" s="333">
        <f t="shared" si="45"/>
        <v>11006.808163265305</v>
      </c>
      <c r="AL123" s="332">
        <f t="shared" si="34"/>
        <v>11006.808163265305</v>
      </c>
      <c r="AM123" s="351"/>
      <c r="AN123" s="351"/>
    </row>
    <row r="124" spans="1:40">
      <c r="A124" s="139">
        <v>2</v>
      </c>
      <c r="B124" s="139">
        <f>IFERROR(IF((INDEX(Työkonekanta!$F$3:$F$27,MATCH('S3 Tiekartta'!$A124,Työkonekanta!$A$3:$A$24,0),1))&lt;0,0,(INDEX(Työkonekanta!$F$3:$F$27,MATCH('S3 Tiekartta'!$A124,Työkonekanta!$A$3:$A$24,0),1))),0)</f>
        <v>1</v>
      </c>
      <c r="C124" s="140">
        <v>2023</v>
      </c>
      <c r="D124" s="141" t="str">
        <f>IFERROR(INDEX(Työkonekanta!$D$3:$D$27,MATCH('S3 Tiekartta'!$A124,Työkonekanta!$A$3:$A$24,0),1),"undefined")</f>
        <v>pom</v>
      </c>
      <c r="E124" s="145">
        <f>IFERROR(INDEX(Työkonekanta!$G$3:$G$27,MATCH($A124,Työkonekanta!$A$3:$A$24,0),1)*INDEX(Työkonekanta!$H$3:$H$27,MATCH($A124,Työkonekanta!$A$3:$A$24,0),1)*(1+s0b_kasvu*($C124-2019))*$B124,0)</f>
        <v>10400</v>
      </c>
      <c r="F124" s="145">
        <f t="shared" si="26"/>
        <v>373360</v>
      </c>
      <c r="G124" s="151">
        <f t="shared" si="35"/>
        <v>354692</v>
      </c>
      <c r="H124" s="145">
        <f t="shared" si="36"/>
        <v>18668</v>
      </c>
      <c r="I124" s="145">
        <f t="shared" si="27"/>
        <v>9880</v>
      </c>
      <c r="J124" s="145">
        <f t="shared" si="28"/>
        <v>544.25655976676387</v>
      </c>
      <c r="K124" s="142" t="str">
        <f t="shared" si="37"/>
        <v>l</v>
      </c>
      <c r="L124" s="146">
        <f>IFERROR(INDEX(Työkonekanta!$I$3:$I$27,MATCH('S3 Tiekartta'!$A124,Työkonekanta!$A$3:$A$24,0),1)*(I124+J124)*f_adblue,0)</f>
        <v>521.21282798833818</v>
      </c>
      <c r="M124" s="146">
        <f t="shared" si="46"/>
        <v>0</v>
      </c>
      <c r="N124" s="143" t="str">
        <f>IF(tuulisähkö_vuosi&lt;='S3 Tiekartta'!C124,"tuulisähkö",ostosähkö_nyt)</f>
        <v>jäännössähkö</v>
      </c>
      <c r="O124" s="147">
        <f>INDEX(Muuttujat!$J$5:$J$21,MATCH($C124,Muuttujat!$H$5:$H$21,0),1)</f>
        <v>66.51860537025</v>
      </c>
      <c r="P124" s="148">
        <f t="shared" si="38"/>
        <v>0.95</v>
      </c>
      <c r="Q124" s="148">
        <f t="shared" si="39"/>
        <v>0.05</v>
      </c>
      <c r="R124" s="148">
        <f t="shared" si="40"/>
        <v>0.05</v>
      </c>
      <c r="S124" s="149">
        <f t="shared" si="29"/>
        <v>6.7036787999999996</v>
      </c>
      <c r="T124" s="150">
        <f t="shared" si="30"/>
        <v>1.1648832</v>
      </c>
      <c r="U124" s="150">
        <f t="shared" si="31"/>
        <v>0</v>
      </c>
      <c r="V124" s="150">
        <f>IFERROR(INDEX(Työkonekanta!$J$3:$J$27,MATCH($A124,Työkonekanta!$A$3:$A$24,0),1)*$B124*ef_li_ion_akku/1000/1000/INDEX(Työkonekanta!$K$3:$K$27,MATCH($A124,Työkonekanta!$A$3:$A$24,0)),0)</f>
        <v>0</v>
      </c>
      <c r="W124" s="149">
        <f t="shared" si="47"/>
        <v>26.179197326567998</v>
      </c>
      <c r="X124" s="150">
        <f t="shared" si="48"/>
        <v>0.3304554864</v>
      </c>
      <c r="Y124" s="151">
        <f t="shared" si="49"/>
        <v>0.13551533527696794</v>
      </c>
      <c r="Z124" s="152">
        <f t="shared" si="41"/>
        <v>7.8685619999999998</v>
      </c>
      <c r="AA124" s="179">
        <f t="shared" si="42"/>
        <v>26.314712661844965</v>
      </c>
      <c r="AB124" s="179">
        <f t="shared" si="43"/>
        <v>26.645168148244966</v>
      </c>
      <c r="AC124" s="180">
        <f t="shared" si="50"/>
        <v>34.183274661844962</v>
      </c>
      <c r="AD124" s="156">
        <f t="shared" si="44"/>
        <v>34.513730148244967</v>
      </c>
      <c r="AE124" s="146">
        <f>IFERROR(INDEX(Työkonekanta!$L$3:$L$30,MATCH($A124,Työkonekanta!$A$3:$A$30,0),1),0)*AF124</f>
        <v>500000</v>
      </c>
      <c r="AF124" s="146">
        <f>IFERROR(INDEX(Työkonekanta!$N$3:$N$32,MATCH($A124,Työkonekanta!$A$3:$A$32,0),1),0)</f>
        <v>1</v>
      </c>
      <c r="AG124" s="332">
        <f>I124*INDEX(Muuttujat!$U$5:$U$21,MATCH($C124,Muuttujat!$N$5:$N$21,0),1)</f>
        <v>9978.7999999999993</v>
      </c>
      <c r="AH124" s="332">
        <f>J124*INDEX(Muuttujat!$T$5:$T$21,MATCH($C124,Muuttujat!$N$5:$N$21,0),1)</f>
        <v>767.40174927113719</v>
      </c>
      <c r="AI124" s="332">
        <f t="shared" si="32"/>
        <v>260.60641399416909</v>
      </c>
      <c r="AJ124" s="332">
        <f t="shared" si="33"/>
        <v>0</v>
      </c>
      <c r="AK124" s="333">
        <f t="shared" si="45"/>
        <v>11006.808163265305</v>
      </c>
      <c r="AL124" s="332">
        <f t="shared" si="34"/>
        <v>11006.808163265305</v>
      </c>
      <c r="AM124" s="351"/>
      <c r="AN124" s="351"/>
    </row>
    <row r="125" spans="1:40">
      <c r="A125" s="139">
        <v>3</v>
      </c>
      <c r="B125" s="139">
        <f>IFERROR(IF((INDEX(Työkonekanta!$F$3:$F$27,MATCH('S3 Tiekartta'!$A125,Työkonekanta!$A$3:$A$24,0),1))&lt;0,0,(INDEX(Työkonekanta!$F$3:$F$27,MATCH('S3 Tiekartta'!$A125,Työkonekanta!$A$3:$A$24,0),1))),0)</f>
        <v>1</v>
      </c>
      <c r="C125" s="140">
        <v>2023</v>
      </c>
      <c r="D125" s="141" t="str">
        <f>IFERROR(INDEX(Työkonekanta!$D$3:$D$27,MATCH('S3 Tiekartta'!$A125,Työkonekanta!$A$3:$A$24,0),1),"undefined")</f>
        <v>pom</v>
      </c>
      <c r="E125" s="145">
        <f>IFERROR(INDEX(Työkonekanta!$G$3:$G$27,MATCH($A125,Työkonekanta!$A$3:$A$24,0),1)*INDEX(Työkonekanta!$H$3:$H$27,MATCH($A125,Työkonekanta!$A$3:$A$24,0),1)*(1+s0b_kasvu*($C125-2019))*$B125,0)</f>
        <v>10400</v>
      </c>
      <c r="F125" s="145">
        <f t="shared" si="26"/>
        <v>373360</v>
      </c>
      <c r="G125" s="151">
        <f t="shared" si="35"/>
        <v>354692</v>
      </c>
      <c r="H125" s="145">
        <f t="shared" si="36"/>
        <v>18668</v>
      </c>
      <c r="I125" s="145">
        <f t="shared" si="27"/>
        <v>9880</v>
      </c>
      <c r="J125" s="145">
        <f t="shared" si="28"/>
        <v>544.25655976676387</v>
      </c>
      <c r="K125" s="142" t="str">
        <f t="shared" si="37"/>
        <v>l</v>
      </c>
      <c r="L125" s="146">
        <f>IFERROR(INDEX(Työkonekanta!$I$3:$I$27,MATCH('S3 Tiekartta'!$A125,Työkonekanta!$A$3:$A$24,0),1)*(I125+J125)*f_adblue,0)</f>
        <v>521.21282798833818</v>
      </c>
      <c r="M125" s="146">
        <f t="shared" si="46"/>
        <v>0</v>
      </c>
      <c r="N125" s="143" t="str">
        <f>IF(tuulisähkö_vuosi&lt;='S3 Tiekartta'!C125,"tuulisähkö",ostosähkö_nyt)</f>
        <v>jäännössähkö</v>
      </c>
      <c r="O125" s="147">
        <f>INDEX(Muuttujat!$J$5:$J$21,MATCH($C125,Muuttujat!$H$5:$H$21,0),1)</f>
        <v>66.51860537025</v>
      </c>
      <c r="P125" s="148">
        <f t="shared" si="38"/>
        <v>0.95</v>
      </c>
      <c r="Q125" s="148">
        <f t="shared" si="39"/>
        <v>0.05</v>
      </c>
      <c r="R125" s="148">
        <f t="shared" si="40"/>
        <v>0.05</v>
      </c>
      <c r="S125" s="149">
        <f t="shared" si="29"/>
        <v>6.7036787999999996</v>
      </c>
      <c r="T125" s="150">
        <f t="shared" si="30"/>
        <v>1.1648832</v>
      </c>
      <c r="U125" s="150">
        <f t="shared" si="31"/>
        <v>0</v>
      </c>
      <c r="V125" s="150">
        <f>IFERROR(INDEX(Työkonekanta!$J$3:$J$27,MATCH($A125,Työkonekanta!$A$3:$A$24,0),1)*$B125*ef_li_ion_akku/1000/1000/INDEX(Työkonekanta!$K$3:$K$27,MATCH($A125,Työkonekanta!$A$3:$A$24,0)),0)</f>
        <v>0</v>
      </c>
      <c r="W125" s="149">
        <f t="shared" si="47"/>
        <v>26.179197326567998</v>
      </c>
      <c r="X125" s="150">
        <f t="shared" si="48"/>
        <v>0.3304554864</v>
      </c>
      <c r="Y125" s="151">
        <f t="shared" si="49"/>
        <v>0.13551533527696794</v>
      </c>
      <c r="Z125" s="152">
        <f t="shared" si="41"/>
        <v>7.8685619999999998</v>
      </c>
      <c r="AA125" s="179">
        <f t="shared" si="42"/>
        <v>26.314712661844965</v>
      </c>
      <c r="AB125" s="179">
        <f t="shared" si="43"/>
        <v>26.645168148244966</v>
      </c>
      <c r="AC125" s="180">
        <f t="shared" si="50"/>
        <v>34.183274661844962</v>
      </c>
      <c r="AD125" s="156">
        <f t="shared" si="44"/>
        <v>34.513730148244967</v>
      </c>
      <c r="AE125" s="146">
        <f>IFERROR(INDEX(Työkonekanta!$L$3:$L$30,MATCH($A125,Työkonekanta!$A$3:$A$30,0),1),0)*AF125</f>
        <v>0</v>
      </c>
      <c r="AF125" s="146">
        <f>IFERROR(INDEX(Työkonekanta!$N$3:$N$32,MATCH($A125,Työkonekanta!$A$3:$A$32,0),1),0)</f>
        <v>0</v>
      </c>
      <c r="AG125" s="332">
        <f>I125*INDEX(Muuttujat!$U$5:$U$21,MATCH($C125,Muuttujat!$N$5:$N$21,0),1)</f>
        <v>9978.7999999999993</v>
      </c>
      <c r="AH125" s="332">
        <f>J125*INDEX(Muuttujat!$T$5:$T$21,MATCH($C125,Muuttujat!$N$5:$N$21,0),1)</f>
        <v>767.40174927113719</v>
      </c>
      <c r="AI125" s="332">
        <f t="shared" si="32"/>
        <v>260.60641399416909</v>
      </c>
      <c r="AJ125" s="332">
        <f t="shared" si="33"/>
        <v>0</v>
      </c>
      <c r="AK125" s="333">
        <f t="shared" si="45"/>
        <v>11006.808163265305</v>
      </c>
      <c r="AL125" s="332">
        <f t="shared" si="34"/>
        <v>11006.808163265305</v>
      </c>
      <c r="AM125" s="351"/>
      <c r="AN125" s="351"/>
    </row>
    <row r="126" spans="1:40">
      <c r="A126" s="139">
        <v>4</v>
      </c>
      <c r="B126" s="139">
        <f>IFERROR(IF((INDEX(Työkonekanta!$F$3:$F$27,MATCH('S3 Tiekartta'!$A126,Työkonekanta!$A$3:$A$24,0),1))&lt;0,0,(INDEX(Työkonekanta!$F$3:$F$27,MATCH('S3 Tiekartta'!$A126,Työkonekanta!$A$3:$A$24,0),1))),0)</f>
        <v>1</v>
      </c>
      <c r="C126" s="140">
        <v>2023</v>
      </c>
      <c r="D126" s="141" t="str">
        <f>IFERROR(INDEX(Työkonekanta!$D$3:$D$27,MATCH('S3 Tiekartta'!$A126,Työkonekanta!$A$3:$A$24,0),1),"undefined")</f>
        <v>pom</v>
      </c>
      <c r="E126" s="145">
        <f>IFERROR(INDEX(Työkonekanta!$G$3:$G$27,MATCH($A126,Työkonekanta!$A$3:$A$24,0),1)*INDEX(Työkonekanta!$H$3:$H$27,MATCH($A126,Työkonekanta!$A$3:$A$24,0),1)*(1+s0b_kasvu*($C126-2019))*$B126,0)</f>
        <v>10400</v>
      </c>
      <c r="F126" s="145">
        <f t="shared" si="26"/>
        <v>373360</v>
      </c>
      <c r="G126" s="151">
        <f t="shared" si="35"/>
        <v>354692</v>
      </c>
      <c r="H126" s="145">
        <f t="shared" si="36"/>
        <v>18668</v>
      </c>
      <c r="I126" s="145">
        <f t="shared" si="27"/>
        <v>9880</v>
      </c>
      <c r="J126" s="145">
        <f t="shared" si="28"/>
        <v>544.25655976676387</v>
      </c>
      <c r="K126" s="142" t="str">
        <f t="shared" si="37"/>
        <v>l</v>
      </c>
      <c r="L126" s="146">
        <f>IFERROR(INDEX(Työkonekanta!$I$3:$I$27,MATCH('S3 Tiekartta'!$A126,Työkonekanta!$A$3:$A$24,0),1)*(I126+J126)*f_adblue,0)</f>
        <v>521.21282798833818</v>
      </c>
      <c r="M126" s="146">
        <f t="shared" si="46"/>
        <v>0</v>
      </c>
      <c r="N126" s="143" t="str">
        <f>IF(tuulisähkö_vuosi&lt;='S3 Tiekartta'!C126,"tuulisähkö",ostosähkö_nyt)</f>
        <v>jäännössähkö</v>
      </c>
      <c r="O126" s="147">
        <f>INDEX(Muuttujat!$J$5:$J$21,MATCH($C126,Muuttujat!$H$5:$H$21,0),1)</f>
        <v>66.51860537025</v>
      </c>
      <c r="P126" s="148">
        <f t="shared" si="38"/>
        <v>0.95</v>
      </c>
      <c r="Q126" s="148">
        <f t="shared" si="39"/>
        <v>0.05</v>
      </c>
      <c r="R126" s="148">
        <f t="shared" si="40"/>
        <v>0.05</v>
      </c>
      <c r="S126" s="149">
        <f t="shared" si="29"/>
        <v>6.7036787999999996</v>
      </c>
      <c r="T126" s="150">
        <f t="shared" si="30"/>
        <v>1.1648832</v>
      </c>
      <c r="U126" s="150">
        <f t="shared" si="31"/>
        <v>0</v>
      </c>
      <c r="V126" s="150">
        <f>IFERROR(INDEX(Työkonekanta!$J$3:$J$27,MATCH($A126,Työkonekanta!$A$3:$A$24,0),1)*$B126*ef_li_ion_akku/1000/1000/INDEX(Työkonekanta!$K$3:$K$27,MATCH($A126,Työkonekanta!$A$3:$A$24,0)),0)</f>
        <v>0</v>
      </c>
      <c r="W126" s="149">
        <f t="shared" si="47"/>
        <v>26.179197326567998</v>
      </c>
      <c r="X126" s="150">
        <f t="shared" si="48"/>
        <v>0.3304554864</v>
      </c>
      <c r="Y126" s="151">
        <f t="shared" si="49"/>
        <v>0.13551533527696794</v>
      </c>
      <c r="Z126" s="152">
        <f t="shared" si="41"/>
        <v>7.8685619999999998</v>
      </c>
      <c r="AA126" s="179">
        <f t="shared" si="42"/>
        <v>26.314712661844965</v>
      </c>
      <c r="AB126" s="179">
        <f t="shared" si="43"/>
        <v>26.645168148244966</v>
      </c>
      <c r="AC126" s="180">
        <f t="shared" si="50"/>
        <v>34.183274661844962</v>
      </c>
      <c r="AD126" s="156">
        <f t="shared" si="44"/>
        <v>34.513730148244967</v>
      </c>
      <c r="AE126" s="146">
        <f>IFERROR(INDEX(Työkonekanta!$L$3:$L$30,MATCH($A126,Työkonekanta!$A$3:$A$30,0),1),0)*AF126</f>
        <v>0</v>
      </c>
      <c r="AF126" s="146">
        <f>IFERROR(INDEX(Työkonekanta!$N$3:$N$32,MATCH($A126,Työkonekanta!$A$3:$A$32,0),1),0)</f>
        <v>0</v>
      </c>
      <c r="AG126" s="332">
        <f>I126*INDEX(Muuttujat!$U$5:$U$21,MATCH($C126,Muuttujat!$N$5:$N$21,0),1)</f>
        <v>9978.7999999999993</v>
      </c>
      <c r="AH126" s="332">
        <f>J126*INDEX(Muuttujat!$T$5:$T$21,MATCH($C126,Muuttujat!$N$5:$N$21,0),1)</f>
        <v>767.40174927113719</v>
      </c>
      <c r="AI126" s="332">
        <f t="shared" si="32"/>
        <v>260.60641399416909</v>
      </c>
      <c r="AJ126" s="332">
        <f t="shared" si="33"/>
        <v>0</v>
      </c>
      <c r="AK126" s="333">
        <f t="shared" si="45"/>
        <v>11006.808163265305</v>
      </c>
      <c r="AL126" s="332">
        <f t="shared" si="34"/>
        <v>11006.808163265305</v>
      </c>
      <c r="AM126" s="351"/>
      <c r="AN126" s="351"/>
    </row>
    <row r="127" spans="1:40">
      <c r="A127" s="139">
        <v>5</v>
      </c>
      <c r="B127" s="139">
        <f>IFERROR(IF((INDEX(Työkonekanta!$F$3:$F$27,MATCH('S3 Tiekartta'!$A127,Työkonekanta!$A$3:$A$24,0),1))&lt;0,0,(INDEX(Työkonekanta!$F$3:$F$27,MATCH('S3 Tiekartta'!$A127,Työkonekanta!$A$3:$A$24,0),1))),0)</f>
        <v>0</v>
      </c>
      <c r="C127" s="140">
        <v>2023</v>
      </c>
      <c r="D127" s="141" t="str">
        <f>IFERROR(INDEX(Työkonekanta!$D$3:$D$27,MATCH('S3 Tiekartta'!$A127,Työkonekanta!$A$3:$A$24,0),1),"undefined")</f>
        <v>sähkö</v>
      </c>
      <c r="E127" s="145">
        <f>IFERROR(INDEX(Työkonekanta!$G$3:$G$27,MATCH($A127,Työkonekanta!$A$3:$A$24,0),1)*INDEX(Työkonekanta!$H$3:$H$27,MATCH($A127,Työkonekanta!$A$3:$A$24,0),1)*(1+s0b_kasvu*($C127-2019))*$B127,0)</f>
        <v>0</v>
      </c>
      <c r="F127" s="145">
        <f t="shared" si="26"/>
        <v>0</v>
      </c>
      <c r="G127" s="151">
        <f t="shared" si="35"/>
        <v>0</v>
      </c>
      <c r="H127" s="145">
        <f t="shared" si="36"/>
        <v>0</v>
      </c>
      <c r="I127" s="145">
        <f t="shared" si="27"/>
        <v>0</v>
      </c>
      <c r="J127" s="145">
        <f t="shared" si="28"/>
        <v>0</v>
      </c>
      <c r="K127" s="142" t="str">
        <f t="shared" si="37"/>
        <v>kWh</v>
      </c>
      <c r="L127" s="146">
        <f>IFERROR(INDEX(Työkonekanta!$I$3:$I$27,MATCH('S3 Tiekartta'!$A127,Työkonekanta!$A$3:$A$24,0),1)*(I127+J127)*f_adblue,0)</f>
        <v>0</v>
      </c>
      <c r="M127" s="146">
        <f t="shared" si="46"/>
        <v>0</v>
      </c>
      <c r="N127" s="143" t="str">
        <f>IF(tuulisähkö_vuosi&lt;='S3 Tiekartta'!C127,"tuulisähkö",ostosähkö_nyt)</f>
        <v>jäännössähkö</v>
      </c>
      <c r="O127" s="147">
        <f>INDEX(Muuttujat!$J$5:$J$21,MATCH($C127,Muuttujat!$H$5:$H$21,0),1)</f>
        <v>66.51860537025</v>
      </c>
      <c r="P127" s="148">
        <f t="shared" si="38"/>
        <v>0.95</v>
      </c>
      <c r="Q127" s="148">
        <f t="shared" si="39"/>
        <v>0.05</v>
      </c>
      <c r="R127" s="148">
        <f t="shared" si="40"/>
        <v>0.05</v>
      </c>
      <c r="S127" s="149">
        <f t="shared" si="29"/>
        <v>0</v>
      </c>
      <c r="T127" s="150">
        <f t="shared" si="30"/>
        <v>0</v>
      </c>
      <c r="U127" s="150">
        <f t="shared" si="31"/>
        <v>0</v>
      </c>
      <c r="V127" s="150">
        <f>IFERROR(INDEX(Työkonekanta!$J$3:$J$27,MATCH($A127,Työkonekanta!$A$3:$A$24,0),1)*$B127*ef_li_ion_akku/1000/1000/INDEX(Työkonekanta!$K$3:$K$27,MATCH($A127,Työkonekanta!$A$3:$A$24,0)),0)</f>
        <v>0</v>
      </c>
      <c r="W127" s="149">
        <f t="shared" si="47"/>
        <v>0</v>
      </c>
      <c r="X127" s="150">
        <f t="shared" si="48"/>
        <v>0</v>
      </c>
      <c r="Y127" s="151">
        <f t="shared" si="49"/>
        <v>0</v>
      </c>
      <c r="Z127" s="152">
        <f t="shared" si="41"/>
        <v>0</v>
      </c>
      <c r="AA127" s="179">
        <f t="shared" si="42"/>
        <v>0</v>
      </c>
      <c r="AB127" s="179">
        <f t="shared" si="43"/>
        <v>0</v>
      </c>
      <c r="AC127" s="180">
        <f t="shared" si="50"/>
        <v>0</v>
      </c>
      <c r="AD127" s="156">
        <f t="shared" si="44"/>
        <v>0</v>
      </c>
      <c r="AE127" s="146">
        <f>IFERROR(INDEX(Työkonekanta!$L$3:$L$30,MATCH($A127,Työkonekanta!$A$3:$A$30,0),1),0)*AF127</f>
        <v>0</v>
      </c>
      <c r="AF127" s="146">
        <f>IFERROR(INDEX(Työkonekanta!$N$3:$N$32,MATCH($A127,Työkonekanta!$A$3:$A$32,0),1),0)</f>
        <v>0</v>
      </c>
      <c r="AG127" s="332">
        <f>I127*INDEX(Muuttujat!$U$5:$U$21,MATCH($C127,Muuttujat!$N$5:$N$21,0),1)</f>
        <v>0</v>
      </c>
      <c r="AH127" s="332">
        <f>J127*INDEX(Muuttujat!$T$5:$T$21,MATCH($C127,Muuttujat!$N$5:$N$21,0),1)</f>
        <v>0</v>
      </c>
      <c r="AI127" s="332">
        <f t="shared" si="32"/>
        <v>0</v>
      </c>
      <c r="AJ127" s="332">
        <f t="shared" si="33"/>
        <v>0</v>
      </c>
      <c r="AK127" s="333">
        <f t="shared" si="45"/>
        <v>0</v>
      </c>
      <c r="AL127" s="332">
        <f t="shared" si="34"/>
        <v>0</v>
      </c>
      <c r="AM127" s="351"/>
      <c r="AN127" s="351"/>
    </row>
    <row r="128" spans="1:40">
      <c r="A128" s="139">
        <v>6</v>
      </c>
      <c r="B128" s="139">
        <f>IFERROR(IF((INDEX(Työkonekanta!$F$3:$F$27,MATCH('S3 Tiekartta'!$A128,Työkonekanta!$A$3:$A$24,0),1))&lt;0,0,(INDEX(Työkonekanta!$F$3:$F$27,MATCH('S3 Tiekartta'!$A128,Työkonekanta!$A$3:$A$24,0),1))),0)</f>
        <v>0</v>
      </c>
      <c r="C128" s="140">
        <v>2023</v>
      </c>
      <c r="D128" s="141" t="str">
        <f>IFERROR(INDEX(Työkonekanta!$D$3:$D$27,MATCH('S3 Tiekartta'!$A128,Työkonekanta!$A$3:$A$24,0),1),"undefined")</f>
        <v>sähkö</v>
      </c>
      <c r="E128" s="145">
        <f>IFERROR(INDEX(Työkonekanta!$G$3:$G$27,MATCH($A128,Työkonekanta!$A$3:$A$24,0),1)*INDEX(Työkonekanta!$H$3:$H$27,MATCH($A128,Työkonekanta!$A$3:$A$24,0),1)*(1+s0b_kasvu*($C128-2019))*$B128,0)</f>
        <v>0</v>
      </c>
      <c r="F128" s="145">
        <f t="shared" si="26"/>
        <v>0</v>
      </c>
      <c r="G128" s="151">
        <f t="shared" si="35"/>
        <v>0</v>
      </c>
      <c r="H128" s="145">
        <f t="shared" si="36"/>
        <v>0</v>
      </c>
      <c r="I128" s="145">
        <f t="shared" si="27"/>
        <v>0</v>
      </c>
      <c r="J128" s="145">
        <f t="shared" si="28"/>
        <v>0</v>
      </c>
      <c r="K128" s="142" t="str">
        <f t="shared" si="37"/>
        <v>kWh</v>
      </c>
      <c r="L128" s="146">
        <f>IFERROR(INDEX(Työkonekanta!$I$3:$I$27,MATCH('S3 Tiekartta'!$A128,Työkonekanta!$A$3:$A$24,0),1)*(I128+J128)*f_adblue,0)</f>
        <v>0</v>
      </c>
      <c r="M128" s="146">
        <f t="shared" si="46"/>
        <v>0</v>
      </c>
      <c r="N128" s="143" t="str">
        <f>IF(tuulisähkö_vuosi&lt;='S3 Tiekartta'!C128,"tuulisähkö",ostosähkö_nyt)</f>
        <v>jäännössähkö</v>
      </c>
      <c r="O128" s="147">
        <f>INDEX(Muuttujat!$J$5:$J$21,MATCH($C128,Muuttujat!$H$5:$H$21,0),1)</f>
        <v>66.51860537025</v>
      </c>
      <c r="P128" s="148">
        <f t="shared" si="38"/>
        <v>0.95</v>
      </c>
      <c r="Q128" s="148">
        <f t="shared" si="39"/>
        <v>0.05</v>
      </c>
      <c r="R128" s="148">
        <f t="shared" si="40"/>
        <v>0.05</v>
      </c>
      <c r="S128" s="149">
        <f t="shared" si="29"/>
        <v>0</v>
      </c>
      <c r="T128" s="150">
        <f t="shared" si="30"/>
        <v>0</v>
      </c>
      <c r="U128" s="150">
        <f t="shared" si="31"/>
        <v>0</v>
      </c>
      <c r="V128" s="150">
        <f>IFERROR(INDEX(Työkonekanta!$J$3:$J$27,MATCH($A128,Työkonekanta!$A$3:$A$24,0),1)*$B128*ef_li_ion_akku/1000/1000/INDEX(Työkonekanta!$K$3:$K$27,MATCH($A128,Työkonekanta!$A$3:$A$24,0)),0)</f>
        <v>0</v>
      </c>
      <c r="W128" s="149">
        <f t="shared" si="47"/>
        <v>0</v>
      </c>
      <c r="X128" s="150">
        <f t="shared" si="48"/>
        <v>0</v>
      </c>
      <c r="Y128" s="151">
        <f t="shared" si="49"/>
        <v>0</v>
      </c>
      <c r="Z128" s="152">
        <f t="shared" si="41"/>
        <v>0</v>
      </c>
      <c r="AA128" s="179">
        <f t="shared" si="42"/>
        <v>0</v>
      </c>
      <c r="AB128" s="179">
        <f t="shared" si="43"/>
        <v>0</v>
      </c>
      <c r="AC128" s="180">
        <f t="shared" si="50"/>
        <v>0</v>
      </c>
      <c r="AD128" s="156">
        <f t="shared" si="44"/>
        <v>0</v>
      </c>
      <c r="AE128" s="146">
        <f>IFERROR(INDEX(Työkonekanta!$L$3:$L$30,MATCH($A128,Työkonekanta!$A$3:$A$30,0),1),0)*AF128</f>
        <v>0</v>
      </c>
      <c r="AF128" s="146">
        <f>IFERROR(INDEX(Työkonekanta!$N$3:$N$32,MATCH($A128,Työkonekanta!$A$3:$A$32,0),1),0)</f>
        <v>0</v>
      </c>
      <c r="AG128" s="332">
        <f>I128*INDEX(Muuttujat!$U$5:$U$21,MATCH($C128,Muuttujat!$N$5:$N$21,0),1)</f>
        <v>0</v>
      </c>
      <c r="AH128" s="332">
        <f>J128*INDEX(Muuttujat!$T$5:$T$21,MATCH($C128,Muuttujat!$N$5:$N$21,0),1)</f>
        <v>0</v>
      </c>
      <c r="AI128" s="332">
        <f t="shared" si="32"/>
        <v>0</v>
      </c>
      <c r="AJ128" s="332">
        <f t="shared" si="33"/>
        <v>0</v>
      </c>
      <c r="AK128" s="333">
        <f t="shared" si="45"/>
        <v>0</v>
      </c>
      <c r="AL128" s="332">
        <f t="shared" si="34"/>
        <v>0</v>
      </c>
      <c r="AM128" s="351"/>
      <c r="AN128" s="351"/>
    </row>
    <row r="129" spans="1:40">
      <c r="A129" s="139">
        <v>7</v>
      </c>
      <c r="B129" s="139">
        <f>IFERROR(IF((INDEX(Työkonekanta!$F$3:$F$27,MATCH('S3 Tiekartta'!$A129,Työkonekanta!$A$3:$A$24,0),1))&lt;0,0,(INDEX(Työkonekanta!$F$3:$F$27,MATCH('S3 Tiekartta'!$A129,Työkonekanta!$A$3:$A$24,0),1))),0)</f>
        <v>1</v>
      </c>
      <c r="C129" s="140">
        <v>2023</v>
      </c>
      <c r="D129" s="141" t="str">
        <f>IFERROR(INDEX(Työkonekanta!$D$3:$D$27,MATCH('S3 Tiekartta'!$A129,Työkonekanta!$A$3:$A$24,0),1),"undefined")</f>
        <v>pom</v>
      </c>
      <c r="E129" s="145">
        <f>IFERROR(INDEX(Työkonekanta!$G$3:$G$27,MATCH($A129,Työkonekanta!$A$3:$A$24,0),1)*INDEX(Työkonekanta!$H$3:$H$27,MATCH($A129,Työkonekanta!$A$3:$A$24,0),1)*(1+s0b_kasvu*($C129-2019))*$B129,0)</f>
        <v>10400</v>
      </c>
      <c r="F129" s="145">
        <f t="shared" si="26"/>
        <v>373360</v>
      </c>
      <c r="G129" s="151">
        <f t="shared" si="35"/>
        <v>354692</v>
      </c>
      <c r="H129" s="145">
        <f t="shared" si="36"/>
        <v>18668</v>
      </c>
      <c r="I129" s="145">
        <f t="shared" si="27"/>
        <v>9880</v>
      </c>
      <c r="J129" s="145">
        <f t="shared" si="28"/>
        <v>544.25655976676387</v>
      </c>
      <c r="K129" s="142" t="str">
        <f t="shared" si="37"/>
        <v>l</v>
      </c>
      <c r="L129" s="146">
        <f>IFERROR(INDEX(Työkonekanta!$I$3:$I$27,MATCH('S3 Tiekartta'!$A129,Työkonekanta!$A$3:$A$24,0),1)*(I129+J129)*f_adblue,0)</f>
        <v>0</v>
      </c>
      <c r="M129" s="146">
        <f t="shared" si="46"/>
        <v>0</v>
      </c>
      <c r="N129" s="143" t="str">
        <f>IF(tuulisähkö_vuosi&lt;='S3 Tiekartta'!C129,"tuulisähkö",ostosähkö_nyt)</f>
        <v>jäännössähkö</v>
      </c>
      <c r="O129" s="147">
        <f>INDEX(Muuttujat!$J$5:$J$21,MATCH($C129,Muuttujat!$H$5:$H$21,0),1)</f>
        <v>66.51860537025</v>
      </c>
      <c r="P129" s="148">
        <f t="shared" si="38"/>
        <v>0.95</v>
      </c>
      <c r="Q129" s="148">
        <f t="shared" si="39"/>
        <v>0.05</v>
      </c>
      <c r="R129" s="148">
        <f t="shared" si="40"/>
        <v>0.05</v>
      </c>
      <c r="S129" s="149">
        <f t="shared" si="29"/>
        <v>6.7036787999999996</v>
      </c>
      <c r="T129" s="150">
        <f t="shared" si="30"/>
        <v>1.1648832</v>
      </c>
      <c r="U129" s="150">
        <f t="shared" si="31"/>
        <v>0</v>
      </c>
      <c r="V129" s="150">
        <f>IFERROR(INDEX(Työkonekanta!$J$3:$J$27,MATCH($A129,Työkonekanta!$A$3:$A$24,0),1)*$B129*ef_li_ion_akku/1000/1000/INDEX(Työkonekanta!$K$3:$K$27,MATCH($A129,Työkonekanta!$A$3:$A$24,0)),0)</f>
        <v>0</v>
      </c>
      <c r="W129" s="149">
        <f t="shared" si="47"/>
        <v>26.179197326567998</v>
      </c>
      <c r="X129" s="150">
        <f t="shared" si="48"/>
        <v>0.3304554864</v>
      </c>
      <c r="Y129" s="151">
        <f t="shared" si="49"/>
        <v>0</v>
      </c>
      <c r="Z129" s="152">
        <f t="shared" si="41"/>
        <v>7.8685619999999998</v>
      </c>
      <c r="AA129" s="179">
        <f t="shared" si="42"/>
        <v>26.179197326567998</v>
      </c>
      <c r="AB129" s="179">
        <f t="shared" si="43"/>
        <v>26.509652812968</v>
      </c>
      <c r="AC129" s="180">
        <f t="shared" si="50"/>
        <v>34.047759326567999</v>
      </c>
      <c r="AD129" s="156">
        <f t="shared" si="44"/>
        <v>34.378214812967997</v>
      </c>
      <c r="AE129" s="146">
        <f>IFERROR(INDEX(Työkonekanta!$L$3:$L$30,MATCH($A129,Työkonekanta!$A$3:$A$30,0),1),0)*AF129</f>
        <v>500000</v>
      </c>
      <c r="AF129" s="146">
        <f>IFERROR(INDEX(Työkonekanta!$N$3:$N$32,MATCH($A129,Työkonekanta!$A$3:$A$32,0),1),0)</f>
        <v>1</v>
      </c>
      <c r="AG129" s="332">
        <f>I129*INDEX(Muuttujat!$U$5:$U$21,MATCH($C129,Muuttujat!$N$5:$N$21,0),1)</f>
        <v>9978.7999999999993</v>
      </c>
      <c r="AH129" s="332">
        <f>J129*INDEX(Muuttujat!$T$5:$T$21,MATCH($C129,Muuttujat!$N$5:$N$21,0),1)</f>
        <v>767.40174927113719</v>
      </c>
      <c r="AI129" s="332">
        <f t="shared" si="32"/>
        <v>0</v>
      </c>
      <c r="AJ129" s="332">
        <f t="shared" si="33"/>
        <v>0</v>
      </c>
      <c r="AK129" s="333">
        <f t="shared" si="45"/>
        <v>10746.201749271137</v>
      </c>
      <c r="AL129" s="332">
        <f t="shared" si="34"/>
        <v>10746.201749271137</v>
      </c>
      <c r="AM129" s="351"/>
      <c r="AN129" s="351"/>
    </row>
    <row r="130" spans="1:40">
      <c r="A130" s="139">
        <v>8</v>
      </c>
      <c r="B130" s="139">
        <f>IFERROR(IF((INDEX(Työkonekanta!$F$3:$F$27,MATCH('S3 Tiekartta'!$A130,Työkonekanta!$A$3:$A$24,0),1))&lt;0,0,(INDEX(Työkonekanta!$F$3:$F$27,MATCH('S3 Tiekartta'!$A130,Työkonekanta!$A$3:$A$24,0),1))),0)</f>
        <v>1</v>
      </c>
      <c r="C130" s="140">
        <v>2023</v>
      </c>
      <c r="D130" s="141" t="str">
        <f>IFERROR(INDEX(Työkonekanta!$D$3:$D$27,MATCH('S3 Tiekartta'!$A130,Työkonekanta!$A$3:$A$24,0),1),"undefined")</f>
        <v>pom</v>
      </c>
      <c r="E130" s="145">
        <f>IFERROR(INDEX(Työkonekanta!$G$3:$G$27,MATCH($A130,Työkonekanta!$A$3:$A$24,0),1)*INDEX(Työkonekanta!$H$3:$H$27,MATCH($A130,Työkonekanta!$A$3:$A$24,0),1)*(1+s0b_kasvu*($C130-2019))*$B130,0)</f>
        <v>10400</v>
      </c>
      <c r="F130" s="145">
        <f t="shared" si="26"/>
        <v>373360</v>
      </c>
      <c r="G130" s="151">
        <f t="shared" si="35"/>
        <v>354692</v>
      </c>
      <c r="H130" s="145">
        <f t="shared" si="36"/>
        <v>18668</v>
      </c>
      <c r="I130" s="145">
        <f t="shared" si="27"/>
        <v>9880</v>
      </c>
      <c r="J130" s="145">
        <f t="shared" si="28"/>
        <v>544.25655976676387</v>
      </c>
      <c r="K130" s="142" t="str">
        <f t="shared" si="37"/>
        <v>l</v>
      </c>
      <c r="L130" s="146">
        <f>IFERROR(INDEX(Työkonekanta!$I$3:$I$27,MATCH('S3 Tiekartta'!$A130,Työkonekanta!$A$3:$A$24,0),1)*(I130+J130)*f_adblue,0)</f>
        <v>521.21282798833818</v>
      </c>
      <c r="M130" s="146">
        <f t="shared" si="46"/>
        <v>0</v>
      </c>
      <c r="N130" s="143" t="str">
        <f>IF(tuulisähkö_vuosi&lt;='S3 Tiekartta'!C130,"tuulisähkö",ostosähkö_nyt)</f>
        <v>jäännössähkö</v>
      </c>
      <c r="O130" s="147">
        <f>INDEX(Muuttujat!$J$5:$J$21,MATCH($C130,Muuttujat!$H$5:$H$21,0),1)</f>
        <v>66.51860537025</v>
      </c>
      <c r="P130" s="148">
        <f t="shared" si="38"/>
        <v>0.95</v>
      </c>
      <c r="Q130" s="148">
        <f t="shared" si="39"/>
        <v>0.05</v>
      </c>
      <c r="R130" s="148">
        <f t="shared" si="40"/>
        <v>0.05</v>
      </c>
      <c r="S130" s="149">
        <f t="shared" si="29"/>
        <v>6.7036787999999996</v>
      </c>
      <c r="T130" s="150">
        <f t="shared" si="30"/>
        <v>1.1648832</v>
      </c>
      <c r="U130" s="150">
        <f t="shared" si="31"/>
        <v>0</v>
      </c>
      <c r="V130" s="150">
        <f>IFERROR(INDEX(Työkonekanta!$J$3:$J$27,MATCH($A130,Työkonekanta!$A$3:$A$24,0),1)*$B130*ef_li_ion_akku/1000/1000/INDEX(Työkonekanta!$K$3:$K$27,MATCH($A130,Työkonekanta!$A$3:$A$24,0)),0)</f>
        <v>0</v>
      </c>
      <c r="W130" s="149">
        <f t="shared" si="47"/>
        <v>26.179197326567998</v>
      </c>
      <c r="X130" s="150">
        <f t="shared" si="48"/>
        <v>0.3304554864</v>
      </c>
      <c r="Y130" s="151">
        <f t="shared" si="49"/>
        <v>0.13551533527696794</v>
      </c>
      <c r="Z130" s="152">
        <f t="shared" si="41"/>
        <v>7.8685619999999998</v>
      </c>
      <c r="AA130" s="179">
        <f t="shared" si="42"/>
        <v>26.314712661844965</v>
      </c>
      <c r="AB130" s="179">
        <f t="shared" si="43"/>
        <v>26.645168148244966</v>
      </c>
      <c r="AC130" s="180">
        <f t="shared" si="50"/>
        <v>34.183274661844962</v>
      </c>
      <c r="AD130" s="156">
        <f t="shared" si="44"/>
        <v>34.513730148244967</v>
      </c>
      <c r="AE130" s="146">
        <f>IFERROR(INDEX(Työkonekanta!$L$3:$L$30,MATCH($A130,Työkonekanta!$A$3:$A$30,0),1),0)*AF130</f>
        <v>500000</v>
      </c>
      <c r="AF130" s="146">
        <f>IFERROR(INDEX(Työkonekanta!$N$3:$N$32,MATCH($A130,Työkonekanta!$A$3:$A$32,0),1),0)</f>
        <v>1</v>
      </c>
      <c r="AG130" s="332">
        <f>I130*INDEX(Muuttujat!$U$5:$U$21,MATCH($C130,Muuttujat!$N$5:$N$21,0),1)</f>
        <v>9978.7999999999993</v>
      </c>
      <c r="AH130" s="332">
        <f>J130*INDEX(Muuttujat!$T$5:$T$21,MATCH($C130,Muuttujat!$N$5:$N$21,0),1)</f>
        <v>767.40174927113719</v>
      </c>
      <c r="AI130" s="332">
        <f t="shared" si="32"/>
        <v>260.60641399416909</v>
      </c>
      <c r="AJ130" s="332">
        <f t="shared" si="33"/>
        <v>0</v>
      </c>
      <c r="AK130" s="333">
        <f t="shared" si="45"/>
        <v>11006.808163265305</v>
      </c>
      <c r="AL130" s="332">
        <f t="shared" si="34"/>
        <v>11006.808163265305</v>
      </c>
      <c r="AM130" s="351"/>
      <c r="AN130" s="351"/>
    </row>
    <row r="131" spans="1:40">
      <c r="A131" s="139">
        <v>9</v>
      </c>
      <c r="B131" s="139">
        <f>IFERROR(IF((INDEX(Työkonekanta!$F$3:$F$27,MATCH('S3 Tiekartta'!$A131,Työkonekanta!$A$3:$A$24,0),1))&lt;0,0,(INDEX(Työkonekanta!$F$3:$F$27,MATCH('S3 Tiekartta'!$A131,Työkonekanta!$A$3:$A$24,0),1))),0)</f>
        <v>0</v>
      </c>
      <c r="C131" s="140">
        <v>2023</v>
      </c>
      <c r="D131" s="141" t="str">
        <f>IFERROR(INDEX(Työkonekanta!$D$3:$D$27,MATCH('S3 Tiekartta'!$A131,Työkonekanta!$A$3:$A$24,0),1),"undefined")</f>
        <v>sähkö</v>
      </c>
      <c r="E131" s="145">
        <f>IFERROR(INDEX(Työkonekanta!$G$3:$G$27,MATCH($A131,Työkonekanta!$A$3:$A$24,0),1)*INDEX(Työkonekanta!$H$3:$H$27,MATCH($A131,Työkonekanta!$A$3:$A$24,0),1)*(1+s0b_kasvu*($C131-2019))*$B131,0)</f>
        <v>0</v>
      </c>
      <c r="F131" s="145">
        <f t="shared" ref="F131:F194" si="51">IF(D131="pom",$E131*hv_pom,0)</f>
        <v>0</v>
      </c>
      <c r="G131" s="151">
        <f t="shared" si="35"/>
        <v>0</v>
      </c>
      <c r="H131" s="145">
        <f t="shared" si="36"/>
        <v>0</v>
      </c>
      <c r="I131" s="145">
        <f t="shared" ref="I131:I194" si="52">$G131/hv_pom</f>
        <v>0</v>
      </c>
      <c r="J131" s="145">
        <f t="shared" ref="J131:J194" si="53">$H131/hv_biodies</f>
        <v>0</v>
      </c>
      <c r="K131" s="142" t="str">
        <f t="shared" si="37"/>
        <v>kWh</v>
      </c>
      <c r="L131" s="146">
        <f>IFERROR(INDEX(Työkonekanta!$I$3:$I$27,MATCH('S3 Tiekartta'!$A131,Työkonekanta!$A$3:$A$24,0),1)*(I131+J131)*f_adblue,0)</f>
        <v>0</v>
      </c>
      <c r="M131" s="146">
        <f t="shared" si="46"/>
        <v>0</v>
      </c>
      <c r="N131" s="143" t="str">
        <f>IF(tuulisähkö_vuosi&lt;='S3 Tiekartta'!C131,"tuulisähkö",ostosähkö_nyt)</f>
        <v>jäännössähkö</v>
      </c>
      <c r="O131" s="147">
        <f>INDEX(Muuttujat!$J$5:$J$21,MATCH($C131,Muuttujat!$H$5:$H$21,0),1)</f>
        <v>66.51860537025</v>
      </c>
      <c r="P131" s="148">
        <f t="shared" si="38"/>
        <v>0.95</v>
      </c>
      <c r="Q131" s="148">
        <f t="shared" si="39"/>
        <v>0.05</v>
      </c>
      <c r="R131" s="148">
        <f t="shared" si="40"/>
        <v>0.05</v>
      </c>
      <c r="S131" s="149">
        <f t="shared" ref="S131:S194" si="54">wtt_ef_e_co2_dies*$G131/1000/1000</f>
        <v>0</v>
      </c>
      <c r="T131" s="150">
        <f t="shared" ref="T131:T194" si="55">wtt_ef_e_co2_biodies*$H131/1000/1000</f>
        <v>0</v>
      </c>
      <c r="U131" s="150">
        <f t="shared" ref="U131:U194" si="56">IF(N131="jäännössähkö",$O131,IF(N131="tuulisähkö",wtt_ef_e_co2_el_wind,0))*$M131/1000/1000</f>
        <v>0</v>
      </c>
      <c r="V131" s="150">
        <f>IFERROR(INDEX(Työkonekanta!$J$3:$J$27,MATCH($A131,Työkonekanta!$A$3:$A$24,0),1)*$B131*ef_li_ion_akku/1000/1000/INDEX(Työkonekanta!$K$3:$K$27,MATCH($A131,Työkonekanta!$A$3:$A$24,0)),0)</f>
        <v>0</v>
      </c>
      <c r="W131" s="149">
        <f t="shared" si="47"/>
        <v>0</v>
      </c>
      <c r="X131" s="150">
        <f t="shared" si="48"/>
        <v>0</v>
      </c>
      <c r="Y131" s="151">
        <f t="shared" si="49"/>
        <v>0</v>
      </c>
      <c r="Z131" s="152">
        <f t="shared" si="41"/>
        <v>0</v>
      </c>
      <c r="AA131" s="179">
        <f t="shared" si="42"/>
        <v>0</v>
      </c>
      <c r="AB131" s="179">
        <f t="shared" si="43"/>
        <v>0</v>
      </c>
      <c r="AC131" s="180">
        <f t="shared" si="50"/>
        <v>0</v>
      </c>
      <c r="AD131" s="156">
        <f t="shared" si="44"/>
        <v>0</v>
      </c>
      <c r="AE131" s="146">
        <f>IFERROR(INDEX(Työkonekanta!$L$3:$L$30,MATCH($A131,Työkonekanta!$A$3:$A$30,0),1),0)*AF131</f>
        <v>0</v>
      </c>
      <c r="AF131" s="146">
        <f>IFERROR(INDEX(Työkonekanta!$N$3:$N$32,MATCH($A131,Työkonekanta!$A$3:$A$32,0),1),0)</f>
        <v>0</v>
      </c>
      <c r="AG131" s="332">
        <f>I131*INDEX(Muuttujat!$U$5:$U$21,MATCH($C131,Muuttujat!$N$5:$N$21,0),1)</f>
        <v>0</v>
      </c>
      <c r="AH131" s="332">
        <f>J131*INDEX(Muuttujat!$T$5:$T$21,MATCH($C131,Muuttujat!$N$5:$N$21,0),1)</f>
        <v>0</v>
      </c>
      <c r="AI131" s="332">
        <f t="shared" ref="AI131:AI194" si="57">L131*hinta_adblue</f>
        <v>0</v>
      </c>
      <c r="AJ131" s="332">
        <f t="shared" ref="AJ131:AJ194" si="58">M131/conv_kwh_mj*hinta_sähkö3</f>
        <v>0</v>
      </c>
      <c r="AK131" s="333">
        <f t="shared" si="45"/>
        <v>0</v>
      </c>
      <c r="AL131" s="332">
        <f t="shared" ref="AL131:AL194" si="59">IFERROR(AK131/B131,0)</f>
        <v>0</v>
      </c>
      <c r="AM131" s="351"/>
      <c r="AN131" s="351"/>
    </row>
    <row r="132" spans="1:40">
      <c r="A132" s="139">
        <v>10</v>
      </c>
      <c r="B132" s="139">
        <f>IFERROR(IF((INDEX(Työkonekanta!$F$3:$F$27,MATCH('S3 Tiekartta'!$A132,Työkonekanta!$A$3:$A$24,0),1))&lt;0,0,(INDEX(Työkonekanta!$F$3:$F$27,MATCH('S3 Tiekartta'!$A132,Työkonekanta!$A$3:$A$24,0),1))),0)</f>
        <v>0</v>
      </c>
      <c r="C132" s="140">
        <v>2023</v>
      </c>
      <c r="D132" s="141" t="str">
        <f>IFERROR(INDEX(Työkonekanta!$D$3:$D$27,MATCH('S3 Tiekartta'!$A132,Työkonekanta!$A$3:$A$24,0),1),"undefined")</f>
        <v>sähkö</v>
      </c>
      <c r="E132" s="145">
        <f>IFERROR(INDEX(Työkonekanta!$G$3:$G$27,MATCH($A132,Työkonekanta!$A$3:$A$24,0),1)*INDEX(Työkonekanta!$H$3:$H$27,MATCH($A132,Työkonekanta!$A$3:$A$24,0),1)*(1+s0b_kasvu*($C132-2019))*$B132,0)</f>
        <v>0</v>
      </c>
      <c r="F132" s="145">
        <f t="shared" si="51"/>
        <v>0</v>
      </c>
      <c r="G132" s="151">
        <f t="shared" ref="G132:G195" si="60">$F132*$P132</f>
        <v>0</v>
      </c>
      <c r="H132" s="145">
        <f t="shared" ref="H132:H195" si="61">$F132*$Q132</f>
        <v>0</v>
      </c>
      <c r="I132" s="145">
        <f t="shared" si="52"/>
        <v>0</v>
      </c>
      <c r="J132" s="145">
        <f t="shared" si="53"/>
        <v>0</v>
      </c>
      <c r="K132" s="142" t="str">
        <f t="shared" ref="K132:K195" si="62">IF($D132="sähkö","kWh",IF($D132="pom","l","undefined"))</f>
        <v>kWh</v>
      </c>
      <c r="L132" s="146">
        <f>IFERROR(INDEX(Työkonekanta!$I$3:$I$27,MATCH('S3 Tiekartta'!$A132,Työkonekanta!$A$3:$A$24,0),1)*(I132+J132)*f_adblue,0)</f>
        <v>0</v>
      </c>
      <c r="M132" s="146">
        <f t="shared" si="46"/>
        <v>0</v>
      </c>
      <c r="N132" s="143" t="str">
        <f>IF(tuulisähkö_vuosi&lt;='S3 Tiekartta'!C132,"tuulisähkö",ostosähkö_nyt)</f>
        <v>jäännössähkö</v>
      </c>
      <c r="O132" s="147">
        <f>INDEX(Muuttujat!$J$5:$J$21,MATCH($C132,Muuttujat!$H$5:$H$21,0),1)</f>
        <v>66.51860537025</v>
      </c>
      <c r="P132" s="148">
        <f t="shared" ref="P132:P195" si="63">1-Q132</f>
        <v>0.95</v>
      </c>
      <c r="Q132" s="148">
        <f t="shared" ref="Q132:Q195" si="64">INDEX($AP$4:$AP$20,MATCH($C132,$AO$4:$AO$20,0),1)</f>
        <v>0.05</v>
      </c>
      <c r="R132" s="148">
        <f t="shared" ref="R132:R195" si="65">INDEX($AP$4:$AP$20,MATCH($C132,$AO$4:$AO$20,0),1)</f>
        <v>0.05</v>
      </c>
      <c r="S132" s="149">
        <f t="shared" si="54"/>
        <v>0</v>
      </c>
      <c r="T132" s="150">
        <f t="shared" si="55"/>
        <v>0</v>
      </c>
      <c r="U132" s="150">
        <f t="shared" si="56"/>
        <v>0</v>
      </c>
      <c r="V132" s="150">
        <f>IFERROR(INDEX(Työkonekanta!$J$3:$J$27,MATCH($A132,Työkonekanta!$A$3:$A$24,0),1)*$B132*ef_li_ion_akku/1000/1000/INDEX(Työkonekanta!$K$3:$K$27,MATCH($A132,Työkonekanta!$A$3:$A$24,0)),0)</f>
        <v>0</v>
      </c>
      <c r="W132" s="149">
        <f t="shared" si="47"/>
        <v>0</v>
      </c>
      <c r="X132" s="150">
        <f t="shared" si="48"/>
        <v>0</v>
      </c>
      <c r="Y132" s="151">
        <f t="shared" si="49"/>
        <v>0</v>
      </c>
      <c r="Z132" s="152">
        <f t="shared" ref="Z132:Z195" si="66">SUM($S132:$V132)</f>
        <v>0</v>
      </c>
      <c r="AA132" s="179">
        <f t="shared" ref="AA132:AA195" si="67">$W132+$Y132</f>
        <v>0</v>
      </c>
      <c r="AB132" s="179">
        <f t="shared" ref="AB132:AB195" si="68">SUM($W132:$Y132)</f>
        <v>0</v>
      </c>
      <c r="AC132" s="180">
        <f t="shared" si="50"/>
        <v>0</v>
      </c>
      <c r="AD132" s="156">
        <f t="shared" ref="AD132:AD195" si="69">$Z132+$AB132</f>
        <v>0</v>
      </c>
      <c r="AE132" s="146">
        <f>IFERROR(INDEX(Työkonekanta!$L$3:$L$30,MATCH($A132,Työkonekanta!$A$3:$A$30,0),1),0)*AF132</f>
        <v>0</v>
      </c>
      <c r="AF132" s="146">
        <f>IFERROR(INDEX(Työkonekanta!$N$3:$N$32,MATCH($A132,Työkonekanta!$A$3:$A$32,0),1),0)</f>
        <v>0</v>
      </c>
      <c r="AG132" s="332">
        <f>I132*INDEX(Muuttujat!$U$5:$U$21,MATCH($C132,Muuttujat!$N$5:$N$21,0),1)</f>
        <v>0</v>
      </c>
      <c r="AH132" s="332">
        <f>J132*INDEX(Muuttujat!$T$5:$T$21,MATCH($C132,Muuttujat!$N$5:$N$21,0),1)</f>
        <v>0</v>
      </c>
      <c r="AI132" s="332">
        <f t="shared" si="57"/>
        <v>0</v>
      </c>
      <c r="AJ132" s="332">
        <f t="shared" si="58"/>
        <v>0</v>
      </c>
      <c r="AK132" s="333">
        <f t="shared" ref="AK132:AK195" si="70">SUM(AG132:AJ132)</f>
        <v>0</v>
      </c>
      <c r="AL132" s="332">
        <f t="shared" si="59"/>
        <v>0</v>
      </c>
      <c r="AM132" s="351"/>
      <c r="AN132" s="351"/>
    </row>
    <row r="133" spans="1:40">
      <c r="A133" s="139">
        <v>11</v>
      </c>
      <c r="B133" s="139">
        <f>IFERROR(IF((INDEX(Työkonekanta!$F$3:$F$27,MATCH('S3 Tiekartta'!$A133,Työkonekanta!$A$3:$A$24,0),1))&lt;0,0,(INDEX(Työkonekanta!$F$3:$F$27,MATCH('S3 Tiekartta'!$A133,Työkonekanta!$A$3:$A$24,0),1))),0)</f>
        <v>1</v>
      </c>
      <c r="C133" s="140">
        <v>2023</v>
      </c>
      <c r="D133" s="141" t="str">
        <f>IFERROR(INDEX(Työkonekanta!$D$3:$D$27,MATCH('S3 Tiekartta'!$A133,Työkonekanta!$A$3:$A$24,0),1),"undefined")</f>
        <v>pom</v>
      </c>
      <c r="E133" s="145">
        <f>IFERROR(INDEX(Työkonekanta!$G$3:$G$27,MATCH($A133,Työkonekanta!$A$3:$A$24,0),1)*INDEX(Työkonekanta!$H$3:$H$27,MATCH($A133,Työkonekanta!$A$3:$A$24,0),1)*(1+s0b_kasvu*($C133-2019))*$B133,0)</f>
        <v>10400</v>
      </c>
      <c r="F133" s="145">
        <f t="shared" si="51"/>
        <v>373360</v>
      </c>
      <c r="G133" s="151">
        <f t="shared" si="60"/>
        <v>354692</v>
      </c>
      <c r="H133" s="145">
        <f t="shared" si="61"/>
        <v>18668</v>
      </c>
      <c r="I133" s="145">
        <f t="shared" si="52"/>
        <v>9880</v>
      </c>
      <c r="J133" s="145">
        <f t="shared" si="53"/>
        <v>544.25655976676387</v>
      </c>
      <c r="K133" s="142" t="str">
        <f t="shared" si="62"/>
        <v>l</v>
      </c>
      <c r="L133" s="146">
        <f>IFERROR(INDEX(Työkonekanta!$I$3:$I$27,MATCH('S3 Tiekartta'!$A133,Työkonekanta!$A$3:$A$24,0),1)*(I133+J133)*f_adblue,0)</f>
        <v>521.21282798833818</v>
      </c>
      <c r="M133" s="146">
        <f t="shared" si="46"/>
        <v>0</v>
      </c>
      <c r="N133" s="143" t="str">
        <f>IF(tuulisähkö_vuosi&lt;='S3 Tiekartta'!C133,"tuulisähkö",ostosähkö_nyt)</f>
        <v>jäännössähkö</v>
      </c>
      <c r="O133" s="147">
        <f>INDEX(Muuttujat!$J$5:$J$21,MATCH($C133,Muuttujat!$H$5:$H$21,0),1)</f>
        <v>66.51860537025</v>
      </c>
      <c r="P133" s="148">
        <f t="shared" si="63"/>
        <v>0.95</v>
      </c>
      <c r="Q133" s="148">
        <f t="shared" si="64"/>
        <v>0.05</v>
      </c>
      <c r="R133" s="148">
        <f t="shared" si="65"/>
        <v>0.05</v>
      </c>
      <c r="S133" s="149">
        <f t="shared" si="54"/>
        <v>6.7036787999999996</v>
      </c>
      <c r="T133" s="150">
        <f t="shared" si="55"/>
        <v>1.1648832</v>
      </c>
      <c r="U133" s="150">
        <f t="shared" si="56"/>
        <v>0</v>
      </c>
      <c r="V133" s="150">
        <f>IFERROR(INDEX(Työkonekanta!$J$3:$J$27,MATCH($A133,Työkonekanta!$A$3:$A$24,0),1)*$B133*ef_li_ion_akku/1000/1000/INDEX(Työkonekanta!$K$3:$K$27,MATCH($A133,Työkonekanta!$A$3:$A$24,0)),0)</f>
        <v>0</v>
      </c>
      <c r="W133" s="149">
        <f t="shared" si="47"/>
        <v>26.179197326567998</v>
      </c>
      <c r="X133" s="150">
        <f t="shared" si="48"/>
        <v>0.3304554864</v>
      </c>
      <c r="Y133" s="151">
        <f t="shared" si="49"/>
        <v>0.13551533527696794</v>
      </c>
      <c r="Z133" s="152">
        <f t="shared" si="66"/>
        <v>7.8685619999999998</v>
      </c>
      <c r="AA133" s="179">
        <f t="shared" si="67"/>
        <v>26.314712661844965</v>
      </c>
      <c r="AB133" s="179">
        <f t="shared" si="68"/>
        <v>26.645168148244966</v>
      </c>
      <c r="AC133" s="180">
        <f t="shared" si="50"/>
        <v>34.183274661844962</v>
      </c>
      <c r="AD133" s="156">
        <f t="shared" si="69"/>
        <v>34.513730148244967</v>
      </c>
      <c r="AE133" s="146">
        <f>IFERROR(INDEX(Työkonekanta!$L$3:$L$30,MATCH($A133,Työkonekanta!$A$3:$A$30,0),1),0)*AF133</f>
        <v>500000</v>
      </c>
      <c r="AF133" s="146">
        <f>IFERROR(INDEX(Työkonekanta!$N$3:$N$32,MATCH($A133,Työkonekanta!$A$3:$A$32,0),1),0)</f>
        <v>1</v>
      </c>
      <c r="AG133" s="332">
        <f>I133*INDEX(Muuttujat!$U$5:$U$21,MATCH($C133,Muuttujat!$N$5:$N$21,0),1)</f>
        <v>9978.7999999999993</v>
      </c>
      <c r="AH133" s="332">
        <f>J133*INDEX(Muuttujat!$T$5:$T$21,MATCH($C133,Muuttujat!$N$5:$N$21,0),1)</f>
        <v>767.40174927113719</v>
      </c>
      <c r="AI133" s="332">
        <f t="shared" si="57"/>
        <v>260.60641399416909</v>
      </c>
      <c r="AJ133" s="332">
        <f t="shared" si="58"/>
        <v>0</v>
      </c>
      <c r="AK133" s="333">
        <f t="shared" si="70"/>
        <v>11006.808163265305</v>
      </c>
      <c r="AL133" s="332">
        <f t="shared" si="59"/>
        <v>11006.808163265305</v>
      </c>
      <c r="AM133" s="351"/>
      <c r="AN133" s="351"/>
    </row>
    <row r="134" spans="1:40">
      <c r="A134" s="139">
        <v>12</v>
      </c>
      <c r="B134" s="139">
        <f>IFERROR(IF((INDEX(Työkonekanta!$F$3:$F$27,MATCH('S3 Tiekartta'!$A134,Työkonekanta!$A$3:$A$24,0),1))&lt;0,0,(INDEX(Työkonekanta!$F$3:$F$27,MATCH('S3 Tiekartta'!$A134,Työkonekanta!$A$3:$A$24,0),1))),0)</f>
        <v>1</v>
      </c>
      <c r="C134" s="140">
        <v>2023</v>
      </c>
      <c r="D134" s="141" t="str">
        <f>IFERROR(INDEX(Työkonekanta!$D$3:$D$27,MATCH('S3 Tiekartta'!$A134,Työkonekanta!$A$3:$A$24,0),1),"undefined")</f>
        <v>pom</v>
      </c>
      <c r="E134" s="145">
        <f>IFERROR(INDEX(Työkonekanta!$G$3:$G$27,MATCH($A134,Työkonekanta!$A$3:$A$24,0),1)*INDEX(Työkonekanta!$H$3:$H$27,MATCH($A134,Työkonekanta!$A$3:$A$24,0),1)*(1+s0b_kasvu*($C134-2019))*$B134,0)</f>
        <v>10400</v>
      </c>
      <c r="F134" s="145">
        <f t="shared" si="51"/>
        <v>373360</v>
      </c>
      <c r="G134" s="151">
        <f t="shared" si="60"/>
        <v>354692</v>
      </c>
      <c r="H134" s="145">
        <f t="shared" si="61"/>
        <v>18668</v>
      </c>
      <c r="I134" s="145">
        <f t="shared" si="52"/>
        <v>9880</v>
      </c>
      <c r="J134" s="145">
        <f t="shared" si="53"/>
        <v>544.25655976676387</v>
      </c>
      <c r="K134" s="142" t="str">
        <f t="shared" si="62"/>
        <v>l</v>
      </c>
      <c r="L134" s="146">
        <f>IFERROR(INDEX(Työkonekanta!$I$3:$I$27,MATCH('S3 Tiekartta'!$A134,Työkonekanta!$A$3:$A$24,0),1)*(I134+J134)*f_adblue,0)</f>
        <v>521.21282798833818</v>
      </c>
      <c r="M134" s="146">
        <f t="shared" si="46"/>
        <v>0</v>
      </c>
      <c r="N134" s="143" t="str">
        <f>IF(tuulisähkö_vuosi&lt;='S3 Tiekartta'!C134,"tuulisähkö",ostosähkö_nyt)</f>
        <v>jäännössähkö</v>
      </c>
      <c r="O134" s="147">
        <f>INDEX(Muuttujat!$J$5:$J$21,MATCH($C134,Muuttujat!$H$5:$H$21,0),1)</f>
        <v>66.51860537025</v>
      </c>
      <c r="P134" s="148">
        <f t="shared" si="63"/>
        <v>0.95</v>
      </c>
      <c r="Q134" s="148">
        <f t="shared" si="64"/>
        <v>0.05</v>
      </c>
      <c r="R134" s="148">
        <f t="shared" si="65"/>
        <v>0.05</v>
      </c>
      <c r="S134" s="149">
        <f t="shared" si="54"/>
        <v>6.7036787999999996</v>
      </c>
      <c r="T134" s="150">
        <f t="shared" si="55"/>
        <v>1.1648832</v>
      </c>
      <c r="U134" s="150">
        <f t="shared" si="56"/>
        <v>0</v>
      </c>
      <c r="V134" s="150">
        <f>IFERROR(INDEX(Työkonekanta!$J$3:$J$27,MATCH($A134,Työkonekanta!$A$3:$A$24,0),1)*$B134*ef_li_ion_akku/1000/1000/INDEX(Työkonekanta!$K$3:$K$27,MATCH($A134,Työkonekanta!$A$3:$A$24,0)),0)</f>
        <v>0</v>
      </c>
      <c r="W134" s="149">
        <f t="shared" si="47"/>
        <v>26.179197326567998</v>
      </c>
      <c r="X134" s="150">
        <f t="shared" si="48"/>
        <v>0.3304554864</v>
      </c>
      <c r="Y134" s="151">
        <f t="shared" si="49"/>
        <v>0.13551533527696794</v>
      </c>
      <c r="Z134" s="152">
        <f t="shared" si="66"/>
        <v>7.8685619999999998</v>
      </c>
      <c r="AA134" s="179">
        <f t="shared" si="67"/>
        <v>26.314712661844965</v>
      </c>
      <c r="AB134" s="179">
        <f t="shared" si="68"/>
        <v>26.645168148244966</v>
      </c>
      <c r="AC134" s="180">
        <f t="shared" si="50"/>
        <v>34.183274661844962</v>
      </c>
      <c r="AD134" s="156">
        <f t="shared" si="69"/>
        <v>34.513730148244967</v>
      </c>
      <c r="AE134" s="146">
        <f>IFERROR(INDEX(Työkonekanta!$L$3:$L$30,MATCH($A134,Työkonekanta!$A$3:$A$30,0),1),0)*AF134</f>
        <v>500000</v>
      </c>
      <c r="AF134" s="146">
        <f>IFERROR(INDEX(Työkonekanta!$N$3:$N$32,MATCH($A134,Työkonekanta!$A$3:$A$32,0),1),0)</f>
        <v>1</v>
      </c>
      <c r="AG134" s="332">
        <f>I134*INDEX(Muuttujat!$U$5:$U$21,MATCH($C134,Muuttujat!$N$5:$N$21,0),1)</f>
        <v>9978.7999999999993</v>
      </c>
      <c r="AH134" s="332">
        <f>J134*INDEX(Muuttujat!$T$5:$T$21,MATCH($C134,Muuttujat!$N$5:$N$21,0),1)</f>
        <v>767.40174927113719</v>
      </c>
      <c r="AI134" s="332">
        <f t="shared" si="57"/>
        <v>260.60641399416909</v>
      </c>
      <c r="AJ134" s="332">
        <f t="shared" si="58"/>
        <v>0</v>
      </c>
      <c r="AK134" s="333">
        <f t="shared" si="70"/>
        <v>11006.808163265305</v>
      </c>
      <c r="AL134" s="332">
        <f t="shared" si="59"/>
        <v>11006.808163265305</v>
      </c>
      <c r="AM134" s="351"/>
      <c r="AN134" s="351"/>
    </row>
    <row r="135" spans="1:40">
      <c r="A135" s="139">
        <v>13</v>
      </c>
      <c r="B135" s="139">
        <f>IFERROR(IF((INDEX(Työkonekanta!$F$3:$F$27,MATCH('S3 Tiekartta'!$A135,Työkonekanta!$A$3:$A$24,0),1))&lt;0,0,(INDEX(Työkonekanta!$F$3:$F$27,MATCH('S3 Tiekartta'!$A135,Työkonekanta!$A$3:$A$24,0),1))),0)</f>
        <v>0</v>
      </c>
      <c r="C135" s="140">
        <v>2023</v>
      </c>
      <c r="D135" s="141" t="str">
        <f>IFERROR(INDEX(Työkonekanta!$D$3:$D$27,MATCH('S3 Tiekartta'!$A135,Työkonekanta!$A$3:$A$24,0),1),"undefined")</f>
        <v>pom</v>
      </c>
      <c r="E135" s="145">
        <f>IFERROR(INDEX(Työkonekanta!$G$3:$G$27,MATCH($A135,Työkonekanta!$A$3:$A$24,0),1)*INDEX(Työkonekanta!$H$3:$H$27,MATCH($A135,Työkonekanta!$A$3:$A$24,0),1)*(1+s0b_kasvu*($C135-2019))*$B135,0)</f>
        <v>0</v>
      </c>
      <c r="F135" s="145">
        <f t="shared" si="51"/>
        <v>0</v>
      </c>
      <c r="G135" s="151">
        <f t="shared" si="60"/>
        <v>0</v>
      </c>
      <c r="H135" s="145">
        <f t="shared" si="61"/>
        <v>0</v>
      </c>
      <c r="I135" s="145">
        <f t="shared" si="52"/>
        <v>0</v>
      </c>
      <c r="J135" s="145">
        <f t="shared" si="53"/>
        <v>0</v>
      </c>
      <c r="K135" s="142" t="str">
        <f t="shared" si="62"/>
        <v>l</v>
      </c>
      <c r="L135" s="146">
        <f>IFERROR(INDEX(Työkonekanta!$I$3:$I$27,MATCH('S3 Tiekartta'!$A135,Työkonekanta!$A$3:$A$24,0),1)*(I135+J135)*f_adblue,0)</f>
        <v>0</v>
      </c>
      <c r="M135" s="146">
        <f t="shared" si="46"/>
        <v>0</v>
      </c>
      <c r="N135" s="143" t="str">
        <f>IF(tuulisähkö_vuosi&lt;='S3 Tiekartta'!C135,"tuulisähkö",ostosähkö_nyt)</f>
        <v>jäännössähkö</v>
      </c>
      <c r="O135" s="147">
        <f>INDEX(Muuttujat!$J$5:$J$21,MATCH($C135,Muuttujat!$H$5:$H$21,0),1)</f>
        <v>66.51860537025</v>
      </c>
      <c r="P135" s="148">
        <f t="shared" si="63"/>
        <v>0.95</v>
      </c>
      <c r="Q135" s="148">
        <f t="shared" si="64"/>
        <v>0.05</v>
      </c>
      <c r="R135" s="148">
        <f t="shared" si="65"/>
        <v>0.05</v>
      </c>
      <c r="S135" s="149">
        <f t="shared" si="54"/>
        <v>0</v>
      </c>
      <c r="T135" s="150">
        <f t="shared" si="55"/>
        <v>0</v>
      </c>
      <c r="U135" s="150">
        <f t="shared" si="56"/>
        <v>0</v>
      </c>
      <c r="V135" s="150">
        <f>IFERROR(INDEX(Työkonekanta!$J$3:$J$27,MATCH($A135,Työkonekanta!$A$3:$A$24,0),1)*$B135*ef_li_ion_akku/1000/1000/INDEX(Työkonekanta!$K$3:$K$27,MATCH($A135,Työkonekanta!$A$3:$A$24,0)),0)</f>
        <v>0</v>
      </c>
      <c r="W135" s="149">
        <f t="shared" si="47"/>
        <v>0</v>
      </c>
      <c r="X135" s="150">
        <f t="shared" si="48"/>
        <v>0</v>
      </c>
      <c r="Y135" s="151">
        <f t="shared" si="49"/>
        <v>0</v>
      </c>
      <c r="Z135" s="152">
        <f t="shared" si="66"/>
        <v>0</v>
      </c>
      <c r="AA135" s="179">
        <f t="shared" si="67"/>
        <v>0</v>
      </c>
      <c r="AB135" s="179">
        <f t="shared" si="68"/>
        <v>0</v>
      </c>
      <c r="AC135" s="180">
        <f t="shared" si="50"/>
        <v>0</v>
      </c>
      <c r="AD135" s="156">
        <f t="shared" si="69"/>
        <v>0</v>
      </c>
      <c r="AE135" s="146">
        <f>IFERROR(INDEX(Työkonekanta!$L$3:$L$30,MATCH($A135,Työkonekanta!$A$3:$A$30,0),1),0)*AF135</f>
        <v>0</v>
      </c>
      <c r="AF135" s="146">
        <f>IFERROR(INDEX(Työkonekanta!$N$3:$N$32,MATCH($A135,Työkonekanta!$A$3:$A$32,0),1),0)</f>
        <v>0</v>
      </c>
      <c r="AG135" s="332">
        <f>I135*INDEX(Muuttujat!$U$5:$U$21,MATCH($C135,Muuttujat!$N$5:$N$21,0),1)</f>
        <v>0</v>
      </c>
      <c r="AH135" s="332">
        <f>J135*INDEX(Muuttujat!$T$5:$T$21,MATCH($C135,Muuttujat!$N$5:$N$21,0),1)</f>
        <v>0</v>
      </c>
      <c r="AI135" s="332">
        <f t="shared" si="57"/>
        <v>0</v>
      </c>
      <c r="AJ135" s="332">
        <f t="shared" si="58"/>
        <v>0</v>
      </c>
      <c r="AK135" s="333">
        <f t="shared" si="70"/>
        <v>0</v>
      </c>
      <c r="AL135" s="332">
        <f t="shared" si="59"/>
        <v>0</v>
      </c>
      <c r="AM135" s="351"/>
      <c r="AN135" s="351"/>
    </row>
    <row r="136" spans="1:40">
      <c r="A136" s="139">
        <v>14</v>
      </c>
      <c r="B136" s="139">
        <f>IFERROR(IF((INDEX(Työkonekanta!$F$3:$F$27,MATCH('S3 Tiekartta'!$A136,Työkonekanta!$A$3:$A$24,0),1))&lt;0,0,(INDEX(Työkonekanta!$F$3:$F$27,MATCH('S3 Tiekartta'!$A136,Työkonekanta!$A$3:$A$24,0),1))),0)</f>
        <v>0</v>
      </c>
      <c r="C136" s="140">
        <v>2023</v>
      </c>
      <c r="D136" s="141" t="str">
        <f>IFERROR(INDEX(Työkonekanta!$D$3:$D$27,MATCH('S3 Tiekartta'!$A136,Työkonekanta!$A$3:$A$24,0),1),"undefined")</f>
        <v>pom</v>
      </c>
      <c r="E136" s="145">
        <f>IFERROR(INDEX(Työkonekanta!$G$3:$G$27,MATCH($A136,Työkonekanta!$A$3:$A$24,0),1)*INDEX(Työkonekanta!$H$3:$H$27,MATCH($A136,Työkonekanta!$A$3:$A$24,0),1)*(1+s0b_kasvu*($C136-2019))*$B136,0)</f>
        <v>0</v>
      </c>
      <c r="F136" s="145">
        <f t="shared" si="51"/>
        <v>0</v>
      </c>
      <c r="G136" s="151">
        <f t="shared" si="60"/>
        <v>0</v>
      </c>
      <c r="H136" s="145">
        <f t="shared" si="61"/>
        <v>0</v>
      </c>
      <c r="I136" s="145">
        <f t="shared" si="52"/>
        <v>0</v>
      </c>
      <c r="J136" s="145">
        <f t="shared" si="53"/>
        <v>0</v>
      </c>
      <c r="K136" s="142" t="str">
        <f t="shared" si="62"/>
        <v>l</v>
      </c>
      <c r="L136" s="146">
        <f>IFERROR(INDEX(Työkonekanta!$I$3:$I$27,MATCH('S3 Tiekartta'!$A136,Työkonekanta!$A$3:$A$24,0),1)*(I136+J136)*f_adblue,0)</f>
        <v>0</v>
      </c>
      <c r="M136" s="146">
        <f t="shared" si="46"/>
        <v>0</v>
      </c>
      <c r="N136" s="143" t="str">
        <f>IF(tuulisähkö_vuosi&lt;='S3 Tiekartta'!C136,"tuulisähkö",ostosähkö_nyt)</f>
        <v>jäännössähkö</v>
      </c>
      <c r="O136" s="147">
        <f>INDEX(Muuttujat!$J$5:$J$21,MATCH($C136,Muuttujat!$H$5:$H$21,0),1)</f>
        <v>66.51860537025</v>
      </c>
      <c r="P136" s="148">
        <f t="shared" si="63"/>
        <v>0.95</v>
      </c>
      <c r="Q136" s="148">
        <f t="shared" si="64"/>
        <v>0.05</v>
      </c>
      <c r="R136" s="148">
        <f t="shared" si="65"/>
        <v>0.05</v>
      </c>
      <c r="S136" s="149">
        <f t="shared" si="54"/>
        <v>0</v>
      </c>
      <c r="T136" s="150">
        <f t="shared" si="55"/>
        <v>0</v>
      </c>
      <c r="U136" s="150">
        <f t="shared" si="56"/>
        <v>0</v>
      </c>
      <c r="V136" s="150">
        <f>IFERROR(INDEX(Työkonekanta!$J$3:$J$27,MATCH($A136,Työkonekanta!$A$3:$A$24,0),1)*$B136*ef_li_ion_akku/1000/1000/INDEX(Työkonekanta!$K$3:$K$27,MATCH($A136,Työkonekanta!$A$3:$A$24,0)),0)</f>
        <v>0</v>
      </c>
      <c r="W136" s="149">
        <f t="shared" si="47"/>
        <v>0</v>
      </c>
      <c r="X136" s="150">
        <f t="shared" si="48"/>
        <v>0</v>
      </c>
      <c r="Y136" s="151">
        <f t="shared" si="49"/>
        <v>0</v>
      </c>
      <c r="Z136" s="152">
        <f t="shared" si="66"/>
        <v>0</v>
      </c>
      <c r="AA136" s="179">
        <f t="shared" si="67"/>
        <v>0</v>
      </c>
      <c r="AB136" s="179">
        <f t="shared" si="68"/>
        <v>0</v>
      </c>
      <c r="AC136" s="180">
        <f t="shared" si="50"/>
        <v>0</v>
      </c>
      <c r="AD136" s="156">
        <f t="shared" si="69"/>
        <v>0</v>
      </c>
      <c r="AE136" s="146">
        <f>IFERROR(INDEX(Työkonekanta!$L$3:$L$30,MATCH($A136,Työkonekanta!$A$3:$A$30,0),1),0)*AF136</f>
        <v>0</v>
      </c>
      <c r="AF136" s="146">
        <f>IFERROR(INDEX(Työkonekanta!$N$3:$N$32,MATCH($A136,Työkonekanta!$A$3:$A$32,0),1),0)</f>
        <v>0</v>
      </c>
      <c r="AG136" s="332">
        <f>I136*INDEX(Muuttujat!$U$5:$U$21,MATCH($C136,Muuttujat!$N$5:$N$21,0),1)</f>
        <v>0</v>
      </c>
      <c r="AH136" s="332">
        <f>J136*INDEX(Muuttujat!$T$5:$T$21,MATCH($C136,Muuttujat!$N$5:$N$21,0),1)</f>
        <v>0</v>
      </c>
      <c r="AI136" s="332">
        <f t="shared" si="57"/>
        <v>0</v>
      </c>
      <c r="AJ136" s="332">
        <f t="shared" si="58"/>
        <v>0</v>
      </c>
      <c r="AK136" s="333">
        <f t="shared" si="70"/>
        <v>0</v>
      </c>
      <c r="AL136" s="332">
        <f t="shared" si="59"/>
        <v>0</v>
      </c>
      <c r="AM136" s="351"/>
      <c r="AN136" s="351"/>
    </row>
    <row r="137" spans="1:40">
      <c r="A137" s="139">
        <v>15</v>
      </c>
      <c r="B137" s="139">
        <f>IFERROR(IF((INDEX(Työkonekanta!$F$3:$F$27,MATCH('S3 Tiekartta'!$A137,Työkonekanta!$A$3:$A$24,0),1))&lt;0,0,(INDEX(Työkonekanta!$F$3:$F$27,MATCH('S3 Tiekartta'!$A137,Työkonekanta!$A$3:$A$24,0),1))),0)</f>
        <v>0</v>
      </c>
      <c r="C137" s="140">
        <v>2023</v>
      </c>
      <c r="D137" s="141" t="str">
        <f>IFERROR(INDEX(Työkonekanta!$D$3:$D$27,MATCH('S3 Tiekartta'!$A137,Työkonekanta!$A$3:$A$24,0),1),"undefined")</f>
        <v>sähkö</v>
      </c>
      <c r="E137" s="145">
        <f>IFERROR(INDEX(Työkonekanta!$G$3:$G$27,MATCH($A137,Työkonekanta!$A$3:$A$24,0),1)*INDEX(Työkonekanta!$H$3:$H$27,MATCH($A137,Työkonekanta!$A$3:$A$24,0),1)*(1+s0b_kasvu*($C137-2019))*$B137,0)</f>
        <v>0</v>
      </c>
      <c r="F137" s="145">
        <f t="shared" si="51"/>
        <v>0</v>
      </c>
      <c r="G137" s="151">
        <f t="shared" si="60"/>
        <v>0</v>
      </c>
      <c r="H137" s="145">
        <f t="shared" si="61"/>
        <v>0</v>
      </c>
      <c r="I137" s="145">
        <f t="shared" si="52"/>
        <v>0</v>
      </c>
      <c r="J137" s="145">
        <f t="shared" si="53"/>
        <v>0</v>
      </c>
      <c r="K137" s="142" t="str">
        <f t="shared" si="62"/>
        <v>kWh</v>
      </c>
      <c r="L137" s="146">
        <f>IFERROR(INDEX(Työkonekanta!$I$3:$I$27,MATCH('S3 Tiekartta'!$A137,Työkonekanta!$A$3:$A$24,0),1)*(I137+J137)*f_adblue,0)</f>
        <v>0</v>
      </c>
      <c r="M137" s="146">
        <f t="shared" si="46"/>
        <v>0</v>
      </c>
      <c r="N137" s="143" t="str">
        <f>IF(tuulisähkö_vuosi&lt;='S3 Tiekartta'!C137,"tuulisähkö",ostosähkö_nyt)</f>
        <v>jäännössähkö</v>
      </c>
      <c r="O137" s="147">
        <f>INDEX(Muuttujat!$J$5:$J$21,MATCH($C137,Muuttujat!$H$5:$H$21,0),1)</f>
        <v>66.51860537025</v>
      </c>
      <c r="P137" s="148">
        <f t="shared" si="63"/>
        <v>0.95</v>
      </c>
      <c r="Q137" s="148">
        <f t="shared" si="64"/>
        <v>0.05</v>
      </c>
      <c r="R137" s="148">
        <f t="shared" si="65"/>
        <v>0.05</v>
      </c>
      <c r="S137" s="149">
        <f t="shared" si="54"/>
        <v>0</v>
      </c>
      <c r="T137" s="150">
        <f t="shared" si="55"/>
        <v>0</v>
      </c>
      <c r="U137" s="150">
        <f t="shared" si="56"/>
        <v>0</v>
      </c>
      <c r="V137" s="150">
        <f>IFERROR(INDEX(Työkonekanta!$J$3:$J$27,MATCH($A137,Työkonekanta!$A$3:$A$24,0),1)*$B137*ef_li_ion_akku/1000/1000/INDEX(Työkonekanta!$K$3:$K$27,MATCH($A137,Työkonekanta!$A$3:$A$24,0)),0)</f>
        <v>0</v>
      </c>
      <c r="W137" s="149">
        <f t="shared" si="47"/>
        <v>0</v>
      </c>
      <c r="X137" s="150">
        <f t="shared" si="48"/>
        <v>0</v>
      </c>
      <c r="Y137" s="151">
        <f t="shared" si="49"/>
        <v>0</v>
      </c>
      <c r="Z137" s="152">
        <f t="shared" si="66"/>
        <v>0</v>
      </c>
      <c r="AA137" s="179">
        <f t="shared" si="67"/>
        <v>0</v>
      </c>
      <c r="AB137" s="179">
        <f t="shared" si="68"/>
        <v>0</v>
      </c>
      <c r="AC137" s="180">
        <f t="shared" si="50"/>
        <v>0</v>
      </c>
      <c r="AD137" s="156">
        <f t="shared" si="69"/>
        <v>0</v>
      </c>
      <c r="AE137" s="146">
        <f>IFERROR(INDEX(Työkonekanta!$L$3:$L$30,MATCH($A137,Työkonekanta!$A$3:$A$30,0),1),0)*AF137</f>
        <v>0</v>
      </c>
      <c r="AF137" s="146">
        <f>IFERROR(INDEX(Työkonekanta!$N$3:$N$32,MATCH($A137,Työkonekanta!$A$3:$A$32,0),1),0)</f>
        <v>0</v>
      </c>
      <c r="AG137" s="332">
        <f>I137*INDEX(Muuttujat!$U$5:$U$21,MATCH($C137,Muuttujat!$N$5:$N$21,0),1)</f>
        <v>0</v>
      </c>
      <c r="AH137" s="332">
        <f>J137*INDEX(Muuttujat!$T$5:$T$21,MATCH($C137,Muuttujat!$N$5:$N$21,0),1)</f>
        <v>0</v>
      </c>
      <c r="AI137" s="332">
        <f t="shared" si="57"/>
        <v>0</v>
      </c>
      <c r="AJ137" s="332">
        <f t="shared" si="58"/>
        <v>0</v>
      </c>
      <c r="AK137" s="333">
        <f t="shared" si="70"/>
        <v>0</v>
      </c>
      <c r="AL137" s="332">
        <f t="shared" si="59"/>
        <v>0</v>
      </c>
      <c r="AM137" s="351"/>
      <c r="AN137" s="351"/>
    </row>
    <row r="138" spans="1:40">
      <c r="A138" s="139">
        <v>16</v>
      </c>
      <c r="B138" s="139">
        <f>IFERROR(IF((INDEX(Työkonekanta!$F$3:$F$27,MATCH('S3 Tiekartta'!$A138,Työkonekanta!$A$3:$A$24,0),1))&lt;0,0,(INDEX(Työkonekanta!$F$3:$F$27,MATCH('S3 Tiekartta'!$A138,Työkonekanta!$A$3:$A$24,0),1))),0)</f>
        <v>0</v>
      </c>
      <c r="C138" s="140">
        <v>2023</v>
      </c>
      <c r="D138" s="141" t="str">
        <f>IFERROR(INDEX(Työkonekanta!$D$3:$D$27,MATCH('S3 Tiekartta'!$A138,Työkonekanta!$A$3:$A$24,0),1),"undefined")</f>
        <v>sähkö</v>
      </c>
      <c r="E138" s="145">
        <f>IFERROR(INDEX(Työkonekanta!$G$3:$G$27,MATCH($A138,Työkonekanta!$A$3:$A$24,0),1)*INDEX(Työkonekanta!$H$3:$H$27,MATCH($A138,Työkonekanta!$A$3:$A$24,0),1)*(1+s0b_kasvu*($C138-2019))*$B138,0)</f>
        <v>0</v>
      </c>
      <c r="F138" s="145">
        <f t="shared" si="51"/>
        <v>0</v>
      </c>
      <c r="G138" s="151">
        <f t="shared" si="60"/>
        <v>0</v>
      </c>
      <c r="H138" s="145">
        <f t="shared" si="61"/>
        <v>0</v>
      </c>
      <c r="I138" s="145">
        <f t="shared" si="52"/>
        <v>0</v>
      </c>
      <c r="J138" s="145">
        <f t="shared" si="53"/>
        <v>0</v>
      </c>
      <c r="K138" s="142" t="str">
        <f t="shared" si="62"/>
        <v>kWh</v>
      </c>
      <c r="L138" s="146">
        <f>IFERROR(INDEX(Työkonekanta!$I$3:$I$27,MATCH('S3 Tiekartta'!$A138,Työkonekanta!$A$3:$A$24,0),1)*(I138+J138)*f_adblue,0)</f>
        <v>0</v>
      </c>
      <c r="M138" s="146">
        <f t="shared" si="46"/>
        <v>0</v>
      </c>
      <c r="N138" s="143" t="str">
        <f>IF(tuulisähkö_vuosi&lt;='S3 Tiekartta'!C138,"tuulisähkö",ostosähkö_nyt)</f>
        <v>jäännössähkö</v>
      </c>
      <c r="O138" s="147">
        <f>INDEX(Muuttujat!$J$5:$J$21,MATCH($C138,Muuttujat!$H$5:$H$21,0),1)</f>
        <v>66.51860537025</v>
      </c>
      <c r="P138" s="148">
        <f t="shared" si="63"/>
        <v>0.95</v>
      </c>
      <c r="Q138" s="148">
        <f t="shared" si="64"/>
        <v>0.05</v>
      </c>
      <c r="R138" s="148">
        <f t="shared" si="65"/>
        <v>0.05</v>
      </c>
      <c r="S138" s="149">
        <f t="shared" si="54"/>
        <v>0</v>
      </c>
      <c r="T138" s="150">
        <f t="shared" si="55"/>
        <v>0</v>
      </c>
      <c r="U138" s="150">
        <f t="shared" si="56"/>
        <v>0</v>
      </c>
      <c r="V138" s="150">
        <f>IFERROR(INDEX(Työkonekanta!$J$3:$J$27,MATCH($A138,Työkonekanta!$A$3:$A$24,0),1)*$B138*ef_li_ion_akku/1000/1000/INDEX(Työkonekanta!$K$3:$K$27,MATCH($A138,Työkonekanta!$A$3:$A$24,0)),0)</f>
        <v>0</v>
      </c>
      <c r="W138" s="149">
        <f t="shared" si="47"/>
        <v>0</v>
      </c>
      <c r="X138" s="150">
        <f t="shared" si="48"/>
        <v>0</v>
      </c>
      <c r="Y138" s="151">
        <f t="shared" si="49"/>
        <v>0</v>
      </c>
      <c r="Z138" s="152">
        <f t="shared" si="66"/>
        <v>0</v>
      </c>
      <c r="AA138" s="179">
        <f t="shared" si="67"/>
        <v>0</v>
      </c>
      <c r="AB138" s="179">
        <f t="shared" si="68"/>
        <v>0</v>
      </c>
      <c r="AC138" s="180">
        <f t="shared" si="50"/>
        <v>0</v>
      </c>
      <c r="AD138" s="156">
        <f t="shared" si="69"/>
        <v>0</v>
      </c>
      <c r="AE138" s="146">
        <f>IFERROR(INDEX(Työkonekanta!$L$3:$L$30,MATCH($A138,Työkonekanta!$A$3:$A$30,0),1),0)*AF138</f>
        <v>0</v>
      </c>
      <c r="AF138" s="146">
        <f>IFERROR(INDEX(Työkonekanta!$N$3:$N$32,MATCH($A138,Työkonekanta!$A$3:$A$32,0),1),0)</f>
        <v>0</v>
      </c>
      <c r="AG138" s="332">
        <f>I138*INDEX(Muuttujat!$U$5:$U$21,MATCH($C138,Muuttujat!$N$5:$N$21,0),1)</f>
        <v>0</v>
      </c>
      <c r="AH138" s="332">
        <f>J138*INDEX(Muuttujat!$T$5:$T$21,MATCH($C138,Muuttujat!$N$5:$N$21,0),1)</f>
        <v>0</v>
      </c>
      <c r="AI138" s="332">
        <f t="shared" si="57"/>
        <v>0</v>
      </c>
      <c r="AJ138" s="332">
        <f t="shared" si="58"/>
        <v>0</v>
      </c>
      <c r="AK138" s="333">
        <f t="shared" si="70"/>
        <v>0</v>
      </c>
      <c r="AL138" s="332">
        <f t="shared" si="59"/>
        <v>0</v>
      </c>
      <c r="AM138" s="351"/>
      <c r="AN138" s="351"/>
    </row>
    <row r="139" spans="1:40">
      <c r="A139" s="139">
        <v>17</v>
      </c>
      <c r="B139" s="139">
        <f>IFERROR(IF((INDEX(Työkonekanta!$F$3:$F$27,MATCH('S3 Tiekartta'!$A139,Työkonekanta!$A$3:$A$24,0),1))&lt;0,0,(INDEX(Työkonekanta!$F$3:$F$27,MATCH('S3 Tiekartta'!$A139,Työkonekanta!$A$3:$A$24,0),1))),0)</f>
        <v>1</v>
      </c>
      <c r="C139" s="140">
        <v>2023</v>
      </c>
      <c r="D139" s="141" t="str">
        <f>IFERROR(INDEX(Työkonekanta!$D$3:$D$27,MATCH('S3 Tiekartta'!$A139,Työkonekanta!$A$3:$A$24,0),1),"undefined")</f>
        <v>pom</v>
      </c>
      <c r="E139" s="145">
        <f>IFERROR(INDEX(Työkonekanta!$G$3:$G$27,MATCH($A139,Työkonekanta!$A$3:$A$24,0),1)*INDEX(Työkonekanta!$H$3:$H$27,MATCH($A139,Työkonekanta!$A$3:$A$24,0),1)*(1+s0b_kasvu*($C139-2019))*$B139,0)</f>
        <v>10400</v>
      </c>
      <c r="F139" s="145">
        <f t="shared" si="51"/>
        <v>373360</v>
      </c>
      <c r="G139" s="151">
        <f t="shared" si="60"/>
        <v>354692</v>
      </c>
      <c r="H139" s="145">
        <f t="shared" si="61"/>
        <v>18668</v>
      </c>
      <c r="I139" s="145">
        <f t="shared" si="52"/>
        <v>9880</v>
      </c>
      <c r="J139" s="145">
        <f t="shared" si="53"/>
        <v>544.25655976676387</v>
      </c>
      <c r="K139" s="142" t="str">
        <f t="shared" si="62"/>
        <v>l</v>
      </c>
      <c r="L139" s="146">
        <f>IFERROR(INDEX(Työkonekanta!$I$3:$I$27,MATCH('S3 Tiekartta'!$A139,Työkonekanta!$A$3:$A$24,0),1)*(I139+J139)*f_adblue,0)</f>
        <v>521.21282798833818</v>
      </c>
      <c r="M139" s="146">
        <f t="shared" si="46"/>
        <v>0</v>
      </c>
      <c r="N139" s="143" t="str">
        <f>IF(tuulisähkö_vuosi&lt;='S3 Tiekartta'!C139,"tuulisähkö",ostosähkö_nyt)</f>
        <v>jäännössähkö</v>
      </c>
      <c r="O139" s="147">
        <f>INDEX(Muuttujat!$J$5:$J$21,MATCH($C139,Muuttujat!$H$5:$H$21,0),1)</f>
        <v>66.51860537025</v>
      </c>
      <c r="P139" s="148">
        <f t="shared" si="63"/>
        <v>0.95</v>
      </c>
      <c r="Q139" s="148">
        <f t="shared" si="64"/>
        <v>0.05</v>
      </c>
      <c r="R139" s="148">
        <f t="shared" si="65"/>
        <v>0.05</v>
      </c>
      <c r="S139" s="149">
        <f t="shared" si="54"/>
        <v>6.7036787999999996</v>
      </c>
      <c r="T139" s="150">
        <f t="shared" si="55"/>
        <v>1.1648832</v>
      </c>
      <c r="U139" s="150">
        <f t="shared" si="56"/>
        <v>0</v>
      </c>
      <c r="V139" s="150">
        <f>IFERROR(INDEX(Työkonekanta!$J$3:$J$27,MATCH($A139,Työkonekanta!$A$3:$A$24,0),1)*$B139*ef_li_ion_akku/1000/1000/INDEX(Työkonekanta!$K$3:$K$27,MATCH($A139,Työkonekanta!$A$3:$A$24,0)),0)</f>
        <v>0</v>
      </c>
      <c r="W139" s="149">
        <f t="shared" si="47"/>
        <v>26.179197326567998</v>
      </c>
      <c r="X139" s="150">
        <f t="shared" si="48"/>
        <v>0.3304554864</v>
      </c>
      <c r="Y139" s="151">
        <f t="shared" si="49"/>
        <v>0.13551533527696794</v>
      </c>
      <c r="Z139" s="152">
        <f t="shared" si="66"/>
        <v>7.8685619999999998</v>
      </c>
      <c r="AA139" s="179">
        <f t="shared" si="67"/>
        <v>26.314712661844965</v>
      </c>
      <c r="AB139" s="179">
        <f t="shared" si="68"/>
        <v>26.645168148244966</v>
      </c>
      <c r="AC139" s="180">
        <f t="shared" si="50"/>
        <v>34.183274661844962</v>
      </c>
      <c r="AD139" s="156">
        <f t="shared" si="69"/>
        <v>34.513730148244967</v>
      </c>
      <c r="AE139" s="146">
        <f>IFERROR(INDEX(Työkonekanta!$L$3:$L$30,MATCH($A139,Työkonekanta!$A$3:$A$30,0),1),0)*AF139</f>
        <v>500000</v>
      </c>
      <c r="AF139" s="146">
        <f>IFERROR(INDEX(Työkonekanta!$N$3:$N$32,MATCH($A139,Työkonekanta!$A$3:$A$32,0),1),0)</f>
        <v>1</v>
      </c>
      <c r="AG139" s="332">
        <f>I139*INDEX(Muuttujat!$U$5:$U$21,MATCH($C139,Muuttujat!$N$5:$N$21,0),1)</f>
        <v>9978.7999999999993</v>
      </c>
      <c r="AH139" s="332">
        <f>J139*INDEX(Muuttujat!$T$5:$T$21,MATCH($C139,Muuttujat!$N$5:$N$21,0),1)</f>
        <v>767.40174927113719</v>
      </c>
      <c r="AI139" s="332">
        <f t="shared" si="57"/>
        <v>260.60641399416909</v>
      </c>
      <c r="AJ139" s="332">
        <f t="shared" si="58"/>
        <v>0</v>
      </c>
      <c r="AK139" s="333">
        <f t="shared" si="70"/>
        <v>11006.808163265305</v>
      </c>
      <c r="AL139" s="332">
        <f t="shared" si="59"/>
        <v>11006.808163265305</v>
      </c>
      <c r="AM139" s="351"/>
      <c r="AN139" s="351"/>
    </row>
    <row r="140" spans="1:40">
      <c r="A140" s="139">
        <v>18</v>
      </c>
      <c r="B140" s="139">
        <f>IFERROR(IF((INDEX(Työkonekanta!$F$3:$F$27,MATCH('S3 Tiekartta'!$A140,Työkonekanta!$A$3:$A$24,0),1))&lt;0,0,(INDEX(Työkonekanta!$F$3:$F$27,MATCH('S3 Tiekartta'!$A140,Työkonekanta!$A$3:$A$24,0),1))),0)</f>
        <v>1</v>
      </c>
      <c r="C140" s="140">
        <v>2023</v>
      </c>
      <c r="D140" s="141" t="str">
        <f>IFERROR(INDEX(Työkonekanta!$D$3:$D$27,MATCH('S3 Tiekartta'!$A140,Työkonekanta!$A$3:$A$24,0),1),"undefined")</f>
        <v>pom</v>
      </c>
      <c r="E140" s="145">
        <f>IFERROR(INDEX(Työkonekanta!$G$3:$G$27,MATCH($A140,Työkonekanta!$A$3:$A$24,0),1)*INDEX(Työkonekanta!$H$3:$H$27,MATCH($A140,Työkonekanta!$A$3:$A$24,0),1)*(1+s0b_kasvu*($C140-2019))*$B140,0)</f>
        <v>10400</v>
      </c>
      <c r="F140" s="145">
        <f t="shared" si="51"/>
        <v>373360</v>
      </c>
      <c r="G140" s="151">
        <f t="shared" si="60"/>
        <v>354692</v>
      </c>
      <c r="H140" s="145">
        <f t="shared" si="61"/>
        <v>18668</v>
      </c>
      <c r="I140" s="145">
        <f t="shared" si="52"/>
        <v>9880</v>
      </c>
      <c r="J140" s="145">
        <f t="shared" si="53"/>
        <v>544.25655976676387</v>
      </c>
      <c r="K140" s="142" t="str">
        <f t="shared" si="62"/>
        <v>l</v>
      </c>
      <c r="L140" s="146">
        <f>IFERROR(INDEX(Työkonekanta!$I$3:$I$27,MATCH('S3 Tiekartta'!$A140,Työkonekanta!$A$3:$A$24,0),1)*(I140+J140)*f_adblue,0)</f>
        <v>416.97026239067054</v>
      </c>
      <c r="M140" s="146">
        <f t="shared" si="46"/>
        <v>0</v>
      </c>
      <c r="N140" s="143" t="str">
        <f>IF(tuulisähkö_vuosi&lt;='S3 Tiekartta'!C140,"tuulisähkö",ostosähkö_nyt)</f>
        <v>jäännössähkö</v>
      </c>
      <c r="O140" s="147">
        <f>INDEX(Muuttujat!$J$5:$J$21,MATCH($C140,Muuttujat!$H$5:$H$21,0),1)</f>
        <v>66.51860537025</v>
      </c>
      <c r="P140" s="148">
        <f t="shared" si="63"/>
        <v>0.95</v>
      </c>
      <c r="Q140" s="148">
        <f t="shared" si="64"/>
        <v>0.05</v>
      </c>
      <c r="R140" s="148">
        <f t="shared" si="65"/>
        <v>0.05</v>
      </c>
      <c r="S140" s="149">
        <f t="shared" si="54"/>
        <v>6.7036787999999996</v>
      </c>
      <c r="T140" s="150">
        <f t="shared" si="55"/>
        <v>1.1648832</v>
      </c>
      <c r="U140" s="150">
        <f t="shared" si="56"/>
        <v>0</v>
      </c>
      <c r="V140" s="150">
        <f>IFERROR(INDEX(Työkonekanta!$J$3:$J$27,MATCH($A140,Työkonekanta!$A$3:$A$24,0),1)*$B140*ef_li_ion_akku/1000/1000/INDEX(Työkonekanta!$K$3:$K$27,MATCH($A140,Työkonekanta!$A$3:$A$24,0)),0)</f>
        <v>0</v>
      </c>
      <c r="W140" s="149">
        <f t="shared" si="47"/>
        <v>26.179197326567998</v>
      </c>
      <c r="X140" s="150">
        <f t="shared" si="48"/>
        <v>0.3304554864</v>
      </c>
      <c r="Y140" s="151">
        <f t="shared" si="49"/>
        <v>0.10841226822157433</v>
      </c>
      <c r="Z140" s="152">
        <f t="shared" si="66"/>
        <v>7.8685619999999998</v>
      </c>
      <c r="AA140" s="179">
        <f t="shared" si="67"/>
        <v>26.287609594789572</v>
      </c>
      <c r="AB140" s="179">
        <f t="shared" si="68"/>
        <v>26.618065081189574</v>
      </c>
      <c r="AC140" s="180">
        <f t="shared" si="50"/>
        <v>34.156171594789569</v>
      </c>
      <c r="AD140" s="156">
        <f t="shared" si="69"/>
        <v>34.486627081189575</v>
      </c>
      <c r="AE140" s="146">
        <f>IFERROR(INDEX(Työkonekanta!$L$3:$L$30,MATCH($A140,Työkonekanta!$A$3:$A$30,0),1),0)*AF140</f>
        <v>500000</v>
      </c>
      <c r="AF140" s="146">
        <f>IFERROR(INDEX(Työkonekanta!$N$3:$N$32,MATCH($A140,Työkonekanta!$A$3:$A$32,0),1),0)</f>
        <v>1</v>
      </c>
      <c r="AG140" s="332">
        <f>I140*INDEX(Muuttujat!$U$5:$U$21,MATCH($C140,Muuttujat!$N$5:$N$21,0),1)</f>
        <v>9978.7999999999993</v>
      </c>
      <c r="AH140" s="332">
        <f>J140*INDEX(Muuttujat!$T$5:$T$21,MATCH($C140,Muuttujat!$N$5:$N$21,0),1)</f>
        <v>767.40174927113719</v>
      </c>
      <c r="AI140" s="332">
        <f t="shared" si="57"/>
        <v>208.48513119533527</v>
      </c>
      <c r="AJ140" s="332">
        <f t="shared" si="58"/>
        <v>0</v>
      </c>
      <c r="AK140" s="333">
        <f t="shared" si="70"/>
        <v>10954.686880466472</v>
      </c>
      <c r="AL140" s="332">
        <f t="shared" si="59"/>
        <v>10954.686880466472</v>
      </c>
      <c r="AM140" s="351"/>
      <c r="AN140" s="351"/>
    </row>
    <row r="141" spans="1:40">
      <c r="A141" s="139">
        <v>19</v>
      </c>
      <c r="B141" s="139">
        <f>IFERROR(IF((INDEX(Työkonekanta!$F$3:$F$27,MATCH('S3 Tiekartta'!$A141,Työkonekanta!$A$3:$A$24,0),1))&lt;0,0,(INDEX(Työkonekanta!$F$3:$F$27,MATCH('S3 Tiekartta'!$A141,Työkonekanta!$A$3:$A$24,0),1))),0)</f>
        <v>0</v>
      </c>
      <c r="C141" s="140">
        <v>2023</v>
      </c>
      <c r="D141" s="141" t="str">
        <f>IFERROR(INDEX(Työkonekanta!$D$3:$D$27,MATCH('S3 Tiekartta'!$A141,Työkonekanta!$A$3:$A$24,0),1),"undefined")</f>
        <v>pom</v>
      </c>
      <c r="E141" s="145">
        <f>IFERROR(INDEX(Työkonekanta!$G$3:$G$27,MATCH($A141,Työkonekanta!$A$3:$A$24,0),1)*INDEX(Työkonekanta!$H$3:$H$27,MATCH($A141,Työkonekanta!$A$3:$A$24,0),1)*(1+s0b_kasvu*($C141-2019))*$B141,0)</f>
        <v>0</v>
      </c>
      <c r="F141" s="145">
        <f t="shared" si="51"/>
        <v>0</v>
      </c>
      <c r="G141" s="151">
        <f t="shared" si="60"/>
        <v>0</v>
      </c>
      <c r="H141" s="145">
        <f t="shared" si="61"/>
        <v>0</v>
      </c>
      <c r="I141" s="145">
        <f t="shared" si="52"/>
        <v>0</v>
      </c>
      <c r="J141" s="145">
        <f t="shared" si="53"/>
        <v>0</v>
      </c>
      <c r="K141" s="142" t="str">
        <f t="shared" si="62"/>
        <v>l</v>
      </c>
      <c r="L141" s="146">
        <f>IFERROR(INDEX(Työkonekanta!$I$3:$I$27,MATCH('S3 Tiekartta'!$A141,Työkonekanta!$A$3:$A$24,0),1)*(I141+J141)*f_adblue,0)</f>
        <v>0</v>
      </c>
      <c r="M141" s="146">
        <f t="shared" si="46"/>
        <v>0</v>
      </c>
      <c r="N141" s="143" t="str">
        <f>IF(tuulisähkö_vuosi&lt;='S3 Tiekartta'!C141,"tuulisähkö",ostosähkö_nyt)</f>
        <v>jäännössähkö</v>
      </c>
      <c r="O141" s="147">
        <f>INDEX(Muuttujat!$J$5:$J$21,MATCH($C141,Muuttujat!$H$5:$H$21,0),1)</f>
        <v>66.51860537025</v>
      </c>
      <c r="P141" s="148">
        <f t="shared" si="63"/>
        <v>0.95</v>
      </c>
      <c r="Q141" s="148">
        <f t="shared" si="64"/>
        <v>0.05</v>
      </c>
      <c r="R141" s="148">
        <f t="shared" si="65"/>
        <v>0.05</v>
      </c>
      <c r="S141" s="149">
        <f t="shared" si="54"/>
        <v>0</v>
      </c>
      <c r="T141" s="150">
        <f t="shared" si="55"/>
        <v>0</v>
      </c>
      <c r="U141" s="150">
        <f t="shared" si="56"/>
        <v>0</v>
      </c>
      <c r="V141" s="150">
        <f>IFERROR(INDEX(Työkonekanta!$J$3:$J$27,MATCH($A141,Työkonekanta!$A$3:$A$24,0),1)*$B141*ef_li_ion_akku/1000/1000/INDEX(Työkonekanta!$K$3:$K$27,MATCH($A141,Työkonekanta!$A$3:$A$24,0)),0)</f>
        <v>0</v>
      </c>
      <c r="W141" s="149">
        <f t="shared" si="47"/>
        <v>0</v>
      </c>
      <c r="X141" s="150">
        <f t="shared" si="48"/>
        <v>0</v>
      </c>
      <c r="Y141" s="151">
        <f t="shared" si="49"/>
        <v>0</v>
      </c>
      <c r="Z141" s="152">
        <f t="shared" si="66"/>
        <v>0</v>
      </c>
      <c r="AA141" s="179">
        <f t="shared" si="67"/>
        <v>0</v>
      </c>
      <c r="AB141" s="179">
        <f t="shared" si="68"/>
        <v>0</v>
      </c>
      <c r="AC141" s="180">
        <f t="shared" si="50"/>
        <v>0</v>
      </c>
      <c r="AD141" s="156">
        <f t="shared" si="69"/>
        <v>0</v>
      </c>
      <c r="AE141" s="146">
        <f>IFERROR(INDEX(Työkonekanta!$L$3:$L$30,MATCH($A141,Työkonekanta!$A$3:$A$30,0),1),0)*AF141</f>
        <v>0</v>
      </c>
      <c r="AF141" s="146">
        <f>IFERROR(INDEX(Työkonekanta!$N$3:$N$32,MATCH($A141,Työkonekanta!$A$3:$A$32,0),1),0)</f>
        <v>0</v>
      </c>
      <c r="AG141" s="332">
        <f>I141*INDEX(Muuttujat!$U$5:$U$21,MATCH($C141,Muuttujat!$N$5:$N$21,0),1)</f>
        <v>0</v>
      </c>
      <c r="AH141" s="332">
        <f>J141*INDEX(Muuttujat!$T$5:$T$21,MATCH($C141,Muuttujat!$N$5:$N$21,0),1)</f>
        <v>0</v>
      </c>
      <c r="AI141" s="332">
        <f t="shared" si="57"/>
        <v>0</v>
      </c>
      <c r="AJ141" s="332">
        <f t="shared" si="58"/>
        <v>0</v>
      </c>
      <c r="AK141" s="333">
        <f t="shared" si="70"/>
        <v>0</v>
      </c>
      <c r="AL141" s="332">
        <f t="shared" si="59"/>
        <v>0</v>
      </c>
      <c r="AM141" s="351"/>
      <c r="AN141" s="351"/>
    </row>
    <row r="142" spans="1:40">
      <c r="A142" s="139">
        <v>20</v>
      </c>
      <c r="B142" s="139">
        <f>IFERROR(IF((INDEX(Työkonekanta!$F$3:$F$27,MATCH('S3 Tiekartta'!$A142,Työkonekanta!$A$3:$A$24,0),1))&lt;0,0,(INDEX(Työkonekanta!$F$3:$F$27,MATCH('S3 Tiekartta'!$A142,Työkonekanta!$A$3:$A$24,0),1))),0)</f>
        <v>0</v>
      </c>
      <c r="C142" s="140">
        <v>2023</v>
      </c>
      <c r="D142" s="141" t="str">
        <f>IFERROR(INDEX(Työkonekanta!$D$3:$D$27,MATCH('S3 Tiekartta'!$A142,Työkonekanta!$A$3:$A$24,0),1),"undefined")</f>
        <v>pom</v>
      </c>
      <c r="E142" s="145">
        <f>IFERROR(INDEX(Työkonekanta!$G$3:$G$27,MATCH($A142,Työkonekanta!$A$3:$A$24,0),1)*INDEX(Työkonekanta!$H$3:$H$27,MATCH($A142,Työkonekanta!$A$3:$A$24,0),1)*(1+s0b_kasvu*($C142-2019))*$B142,0)</f>
        <v>0</v>
      </c>
      <c r="F142" s="145">
        <f t="shared" si="51"/>
        <v>0</v>
      </c>
      <c r="G142" s="151">
        <f t="shared" si="60"/>
        <v>0</v>
      </c>
      <c r="H142" s="145">
        <f t="shared" si="61"/>
        <v>0</v>
      </c>
      <c r="I142" s="145">
        <f t="shared" si="52"/>
        <v>0</v>
      </c>
      <c r="J142" s="145">
        <f t="shared" si="53"/>
        <v>0</v>
      </c>
      <c r="K142" s="142" t="str">
        <f t="shared" si="62"/>
        <v>l</v>
      </c>
      <c r="L142" s="146">
        <f>IFERROR(INDEX(Työkonekanta!$I$3:$I$27,MATCH('S3 Tiekartta'!$A142,Työkonekanta!$A$3:$A$24,0),1)*(I142+J142)*f_adblue,0)</f>
        <v>0</v>
      </c>
      <c r="M142" s="146">
        <f t="shared" si="46"/>
        <v>0</v>
      </c>
      <c r="N142" s="143" t="str">
        <f>IF(tuulisähkö_vuosi&lt;='S3 Tiekartta'!C142,"tuulisähkö",ostosähkö_nyt)</f>
        <v>jäännössähkö</v>
      </c>
      <c r="O142" s="147">
        <f>INDEX(Muuttujat!$J$5:$J$21,MATCH($C142,Muuttujat!$H$5:$H$21,0),1)</f>
        <v>66.51860537025</v>
      </c>
      <c r="P142" s="148">
        <f t="shared" si="63"/>
        <v>0.95</v>
      </c>
      <c r="Q142" s="148">
        <f t="shared" si="64"/>
        <v>0.05</v>
      </c>
      <c r="R142" s="148">
        <f t="shared" si="65"/>
        <v>0.05</v>
      </c>
      <c r="S142" s="149">
        <f t="shared" si="54"/>
        <v>0</v>
      </c>
      <c r="T142" s="150">
        <f t="shared" si="55"/>
        <v>0</v>
      </c>
      <c r="U142" s="150">
        <f t="shared" si="56"/>
        <v>0</v>
      </c>
      <c r="V142" s="150">
        <f>IFERROR(INDEX(Työkonekanta!$J$3:$J$27,MATCH($A142,Työkonekanta!$A$3:$A$24,0),1)*$B142*ef_li_ion_akku/1000/1000/INDEX(Työkonekanta!$K$3:$K$27,MATCH($A142,Työkonekanta!$A$3:$A$24,0)),0)</f>
        <v>0</v>
      </c>
      <c r="W142" s="149">
        <f t="shared" si="47"/>
        <v>0</v>
      </c>
      <c r="X142" s="150">
        <f t="shared" si="48"/>
        <v>0</v>
      </c>
      <c r="Y142" s="151">
        <f t="shared" si="49"/>
        <v>0</v>
      </c>
      <c r="Z142" s="152">
        <f t="shared" si="66"/>
        <v>0</v>
      </c>
      <c r="AA142" s="179">
        <f t="shared" si="67"/>
        <v>0</v>
      </c>
      <c r="AB142" s="179">
        <f t="shared" si="68"/>
        <v>0</v>
      </c>
      <c r="AC142" s="180">
        <f t="shared" si="50"/>
        <v>0</v>
      </c>
      <c r="AD142" s="156">
        <f t="shared" si="69"/>
        <v>0</v>
      </c>
      <c r="AE142" s="146">
        <f>IFERROR(INDEX(Työkonekanta!$L$3:$L$30,MATCH($A142,Työkonekanta!$A$3:$A$30,0),1),0)*AF142</f>
        <v>0</v>
      </c>
      <c r="AF142" s="146">
        <f>IFERROR(INDEX(Työkonekanta!$N$3:$N$32,MATCH($A142,Työkonekanta!$A$3:$A$32,0),1),0)</f>
        <v>0</v>
      </c>
      <c r="AG142" s="332">
        <f>I142*INDEX(Muuttujat!$U$5:$U$21,MATCH($C142,Muuttujat!$N$5:$N$21,0),1)</f>
        <v>0</v>
      </c>
      <c r="AH142" s="332">
        <f>J142*INDEX(Muuttujat!$T$5:$T$21,MATCH($C142,Muuttujat!$N$5:$N$21,0),1)</f>
        <v>0</v>
      </c>
      <c r="AI142" s="332">
        <f t="shared" si="57"/>
        <v>0</v>
      </c>
      <c r="AJ142" s="332">
        <f t="shared" si="58"/>
        <v>0</v>
      </c>
      <c r="AK142" s="333">
        <f t="shared" si="70"/>
        <v>0</v>
      </c>
      <c r="AL142" s="332">
        <f t="shared" si="59"/>
        <v>0</v>
      </c>
      <c r="AM142" s="351"/>
      <c r="AN142" s="351"/>
    </row>
    <row r="143" spans="1:40">
      <c r="A143" s="139">
        <v>21</v>
      </c>
      <c r="B143" s="139">
        <f>IFERROR(IF((INDEX(Työkonekanta!$F$3:$F$27,MATCH('S3 Tiekartta'!$A143,Työkonekanta!$A$3:$A$24,0),1))&lt;0,0,(INDEX(Työkonekanta!$F$3:$F$27,MATCH('S3 Tiekartta'!$A143,Työkonekanta!$A$3:$A$24,0),1))),0)</f>
        <v>35</v>
      </c>
      <c r="C143" s="140">
        <v>2023</v>
      </c>
      <c r="D143" s="141" t="str">
        <f>IFERROR(INDEX(Työkonekanta!$D$3:$D$27,MATCH('S3 Tiekartta'!$A143,Työkonekanta!$A$3:$A$24,0),1),"undefined")</f>
        <v>sähkö</v>
      </c>
      <c r="E143" s="145">
        <f>IFERROR(INDEX(Työkonekanta!$G$3:$G$27,MATCH($A143,Työkonekanta!$A$3:$A$24,0),1)*INDEX(Työkonekanta!$H$3:$H$27,MATCH($A143,Työkonekanta!$A$3:$A$24,0),1)*(1+s0b_kasvu*($C143-2019))*$B143,0)</f>
        <v>423487.03703703702</v>
      </c>
      <c r="F143" s="145">
        <f t="shared" si="51"/>
        <v>0</v>
      </c>
      <c r="G143" s="151">
        <f t="shared" si="60"/>
        <v>0</v>
      </c>
      <c r="H143" s="145">
        <f t="shared" si="61"/>
        <v>0</v>
      </c>
      <c r="I143" s="145">
        <f t="shared" si="52"/>
        <v>0</v>
      </c>
      <c r="J143" s="145">
        <f t="shared" si="53"/>
        <v>0</v>
      </c>
      <c r="K143" s="142" t="str">
        <f t="shared" si="62"/>
        <v>kWh</v>
      </c>
      <c r="L143" s="146">
        <f>IFERROR(INDEX(Työkonekanta!$I$3:$I$27,MATCH('S3 Tiekartta'!$A143,Työkonekanta!$A$3:$A$24,0),1)*(I143+J143)*f_adblue,0)</f>
        <v>0</v>
      </c>
      <c r="M143" s="146">
        <f t="shared" si="46"/>
        <v>1524553.3333333333</v>
      </c>
      <c r="N143" s="143" t="str">
        <f>IF(tuulisähkö_vuosi&lt;='S3 Tiekartta'!C143,"tuulisähkö",ostosähkö_nyt)</f>
        <v>jäännössähkö</v>
      </c>
      <c r="O143" s="147">
        <f>INDEX(Muuttujat!$J$5:$J$21,MATCH($C143,Muuttujat!$H$5:$H$21,0),1)</f>
        <v>66.51860537025</v>
      </c>
      <c r="P143" s="148">
        <f t="shared" si="63"/>
        <v>0.95</v>
      </c>
      <c r="Q143" s="148">
        <f t="shared" si="64"/>
        <v>0.05</v>
      </c>
      <c r="R143" s="148">
        <f t="shared" si="65"/>
        <v>0.05</v>
      </c>
      <c r="S143" s="149">
        <f t="shared" si="54"/>
        <v>0</v>
      </c>
      <c r="T143" s="150">
        <f t="shared" si="55"/>
        <v>0</v>
      </c>
      <c r="U143" s="150">
        <f t="shared" si="56"/>
        <v>101.4111615458992</v>
      </c>
      <c r="V143" s="150">
        <f>IFERROR(INDEX(Työkonekanta!$J$3:$J$27,MATCH($A143,Työkonekanta!$A$3:$A$24,0),1)*$B143*ef_li_ion_akku/1000/1000/INDEX(Työkonekanta!$K$3:$K$27,MATCH($A143,Työkonekanta!$A$3:$A$24,0)),0)</f>
        <v>43.121723076923082</v>
      </c>
      <c r="W143" s="149">
        <f t="shared" si="47"/>
        <v>0</v>
      </c>
      <c r="X143" s="150">
        <f t="shared" si="48"/>
        <v>0</v>
      </c>
      <c r="Y143" s="151">
        <f t="shared" si="49"/>
        <v>0</v>
      </c>
      <c r="Z143" s="152">
        <f t="shared" si="66"/>
        <v>144.53288462282228</v>
      </c>
      <c r="AA143" s="179">
        <f t="shared" si="67"/>
        <v>0</v>
      </c>
      <c r="AB143" s="179">
        <f t="shared" si="68"/>
        <v>0</v>
      </c>
      <c r="AC143" s="180">
        <f t="shared" si="50"/>
        <v>144.53288462282228</v>
      </c>
      <c r="AD143" s="156">
        <f t="shared" si="69"/>
        <v>144.53288462282228</v>
      </c>
      <c r="AE143" s="146">
        <f>IFERROR(INDEX(Työkonekanta!$L$3:$L$30,MATCH($A143,Työkonekanta!$A$3:$A$30,0),1),0)*AF143</f>
        <v>1820000</v>
      </c>
      <c r="AF143" s="146">
        <f>IFERROR(INDEX(Työkonekanta!$N$3:$N$32,MATCH($A143,Työkonekanta!$A$3:$A$32,0),1),0)</f>
        <v>7</v>
      </c>
      <c r="AG143" s="332">
        <f>I143*INDEX(Muuttujat!$U$5:$U$21,MATCH($C143,Muuttujat!$N$5:$N$21,0),1)</f>
        <v>0</v>
      </c>
      <c r="AH143" s="332">
        <f>J143*INDEX(Muuttujat!$T$5:$T$21,MATCH($C143,Muuttujat!$N$5:$N$21,0),1)</f>
        <v>0</v>
      </c>
      <c r="AI143" s="332">
        <f t="shared" si="57"/>
        <v>0</v>
      </c>
      <c r="AJ143" s="332">
        <f t="shared" si="58"/>
        <v>37478.602777777778</v>
      </c>
      <c r="AK143" s="333">
        <f t="shared" si="70"/>
        <v>37478.602777777778</v>
      </c>
      <c r="AL143" s="332">
        <f t="shared" si="59"/>
        <v>1070.8172222222222</v>
      </c>
      <c r="AM143" s="351"/>
      <c r="AN143" s="351"/>
    </row>
    <row r="144" spans="1:40">
      <c r="A144" s="139">
        <v>22</v>
      </c>
      <c r="B144" s="139">
        <f>IFERROR(IF((INDEX(Työkonekanta!$F$3:$F$27,MATCH('S3 Tiekartta'!$A144,Työkonekanta!$A$3:$A$24,0),1))&lt;0,0,(INDEX(Työkonekanta!$F$3:$F$27,MATCH('S3 Tiekartta'!$A144,Työkonekanta!$A$3:$A$24,0),1))),0)</f>
        <v>0</v>
      </c>
      <c r="C144" s="140">
        <v>2023</v>
      </c>
      <c r="D144" s="141" t="str">
        <f>IFERROR(INDEX(Työkonekanta!$D$3:$D$27,MATCH('S3 Tiekartta'!$A144,Työkonekanta!$A$3:$A$24,0),1),"undefined")</f>
        <v>sähkö</v>
      </c>
      <c r="E144" s="145">
        <f>IFERROR(INDEX(Työkonekanta!$G$3:$G$27,MATCH($A144,Työkonekanta!$A$3:$A$24,0),1)*INDEX(Työkonekanta!$H$3:$H$27,MATCH($A144,Työkonekanta!$A$3:$A$24,0),1)*(1+s0b_kasvu*($C144-2019))*$B144,0)</f>
        <v>0</v>
      </c>
      <c r="F144" s="145">
        <f t="shared" si="51"/>
        <v>0</v>
      </c>
      <c r="G144" s="151">
        <f t="shared" si="60"/>
        <v>0</v>
      </c>
      <c r="H144" s="145">
        <f t="shared" si="61"/>
        <v>0</v>
      </c>
      <c r="I144" s="145">
        <f t="shared" si="52"/>
        <v>0</v>
      </c>
      <c r="J144" s="145">
        <f t="shared" si="53"/>
        <v>0</v>
      </c>
      <c r="K144" s="142" t="str">
        <f t="shared" si="62"/>
        <v>kWh</v>
      </c>
      <c r="L144" s="146">
        <f>IFERROR(INDEX(Työkonekanta!$I$3:$I$27,MATCH('S3 Tiekartta'!$A144,Työkonekanta!$A$3:$A$24,0),1)*(I144+J144)*f_adblue,0)</f>
        <v>0</v>
      </c>
      <c r="M144" s="146">
        <f t="shared" si="46"/>
        <v>0</v>
      </c>
      <c r="N144" s="143" t="str">
        <f>IF(tuulisähkö_vuosi&lt;='S3 Tiekartta'!C144,"tuulisähkö",ostosähkö_nyt)</f>
        <v>jäännössähkö</v>
      </c>
      <c r="O144" s="147">
        <f>INDEX(Muuttujat!$J$5:$J$21,MATCH($C144,Muuttujat!$H$5:$H$21,0),1)</f>
        <v>66.51860537025</v>
      </c>
      <c r="P144" s="148">
        <f t="shared" si="63"/>
        <v>0.95</v>
      </c>
      <c r="Q144" s="148">
        <f t="shared" si="64"/>
        <v>0.05</v>
      </c>
      <c r="R144" s="148">
        <f t="shared" si="65"/>
        <v>0.05</v>
      </c>
      <c r="S144" s="149">
        <f t="shared" si="54"/>
        <v>0</v>
      </c>
      <c r="T144" s="150">
        <f t="shared" si="55"/>
        <v>0</v>
      </c>
      <c r="U144" s="150">
        <f t="shared" si="56"/>
        <v>0</v>
      </c>
      <c r="V144" s="150">
        <f>IFERROR(INDEX(Työkonekanta!$J$3:$J$27,MATCH($A144,Työkonekanta!$A$3:$A$24,0),1)*$B144*ef_li_ion_akku/1000/1000/INDEX(Työkonekanta!$K$3:$K$27,MATCH($A144,Työkonekanta!$A$3:$A$24,0)),0)</f>
        <v>0</v>
      </c>
      <c r="W144" s="149">
        <f t="shared" si="47"/>
        <v>0</v>
      </c>
      <c r="X144" s="150">
        <f t="shared" si="48"/>
        <v>0</v>
      </c>
      <c r="Y144" s="151">
        <f t="shared" si="49"/>
        <v>0</v>
      </c>
      <c r="Z144" s="152">
        <f t="shared" si="66"/>
        <v>0</v>
      </c>
      <c r="AA144" s="179">
        <f t="shared" si="67"/>
        <v>0</v>
      </c>
      <c r="AB144" s="179">
        <f t="shared" si="68"/>
        <v>0</v>
      </c>
      <c r="AC144" s="180">
        <f t="shared" si="50"/>
        <v>0</v>
      </c>
      <c r="AD144" s="156">
        <f t="shared" si="69"/>
        <v>0</v>
      </c>
      <c r="AE144" s="146">
        <f>IFERROR(INDEX(Työkonekanta!$L$3:$L$30,MATCH($A144,Työkonekanta!$A$3:$A$30,0),1),0)*AF144</f>
        <v>0</v>
      </c>
      <c r="AF144" s="146">
        <f>IFERROR(INDEX(Työkonekanta!$N$3:$N$32,MATCH($A144,Työkonekanta!$A$3:$A$32,0),1),0)</f>
        <v>0</v>
      </c>
      <c r="AG144" s="332">
        <f>I144*INDEX(Muuttujat!$U$5:$U$21,MATCH($C144,Muuttujat!$N$5:$N$21,0),1)</f>
        <v>0</v>
      </c>
      <c r="AH144" s="332">
        <f>J144*INDEX(Muuttujat!$T$5:$T$21,MATCH($C144,Muuttujat!$N$5:$N$21,0),1)</f>
        <v>0</v>
      </c>
      <c r="AI144" s="332">
        <f t="shared" si="57"/>
        <v>0</v>
      </c>
      <c r="AJ144" s="332">
        <f t="shared" si="58"/>
        <v>0</v>
      </c>
      <c r="AK144" s="333">
        <f t="shared" si="70"/>
        <v>0</v>
      </c>
      <c r="AL144" s="332">
        <f t="shared" si="59"/>
        <v>0</v>
      </c>
      <c r="AM144" s="351"/>
      <c r="AN144" s="351"/>
    </row>
    <row r="145" spans="1:40">
      <c r="A145" s="139">
        <v>23</v>
      </c>
      <c r="B145" s="139">
        <f>IFERROR(IF((INDEX(Työkonekanta!$F$3:$F$27,MATCH('S3 Tiekartta'!$A145,Työkonekanta!$A$3:$A$24,0),1))&lt;0,0,(INDEX(Työkonekanta!$F$3:$F$27,MATCH('S3 Tiekartta'!$A145,Työkonekanta!$A$3:$A$24,0),1))),0)</f>
        <v>0</v>
      </c>
      <c r="C145" s="140">
        <v>2023</v>
      </c>
      <c r="D145" s="141" t="str">
        <f>IFERROR(INDEX(Työkonekanta!$D$3:$D$27,MATCH('S3 Tiekartta'!$A145,Työkonekanta!$A$3:$A$24,0),1),"undefined")</f>
        <v>undefined</v>
      </c>
      <c r="E145" s="145">
        <f>IFERROR(INDEX(Työkonekanta!$G$3:$G$27,MATCH($A145,Työkonekanta!$A$3:$A$24,0),1)*INDEX(Työkonekanta!$H$3:$H$27,MATCH($A145,Työkonekanta!$A$3:$A$24,0),1)*(1+s0b_kasvu*($C145-2019))*$B145,0)</f>
        <v>0</v>
      </c>
      <c r="F145" s="145">
        <f t="shared" si="51"/>
        <v>0</v>
      </c>
      <c r="G145" s="151">
        <f t="shared" si="60"/>
        <v>0</v>
      </c>
      <c r="H145" s="145">
        <f t="shared" si="61"/>
        <v>0</v>
      </c>
      <c r="I145" s="145">
        <f t="shared" si="52"/>
        <v>0</v>
      </c>
      <c r="J145" s="145">
        <f t="shared" si="53"/>
        <v>0</v>
      </c>
      <c r="K145" s="142" t="str">
        <f t="shared" si="62"/>
        <v>undefined</v>
      </c>
      <c r="L145" s="146">
        <f>IFERROR(INDEX(Työkonekanta!$I$3:$I$27,MATCH('S3 Tiekartta'!$A145,Työkonekanta!$A$3:$A$24,0),1)*(I145+J145)*f_adblue,0)</f>
        <v>0</v>
      </c>
      <c r="M145" s="146">
        <f t="shared" si="46"/>
        <v>0</v>
      </c>
      <c r="N145" s="143" t="str">
        <f>IF(tuulisähkö_vuosi&lt;='S3 Tiekartta'!C145,"tuulisähkö",ostosähkö_nyt)</f>
        <v>jäännössähkö</v>
      </c>
      <c r="O145" s="147">
        <f>INDEX(Muuttujat!$J$5:$J$21,MATCH($C145,Muuttujat!$H$5:$H$21,0),1)</f>
        <v>66.51860537025</v>
      </c>
      <c r="P145" s="148">
        <f t="shared" si="63"/>
        <v>0.95</v>
      </c>
      <c r="Q145" s="148">
        <f t="shared" si="64"/>
        <v>0.05</v>
      </c>
      <c r="R145" s="148">
        <f t="shared" si="65"/>
        <v>0.05</v>
      </c>
      <c r="S145" s="149">
        <f t="shared" si="54"/>
        <v>0</v>
      </c>
      <c r="T145" s="150">
        <f t="shared" si="55"/>
        <v>0</v>
      </c>
      <c r="U145" s="150">
        <f t="shared" si="56"/>
        <v>0</v>
      </c>
      <c r="V145" s="150">
        <f>IFERROR(INDEX(Työkonekanta!$J$3:$J$27,MATCH($A145,Työkonekanta!$A$3:$A$24,0),1)*$B145*ef_li_ion_akku/1000/1000/INDEX(Työkonekanta!$K$3:$K$27,MATCH($A145,Työkonekanta!$A$3:$A$24,0)),0)</f>
        <v>0</v>
      </c>
      <c r="W145" s="149">
        <f t="shared" si="47"/>
        <v>0</v>
      </c>
      <c r="X145" s="150">
        <f t="shared" si="48"/>
        <v>0</v>
      </c>
      <c r="Y145" s="151">
        <f t="shared" si="49"/>
        <v>0</v>
      </c>
      <c r="Z145" s="152">
        <f t="shared" si="66"/>
        <v>0</v>
      </c>
      <c r="AA145" s="179">
        <f t="shared" si="67"/>
        <v>0</v>
      </c>
      <c r="AB145" s="179">
        <f t="shared" si="68"/>
        <v>0</v>
      </c>
      <c r="AC145" s="180">
        <f t="shared" si="50"/>
        <v>0</v>
      </c>
      <c r="AD145" s="156">
        <f t="shared" si="69"/>
        <v>0</v>
      </c>
      <c r="AE145" s="146">
        <f>IFERROR(INDEX(Työkonekanta!$L$3:$L$30,MATCH($A145,Työkonekanta!$A$3:$A$30,0),1),0)*AF145</f>
        <v>0</v>
      </c>
      <c r="AF145" s="146">
        <f>IFERROR(INDEX(Työkonekanta!$N$3:$N$32,MATCH($A145,Työkonekanta!$A$3:$A$32,0),1),0)</f>
        <v>0</v>
      </c>
      <c r="AG145" s="332">
        <f>I145*INDEX(Muuttujat!$U$5:$U$21,MATCH($C145,Muuttujat!$N$5:$N$21,0),1)</f>
        <v>0</v>
      </c>
      <c r="AH145" s="332">
        <f>J145*INDEX(Muuttujat!$T$5:$T$21,MATCH($C145,Muuttujat!$N$5:$N$21,0),1)</f>
        <v>0</v>
      </c>
      <c r="AI145" s="332">
        <f t="shared" si="57"/>
        <v>0</v>
      </c>
      <c r="AJ145" s="332">
        <f t="shared" si="58"/>
        <v>0</v>
      </c>
      <c r="AK145" s="333">
        <f t="shared" si="70"/>
        <v>0</v>
      </c>
      <c r="AL145" s="332">
        <f t="shared" si="59"/>
        <v>0</v>
      </c>
      <c r="AM145" s="351"/>
      <c r="AN145" s="351"/>
    </row>
    <row r="146" spans="1:40">
      <c r="A146" s="139">
        <v>24</v>
      </c>
      <c r="B146" s="139">
        <f>IFERROR(IF((INDEX(Työkonekanta!$F$3:$F$27,MATCH('S3 Tiekartta'!$A146,Työkonekanta!$A$3:$A$24,0),1))&lt;0,0,(INDEX(Työkonekanta!$F$3:$F$27,MATCH('S3 Tiekartta'!$A146,Työkonekanta!$A$3:$A$24,0),1))),0)</f>
        <v>0</v>
      </c>
      <c r="C146" s="140">
        <v>2023</v>
      </c>
      <c r="D146" s="141" t="str">
        <f>IFERROR(INDEX(Työkonekanta!$D$3:$D$27,MATCH('S3 Tiekartta'!$A146,Työkonekanta!$A$3:$A$24,0),1),"undefined")</f>
        <v>undefined</v>
      </c>
      <c r="E146" s="145">
        <f>IFERROR(INDEX(Työkonekanta!$G$3:$G$27,MATCH($A146,Työkonekanta!$A$3:$A$24,0),1)*INDEX(Työkonekanta!$H$3:$H$27,MATCH($A146,Työkonekanta!$A$3:$A$24,0),1)*(1+s0b_kasvu*($C146-2019))*$B146,0)</f>
        <v>0</v>
      </c>
      <c r="F146" s="145">
        <f t="shared" si="51"/>
        <v>0</v>
      </c>
      <c r="G146" s="151">
        <f t="shared" si="60"/>
        <v>0</v>
      </c>
      <c r="H146" s="145">
        <f t="shared" si="61"/>
        <v>0</v>
      </c>
      <c r="I146" s="145">
        <f t="shared" si="52"/>
        <v>0</v>
      </c>
      <c r="J146" s="145">
        <f t="shared" si="53"/>
        <v>0</v>
      </c>
      <c r="K146" s="142" t="str">
        <f t="shared" si="62"/>
        <v>undefined</v>
      </c>
      <c r="L146" s="146">
        <f>IFERROR(INDEX(Työkonekanta!$I$3:$I$27,MATCH('S3 Tiekartta'!$A146,Työkonekanta!$A$3:$A$24,0),1)*(I146+J146)*f_adblue,0)</f>
        <v>0</v>
      </c>
      <c r="M146" s="146">
        <f t="shared" si="46"/>
        <v>0</v>
      </c>
      <c r="N146" s="143" t="str">
        <f>IF(tuulisähkö_vuosi&lt;='S3 Tiekartta'!C146,"tuulisähkö",ostosähkö_nyt)</f>
        <v>jäännössähkö</v>
      </c>
      <c r="O146" s="147">
        <f>INDEX(Muuttujat!$J$5:$J$21,MATCH($C146,Muuttujat!$H$5:$H$21,0),1)</f>
        <v>66.51860537025</v>
      </c>
      <c r="P146" s="148">
        <f t="shared" si="63"/>
        <v>0.95</v>
      </c>
      <c r="Q146" s="148">
        <f t="shared" si="64"/>
        <v>0.05</v>
      </c>
      <c r="R146" s="148">
        <f t="shared" si="65"/>
        <v>0.05</v>
      </c>
      <c r="S146" s="149">
        <f t="shared" si="54"/>
        <v>0</v>
      </c>
      <c r="T146" s="150">
        <f t="shared" si="55"/>
        <v>0</v>
      </c>
      <c r="U146" s="150">
        <f t="shared" si="56"/>
        <v>0</v>
      </c>
      <c r="V146" s="150">
        <f>IFERROR(INDEX(Työkonekanta!$J$3:$J$27,MATCH($A146,Työkonekanta!$A$3:$A$24,0),1)*$B146*ef_li_ion_akku/1000/1000/INDEX(Työkonekanta!$K$3:$K$27,MATCH($A146,Työkonekanta!$A$3:$A$24,0)),0)</f>
        <v>0</v>
      </c>
      <c r="W146" s="149">
        <f t="shared" si="47"/>
        <v>0</v>
      </c>
      <c r="X146" s="150">
        <f t="shared" si="48"/>
        <v>0</v>
      </c>
      <c r="Y146" s="151">
        <f t="shared" si="49"/>
        <v>0</v>
      </c>
      <c r="Z146" s="152">
        <f t="shared" si="66"/>
        <v>0</v>
      </c>
      <c r="AA146" s="179">
        <f t="shared" si="67"/>
        <v>0</v>
      </c>
      <c r="AB146" s="179">
        <f t="shared" si="68"/>
        <v>0</v>
      </c>
      <c r="AC146" s="180">
        <f t="shared" si="50"/>
        <v>0</v>
      </c>
      <c r="AD146" s="156">
        <f t="shared" si="69"/>
        <v>0</v>
      </c>
      <c r="AE146" s="146">
        <f>IFERROR(INDEX(Työkonekanta!$L$3:$L$30,MATCH($A146,Työkonekanta!$A$3:$A$30,0),1),0)*AF146</f>
        <v>0</v>
      </c>
      <c r="AF146" s="146">
        <f>IFERROR(INDEX(Työkonekanta!$N$3:$N$32,MATCH($A146,Työkonekanta!$A$3:$A$32,0),1),0)</f>
        <v>0</v>
      </c>
      <c r="AG146" s="332">
        <f>I146*INDEX(Muuttujat!$U$5:$U$21,MATCH($C146,Muuttujat!$N$5:$N$21,0),1)</f>
        <v>0</v>
      </c>
      <c r="AH146" s="332">
        <f>J146*INDEX(Muuttujat!$T$5:$T$21,MATCH($C146,Muuttujat!$N$5:$N$21,0),1)</f>
        <v>0</v>
      </c>
      <c r="AI146" s="332">
        <f t="shared" si="57"/>
        <v>0</v>
      </c>
      <c r="AJ146" s="332">
        <f t="shared" si="58"/>
        <v>0</v>
      </c>
      <c r="AK146" s="333">
        <f t="shared" si="70"/>
        <v>0</v>
      </c>
      <c r="AL146" s="332">
        <f t="shared" si="59"/>
        <v>0</v>
      </c>
      <c r="AM146" s="351"/>
      <c r="AN146" s="351"/>
    </row>
    <row r="147" spans="1:40">
      <c r="A147" s="139">
        <v>25</v>
      </c>
      <c r="B147" s="139">
        <f>IFERROR(IF((INDEX(Työkonekanta!$F$3:$F$27,MATCH('S3 Tiekartta'!$A147,Työkonekanta!$A$3:$A$24,0),1))&lt;0,0,(INDEX(Työkonekanta!$F$3:$F$27,MATCH('S3 Tiekartta'!$A147,Työkonekanta!$A$3:$A$24,0),1))),0)</f>
        <v>0</v>
      </c>
      <c r="C147" s="140">
        <v>2023</v>
      </c>
      <c r="D147" s="141" t="str">
        <f>IFERROR(INDEX(Työkonekanta!$D$3:$D$27,MATCH('S3 Tiekartta'!$A147,Työkonekanta!$A$3:$A$24,0),1),"undefined")</f>
        <v>undefined</v>
      </c>
      <c r="E147" s="145">
        <f>IFERROR(INDEX(Työkonekanta!$G$3:$G$27,MATCH($A147,Työkonekanta!$A$3:$A$24,0),1)*INDEX(Työkonekanta!$H$3:$H$27,MATCH($A147,Työkonekanta!$A$3:$A$24,0),1)*(1+s0b_kasvu*($C147-2019))*$B147,0)</f>
        <v>0</v>
      </c>
      <c r="F147" s="145">
        <f t="shared" si="51"/>
        <v>0</v>
      </c>
      <c r="G147" s="151">
        <f t="shared" si="60"/>
        <v>0</v>
      </c>
      <c r="H147" s="145">
        <f t="shared" si="61"/>
        <v>0</v>
      </c>
      <c r="I147" s="145">
        <f t="shared" si="52"/>
        <v>0</v>
      </c>
      <c r="J147" s="145">
        <f t="shared" si="53"/>
        <v>0</v>
      </c>
      <c r="K147" s="142" t="str">
        <f t="shared" si="62"/>
        <v>undefined</v>
      </c>
      <c r="L147" s="146">
        <f>IFERROR(INDEX(Työkonekanta!$I$3:$I$27,MATCH('S3 Tiekartta'!$A147,Työkonekanta!$A$3:$A$24,0),1)*(I147+J147)*f_adblue,0)</f>
        <v>0</v>
      </c>
      <c r="M147" s="146">
        <f t="shared" ref="M147:M210" si="71">IF($D147="sähkö",conv_kwh_mj*$E147,0)</f>
        <v>0</v>
      </c>
      <c r="N147" s="143" t="str">
        <f>IF(tuulisähkö_vuosi&lt;='S3 Tiekartta'!C147,"tuulisähkö",ostosähkö_nyt)</f>
        <v>jäännössähkö</v>
      </c>
      <c r="O147" s="147">
        <f>INDEX(Muuttujat!$J$5:$J$21,MATCH($C147,Muuttujat!$H$5:$H$21,0),1)</f>
        <v>66.51860537025</v>
      </c>
      <c r="P147" s="148">
        <f t="shared" si="63"/>
        <v>0.95</v>
      </c>
      <c r="Q147" s="148">
        <f t="shared" si="64"/>
        <v>0.05</v>
      </c>
      <c r="R147" s="148">
        <f t="shared" si="65"/>
        <v>0.05</v>
      </c>
      <c r="S147" s="149">
        <f t="shared" si="54"/>
        <v>0</v>
      </c>
      <c r="T147" s="150">
        <f t="shared" si="55"/>
        <v>0</v>
      </c>
      <c r="U147" s="150">
        <f t="shared" si="56"/>
        <v>0</v>
      </c>
      <c r="V147" s="150">
        <f>IFERROR(INDEX(Työkonekanta!$J$3:$J$27,MATCH($A147,Työkonekanta!$A$3:$A$24,0),1)*$B147*ef_li_ion_akku/1000/1000/INDEX(Työkonekanta!$K$3:$K$27,MATCH($A147,Työkonekanta!$A$3:$A$24,0)),0)</f>
        <v>0</v>
      </c>
      <c r="W147" s="149">
        <f t="shared" ref="W147:W210" si="72">($I147*IF($D147="pom",ef_v_co2_pom,0))/1000/1000</f>
        <v>0</v>
      </c>
      <c r="X147" s="150">
        <f t="shared" ref="X147:X210" si="73">($E147*(IF($D147="pom",ef_v_ch4_pom,0)*gwp100_ch4+IF($D147="pom",ef_v_n2o_pom,0)*gwp100_n2o))/1000/1000</f>
        <v>0</v>
      </c>
      <c r="Y147" s="151">
        <f t="shared" ref="Y147:Y210" si="74">$L147*ef_v_co2_adblue/1000/1000</f>
        <v>0</v>
      </c>
      <c r="Z147" s="152">
        <f t="shared" si="66"/>
        <v>0</v>
      </c>
      <c r="AA147" s="179">
        <f t="shared" si="67"/>
        <v>0</v>
      </c>
      <c r="AB147" s="179">
        <f t="shared" si="68"/>
        <v>0</v>
      </c>
      <c r="AC147" s="180">
        <f t="shared" ref="AC147:AC210" si="75">$Z147+$AA147</f>
        <v>0</v>
      </c>
      <c r="AD147" s="156">
        <f t="shared" si="69"/>
        <v>0</v>
      </c>
      <c r="AE147" s="146">
        <f>IFERROR(INDEX(Työkonekanta!$L$3:$L$30,MATCH($A147,Työkonekanta!$A$3:$A$30,0),1),0)*AF147</f>
        <v>0</v>
      </c>
      <c r="AF147" s="146">
        <f>IFERROR(INDEX(Työkonekanta!$N$3:$N$32,MATCH($A147,Työkonekanta!$A$3:$A$32,0),1),0)</f>
        <v>0</v>
      </c>
      <c r="AG147" s="332">
        <f>I147*INDEX(Muuttujat!$U$5:$U$21,MATCH($C147,Muuttujat!$N$5:$N$21,0),1)</f>
        <v>0</v>
      </c>
      <c r="AH147" s="332">
        <f>J147*INDEX(Muuttujat!$T$5:$T$21,MATCH($C147,Muuttujat!$N$5:$N$21,0),1)</f>
        <v>0</v>
      </c>
      <c r="AI147" s="332">
        <f t="shared" si="57"/>
        <v>0</v>
      </c>
      <c r="AJ147" s="332">
        <f t="shared" si="58"/>
        <v>0</v>
      </c>
      <c r="AK147" s="333">
        <f t="shared" si="70"/>
        <v>0</v>
      </c>
      <c r="AL147" s="332">
        <f t="shared" si="59"/>
        <v>0</v>
      </c>
      <c r="AM147" s="351"/>
      <c r="AN147" s="351"/>
    </row>
    <row r="148" spans="1:40">
      <c r="A148" s="139">
        <v>26</v>
      </c>
      <c r="B148" s="139">
        <f>IFERROR(IF((INDEX(Työkonekanta!$F$3:$F$27,MATCH('S3 Tiekartta'!$A148,Työkonekanta!$A$3:$A$24,0),1))&lt;0,0,(INDEX(Työkonekanta!$F$3:$F$27,MATCH('S3 Tiekartta'!$A148,Työkonekanta!$A$3:$A$24,0),1))),0)</f>
        <v>0</v>
      </c>
      <c r="C148" s="140">
        <v>2023</v>
      </c>
      <c r="D148" s="141" t="str">
        <f>IFERROR(INDEX(Työkonekanta!$D$3:$D$27,MATCH('S3 Tiekartta'!$A148,Työkonekanta!$A$3:$A$24,0),1),"undefined")</f>
        <v>undefined</v>
      </c>
      <c r="E148" s="145">
        <f>IFERROR(INDEX(Työkonekanta!$G$3:$G$27,MATCH($A148,Työkonekanta!$A$3:$A$24,0),1)*INDEX(Työkonekanta!$H$3:$H$27,MATCH($A148,Työkonekanta!$A$3:$A$24,0),1)*(1+s0b_kasvu*($C148-2019))*$B148,0)</f>
        <v>0</v>
      </c>
      <c r="F148" s="145">
        <f t="shared" si="51"/>
        <v>0</v>
      </c>
      <c r="G148" s="151">
        <f t="shared" si="60"/>
        <v>0</v>
      </c>
      <c r="H148" s="145">
        <f t="shared" si="61"/>
        <v>0</v>
      </c>
      <c r="I148" s="145">
        <f t="shared" si="52"/>
        <v>0</v>
      </c>
      <c r="J148" s="145">
        <f t="shared" si="53"/>
        <v>0</v>
      </c>
      <c r="K148" s="142" t="str">
        <f t="shared" si="62"/>
        <v>undefined</v>
      </c>
      <c r="L148" s="146">
        <f>IFERROR(INDEX(Työkonekanta!$I$3:$I$27,MATCH('S3 Tiekartta'!$A148,Työkonekanta!$A$3:$A$24,0),1)*(I148+J148)*f_adblue,0)</f>
        <v>0</v>
      </c>
      <c r="M148" s="146">
        <f t="shared" si="71"/>
        <v>0</v>
      </c>
      <c r="N148" s="143" t="str">
        <f>IF(tuulisähkö_vuosi&lt;='S3 Tiekartta'!C148,"tuulisähkö",ostosähkö_nyt)</f>
        <v>jäännössähkö</v>
      </c>
      <c r="O148" s="147">
        <f>INDEX(Muuttujat!$J$5:$J$21,MATCH($C148,Muuttujat!$H$5:$H$21,0),1)</f>
        <v>66.51860537025</v>
      </c>
      <c r="P148" s="148">
        <f t="shared" si="63"/>
        <v>0.95</v>
      </c>
      <c r="Q148" s="148">
        <f t="shared" si="64"/>
        <v>0.05</v>
      </c>
      <c r="R148" s="148">
        <f t="shared" si="65"/>
        <v>0.05</v>
      </c>
      <c r="S148" s="149">
        <f t="shared" si="54"/>
        <v>0</v>
      </c>
      <c r="T148" s="150">
        <f t="shared" si="55"/>
        <v>0</v>
      </c>
      <c r="U148" s="150">
        <f t="shared" si="56"/>
        <v>0</v>
      </c>
      <c r="V148" s="150">
        <f>IFERROR(INDEX(Työkonekanta!$J$3:$J$27,MATCH($A148,Työkonekanta!$A$3:$A$24,0),1)*$B148*ef_li_ion_akku/1000/1000/INDEX(Työkonekanta!$K$3:$K$27,MATCH($A148,Työkonekanta!$A$3:$A$24,0)),0)</f>
        <v>0</v>
      </c>
      <c r="W148" s="149">
        <f t="shared" si="72"/>
        <v>0</v>
      </c>
      <c r="X148" s="150">
        <f t="shared" si="73"/>
        <v>0</v>
      </c>
      <c r="Y148" s="151">
        <f t="shared" si="74"/>
        <v>0</v>
      </c>
      <c r="Z148" s="152">
        <f t="shared" si="66"/>
        <v>0</v>
      </c>
      <c r="AA148" s="179">
        <f t="shared" si="67"/>
        <v>0</v>
      </c>
      <c r="AB148" s="179">
        <f t="shared" si="68"/>
        <v>0</v>
      </c>
      <c r="AC148" s="180">
        <f t="shared" si="75"/>
        <v>0</v>
      </c>
      <c r="AD148" s="156">
        <f t="shared" si="69"/>
        <v>0</v>
      </c>
      <c r="AE148" s="146">
        <f>IFERROR(INDEX(Työkonekanta!$L$3:$L$30,MATCH($A148,Työkonekanta!$A$3:$A$30,0),1),0)*AF148</f>
        <v>0</v>
      </c>
      <c r="AF148" s="146">
        <f>IFERROR(INDEX(Työkonekanta!$N$3:$N$32,MATCH($A148,Työkonekanta!$A$3:$A$32,0),1),0)</f>
        <v>0</v>
      </c>
      <c r="AG148" s="332">
        <f>I148*INDEX(Muuttujat!$U$5:$U$21,MATCH($C148,Muuttujat!$N$5:$N$21,0),1)</f>
        <v>0</v>
      </c>
      <c r="AH148" s="332">
        <f>J148*INDEX(Muuttujat!$T$5:$T$21,MATCH($C148,Muuttujat!$N$5:$N$21,0),1)</f>
        <v>0</v>
      </c>
      <c r="AI148" s="332">
        <f t="shared" si="57"/>
        <v>0</v>
      </c>
      <c r="AJ148" s="332">
        <f t="shared" si="58"/>
        <v>0</v>
      </c>
      <c r="AK148" s="333">
        <f t="shared" si="70"/>
        <v>0</v>
      </c>
      <c r="AL148" s="332">
        <f t="shared" si="59"/>
        <v>0</v>
      </c>
      <c r="AM148" s="351"/>
      <c r="AN148" s="351"/>
    </row>
    <row r="149" spans="1:40">
      <c r="A149" s="139">
        <v>27</v>
      </c>
      <c r="B149" s="139">
        <f>IFERROR(IF((INDEX(Työkonekanta!$F$3:$F$27,MATCH('S3 Tiekartta'!$A149,Työkonekanta!$A$3:$A$24,0),1))&lt;0,0,(INDEX(Työkonekanta!$F$3:$F$27,MATCH('S3 Tiekartta'!$A149,Työkonekanta!$A$3:$A$24,0),1))),0)</f>
        <v>0</v>
      </c>
      <c r="C149" s="140">
        <v>2023</v>
      </c>
      <c r="D149" s="141" t="str">
        <f>IFERROR(INDEX(Työkonekanta!$D$3:$D$27,MATCH('S3 Tiekartta'!$A149,Työkonekanta!$A$3:$A$24,0),1),"undefined")</f>
        <v>undefined</v>
      </c>
      <c r="E149" s="145">
        <f>IFERROR(INDEX(Työkonekanta!$G$3:$G$27,MATCH($A149,Työkonekanta!$A$3:$A$24,0),1)*INDEX(Työkonekanta!$H$3:$H$27,MATCH($A149,Työkonekanta!$A$3:$A$24,0),1)*(1+s0b_kasvu*($C149-2019))*$B149,0)</f>
        <v>0</v>
      </c>
      <c r="F149" s="145">
        <f t="shared" si="51"/>
        <v>0</v>
      </c>
      <c r="G149" s="151">
        <f t="shared" si="60"/>
        <v>0</v>
      </c>
      <c r="H149" s="145">
        <f t="shared" si="61"/>
        <v>0</v>
      </c>
      <c r="I149" s="145">
        <f t="shared" si="52"/>
        <v>0</v>
      </c>
      <c r="J149" s="145">
        <f t="shared" si="53"/>
        <v>0</v>
      </c>
      <c r="K149" s="142" t="str">
        <f t="shared" si="62"/>
        <v>undefined</v>
      </c>
      <c r="L149" s="146">
        <f>IFERROR(INDEX(Työkonekanta!$I$3:$I$27,MATCH('S3 Tiekartta'!$A149,Työkonekanta!$A$3:$A$24,0),1)*(I149+J149)*f_adblue,0)</f>
        <v>0</v>
      </c>
      <c r="M149" s="146">
        <f t="shared" si="71"/>
        <v>0</v>
      </c>
      <c r="N149" s="143" t="str">
        <f>IF(tuulisähkö_vuosi&lt;='S3 Tiekartta'!C149,"tuulisähkö",ostosähkö_nyt)</f>
        <v>jäännössähkö</v>
      </c>
      <c r="O149" s="147">
        <f>INDEX(Muuttujat!$J$5:$J$21,MATCH($C149,Muuttujat!$H$5:$H$21,0),1)</f>
        <v>66.51860537025</v>
      </c>
      <c r="P149" s="148">
        <f t="shared" si="63"/>
        <v>0.95</v>
      </c>
      <c r="Q149" s="148">
        <f t="shared" si="64"/>
        <v>0.05</v>
      </c>
      <c r="R149" s="148">
        <f t="shared" si="65"/>
        <v>0.05</v>
      </c>
      <c r="S149" s="149">
        <f t="shared" si="54"/>
        <v>0</v>
      </c>
      <c r="T149" s="150">
        <f t="shared" si="55"/>
        <v>0</v>
      </c>
      <c r="U149" s="150">
        <f t="shared" si="56"/>
        <v>0</v>
      </c>
      <c r="V149" s="150">
        <f>IFERROR(INDEX(Työkonekanta!$J$3:$J$27,MATCH($A149,Työkonekanta!$A$3:$A$24,0),1)*$B149*ef_li_ion_akku/1000/1000/INDEX(Työkonekanta!$K$3:$K$27,MATCH($A149,Työkonekanta!$A$3:$A$24,0)),0)</f>
        <v>0</v>
      </c>
      <c r="W149" s="149">
        <f t="shared" si="72"/>
        <v>0</v>
      </c>
      <c r="X149" s="150">
        <f t="shared" si="73"/>
        <v>0</v>
      </c>
      <c r="Y149" s="151">
        <f t="shared" si="74"/>
        <v>0</v>
      </c>
      <c r="Z149" s="152">
        <f t="shared" si="66"/>
        <v>0</v>
      </c>
      <c r="AA149" s="179">
        <f t="shared" si="67"/>
        <v>0</v>
      </c>
      <c r="AB149" s="179">
        <f t="shared" si="68"/>
        <v>0</v>
      </c>
      <c r="AC149" s="180">
        <f t="shared" si="75"/>
        <v>0</v>
      </c>
      <c r="AD149" s="156">
        <f t="shared" si="69"/>
        <v>0</v>
      </c>
      <c r="AE149" s="146">
        <f>IFERROR(INDEX(Työkonekanta!$L$3:$L$30,MATCH($A149,Työkonekanta!$A$3:$A$30,0),1),0)*AF149</f>
        <v>0</v>
      </c>
      <c r="AF149" s="146">
        <f>IFERROR(INDEX(Työkonekanta!$N$3:$N$32,MATCH($A149,Työkonekanta!$A$3:$A$32,0),1),0)</f>
        <v>0</v>
      </c>
      <c r="AG149" s="332">
        <f>I149*INDEX(Muuttujat!$U$5:$U$21,MATCH($C149,Muuttujat!$N$5:$N$21,0),1)</f>
        <v>0</v>
      </c>
      <c r="AH149" s="332">
        <f>J149*INDEX(Muuttujat!$T$5:$T$21,MATCH($C149,Muuttujat!$N$5:$N$21,0),1)</f>
        <v>0</v>
      </c>
      <c r="AI149" s="332">
        <f t="shared" si="57"/>
        <v>0</v>
      </c>
      <c r="AJ149" s="332">
        <f t="shared" si="58"/>
        <v>0</v>
      </c>
      <c r="AK149" s="333">
        <f t="shared" si="70"/>
        <v>0</v>
      </c>
      <c r="AL149" s="332">
        <f t="shared" si="59"/>
        <v>0</v>
      </c>
      <c r="AM149" s="351"/>
      <c r="AN149" s="351"/>
    </row>
    <row r="150" spans="1:40">
      <c r="A150" s="139">
        <v>28</v>
      </c>
      <c r="B150" s="139">
        <f>IFERROR(IF((INDEX(Työkonekanta!$F$3:$F$27,MATCH('S3 Tiekartta'!$A150,Työkonekanta!$A$3:$A$24,0),1))&lt;0,0,(INDEX(Työkonekanta!$F$3:$F$27,MATCH('S3 Tiekartta'!$A150,Työkonekanta!$A$3:$A$24,0),1))),0)</f>
        <v>0</v>
      </c>
      <c r="C150" s="140">
        <v>2023</v>
      </c>
      <c r="D150" s="141" t="str">
        <f>IFERROR(INDEX(Työkonekanta!$D$3:$D$27,MATCH('S3 Tiekartta'!$A150,Työkonekanta!$A$3:$A$24,0),1),"undefined")</f>
        <v>undefined</v>
      </c>
      <c r="E150" s="145">
        <f>IFERROR(INDEX(Työkonekanta!$G$3:$G$27,MATCH($A150,Työkonekanta!$A$3:$A$24,0),1)*INDEX(Työkonekanta!$H$3:$H$27,MATCH($A150,Työkonekanta!$A$3:$A$24,0),1)*(1+s0b_kasvu*($C150-2019))*$B150,0)</f>
        <v>0</v>
      </c>
      <c r="F150" s="145">
        <f t="shared" si="51"/>
        <v>0</v>
      </c>
      <c r="G150" s="151">
        <f t="shared" si="60"/>
        <v>0</v>
      </c>
      <c r="H150" s="145">
        <f t="shared" si="61"/>
        <v>0</v>
      </c>
      <c r="I150" s="145">
        <f t="shared" si="52"/>
        <v>0</v>
      </c>
      <c r="J150" s="145">
        <f t="shared" si="53"/>
        <v>0</v>
      </c>
      <c r="K150" s="142" t="str">
        <f t="shared" si="62"/>
        <v>undefined</v>
      </c>
      <c r="L150" s="146">
        <f>IFERROR(INDEX(Työkonekanta!$I$3:$I$27,MATCH('S3 Tiekartta'!$A150,Työkonekanta!$A$3:$A$24,0),1)*(I150+J150)*f_adblue,0)</f>
        <v>0</v>
      </c>
      <c r="M150" s="146">
        <f t="shared" si="71"/>
        <v>0</v>
      </c>
      <c r="N150" s="143" t="str">
        <f>IF(tuulisähkö_vuosi&lt;='S3 Tiekartta'!C150,"tuulisähkö",ostosähkö_nyt)</f>
        <v>jäännössähkö</v>
      </c>
      <c r="O150" s="147">
        <f>INDEX(Muuttujat!$J$5:$J$21,MATCH($C150,Muuttujat!$H$5:$H$21,0),1)</f>
        <v>66.51860537025</v>
      </c>
      <c r="P150" s="148">
        <f t="shared" si="63"/>
        <v>0.95</v>
      </c>
      <c r="Q150" s="148">
        <f t="shared" si="64"/>
        <v>0.05</v>
      </c>
      <c r="R150" s="148">
        <f t="shared" si="65"/>
        <v>0.05</v>
      </c>
      <c r="S150" s="149">
        <f t="shared" si="54"/>
        <v>0</v>
      </c>
      <c r="T150" s="150">
        <f t="shared" si="55"/>
        <v>0</v>
      </c>
      <c r="U150" s="150">
        <f t="shared" si="56"/>
        <v>0</v>
      </c>
      <c r="V150" s="150">
        <f>IFERROR(INDEX(Työkonekanta!$J$3:$J$27,MATCH($A150,Työkonekanta!$A$3:$A$24,0),1)*$B150*ef_li_ion_akku/1000/1000/INDEX(Työkonekanta!$K$3:$K$27,MATCH($A150,Työkonekanta!$A$3:$A$24,0)),0)</f>
        <v>0</v>
      </c>
      <c r="W150" s="149">
        <f t="shared" si="72"/>
        <v>0</v>
      </c>
      <c r="X150" s="150">
        <f t="shared" si="73"/>
        <v>0</v>
      </c>
      <c r="Y150" s="151">
        <f t="shared" si="74"/>
        <v>0</v>
      </c>
      <c r="Z150" s="152">
        <f t="shared" si="66"/>
        <v>0</v>
      </c>
      <c r="AA150" s="179">
        <f t="shared" si="67"/>
        <v>0</v>
      </c>
      <c r="AB150" s="179">
        <f t="shared" si="68"/>
        <v>0</v>
      </c>
      <c r="AC150" s="180">
        <f t="shared" si="75"/>
        <v>0</v>
      </c>
      <c r="AD150" s="156">
        <f t="shared" si="69"/>
        <v>0</v>
      </c>
      <c r="AE150" s="146">
        <f>IFERROR(INDEX(Työkonekanta!$L$3:$L$30,MATCH($A150,Työkonekanta!$A$3:$A$30,0),1),0)*AF150</f>
        <v>0</v>
      </c>
      <c r="AF150" s="146">
        <f>IFERROR(INDEX(Työkonekanta!$N$3:$N$32,MATCH($A150,Työkonekanta!$A$3:$A$32,0),1),0)</f>
        <v>0</v>
      </c>
      <c r="AG150" s="332">
        <f>I150*INDEX(Muuttujat!$U$5:$U$21,MATCH($C150,Muuttujat!$N$5:$N$21,0),1)</f>
        <v>0</v>
      </c>
      <c r="AH150" s="332">
        <f>J150*INDEX(Muuttujat!$T$5:$T$21,MATCH($C150,Muuttujat!$N$5:$N$21,0),1)</f>
        <v>0</v>
      </c>
      <c r="AI150" s="332">
        <f t="shared" si="57"/>
        <v>0</v>
      </c>
      <c r="AJ150" s="332">
        <f t="shared" si="58"/>
        <v>0</v>
      </c>
      <c r="AK150" s="333">
        <f t="shared" si="70"/>
        <v>0</v>
      </c>
      <c r="AL150" s="332">
        <f t="shared" si="59"/>
        <v>0</v>
      </c>
      <c r="AM150" s="351"/>
      <c r="AN150" s="351"/>
    </row>
    <row r="151" spans="1:40">
      <c r="A151" s="139">
        <v>29</v>
      </c>
      <c r="B151" s="139">
        <f>IFERROR(IF((INDEX(Työkonekanta!$F$3:$F$27,MATCH('S3 Tiekartta'!$A151,Työkonekanta!$A$3:$A$24,0),1))&lt;0,0,(INDEX(Työkonekanta!$F$3:$F$27,MATCH('S3 Tiekartta'!$A151,Työkonekanta!$A$3:$A$24,0),1))),0)</f>
        <v>0</v>
      </c>
      <c r="C151" s="140">
        <v>2023</v>
      </c>
      <c r="D151" s="141" t="str">
        <f>IFERROR(INDEX(Työkonekanta!$D$3:$D$27,MATCH('S3 Tiekartta'!$A151,Työkonekanta!$A$3:$A$24,0),1),"undefined")</f>
        <v>undefined</v>
      </c>
      <c r="E151" s="145">
        <f>IFERROR(INDEX(Työkonekanta!$G$3:$G$27,MATCH($A151,Työkonekanta!$A$3:$A$24,0),1)*INDEX(Työkonekanta!$H$3:$H$27,MATCH($A151,Työkonekanta!$A$3:$A$24,0),1)*(1+s0b_kasvu*($C151-2019))*$B151,0)</f>
        <v>0</v>
      </c>
      <c r="F151" s="145">
        <f t="shared" si="51"/>
        <v>0</v>
      </c>
      <c r="G151" s="151">
        <f t="shared" si="60"/>
        <v>0</v>
      </c>
      <c r="H151" s="145">
        <f t="shared" si="61"/>
        <v>0</v>
      </c>
      <c r="I151" s="145">
        <f t="shared" si="52"/>
        <v>0</v>
      </c>
      <c r="J151" s="145">
        <f t="shared" si="53"/>
        <v>0</v>
      </c>
      <c r="K151" s="142" t="str">
        <f t="shared" si="62"/>
        <v>undefined</v>
      </c>
      <c r="L151" s="146">
        <f>IFERROR(INDEX(Työkonekanta!$I$3:$I$27,MATCH('S3 Tiekartta'!$A151,Työkonekanta!$A$3:$A$24,0),1)*(I151+J151)*f_adblue,0)</f>
        <v>0</v>
      </c>
      <c r="M151" s="146">
        <f t="shared" si="71"/>
        <v>0</v>
      </c>
      <c r="N151" s="143" t="str">
        <f>IF(tuulisähkö_vuosi&lt;='S3 Tiekartta'!C151,"tuulisähkö",ostosähkö_nyt)</f>
        <v>jäännössähkö</v>
      </c>
      <c r="O151" s="147">
        <f>INDEX(Muuttujat!$J$5:$J$21,MATCH($C151,Muuttujat!$H$5:$H$21,0),1)</f>
        <v>66.51860537025</v>
      </c>
      <c r="P151" s="148">
        <f t="shared" si="63"/>
        <v>0.95</v>
      </c>
      <c r="Q151" s="148">
        <f t="shared" si="64"/>
        <v>0.05</v>
      </c>
      <c r="R151" s="148">
        <f t="shared" si="65"/>
        <v>0.05</v>
      </c>
      <c r="S151" s="149">
        <f t="shared" si="54"/>
        <v>0</v>
      </c>
      <c r="T151" s="150">
        <f t="shared" si="55"/>
        <v>0</v>
      </c>
      <c r="U151" s="150">
        <f t="shared" si="56"/>
        <v>0</v>
      </c>
      <c r="V151" s="150">
        <f>IFERROR(INDEX(Työkonekanta!$J$3:$J$27,MATCH($A151,Työkonekanta!$A$3:$A$24,0),1)*$B151*ef_li_ion_akku/1000/1000/INDEX(Työkonekanta!$K$3:$K$27,MATCH($A151,Työkonekanta!$A$3:$A$24,0)),0)</f>
        <v>0</v>
      </c>
      <c r="W151" s="149">
        <f t="shared" si="72"/>
        <v>0</v>
      </c>
      <c r="X151" s="150">
        <f t="shared" si="73"/>
        <v>0</v>
      </c>
      <c r="Y151" s="151">
        <f t="shared" si="74"/>
        <v>0</v>
      </c>
      <c r="Z151" s="152">
        <f t="shared" si="66"/>
        <v>0</v>
      </c>
      <c r="AA151" s="179">
        <f t="shared" si="67"/>
        <v>0</v>
      </c>
      <c r="AB151" s="179">
        <f t="shared" si="68"/>
        <v>0</v>
      </c>
      <c r="AC151" s="180">
        <f t="shared" si="75"/>
        <v>0</v>
      </c>
      <c r="AD151" s="156">
        <f t="shared" si="69"/>
        <v>0</v>
      </c>
      <c r="AE151" s="146">
        <f>IFERROR(INDEX(Työkonekanta!$L$3:$L$30,MATCH($A151,Työkonekanta!$A$3:$A$30,0),1),0)*AF151</f>
        <v>0</v>
      </c>
      <c r="AF151" s="146">
        <f>IFERROR(INDEX(Työkonekanta!$N$3:$N$32,MATCH($A151,Työkonekanta!$A$3:$A$32,0),1),0)</f>
        <v>0</v>
      </c>
      <c r="AG151" s="332">
        <f>I151*INDEX(Muuttujat!$U$5:$U$21,MATCH($C151,Muuttujat!$N$5:$N$21,0),1)</f>
        <v>0</v>
      </c>
      <c r="AH151" s="332">
        <f>J151*INDEX(Muuttujat!$T$5:$T$21,MATCH($C151,Muuttujat!$N$5:$N$21,0),1)</f>
        <v>0</v>
      </c>
      <c r="AI151" s="332">
        <f t="shared" si="57"/>
        <v>0</v>
      </c>
      <c r="AJ151" s="332">
        <f t="shared" si="58"/>
        <v>0</v>
      </c>
      <c r="AK151" s="333">
        <f t="shared" si="70"/>
        <v>0</v>
      </c>
      <c r="AL151" s="332">
        <f t="shared" si="59"/>
        <v>0</v>
      </c>
      <c r="AM151" s="351"/>
      <c r="AN151" s="351"/>
    </row>
    <row r="152" spans="1:40">
      <c r="A152" s="139">
        <v>30</v>
      </c>
      <c r="B152" s="139">
        <f>IFERROR(IF((INDEX(Työkonekanta!$F$3:$F$27,MATCH('S3 Tiekartta'!$A152,Työkonekanta!$A$3:$A$24,0),1))&lt;0,0,(INDEX(Työkonekanta!$F$3:$F$27,MATCH('S3 Tiekartta'!$A152,Työkonekanta!$A$3:$A$24,0),1))),0)</f>
        <v>0</v>
      </c>
      <c r="C152" s="140">
        <v>2023</v>
      </c>
      <c r="D152" s="141" t="str">
        <f>IFERROR(INDEX(Työkonekanta!$D$3:$D$27,MATCH('S3 Tiekartta'!$A152,Työkonekanta!$A$3:$A$24,0),1),"undefined")</f>
        <v>undefined</v>
      </c>
      <c r="E152" s="145">
        <f>IFERROR(INDEX(Työkonekanta!$G$3:$G$27,MATCH($A152,Työkonekanta!$A$3:$A$24,0),1)*INDEX(Työkonekanta!$H$3:$H$27,MATCH($A152,Työkonekanta!$A$3:$A$24,0),1)*(1+s0b_kasvu*($C152-2019))*$B152,0)</f>
        <v>0</v>
      </c>
      <c r="F152" s="145">
        <f t="shared" si="51"/>
        <v>0</v>
      </c>
      <c r="G152" s="151">
        <f t="shared" si="60"/>
        <v>0</v>
      </c>
      <c r="H152" s="145">
        <f t="shared" si="61"/>
        <v>0</v>
      </c>
      <c r="I152" s="145">
        <f t="shared" si="52"/>
        <v>0</v>
      </c>
      <c r="J152" s="145">
        <f t="shared" si="53"/>
        <v>0</v>
      </c>
      <c r="K152" s="142" t="str">
        <f t="shared" si="62"/>
        <v>undefined</v>
      </c>
      <c r="L152" s="146">
        <f>IFERROR(INDEX(Työkonekanta!$I$3:$I$27,MATCH('S3 Tiekartta'!$A152,Työkonekanta!$A$3:$A$24,0),1)*(I152+J152)*f_adblue,0)</f>
        <v>0</v>
      </c>
      <c r="M152" s="146">
        <f t="shared" si="71"/>
        <v>0</v>
      </c>
      <c r="N152" s="143" t="str">
        <f>IF(tuulisähkö_vuosi&lt;='S3 Tiekartta'!C152,"tuulisähkö",ostosähkö_nyt)</f>
        <v>jäännössähkö</v>
      </c>
      <c r="O152" s="147">
        <f>INDEX(Muuttujat!$J$5:$J$21,MATCH($C152,Muuttujat!$H$5:$H$21,0),1)</f>
        <v>66.51860537025</v>
      </c>
      <c r="P152" s="148">
        <f t="shared" si="63"/>
        <v>0.95</v>
      </c>
      <c r="Q152" s="148">
        <f t="shared" si="64"/>
        <v>0.05</v>
      </c>
      <c r="R152" s="148">
        <f t="shared" si="65"/>
        <v>0.05</v>
      </c>
      <c r="S152" s="149">
        <f t="shared" si="54"/>
        <v>0</v>
      </c>
      <c r="T152" s="150">
        <f t="shared" si="55"/>
        <v>0</v>
      </c>
      <c r="U152" s="150">
        <f t="shared" si="56"/>
        <v>0</v>
      </c>
      <c r="V152" s="150">
        <f>IFERROR(INDEX(Työkonekanta!$J$3:$J$27,MATCH($A152,Työkonekanta!$A$3:$A$24,0),1)*$B152*ef_li_ion_akku/1000/1000/INDEX(Työkonekanta!$K$3:$K$27,MATCH($A152,Työkonekanta!$A$3:$A$24,0)),0)</f>
        <v>0</v>
      </c>
      <c r="W152" s="149">
        <f t="shared" si="72"/>
        <v>0</v>
      </c>
      <c r="X152" s="150">
        <f t="shared" si="73"/>
        <v>0</v>
      </c>
      <c r="Y152" s="151">
        <f t="shared" si="74"/>
        <v>0</v>
      </c>
      <c r="Z152" s="152">
        <f t="shared" si="66"/>
        <v>0</v>
      </c>
      <c r="AA152" s="179">
        <f t="shared" si="67"/>
        <v>0</v>
      </c>
      <c r="AB152" s="179">
        <f t="shared" si="68"/>
        <v>0</v>
      </c>
      <c r="AC152" s="180">
        <f t="shared" si="75"/>
        <v>0</v>
      </c>
      <c r="AD152" s="156">
        <f t="shared" si="69"/>
        <v>0</v>
      </c>
      <c r="AE152" s="146">
        <f>IFERROR(INDEX(Työkonekanta!$L$3:$L$30,MATCH($A152,Työkonekanta!$A$3:$A$30,0),1),0)*AF152</f>
        <v>0</v>
      </c>
      <c r="AF152" s="146">
        <f>IFERROR(INDEX(Työkonekanta!$N$3:$N$32,MATCH($A152,Työkonekanta!$A$3:$A$32,0),1),0)</f>
        <v>0</v>
      </c>
      <c r="AG152" s="332">
        <f>I152*INDEX(Muuttujat!$U$5:$U$21,MATCH($C152,Muuttujat!$N$5:$N$21,0),1)</f>
        <v>0</v>
      </c>
      <c r="AH152" s="332">
        <f>J152*INDEX(Muuttujat!$T$5:$T$21,MATCH($C152,Muuttujat!$N$5:$N$21,0),1)</f>
        <v>0</v>
      </c>
      <c r="AI152" s="332">
        <f t="shared" si="57"/>
        <v>0</v>
      </c>
      <c r="AJ152" s="332">
        <f t="shared" si="58"/>
        <v>0</v>
      </c>
      <c r="AK152" s="333">
        <f t="shared" si="70"/>
        <v>0</v>
      </c>
      <c r="AL152" s="332">
        <f t="shared" si="59"/>
        <v>0</v>
      </c>
      <c r="AM152" s="351"/>
      <c r="AN152" s="351"/>
    </row>
    <row r="153" spans="1:40">
      <c r="A153" s="139">
        <v>1</v>
      </c>
      <c r="B153" s="139">
        <f>IFERROR(IF((INDEX(Työkonekanta!$F$3:$F$27,MATCH('S3 Tiekartta'!$A153,Työkonekanta!$A$3:$A$24,0),1))&lt;0,0,(INDEX(Työkonekanta!$F$3:$F$27,MATCH('S3 Tiekartta'!$A153,Työkonekanta!$A$3:$A$24,0),1))),0)</f>
        <v>1</v>
      </c>
      <c r="C153" s="140">
        <v>2024</v>
      </c>
      <c r="D153" s="141" t="str">
        <f>IFERROR(INDEX(Työkonekanta!$D$3:$D$27,MATCH('S3 Tiekartta'!$A153,Työkonekanta!$A$3:$A$24,0),1),"undefined")</f>
        <v>pom</v>
      </c>
      <c r="E153" s="145">
        <f>IFERROR(INDEX(Työkonekanta!$G$3:$G$27,MATCH($A153,Työkonekanta!$A$3:$A$24,0),1)*INDEX(Työkonekanta!$H$3:$H$27,MATCH($A153,Työkonekanta!$A$3:$A$24,0),1)*(1+s0b_kasvu*($C153-2019))*$B153,0)</f>
        <v>10500</v>
      </c>
      <c r="F153" s="145">
        <f t="shared" si="51"/>
        <v>376950</v>
      </c>
      <c r="G153" s="151">
        <f t="shared" si="60"/>
        <v>354333</v>
      </c>
      <c r="H153" s="145">
        <f t="shared" si="61"/>
        <v>22617</v>
      </c>
      <c r="I153" s="145">
        <f t="shared" si="52"/>
        <v>9870</v>
      </c>
      <c r="J153" s="145">
        <f t="shared" si="53"/>
        <v>659.38775510204084</v>
      </c>
      <c r="K153" s="142" t="str">
        <f t="shared" si="62"/>
        <v>l</v>
      </c>
      <c r="L153" s="146">
        <f>IFERROR(INDEX(Työkonekanta!$I$3:$I$27,MATCH('S3 Tiekartta'!$A153,Työkonekanta!$A$3:$A$24,0),1)*(I153+J153)*f_adblue,0)</f>
        <v>526.46938775510205</v>
      </c>
      <c r="M153" s="146">
        <f t="shared" si="71"/>
        <v>0</v>
      </c>
      <c r="N153" s="143" t="str">
        <f>IF(tuulisähkö_vuosi&lt;='S3 Tiekartta'!C153,"tuulisähkö",ostosähkö_nyt)</f>
        <v>jäännössähkö</v>
      </c>
      <c r="O153" s="147">
        <f>INDEX(Muuttujat!$J$5:$J$21,MATCH($C153,Muuttujat!$H$5:$H$21,0),1)</f>
        <v>65.853419316547502</v>
      </c>
      <c r="P153" s="148">
        <f t="shared" si="63"/>
        <v>0.94</v>
      </c>
      <c r="Q153" s="148">
        <f t="shared" si="64"/>
        <v>0.06</v>
      </c>
      <c r="R153" s="148">
        <f t="shared" si="65"/>
        <v>0.06</v>
      </c>
      <c r="S153" s="149">
        <f t="shared" si="54"/>
        <v>6.6968936999999995</v>
      </c>
      <c r="T153" s="150">
        <f t="shared" si="55"/>
        <v>1.4113008</v>
      </c>
      <c r="U153" s="150">
        <f t="shared" si="56"/>
        <v>0</v>
      </c>
      <c r="V153" s="150">
        <f>IFERROR(INDEX(Työkonekanta!$J$3:$J$27,MATCH($A153,Työkonekanta!$A$3:$A$24,0),1)*$B153*ef_li_ion_akku/1000/1000/INDEX(Työkonekanta!$K$3:$K$27,MATCH($A153,Työkonekanta!$A$3:$A$24,0)),0)</f>
        <v>0</v>
      </c>
      <c r="W153" s="149">
        <f t="shared" si="72"/>
        <v>26.152700163281999</v>
      </c>
      <c r="X153" s="150">
        <f t="shared" si="73"/>
        <v>0.33363294300000002</v>
      </c>
      <c r="Y153" s="151">
        <f t="shared" si="74"/>
        <v>0.13688204081632654</v>
      </c>
      <c r="Z153" s="152">
        <f t="shared" si="66"/>
        <v>8.1081944999999997</v>
      </c>
      <c r="AA153" s="179">
        <f t="shared" si="67"/>
        <v>26.289582204098327</v>
      </c>
      <c r="AB153" s="179">
        <f t="shared" si="68"/>
        <v>26.623215147098328</v>
      </c>
      <c r="AC153" s="180">
        <f t="shared" si="75"/>
        <v>34.397776704098327</v>
      </c>
      <c r="AD153" s="156">
        <f t="shared" si="69"/>
        <v>34.731409647098332</v>
      </c>
      <c r="AE153" s="146">
        <f>IFERROR(INDEX(Työkonekanta!$L$3:$L$30,MATCH($A153,Työkonekanta!$A$3:$A$30,0),1),0)*AF153</f>
        <v>500000</v>
      </c>
      <c r="AF153" s="146">
        <f>IFERROR(INDEX(Työkonekanta!$N$3:$N$32,MATCH($A153,Työkonekanta!$A$3:$A$32,0),1),0)</f>
        <v>1</v>
      </c>
      <c r="AG153" s="332">
        <f>I153*INDEX(Muuttujat!$U$5:$U$21,MATCH($C153,Muuttujat!$N$5:$N$21,0),1)</f>
        <v>10067.4</v>
      </c>
      <c r="AH153" s="332">
        <f>J153*INDEX(Muuttujat!$T$5:$T$21,MATCH($C153,Muuttujat!$N$5:$N$21,0),1)</f>
        <v>936.33061224489791</v>
      </c>
      <c r="AI153" s="332">
        <f t="shared" si="57"/>
        <v>263.23469387755102</v>
      </c>
      <c r="AJ153" s="332">
        <f t="shared" si="58"/>
        <v>0</v>
      </c>
      <c r="AK153" s="333">
        <f t="shared" si="70"/>
        <v>11266.965306122449</v>
      </c>
      <c r="AL153" s="332">
        <f t="shared" si="59"/>
        <v>11266.965306122449</v>
      </c>
      <c r="AM153" s="351"/>
      <c r="AN153" s="351"/>
    </row>
    <row r="154" spans="1:40">
      <c r="A154" s="139">
        <v>2</v>
      </c>
      <c r="B154" s="139">
        <f>IFERROR(IF((INDEX(Työkonekanta!$F$3:$F$27,MATCH('S3 Tiekartta'!$A154,Työkonekanta!$A$3:$A$24,0),1))&lt;0,0,(INDEX(Työkonekanta!$F$3:$F$27,MATCH('S3 Tiekartta'!$A154,Työkonekanta!$A$3:$A$24,0),1))),0)</f>
        <v>1</v>
      </c>
      <c r="C154" s="140">
        <v>2024</v>
      </c>
      <c r="D154" s="141" t="str">
        <f>IFERROR(INDEX(Työkonekanta!$D$3:$D$27,MATCH('S3 Tiekartta'!$A154,Työkonekanta!$A$3:$A$24,0),1),"undefined")</f>
        <v>pom</v>
      </c>
      <c r="E154" s="145">
        <f>IFERROR(INDEX(Työkonekanta!$G$3:$G$27,MATCH($A154,Työkonekanta!$A$3:$A$24,0),1)*INDEX(Työkonekanta!$H$3:$H$27,MATCH($A154,Työkonekanta!$A$3:$A$24,0),1)*(1+s0b_kasvu*($C154-2019))*$B154,0)</f>
        <v>10500</v>
      </c>
      <c r="F154" s="145">
        <f t="shared" si="51"/>
        <v>376950</v>
      </c>
      <c r="G154" s="151">
        <f t="shared" si="60"/>
        <v>354333</v>
      </c>
      <c r="H154" s="145">
        <f t="shared" si="61"/>
        <v>22617</v>
      </c>
      <c r="I154" s="145">
        <f t="shared" si="52"/>
        <v>9870</v>
      </c>
      <c r="J154" s="145">
        <f t="shared" si="53"/>
        <v>659.38775510204084</v>
      </c>
      <c r="K154" s="142" t="str">
        <f t="shared" si="62"/>
        <v>l</v>
      </c>
      <c r="L154" s="146">
        <f>IFERROR(INDEX(Työkonekanta!$I$3:$I$27,MATCH('S3 Tiekartta'!$A154,Työkonekanta!$A$3:$A$24,0),1)*(I154+J154)*f_adblue,0)</f>
        <v>526.46938775510205</v>
      </c>
      <c r="M154" s="146">
        <f t="shared" si="71"/>
        <v>0</v>
      </c>
      <c r="N154" s="143" t="str">
        <f>IF(tuulisähkö_vuosi&lt;='S3 Tiekartta'!C154,"tuulisähkö",ostosähkö_nyt)</f>
        <v>jäännössähkö</v>
      </c>
      <c r="O154" s="147">
        <f>INDEX(Muuttujat!$J$5:$J$21,MATCH($C154,Muuttujat!$H$5:$H$21,0),1)</f>
        <v>65.853419316547502</v>
      </c>
      <c r="P154" s="148">
        <f t="shared" si="63"/>
        <v>0.94</v>
      </c>
      <c r="Q154" s="148">
        <f t="shared" si="64"/>
        <v>0.06</v>
      </c>
      <c r="R154" s="148">
        <f t="shared" si="65"/>
        <v>0.06</v>
      </c>
      <c r="S154" s="149">
        <f t="shared" si="54"/>
        <v>6.6968936999999995</v>
      </c>
      <c r="T154" s="150">
        <f t="shared" si="55"/>
        <v>1.4113008</v>
      </c>
      <c r="U154" s="150">
        <f t="shared" si="56"/>
        <v>0</v>
      </c>
      <c r="V154" s="150">
        <f>IFERROR(INDEX(Työkonekanta!$J$3:$J$27,MATCH($A154,Työkonekanta!$A$3:$A$24,0),1)*$B154*ef_li_ion_akku/1000/1000/INDEX(Työkonekanta!$K$3:$K$27,MATCH($A154,Työkonekanta!$A$3:$A$24,0)),0)</f>
        <v>0</v>
      </c>
      <c r="W154" s="149">
        <f t="shared" si="72"/>
        <v>26.152700163281999</v>
      </c>
      <c r="X154" s="150">
        <f t="shared" si="73"/>
        <v>0.33363294300000002</v>
      </c>
      <c r="Y154" s="151">
        <f t="shared" si="74"/>
        <v>0.13688204081632654</v>
      </c>
      <c r="Z154" s="152">
        <f t="shared" si="66"/>
        <v>8.1081944999999997</v>
      </c>
      <c r="AA154" s="179">
        <f t="shared" si="67"/>
        <v>26.289582204098327</v>
      </c>
      <c r="AB154" s="179">
        <f t="shared" si="68"/>
        <v>26.623215147098328</v>
      </c>
      <c r="AC154" s="180">
        <f t="shared" si="75"/>
        <v>34.397776704098327</v>
      </c>
      <c r="AD154" s="156">
        <f t="shared" si="69"/>
        <v>34.731409647098332</v>
      </c>
      <c r="AE154" s="146">
        <f>IFERROR(INDEX(Työkonekanta!$L$3:$L$30,MATCH($A154,Työkonekanta!$A$3:$A$30,0),1),0)*AF154</f>
        <v>500000</v>
      </c>
      <c r="AF154" s="146">
        <f>IFERROR(INDEX(Työkonekanta!$N$3:$N$32,MATCH($A154,Työkonekanta!$A$3:$A$32,0),1),0)</f>
        <v>1</v>
      </c>
      <c r="AG154" s="332">
        <f>I154*INDEX(Muuttujat!$U$5:$U$21,MATCH($C154,Muuttujat!$N$5:$N$21,0),1)</f>
        <v>10067.4</v>
      </c>
      <c r="AH154" s="332">
        <f>J154*INDEX(Muuttujat!$T$5:$T$21,MATCH($C154,Muuttujat!$N$5:$N$21,0),1)</f>
        <v>936.33061224489791</v>
      </c>
      <c r="AI154" s="332">
        <f t="shared" si="57"/>
        <v>263.23469387755102</v>
      </c>
      <c r="AJ154" s="332">
        <f t="shared" si="58"/>
        <v>0</v>
      </c>
      <c r="AK154" s="333">
        <f t="shared" si="70"/>
        <v>11266.965306122449</v>
      </c>
      <c r="AL154" s="332">
        <f t="shared" si="59"/>
        <v>11266.965306122449</v>
      </c>
      <c r="AM154" s="351"/>
      <c r="AN154" s="351"/>
    </row>
    <row r="155" spans="1:40">
      <c r="A155" s="139">
        <v>3</v>
      </c>
      <c r="B155" s="139">
        <f>IFERROR(IF((INDEX(Työkonekanta!$F$3:$F$27,MATCH('S3 Tiekartta'!$A155,Työkonekanta!$A$3:$A$24,0),1))&lt;0,0,(INDEX(Työkonekanta!$F$3:$F$27,MATCH('S3 Tiekartta'!$A155,Työkonekanta!$A$3:$A$24,0),1))),0)</f>
        <v>1</v>
      </c>
      <c r="C155" s="140">
        <v>2024</v>
      </c>
      <c r="D155" s="141" t="str">
        <f>IFERROR(INDEX(Työkonekanta!$D$3:$D$27,MATCH('S3 Tiekartta'!$A155,Työkonekanta!$A$3:$A$24,0),1),"undefined")</f>
        <v>pom</v>
      </c>
      <c r="E155" s="145">
        <f>IFERROR(INDEX(Työkonekanta!$G$3:$G$27,MATCH($A155,Työkonekanta!$A$3:$A$24,0),1)*INDEX(Työkonekanta!$H$3:$H$27,MATCH($A155,Työkonekanta!$A$3:$A$24,0),1)*(1+s0b_kasvu*($C155-2019))*$B155,0)</f>
        <v>10500</v>
      </c>
      <c r="F155" s="145">
        <f t="shared" si="51"/>
        <v>376950</v>
      </c>
      <c r="G155" s="151">
        <f t="shared" si="60"/>
        <v>354333</v>
      </c>
      <c r="H155" s="145">
        <f t="shared" si="61"/>
        <v>22617</v>
      </c>
      <c r="I155" s="145">
        <f t="shared" si="52"/>
        <v>9870</v>
      </c>
      <c r="J155" s="145">
        <f t="shared" si="53"/>
        <v>659.38775510204084</v>
      </c>
      <c r="K155" s="142" t="str">
        <f t="shared" si="62"/>
        <v>l</v>
      </c>
      <c r="L155" s="146">
        <f>IFERROR(INDEX(Työkonekanta!$I$3:$I$27,MATCH('S3 Tiekartta'!$A155,Työkonekanta!$A$3:$A$24,0),1)*(I155+J155)*f_adblue,0)</f>
        <v>526.46938775510205</v>
      </c>
      <c r="M155" s="146">
        <f t="shared" si="71"/>
        <v>0</v>
      </c>
      <c r="N155" s="143" t="str">
        <f>IF(tuulisähkö_vuosi&lt;='S3 Tiekartta'!C155,"tuulisähkö",ostosähkö_nyt)</f>
        <v>jäännössähkö</v>
      </c>
      <c r="O155" s="147">
        <f>INDEX(Muuttujat!$J$5:$J$21,MATCH($C155,Muuttujat!$H$5:$H$21,0),1)</f>
        <v>65.853419316547502</v>
      </c>
      <c r="P155" s="148">
        <f t="shared" si="63"/>
        <v>0.94</v>
      </c>
      <c r="Q155" s="148">
        <f t="shared" si="64"/>
        <v>0.06</v>
      </c>
      <c r="R155" s="148">
        <f t="shared" si="65"/>
        <v>0.06</v>
      </c>
      <c r="S155" s="149">
        <f t="shared" si="54"/>
        <v>6.6968936999999995</v>
      </c>
      <c r="T155" s="150">
        <f t="shared" si="55"/>
        <v>1.4113008</v>
      </c>
      <c r="U155" s="150">
        <f t="shared" si="56"/>
        <v>0</v>
      </c>
      <c r="V155" s="150">
        <f>IFERROR(INDEX(Työkonekanta!$J$3:$J$27,MATCH($A155,Työkonekanta!$A$3:$A$24,0),1)*$B155*ef_li_ion_akku/1000/1000/INDEX(Työkonekanta!$K$3:$K$27,MATCH($A155,Työkonekanta!$A$3:$A$24,0)),0)</f>
        <v>0</v>
      </c>
      <c r="W155" s="149">
        <f t="shared" si="72"/>
        <v>26.152700163281999</v>
      </c>
      <c r="X155" s="150">
        <f t="shared" si="73"/>
        <v>0.33363294300000002</v>
      </c>
      <c r="Y155" s="151">
        <f t="shared" si="74"/>
        <v>0.13688204081632654</v>
      </c>
      <c r="Z155" s="152">
        <f t="shared" si="66"/>
        <v>8.1081944999999997</v>
      </c>
      <c r="AA155" s="179">
        <f t="shared" si="67"/>
        <v>26.289582204098327</v>
      </c>
      <c r="AB155" s="179">
        <f t="shared" si="68"/>
        <v>26.623215147098328</v>
      </c>
      <c r="AC155" s="180">
        <f t="shared" si="75"/>
        <v>34.397776704098327</v>
      </c>
      <c r="AD155" s="156">
        <f t="shared" si="69"/>
        <v>34.731409647098332</v>
      </c>
      <c r="AE155" s="146">
        <f>IFERROR(INDEX(Työkonekanta!$L$3:$L$30,MATCH($A155,Työkonekanta!$A$3:$A$30,0),1),0)*AF155</f>
        <v>0</v>
      </c>
      <c r="AF155" s="146">
        <f>IFERROR(INDEX(Työkonekanta!$N$3:$N$32,MATCH($A155,Työkonekanta!$A$3:$A$32,0),1),0)</f>
        <v>0</v>
      </c>
      <c r="AG155" s="332">
        <f>I155*INDEX(Muuttujat!$U$5:$U$21,MATCH($C155,Muuttujat!$N$5:$N$21,0),1)</f>
        <v>10067.4</v>
      </c>
      <c r="AH155" s="332">
        <f>J155*INDEX(Muuttujat!$T$5:$T$21,MATCH($C155,Muuttujat!$N$5:$N$21,0),1)</f>
        <v>936.33061224489791</v>
      </c>
      <c r="AI155" s="332">
        <f t="shared" si="57"/>
        <v>263.23469387755102</v>
      </c>
      <c r="AJ155" s="332">
        <f t="shared" si="58"/>
        <v>0</v>
      </c>
      <c r="AK155" s="333">
        <f t="shared" si="70"/>
        <v>11266.965306122449</v>
      </c>
      <c r="AL155" s="332">
        <f t="shared" si="59"/>
        <v>11266.965306122449</v>
      </c>
      <c r="AM155" s="351"/>
      <c r="AN155" s="351"/>
    </row>
    <row r="156" spans="1:40">
      <c r="A156" s="139">
        <v>4</v>
      </c>
      <c r="B156" s="139">
        <f>IFERROR(IF((INDEX(Työkonekanta!$F$3:$F$27,MATCH('S3 Tiekartta'!$A156,Työkonekanta!$A$3:$A$24,0),1))&lt;0,0,(INDEX(Työkonekanta!$F$3:$F$27,MATCH('S3 Tiekartta'!$A156,Työkonekanta!$A$3:$A$24,0),1))),0)</f>
        <v>1</v>
      </c>
      <c r="C156" s="140">
        <v>2024</v>
      </c>
      <c r="D156" s="141" t="str">
        <f>IFERROR(INDEX(Työkonekanta!$D$3:$D$27,MATCH('S3 Tiekartta'!$A156,Työkonekanta!$A$3:$A$24,0),1),"undefined")</f>
        <v>pom</v>
      </c>
      <c r="E156" s="145">
        <f>IFERROR(INDEX(Työkonekanta!$G$3:$G$27,MATCH($A156,Työkonekanta!$A$3:$A$24,0),1)*INDEX(Työkonekanta!$H$3:$H$27,MATCH($A156,Työkonekanta!$A$3:$A$24,0),1)*(1+s0b_kasvu*($C156-2019))*$B156,0)</f>
        <v>10500</v>
      </c>
      <c r="F156" s="145">
        <f t="shared" si="51"/>
        <v>376950</v>
      </c>
      <c r="G156" s="151">
        <f t="shared" si="60"/>
        <v>354333</v>
      </c>
      <c r="H156" s="145">
        <f t="shared" si="61"/>
        <v>22617</v>
      </c>
      <c r="I156" s="145">
        <f t="shared" si="52"/>
        <v>9870</v>
      </c>
      <c r="J156" s="145">
        <f t="shared" si="53"/>
        <v>659.38775510204084</v>
      </c>
      <c r="K156" s="142" t="str">
        <f t="shared" si="62"/>
        <v>l</v>
      </c>
      <c r="L156" s="146">
        <f>IFERROR(INDEX(Työkonekanta!$I$3:$I$27,MATCH('S3 Tiekartta'!$A156,Työkonekanta!$A$3:$A$24,0),1)*(I156+J156)*f_adblue,0)</f>
        <v>526.46938775510205</v>
      </c>
      <c r="M156" s="146">
        <f t="shared" si="71"/>
        <v>0</v>
      </c>
      <c r="N156" s="143" t="str">
        <f>IF(tuulisähkö_vuosi&lt;='S3 Tiekartta'!C156,"tuulisähkö",ostosähkö_nyt)</f>
        <v>jäännössähkö</v>
      </c>
      <c r="O156" s="147">
        <f>INDEX(Muuttujat!$J$5:$J$21,MATCH($C156,Muuttujat!$H$5:$H$21,0),1)</f>
        <v>65.853419316547502</v>
      </c>
      <c r="P156" s="148">
        <f t="shared" si="63"/>
        <v>0.94</v>
      </c>
      <c r="Q156" s="148">
        <f t="shared" si="64"/>
        <v>0.06</v>
      </c>
      <c r="R156" s="148">
        <f t="shared" si="65"/>
        <v>0.06</v>
      </c>
      <c r="S156" s="149">
        <f t="shared" si="54"/>
        <v>6.6968936999999995</v>
      </c>
      <c r="T156" s="150">
        <f t="shared" si="55"/>
        <v>1.4113008</v>
      </c>
      <c r="U156" s="150">
        <f t="shared" si="56"/>
        <v>0</v>
      </c>
      <c r="V156" s="150">
        <f>IFERROR(INDEX(Työkonekanta!$J$3:$J$27,MATCH($A156,Työkonekanta!$A$3:$A$24,0),1)*$B156*ef_li_ion_akku/1000/1000/INDEX(Työkonekanta!$K$3:$K$27,MATCH($A156,Työkonekanta!$A$3:$A$24,0)),0)</f>
        <v>0</v>
      </c>
      <c r="W156" s="149">
        <f t="shared" si="72"/>
        <v>26.152700163281999</v>
      </c>
      <c r="X156" s="150">
        <f t="shared" si="73"/>
        <v>0.33363294300000002</v>
      </c>
      <c r="Y156" s="151">
        <f t="shared" si="74"/>
        <v>0.13688204081632654</v>
      </c>
      <c r="Z156" s="152">
        <f t="shared" si="66"/>
        <v>8.1081944999999997</v>
      </c>
      <c r="AA156" s="179">
        <f t="shared" si="67"/>
        <v>26.289582204098327</v>
      </c>
      <c r="AB156" s="179">
        <f t="shared" si="68"/>
        <v>26.623215147098328</v>
      </c>
      <c r="AC156" s="180">
        <f t="shared" si="75"/>
        <v>34.397776704098327</v>
      </c>
      <c r="AD156" s="156">
        <f t="shared" si="69"/>
        <v>34.731409647098332</v>
      </c>
      <c r="AE156" s="146">
        <f>IFERROR(INDEX(Työkonekanta!$L$3:$L$30,MATCH($A156,Työkonekanta!$A$3:$A$30,0),1),0)*AF156</f>
        <v>0</v>
      </c>
      <c r="AF156" s="146">
        <f>IFERROR(INDEX(Työkonekanta!$N$3:$N$32,MATCH($A156,Työkonekanta!$A$3:$A$32,0),1),0)</f>
        <v>0</v>
      </c>
      <c r="AG156" s="332">
        <f>I156*INDEX(Muuttujat!$U$5:$U$21,MATCH($C156,Muuttujat!$N$5:$N$21,0),1)</f>
        <v>10067.4</v>
      </c>
      <c r="AH156" s="332">
        <f>J156*INDEX(Muuttujat!$T$5:$T$21,MATCH($C156,Muuttujat!$N$5:$N$21,0),1)</f>
        <v>936.33061224489791</v>
      </c>
      <c r="AI156" s="332">
        <f t="shared" si="57"/>
        <v>263.23469387755102</v>
      </c>
      <c r="AJ156" s="332">
        <f t="shared" si="58"/>
        <v>0</v>
      </c>
      <c r="AK156" s="333">
        <f t="shared" si="70"/>
        <v>11266.965306122449</v>
      </c>
      <c r="AL156" s="332">
        <f t="shared" si="59"/>
        <v>11266.965306122449</v>
      </c>
      <c r="AM156" s="351"/>
      <c r="AN156" s="351"/>
    </row>
    <row r="157" spans="1:40">
      <c r="A157" s="139">
        <v>5</v>
      </c>
      <c r="B157" s="139">
        <f>IFERROR(IF((INDEX(Työkonekanta!$F$3:$F$27,MATCH('S3 Tiekartta'!$A157,Työkonekanta!$A$3:$A$24,0),1))&lt;0,0,(INDEX(Työkonekanta!$F$3:$F$27,MATCH('S3 Tiekartta'!$A157,Työkonekanta!$A$3:$A$24,0),1))),0)</f>
        <v>0</v>
      </c>
      <c r="C157" s="140">
        <v>2024</v>
      </c>
      <c r="D157" s="141" t="str">
        <f>IFERROR(INDEX(Työkonekanta!$D$3:$D$27,MATCH('S3 Tiekartta'!$A157,Työkonekanta!$A$3:$A$24,0),1),"undefined")</f>
        <v>sähkö</v>
      </c>
      <c r="E157" s="145">
        <f>IFERROR(INDEX(Työkonekanta!$G$3:$G$27,MATCH($A157,Työkonekanta!$A$3:$A$24,0),1)*INDEX(Työkonekanta!$H$3:$H$27,MATCH($A157,Työkonekanta!$A$3:$A$24,0),1)*(1+s0b_kasvu*($C157-2019))*$B157,0)</f>
        <v>0</v>
      </c>
      <c r="F157" s="145">
        <f t="shared" si="51"/>
        <v>0</v>
      </c>
      <c r="G157" s="151">
        <f t="shared" si="60"/>
        <v>0</v>
      </c>
      <c r="H157" s="145">
        <f t="shared" si="61"/>
        <v>0</v>
      </c>
      <c r="I157" s="145">
        <f t="shared" si="52"/>
        <v>0</v>
      </c>
      <c r="J157" s="145">
        <f t="shared" si="53"/>
        <v>0</v>
      </c>
      <c r="K157" s="142" t="str">
        <f t="shared" si="62"/>
        <v>kWh</v>
      </c>
      <c r="L157" s="146">
        <f>IFERROR(INDEX(Työkonekanta!$I$3:$I$27,MATCH('S3 Tiekartta'!$A157,Työkonekanta!$A$3:$A$24,0),1)*(I157+J157)*f_adblue,0)</f>
        <v>0</v>
      </c>
      <c r="M157" s="146">
        <f t="shared" si="71"/>
        <v>0</v>
      </c>
      <c r="N157" s="143" t="str">
        <f>IF(tuulisähkö_vuosi&lt;='S3 Tiekartta'!C157,"tuulisähkö",ostosähkö_nyt)</f>
        <v>jäännössähkö</v>
      </c>
      <c r="O157" s="147">
        <f>INDEX(Muuttujat!$J$5:$J$21,MATCH($C157,Muuttujat!$H$5:$H$21,0),1)</f>
        <v>65.853419316547502</v>
      </c>
      <c r="P157" s="148">
        <f t="shared" si="63"/>
        <v>0.94</v>
      </c>
      <c r="Q157" s="148">
        <f t="shared" si="64"/>
        <v>0.06</v>
      </c>
      <c r="R157" s="148">
        <f t="shared" si="65"/>
        <v>0.06</v>
      </c>
      <c r="S157" s="149">
        <f t="shared" si="54"/>
        <v>0</v>
      </c>
      <c r="T157" s="150">
        <f t="shared" si="55"/>
        <v>0</v>
      </c>
      <c r="U157" s="150">
        <f t="shared" si="56"/>
        <v>0</v>
      </c>
      <c r="V157" s="150">
        <f>IFERROR(INDEX(Työkonekanta!$J$3:$J$27,MATCH($A157,Työkonekanta!$A$3:$A$24,0),1)*$B157*ef_li_ion_akku/1000/1000/INDEX(Työkonekanta!$K$3:$K$27,MATCH($A157,Työkonekanta!$A$3:$A$24,0)),0)</f>
        <v>0</v>
      </c>
      <c r="W157" s="149">
        <f t="shared" si="72"/>
        <v>0</v>
      </c>
      <c r="X157" s="150">
        <f t="shared" si="73"/>
        <v>0</v>
      </c>
      <c r="Y157" s="151">
        <f t="shared" si="74"/>
        <v>0</v>
      </c>
      <c r="Z157" s="152">
        <f t="shared" si="66"/>
        <v>0</v>
      </c>
      <c r="AA157" s="179">
        <f t="shared" si="67"/>
        <v>0</v>
      </c>
      <c r="AB157" s="179">
        <f t="shared" si="68"/>
        <v>0</v>
      </c>
      <c r="AC157" s="180">
        <f t="shared" si="75"/>
        <v>0</v>
      </c>
      <c r="AD157" s="156">
        <f t="shared" si="69"/>
        <v>0</v>
      </c>
      <c r="AE157" s="146">
        <f>IFERROR(INDEX(Työkonekanta!$L$3:$L$30,MATCH($A157,Työkonekanta!$A$3:$A$30,0),1),0)*AF157</f>
        <v>0</v>
      </c>
      <c r="AF157" s="146">
        <f>IFERROR(INDEX(Työkonekanta!$N$3:$N$32,MATCH($A157,Työkonekanta!$A$3:$A$32,0),1),0)</f>
        <v>0</v>
      </c>
      <c r="AG157" s="332">
        <f>I157*INDEX(Muuttujat!$U$5:$U$21,MATCH($C157,Muuttujat!$N$5:$N$21,0),1)</f>
        <v>0</v>
      </c>
      <c r="AH157" s="332">
        <f>J157*INDEX(Muuttujat!$T$5:$T$21,MATCH($C157,Muuttujat!$N$5:$N$21,0),1)</f>
        <v>0</v>
      </c>
      <c r="AI157" s="332">
        <f t="shared" si="57"/>
        <v>0</v>
      </c>
      <c r="AJ157" s="332">
        <f t="shared" si="58"/>
        <v>0</v>
      </c>
      <c r="AK157" s="333">
        <f t="shared" si="70"/>
        <v>0</v>
      </c>
      <c r="AL157" s="332">
        <f t="shared" si="59"/>
        <v>0</v>
      </c>
      <c r="AM157" s="351"/>
      <c r="AN157" s="351"/>
    </row>
    <row r="158" spans="1:40">
      <c r="A158" s="139">
        <v>6</v>
      </c>
      <c r="B158" s="139">
        <f>IFERROR(IF((INDEX(Työkonekanta!$F$3:$F$27,MATCH('S3 Tiekartta'!$A158,Työkonekanta!$A$3:$A$24,0),1))&lt;0,0,(INDEX(Työkonekanta!$F$3:$F$27,MATCH('S3 Tiekartta'!$A158,Työkonekanta!$A$3:$A$24,0),1))),0)</f>
        <v>0</v>
      </c>
      <c r="C158" s="140">
        <v>2024</v>
      </c>
      <c r="D158" s="141" t="str">
        <f>IFERROR(INDEX(Työkonekanta!$D$3:$D$27,MATCH('S3 Tiekartta'!$A158,Työkonekanta!$A$3:$A$24,0),1),"undefined")</f>
        <v>sähkö</v>
      </c>
      <c r="E158" s="145">
        <f>IFERROR(INDEX(Työkonekanta!$G$3:$G$27,MATCH($A158,Työkonekanta!$A$3:$A$24,0),1)*INDEX(Työkonekanta!$H$3:$H$27,MATCH($A158,Työkonekanta!$A$3:$A$24,0),1)*(1+s0b_kasvu*($C158-2019))*$B158,0)</f>
        <v>0</v>
      </c>
      <c r="F158" s="145">
        <f t="shared" si="51"/>
        <v>0</v>
      </c>
      <c r="G158" s="151">
        <f t="shared" si="60"/>
        <v>0</v>
      </c>
      <c r="H158" s="145">
        <f t="shared" si="61"/>
        <v>0</v>
      </c>
      <c r="I158" s="145">
        <f t="shared" si="52"/>
        <v>0</v>
      </c>
      <c r="J158" s="145">
        <f t="shared" si="53"/>
        <v>0</v>
      </c>
      <c r="K158" s="142" t="str">
        <f t="shared" si="62"/>
        <v>kWh</v>
      </c>
      <c r="L158" s="146">
        <f>IFERROR(INDEX(Työkonekanta!$I$3:$I$27,MATCH('S3 Tiekartta'!$A158,Työkonekanta!$A$3:$A$24,0),1)*(I158+J158)*f_adblue,0)</f>
        <v>0</v>
      </c>
      <c r="M158" s="146">
        <f t="shared" si="71"/>
        <v>0</v>
      </c>
      <c r="N158" s="143" t="str">
        <f>IF(tuulisähkö_vuosi&lt;='S3 Tiekartta'!C158,"tuulisähkö",ostosähkö_nyt)</f>
        <v>jäännössähkö</v>
      </c>
      <c r="O158" s="147">
        <f>INDEX(Muuttujat!$J$5:$J$21,MATCH($C158,Muuttujat!$H$5:$H$21,0),1)</f>
        <v>65.853419316547502</v>
      </c>
      <c r="P158" s="148">
        <f t="shared" si="63"/>
        <v>0.94</v>
      </c>
      <c r="Q158" s="148">
        <f t="shared" si="64"/>
        <v>0.06</v>
      </c>
      <c r="R158" s="148">
        <f t="shared" si="65"/>
        <v>0.06</v>
      </c>
      <c r="S158" s="149">
        <f t="shared" si="54"/>
        <v>0</v>
      </c>
      <c r="T158" s="150">
        <f t="shared" si="55"/>
        <v>0</v>
      </c>
      <c r="U158" s="150">
        <f t="shared" si="56"/>
        <v>0</v>
      </c>
      <c r="V158" s="150">
        <f>IFERROR(INDEX(Työkonekanta!$J$3:$J$27,MATCH($A158,Työkonekanta!$A$3:$A$24,0),1)*$B158*ef_li_ion_akku/1000/1000/INDEX(Työkonekanta!$K$3:$K$27,MATCH($A158,Työkonekanta!$A$3:$A$24,0)),0)</f>
        <v>0</v>
      </c>
      <c r="W158" s="149">
        <f t="shared" si="72"/>
        <v>0</v>
      </c>
      <c r="X158" s="150">
        <f t="shared" si="73"/>
        <v>0</v>
      </c>
      <c r="Y158" s="151">
        <f t="shared" si="74"/>
        <v>0</v>
      </c>
      <c r="Z158" s="152">
        <f t="shared" si="66"/>
        <v>0</v>
      </c>
      <c r="AA158" s="179">
        <f t="shared" si="67"/>
        <v>0</v>
      </c>
      <c r="AB158" s="179">
        <f t="shared" si="68"/>
        <v>0</v>
      </c>
      <c r="AC158" s="180">
        <f t="shared" si="75"/>
        <v>0</v>
      </c>
      <c r="AD158" s="156">
        <f t="shared" si="69"/>
        <v>0</v>
      </c>
      <c r="AE158" s="146">
        <f>IFERROR(INDEX(Työkonekanta!$L$3:$L$30,MATCH($A158,Työkonekanta!$A$3:$A$30,0),1),0)*AF158</f>
        <v>0</v>
      </c>
      <c r="AF158" s="146">
        <f>IFERROR(INDEX(Työkonekanta!$N$3:$N$32,MATCH($A158,Työkonekanta!$A$3:$A$32,0),1),0)</f>
        <v>0</v>
      </c>
      <c r="AG158" s="332">
        <f>I158*INDEX(Muuttujat!$U$5:$U$21,MATCH($C158,Muuttujat!$N$5:$N$21,0),1)</f>
        <v>0</v>
      </c>
      <c r="AH158" s="332">
        <f>J158*INDEX(Muuttujat!$T$5:$T$21,MATCH($C158,Muuttujat!$N$5:$N$21,0),1)</f>
        <v>0</v>
      </c>
      <c r="AI158" s="332">
        <f t="shared" si="57"/>
        <v>0</v>
      </c>
      <c r="AJ158" s="332">
        <f t="shared" si="58"/>
        <v>0</v>
      </c>
      <c r="AK158" s="333">
        <f t="shared" si="70"/>
        <v>0</v>
      </c>
      <c r="AL158" s="332">
        <f t="shared" si="59"/>
        <v>0</v>
      </c>
      <c r="AM158" s="351"/>
      <c r="AN158" s="351"/>
    </row>
    <row r="159" spans="1:40">
      <c r="A159" s="139">
        <v>7</v>
      </c>
      <c r="B159" s="139">
        <f>IFERROR(IF((INDEX(Työkonekanta!$F$3:$F$27,MATCH('S3 Tiekartta'!$A159,Työkonekanta!$A$3:$A$24,0),1))&lt;0,0,(INDEX(Työkonekanta!$F$3:$F$27,MATCH('S3 Tiekartta'!$A159,Työkonekanta!$A$3:$A$24,0),1))),0)</f>
        <v>1</v>
      </c>
      <c r="C159" s="140">
        <v>2024</v>
      </c>
      <c r="D159" s="141" t="str">
        <f>IFERROR(INDEX(Työkonekanta!$D$3:$D$27,MATCH('S3 Tiekartta'!$A159,Työkonekanta!$A$3:$A$24,0),1),"undefined")</f>
        <v>pom</v>
      </c>
      <c r="E159" s="145">
        <f>IFERROR(INDEX(Työkonekanta!$G$3:$G$27,MATCH($A159,Työkonekanta!$A$3:$A$24,0),1)*INDEX(Työkonekanta!$H$3:$H$27,MATCH($A159,Työkonekanta!$A$3:$A$24,0),1)*(1+s0b_kasvu*($C159-2019))*$B159,0)</f>
        <v>10500</v>
      </c>
      <c r="F159" s="145">
        <f t="shared" si="51"/>
        <v>376950</v>
      </c>
      <c r="G159" s="151">
        <f t="shared" si="60"/>
        <v>354333</v>
      </c>
      <c r="H159" s="145">
        <f t="shared" si="61"/>
        <v>22617</v>
      </c>
      <c r="I159" s="145">
        <f t="shared" si="52"/>
        <v>9870</v>
      </c>
      <c r="J159" s="145">
        <f t="shared" si="53"/>
        <v>659.38775510204084</v>
      </c>
      <c r="K159" s="142" t="str">
        <f t="shared" si="62"/>
        <v>l</v>
      </c>
      <c r="L159" s="146">
        <f>IFERROR(INDEX(Työkonekanta!$I$3:$I$27,MATCH('S3 Tiekartta'!$A159,Työkonekanta!$A$3:$A$24,0),1)*(I159+J159)*f_adblue,0)</f>
        <v>0</v>
      </c>
      <c r="M159" s="146">
        <f t="shared" si="71"/>
        <v>0</v>
      </c>
      <c r="N159" s="143" t="str">
        <f>IF(tuulisähkö_vuosi&lt;='S3 Tiekartta'!C159,"tuulisähkö",ostosähkö_nyt)</f>
        <v>jäännössähkö</v>
      </c>
      <c r="O159" s="147">
        <f>INDEX(Muuttujat!$J$5:$J$21,MATCH($C159,Muuttujat!$H$5:$H$21,0),1)</f>
        <v>65.853419316547502</v>
      </c>
      <c r="P159" s="148">
        <f t="shared" si="63"/>
        <v>0.94</v>
      </c>
      <c r="Q159" s="148">
        <f t="shared" si="64"/>
        <v>0.06</v>
      </c>
      <c r="R159" s="148">
        <f t="shared" si="65"/>
        <v>0.06</v>
      </c>
      <c r="S159" s="149">
        <f t="shared" si="54"/>
        <v>6.6968936999999995</v>
      </c>
      <c r="T159" s="150">
        <f t="shared" si="55"/>
        <v>1.4113008</v>
      </c>
      <c r="U159" s="150">
        <f t="shared" si="56"/>
        <v>0</v>
      </c>
      <c r="V159" s="150">
        <f>IFERROR(INDEX(Työkonekanta!$J$3:$J$27,MATCH($A159,Työkonekanta!$A$3:$A$24,0),1)*$B159*ef_li_ion_akku/1000/1000/INDEX(Työkonekanta!$K$3:$K$27,MATCH($A159,Työkonekanta!$A$3:$A$24,0)),0)</f>
        <v>0</v>
      </c>
      <c r="W159" s="149">
        <f t="shared" si="72"/>
        <v>26.152700163281999</v>
      </c>
      <c r="X159" s="150">
        <f t="shared" si="73"/>
        <v>0.33363294300000002</v>
      </c>
      <c r="Y159" s="151">
        <f t="shared" si="74"/>
        <v>0</v>
      </c>
      <c r="Z159" s="152">
        <f t="shared" si="66"/>
        <v>8.1081944999999997</v>
      </c>
      <c r="AA159" s="179">
        <f t="shared" si="67"/>
        <v>26.152700163281999</v>
      </c>
      <c r="AB159" s="179">
        <f t="shared" si="68"/>
        <v>26.486333106282</v>
      </c>
      <c r="AC159" s="180">
        <f t="shared" si="75"/>
        <v>34.260894663282002</v>
      </c>
      <c r="AD159" s="156">
        <f t="shared" si="69"/>
        <v>34.594527606282</v>
      </c>
      <c r="AE159" s="146">
        <f>IFERROR(INDEX(Työkonekanta!$L$3:$L$30,MATCH($A159,Työkonekanta!$A$3:$A$30,0),1),0)*AF159</f>
        <v>500000</v>
      </c>
      <c r="AF159" s="146">
        <f>IFERROR(INDEX(Työkonekanta!$N$3:$N$32,MATCH($A159,Työkonekanta!$A$3:$A$32,0),1),0)</f>
        <v>1</v>
      </c>
      <c r="AG159" s="332">
        <f>I159*INDEX(Muuttujat!$U$5:$U$21,MATCH($C159,Muuttujat!$N$5:$N$21,0),1)</f>
        <v>10067.4</v>
      </c>
      <c r="AH159" s="332">
        <f>J159*INDEX(Muuttujat!$T$5:$T$21,MATCH($C159,Muuttujat!$N$5:$N$21,0),1)</f>
        <v>936.33061224489791</v>
      </c>
      <c r="AI159" s="332">
        <f t="shared" si="57"/>
        <v>0</v>
      </c>
      <c r="AJ159" s="332">
        <f t="shared" si="58"/>
        <v>0</v>
      </c>
      <c r="AK159" s="333">
        <f t="shared" si="70"/>
        <v>11003.730612244897</v>
      </c>
      <c r="AL159" s="332">
        <f t="shared" si="59"/>
        <v>11003.730612244897</v>
      </c>
      <c r="AM159" s="351"/>
      <c r="AN159" s="351"/>
    </row>
    <row r="160" spans="1:40">
      <c r="A160" s="139">
        <v>8</v>
      </c>
      <c r="B160" s="139">
        <f>IFERROR(IF((INDEX(Työkonekanta!$F$3:$F$27,MATCH('S3 Tiekartta'!$A160,Työkonekanta!$A$3:$A$24,0),1))&lt;0,0,(INDEX(Työkonekanta!$F$3:$F$27,MATCH('S3 Tiekartta'!$A160,Työkonekanta!$A$3:$A$24,0),1))),0)</f>
        <v>1</v>
      </c>
      <c r="C160" s="140">
        <v>2024</v>
      </c>
      <c r="D160" s="141" t="str">
        <f>IFERROR(INDEX(Työkonekanta!$D$3:$D$27,MATCH('S3 Tiekartta'!$A160,Työkonekanta!$A$3:$A$24,0),1),"undefined")</f>
        <v>pom</v>
      </c>
      <c r="E160" s="145">
        <f>IFERROR(INDEX(Työkonekanta!$G$3:$G$27,MATCH($A160,Työkonekanta!$A$3:$A$24,0),1)*INDEX(Työkonekanta!$H$3:$H$27,MATCH($A160,Työkonekanta!$A$3:$A$24,0),1)*(1+s0b_kasvu*($C160-2019))*$B160,0)</f>
        <v>10500</v>
      </c>
      <c r="F160" s="145">
        <f t="shared" si="51"/>
        <v>376950</v>
      </c>
      <c r="G160" s="151">
        <f t="shared" si="60"/>
        <v>354333</v>
      </c>
      <c r="H160" s="145">
        <f t="shared" si="61"/>
        <v>22617</v>
      </c>
      <c r="I160" s="145">
        <f t="shared" si="52"/>
        <v>9870</v>
      </c>
      <c r="J160" s="145">
        <f t="shared" si="53"/>
        <v>659.38775510204084</v>
      </c>
      <c r="K160" s="142" t="str">
        <f t="shared" si="62"/>
        <v>l</v>
      </c>
      <c r="L160" s="146">
        <f>IFERROR(INDEX(Työkonekanta!$I$3:$I$27,MATCH('S3 Tiekartta'!$A160,Työkonekanta!$A$3:$A$24,0),1)*(I160+J160)*f_adblue,0)</f>
        <v>526.46938775510205</v>
      </c>
      <c r="M160" s="146">
        <f t="shared" si="71"/>
        <v>0</v>
      </c>
      <c r="N160" s="143" t="str">
        <f>IF(tuulisähkö_vuosi&lt;='S3 Tiekartta'!C160,"tuulisähkö",ostosähkö_nyt)</f>
        <v>jäännössähkö</v>
      </c>
      <c r="O160" s="147">
        <f>INDEX(Muuttujat!$J$5:$J$21,MATCH($C160,Muuttujat!$H$5:$H$21,0),1)</f>
        <v>65.853419316547502</v>
      </c>
      <c r="P160" s="148">
        <f t="shared" si="63"/>
        <v>0.94</v>
      </c>
      <c r="Q160" s="148">
        <f t="shared" si="64"/>
        <v>0.06</v>
      </c>
      <c r="R160" s="148">
        <f t="shared" si="65"/>
        <v>0.06</v>
      </c>
      <c r="S160" s="149">
        <f t="shared" si="54"/>
        <v>6.6968936999999995</v>
      </c>
      <c r="T160" s="150">
        <f t="shared" si="55"/>
        <v>1.4113008</v>
      </c>
      <c r="U160" s="150">
        <f t="shared" si="56"/>
        <v>0</v>
      </c>
      <c r="V160" s="150">
        <f>IFERROR(INDEX(Työkonekanta!$J$3:$J$27,MATCH($A160,Työkonekanta!$A$3:$A$24,0),1)*$B160*ef_li_ion_akku/1000/1000/INDEX(Työkonekanta!$K$3:$K$27,MATCH($A160,Työkonekanta!$A$3:$A$24,0)),0)</f>
        <v>0</v>
      </c>
      <c r="W160" s="149">
        <f t="shared" si="72"/>
        <v>26.152700163281999</v>
      </c>
      <c r="X160" s="150">
        <f t="shared" si="73"/>
        <v>0.33363294300000002</v>
      </c>
      <c r="Y160" s="151">
        <f t="shared" si="74"/>
        <v>0.13688204081632654</v>
      </c>
      <c r="Z160" s="152">
        <f t="shared" si="66"/>
        <v>8.1081944999999997</v>
      </c>
      <c r="AA160" s="179">
        <f t="shared" si="67"/>
        <v>26.289582204098327</v>
      </c>
      <c r="AB160" s="179">
        <f t="shared" si="68"/>
        <v>26.623215147098328</v>
      </c>
      <c r="AC160" s="180">
        <f t="shared" si="75"/>
        <v>34.397776704098327</v>
      </c>
      <c r="AD160" s="156">
        <f t="shared" si="69"/>
        <v>34.731409647098332</v>
      </c>
      <c r="AE160" s="146">
        <f>IFERROR(INDEX(Työkonekanta!$L$3:$L$30,MATCH($A160,Työkonekanta!$A$3:$A$30,0),1),0)*AF160</f>
        <v>500000</v>
      </c>
      <c r="AF160" s="146">
        <f>IFERROR(INDEX(Työkonekanta!$N$3:$N$32,MATCH($A160,Työkonekanta!$A$3:$A$32,0),1),0)</f>
        <v>1</v>
      </c>
      <c r="AG160" s="332">
        <f>I160*INDEX(Muuttujat!$U$5:$U$21,MATCH($C160,Muuttujat!$N$5:$N$21,0),1)</f>
        <v>10067.4</v>
      </c>
      <c r="AH160" s="332">
        <f>J160*INDEX(Muuttujat!$T$5:$T$21,MATCH($C160,Muuttujat!$N$5:$N$21,0),1)</f>
        <v>936.33061224489791</v>
      </c>
      <c r="AI160" s="332">
        <f t="shared" si="57"/>
        <v>263.23469387755102</v>
      </c>
      <c r="AJ160" s="332">
        <f t="shared" si="58"/>
        <v>0</v>
      </c>
      <c r="AK160" s="333">
        <f t="shared" si="70"/>
        <v>11266.965306122449</v>
      </c>
      <c r="AL160" s="332">
        <f t="shared" si="59"/>
        <v>11266.965306122449</v>
      </c>
      <c r="AM160" s="351"/>
      <c r="AN160" s="351"/>
    </row>
    <row r="161" spans="1:40">
      <c r="A161" s="139">
        <v>9</v>
      </c>
      <c r="B161" s="139">
        <f>IFERROR(IF((INDEX(Työkonekanta!$F$3:$F$27,MATCH('S3 Tiekartta'!$A161,Työkonekanta!$A$3:$A$24,0),1))&lt;0,0,(INDEX(Työkonekanta!$F$3:$F$27,MATCH('S3 Tiekartta'!$A161,Työkonekanta!$A$3:$A$24,0),1))),0)</f>
        <v>0</v>
      </c>
      <c r="C161" s="140">
        <v>2024</v>
      </c>
      <c r="D161" s="141" t="str">
        <f>IFERROR(INDEX(Työkonekanta!$D$3:$D$27,MATCH('S3 Tiekartta'!$A161,Työkonekanta!$A$3:$A$24,0),1),"undefined")</f>
        <v>sähkö</v>
      </c>
      <c r="E161" s="145">
        <f>IFERROR(INDEX(Työkonekanta!$G$3:$G$27,MATCH($A161,Työkonekanta!$A$3:$A$24,0),1)*INDEX(Työkonekanta!$H$3:$H$27,MATCH($A161,Työkonekanta!$A$3:$A$24,0),1)*(1+s0b_kasvu*($C161-2019))*$B161,0)</f>
        <v>0</v>
      </c>
      <c r="F161" s="145">
        <f t="shared" si="51"/>
        <v>0</v>
      </c>
      <c r="G161" s="151">
        <f t="shared" si="60"/>
        <v>0</v>
      </c>
      <c r="H161" s="145">
        <f t="shared" si="61"/>
        <v>0</v>
      </c>
      <c r="I161" s="145">
        <f t="shared" si="52"/>
        <v>0</v>
      </c>
      <c r="J161" s="145">
        <f t="shared" si="53"/>
        <v>0</v>
      </c>
      <c r="K161" s="142" t="str">
        <f t="shared" si="62"/>
        <v>kWh</v>
      </c>
      <c r="L161" s="146">
        <f>IFERROR(INDEX(Työkonekanta!$I$3:$I$27,MATCH('S3 Tiekartta'!$A161,Työkonekanta!$A$3:$A$24,0),1)*(I161+J161)*f_adblue,0)</f>
        <v>0</v>
      </c>
      <c r="M161" s="146">
        <f t="shared" si="71"/>
        <v>0</v>
      </c>
      <c r="N161" s="143" t="str">
        <f>IF(tuulisähkö_vuosi&lt;='S3 Tiekartta'!C161,"tuulisähkö",ostosähkö_nyt)</f>
        <v>jäännössähkö</v>
      </c>
      <c r="O161" s="147">
        <f>INDEX(Muuttujat!$J$5:$J$21,MATCH($C161,Muuttujat!$H$5:$H$21,0),1)</f>
        <v>65.853419316547502</v>
      </c>
      <c r="P161" s="148">
        <f t="shared" si="63"/>
        <v>0.94</v>
      </c>
      <c r="Q161" s="148">
        <f t="shared" si="64"/>
        <v>0.06</v>
      </c>
      <c r="R161" s="148">
        <f t="shared" si="65"/>
        <v>0.06</v>
      </c>
      <c r="S161" s="149">
        <f t="shared" si="54"/>
        <v>0</v>
      </c>
      <c r="T161" s="150">
        <f t="shared" si="55"/>
        <v>0</v>
      </c>
      <c r="U161" s="150">
        <f t="shared" si="56"/>
        <v>0</v>
      </c>
      <c r="V161" s="150">
        <f>IFERROR(INDEX(Työkonekanta!$J$3:$J$27,MATCH($A161,Työkonekanta!$A$3:$A$24,0),1)*$B161*ef_li_ion_akku/1000/1000/INDEX(Työkonekanta!$K$3:$K$27,MATCH($A161,Työkonekanta!$A$3:$A$24,0)),0)</f>
        <v>0</v>
      </c>
      <c r="W161" s="149">
        <f t="shared" si="72"/>
        <v>0</v>
      </c>
      <c r="X161" s="150">
        <f t="shared" si="73"/>
        <v>0</v>
      </c>
      <c r="Y161" s="151">
        <f t="shared" si="74"/>
        <v>0</v>
      </c>
      <c r="Z161" s="152">
        <f t="shared" si="66"/>
        <v>0</v>
      </c>
      <c r="AA161" s="179">
        <f t="shared" si="67"/>
        <v>0</v>
      </c>
      <c r="AB161" s="179">
        <f t="shared" si="68"/>
        <v>0</v>
      </c>
      <c r="AC161" s="180">
        <f t="shared" si="75"/>
        <v>0</v>
      </c>
      <c r="AD161" s="156">
        <f t="shared" si="69"/>
        <v>0</v>
      </c>
      <c r="AE161" s="146">
        <f>IFERROR(INDEX(Työkonekanta!$L$3:$L$30,MATCH($A161,Työkonekanta!$A$3:$A$30,0),1),0)*AF161</f>
        <v>0</v>
      </c>
      <c r="AF161" s="146">
        <f>IFERROR(INDEX(Työkonekanta!$N$3:$N$32,MATCH($A161,Työkonekanta!$A$3:$A$32,0),1),0)</f>
        <v>0</v>
      </c>
      <c r="AG161" s="332">
        <f>I161*INDEX(Muuttujat!$U$5:$U$21,MATCH($C161,Muuttujat!$N$5:$N$21,0),1)</f>
        <v>0</v>
      </c>
      <c r="AH161" s="332">
        <f>J161*INDEX(Muuttujat!$T$5:$T$21,MATCH($C161,Muuttujat!$N$5:$N$21,0),1)</f>
        <v>0</v>
      </c>
      <c r="AI161" s="332">
        <f t="shared" si="57"/>
        <v>0</v>
      </c>
      <c r="AJ161" s="332">
        <f t="shared" si="58"/>
        <v>0</v>
      </c>
      <c r="AK161" s="333">
        <f t="shared" si="70"/>
        <v>0</v>
      </c>
      <c r="AL161" s="332">
        <f t="shared" si="59"/>
        <v>0</v>
      </c>
      <c r="AM161" s="351"/>
      <c r="AN161" s="351"/>
    </row>
    <row r="162" spans="1:40">
      <c r="A162" s="139">
        <v>10</v>
      </c>
      <c r="B162" s="139">
        <f>IFERROR(IF((INDEX(Työkonekanta!$F$3:$F$27,MATCH('S3 Tiekartta'!$A162,Työkonekanta!$A$3:$A$24,0),1))&lt;0,0,(INDEX(Työkonekanta!$F$3:$F$27,MATCH('S3 Tiekartta'!$A162,Työkonekanta!$A$3:$A$24,0),1))),0)</f>
        <v>0</v>
      </c>
      <c r="C162" s="140">
        <v>2024</v>
      </c>
      <c r="D162" s="141" t="str">
        <f>IFERROR(INDEX(Työkonekanta!$D$3:$D$27,MATCH('S3 Tiekartta'!$A162,Työkonekanta!$A$3:$A$24,0),1),"undefined")</f>
        <v>sähkö</v>
      </c>
      <c r="E162" s="145">
        <f>IFERROR(INDEX(Työkonekanta!$G$3:$G$27,MATCH($A162,Työkonekanta!$A$3:$A$24,0),1)*INDEX(Työkonekanta!$H$3:$H$27,MATCH($A162,Työkonekanta!$A$3:$A$24,0),1)*(1+s0b_kasvu*($C162-2019))*$B162,0)</f>
        <v>0</v>
      </c>
      <c r="F162" s="145">
        <f t="shared" si="51"/>
        <v>0</v>
      </c>
      <c r="G162" s="151">
        <f t="shared" si="60"/>
        <v>0</v>
      </c>
      <c r="H162" s="145">
        <f t="shared" si="61"/>
        <v>0</v>
      </c>
      <c r="I162" s="145">
        <f t="shared" si="52"/>
        <v>0</v>
      </c>
      <c r="J162" s="145">
        <f t="shared" si="53"/>
        <v>0</v>
      </c>
      <c r="K162" s="142" t="str">
        <f t="shared" si="62"/>
        <v>kWh</v>
      </c>
      <c r="L162" s="146">
        <f>IFERROR(INDEX(Työkonekanta!$I$3:$I$27,MATCH('S3 Tiekartta'!$A162,Työkonekanta!$A$3:$A$24,0),1)*(I162+J162)*f_adblue,0)</f>
        <v>0</v>
      </c>
      <c r="M162" s="146">
        <f t="shared" si="71"/>
        <v>0</v>
      </c>
      <c r="N162" s="143" t="str">
        <f>IF(tuulisähkö_vuosi&lt;='S3 Tiekartta'!C162,"tuulisähkö",ostosähkö_nyt)</f>
        <v>jäännössähkö</v>
      </c>
      <c r="O162" s="147">
        <f>INDEX(Muuttujat!$J$5:$J$21,MATCH($C162,Muuttujat!$H$5:$H$21,0),1)</f>
        <v>65.853419316547502</v>
      </c>
      <c r="P162" s="148">
        <f t="shared" si="63"/>
        <v>0.94</v>
      </c>
      <c r="Q162" s="148">
        <f t="shared" si="64"/>
        <v>0.06</v>
      </c>
      <c r="R162" s="148">
        <f t="shared" si="65"/>
        <v>0.06</v>
      </c>
      <c r="S162" s="149">
        <f t="shared" si="54"/>
        <v>0</v>
      </c>
      <c r="T162" s="150">
        <f t="shared" si="55"/>
        <v>0</v>
      </c>
      <c r="U162" s="150">
        <f t="shared" si="56"/>
        <v>0</v>
      </c>
      <c r="V162" s="150">
        <f>IFERROR(INDEX(Työkonekanta!$J$3:$J$27,MATCH($A162,Työkonekanta!$A$3:$A$24,0),1)*$B162*ef_li_ion_akku/1000/1000/INDEX(Työkonekanta!$K$3:$K$27,MATCH($A162,Työkonekanta!$A$3:$A$24,0)),0)</f>
        <v>0</v>
      </c>
      <c r="W162" s="149">
        <f t="shared" si="72"/>
        <v>0</v>
      </c>
      <c r="X162" s="150">
        <f t="shared" si="73"/>
        <v>0</v>
      </c>
      <c r="Y162" s="151">
        <f t="shared" si="74"/>
        <v>0</v>
      </c>
      <c r="Z162" s="152">
        <f t="shared" si="66"/>
        <v>0</v>
      </c>
      <c r="AA162" s="179">
        <f t="shared" si="67"/>
        <v>0</v>
      </c>
      <c r="AB162" s="179">
        <f t="shared" si="68"/>
        <v>0</v>
      </c>
      <c r="AC162" s="180">
        <f t="shared" si="75"/>
        <v>0</v>
      </c>
      <c r="AD162" s="156">
        <f t="shared" si="69"/>
        <v>0</v>
      </c>
      <c r="AE162" s="146">
        <f>IFERROR(INDEX(Työkonekanta!$L$3:$L$30,MATCH($A162,Työkonekanta!$A$3:$A$30,0),1),0)*AF162</f>
        <v>0</v>
      </c>
      <c r="AF162" s="146">
        <f>IFERROR(INDEX(Työkonekanta!$N$3:$N$32,MATCH($A162,Työkonekanta!$A$3:$A$32,0),1),0)</f>
        <v>0</v>
      </c>
      <c r="AG162" s="332">
        <f>I162*INDEX(Muuttujat!$U$5:$U$21,MATCH($C162,Muuttujat!$N$5:$N$21,0),1)</f>
        <v>0</v>
      </c>
      <c r="AH162" s="332">
        <f>J162*INDEX(Muuttujat!$T$5:$T$21,MATCH($C162,Muuttujat!$N$5:$N$21,0),1)</f>
        <v>0</v>
      </c>
      <c r="AI162" s="332">
        <f t="shared" si="57"/>
        <v>0</v>
      </c>
      <c r="AJ162" s="332">
        <f t="shared" si="58"/>
        <v>0</v>
      </c>
      <c r="AK162" s="333">
        <f t="shared" si="70"/>
        <v>0</v>
      </c>
      <c r="AL162" s="332">
        <f t="shared" si="59"/>
        <v>0</v>
      </c>
      <c r="AM162" s="351"/>
      <c r="AN162" s="351"/>
    </row>
    <row r="163" spans="1:40">
      <c r="A163" s="139">
        <v>11</v>
      </c>
      <c r="B163" s="139">
        <f>IFERROR(IF((INDEX(Työkonekanta!$F$3:$F$27,MATCH('S3 Tiekartta'!$A163,Työkonekanta!$A$3:$A$24,0),1))&lt;0,0,(INDEX(Työkonekanta!$F$3:$F$27,MATCH('S3 Tiekartta'!$A163,Työkonekanta!$A$3:$A$24,0),1))),0)</f>
        <v>1</v>
      </c>
      <c r="C163" s="140">
        <v>2024</v>
      </c>
      <c r="D163" s="141" t="str">
        <f>IFERROR(INDEX(Työkonekanta!$D$3:$D$27,MATCH('S3 Tiekartta'!$A163,Työkonekanta!$A$3:$A$24,0),1),"undefined")</f>
        <v>pom</v>
      </c>
      <c r="E163" s="145">
        <f>IFERROR(INDEX(Työkonekanta!$G$3:$G$27,MATCH($A163,Työkonekanta!$A$3:$A$24,0),1)*INDEX(Työkonekanta!$H$3:$H$27,MATCH($A163,Työkonekanta!$A$3:$A$24,0),1)*(1+s0b_kasvu*($C163-2019))*$B163,0)</f>
        <v>10500</v>
      </c>
      <c r="F163" s="145">
        <f t="shared" si="51"/>
        <v>376950</v>
      </c>
      <c r="G163" s="151">
        <f t="shared" si="60"/>
        <v>354333</v>
      </c>
      <c r="H163" s="145">
        <f t="shared" si="61"/>
        <v>22617</v>
      </c>
      <c r="I163" s="145">
        <f t="shared" si="52"/>
        <v>9870</v>
      </c>
      <c r="J163" s="145">
        <f t="shared" si="53"/>
        <v>659.38775510204084</v>
      </c>
      <c r="K163" s="142" t="str">
        <f t="shared" si="62"/>
        <v>l</v>
      </c>
      <c r="L163" s="146">
        <f>IFERROR(INDEX(Työkonekanta!$I$3:$I$27,MATCH('S3 Tiekartta'!$A163,Työkonekanta!$A$3:$A$24,0),1)*(I163+J163)*f_adblue,0)</f>
        <v>526.46938775510205</v>
      </c>
      <c r="M163" s="146">
        <f t="shared" si="71"/>
        <v>0</v>
      </c>
      <c r="N163" s="143" t="str">
        <f>IF(tuulisähkö_vuosi&lt;='S3 Tiekartta'!C163,"tuulisähkö",ostosähkö_nyt)</f>
        <v>jäännössähkö</v>
      </c>
      <c r="O163" s="147">
        <f>INDEX(Muuttujat!$J$5:$J$21,MATCH($C163,Muuttujat!$H$5:$H$21,0),1)</f>
        <v>65.853419316547502</v>
      </c>
      <c r="P163" s="148">
        <f t="shared" si="63"/>
        <v>0.94</v>
      </c>
      <c r="Q163" s="148">
        <f t="shared" si="64"/>
        <v>0.06</v>
      </c>
      <c r="R163" s="148">
        <f t="shared" si="65"/>
        <v>0.06</v>
      </c>
      <c r="S163" s="149">
        <f t="shared" si="54"/>
        <v>6.6968936999999995</v>
      </c>
      <c r="T163" s="150">
        <f t="shared" si="55"/>
        <v>1.4113008</v>
      </c>
      <c r="U163" s="150">
        <f t="shared" si="56"/>
        <v>0</v>
      </c>
      <c r="V163" s="150">
        <f>IFERROR(INDEX(Työkonekanta!$J$3:$J$27,MATCH($A163,Työkonekanta!$A$3:$A$24,0),1)*$B163*ef_li_ion_akku/1000/1000/INDEX(Työkonekanta!$K$3:$K$27,MATCH($A163,Työkonekanta!$A$3:$A$24,0)),0)</f>
        <v>0</v>
      </c>
      <c r="W163" s="149">
        <f t="shared" si="72"/>
        <v>26.152700163281999</v>
      </c>
      <c r="X163" s="150">
        <f t="shared" si="73"/>
        <v>0.33363294300000002</v>
      </c>
      <c r="Y163" s="151">
        <f t="shared" si="74"/>
        <v>0.13688204081632654</v>
      </c>
      <c r="Z163" s="152">
        <f t="shared" si="66"/>
        <v>8.1081944999999997</v>
      </c>
      <c r="AA163" s="179">
        <f t="shared" si="67"/>
        <v>26.289582204098327</v>
      </c>
      <c r="AB163" s="179">
        <f t="shared" si="68"/>
        <v>26.623215147098328</v>
      </c>
      <c r="AC163" s="180">
        <f t="shared" si="75"/>
        <v>34.397776704098327</v>
      </c>
      <c r="AD163" s="156">
        <f t="shared" si="69"/>
        <v>34.731409647098332</v>
      </c>
      <c r="AE163" s="146">
        <f>IFERROR(INDEX(Työkonekanta!$L$3:$L$30,MATCH($A163,Työkonekanta!$A$3:$A$30,0),1),0)*AF163</f>
        <v>500000</v>
      </c>
      <c r="AF163" s="146">
        <f>IFERROR(INDEX(Työkonekanta!$N$3:$N$32,MATCH($A163,Työkonekanta!$A$3:$A$32,0),1),0)</f>
        <v>1</v>
      </c>
      <c r="AG163" s="332">
        <f>I163*INDEX(Muuttujat!$U$5:$U$21,MATCH($C163,Muuttujat!$N$5:$N$21,0),1)</f>
        <v>10067.4</v>
      </c>
      <c r="AH163" s="332">
        <f>J163*INDEX(Muuttujat!$T$5:$T$21,MATCH($C163,Muuttujat!$N$5:$N$21,0),1)</f>
        <v>936.33061224489791</v>
      </c>
      <c r="AI163" s="332">
        <f t="shared" si="57"/>
        <v>263.23469387755102</v>
      </c>
      <c r="AJ163" s="332">
        <f t="shared" si="58"/>
        <v>0</v>
      </c>
      <c r="AK163" s="333">
        <f t="shared" si="70"/>
        <v>11266.965306122449</v>
      </c>
      <c r="AL163" s="332">
        <f t="shared" si="59"/>
        <v>11266.965306122449</v>
      </c>
      <c r="AM163" s="351"/>
      <c r="AN163" s="351"/>
    </row>
    <row r="164" spans="1:40">
      <c r="A164" s="139">
        <v>12</v>
      </c>
      <c r="B164" s="139">
        <f>IFERROR(IF((INDEX(Työkonekanta!$F$3:$F$27,MATCH('S3 Tiekartta'!$A164,Työkonekanta!$A$3:$A$24,0),1))&lt;0,0,(INDEX(Työkonekanta!$F$3:$F$27,MATCH('S3 Tiekartta'!$A164,Työkonekanta!$A$3:$A$24,0),1))),0)</f>
        <v>1</v>
      </c>
      <c r="C164" s="140">
        <v>2024</v>
      </c>
      <c r="D164" s="141" t="str">
        <f>IFERROR(INDEX(Työkonekanta!$D$3:$D$27,MATCH('S3 Tiekartta'!$A164,Työkonekanta!$A$3:$A$24,0),1),"undefined")</f>
        <v>pom</v>
      </c>
      <c r="E164" s="145">
        <f>IFERROR(INDEX(Työkonekanta!$G$3:$G$27,MATCH($A164,Työkonekanta!$A$3:$A$24,0),1)*INDEX(Työkonekanta!$H$3:$H$27,MATCH($A164,Työkonekanta!$A$3:$A$24,0),1)*(1+s0b_kasvu*($C164-2019))*$B164,0)</f>
        <v>10500</v>
      </c>
      <c r="F164" s="145">
        <f t="shared" si="51"/>
        <v>376950</v>
      </c>
      <c r="G164" s="151">
        <f t="shared" si="60"/>
        <v>354333</v>
      </c>
      <c r="H164" s="145">
        <f t="shared" si="61"/>
        <v>22617</v>
      </c>
      <c r="I164" s="145">
        <f t="shared" si="52"/>
        <v>9870</v>
      </c>
      <c r="J164" s="145">
        <f t="shared" si="53"/>
        <v>659.38775510204084</v>
      </c>
      <c r="K164" s="142" t="str">
        <f t="shared" si="62"/>
        <v>l</v>
      </c>
      <c r="L164" s="146">
        <f>IFERROR(INDEX(Työkonekanta!$I$3:$I$27,MATCH('S3 Tiekartta'!$A164,Työkonekanta!$A$3:$A$24,0),1)*(I164+J164)*f_adblue,0)</f>
        <v>526.46938775510205</v>
      </c>
      <c r="M164" s="146">
        <f t="shared" si="71"/>
        <v>0</v>
      </c>
      <c r="N164" s="143" t="str">
        <f>IF(tuulisähkö_vuosi&lt;='S3 Tiekartta'!C164,"tuulisähkö",ostosähkö_nyt)</f>
        <v>jäännössähkö</v>
      </c>
      <c r="O164" s="147">
        <f>INDEX(Muuttujat!$J$5:$J$21,MATCH($C164,Muuttujat!$H$5:$H$21,0),1)</f>
        <v>65.853419316547502</v>
      </c>
      <c r="P164" s="148">
        <f t="shared" si="63"/>
        <v>0.94</v>
      </c>
      <c r="Q164" s="148">
        <f t="shared" si="64"/>
        <v>0.06</v>
      </c>
      <c r="R164" s="148">
        <f t="shared" si="65"/>
        <v>0.06</v>
      </c>
      <c r="S164" s="149">
        <f t="shared" si="54"/>
        <v>6.6968936999999995</v>
      </c>
      <c r="T164" s="150">
        <f t="shared" si="55"/>
        <v>1.4113008</v>
      </c>
      <c r="U164" s="150">
        <f t="shared" si="56"/>
        <v>0</v>
      </c>
      <c r="V164" s="150">
        <f>IFERROR(INDEX(Työkonekanta!$J$3:$J$27,MATCH($A164,Työkonekanta!$A$3:$A$24,0),1)*$B164*ef_li_ion_akku/1000/1000/INDEX(Työkonekanta!$K$3:$K$27,MATCH($A164,Työkonekanta!$A$3:$A$24,0)),0)</f>
        <v>0</v>
      </c>
      <c r="W164" s="149">
        <f t="shared" si="72"/>
        <v>26.152700163281999</v>
      </c>
      <c r="X164" s="150">
        <f t="shared" si="73"/>
        <v>0.33363294300000002</v>
      </c>
      <c r="Y164" s="151">
        <f t="shared" si="74"/>
        <v>0.13688204081632654</v>
      </c>
      <c r="Z164" s="152">
        <f t="shared" si="66"/>
        <v>8.1081944999999997</v>
      </c>
      <c r="AA164" s="179">
        <f t="shared" si="67"/>
        <v>26.289582204098327</v>
      </c>
      <c r="AB164" s="179">
        <f t="shared" si="68"/>
        <v>26.623215147098328</v>
      </c>
      <c r="AC164" s="180">
        <f t="shared" si="75"/>
        <v>34.397776704098327</v>
      </c>
      <c r="AD164" s="156">
        <f t="shared" si="69"/>
        <v>34.731409647098332</v>
      </c>
      <c r="AE164" s="146">
        <f>IFERROR(INDEX(Työkonekanta!$L$3:$L$30,MATCH($A164,Työkonekanta!$A$3:$A$30,0),1),0)*AF164</f>
        <v>500000</v>
      </c>
      <c r="AF164" s="146">
        <f>IFERROR(INDEX(Työkonekanta!$N$3:$N$32,MATCH($A164,Työkonekanta!$A$3:$A$32,0),1),0)</f>
        <v>1</v>
      </c>
      <c r="AG164" s="332">
        <f>I164*INDEX(Muuttujat!$U$5:$U$21,MATCH($C164,Muuttujat!$N$5:$N$21,0),1)</f>
        <v>10067.4</v>
      </c>
      <c r="AH164" s="332">
        <f>J164*INDEX(Muuttujat!$T$5:$T$21,MATCH($C164,Muuttujat!$N$5:$N$21,0),1)</f>
        <v>936.33061224489791</v>
      </c>
      <c r="AI164" s="332">
        <f t="shared" si="57"/>
        <v>263.23469387755102</v>
      </c>
      <c r="AJ164" s="332">
        <f t="shared" si="58"/>
        <v>0</v>
      </c>
      <c r="AK164" s="333">
        <f t="shared" si="70"/>
        <v>11266.965306122449</v>
      </c>
      <c r="AL164" s="332">
        <f t="shared" si="59"/>
        <v>11266.965306122449</v>
      </c>
      <c r="AM164" s="351"/>
      <c r="AN164" s="351"/>
    </row>
    <row r="165" spans="1:40">
      <c r="A165" s="139">
        <v>13</v>
      </c>
      <c r="B165" s="139">
        <f>IFERROR(IF((INDEX(Työkonekanta!$F$3:$F$27,MATCH('S3 Tiekartta'!$A165,Työkonekanta!$A$3:$A$24,0),1))&lt;0,0,(INDEX(Työkonekanta!$F$3:$F$27,MATCH('S3 Tiekartta'!$A165,Työkonekanta!$A$3:$A$24,0),1))),0)</f>
        <v>0</v>
      </c>
      <c r="C165" s="140">
        <v>2024</v>
      </c>
      <c r="D165" s="141" t="str">
        <f>IFERROR(INDEX(Työkonekanta!$D$3:$D$27,MATCH('S3 Tiekartta'!$A165,Työkonekanta!$A$3:$A$24,0),1),"undefined")</f>
        <v>pom</v>
      </c>
      <c r="E165" s="145">
        <f>IFERROR(INDEX(Työkonekanta!$G$3:$G$27,MATCH($A165,Työkonekanta!$A$3:$A$24,0),1)*INDEX(Työkonekanta!$H$3:$H$27,MATCH($A165,Työkonekanta!$A$3:$A$24,0),1)*(1+s0b_kasvu*($C165-2019))*$B165,0)</f>
        <v>0</v>
      </c>
      <c r="F165" s="145">
        <f t="shared" si="51"/>
        <v>0</v>
      </c>
      <c r="G165" s="151">
        <f t="shared" si="60"/>
        <v>0</v>
      </c>
      <c r="H165" s="145">
        <f t="shared" si="61"/>
        <v>0</v>
      </c>
      <c r="I165" s="145">
        <f t="shared" si="52"/>
        <v>0</v>
      </c>
      <c r="J165" s="145">
        <f t="shared" si="53"/>
        <v>0</v>
      </c>
      <c r="K165" s="142" t="str">
        <f t="shared" si="62"/>
        <v>l</v>
      </c>
      <c r="L165" s="146">
        <f>IFERROR(INDEX(Työkonekanta!$I$3:$I$27,MATCH('S3 Tiekartta'!$A165,Työkonekanta!$A$3:$A$24,0),1)*(I165+J165)*f_adblue,0)</f>
        <v>0</v>
      </c>
      <c r="M165" s="146">
        <f t="shared" si="71"/>
        <v>0</v>
      </c>
      <c r="N165" s="143" t="str">
        <f>IF(tuulisähkö_vuosi&lt;='S3 Tiekartta'!C165,"tuulisähkö",ostosähkö_nyt)</f>
        <v>jäännössähkö</v>
      </c>
      <c r="O165" s="147">
        <f>INDEX(Muuttujat!$J$5:$J$21,MATCH($C165,Muuttujat!$H$5:$H$21,0),1)</f>
        <v>65.853419316547502</v>
      </c>
      <c r="P165" s="148">
        <f t="shared" si="63"/>
        <v>0.94</v>
      </c>
      <c r="Q165" s="148">
        <f t="shared" si="64"/>
        <v>0.06</v>
      </c>
      <c r="R165" s="148">
        <f t="shared" si="65"/>
        <v>0.06</v>
      </c>
      <c r="S165" s="149">
        <f t="shared" si="54"/>
        <v>0</v>
      </c>
      <c r="T165" s="150">
        <f t="shared" si="55"/>
        <v>0</v>
      </c>
      <c r="U165" s="150">
        <f t="shared" si="56"/>
        <v>0</v>
      </c>
      <c r="V165" s="150">
        <f>IFERROR(INDEX(Työkonekanta!$J$3:$J$27,MATCH($A165,Työkonekanta!$A$3:$A$24,0),1)*$B165*ef_li_ion_akku/1000/1000/INDEX(Työkonekanta!$K$3:$K$27,MATCH($A165,Työkonekanta!$A$3:$A$24,0)),0)</f>
        <v>0</v>
      </c>
      <c r="W165" s="149">
        <f t="shared" si="72"/>
        <v>0</v>
      </c>
      <c r="X165" s="150">
        <f t="shared" si="73"/>
        <v>0</v>
      </c>
      <c r="Y165" s="151">
        <f t="shared" si="74"/>
        <v>0</v>
      </c>
      <c r="Z165" s="152">
        <f t="shared" si="66"/>
        <v>0</v>
      </c>
      <c r="AA165" s="179">
        <f t="shared" si="67"/>
        <v>0</v>
      </c>
      <c r="AB165" s="179">
        <f t="shared" si="68"/>
        <v>0</v>
      </c>
      <c r="AC165" s="180">
        <f t="shared" si="75"/>
        <v>0</v>
      </c>
      <c r="AD165" s="156">
        <f t="shared" si="69"/>
        <v>0</v>
      </c>
      <c r="AE165" s="146">
        <f>IFERROR(INDEX(Työkonekanta!$L$3:$L$30,MATCH($A165,Työkonekanta!$A$3:$A$30,0),1),0)*AF165</f>
        <v>0</v>
      </c>
      <c r="AF165" s="146">
        <f>IFERROR(INDEX(Työkonekanta!$N$3:$N$32,MATCH($A165,Työkonekanta!$A$3:$A$32,0),1),0)</f>
        <v>0</v>
      </c>
      <c r="AG165" s="332">
        <f>I165*INDEX(Muuttujat!$U$5:$U$21,MATCH($C165,Muuttujat!$N$5:$N$21,0),1)</f>
        <v>0</v>
      </c>
      <c r="AH165" s="332">
        <f>J165*INDEX(Muuttujat!$T$5:$T$21,MATCH($C165,Muuttujat!$N$5:$N$21,0),1)</f>
        <v>0</v>
      </c>
      <c r="AI165" s="332">
        <f t="shared" si="57"/>
        <v>0</v>
      </c>
      <c r="AJ165" s="332">
        <f t="shared" si="58"/>
        <v>0</v>
      </c>
      <c r="AK165" s="333">
        <f t="shared" si="70"/>
        <v>0</v>
      </c>
      <c r="AL165" s="332">
        <f t="shared" si="59"/>
        <v>0</v>
      </c>
      <c r="AM165" s="351"/>
      <c r="AN165" s="351"/>
    </row>
    <row r="166" spans="1:40">
      <c r="A166" s="139">
        <v>14</v>
      </c>
      <c r="B166" s="139">
        <f>IFERROR(IF((INDEX(Työkonekanta!$F$3:$F$27,MATCH('S3 Tiekartta'!$A166,Työkonekanta!$A$3:$A$24,0),1))&lt;0,0,(INDEX(Työkonekanta!$F$3:$F$27,MATCH('S3 Tiekartta'!$A166,Työkonekanta!$A$3:$A$24,0),1))),0)</f>
        <v>0</v>
      </c>
      <c r="C166" s="140">
        <v>2024</v>
      </c>
      <c r="D166" s="141" t="str">
        <f>IFERROR(INDEX(Työkonekanta!$D$3:$D$27,MATCH('S3 Tiekartta'!$A166,Työkonekanta!$A$3:$A$24,0),1),"undefined")</f>
        <v>pom</v>
      </c>
      <c r="E166" s="145">
        <f>IFERROR(INDEX(Työkonekanta!$G$3:$G$27,MATCH($A166,Työkonekanta!$A$3:$A$24,0),1)*INDEX(Työkonekanta!$H$3:$H$27,MATCH($A166,Työkonekanta!$A$3:$A$24,0),1)*(1+s0b_kasvu*($C166-2019))*$B166,0)</f>
        <v>0</v>
      </c>
      <c r="F166" s="145">
        <f t="shared" si="51"/>
        <v>0</v>
      </c>
      <c r="G166" s="151">
        <f t="shared" si="60"/>
        <v>0</v>
      </c>
      <c r="H166" s="145">
        <f t="shared" si="61"/>
        <v>0</v>
      </c>
      <c r="I166" s="145">
        <f t="shared" si="52"/>
        <v>0</v>
      </c>
      <c r="J166" s="145">
        <f t="shared" si="53"/>
        <v>0</v>
      </c>
      <c r="K166" s="142" t="str">
        <f t="shared" si="62"/>
        <v>l</v>
      </c>
      <c r="L166" s="146">
        <f>IFERROR(INDEX(Työkonekanta!$I$3:$I$27,MATCH('S3 Tiekartta'!$A166,Työkonekanta!$A$3:$A$24,0),1)*(I166+J166)*f_adblue,0)</f>
        <v>0</v>
      </c>
      <c r="M166" s="146">
        <f t="shared" si="71"/>
        <v>0</v>
      </c>
      <c r="N166" s="143" t="str">
        <f>IF(tuulisähkö_vuosi&lt;='S3 Tiekartta'!C166,"tuulisähkö",ostosähkö_nyt)</f>
        <v>jäännössähkö</v>
      </c>
      <c r="O166" s="147">
        <f>INDEX(Muuttujat!$J$5:$J$21,MATCH($C166,Muuttujat!$H$5:$H$21,0),1)</f>
        <v>65.853419316547502</v>
      </c>
      <c r="P166" s="148">
        <f t="shared" si="63"/>
        <v>0.94</v>
      </c>
      <c r="Q166" s="148">
        <f t="shared" si="64"/>
        <v>0.06</v>
      </c>
      <c r="R166" s="148">
        <f t="shared" si="65"/>
        <v>0.06</v>
      </c>
      <c r="S166" s="149">
        <f t="shared" si="54"/>
        <v>0</v>
      </c>
      <c r="T166" s="150">
        <f t="shared" si="55"/>
        <v>0</v>
      </c>
      <c r="U166" s="150">
        <f t="shared" si="56"/>
        <v>0</v>
      </c>
      <c r="V166" s="150">
        <f>IFERROR(INDEX(Työkonekanta!$J$3:$J$27,MATCH($A166,Työkonekanta!$A$3:$A$24,0),1)*$B166*ef_li_ion_akku/1000/1000/INDEX(Työkonekanta!$K$3:$K$27,MATCH($A166,Työkonekanta!$A$3:$A$24,0)),0)</f>
        <v>0</v>
      </c>
      <c r="W166" s="149">
        <f t="shared" si="72"/>
        <v>0</v>
      </c>
      <c r="X166" s="150">
        <f t="shared" si="73"/>
        <v>0</v>
      </c>
      <c r="Y166" s="151">
        <f t="shared" si="74"/>
        <v>0</v>
      </c>
      <c r="Z166" s="152">
        <f t="shared" si="66"/>
        <v>0</v>
      </c>
      <c r="AA166" s="179">
        <f t="shared" si="67"/>
        <v>0</v>
      </c>
      <c r="AB166" s="179">
        <f t="shared" si="68"/>
        <v>0</v>
      </c>
      <c r="AC166" s="180">
        <f t="shared" si="75"/>
        <v>0</v>
      </c>
      <c r="AD166" s="156">
        <f t="shared" si="69"/>
        <v>0</v>
      </c>
      <c r="AE166" s="146">
        <f>IFERROR(INDEX(Työkonekanta!$L$3:$L$30,MATCH($A166,Työkonekanta!$A$3:$A$30,0),1),0)*AF166</f>
        <v>0</v>
      </c>
      <c r="AF166" s="146">
        <f>IFERROR(INDEX(Työkonekanta!$N$3:$N$32,MATCH($A166,Työkonekanta!$A$3:$A$32,0),1),0)</f>
        <v>0</v>
      </c>
      <c r="AG166" s="332">
        <f>I166*INDEX(Muuttujat!$U$5:$U$21,MATCH($C166,Muuttujat!$N$5:$N$21,0),1)</f>
        <v>0</v>
      </c>
      <c r="AH166" s="332">
        <f>J166*INDEX(Muuttujat!$T$5:$T$21,MATCH($C166,Muuttujat!$N$5:$N$21,0),1)</f>
        <v>0</v>
      </c>
      <c r="AI166" s="332">
        <f t="shared" si="57"/>
        <v>0</v>
      </c>
      <c r="AJ166" s="332">
        <f t="shared" si="58"/>
        <v>0</v>
      </c>
      <c r="AK166" s="333">
        <f t="shared" si="70"/>
        <v>0</v>
      </c>
      <c r="AL166" s="332">
        <f t="shared" si="59"/>
        <v>0</v>
      </c>
      <c r="AM166" s="351"/>
      <c r="AN166" s="351"/>
    </row>
    <row r="167" spans="1:40">
      <c r="A167" s="139">
        <v>15</v>
      </c>
      <c r="B167" s="139">
        <f>IFERROR(IF((INDEX(Työkonekanta!$F$3:$F$27,MATCH('S3 Tiekartta'!$A167,Työkonekanta!$A$3:$A$24,0),1))&lt;0,0,(INDEX(Työkonekanta!$F$3:$F$27,MATCH('S3 Tiekartta'!$A167,Työkonekanta!$A$3:$A$24,0),1))),0)</f>
        <v>0</v>
      </c>
      <c r="C167" s="140">
        <v>2024</v>
      </c>
      <c r="D167" s="141" t="str">
        <f>IFERROR(INDEX(Työkonekanta!$D$3:$D$27,MATCH('S3 Tiekartta'!$A167,Työkonekanta!$A$3:$A$24,0),1),"undefined")</f>
        <v>sähkö</v>
      </c>
      <c r="E167" s="145">
        <f>IFERROR(INDEX(Työkonekanta!$G$3:$G$27,MATCH($A167,Työkonekanta!$A$3:$A$24,0),1)*INDEX(Työkonekanta!$H$3:$H$27,MATCH($A167,Työkonekanta!$A$3:$A$24,0),1)*(1+s0b_kasvu*($C167-2019))*$B167,0)</f>
        <v>0</v>
      </c>
      <c r="F167" s="145">
        <f t="shared" si="51"/>
        <v>0</v>
      </c>
      <c r="G167" s="151">
        <f t="shared" si="60"/>
        <v>0</v>
      </c>
      <c r="H167" s="145">
        <f t="shared" si="61"/>
        <v>0</v>
      </c>
      <c r="I167" s="145">
        <f t="shared" si="52"/>
        <v>0</v>
      </c>
      <c r="J167" s="145">
        <f t="shared" si="53"/>
        <v>0</v>
      </c>
      <c r="K167" s="142" t="str">
        <f t="shared" si="62"/>
        <v>kWh</v>
      </c>
      <c r="L167" s="146">
        <f>IFERROR(INDEX(Työkonekanta!$I$3:$I$27,MATCH('S3 Tiekartta'!$A167,Työkonekanta!$A$3:$A$24,0),1)*(I167+J167)*f_adblue,0)</f>
        <v>0</v>
      </c>
      <c r="M167" s="146">
        <f t="shared" si="71"/>
        <v>0</v>
      </c>
      <c r="N167" s="143" t="str">
        <f>IF(tuulisähkö_vuosi&lt;='S3 Tiekartta'!C167,"tuulisähkö",ostosähkö_nyt)</f>
        <v>jäännössähkö</v>
      </c>
      <c r="O167" s="147">
        <f>INDEX(Muuttujat!$J$5:$J$21,MATCH($C167,Muuttujat!$H$5:$H$21,0),1)</f>
        <v>65.853419316547502</v>
      </c>
      <c r="P167" s="148">
        <f t="shared" si="63"/>
        <v>0.94</v>
      </c>
      <c r="Q167" s="148">
        <f t="shared" si="64"/>
        <v>0.06</v>
      </c>
      <c r="R167" s="148">
        <f t="shared" si="65"/>
        <v>0.06</v>
      </c>
      <c r="S167" s="149">
        <f t="shared" si="54"/>
        <v>0</v>
      </c>
      <c r="T167" s="150">
        <f t="shared" si="55"/>
        <v>0</v>
      </c>
      <c r="U167" s="150">
        <f t="shared" si="56"/>
        <v>0</v>
      </c>
      <c r="V167" s="150">
        <f>IFERROR(INDEX(Työkonekanta!$J$3:$J$27,MATCH($A167,Työkonekanta!$A$3:$A$24,0),1)*$B167*ef_li_ion_akku/1000/1000/INDEX(Työkonekanta!$K$3:$K$27,MATCH($A167,Työkonekanta!$A$3:$A$24,0)),0)</f>
        <v>0</v>
      </c>
      <c r="W167" s="149">
        <f t="shared" si="72"/>
        <v>0</v>
      </c>
      <c r="X167" s="150">
        <f t="shared" si="73"/>
        <v>0</v>
      </c>
      <c r="Y167" s="151">
        <f t="shared" si="74"/>
        <v>0</v>
      </c>
      <c r="Z167" s="152">
        <f t="shared" si="66"/>
        <v>0</v>
      </c>
      <c r="AA167" s="179">
        <f t="shared" si="67"/>
        <v>0</v>
      </c>
      <c r="AB167" s="179">
        <f t="shared" si="68"/>
        <v>0</v>
      </c>
      <c r="AC167" s="180">
        <f t="shared" si="75"/>
        <v>0</v>
      </c>
      <c r="AD167" s="156">
        <f t="shared" si="69"/>
        <v>0</v>
      </c>
      <c r="AE167" s="146">
        <f>IFERROR(INDEX(Työkonekanta!$L$3:$L$30,MATCH($A167,Työkonekanta!$A$3:$A$30,0),1),0)*AF167</f>
        <v>0</v>
      </c>
      <c r="AF167" s="146">
        <f>IFERROR(INDEX(Työkonekanta!$N$3:$N$32,MATCH($A167,Työkonekanta!$A$3:$A$32,0),1),0)</f>
        <v>0</v>
      </c>
      <c r="AG167" s="332">
        <f>I167*INDEX(Muuttujat!$U$5:$U$21,MATCH($C167,Muuttujat!$N$5:$N$21,0),1)</f>
        <v>0</v>
      </c>
      <c r="AH167" s="332">
        <f>J167*INDEX(Muuttujat!$T$5:$T$21,MATCH($C167,Muuttujat!$N$5:$N$21,0),1)</f>
        <v>0</v>
      </c>
      <c r="AI167" s="332">
        <f t="shared" si="57"/>
        <v>0</v>
      </c>
      <c r="AJ167" s="332">
        <f t="shared" si="58"/>
        <v>0</v>
      </c>
      <c r="AK167" s="333">
        <f t="shared" si="70"/>
        <v>0</v>
      </c>
      <c r="AL167" s="332">
        <f t="shared" si="59"/>
        <v>0</v>
      </c>
      <c r="AM167" s="351"/>
      <c r="AN167" s="351"/>
    </row>
    <row r="168" spans="1:40">
      <c r="A168" s="139">
        <v>16</v>
      </c>
      <c r="B168" s="139">
        <f>IFERROR(IF((INDEX(Työkonekanta!$F$3:$F$27,MATCH('S3 Tiekartta'!$A168,Työkonekanta!$A$3:$A$24,0),1))&lt;0,0,(INDEX(Työkonekanta!$F$3:$F$27,MATCH('S3 Tiekartta'!$A168,Työkonekanta!$A$3:$A$24,0),1))),0)</f>
        <v>0</v>
      </c>
      <c r="C168" s="140">
        <v>2024</v>
      </c>
      <c r="D168" s="141" t="str">
        <f>IFERROR(INDEX(Työkonekanta!$D$3:$D$27,MATCH('S3 Tiekartta'!$A168,Työkonekanta!$A$3:$A$24,0),1),"undefined")</f>
        <v>sähkö</v>
      </c>
      <c r="E168" s="145">
        <f>IFERROR(INDEX(Työkonekanta!$G$3:$G$27,MATCH($A168,Työkonekanta!$A$3:$A$24,0),1)*INDEX(Työkonekanta!$H$3:$H$27,MATCH($A168,Työkonekanta!$A$3:$A$24,0),1)*(1+s0b_kasvu*($C168-2019))*$B168,0)</f>
        <v>0</v>
      </c>
      <c r="F168" s="145">
        <f t="shared" si="51"/>
        <v>0</v>
      </c>
      <c r="G168" s="151">
        <f t="shared" si="60"/>
        <v>0</v>
      </c>
      <c r="H168" s="145">
        <f t="shared" si="61"/>
        <v>0</v>
      </c>
      <c r="I168" s="145">
        <f t="shared" si="52"/>
        <v>0</v>
      </c>
      <c r="J168" s="145">
        <f t="shared" si="53"/>
        <v>0</v>
      </c>
      <c r="K168" s="142" t="str">
        <f t="shared" si="62"/>
        <v>kWh</v>
      </c>
      <c r="L168" s="146">
        <f>IFERROR(INDEX(Työkonekanta!$I$3:$I$27,MATCH('S3 Tiekartta'!$A168,Työkonekanta!$A$3:$A$24,0),1)*(I168+J168)*f_adblue,0)</f>
        <v>0</v>
      </c>
      <c r="M168" s="146">
        <f t="shared" si="71"/>
        <v>0</v>
      </c>
      <c r="N168" s="143" t="str">
        <f>IF(tuulisähkö_vuosi&lt;='S3 Tiekartta'!C168,"tuulisähkö",ostosähkö_nyt)</f>
        <v>jäännössähkö</v>
      </c>
      <c r="O168" s="147">
        <f>INDEX(Muuttujat!$J$5:$J$21,MATCH($C168,Muuttujat!$H$5:$H$21,0),1)</f>
        <v>65.853419316547502</v>
      </c>
      <c r="P168" s="148">
        <f t="shared" si="63"/>
        <v>0.94</v>
      </c>
      <c r="Q168" s="148">
        <f t="shared" si="64"/>
        <v>0.06</v>
      </c>
      <c r="R168" s="148">
        <f t="shared" si="65"/>
        <v>0.06</v>
      </c>
      <c r="S168" s="149">
        <f t="shared" si="54"/>
        <v>0</v>
      </c>
      <c r="T168" s="150">
        <f t="shared" si="55"/>
        <v>0</v>
      </c>
      <c r="U168" s="150">
        <f t="shared" si="56"/>
        <v>0</v>
      </c>
      <c r="V168" s="150">
        <f>IFERROR(INDEX(Työkonekanta!$J$3:$J$27,MATCH($A168,Työkonekanta!$A$3:$A$24,0),1)*$B168*ef_li_ion_akku/1000/1000/INDEX(Työkonekanta!$K$3:$K$27,MATCH($A168,Työkonekanta!$A$3:$A$24,0)),0)</f>
        <v>0</v>
      </c>
      <c r="W168" s="149">
        <f t="shared" si="72"/>
        <v>0</v>
      </c>
      <c r="X168" s="150">
        <f t="shared" si="73"/>
        <v>0</v>
      </c>
      <c r="Y168" s="151">
        <f t="shared" si="74"/>
        <v>0</v>
      </c>
      <c r="Z168" s="152">
        <f t="shared" si="66"/>
        <v>0</v>
      </c>
      <c r="AA168" s="179">
        <f t="shared" si="67"/>
        <v>0</v>
      </c>
      <c r="AB168" s="179">
        <f t="shared" si="68"/>
        <v>0</v>
      </c>
      <c r="AC168" s="180">
        <f t="shared" si="75"/>
        <v>0</v>
      </c>
      <c r="AD168" s="156">
        <f t="shared" si="69"/>
        <v>0</v>
      </c>
      <c r="AE168" s="146">
        <f>IFERROR(INDEX(Työkonekanta!$L$3:$L$30,MATCH($A168,Työkonekanta!$A$3:$A$30,0),1),0)*AF168</f>
        <v>0</v>
      </c>
      <c r="AF168" s="146">
        <f>IFERROR(INDEX(Työkonekanta!$N$3:$N$32,MATCH($A168,Työkonekanta!$A$3:$A$32,0),1),0)</f>
        <v>0</v>
      </c>
      <c r="AG168" s="332">
        <f>I168*INDEX(Muuttujat!$U$5:$U$21,MATCH($C168,Muuttujat!$N$5:$N$21,0),1)</f>
        <v>0</v>
      </c>
      <c r="AH168" s="332">
        <f>J168*INDEX(Muuttujat!$T$5:$T$21,MATCH($C168,Muuttujat!$N$5:$N$21,0),1)</f>
        <v>0</v>
      </c>
      <c r="AI168" s="332">
        <f t="shared" si="57"/>
        <v>0</v>
      </c>
      <c r="AJ168" s="332">
        <f t="shared" si="58"/>
        <v>0</v>
      </c>
      <c r="AK168" s="333">
        <f t="shared" si="70"/>
        <v>0</v>
      </c>
      <c r="AL168" s="332">
        <f t="shared" si="59"/>
        <v>0</v>
      </c>
      <c r="AM168" s="351"/>
      <c r="AN168" s="351"/>
    </row>
    <row r="169" spans="1:40">
      <c r="A169" s="139">
        <v>17</v>
      </c>
      <c r="B169" s="139">
        <f>IFERROR(IF((INDEX(Työkonekanta!$F$3:$F$27,MATCH('S3 Tiekartta'!$A169,Työkonekanta!$A$3:$A$24,0),1))&lt;0,0,(INDEX(Työkonekanta!$F$3:$F$27,MATCH('S3 Tiekartta'!$A169,Työkonekanta!$A$3:$A$24,0),1))),0)</f>
        <v>1</v>
      </c>
      <c r="C169" s="140">
        <v>2024</v>
      </c>
      <c r="D169" s="141" t="str">
        <f>IFERROR(INDEX(Työkonekanta!$D$3:$D$27,MATCH('S3 Tiekartta'!$A169,Työkonekanta!$A$3:$A$24,0),1),"undefined")</f>
        <v>pom</v>
      </c>
      <c r="E169" s="145">
        <f>IFERROR(INDEX(Työkonekanta!$G$3:$G$27,MATCH($A169,Työkonekanta!$A$3:$A$24,0),1)*INDEX(Työkonekanta!$H$3:$H$27,MATCH($A169,Työkonekanta!$A$3:$A$24,0),1)*(1+s0b_kasvu*($C169-2019))*$B169,0)</f>
        <v>10500</v>
      </c>
      <c r="F169" s="145">
        <f t="shared" si="51"/>
        <v>376950</v>
      </c>
      <c r="G169" s="151">
        <f t="shared" si="60"/>
        <v>354333</v>
      </c>
      <c r="H169" s="145">
        <f t="shared" si="61"/>
        <v>22617</v>
      </c>
      <c r="I169" s="145">
        <f t="shared" si="52"/>
        <v>9870</v>
      </c>
      <c r="J169" s="145">
        <f t="shared" si="53"/>
        <v>659.38775510204084</v>
      </c>
      <c r="K169" s="142" t="str">
        <f t="shared" si="62"/>
        <v>l</v>
      </c>
      <c r="L169" s="146">
        <f>IFERROR(INDEX(Työkonekanta!$I$3:$I$27,MATCH('S3 Tiekartta'!$A169,Työkonekanta!$A$3:$A$24,0),1)*(I169+J169)*f_adblue,0)</f>
        <v>526.46938775510205</v>
      </c>
      <c r="M169" s="146">
        <f t="shared" si="71"/>
        <v>0</v>
      </c>
      <c r="N169" s="143" t="str">
        <f>IF(tuulisähkö_vuosi&lt;='S3 Tiekartta'!C169,"tuulisähkö",ostosähkö_nyt)</f>
        <v>jäännössähkö</v>
      </c>
      <c r="O169" s="147">
        <f>INDEX(Muuttujat!$J$5:$J$21,MATCH($C169,Muuttujat!$H$5:$H$21,0),1)</f>
        <v>65.853419316547502</v>
      </c>
      <c r="P169" s="148">
        <f t="shared" si="63"/>
        <v>0.94</v>
      </c>
      <c r="Q169" s="148">
        <f t="shared" si="64"/>
        <v>0.06</v>
      </c>
      <c r="R169" s="148">
        <f t="shared" si="65"/>
        <v>0.06</v>
      </c>
      <c r="S169" s="149">
        <f t="shared" si="54"/>
        <v>6.6968936999999995</v>
      </c>
      <c r="T169" s="150">
        <f t="shared" si="55"/>
        <v>1.4113008</v>
      </c>
      <c r="U169" s="150">
        <f t="shared" si="56"/>
        <v>0</v>
      </c>
      <c r="V169" s="150">
        <f>IFERROR(INDEX(Työkonekanta!$J$3:$J$27,MATCH($A169,Työkonekanta!$A$3:$A$24,0),1)*$B169*ef_li_ion_akku/1000/1000/INDEX(Työkonekanta!$K$3:$K$27,MATCH($A169,Työkonekanta!$A$3:$A$24,0)),0)</f>
        <v>0</v>
      </c>
      <c r="W169" s="149">
        <f t="shared" si="72"/>
        <v>26.152700163281999</v>
      </c>
      <c r="X169" s="150">
        <f t="shared" si="73"/>
        <v>0.33363294300000002</v>
      </c>
      <c r="Y169" s="151">
        <f t="shared" si="74"/>
        <v>0.13688204081632654</v>
      </c>
      <c r="Z169" s="152">
        <f t="shared" si="66"/>
        <v>8.1081944999999997</v>
      </c>
      <c r="AA169" s="179">
        <f t="shared" si="67"/>
        <v>26.289582204098327</v>
      </c>
      <c r="AB169" s="179">
        <f t="shared" si="68"/>
        <v>26.623215147098328</v>
      </c>
      <c r="AC169" s="180">
        <f t="shared" si="75"/>
        <v>34.397776704098327</v>
      </c>
      <c r="AD169" s="156">
        <f t="shared" si="69"/>
        <v>34.731409647098332</v>
      </c>
      <c r="AE169" s="146">
        <f>IFERROR(INDEX(Työkonekanta!$L$3:$L$30,MATCH($A169,Työkonekanta!$A$3:$A$30,0),1),0)*AF169</f>
        <v>500000</v>
      </c>
      <c r="AF169" s="146">
        <f>IFERROR(INDEX(Työkonekanta!$N$3:$N$32,MATCH($A169,Työkonekanta!$A$3:$A$32,0),1),0)</f>
        <v>1</v>
      </c>
      <c r="AG169" s="332">
        <f>I169*INDEX(Muuttujat!$U$5:$U$21,MATCH($C169,Muuttujat!$N$5:$N$21,0),1)</f>
        <v>10067.4</v>
      </c>
      <c r="AH169" s="332">
        <f>J169*INDEX(Muuttujat!$T$5:$T$21,MATCH($C169,Muuttujat!$N$5:$N$21,0),1)</f>
        <v>936.33061224489791</v>
      </c>
      <c r="AI169" s="332">
        <f t="shared" si="57"/>
        <v>263.23469387755102</v>
      </c>
      <c r="AJ169" s="332">
        <f t="shared" si="58"/>
        <v>0</v>
      </c>
      <c r="AK169" s="333">
        <f t="shared" si="70"/>
        <v>11266.965306122449</v>
      </c>
      <c r="AL169" s="332">
        <f t="shared" si="59"/>
        <v>11266.965306122449</v>
      </c>
      <c r="AM169" s="351"/>
      <c r="AN169" s="351"/>
    </row>
    <row r="170" spans="1:40">
      <c r="A170" s="139">
        <v>18</v>
      </c>
      <c r="B170" s="139">
        <f>IFERROR(IF((INDEX(Työkonekanta!$F$3:$F$27,MATCH('S3 Tiekartta'!$A170,Työkonekanta!$A$3:$A$24,0),1))&lt;0,0,(INDEX(Työkonekanta!$F$3:$F$27,MATCH('S3 Tiekartta'!$A170,Työkonekanta!$A$3:$A$24,0),1))),0)</f>
        <v>1</v>
      </c>
      <c r="C170" s="140">
        <v>2024</v>
      </c>
      <c r="D170" s="141" t="str">
        <f>IFERROR(INDEX(Työkonekanta!$D$3:$D$27,MATCH('S3 Tiekartta'!$A170,Työkonekanta!$A$3:$A$24,0),1),"undefined")</f>
        <v>pom</v>
      </c>
      <c r="E170" s="145">
        <f>IFERROR(INDEX(Työkonekanta!$G$3:$G$27,MATCH($A170,Työkonekanta!$A$3:$A$24,0),1)*INDEX(Työkonekanta!$H$3:$H$27,MATCH($A170,Työkonekanta!$A$3:$A$24,0),1)*(1+s0b_kasvu*($C170-2019))*$B170,0)</f>
        <v>10500</v>
      </c>
      <c r="F170" s="145">
        <f t="shared" si="51"/>
        <v>376950</v>
      </c>
      <c r="G170" s="151">
        <f t="shared" si="60"/>
        <v>354333</v>
      </c>
      <c r="H170" s="145">
        <f t="shared" si="61"/>
        <v>22617</v>
      </c>
      <c r="I170" s="145">
        <f t="shared" si="52"/>
        <v>9870</v>
      </c>
      <c r="J170" s="145">
        <f t="shared" si="53"/>
        <v>659.38775510204084</v>
      </c>
      <c r="K170" s="142" t="str">
        <f t="shared" si="62"/>
        <v>l</v>
      </c>
      <c r="L170" s="146">
        <f>IFERROR(INDEX(Työkonekanta!$I$3:$I$27,MATCH('S3 Tiekartta'!$A170,Työkonekanta!$A$3:$A$24,0),1)*(I170+J170)*f_adblue,0)</f>
        <v>421.17551020408166</v>
      </c>
      <c r="M170" s="146">
        <f t="shared" si="71"/>
        <v>0</v>
      </c>
      <c r="N170" s="143" t="str">
        <f>IF(tuulisähkö_vuosi&lt;='S3 Tiekartta'!C170,"tuulisähkö",ostosähkö_nyt)</f>
        <v>jäännössähkö</v>
      </c>
      <c r="O170" s="147">
        <f>INDEX(Muuttujat!$J$5:$J$21,MATCH($C170,Muuttujat!$H$5:$H$21,0),1)</f>
        <v>65.853419316547502</v>
      </c>
      <c r="P170" s="148">
        <f t="shared" si="63"/>
        <v>0.94</v>
      </c>
      <c r="Q170" s="148">
        <f t="shared" si="64"/>
        <v>0.06</v>
      </c>
      <c r="R170" s="148">
        <f t="shared" si="65"/>
        <v>0.06</v>
      </c>
      <c r="S170" s="149">
        <f t="shared" si="54"/>
        <v>6.6968936999999995</v>
      </c>
      <c r="T170" s="150">
        <f t="shared" si="55"/>
        <v>1.4113008</v>
      </c>
      <c r="U170" s="150">
        <f t="shared" si="56"/>
        <v>0</v>
      </c>
      <c r="V170" s="150">
        <f>IFERROR(INDEX(Työkonekanta!$J$3:$J$27,MATCH($A170,Työkonekanta!$A$3:$A$24,0),1)*$B170*ef_li_ion_akku/1000/1000/INDEX(Työkonekanta!$K$3:$K$27,MATCH($A170,Työkonekanta!$A$3:$A$24,0)),0)</f>
        <v>0</v>
      </c>
      <c r="W170" s="149">
        <f t="shared" si="72"/>
        <v>26.152700163281999</v>
      </c>
      <c r="X170" s="150">
        <f t="shared" si="73"/>
        <v>0.33363294300000002</v>
      </c>
      <c r="Y170" s="151">
        <f t="shared" si="74"/>
        <v>0.10950563265306122</v>
      </c>
      <c r="Z170" s="152">
        <f t="shared" si="66"/>
        <v>8.1081944999999997</v>
      </c>
      <c r="AA170" s="179">
        <f t="shared" si="67"/>
        <v>26.26220579593506</v>
      </c>
      <c r="AB170" s="179">
        <f t="shared" si="68"/>
        <v>26.595838738935061</v>
      </c>
      <c r="AC170" s="180">
        <f t="shared" si="75"/>
        <v>34.370400295935056</v>
      </c>
      <c r="AD170" s="156">
        <f t="shared" si="69"/>
        <v>34.704033238935061</v>
      </c>
      <c r="AE170" s="146">
        <f>IFERROR(INDEX(Työkonekanta!$L$3:$L$30,MATCH($A170,Työkonekanta!$A$3:$A$30,0),1),0)*AF170</f>
        <v>500000</v>
      </c>
      <c r="AF170" s="146">
        <f>IFERROR(INDEX(Työkonekanta!$N$3:$N$32,MATCH($A170,Työkonekanta!$A$3:$A$32,0),1),0)</f>
        <v>1</v>
      </c>
      <c r="AG170" s="332">
        <f>I170*INDEX(Muuttujat!$U$5:$U$21,MATCH($C170,Muuttujat!$N$5:$N$21,0),1)</f>
        <v>10067.4</v>
      </c>
      <c r="AH170" s="332">
        <f>J170*INDEX(Muuttujat!$T$5:$T$21,MATCH($C170,Muuttujat!$N$5:$N$21,0),1)</f>
        <v>936.33061224489791</v>
      </c>
      <c r="AI170" s="332">
        <f t="shared" si="57"/>
        <v>210.58775510204083</v>
      </c>
      <c r="AJ170" s="332">
        <f t="shared" si="58"/>
        <v>0</v>
      </c>
      <c r="AK170" s="333">
        <f t="shared" si="70"/>
        <v>11214.318367346938</v>
      </c>
      <c r="AL170" s="332">
        <f t="shared" si="59"/>
        <v>11214.318367346938</v>
      </c>
      <c r="AM170" s="351"/>
      <c r="AN170" s="351"/>
    </row>
    <row r="171" spans="1:40">
      <c r="A171" s="139">
        <v>19</v>
      </c>
      <c r="B171" s="139">
        <f>IFERROR(IF((INDEX(Työkonekanta!$F$3:$F$27,MATCH('S3 Tiekartta'!$A171,Työkonekanta!$A$3:$A$24,0),1))&lt;0,0,(INDEX(Työkonekanta!$F$3:$F$27,MATCH('S3 Tiekartta'!$A171,Työkonekanta!$A$3:$A$24,0),1))),0)</f>
        <v>0</v>
      </c>
      <c r="C171" s="140">
        <v>2024</v>
      </c>
      <c r="D171" s="141" t="str">
        <f>IFERROR(INDEX(Työkonekanta!$D$3:$D$27,MATCH('S3 Tiekartta'!$A171,Työkonekanta!$A$3:$A$24,0),1),"undefined")</f>
        <v>pom</v>
      </c>
      <c r="E171" s="145">
        <f>IFERROR(INDEX(Työkonekanta!$G$3:$G$27,MATCH($A171,Työkonekanta!$A$3:$A$24,0),1)*INDEX(Työkonekanta!$H$3:$H$27,MATCH($A171,Työkonekanta!$A$3:$A$24,0),1)*(1+s0b_kasvu*($C171-2019))*$B171,0)</f>
        <v>0</v>
      </c>
      <c r="F171" s="145">
        <f t="shared" si="51"/>
        <v>0</v>
      </c>
      <c r="G171" s="151">
        <f t="shared" si="60"/>
        <v>0</v>
      </c>
      <c r="H171" s="145">
        <f t="shared" si="61"/>
        <v>0</v>
      </c>
      <c r="I171" s="145">
        <f t="shared" si="52"/>
        <v>0</v>
      </c>
      <c r="J171" s="145">
        <f t="shared" si="53"/>
        <v>0</v>
      </c>
      <c r="K171" s="142" t="str">
        <f t="shared" si="62"/>
        <v>l</v>
      </c>
      <c r="L171" s="146">
        <f>IFERROR(INDEX(Työkonekanta!$I$3:$I$27,MATCH('S3 Tiekartta'!$A171,Työkonekanta!$A$3:$A$24,0),1)*(I171+J171)*f_adblue,0)</f>
        <v>0</v>
      </c>
      <c r="M171" s="146">
        <f t="shared" si="71"/>
        <v>0</v>
      </c>
      <c r="N171" s="143" t="str">
        <f>IF(tuulisähkö_vuosi&lt;='S3 Tiekartta'!C171,"tuulisähkö",ostosähkö_nyt)</f>
        <v>jäännössähkö</v>
      </c>
      <c r="O171" s="147">
        <f>INDEX(Muuttujat!$J$5:$J$21,MATCH($C171,Muuttujat!$H$5:$H$21,0),1)</f>
        <v>65.853419316547502</v>
      </c>
      <c r="P171" s="148">
        <f t="shared" si="63"/>
        <v>0.94</v>
      </c>
      <c r="Q171" s="148">
        <f t="shared" si="64"/>
        <v>0.06</v>
      </c>
      <c r="R171" s="148">
        <f t="shared" si="65"/>
        <v>0.06</v>
      </c>
      <c r="S171" s="149">
        <f t="shared" si="54"/>
        <v>0</v>
      </c>
      <c r="T171" s="150">
        <f t="shared" si="55"/>
        <v>0</v>
      </c>
      <c r="U171" s="150">
        <f t="shared" si="56"/>
        <v>0</v>
      </c>
      <c r="V171" s="150">
        <f>IFERROR(INDEX(Työkonekanta!$J$3:$J$27,MATCH($A171,Työkonekanta!$A$3:$A$24,0),1)*$B171*ef_li_ion_akku/1000/1000/INDEX(Työkonekanta!$K$3:$K$27,MATCH($A171,Työkonekanta!$A$3:$A$24,0)),0)</f>
        <v>0</v>
      </c>
      <c r="W171" s="149">
        <f t="shared" si="72"/>
        <v>0</v>
      </c>
      <c r="X171" s="150">
        <f t="shared" si="73"/>
        <v>0</v>
      </c>
      <c r="Y171" s="151">
        <f t="shared" si="74"/>
        <v>0</v>
      </c>
      <c r="Z171" s="152">
        <f t="shared" si="66"/>
        <v>0</v>
      </c>
      <c r="AA171" s="179">
        <f t="shared" si="67"/>
        <v>0</v>
      </c>
      <c r="AB171" s="179">
        <f t="shared" si="68"/>
        <v>0</v>
      </c>
      <c r="AC171" s="180">
        <f t="shared" si="75"/>
        <v>0</v>
      </c>
      <c r="AD171" s="156">
        <f t="shared" si="69"/>
        <v>0</v>
      </c>
      <c r="AE171" s="146">
        <f>IFERROR(INDEX(Työkonekanta!$L$3:$L$30,MATCH($A171,Työkonekanta!$A$3:$A$30,0),1),0)*AF171</f>
        <v>0</v>
      </c>
      <c r="AF171" s="146">
        <f>IFERROR(INDEX(Työkonekanta!$N$3:$N$32,MATCH($A171,Työkonekanta!$A$3:$A$32,0),1),0)</f>
        <v>0</v>
      </c>
      <c r="AG171" s="332">
        <f>I171*INDEX(Muuttujat!$U$5:$U$21,MATCH($C171,Muuttujat!$N$5:$N$21,0),1)</f>
        <v>0</v>
      </c>
      <c r="AH171" s="332">
        <f>J171*INDEX(Muuttujat!$T$5:$T$21,MATCH($C171,Muuttujat!$N$5:$N$21,0),1)</f>
        <v>0</v>
      </c>
      <c r="AI171" s="332">
        <f t="shared" si="57"/>
        <v>0</v>
      </c>
      <c r="AJ171" s="332">
        <f t="shared" si="58"/>
        <v>0</v>
      </c>
      <c r="AK171" s="333">
        <f t="shared" si="70"/>
        <v>0</v>
      </c>
      <c r="AL171" s="332">
        <f t="shared" si="59"/>
        <v>0</v>
      </c>
      <c r="AM171" s="351"/>
      <c r="AN171" s="351"/>
    </row>
    <row r="172" spans="1:40">
      <c r="A172" s="139">
        <v>20</v>
      </c>
      <c r="B172" s="139">
        <f>IFERROR(IF((INDEX(Työkonekanta!$F$3:$F$27,MATCH('S3 Tiekartta'!$A172,Työkonekanta!$A$3:$A$24,0),1))&lt;0,0,(INDEX(Työkonekanta!$F$3:$F$27,MATCH('S3 Tiekartta'!$A172,Työkonekanta!$A$3:$A$24,0),1))),0)</f>
        <v>0</v>
      </c>
      <c r="C172" s="140">
        <v>2024</v>
      </c>
      <c r="D172" s="141" t="str">
        <f>IFERROR(INDEX(Työkonekanta!$D$3:$D$27,MATCH('S3 Tiekartta'!$A172,Työkonekanta!$A$3:$A$24,0),1),"undefined")</f>
        <v>pom</v>
      </c>
      <c r="E172" s="145">
        <f>IFERROR(INDEX(Työkonekanta!$G$3:$G$27,MATCH($A172,Työkonekanta!$A$3:$A$24,0),1)*INDEX(Työkonekanta!$H$3:$H$27,MATCH($A172,Työkonekanta!$A$3:$A$24,0),1)*(1+s0b_kasvu*($C172-2019))*$B172,0)</f>
        <v>0</v>
      </c>
      <c r="F172" s="145">
        <f t="shared" si="51"/>
        <v>0</v>
      </c>
      <c r="G172" s="151">
        <f t="shared" si="60"/>
        <v>0</v>
      </c>
      <c r="H172" s="145">
        <f t="shared" si="61"/>
        <v>0</v>
      </c>
      <c r="I172" s="145">
        <f t="shared" si="52"/>
        <v>0</v>
      </c>
      <c r="J172" s="145">
        <f t="shared" si="53"/>
        <v>0</v>
      </c>
      <c r="K172" s="142" t="str">
        <f t="shared" si="62"/>
        <v>l</v>
      </c>
      <c r="L172" s="146">
        <f>IFERROR(INDEX(Työkonekanta!$I$3:$I$27,MATCH('S3 Tiekartta'!$A172,Työkonekanta!$A$3:$A$24,0),1)*(I172+J172)*f_adblue,0)</f>
        <v>0</v>
      </c>
      <c r="M172" s="146">
        <f t="shared" si="71"/>
        <v>0</v>
      </c>
      <c r="N172" s="143" t="str">
        <f>IF(tuulisähkö_vuosi&lt;='S3 Tiekartta'!C172,"tuulisähkö",ostosähkö_nyt)</f>
        <v>jäännössähkö</v>
      </c>
      <c r="O172" s="147">
        <f>INDEX(Muuttujat!$J$5:$J$21,MATCH($C172,Muuttujat!$H$5:$H$21,0),1)</f>
        <v>65.853419316547502</v>
      </c>
      <c r="P172" s="148">
        <f t="shared" si="63"/>
        <v>0.94</v>
      </c>
      <c r="Q172" s="148">
        <f t="shared" si="64"/>
        <v>0.06</v>
      </c>
      <c r="R172" s="148">
        <f t="shared" si="65"/>
        <v>0.06</v>
      </c>
      <c r="S172" s="149">
        <f t="shared" si="54"/>
        <v>0</v>
      </c>
      <c r="T172" s="150">
        <f t="shared" si="55"/>
        <v>0</v>
      </c>
      <c r="U172" s="150">
        <f t="shared" si="56"/>
        <v>0</v>
      </c>
      <c r="V172" s="150">
        <f>IFERROR(INDEX(Työkonekanta!$J$3:$J$27,MATCH($A172,Työkonekanta!$A$3:$A$24,0),1)*$B172*ef_li_ion_akku/1000/1000/INDEX(Työkonekanta!$K$3:$K$27,MATCH($A172,Työkonekanta!$A$3:$A$24,0)),0)</f>
        <v>0</v>
      </c>
      <c r="W172" s="149">
        <f t="shared" si="72"/>
        <v>0</v>
      </c>
      <c r="X172" s="150">
        <f t="shared" si="73"/>
        <v>0</v>
      </c>
      <c r="Y172" s="151">
        <f t="shared" si="74"/>
        <v>0</v>
      </c>
      <c r="Z172" s="152">
        <f t="shared" si="66"/>
        <v>0</v>
      </c>
      <c r="AA172" s="179">
        <f t="shared" si="67"/>
        <v>0</v>
      </c>
      <c r="AB172" s="179">
        <f t="shared" si="68"/>
        <v>0</v>
      </c>
      <c r="AC172" s="180">
        <f t="shared" si="75"/>
        <v>0</v>
      </c>
      <c r="AD172" s="156">
        <f t="shared" si="69"/>
        <v>0</v>
      </c>
      <c r="AE172" s="146">
        <f>IFERROR(INDEX(Työkonekanta!$L$3:$L$30,MATCH($A172,Työkonekanta!$A$3:$A$30,0),1),0)*AF172</f>
        <v>0</v>
      </c>
      <c r="AF172" s="146">
        <f>IFERROR(INDEX(Työkonekanta!$N$3:$N$32,MATCH($A172,Työkonekanta!$A$3:$A$32,0),1),0)</f>
        <v>0</v>
      </c>
      <c r="AG172" s="332">
        <f>I172*INDEX(Muuttujat!$U$5:$U$21,MATCH($C172,Muuttujat!$N$5:$N$21,0),1)</f>
        <v>0</v>
      </c>
      <c r="AH172" s="332">
        <f>J172*INDEX(Muuttujat!$T$5:$T$21,MATCH($C172,Muuttujat!$N$5:$N$21,0),1)</f>
        <v>0</v>
      </c>
      <c r="AI172" s="332">
        <f t="shared" si="57"/>
        <v>0</v>
      </c>
      <c r="AJ172" s="332">
        <f t="shared" si="58"/>
        <v>0</v>
      </c>
      <c r="AK172" s="333">
        <f t="shared" si="70"/>
        <v>0</v>
      </c>
      <c r="AL172" s="332">
        <f t="shared" si="59"/>
        <v>0</v>
      </c>
      <c r="AM172" s="351"/>
      <c r="AN172" s="351"/>
    </row>
    <row r="173" spans="1:40">
      <c r="A173" s="139">
        <v>21</v>
      </c>
      <c r="B173" s="139">
        <f>IFERROR(IF((INDEX(Työkonekanta!$F$3:$F$27,MATCH('S3 Tiekartta'!$A173,Työkonekanta!$A$3:$A$24,0),1))&lt;0,0,(INDEX(Työkonekanta!$F$3:$F$27,MATCH('S3 Tiekartta'!$A173,Työkonekanta!$A$3:$A$24,0),1))),0)</f>
        <v>35</v>
      </c>
      <c r="C173" s="140">
        <v>2024</v>
      </c>
      <c r="D173" s="141" t="str">
        <f>IFERROR(INDEX(Työkonekanta!$D$3:$D$27,MATCH('S3 Tiekartta'!$A173,Työkonekanta!$A$3:$A$24,0),1),"undefined")</f>
        <v>sähkö</v>
      </c>
      <c r="E173" s="145">
        <f>IFERROR(INDEX(Työkonekanta!$G$3:$G$27,MATCH($A173,Työkonekanta!$A$3:$A$24,0),1)*INDEX(Työkonekanta!$H$3:$H$27,MATCH($A173,Työkonekanta!$A$3:$A$24,0),1)*(1+s0b_kasvu*($C173-2019))*$B173,0)</f>
        <v>427559.02777777781</v>
      </c>
      <c r="F173" s="145">
        <f t="shared" si="51"/>
        <v>0</v>
      </c>
      <c r="G173" s="151">
        <f t="shared" si="60"/>
        <v>0</v>
      </c>
      <c r="H173" s="145">
        <f t="shared" si="61"/>
        <v>0</v>
      </c>
      <c r="I173" s="145">
        <f t="shared" si="52"/>
        <v>0</v>
      </c>
      <c r="J173" s="145">
        <f t="shared" si="53"/>
        <v>0</v>
      </c>
      <c r="K173" s="142" t="str">
        <f t="shared" si="62"/>
        <v>kWh</v>
      </c>
      <c r="L173" s="146">
        <f>IFERROR(INDEX(Työkonekanta!$I$3:$I$27,MATCH('S3 Tiekartta'!$A173,Työkonekanta!$A$3:$A$24,0),1)*(I173+J173)*f_adblue,0)</f>
        <v>0</v>
      </c>
      <c r="M173" s="146">
        <f t="shared" si="71"/>
        <v>1539212.5000000002</v>
      </c>
      <c r="N173" s="143" t="str">
        <f>IF(tuulisähkö_vuosi&lt;='S3 Tiekartta'!C173,"tuulisähkö",ostosähkö_nyt)</f>
        <v>jäännössähkö</v>
      </c>
      <c r="O173" s="147">
        <f>INDEX(Muuttujat!$J$5:$J$21,MATCH($C173,Muuttujat!$H$5:$H$21,0),1)</f>
        <v>65.853419316547502</v>
      </c>
      <c r="P173" s="148">
        <f t="shared" si="63"/>
        <v>0.94</v>
      </c>
      <c r="Q173" s="148">
        <f t="shared" si="64"/>
        <v>0.06</v>
      </c>
      <c r="R173" s="148">
        <f t="shared" si="65"/>
        <v>0.06</v>
      </c>
      <c r="S173" s="149">
        <f t="shared" si="54"/>
        <v>0</v>
      </c>
      <c r="T173" s="150">
        <f t="shared" si="55"/>
        <v>0</v>
      </c>
      <c r="U173" s="150">
        <f t="shared" si="56"/>
        <v>101.3624061797714</v>
      </c>
      <c r="V173" s="150">
        <f>IFERROR(INDEX(Työkonekanta!$J$3:$J$27,MATCH($A173,Työkonekanta!$A$3:$A$24,0),1)*$B173*ef_li_ion_akku/1000/1000/INDEX(Työkonekanta!$K$3:$K$27,MATCH($A173,Työkonekanta!$A$3:$A$24,0)),0)</f>
        <v>43.121723076923082</v>
      </c>
      <c r="W173" s="149">
        <f t="shared" si="72"/>
        <v>0</v>
      </c>
      <c r="X173" s="150">
        <f t="shared" si="73"/>
        <v>0</v>
      </c>
      <c r="Y173" s="151">
        <f t="shared" si="74"/>
        <v>0</v>
      </c>
      <c r="Z173" s="152">
        <f t="shared" si="66"/>
        <v>144.48412925669447</v>
      </c>
      <c r="AA173" s="179">
        <f t="shared" si="67"/>
        <v>0</v>
      </c>
      <c r="AB173" s="179">
        <f t="shared" si="68"/>
        <v>0</v>
      </c>
      <c r="AC173" s="180">
        <f t="shared" si="75"/>
        <v>144.48412925669447</v>
      </c>
      <c r="AD173" s="156">
        <f t="shared" si="69"/>
        <v>144.48412925669447</v>
      </c>
      <c r="AE173" s="146">
        <f>IFERROR(INDEX(Työkonekanta!$L$3:$L$30,MATCH($A173,Työkonekanta!$A$3:$A$30,0),1),0)*AF173</f>
        <v>1820000</v>
      </c>
      <c r="AF173" s="146">
        <f>IFERROR(INDEX(Työkonekanta!$N$3:$N$32,MATCH($A173,Työkonekanta!$A$3:$A$32,0),1),0)</f>
        <v>7</v>
      </c>
      <c r="AG173" s="332">
        <f>I173*INDEX(Muuttujat!$U$5:$U$21,MATCH($C173,Muuttujat!$N$5:$N$21,0),1)</f>
        <v>0</v>
      </c>
      <c r="AH173" s="332">
        <f>J173*INDEX(Muuttujat!$T$5:$T$21,MATCH($C173,Muuttujat!$N$5:$N$21,0),1)</f>
        <v>0</v>
      </c>
      <c r="AI173" s="332">
        <f t="shared" si="57"/>
        <v>0</v>
      </c>
      <c r="AJ173" s="332">
        <f t="shared" si="58"/>
        <v>37838.973958333343</v>
      </c>
      <c r="AK173" s="333">
        <f t="shared" si="70"/>
        <v>37838.973958333343</v>
      </c>
      <c r="AL173" s="332">
        <f t="shared" si="59"/>
        <v>1081.1135416666668</v>
      </c>
      <c r="AM173" s="351"/>
      <c r="AN173" s="351"/>
    </row>
    <row r="174" spans="1:40">
      <c r="A174" s="139">
        <v>22</v>
      </c>
      <c r="B174" s="139">
        <f>IFERROR(IF((INDEX(Työkonekanta!$F$3:$F$27,MATCH('S3 Tiekartta'!$A174,Työkonekanta!$A$3:$A$24,0),1))&lt;0,0,(INDEX(Työkonekanta!$F$3:$F$27,MATCH('S3 Tiekartta'!$A174,Työkonekanta!$A$3:$A$24,0),1))),0)</f>
        <v>0</v>
      </c>
      <c r="C174" s="140">
        <v>2024</v>
      </c>
      <c r="D174" s="141" t="str">
        <f>IFERROR(INDEX(Työkonekanta!$D$3:$D$27,MATCH('S3 Tiekartta'!$A174,Työkonekanta!$A$3:$A$24,0),1),"undefined")</f>
        <v>sähkö</v>
      </c>
      <c r="E174" s="145">
        <f>IFERROR(INDEX(Työkonekanta!$G$3:$G$27,MATCH($A174,Työkonekanta!$A$3:$A$24,0),1)*INDEX(Työkonekanta!$H$3:$H$27,MATCH($A174,Työkonekanta!$A$3:$A$24,0),1)*(1+s0b_kasvu*($C174-2019))*$B174,0)</f>
        <v>0</v>
      </c>
      <c r="F174" s="145">
        <f t="shared" si="51"/>
        <v>0</v>
      </c>
      <c r="G174" s="151">
        <f t="shared" si="60"/>
        <v>0</v>
      </c>
      <c r="H174" s="145">
        <f t="shared" si="61"/>
        <v>0</v>
      </c>
      <c r="I174" s="145">
        <f t="shared" si="52"/>
        <v>0</v>
      </c>
      <c r="J174" s="145">
        <f t="shared" si="53"/>
        <v>0</v>
      </c>
      <c r="K174" s="142" t="str">
        <f t="shared" si="62"/>
        <v>kWh</v>
      </c>
      <c r="L174" s="146">
        <f>IFERROR(INDEX(Työkonekanta!$I$3:$I$27,MATCH('S3 Tiekartta'!$A174,Työkonekanta!$A$3:$A$24,0),1)*(I174+J174)*f_adblue,0)</f>
        <v>0</v>
      </c>
      <c r="M174" s="146">
        <f t="shared" si="71"/>
        <v>0</v>
      </c>
      <c r="N174" s="143" t="str">
        <f>IF(tuulisähkö_vuosi&lt;='S3 Tiekartta'!C174,"tuulisähkö",ostosähkö_nyt)</f>
        <v>jäännössähkö</v>
      </c>
      <c r="O174" s="147">
        <f>INDEX(Muuttujat!$J$5:$J$21,MATCH($C174,Muuttujat!$H$5:$H$21,0),1)</f>
        <v>65.853419316547502</v>
      </c>
      <c r="P174" s="148">
        <f t="shared" si="63"/>
        <v>0.94</v>
      </c>
      <c r="Q174" s="148">
        <f t="shared" si="64"/>
        <v>0.06</v>
      </c>
      <c r="R174" s="148">
        <f t="shared" si="65"/>
        <v>0.06</v>
      </c>
      <c r="S174" s="149">
        <f t="shared" si="54"/>
        <v>0</v>
      </c>
      <c r="T174" s="150">
        <f t="shared" si="55"/>
        <v>0</v>
      </c>
      <c r="U174" s="150">
        <f t="shared" si="56"/>
        <v>0</v>
      </c>
      <c r="V174" s="150">
        <f>IFERROR(INDEX(Työkonekanta!$J$3:$J$27,MATCH($A174,Työkonekanta!$A$3:$A$24,0),1)*$B174*ef_li_ion_akku/1000/1000/INDEX(Työkonekanta!$K$3:$K$27,MATCH($A174,Työkonekanta!$A$3:$A$24,0)),0)</f>
        <v>0</v>
      </c>
      <c r="W174" s="149">
        <f t="shared" si="72"/>
        <v>0</v>
      </c>
      <c r="X174" s="150">
        <f t="shared" si="73"/>
        <v>0</v>
      </c>
      <c r="Y174" s="151">
        <f t="shared" si="74"/>
        <v>0</v>
      </c>
      <c r="Z174" s="152">
        <f t="shared" si="66"/>
        <v>0</v>
      </c>
      <c r="AA174" s="179">
        <f t="shared" si="67"/>
        <v>0</v>
      </c>
      <c r="AB174" s="179">
        <f t="shared" si="68"/>
        <v>0</v>
      </c>
      <c r="AC174" s="180">
        <f t="shared" si="75"/>
        <v>0</v>
      </c>
      <c r="AD174" s="156">
        <f t="shared" si="69"/>
        <v>0</v>
      </c>
      <c r="AE174" s="146">
        <f>IFERROR(INDEX(Työkonekanta!$L$3:$L$30,MATCH($A174,Työkonekanta!$A$3:$A$30,0),1),0)*AF174</f>
        <v>0</v>
      </c>
      <c r="AF174" s="146">
        <f>IFERROR(INDEX(Työkonekanta!$N$3:$N$32,MATCH($A174,Työkonekanta!$A$3:$A$32,0),1),0)</f>
        <v>0</v>
      </c>
      <c r="AG174" s="332">
        <f>I174*INDEX(Muuttujat!$U$5:$U$21,MATCH($C174,Muuttujat!$N$5:$N$21,0),1)</f>
        <v>0</v>
      </c>
      <c r="AH174" s="332">
        <f>J174*INDEX(Muuttujat!$T$5:$T$21,MATCH($C174,Muuttujat!$N$5:$N$21,0),1)</f>
        <v>0</v>
      </c>
      <c r="AI174" s="332">
        <f t="shared" si="57"/>
        <v>0</v>
      </c>
      <c r="AJ174" s="332">
        <f t="shared" si="58"/>
        <v>0</v>
      </c>
      <c r="AK174" s="333">
        <f t="shared" si="70"/>
        <v>0</v>
      </c>
      <c r="AL174" s="332">
        <f t="shared" si="59"/>
        <v>0</v>
      </c>
      <c r="AM174" s="351"/>
      <c r="AN174" s="351"/>
    </row>
    <row r="175" spans="1:40">
      <c r="A175" s="139">
        <v>23</v>
      </c>
      <c r="B175" s="139">
        <f>IFERROR(IF((INDEX(Työkonekanta!$F$3:$F$27,MATCH('S3 Tiekartta'!$A175,Työkonekanta!$A$3:$A$24,0),1))&lt;0,0,(INDEX(Työkonekanta!$F$3:$F$27,MATCH('S3 Tiekartta'!$A175,Työkonekanta!$A$3:$A$24,0),1))),0)</f>
        <v>0</v>
      </c>
      <c r="C175" s="140">
        <v>2024</v>
      </c>
      <c r="D175" s="141" t="str">
        <f>IFERROR(INDEX(Työkonekanta!$D$3:$D$27,MATCH('S3 Tiekartta'!$A175,Työkonekanta!$A$3:$A$24,0),1),"undefined")</f>
        <v>undefined</v>
      </c>
      <c r="E175" s="145">
        <f>IFERROR(INDEX(Työkonekanta!$G$3:$G$27,MATCH($A175,Työkonekanta!$A$3:$A$24,0),1)*INDEX(Työkonekanta!$H$3:$H$27,MATCH($A175,Työkonekanta!$A$3:$A$24,0),1)*(1+s0b_kasvu*($C175-2019))*$B175,0)</f>
        <v>0</v>
      </c>
      <c r="F175" s="145">
        <f t="shared" si="51"/>
        <v>0</v>
      </c>
      <c r="G175" s="151">
        <f t="shared" si="60"/>
        <v>0</v>
      </c>
      <c r="H175" s="145">
        <f t="shared" si="61"/>
        <v>0</v>
      </c>
      <c r="I175" s="145">
        <f t="shared" si="52"/>
        <v>0</v>
      </c>
      <c r="J175" s="145">
        <f t="shared" si="53"/>
        <v>0</v>
      </c>
      <c r="K175" s="142" t="str">
        <f t="shared" si="62"/>
        <v>undefined</v>
      </c>
      <c r="L175" s="146">
        <f>IFERROR(INDEX(Työkonekanta!$I$3:$I$27,MATCH('S3 Tiekartta'!$A175,Työkonekanta!$A$3:$A$24,0),1)*(I175+J175)*f_adblue,0)</f>
        <v>0</v>
      </c>
      <c r="M175" s="146">
        <f t="shared" si="71"/>
        <v>0</v>
      </c>
      <c r="N175" s="143" t="str">
        <f>IF(tuulisähkö_vuosi&lt;='S3 Tiekartta'!C175,"tuulisähkö",ostosähkö_nyt)</f>
        <v>jäännössähkö</v>
      </c>
      <c r="O175" s="147">
        <f>INDEX(Muuttujat!$J$5:$J$21,MATCH($C175,Muuttujat!$H$5:$H$21,0),1)</f>
        <v>65.853419316547502</v>
      </c>
      <c r="P175" s="148">
        <f t="shared" si="63"/>
        <v>0.94</v>
      </c>
      <c r="Q175" s="148">
        <f t="shared" si="64"/>
        <v>0.06</v>
      </c>
      <c r="R175" s="148">
        <f t="shared" si="65"/>
        <v>0.06</v>
      </c>
      <c r="S175" s="149">
        <f t="shared" si="54"/>
        <v>0</v>
      </c>
      <c r="T175" s="150">
        <f t="shared" si="55"/>
        <v>0</v>
      </c>
      <c r="U175" s="150">
        <f t="shared" si="56"/>
        <v>0</v>
      </c>
      <c r="V175" s="150">
        <f>IFERROR(INDEX(Työkonekanta!$J$3:$J$27,MATCH($A175,Työkonekanta!$A$3:$A$24,0),1)*$B175*ef_li_ion_akku/1000/1000/INDEX(Työkonekanta!$K$3:$K$27,MATCH($A175,Työkonekanta!$A$3:$A$24,0)),0)</f>
        <v>0</v>
      </c>
      <c r="W175" s="149">
        <f t="shared" si="72"/>
        <v>0</v>
      </c>
      <c r="X175" s="150">
        <f t="shared" si="73"/>
        <v>0</v>
      </c>
      <c r="Y175" s="151">
        <f t="shared" si="74"/>
        <v>0</v>
      </c>
      <c r="Z175" s="152">
        <f t="shared" si="66"/>
        <v>0</v>
      </c>
      <c r="AA175" s="179">
        <f t="shared" si="67"/>
        <v>0</v>
      </c>
      <c r="AB175" s="179">
        <f t="shared" si="68"/>
        <v>0</v>
      </c>
      <c r="AC175" s="180">
        <f t="shared" si="75"/>
        <v>0</v>
      </c>
      <c r="AD175" s="156">
        <f t="shared" si="69"/>
        <v>0</v>
      </c>
      <c r="AE175" s="146">
        <f>IFERROR(INDEX(Työkonekanta!$L$3:$L$30,MATCH($A175,Työkonekanta!$A$3:$A$30,0),1),0)*AF175</f>
        <v>0</v>
      </c>
      <c r="AF175" s="146">
        <f>IFERROR(INDEX(Työkonekanta!$N$3:$N$32,MATCH($A175,Työkonekanta!$A$3:$A$32,0),1),0)</f>
        <v>0</v>
      </c>
      <c r="AG175" s="332">
        <f>I175*INDEX(Muuttujat!$U$5:$U$21,MATCH($C175,Muuttujat!$N$5:$N$21,0),1)</f>
        <v>0</v>
      </c>
      <c r="AH175" s="332">
        <f>J175*INDEX(Muuttujat!$T$5:$T$21,MATCH($C175,Muuttujat!$N$5:$N$21,0),1)</f>
        <v>0</v>
      </c>
      <c r="AI175" s="332">
        <f t="shared" si="57"/>
        <v>0</v>
      </c>
      <c r="AJ175" s="332">
        <f t="shared" si="58"/>
        <v>0</v>
      </c>
      <c r="AK175" s="333">
        <f t="shared" si="70"/>
        <v>0</v>
      </c>
      <c r="AL175" s="332">
        <f t="shared" si="59"/>
        <v>0</v>
      </c>
      <c r="AM175" s="351"/>
      <c r="AN175" s="351"/>
    </row>
    <row r="176" spans="1:40">
      <c r="A176" s="139">
        <v>24</v>
      </c>
      <c r="B176" s="139">
        <f>IFERROR(IF((INDEX(Työkonekanta!$F$3:$F$27,MATCH('S3 Tiekartta'!$A176,Työkonekanta!$A$3:$A$24,0),1))&lt;0,0,(INDEX(Työkonekanta!$F$3:$F$27,MATCH('S3 Tiekartta'!$A176,Työkonekanta!$A$3:$A$24,0),1))),0)</f>
        <v>0</v>
      </c>
      <c r="C176" s="140">
        <v>2024</v>
      </c>
      <c r="D176" s="141" t="str">
        <f>IFERROR(INDEX(Työkonekanta!$D$3:$D$27,MATCH('S3 Tiekartta'!$A176,Työkonekanta!$A$3:$A$24,0),1),"undefined")</f>
        <v>undefined</v>
      </c>
      <c r="E176" s="145">
        <f>IFERROR(INDEX(Työkonekanta!$G$3:$G$27,MATCH($A176,Työkonekanta!$A$3:$A$24,0),1)*INDEX(Työkonekanta!$H$3:$H$27,MATCH($A176,Työkonekanta!$A$3:$A$24,0),1)*(1+s0b_kasvu*($C176-2019))*$B176,0)</f>
        <v>0</v>
      </c>
      <c r="F176" s="145">
        <f t="shared" si="51"/>
        <v>0</v>
      </c>
      <c r="G176" s="151">
        <f t="shared" si="60"/>
        <v>0</v>
      </c>
      <c r="H176" s="145">
        <f t="shared" si="61"/>
        <v>0</v>
      </c>
      <c r="I176" s="145">
        <f t="shared" si="52"/>
        <v>0</v>
      </c>
      <c r="J176" s="145">
        <f t="shared" si="53"/>
        <v>0</v>
      </c>
      <c r="K176" s="142" t="str">
        <f t="shared" si="62"/>
        <v>undefined</v>
      </c>
      <c r="L176" s="146">
        <f>IFERROR(INDEX(Työkonekanta!$I$3:$I$27,MATCH('S3 Tiekartta'!$A176,Työkonekanta!$A$3:$A$24,0),1)*(I176+J176)*f_adblue,0)</f>
        <v>0</v>
      </c>
      <c r="M176" s="146">
        <f t="shared" si="71"/>
        <v>0</v>
      </c>
      <c r="N176" s="143" t="str">
        <f>IF(tuulisähkö_vuosi&lt;='S3 Tiekartta'!C176,"tuulisähkö",ostosähkö_nyt)</f>
        <v>jäännössähkö</v>
      </c>
      <c r="O176" s="147">
        <f>INDEX(Muuttujat!$J$5:$J$21,MATCH($C176,Muuttujat!$H$5:$H$21,0),1)</f>
        <v>65.853419316547502</v>
      </c>
      <c r="P176" s="148">
        <f t="shared" si="63"/>
        <v>0.94</v>
      </c>
      <c r="Q176" s="148">
        <f t="shared" si="64"/>
        <v>0.06</v>
      </c>
      <c r="R176" s="148">
        <f t="shared" si="65"/>
        <v>0.06</v>
      </c>
      <c r="S176" s="149">
        <f t="shared" si="54"/>
        <v>0</v>
      </c>
      <c r="T176" s="150">
        <f t="shared" si="55"/>
        <v>0</v>
      </c>
      <c r="U176" s="150">
        <f t="shared" si="56"/>
        <v>0</v>
      </c>
      <c r="V176" s="150">
        <f>IFERROR(INDEX(Työkonekanta!$J$3:$J$27,MATCH($A176,Työkonekanta!$A$3:$A$24,0),1)*$B176*ef_li_ion_akku/1000/1000/INDEX(Työkonekanta!$K$3:$K$27,MATCH($A176,Työkonekanta!$A$3:$A$24,0)),0)</f>
        <v>0</v>
      </c>
      <c r="W176" s="149">
        <f t="shared" si="72"/>
        <v>0</v>
      </c>
      <c r="X176" s="150">
        <f t="shared" si="73"/>
        <v>0</v>
      </c>
      <c r="Y176" s="151">
        <f t="shared" si="74"/>
        <v>0</v>
      </c>
      <c r="Z176" s="152">
        <f t="shared" si="66"/>
        <v>0</v>
      </c>
      <c r="AA176" s="179">
        <f t="shared" si="67"/>
        <v>0</v>
      </c>
      <c r="AB176" s="179">
        <f t="shared" si="68"/>
        <v>0</v>
      </c>
      <c r="AC176" s="180">
        <f t="shared" si="75"/>
        <v>0</v>
      </c>
      <c r="AD176" s="156">
        <f t="shared" si="69"/>
        <v>0</v>
      </c>
      <c r="AE176" s="146">
        <f>IFERROR(INDEX(Työkonekanta!$L$3:$L$30,MATCH($A176,Työkonekanta!$A$3:$A$30,0),1),0)*AF176</f>
        <v>0</v>
      </c>
      <c r="AF176" s="146">
        <f>IFERROR(INDEX(Työkonekanta!$N$3:$N$32,MATCH($A176,Työkonekanta!$A$3:$A$32,0),1),0)</f>
        <v>0</v>
      </c>
      <c r="AG176" s="332">
        <f>I176*INDEX(Muuttujat!$U$5:$U$21,MATCH($C176,Muuttujat!$N$5:$N$21,0),1)</f>
        <v>0</v>
      </c>
      <c r="AH176" s="332">
        <f>J176*INDEX(Muuttujat!$T$5:$T$21,MATCH($C176,Muuttujat!$N$5:$N$21,0),1)</f>
        <v>0</v>
      </c>
      <c r="AI176" s="332">
        <f t="shared" si="57"/>
        <v>0</v>
      </c>
      <c r="AJ176" s="332">
        <f t="shared" si="58"/>
        <v>0</v>
      </c>
      <c r="AK176" s="333">
        <f t="shared" si="70"/>
        <v>0</v>
      </c>
      <c r="AL176" s="332">
        <f t="shared" si="59"/>
        <v>0</v>
      </c>
      <c r="AM176" s="351"/>
      <c r="AN176" s="351"/>
    </row>
    <row r="177" spans="1:40">
      <c r="A177" s="139">
        <v>25</v>
      </c>
      <c r="B177" s="139">
        <f>IFERROR(IF((INDEX(Työkonekanta!$F$3:$F$27,MATCH('S3 Tiekartta'!$A177,Työkonekanta!$A$3:$A$24,0),1))&lt;0,0,(INDEX(Työkonekanta!$F$3:$F$27,MATCH('S3 Tiekartta'!$A177,Työkonekanta!$A$3:$A$24,0),1))),0)</f>
        <v>0</v>
      </c>
      <c r="C177" s="140">
        <v>2024</v>
      </c>
      <c r="D177" s="141" t="str">
        <f>IFERROR(INDEX(Työkonekanta!$D$3:$D$27,MATCH('S3 Tiekartta'!$A177,Työkonekanta!$A$3:$A$24,0),1),"undefined")</f>
        <v>undefined</v>
      </c>
      <c r="E177" s="145">
        <f>IFERROR(INDEX(Työkonekanta!$G$3:$G$27,MATCH($A177,Työkonekanta!$A$3:$A$24,0),1)*INDEX(Työkonekanta!$H$3:$H$27,MATCH($A177,Työkonekanta!$A$3:$A$24,0),1)*(1+s0b_kasvu*($C177-2019))*$B177,0)</f>
        <v>0</v>
      </c>
      <c r="F177" s="145">
        <f t="shared" si="51"/>
        <v>0</v>
      </c>
      <c r="G177" s="151">
        <f t="shared" si="60"/>
        <v>0</v>
      </c>
      <c r="H177" s="145">
        <f t="shared" si="61"/>
        <v>0</v>
      </c>
      <c r="I177" s="145">
        <f t="shared" si="52"/>
        <v>0</v>
      </c>
      <c r="J177" s="145">
        <f t="shared" si="53"/>
        <v>0</v>
      </c>
      <c r="K177" s="142" t="str">
        <f t="shared" si="62"/>
        <v>undefined</v>
      </c>
      <c r="L177" s="146">
        <f>IFERROR(INDEX(Työkonekanta!$I$3:$I$27,MATCH('S3 Tiekartta'!$A177,Työkonekanta!$A$3:$A$24,0),1)*(I177+J177)*f_adblue,0)</f>
        <v>0</v>
      </c>
      <c r="M177" s="146">
        <f t="shared" si="71"/>
        <v>0</v>
      </c>
      <c r="N177" s="143" t="str">
        <f>IF(tuulisähkö_vuosi&lt;='S3 Tiekartta'!C177,"tuulisähkö",ostosähkö_nyt)</f>
        <v>jäännössähkö</v>
      </c>
      <c r="O177" s="147">
        <f>INDEX(Muuttujat!$J$5:$J$21,MATCH($C177,Muuttujat!$H$5:$H$21,0),1)</f>
        <v>65.853419316547502</v>
      </c>
      <c r="P177" s="148">
        <f t="shared" si="63"/>
        <v>0.94</v>
      </c>
      <c r="Q177" s="148">
        <f t="shared" si="64"/>
        <v>0.06</v>
      </c>
      <c r="R177" s="148">
        <f t="shared" si="65"/>
        <v>0.06</v>
      </c>
      <c r="S177" s="149">
        <f t="shared" si="54"/>
        <v>0</v>
      </c>
      <c r="T177" s="150">
        <f t="shared" si="55"/>
        <v>0</v>
      </c>
      <c r="U177" s="150">
        <f t="shared" si="56"/>
        <v>0</v>
      </c>
      <c r="V177" s="150">
        <f>IFERROR(INDEX(Työkonekanta!$J$3:$J$27,MATCH($A177,Työkonekanta!$A$3:$A$24,0),1)*$B177*ef_li_ion_akku/1000/1000/INDEX(Työkonekanta!$K$3:$K$27,MATCH($A177,Työkonekanta!$A$3:$A$24,0)),0)</f>
        <v>0</v>
      </c>
      <c r="W177" s="149">
        <f t="shared" si="72"/>
        <v>0</v>
      </c>
      <c r="X177" s="150">
        <f t="shared" si="73"/>
        <v>0</v>
      </c>
      <c r="Y177" s="151">
        <f t="shared" si="74"/>
        <v>0</v>
      </c>
      <c r="Z177" s="152">
        <f t="shared" si="66"/>
        <v>0</v>
      </c>
      <c r="AA177" s="179">
        <f t="shared" si="67"/>
        <v>0</v>
      </c>
      <c r="AB177" s="179">
        <f t="shared" si="68"/>
        <v>0</v>
      </c>
      <c r="AC177" s="180">
        <f t="shared" si="75"/>
        <v>0</v>
      </c>
      <c r="AD177" s="156">
        <f t="shared" si="69"/>
        <v>0</v>
      </c>
      <c r="AE177" s="146">
        <f>IFERROR(INDEX(Työkonekanta!$L$3:$L$30,MATCH($A177,Työkonekanta!$A$3:$A$30,0),1),0)*AF177</f>
        <v>0</v>
      </c>
      <c r="AF177" s="146">
        <f>IFERROR(INDEX(Työkonekanta!$N$3:$N$32,MATCH($A177,Työkonekanta!$A$3:$A$32,0),1),0)</f>
        <v>0</v>
      </c>
      <c r="AG177" s="332">
        <f>I177*INDEX(Muuttujat!$U$5:$U$21,MATCH($C177,Muuttujat!$N$5:$N$21,0),1)</f>
        <v>0</v>
      </c>
      <c r="AH177" s="332">
        <f>J177*INDEX(Muuttujat!$T$5:$T$21,MATCH($C177,Muuttujat!$N$5:$N$21,0),1)</f>
        <v>0</v>
      </c>
      <c r="AI177" s="332">
        <f t="shared" si="57"/>
        <v>0</v>
      </c>
      <c r="AJ177" s="332">
        <f t="shared" si="58"/>
        <v>0</v>
      </c>
      <c r="AK177" s="333">
        <f t="shared" si="70"/>
        <v>0</v>
      </c>
      <c r="AL177" s="332">
        <f t="shared" si="59"/>
        <v>0</v>
      </c>
      <c r="AM177" s="351"/>
      <c r="AN177" s="351"/>
    </row>
    <row r="178" spans="1:40">
      <c r="A178" s="139">
        <v>26</v>
      </c>
      <c r="B178" s="139">
        <f>IFERROR(IF((INDEX(Työkonekanta!$F$3:$F$27,MATCH('S3 Tiekartta'!$A178,Työkonekanta!$A$3:$A$24,0),1))&lt;0,0,(INDEX(Työkonekanta!$F$3:$F$27,MATCH('S3 Tiekartta'!$A178,Työkonekanta!$A$3:$A$24,0),1))),0)</f>
        <v>0</v>
      </c>
      <c r="C178" s="140">
        <v>2024</v>
      </c>
      <c r="D178" s="141" t="str">
        <f>IFERROR(INDEX(Työkonekanta!$D$3:$D$27,MATCH('S3 Tiekartta'!$A178,Työkonekanta!$A$3:$A$24,0),1),"undefined")</f>
        <v>undefined</v>
      </c>
      <c r="E178" s="145">
        <f>IFERROR(INDEX(Työkonekanta!$G$3:$G$27,MATCH($A178,Työkonekanta!$A$3:$A$24,0),1)*INDEX(Työkonekanta!$H$3:$H$27,MATCH($A178,Työkonekanta!$A$3:$A$24,0),1)*(1+s0b_kasvu*($C178-2019))*$B178,0)</f>
        <v>0</v>
      </c>
      <c r="F178" s="145">
        <f t="shared" si="51"/>
        <v>0</v>
      </c>
      <c r="G178" s="151">
        <f t="shared" si="60"/>
        <v>0</v>
      </c>
      <c r="H178" s="145">
        <f t="shared" si="61"/>
        <v>0</v>
      </c>
      <c r="I178" s="145">
        <f t="shared" si="52"/>
        <v>0</v>
      </c>
      <c r="J178" s="145">
        <f t="shared" si="53"/>
        <v>0</v>
      </c>
      <c r="K178" s="142" t="str">
        <f t="shared" si="62"/>
        <v>undefined</v>
      </c>
      <c r="L178" s="146">
        <f>IFERROR(INDEX(Työkonekanta!$I$3:$I$27,MATCH('S3 Tiekartta'!$A178,Työkonekanta!$A$3:$A$24,0),1)*(I178+J178)*f_adblue,0)</f>
        <v>0</v>
      </c>
      <c r="M178" s="146">
        <f t="shared" si="71"/>
        <v>0</v>
      </c>
      <c r="N178" s="143" t="str">
        <f>IF(tuulisähkö_vuosi&lt;='S3 Tiekartta'!C178,"tuulisähkö",ostosähkö_nyt)</f>
        <v>jäännössähkö</v>
      </c>
      <c r="O178" s="147">
        <f>INDEX(Muuttujat!$J$5:$J$21,MATCH($C178,Muuttujat!$H$5:$H$21,0),1)</f>
        <v>65.853419316547502</v>
      </c>
      <c r="P178" s="148">
        <f t="shared" si="63"/>
        <v>0.94</v>
      </c>
      <c r="Q178" s="148">
        <f t="shared" si="64"/>
        <v>0.06</v>
      </c>
      <c r="R178" s="148">
        <f t="shared" si="65"/>
        <v>0.06</v>
      </c>
      <c r="S178" s="149">
        <f t="shared" si="54"/>
        <v>0</v>
      </c>
      <c r="T178" s="150">
        <f t="shared" si="55"/>
        <v>0</v>
      </c>
      <c r="U178" s="150">
        <f t="shared" si="56"/>
        <v>0</v>
      </c>
      <c r="V178" s="150">
        <f>IFERROR(INDEX(Työkonekanta!$J$3:$J$27,MATCH($A178,Työkonekanta!$A$3:$A$24,0),1)*$B178*ef_li_ion_akku/1000/1000/INDEX(Työkonekanta!$K$3:$K$27,MATCH($A178,Työkonekanta!$A$3:$A$24,0)),0)</f>
        <v>0</v>
      </c>
      <c r="W178" s="149">
        <f t="shared" si="72"/>
        <v>0</v>
      </c>
      <c r="X178" s="150">
        <f t="shared" si="73"/>
        <v>0</v>
      </c>
      <c r="Y178" s="151">
        <f t="shared" si="74"/>
        <v>0</v>
      </c>
      <c r="Z178" s="152">
        <f t="shared" si="66"/>
        <v>0</v>
      </c>
      <c r="AA178" s="179">
        <f t="shared" si="67"/>
        <v>0</v>
      </c>
      <c r="AB178" s="179">
        <f t="shared" si="68"/>
        <v>0</v>
      </c>
      <c r="AC178" s="180">
        <f t="shared" si="75"/>
        <v>0</v>
      </c>
      <c r="AD178" s="156">
        <f t="shared" si="69"/>
        <v>0</v>
      </c>
      <c r="AE178" s="146">
        <f>IFERROR(INDEX(Työkonekanta!$L$3:$L$30,MATCH($A178,Työkonekanta!$A$3:$A$30,0),1),0)*AF178</f>
        <v>0</v>
      </c>
      <c r="AF178" s="146">
        <f>IFERROR(INDEX(Työkonekanta!$N$3:$N$32,MATCH($A178,Työkonekanta!$A$3:$A$32,0),1),0)</f>
        <v>0</v>
      </c>
      <c r="AG178" s="332">
        <f>I178*INDEX(Muuttujat!$U$5:$U$21,MATCH($C178,Muuttujat!$N$5:$N$21,0),1)</f>
        <v>0</v>
      </c>
      <c r="AH178" s="332">
        <f>J178*INDEX(Muuttujat!$T$5:$T$21,MATCH($C178,Muuttujat!$N$5:$N$21,0),1)</f>
        <v>0</v>
      </c>
      <c r="AI178" s="332">
        <f t="shared" si="57"/>
        <v>0</v>
      </c>
      <c r="AJ178" s="332">
        <f t="shared" si="58"/>
        <v>0</v>
      </c>
      <c r="AK178" s="333">
        <f t="shared" si="70"/>
        <v>0</v>
      </c>
      <c r="AL178" s="332">
        <f t="shared" si="59"/>
        <v>0</v>
      </c>
      <c r="AM178" s="351"/>
      <c r="AN178" s="351"/>
    </row>
    <row r="179" spans="1:40">
      <c r="A179" s="139">
        <v>27</v>
      </c>
      <c r="B179" s="139">
        <f>IFERROR(IF((INDEX(Työkonekanta!$F$3:$F$27,MATCH('S3 Tiekartta'!$A179,Työkonekanta!$A$3:$A$24,0),1))&lt;0,0,(INDEX(Työkonekanta!$F$3:$F$27,MATCH('S3 Tiekartta'!$A179,Työkonekanta!$A$3:$A$24,0),1))),0)</f>
        <v>0</v>
      </c>
      <c r="C179" s="140">
        <v>2024</v>
      </c>
      <c r="D179" s="141" t="str">
        <f>IFERROR(INDEX(Työkonekanta!$D$3:$D$27,MATCH('S3 Tiekartta'!$A179,Työkonekanta!$A$3:$A$24,0),1),"undefined")</f>
        <v>undefined</v>
      </c>
      <c r="E179" s="145">
        <f>IFERROR(INDEX(Työkonekanta!$G$3:$G$27,MATCH($A179,Työkonekanta!$A$3:$A$24,0),1)*INDEX(Työkonekanta!$H$3:$H$27,MATCH($A179,Työkonekanta!$A$3:$A$24,0),1)*(1+s0b_kasvu*($C179-2019))*$B179,0)</f>
        <v>0</v>
      </c>
      <c r="F179" s="145">
        <f t="shared" si="51"/>
        <v>0</v>
      </c>
      <c r="G179" s="151">
        <f t="shared" si="60"/>
        <v>0</v>
      </c>
      <c r="H179" s="145">
        <f t="shared" si="61"/>
        <v>0</v>
      </c>
      <c r="I179" s="145">
        <f t="shared" si="52"/>
        <v>0</v>
      </c>
      <c r="J179" s="145">
        <f t="shared" si="53"/>
        <v>0</v>
      </c>
      <c r="K179" s="142" t="str">
        <f t="shared" si="62"/>
        <v>undefined</v>
      </c>
      <c r="L179" s="146">
        <f>IFERROR(INDEX(Työkonekanta!$I$3:$I$27,MATCH('S3 Tiekartta'!$A179,Työkonekanta!$A$3:$A$24,0),1)*(I179+J179)*f_adblue,0)</f>
        <v>0</v>
      </c>
      <c r="M179" s="146">
        <f t="shared" si="71"/>
        <v>0</v>
      </c>
      <c r="N179" s="143" t="str">
        <f>IF(tuulisähkö_vuosi&lt;='S3 Tiekartta'!C179,"tuulisähkö",ostosähkö_nyt)</f>
        <v>jäännössähkö</v>
      </c>
      <c r="O179" s="147">
        <f>INDEX(Muuttujat!$J$5:$J$21,MATCH($C179,Muuttujat!$H$5:$H$21,0),1)</f>
        <v>65.853419316547502</v>
      </c>
      <c r="P179" s="148">
        <f t="shared" si="63"/>
        <v>0.94</v>
      </c>
      <c r="Q179" s="148">
        <f t="shared" si="64"/>
        <v>0.06</v>
      </c>
      <c r="R179" s="148">
        <f t="shared" si="65"/>
        <v>0.06</v>
      </c>
      <c r="S179" s="149">
        <f t="shared" si="54"/>
        <v>0</v>
      </c>
      <c r="T179" s="150">
        <f t="shared" si="55"/>
        <v>0</v>
      </c>
      <c r="U179" s="150">
        <f t="shared" si="56"/>
        <v>0</v>
      </c>
      <c r="V179" s="150">
        <f>IFERROR(INDEX(Työkonekanta!$J$3:$J$27,MATCH($A179,Työkonekanta!$A$3:$A$24,0),1)*$B179*ef_li_ion_akku/1000/1000/INDEX(Työkonekanta!$K$3:$K$27,MATCH($A179,Työkonekanta!$A$3:$A$24,0)),0)</f>
        <v>0</v>
      </c>
      <c r="W179" s="149">
        <f t="shared" si="72"/>
        <v>0</v>
      </c>
      <c r="X179" s="150">
        <f t="shared" si="73"/>
        <v>0</v>
      </c>
      <c r="Y179" s="151">
        <f t="shared" si="74"/>
        <v>0</v>
      </c>
      <c r="Z179" s="152">
        <f t="shared" si="66"/>
        <v>0</v>
      </c>
      <c r="AA179" s="179">
        <f t="shared" si="67"/>
        <v>0</v>
      </c>
      <c r="AB179" s="179">
        <f t="shared" si="68"/>
        <v>0</v>
      </c>
      <c r="AC179" s="180">
        <f t="shared" si="75"/>
        <v>0</v>
      </c>
      <c r="AD179" s="156">
        <f t="shared" si="69"/>
        <v>0</v>
      </c>
      <c r="AE179" s="146">
        <f>IFERROR(INDEX(Työkonekanta!$L$3:$L$30,MATCH($A179,Työkonekanta!$A$3:$A$30,0),1),0)*AF179</f>
        <v>0</v>
      </c>
      <c r="AF179" s="146">
        <f>IFERROR(INDEX(Työkonekanta!$N$3:$N$32,MATCH($A179,Työkonekanta!$A$3:$A$32,0),1),0)</f>
        <v>0</v>
      </c>
      <c r="AG179" s="332">
        <f>I179*INDEX(Muuttujat!$U$5:$U$21,MATCH($C179,Muuttujat!$N$5:$N$21,0),1)</f>
        <v>0</v>
      </c>
      <c r="AH179" s="332">
        <f>J179*INDEX(Muuttujat!$T$5:$T$21,MATCH($C179,Muuttujat!$N$5:$N$21,0),1)</f>
        <v>0</v>
      </c>
      <c r="AI179" s="332">
        <f t="shared" si="57"/>
        <v>0</v>
      </c>
      <c r="AJ179" s="332">
        <f t="shared" si="58"/>
        <v>0</v>
      </c>
      <c r="AK179" s="333">
        <f t="shared" si="70"/>
        <v>0</v>
      </c>
      <c r="AL179" s="332">
        <f t="shared" si="59"/>
        <v>0</v>
      </c>
      <c r="AM179" s="351"/>
      <c r="AN179" s="351"/>
    </row>
    <row r="180" spans="1:40">
      <c r="A180" s="139">
        <v>28</v>
      </c>
      <c r="B180" s="139">
        <f>IFERROR(IF((INDEX(Työkonekanta!$F$3:$F$27,MATCH('S3 Tiekartta'!$A180,Työkonekanta!$A$3:$A$24,0),1))&lt;0,0,(INDEX(Työkonekanta!$F$3:$F$27,MATCH('S3 Tiekartta'!$A180,Työkonekanta!$A$3:$A$24,0),1))),0)</f>
        <v>0</v>
      </c>
      <c r="C180" s="140">
        <v>2024</v>
      </c>
      <c r="D180" s="141" t="str">
        <f>IFERROR(INDEX(Työkonekanta!$D$3:$D$27,MATCH('S3 Tiekartta'!$A180,Työkonekanta!$A$3:$A$24,0),1),"undefined")</f>
        <v>undefined</v>
      </c>
      <c r="E180" s="145">
        <f>IFERROR(INDEX(Työkonekanta!$G$3:$G$27,MATCH($A180,Työkonekanta!$A$3:$A$24,0),1)*INDEX(Työkonekanta!$H$3:$H$27,MATCH($A180,Työkonekanta!$A$3:$A$24,0),1)*(1+s0b_kasvu*($C180-2019))*$B180,0)</f>
        <v>0</v>
      </c>
      <c r="F180" s="145">
        <f t="shared" si="51"/>
        <v>0</v>
      </c>
      <c r="G180" s="151">
        <f t="shared" si="60"/>
        <v>0</v>
      </c>
      <c r="H180" s="145">
        <f t="shared" si="61"/>
        <v>0</v>
      </c>
      <c r="I180" s="145">
        <f t="shared" si="52"/>
        <v>0</v>
      </c>
      <c r="J180" s="145">
        <f t="shared" si="53"/>
        <v>0</v>
      </c>
      <c r="K180" s="142" t="str">
        <f t="shared" si="62"/>
        <v>undefined</v>
      </c>
      <c r="L180" s="146">
        <f>IFERROR(INDEX(Työkonekanta!$I$3:$I$27,MATCH('S3 Tiekartta'!$A180,Työkonekanta!$A$3:$A$24,0),1)*(I180+J180)*f_adblue,0)</f>
        <v>0</v>
      </c>
      <c r="M180" s="146">
        <f t="shared" si="71"/>
        <v>0</v>
      </c>
      <c r="N180" s="143" t="str">
        <f>IF(tuulisähkö_vuosi&lt;='S3 Tiekartta'!C180,"tuulisähkö",ostosähkö_nyt)</f>
        <v>jäännössähkö</v>
      </c>
      <c r="O180" s="147">
        <f>INDEX(Muuttujat!$J$5:$J$21,MATCH($C180,Muuttujat!$H$5:$H$21,0),1)</f>
        <v>65.853419316547502</v>
      </c>
      <c r="P180" s="148">
        <f t="shared" si="63"/>
        <v>0.94</v>
      </c>
      <c r="Q180" s="148">
        <f t="shared" si="64"/>
        <v>0.06</v>
      </c>
      <c r="R180" s="148">
        <f t="shared" si="65"/>
        <v>0.06</v>
      </c>
      <c r="S180" s="149">
        <f t="shared" si="54"/>
        <v>0</v>
      </c>
      <c r="T180" s="150">
        <f t="shared" si="55"/>
        <v>0</v>
      </c>
      <c r="U180" s="150">
        <f t="shared" si="56"/>
        <v>0</v>
      </c>
      <c r="V180" s="150">
        <f>IFERROR(INDEX(Työkonekanta!$J$3:$J$27,MATCH($A180,Työkonekanta!$A$3:$A$24,0),1)*$B180*ef_li_ion_akku/1000/1000/INDEX(Työkonekanta!$K$3:$K$27,MATCH($A180,Työkonekanta!$A$3:$A$24,0)),0)</f>
        <v>0</v>
      </c>
      <c r="W180" s="149">
        <f t="shared" si="72"/>
        <v>0</v>
      </c>
      <c r="X180" s="150">
        <f t="shared" si="73"/>
        <v>0</v>
      </c>
      <c r="Y180" s="151">
        <f t="shared" si="74"/>
        <v>0</v>
      </c>
      <c r="Z180" s="152">
        <f t="shared" si="66"/>
        <v>0</v>
      </c>
      <c r="AA180" s="179">
        <f t="shared" si="67"/>
        <v>0</v>
      </c>
      <c r="AB180" s="179">
        <f t="shared" si="68"/>
        <v>0</v>
      </c>
      <c r="AC180" s="180">
        <f t="shared" si="75"/>
        <v>0</v>
      </c>
      <c r="AD180" s="156">
        <f t="shared" si="69"/>
        <v>0</v>
      </c>
      <c r="AE180" s="146">
        <f>IFERROR(INDEX(Työkonekanta!$L$3:$L$30,MATCH($A180,Työkonekanta!$A$3:$A$30,0),1),0)*AF180</f>
        <v>0</v>
      </c>
      <c r="AF180" s="146">
        <f>IFERROR(INDEX(Työkonekanta!$N$3:$N$32,MATCH($A180,Työkonekanta!$A$3:$A$32,0),1),0)</f>
        <v>0</v>
      </c>
      <c r="AG180" s="332">
        <f>I180*INDEX(Muuttujat!$U$5:$U$21,MATCH($C180,Muuttujat!$N$5:$N$21,0),1)</f>
        <v>0</v>
      </c>
      <c r="AH180" s="332">
        <f>J180*INDEX(Muuttujat!$T$5:$T$21,MATCH($C180,Muuttujat!$N$5:$N$21,0),1)</f>
        <v>0</v>
      </c>
      <c r="AI180" s="332">
        <f t="shared" si="57"/>
        <v>0</v>
      </c>
      <c r="AJ180" s="332">
        <f t="shared" si="58"/>
        <v>0</v>
      </c>
      <c r="AK180" s="333">
        <f t="shared" si="70"/>
        <v>0</v>
      </c>
      <c r="AL180" s="332">
        <f t="shared" si="59"/>
        <v>0</v>
      </c>
      <c r="AM180" s="351"/>
      <c r="AN180" s="351"/>
    </row>
    <row r="181" spans="1:40">
      <c r="A181" s="139">
        <v>29</v>
      </c>
      <c r="B181" s="139">
        <f>IFERROR(IF((INDEX(Työkonekanta!$F$3:$F$27,MATCH('S3 Tiekartta'!$A181,Työkonekanta!$A$3:$A$24,0),1))&lt;0,0,(INDEX(Työkonekanta!$F$3:$F$27,MATCH('S3 Tiekartta'!$A181,Työkonekanta!$A$3:$A$24,0),1))),0)</f>
        <v>0</v>
      </c>
      <c r="C181" s="140">
        <v>2024</v>
      </c>
      <c r="D181" s="141" t="str">
        <f>IFERROR(INDEX(Työkonekanta!$D$3:$D$27,MATCH('S3 Tiekartta'!$A181,Työkonekanta!$A$3:$A$24,0),1),"undefined")</f>
        <v>undefined</v>
      </c>
      <c r="E181" s="145">
        <f>IFERROR(INDEX(Työkonekanta!$G$3:$G$27,MATCH($A181,Työkonekanta!$A$3:$A$24,0),1)*INDEX(Työkonekanta!$H$3:$H$27,MATCH($A181,Työkonekanta!$A$3:$A$24,0),1)*(1+s0b_kasvu*($C181-2019))*$B181,0)</f>
        <v>0</v>
      </c>
      <c r="F181" s="145">
        <f t="shared" si="51"/>
        <v>0</v>
      </c>
      <c r="G181" s="151">
        <f t="shared" si="60"/>
        <v>0</v>
      </c>
      <c r="H181" s="145">
        <f t="shared" si="61"/>
        <v>0</v>
      </c>
      <c r="I181" s="145">
        <f t="shared" si="52"/>
        <v>0</v>
      </c>
      <c r="J181" s="145">
        <f t="shared" si="53"/>
        <v>0</v>
      </c>
      <c r="K181" s="142" t="str">
        <f t="shared" si="62"/>
        <v>undefined</v>
      </c>
      <c r="L181" s="146">
        <f>IFERROR(INDEX(Työkonekanta!$I$3:$I$27,MATCH('S3 Tiekartta'!$A181,Työkonekanta!$A$3:$A$24,0),1)*(I181+J181)*f_adblue,0)</f>
        <v>0</v>
      </c>
      <c r="M181" s="146">
        <f t="shared" si="71"/>
        <v>0</v>
      </c>
      <c r="N181" s="143" t="str">
        <f>IF(tuulisähkö_vuosi&lt;='S3 Tiekartta'!C181,"tuulisähkö",ostosähkö_nyt)</f>
        <v>jäännössähkö</v>
      </c>
      <c r="O181" s="147">
        <f>INDEX(Muuttujat!$J$5:$J$21,MATCH($C181,Muuttujat!$H$5:$H$21,0),1)</f>
        <v>65.853419316547502</v>
      </c>
      <c r="P181" s="148">
        <f t="shared" si="63"/>
        <v>0.94</v>
      </c>
      <c r="Q181" s="148">
        <f t="shared" si="64"/>
        <v>0.06</v>
      </c>
      <c r="R181" s="148">
        <f t="shared" si="65"/>
        <v>0.06</v>
      </c>
      <c r="S181" s="149">
        <f t="shared" si="54"/>
        <v>0</v>
      </c>
      <c r="T181" s="150">
        <f t="shared" si="55"/>
        <v>0</v>
      </c>
      <c r="U181" s="150">
        <f t="shared" si="56"/>
        <v>0</v>
      </c>
      <c r="V181" s="150">
        <f>IFERROR(INDEX(Työkonekanta!$J$3:$J$27,MATCH($A181,Työkonekanta!$A$3:$A$24,0),1)*$B181*ef_li_ion_akku/1000/1000/INDEX(Työkonekanta!$K$3:$K$27,MATCH($A181,Työkonekanta!$A$3:$A$24,0)),0)</f>
        <v>0</v>
      </c>
      <c r="W181" s="149">
        <f t="shared" si="72"/>
        <v>0</v>
      </c>
      <c r="X181" s="150">
        <f t="shared" si="73"/>
        <v>0</v>
      </c>
      <c r="Y181" s="151">
        <f t="shared" si="74"/>
        <v>0</v>
      </c>
      <c r="Z181" s="152">
        <f t="shared" si="66"/>
        <v>0</v>
      </c>
      <c r="AA181" s="179">
        <f t="shared" si="67"/>
        <v>0</v>
      </c>
      <c r="AB181" s="179">
        <f t="shared" si="68"/>
        <v>0</v>
      </c>
      <c r="AC181" s="180">
        <f t="shared" si="75"/>
        <v>0</v>
      </c>
      <c r="AD181" s="156">
        <f t="shared" si="69"/>
        <v>0</v>
      </c>
      <c r="AE181" s="146">
        <f>IFERROR(INDEX(Työkonekanta!$L$3:$L$30,MATCH($A181,Työkonekanta!$A$3:$A$30,0),1),0)*AF181</f>
        <v>0</v>
      </c>
      <c r="AF181" s="146">
        <f>IFERROR(INDEX(Työkonekanta!$N$3:$N$32,MATCH($A181,Työkonekanta!$A$3:$A$32,0),1),0)</f>
        <v>0</v>
      </c>
      <c r="AG181" s="332">
        <f>I181*INDEX(Muuttujat!$U$5:$U$21,MATCH($C181,Muuttujat!$N$5:$N$21,0),1)</f>
        <v>0</v>
      </c>
      <c r="AH181" s="332">
        <f>J181*INDEX(Muuttujat!$T$5:$T$21,MATCH($C181,Muuttujat!$N$5:$N$21,0),1)</f>
        <v>0</v>
      </c>
      <c r="AI181" s="332">
        <f t="shared" si="57"/>
        <v>0</v>
      </c>
      <c r="AJ181" s="332">
        <f t="shared" si="58"/>
        <v>0</v>
      </c>
      <c r="AK181" s="333">
        <f t="shared" si="70"/>
        <v>0</v>
      </c>
      <c r="AL181" s="332">
        <f t="shared" si="59"/>
        <v>0</v>
      </c>
      <c r="AM181" s="351"/>
      <c r="AN181" s="351"/>
    </row>
    <row r="182" spans="1:40">
      <c r="A182" s="139">
        <v>30</v>
      </c>
      <c r="B182" s="139">
        <f>IFERROR(IF((INDEX(Työkonekanta!$F$3:$F$27,MATCH('S3 Tiekartta'!$A182,Työkonekanta!$A$3:$A$24,0),1))&lt;0,0,(INDEX(Työkonekanta!$F$3:$F$27,MATCH('S3 Tiekartta'!$A182,Työkonekanta!$A$3:$A$24,0),1))),0)</f>
        <v>0</v>
      </c>
      <c r="C182" s="140">
        <v>2024</v>
      </c>
      <c r="D182" s="141" t="str">
        <f>IFERROR(INDEX(Työkonekanta!$D$3:$D$27,MATCH('S3 Tiekartta'!$A182,Työkonekanta!$A$3:$A$24,0),1),"undefined")</f>
        <v>undefined</v>
      </c>
      <c r="E182" s="145">
        <f>IFERROR(INDEX(Työkonekanta!$G$3:$G$27,MATCH($A182,Työkonekanta!$A$3:$A$24,0),1)*INDEX(Työkonekanta!$H$3:$H$27,MATCH($A182,Työkonekanta!$A$3:$A$24,0),1)*(1+s0b_kasvu*($C182-2019))*$B182,0)</f>
        <v>0</v>
      </c>
      <c r="F182" s="145">
        <f t="shared" si="51"/>
        <v>0</v>
      </c>
      <c r="G182" s="151">
        <f t="shared" si="60"/>
        <v>0</v>
      </c>
      <c r="H182" s="145">
        <f t="shared" si="61"/>
        <v>0</v>
      </c>
      <c r="I182" s="145">
        <f t="shared" si="52"/>
        <v>0</v>
      </c>
      <c r="J182" s="145">
        <f t="shared" si="53"/>
        <v>0</v>
      </c>
      <c r="K182" s="142" t="str">
        <f t="shared" si="62"/>
        <v>undefined</v>
      </c>
      <c r="L182" s="146">
        <f>IFERROR(INDEX(Työkonekanta!$I$3:$I$27,MATCH('S3 Tiekartta'!$A182,Työkonekanta!$A$3:$A$24,0),1)*(I182+J182)*f_adblue,0)</f>
        <v>0</v>
      </c>
      <c r="M182" s="146">
        <f t="shared" si="71"/>
        <v>0</v>
      </c>
      <c r="N182" s="143" t="str">
        <f>IF(tuulisähkö_vuosi&lt;='S3 Tiekartta'!C182,"tuulisähkö",ostosähkö_nyt)</f>
        <v>jäännössähkö</v>
      </c>
      <c r="O182" s="147">
        <f>INDEX(Muuttujat!$J$5:$J$21,MATCH($C182,Muuttujat!$H$5:$H$21,0),1)</f>
        <v>65.853419316547502</v>
      </c>
      <c r="P182" s="148">
        <f t="shared" si="63"/>
        <v>0.94</v>
      </c>
      <c r="Q182" s="148">
        <f t="shared" si="64"/>
        <v>0.06</v>
      </c>
      <c r="R182" s="148">
        <f t="shared" si="65"/>
        <v>0.06</v>
      </c>
      <c r="S182" s="149">
        <f t="shared" si="54"/>
        <v>0</v>
      </c>
      <c r="T182" s="150">
        <f t="shared" si="55"/>
        <v>0</v>
      </c>
      <c r="U182" s="150">
        <f t="shared" si="56"/>
        <v>0</v>
      </c>
      <c r="V182" s="150">
        <f>IFERROR(INDEX(Työkonekanta!$J$3:$J$27,MATCH($A182,Työkonekanta!$A$3:$A$24,0),1)*$B182*ef_li_ion_akku/1000/1000/INDEX(Työkonekanta!$K$3:$K$27,MATCH($A182,Työkonekanta!$A$3:$A$24,0)),0)</f>
        <v>0</v>
      </c>
      <c r="W182" s="149">
        <f t="shared" si="72"/>
        <v>0</v>
      </c>
      <c r="X182" s="150">
        <f t="shared" si="73"/>
        <v>0</v>
      </c>
      <c r="Y182" s="151">
        <f t="shared" si="74"/>
        <v>0</v>
      </c>
      <c r="Z182" s="152">
        <f t="shared" si="66"/>
        <v>0</v>
      </c>
      <c r="AA182" s="179">
        <f t="shared" si="67"/>
        <v>0</v>
      </c>
      <c r="AB182" s="179">
        <f t="shared" si="68"/>
        <v>0</v>
      </c>
      <c r="AC182" s="180">
        <f t="shared" si="75"/>
        <v>0</v>
      </c>
      <c r="AD182" s="156">
        <f t="shared" si="69"/>
        <v>0</v>
      </c>
      <c r="AE182" s="146">
        <f>IFERROR(INDEX(Työkonekanta!$L$3:$L$30,MATCH($A182,Työkonekanta!$A$3:$A$30,0),1),0)*AF182</f>
        <v>0</v>
      </c>
      <c r="AF182" s="146">
        <f>IFERROR(INDEX(Työkonekanta!$N$3:$N$32,MATCH($A182,Työkonekanta!$A$3:$A$32,0),1),0)</f>
        <v>0</v>
      </c>
      <c r="AG182" s="332">
        <f>I182*INDEX(Muuttujat!$U$5:$U$21,MATCH($C182,Muuttujat!$N$5:$N$21,0),1)</f>
        <v>0</v>
      </c>
      <c r="AH182" s="332">
        <f>J182*INDEX(Muuttujat!$T$5:$T$21,MATCH($C182,Muuttujat!$N$5:$N$21,0),1)</f>
        <v>0</v>
      </c>
      <c r="AI182" s="332">
        <f t="shared" si="57"/>
        <v>0</v>
      </c>
      <c r="AJ182" s="332">
        <f t="shared" si="58"/>
        <v>0</v>
      </c>
      <c r="AK182" s="333">
        <f t="shared" si="70"/>
        <v>0</v>
      </c>
      <c r="AL182" s="332">
        <f t="shared" si="59"/>
        <v>0</v>
      </c>
      <c r="AM182" s="351"/>
      <c r="AN182" s="351"/>
    </row>
    <row r="183" spans="1:40">
      <c r="A183" s="139">
        <v>1</v>
      </c>
      <c r="B183" s="139">
        <f>IFERROR(IF((INDEX(Työkonekanta!$F$3:$F$27,MATCH('S3 Tiekartta'!$A183,Työkonekanta!$A$3:$A$24,0),1))&lt;0,0,(INDEX(Työkonekanta!$F$3:$F$27,MATCH('S3 Tiekartta'!$A183,Työkonekanta!$A$3:$A$24,0),1))),0)</f>
        <v>1</v>
      </c>
      <c r="C183" s="140">
        <v>2025</v>
      </c>
      <c r="D183" s="141" t="str">
        <f>IFERROR(INDEX(Työkonekanta!$D$3:$D$27,MATCH('S3 Tiekartta'!$A183,Työkonekanta!$A$3:$A$24,0),1),"undefined")</f>
        <v>pom</v>
      </c>
      <c r="E183" s="145">
        <f>IFERROR(INDEX(Työkonekanta!$G$3:$G$27,MATCH($A183,Työkonekanta!$A$3:$A$24,0),1)*INDEX(Työkonekanta!$H$3:$H$27,MATCH($A183,Työkonekanta!$A$3:$A$24,0),1)*(1+s0b_kasvu*($C183-2019))*$B183,0)</f>
        <v>10600</v>
      </c>
      <c r="F183" s="145">
        <f t="shared" si="51"/>
        <v>380540</v>
      </c>
      <c r="G183" s="151">
        <f t="shared" si="60"/>
        <v>353902.19999999995</v>
      </c>
      <c r="H183" s="145">
        <f t="shared" si="61"/>
        <v>26637.800000000003</v>
      </c>
      <c r="I183" s="145">
        <f t="shared" si="52"/>
        <v>9858</v>
      </c>
      <c r="J183" s="145">
        <f t="shared" si="53"/>
        <v>776.61224489795939</v>
      </c>
      <c r="K183" s="142" t="str">
        <f t="shared" si="62"/>
        <v>l</v>
      </c>
      <c r="L183" s="146">
        <f>IFERROR(INDEX(Työkonekanta!$I$3:$I$27,MATCH('S3 Tiekartta'!$A183,Työkonekanta!$A$3:$A$24,0),1)*(I183+J183)*f_adblue,0)</f>
        <v>531.730612244898</v>
      </c>
      <c r="M183" s="146">
        <f t="shared" si="71"/>
        <v>0</v>
      </c>
      <c r="N183" s="143" t="str">
        <f>IF(tuulisähkö_vuosi&lt;='S3 Tiekartta'!C183,"tuulisähkö",ostosähkö_nyt)</f>
        <v>jäännössähkö</v>
      </c>
      <c r="O183" s="147">
        <f>INDEX(Muuttujat!$J$5:$J$21,MATCH($C183,Muuttujat!$H$5:$H$21,0),1)</f>
        <v>65.194885123382022</v>
      </c>
      <c r="P183" s="148">
        <f t="shared" si="63"/>
        <v>0.92999999999999994</v>
      </c>
      <c r="Q183" s="148">
        <f t="shared" si="64"/>
        <v>7.0000000000000007E-2</v>
      </c>
      <c r="R183" s="148">
        <f t="shared" si="65"/>
        <v>7.0000000000000007E-2</v>
      </c>
      <c r="S183" s="149">
        <f t="shared" si="54"/>
        <v>6.6887515799999981</v>
      </c>
      <c r="T183" s="150">
        <f t="shared" si="55"/>
        <v>1.6621987200000001</v>
      </c>
      <c r="U183" s="150">
        <f t="shared" si="56"/>
        <v>0</v>
      </c>
      <c r="V183" s="150">
        <f>IFERROR(INDEX(Työkonekanta!$J$3:$J$27,MATCH($A183,Työkonekanta!$A$3:$A$24,0),1)*$B183*ef_li_ion_akku/1000/1000/INDEX(Työkonekanta!$K$3:$K$27,MATCH($A183,Työkonekanta!$A$3:$A$24,0)),0)</f>
        <v>0</v>
      </c>
      <c r="W183" s="149">
        <f t="shared" si="72"/>
        <v>26.1209035673388</v>
      </c>
      <c r="X183" s="150">
        <f t="shared" si="73"/>
        <v>0.33681039959999998</v>
      </c>
      <c r="Y183" s="151">
        <f t="shared" si="74"/>
        <v>0.1382499591836735</v>
      </c>
      <c r="Z183" s="152">
        <f t="shared" si="66"/>
        <v>8.3509502999999974</v>
      </c>
      <c r="AA183" s="179">
        <f t="shared" si="67"/>
        <v>26.259153526522475</v>
      </c>
      <c r="AB183" s="179">
        <f t="shared" si="68"/>
        <v>26.595963926122476</v>
      </c>
      <c r="AC183" s="180">
        <f t="shared" si="75"/>
        <v>34.610103826522476</v>
      </c>
      <c r="AD183" s="156">
        <f t="shared" si="69"/>
        <v>34.946914226122473</v>
      </c>
      <c r="AE183" s="146">
        <f>IFERROR(INDEX(Työkonekanta!$L$3:$L$30,MATCH($A183,Työkonekanta!$A$3:$A$30,0),1),0)*AF183</f>
        <v>500000</v>
      </c>
      <c r="AF183" s="146">
        <f>IFERROR(INDEX(Työkonekanta!$N$3:$N$32,MATCH($A183,Työkonekanta!$A$3:$A$32,0),1),0)</f>
        <v>1</v>
      </c>
      <c r="AG183" s="332">
        <f>I183*INDEX(Muuttujat!$U$5:$U$21,MATCH($C183,Muuttujat!$N$5:$N$21,0),1)</f>
        <v>10153.74</v>
      </c>
      <c r="AH183" s="332">
        <f>J183*INDEX(Muuttujat!$T$5:$T$21,MATCH($C183,Muuttujat!$N$5:$N$21,0),1)</f>
        <v>1110.5555102040821</v>
      </c>
      <c r="AI183" s="332">
        <f t="shared" si="57"/>
        <v>265.865306122449</v>
      </c>
      <c r="AJ183" s="332">
        <f t="shared" si="58"/>
        <v>0</v>
      </c>
      <c r="AK183" s="333">
        <f t="shared" si="70"/>
        <v>11530.16081632653</v>
      </c>
      <c r="AL183" s="332">
        <f t="shared" si="59"/>
        <v>11530.16081632653</v>
      </c>
      <c r="AM183" s="351"/>
      <c r="AN183" s="351"/>
    </row>
    <row r="184" spans="1:40">
      <c r="A184" s="139">
        <v>2</v>
      </c>
      <c r="B184" s="139">
        <f>IFERROR(IF((INDEX(Työkonekanta!$F$3:$F$27,MATCH('S3 Tiekartta'!$A184,Työkonekanta!$A$3:$A$24,0),1))&lt;0,0,(INDEX(Työkonekanta!$F$3:$F$27,MATCH('S3 Tiekartta'!$A184,Työkonekanta!$A$3:$A$24,0),1))),0)</f>
        <v>1</v>
      </c>
      <c r="C184" s="140">
        <v>2025</v>
      </c>
      <c r="D184" s="141" t="str">
        <f>IFERROR(INDEX(Työkonekanta!$D$3:$D$27,MATCH('S3 Tiekartta'!$A184,Työkonekanta!$A$3:$A$24,0),1),"undefined")</f>
        <v>pom</v>
      </c>
      <c r="E184" s="145">
        <f>IFERROR(INDEX(Työkonekanta!$G$3:$G$27,MATCH($A184,Työkonekanta!$A$3:$A$24,0),1)*INDEX(Työkonekanta!$H$3:$H$27,MATCH($A184,Työkonekanta!$A$3:$A$24,0),1)*(1+s0b_kasvu*($C184-2019))*$B184,0)</f>
        <v>10600</v>
      </c>
      <c r="F184" s="145">
        <f t="shared" si="51"/>
        <v>380540</v>
      </c>
      <c r="G184" s="151">
        <f t="shared" si="60"/>
        <v>353902.19999999995</v>
      </c>
      <c r="H184" s="145">
        <f t="shared" si="61"/>
        <v>26637.800000000003</v>
      </c>
      <c r="I184" s="145">
        <f t="shared" si="52"/>
        <v>9858</v>
      </c>
      <c r="J184" s="145">
        <f t="shared" si="53"/>
        <v>776.61224489795939</v>
      </c>
      <c r="K184" s="142" t="str">
        <f t="shared" si="62"/>
        <v>l</v>
      </c>
      <c r="L184" s="146">
        <f>IFERROR(INDEX(Työkonekanta!$I$3:$I$27,MATCH('S3 Tiekartta'!$A184,Työkonekanta!$A$3:$A$24,0),1)*(I184+J184)*f_adblue,0)</f>
        <v>531.730612244898</v>
      </c>
      <c r="M184" s="146">
        <f t="shared" si="71"/>
        <v>0</v>
      </c>
      <c r="N184" s="143" t="str">
        <f>IF(tuulisähkö_vuosi&lt;='S3 Tiekartta'!C184,"tuulisähkö",ostosähkö_nyt)</f>
        <v>jäännössähkö</v>
      </c>
      <c r="O184" s="147">
        <f>INDEX(Muuttujat!$J$5:$J$21,MATCH($C184,Muuttujat!$H$5:$H$21,0),1)</f>
        <v>65.194885123382022</v>
      </c>
      <c r="P184" s="148">
        <f t="shared" si="63"/>
        <v>0.92999999999999994</v>
      </c>
      <c r="Q184" s="148">
        <f t="shared" si="64"/>
        <v>7.0000000000000007E-2</v>
      </c>
      <c r="R184" s="148">
        <f t="shared" si="65"/>
        <v>7.0000000000000007E-2</v>
      </c>
      <c r="S184" s="149">
        <f t="shared" si="54"/>
        <v>6.6887515799999981</v>
      </c>
      <c r="T184" s="150">
        <f t="shared" si="55"/>
        <v>1.6621987200000001</v>
      </c>
      <c r="U184" s="150">
        <f t="shared" si="56"/>
        <v>0</v>
      </c>
      <c r="V184" s="150">
        <f>IFERROR(INDEX(Työkonekanta!$J$3:$J$27,MATCH($A184,Työkonekanta!$A$3:$A$24,0),1)*$B184*ef_li_ion_akku/1000/1000/INDEX(Työkonekanta!$K$3:$K$27,MATCH($A184,Työkonekanta!$A$3:$A$24,0)),0)</f>
        <v>0</v>
      </c>
      <c r="W184" s="149">
        <f t="shared" si="72"/>
        <v>26.1209035673388</v>
      </c>
      <c r="X184" s="150">
        <f t="shared" si="73"/>
        <v>0.33681039959999998</v>
      </c>
      <c r="Y184" s="151">
        <f t="shared" si="74"/>
        <v>0.1382499591836735</v>
      </c>
      <c r="Z184" s="152">
        <f t="shared" si="66"/>
        <v>8.3509502999999974</v>
      </c>
      <c r="AA184" s="179">
        <f t="shared" si="67"/>
        <v>26.259153526522475</v>
      </c>
      <c r="AB184" s="179">
        <f t="shared" si="68"/>
        <v>26.595963926122476</v>
      </c>
      <c r="AC184" s="180">
        <f t="shared" si="75"/>
        <v>34.610103826522476</v>
      </c>
      <c r="AD184" s="156">
        <f t="shared" si="69"/>
        <v>34.946914226122473</v>
      </c>
      <c r="AE184" s="146">
        <f>IFERROR(INDEX(Työkonekanta!$L$3:$L$30,MATCH($A184,Työkonekanta!$A$3:$A$30,0),1),0)*AF184</f>
        <v>500000</v>
      </c>
      <c r="AF184" s="146">
        <f>IFERROR(INDEX(Työkonekanta!$N$3:$N$32,MATCH($A184,Työkonekanta!$A$3:$A$32,0),1),0)</f>
        <v>1</v>
      </c>
      <c r="AG184" s="332">
        <f>I184*INDEX(Muuttujat!$U$5:$U$21,MATCH($C184,Muuttujat!$N$5:$N$21,0),1)</f>
        <v>10153.74</v>
      </c>
      <c r="AH184" s="332">
        <f>J184*INDEX(Muuttujat!$T$5:$T$21,MATCH($C184,Muuttujat!$N$5:$N$21,0),1)</f>
        <v>1110.5555102040821</v>
      </c>
      <c r="AI184" s="332">
        <f t="shared" si="57"/>
        <v>265.865306122449</v>
      </c>
      <c r="AJ184" s="332">
        <f t="shared" si="58"/>
        <v>0</v>
      </c>
      <c r="AK184" s="333">
        <f t="shared" si="70"/>
        <v>11530.16081632653</v>
      </c>
      <c r="AL184" s="332">
        <f t="shared" si="59"/>
        <v>11530.16081632653</v>
      </c>
      <c r="AM184" s="351"/>
      <c r="AN184" s="351"/>
    </row>
    <row r="185" spans="1:40">
      <c r="A185" s="139">
        <v>3</v>
      </c>
      <c r="B185" s="139">
        <f>IFERROR(IF((INDEX(Työkonekanta!$F$3:$F$27,MATCH('S3 Tiekartta'!$A185,Työkonekanta!$A$3:$A$24,0),1))&lt;0,0,(INDEX(Työkonekanta!$F$3:$F$27,MATCH('S3 Tiekartta'!$A185,Työkonekanta!$A$3:$A$24,0),1))),0)</f>
        <v>1</v>
      </c>
      <c r="C185" s="140">
        <v>2025</v>
      </c>
      <c r="D185" s="141" t="str">
        <f>IFERROR(INDEX(Työkonekanta!$D$3:$D$27,MATCH('S3 Tiekartta'!$A185,Työkonekanta!$A$3:$A$24,0),1),"undefined")</f>
        <v>pom</v>
      </c>
      <c r="E185" s="145">
        <f>IFERROR(INDEX(Työkonekanta!$G$3:$G$27,MATCH($A185,Työkonekanta!$A$3:$A$24,0),1)*INDEX(Työkonekanta!$H$3:$H$27,MATCH($A185,Työkonekanta!$A$3:$A$24,0),1)*(1+s0b_kasvu*($C185-2019))*$B185,0)</f>
        <v>10600</v>
      </c>
      <c r="F185" s="145">
        <f t="shared" si="51"/>
        <v>380540</v>
      </c>
      <c r="G185" s="151">
        <f t="shared" si="60"/>
        <v>353902.19999999995</v>
      </c>
      <c r="H185" s="145">
        <f t="shared" si="61"/>
        <v>26637.800000000003</v>
      </c>
      <c r="I185" s="145">
        <f t="shared" si="52"/>
        <v>9858</v>
      </c>
      <c r="J185" s="145">
        <f t="shared" si="53"/>
        <v>776.61224489795939</v>
      </c>
      <c r="K185" s="142" t="str">
        <f t="shared" si="62"/>
        <v>l</v>
      </c>
      <c r="L185" s="146">
        <f>IFERROR(INDEX(Työkonekanta!$I$3:$I$27,MATCH('S3 Tiekartta'!$A185,Työkonekanta!$A$3:$A$24,0),1)*(I185+J185)*f_adblue,0)</f>
        <v>531.730612244898</v>
      </c>
      <c r="M185" s="146">
        <f t="shared" si="71"/>
        <v>0</v>
      </c>
      <c r="N185" s="143" t="str">
        <f>IF(tuulisähkö_vuosi&lt;='S3 Tiekartta'!C185,"tuulisähkö",ostosähkö_nyt)</f>
        <v>jäännössähkö</v>
      </c>
      <c r="O185" s="147">
        <f>INDEX(Muuttujat!$J$5:$J$21,MATCH($C185,Muuttujat!$H$5:$H$21,0),1)</f>
        <v>65.194885123382022</v>
      </c>
      <c r="P185" s="148">
        <f t="shared" si="63"/>
        <v>0.92999999999999994</v>
      </c>
      <c r="Q185" s="148">
        <f t="shared" si="64"/>
        <v>7.0000000000000007E-2</v>
      </c>
      <c r="R185" s="148">
        <f t="shared" si="65"/>
        <v>7.0000000000000007E-2</v>
      </c>
      <c r="S185" s="149">
        <f t="shared" si="54"/>
        <v>6.6887515799999981</v>
      </c>
      <c r="T185" s="150">
        <f t="shared" si="55"/>
        <v>1.6621987200000001</v>
      </c>
      <c r="U185" s="150">
        <f t="shared" si="56"/>
        <v>0</v>
      </c>
      <c r="V185" s="150">
        <f>IFERROR(INDEX(Työkonekanta!$J$3:$J$27,MATCH($A185,Työkonekanta!$A$3:$A$24,0),1)*$B185*ef_li_ion_akku/1000/1000/INDEX(Työkonekanta!$K$3:$K$27,MATCH($A185,Työkonekanta!$A$3:$A$24,0)),0)</f>
        <v>0</v>
      </c>
      <c r="W185" s="149">
        <f t="shared" si="72"/>
        <v>26.1209035673388</v>
      </c>
      <c r="X185" s="150">
        <f t="shared" si="73"/>
        <v>0.33681039959999998</v>
      </c>
      <c r="Y185" s="151">
        <f t="shared" si="74"/>
        <v>0.1382499591836735</v>
      </c>
      <c r="Z185" s="152">
        <f t="shared" si="66"/>
        <v>8.3509502999999974</v>
      </c>
      <c r="AA185" s="179">
        <f t="shared" si="67"/>
        <v>26.259153526522475</v>
      </c>
      <c r="AB185" s="179">
        <f t="shared" si="68"/>
        <v>26.595963926122476</v>
      </c>
      <c r="AC185" s="180">
        <f t="shared" si="75"/>
        <v>34.610103826522476</v>
      </c>
      <c r="AD185" s="156">
        <f t="shared" si="69"/>
        <v>34.946914226122473</v>
      </c>
      <c r="AE185" s="146">
        <f>IFERROR(INDEX(Työkonekanta!$L$3:$L$30,MATCH($A185,Työkonekanta!$A$3:$A$30,0),1),0)*AF185</f>
        <v>0</v>
      </c>
      <c r="AF185" s="146">
        <f>IFERROR(INDEX(Työkonekanta!$N$3:$N$32,MATCH($A185,Työkonekanta!$A$3:$A$32,0),1),0)</f>
        <v>0</v>
      </c>
      <c r="AG185" s="332">
        <f>I185*INDEX(Muuttujat!$U$5:$U$21,MATCH($C185,Muuttujat!$N$5:$N$21,0),1)</f>
        <v>10153.74</v>
      </c>
      <c r="AH185" s="332">
        <f>J185*INDEX(Muuttujat!$T$5:$T$21,MATCH($C185,Muuttujat!$N$5:$N$21,0),1)</f>
        <v>1110.5555102040821</v>
      </c>
      <c r="AI185" s="332">
        <f t="shared" si="57"/>
        <v>265.865306122449</v>
      </c>
      <c r="AJ185" s="332">
        <f t="shared" si="58"/>
        <v>0</v>
      </c>
      <c r="AK185" s="333">
        <f t="shared" si="70"/>
        <v>11530.16081632653</v>
      </c>
      <c r="AL185" s="332">
        <f t="shared" si="59"/>
        <v>11530.16081632653</v>
      </c>
      <c r="AM185" s="351"/>
      <c r="AN185" s="351"/>
    </row>
    <row r="186" spans="1:40">
      <c r="A186" s="139">
        <v>4</v>
      </c>
      <c r="B186" s="139">
        <f>IFERROR(IF((INDEX(Työkonekanta!$F$3:$F$27,MATCH('S3 Tiekartta'!$A186,Työkonekanta!$A$3:$A$24,0),1))&lt;0,0,(INDEX(Työkonekanta!$F$3:$F$27,MATCH('S3 Tiekartta'!$A186,Työkonekanta!$A$3:$A$24,0),1))),0)</f>
        <v>1</v>
      </c>
      <c r="C186" s="140">
        <v>2025</v>
      </c>
      <c r="D186" s="141" t="str">
        <f>IFERROR(INDEX(Työkonekanta!$D$3:$D$27,MATCH('S3 Tiekartta'!$A186,Työkonekanta!$A$3:$A$24,0),1),"undefined")</f>
        <v>pom</v>
      </c>
      <c r="E186" s="145">
        <f>IFERROR(INDEX(Työkonekanta!$G$3:$G$27,MATCH($A186,Työkonekanta!$A$3:$A$24,0),1)*INDEX(Työkonekanta!$H$3:$H$27,MATCH($A186,Työkonekanta!$A$3:$A$24,0),1)*(1+s0b_kasvu*($C186-2019))*$B186,0)</f>
        <v>10600</v>
      </c>
      <c r="F186" s="145">
        <f t="shared" si="51"/>
        <v>380540</v>
      </c>
      <c r="G186" s="151">
        <f t="shared" si="60"/>
        <v>353902.19999999995</v>
      </c>
      <c r="H186" s="145">
        <f t="shared" si="61"/>
        <v>26637.800000000003</v>
      </c>
      <c r="I186" s="145">
        <f t="shared" si="52"/>
        <v>9858</v>
      </c>
      <c r="J186" s="145">
        <f t="shared" si="53"/>
        <v>776.61224489795939</v>
      </c>
      <c r="K186" s="142" t="str">
        <f t="shared" si="62"/>
        <v>l</v>
      </c>
      <c r="L186" s="146">
        <f>IFERROR(INDEX(Työkonekanta!$I$3:$I$27,MATCH('S3 Tiekartta'!$A186,Työkonekanta!$A$3:$A$24,0),1)*(I186+J186)*f_adblue,0)</f>
        <v>531.730612244898</v>
      </c>
      <c r="M186" s="146">
        <f t="shared" si="71"/>
        <v>0</v>
      </c>
      <c r="N186" s="143" t="str">
        <f>IF(tuulisähkö_vuosi&lt;='S3 Tiekartta'!C186,"tuulisähkö",ostosähkö_nyt)</f>
        <v>jäännössähkö</v>
      </c>
      <c r="O186" s="147">
        <f>INDEX(Muuttujat!$J$5:$J$21,MATCH($C186,Muuttujat!$H$5:$H$21,0),1)</f>
        <v>65.194885123382022</v>
      </c>
      <c r="P186" s="148">
        <f t="shared" si="63"/>
        <v>0.92999999999999994</v>
      </c>
      <c r="Q186" s="148">
        <f t="shared" si="64"/>
        <v>7.0000000000000007E-2</v>
      </c>
      <c r="R186" s="148">
        <f t="shared" si="65"/>
        <v>7.0000000000000007E-2</v>
      </c>
      <c r="S186" s="149">
        <f t="shared" si="54"/>
        <v>6.6887515799999981</v>
      </c>
      <c r="T186" s="150">
        <f t="shared" si="55"/>
        <v>1.6621987200000001</v>
      </c>
      <c r="U186" s="150">
        <f t="shared" si="56"/>
        <v>0</v>
      </c>
      <c r="V186" s="150">
        <f>IFERROR(INDEX(Työkonekanta!$J$3:$J$27,MATCH($A186,Työkonekanta!$A$3:$A$24,0),1)*$B186*ef_li_ion_akku/1000/1000/INDEX(Työkonekanta!$K$3:$K$27,MATCH($A186,Työkonekanta!$A$3:$A$24,0)),0)</f>
        <v>0</v>
      </c>
      <c r="W186" s="149">
        <f t="shared" si="72"/>
        <v>26.1209035673388</v>
      </c>
      <c r="X186" s="150">
        <f t="shared" si="73"/>
        <v>0.33681039959999998</v>
      </c>
      <c r="Y186" s="151">
        <f t="shared" si="74"/>
        <v>0.1382499591836735</v>
      </c>
      <c r="Z186" s="152">
        <f t="shared" si="66"/>
        <v>8.3509502999999974</v>
      </c>
      <c r="AA186" s="179">
        <f t="shared" si="67"/>
        <v>26.259153526522475</v>
      </c>
      <c r="AB186" s="179">
        <f t="shared" si="68"/>
        <v>26.595963926122476</v>
      </c>
      <c r="AC186" s="180">
        <f t="shared" si="75"/>
        <v>34.610103826522476</v>
      </c>
      <c r="AD186" s="156">
        <f t="shared" si="69"/>
        <v>34.946914226122473</v>
      </c>
      <c r="AE186" s="146">
        <f>IFERROR(INDEX(Työkonekanta!$L$3:$L$30,MATCH($A186,Työkonekanta!$A$3:$A$30,0),1),0)*AF186</f>
        <v>0</v>
      </c>
      <c r="AF186" s="146">
        <f>IFERROR(INDEX(Työkonekanta!$N$3:$N$32,MATCH($A186,Työkonekanta!$A$3:$A$32,0),1),0)</f>
        <v>0</v>
      </c>
      <c r="AG186" s="332">
        <f>I186*INDEX(Muuttujat!$U$5:$U$21,MATCH($C186,Muuttujat!$N$5:$N$21,0),1)</f>
        <v>10153.74</v>
      </c>
      <c r="AH186" s="332">
        <f>J186*INDEX(Muuttujat!$T$5:$T$21,MATCH($C186,Muuttujat!$N$5:$N$21,0),1)</f>
        <v>1110.5555102040821</v>
      </c>
      <c r="AI186" s="332">
        <f t="shared" si="57"/>
        <v>265.865306122449</v>
      </c>
      <c r="AJ186" s="332">
        <f t="shared" si="58"/>
        <v>0</v>
      </c>
      <c r="AK186" s="333">
        <f t="shared" si="70"/>
        <v>11530.16081632653</v>
      </c>
      <c r="AL186" s="332">
        <f t="shared" si="59"/>
        <v>11530.16081632653</v>
      </c>
      <c r="AM186" s="351"/>
      <c r="AN186" s="351"/>
    </row>
    <row r="187" spans="1:40">
      <c r="A187" s="139">
        <v>5</v>
      </c>
      <c r="B187" s="139">
        <f>IFERROR(IF((INDEX(Työkonekanta!$F$3:$F$27,MATCH('S3 Tiekartta'!$A187,Työkonekanta!$A$3:$A$24,0),1))&lt;0,0,(INDEX(Työkonekanta!$F$3:$F$27,MATCH('S3 Tiekartta'!$A187,Työkonekanta!$A$3:$A$24,0),1))),0)</f>
        <v>0</v>
      </c>
      <c r="C187" s="140">
        <v>2025</v>
      </c>
      <c r="D187" s="141" t="str">
        <f>IFERROR(INDEX(Työkonekanta!$D$3:$D$27,MATCH('S3 Tiekartta'!$A187,Työkonekanta!$A$3:$A$24,0),1),"undefined")</f>
        <v>sähkö</v>
      </c>
      <c r="E187" s="145">
        <f>IFERROR(INDEX(Työkonekanta!$G$3:$G$27,MATCH($A187,Työkonekanta!$A$3:$A$24,0),1)*INDEX(Työkonekanta!$H$3:$H$27,MATCH($A187,Työkonekanta!$A$3:$A$24,0),1)*(1+s0b_kasvu*($C187-2019))*$B187,0)</f>
        <v>0</v>
      </c>
      <c r="F187" s="145">
        <f t="shared" si="51"/>
        <v>0</v>
      </c>
      <c r="G187" s="151">
        <f t="shared" si="60"/>
        <v>0</v>
      </c>
      <c r="H187" s="145">
        <f t="shared" si="61"/>
        <v>0</v>
      </c>
      <c r="I187" s="145">
        <f t="shared" si="52"/>
        <v>0</v>
      </c>
      <c r="J187" s="145">
        <f t="shared" si="53"/>
        <v>0</v>
      </c>
      <c r="K187" s="142" t="str">
        <f t="shared" si="62"/>
        <v>kWh</v>
      </c>
      <c r="L187" s="146">
        <f>IFERROR(INDEX(Työkonekanta!$I$3:$I$27,MATCH('S3 Tiekartta'!$A187,Työkonekanta!$A$3:$A$24,0),1)*(I187+J187)*f_adblue,0)</f>
        <v>0</v>
      </c>
      <c r="M187" s="146">
        <f t="shared" si="71"/>
        <v>0</v>
      </c>
      <c r="N187" s="143" t="str">
        <f>IF(tuulisähkö_vuosi&lt;='S3 Tiekartta'!C187,"tuulisähkö",ostosähkö_nyt)</f>
        <v>jäännössähkö</v>
      </c>
      <c r="O187" s="147">
        <f>INDEX(Muuttujat!$J$5:$J$21,MATCH($C187,Muuttujat!$H$5:$H$21,0),1)</f>
        <v>65.194885123382022</v>
      </c>
      <c r="P187" s="148">
        <f t="shared" si="63"/>
        <v>0.92999999999999994</v>
      </c>
      <c r="Q187" s="148">
        <f t="shared" si="64"/>
        <v>7.0000000000000007E-2</v>
      </c>
      <c r="R187" s="148">
        <f t="shared" si="65"/>
        <v>7.0000000000000007E-2</v>
      </c>
      <c r="S187" s="149">
        <f t="shared" si="54"/>
        <v>0</v>
      </c>
      <c r="T187" s="150">
        <f t="shared" si="55"/>
        <v>0</v>
      </c>
      <c r="U187" s="150">
        <f t="shared" si="56"/>
        <v>0</v>
      </c>
      <c r="V187" s="150">
        <f>IFERROR(INDEX(Työkonekanta!$J$3:$J$27,MATCH($A187,Työkonekanta!$A$3:$A$24,0),1)*$B187*ef_li_ion_akku/1000/1000/INDEX(Työkonekanta!$K$3:$K$27,MATCH($A187,Työkonekanta!$A$3:$A$24,0)),0)</f>
        <v>0</v>
      </c>
      <c r="W187" s="149">
        <f t="shared" si="72"/>
        <v>0</v>
      </c>
      <c r="X187" s="150">
        <f t="shared" si="73"/>
        <v>0</v>
      </c>
      <c r="Y187" s="151">
        <f t="shared" si="74"/>
        <v>0</v>
      </c>
      <c r="Z187" s="152">
        <f t="shared" si="66"/>
        <v>0</v>
      </c>
      <c r="AA187" s="179">
        <f t="shared" si="67"/>
        <v>0</v>
      </c>
      <c r="AB187" s="179">
        <f t="shared" si="68"/>
        <v>0</v>
      </c>
      <c r="AC187" s="180">
        <f t="shared" si="75"/>
        <v>0</v>
      </c>
      <c r="AD187" s="156">
        <f t="shared" si="69"/>
        <v>0</v>
      </c>
      <c r="AE187" s="146">
        <f>IFERROR(INDEX(Työkonekanta!$L$3:$L$30,MATCH($A187,Työkonekanta!$A$3:$A$30,0),1),0)*AF187</f>
        <v>0</v>
      </c>
      <c r="AF187" s="146">
        <f>IFERROR(INDEX(Työkonekanta!$N$3:$N$32,MATCH($A187,Työkonekanta!$A$3:$A$32,0),1),0)</f>
        <v>0</v>
      </c>
      <c r="AG187" s="332">
        <f>I187*INDEX(Muuttujat!$U$5:$U$21,MATCH($C187,Muuttujat!$N$5:$N$21,0),1)</f>
        <v>0</v>
      </c>
      <c r="AH187" s="332">
        <f>J187*INDEX(Muuttujat!$T$5:$T$21,MATCH($C187,Muuttujat!$N$5:$N$21,0),1)</f>
        <v>0</v>
      </c>
      <c r="AI187" s="332">
        <f t="shared" si="57"/>
        <v>0</v>
      </c>
      <c r="AJ187" s="332">
        <f t="shared" si="58"/>
        <v>0</v>
      </c>
      <c r="AK187" s="333">
        <f t="shared" si="70"/>
        <v>0</v>
      </c>
      <c r="AL187" s="332">
        <f t="shared" si="59"/>
        <v>0</v>
      </c>
      <c r="AM187" s="351"/>
      <c r="AN187" s="351"/>
    </row>
    <row r="188" spans="1:40">
      <c r="A188" s="139">
        <v>6</v>
      </c>
      <c r="B188" s="139">
        <f>IFERROR(IF((INDEX(Työkonekanta!$F$3:$F$27,MATCH('S3 Tiekartta'!$A188,Työkonekanta!$A$3:$A$24,0),1))&lt;0,0,(INDEX(Työkonekanta!$F$3:$F$27,MATCH('S3 Tiekartta'!$A188,Työkonekanta!$A$3:$A$24,0),1))),0)</f>
        <v>0</v>
      </c>
      <c r="C188" s="140">
        <v>2025</v>
      </c>
      <c r="D188" s="141" t="str">
        <f>IFERROR(INDEX(Työkonekanta!$D$3:$D$27,MATCH('S3 Tiekartta'!$A188,Työkonekanta!$A$3:$A$24,0),1),"undefined")</f>
        <v>sähkö</v>
      </c>
      <c r="E188" s="145">
        <f>IFERROR(INDEX(Työkonekanta!$G$3:$G$27,MATCH($A188,Työkonekanta!$A$3:$A$24,0),1)*INDEX(Työkonekanta!$H$3:$H$27,MATCH($A188,Työkonekanta!$A$3:$A$24,0),1)*(1+s0b_kasvu*($C188-2019))*$B188,0)</f>
        <v>0</v>
      </c>
      <c r="F188" s="145">
        <f t="shared" si="51"/>
        <v>0</v>
      </c>
      <c r="G188" s="151">
        <f t="shared" si="60"/>
        <v>0</v>
      </c>
      <c r="H188" s="145">
        <f t="shared" si="61"/>
        <v>0</v>
      </c>
      <c r="I188" s="145">
        <f t="shared" si="52"/>
        <v>0</v>
      </c>
      <c r="J188" s="145">
        <f t="shared" si="53"/>
        <v>0</v>
      </c>
      <c r="K188" s="142" t="str">
        <f t="shared" si="62"/>
        <v>kWh</v>
      </c>
      <c r="L188" s="146">
        <f>IFERROR(INDEX(Työkonekanta!$I$3:$I$27,MATCH('S3 Tiekartta'!$A188,Työkonekanta!$A$3:$A$24,0),1)*(I188+J188)*f_adblue,0)</f>
        <v>0</v>
      </c>
      <c r="M188" s="146">
        <f t="shared" si="71"/>
        <v>0</v>
      </c>
      <c r="N188" s="143" t="str">
        <f>IF(tuulisähkö_vuosi&lt;='S3 Tiekartta'!C188,"tuulisähkö",ostosähkö_nyt)</f>
        <v>jäännössähkö</v>
      </c>
      <c r="O188" s="147">
        <f>INDEX(Muuttujat!$J$5:$J$21,MATCH($C188,Muuttujat!$H$5:$H$21,0),1)</f>
        <v>65.194885123382022</v>
      </c>
      <c r="P188" s="148">
        <f t="shared" si="63"/>
        <v>0.92999999999999994</v>
      </c>
      <c r="Q188" s="148">
        <f t="shared" si="64"/>
        <v>7.0000000000000007E-2</v>
      </c>
      <c r="R188" s="148">
        <f t="shared" si="65"/>
        <v>7.0000000000000007E-2</v>
      </c>
      <c r="S188" s="149">
        <f t="shared" si="54"/>
        <v>0</v>
      </c>
      <c r="T188" s="150">
        <f t="shared" si="55"/>
        <v>0</v>
      </c>
      <c r="U188" s="150">
        <f t="shared" si="56"/>
        <v>0</v>
      </c>
      <c r="V188" s="150">
        <f>IFERROR(INDEX(Työkonekanta!$J$3:$J$27,MATCH($A188,Työkonekanta!$A$3:$A$24,0),1)*$B188*ef_li_ion_akku/1000/1000/INDEX(Työkonekanta!$K$3:$K$27,MATCH($A188,Työkonekanta!$A$3:$A$24,0)),0)</f>
        <v>0</v>
      </c>
      <c r="W188" s="149">
        <f t="shared" si="72"/>
        <v>0</v>
      </c>
      <c r="X188" s="150">
        <f t="shared" si="73"/>
        <v>0</v>
      </c>
      <c r="Y188" s="151">
        <f t="shared" si="74"/>
        <v>0</v>
      </c>
      <c r="Z188" s="152">
        <f t="shared" si="66"/>
        <v>0</v>
      </c>
      <c r="AA188" s="179">
        <f t="shared" si="67"/>
        <v>0</v>
      </c>
      <c r="AB188" s="179">
        <f t="shared" si="68"/>
        <v>0</v>
      </c>
      <c r="AC188" s="180">
        <f t="shared" si="75"/>
        <v>0</v>
      </c>
      <c r="AD188" s="156">
        <f t="shared" si="69"/>
        <v>0</v>
      </c>
      <c r="AE188" s="146">
        <f>IFERROR(INDEX(Työkonekanta!$L$3:$L$30,MATCH($A188,Työkonekanta!$A$3:$A$30,0),1),0)*AF188</f>
        <v>0</v>
      </c>
      <c r="AF188" s="146">
        <f>IFERROR(INDEX(Työkonekanta!$N$3:$N$32,MATCH($A188,Työkonekanta!$A$3:$A$32,0),1),0)</f>
        <v>0</v>
      </c>
      <c r="AG188" s="332">
        <f>I188*INDEX(Muuttujat!$U$5:$U$21,MATCH($C188,Muuttujat!$N$5:$N$21,0),1)</f>
        <v>0</v>
      </c>
      <c r="AH188" s="332">
        <f>J188*INDEX(Muuttujat!$T$5:$T$21,MATCH($C188,Muuttujat!$N$5:$N$21,0),1)</f>
        <v>0</v>
      </c>
      <c r="AI188" s="332">
        <f t="shared" si="57"/>
        <v>0</v>
      </c>
      <c r="AJ188" s="332">
        <f t="shared" si="58"/>
        <v>0</v>
      </c>
      <c r="AK188" s="333">
        <f t="shared" si="70"/>
        <v>0</v>
      </c>
      <c r="AL188" s="332">
        <f t="shared" si="59"/>
        <v>0</v>
      </c>
      <c r="AM188" s="351"/>
      <c r="AN188" s="351"/>
    </row>
    <row r="189" spans="1:40">
      <c r="A189" s="139">
        <v>7</v>
      </c>
      <c r="B189" s="139">
        <f>IFERROR(IF((INDEX(Työkonekanta!$F$3:$F$27,MATCH('S3 Tiekartta'!$A189,Työkonekanta!$A$3:$A$24,0),1))&lt;0,0,(INDEX(Työkonekanta!$F$3:$F$27,MATCH('S3 Tiekartta'!$A189,Työkonekanta!$A$3:$A$24,0),1))),0)</f>
        <v>1</v>
      </c>
      <c r="C189" s="140">
        <v>2025</v>
      </c>
      <c r="D189" s="141" t="str">
        <f>IFERROR(INDEX(Työkonekanta!$D$3:$D$27,MATCH('S3 Tiekartta'!$A189,Työkonekanta!$A$3:$A$24,0),1),"undefined")</f>
        <v>pom</v>
      </c>
      <c r="E189" s="145">
        <f>IFERROR(INDEX(Työkonekanta!$G$3:$G$27,MATCH($A189,Työkonekanta!$A$3:$A$24,0),1)*INDEX(Työkonekanta!$H$3:$H$27,MATCH($A189,Työkonekanta!$A$3:$A$24,0),1)*(1+s0b_kasvu*($C189-2019))*$B189,0)</f>
        <v>10600</v>
      </c>
      <c r="F189" s="145">
        <f t="shared" si="51"/>
        <v>380540</v>
      </c>
      <c r="G189" s="151">
        <f t="shared" si="60"/>
        <v>353902.19999999995</v>
      </c>
      <c r="H189" s="145">
        <f t="shared" si="61"/>
        <v>26637.800000000003</v>
      </c>
      <c r="I189" s="145">
        <f t="shared" si="52"/>
        <v>9858</v>
      </c>
      <c r="J189" s="145">
        <f t="shared" si="53"/>
        <v>776.61224489795939</v>
      </c>
      <c r="K189" s="142" t="str">
        <f t="shared" si="62"/>
        <v>l</v>
      </c>
      <c r="L189" s="146">
        <f>IFERROR(INDEX(Työkonekanta!$I$3:$I$27,MATCH('S3 Tiekartta'!$A189,Työkonekanta!$A$3:$A$24,0),1)*(I189+J189)*f_adblue,0)</f>
        <v>0</v>
      </c>
      <c r="M189" s="146">
        <f t="shared" si="71"/>
        <v>0</v>
      </c>
      <c r="N189" s="143" t="str">
        <f>IF(tuulisähkö_vuosi&lt;='S3 Tiekartta'!C189,"tuulisähkö",ostosähkö_nyt)</f>
        <v>jäännössähkö</v>
      </c>
      <c r="O189" s="147">
        <f>INDEX(Muuttujat!$J$5:$J$21,MATCH($C189,Muuttujat!$H$5:$H$21,0),1)</f>
        <v>65.194885123382022</v>
      </c>
      <c r="P189" s="148">
        <f t="shared" si="63"/>
        <v>0.92999999999999994</v>
      </c>
      <c r="Q189" s="148">
        <f t="shared" si="64"/>
        <v>7.0000000000000007E-2</v>
      </c>
      <c r="R189" s="148">
        <f t="shared" si="65"/>
        <v>7.0000000000000007E-2</v>
      </c>
      <c r="S189" s="149">
        <f t="shared" si="54"/>
        <v>6.6887515799999981</v>
      </c>
      <c r="T189" s="150">
        <f t="shared" si="55"/>
        <v>1.6621987200000001</v>
      </c>
      <c r="U189" s="150">
        <f t="shared" si="56"/>
        <v>0</v>
      </c>
      <c r="V189" s="150">
        <f>IFERROR(INDEX(Työkonekanta!$J$3:$J$27,MATCH($A189,Työkonekanta!$A$3:$A$24,0),1)*$B189*ef_li_ion_akku/1000/1000/INDEX(Työkonekanta!$K$3:$K$27,MATCH($A189,Työkonekanta!$A$3:$A$24,0)),0)</f>
        <v>0</v>
      </c>
      <c r="W189" s="149">
        <f t="shared" si="72"/>
        <v>26.1209035673388</v>
      </c>
      <c r="X189" s="150">
        <f t="shared" si="73"/>
        <v>0.33681039959999998</v>
      </c>
      <c r="Y189" s="151">
        <f t="shared" si="74"/>
        <v>0</v>
      </c>
      <c r="Z189" s="152">
        <f t="shared" si="66"/>
        <v>8.3509502999999974</v>
      </c>
      <c r="AA189" s="179">
        <f t="shared" si="67"/>
        <v>26.1209035673388</v>
      </c>
      <c r="AB189" s="179">
        <f t="shared" si="68"/>
        <v>26.457713966938801</v>
      </c>
      <c r="AC189" s="180">
        <f t="shared" si="75"/>
        <v>34.471853867338794</v>
      </c>
      <c r="AD189" s="156">
        <f t="shared" si="69"/>
        <v>34.808664266938798</v>
      </c>
      <c r="AE189" s="146">
        <f>IFERROR(INDEX(Työkonekanta!$L$3:$L$30,MATCH($A189,Työkonekanta!$A$3:$A$30,0),1),0)*AF189</f>
        <v>500000</v>
      </c>
      <c r="AF189" s="146">
        <f>IFERROR(INDEX(Työkonekanta!$N$3:$N$32,MATCH($A189,Työkonekanta!$A$3:$A$32,0),1),0)</f>
        <v>1</v>
      </c>
      <c r="AG189" s="332">
        <f>I189*INDEX(Muuttujat!$U$5:$U$21,MATCH($C189,Muuttujat!$N$5:$N$21,0),1)</f>
        <v>10153.74</v>
      </c>
      <c r="AH189" s="332">
        <f>J189*INDEX(Muuttujat!$T$5:$T$21,MATCH($C189,Muuttujat!$N$5:$N$21,0),1)</f>
        <v>1110.5555102040821</v>
      </c>
      <c r="AI189" s="332">
        <f t="shared" si="57"/>
        <v>0</v>
      </c>
      <c r="AJ189" s="332">
        <f t="shared" si="58"/>
        <v>0</v>
      </c>
      <c r="AK189" s="333">
        <f t="shared" si="70"/>
        <v>11264.295510204081</v>
      </c>
      <c r="AL189" s="332">
        <f t="shared" si="59"/>
        <v>11264.295510204081</v>
      </c>
      <c r="AM189" s="351"/>
      <c r="AN189" s="351"/>
    </row>
    <row r="190" spans="1:40">
      <c r="A190" s="139">
        <v>8</v>
      </c>
      <c r="B190" s="139">
        <f>IFERROR(IF((INDEX(Työkonekanta!$F$3:$F$27,MATCH('S3 Tiekartta'!$A190,Työkonekanta!$A$3:$A$24,0),1))&lt;0,0,(INDEX(Työkonekanta!$F$3:$F$27,MATCH('S3 Tiekartta'!$A190,Työkonekanta!$A$3:$A$24,0),1))),0)</f>
        <v>1</v>
      </c>
      <c r="C190" s="140">
        <v>2025</v>
      </c>
      <c r="D190" s="141" t="str">
        <f>IFERROR(INDEX(Työkonekanta!$D$3:$D$27,MATCH('S3 Tiekartta'!$A190,Työkonekanta!$A$3:$A$24,0),1),"undefined")</f>
        <v>pom</v>
      </c>
      <c r="E190" s="145">
        <f>IFERROR(INDEX(Työkonekanta!$G$3:$G$27,MATCH($A190,Työkonekanta!$A$3:$A$24,0),1)*INDEX(Työkonekanta!$H$3:$H$27,MATCH($A190,Työkonekanta!$A$3:$A$24,0),1)*(1+s0b_kasvu*($C190-2019))*$B190,0)</f>
        <v>10600</v>
      </c>
      <c r="F190" s="145">
        <f t="shared" si="51"/>
        <v>380540</v>
      </c>
      <c r="G190" s="151">
        <f t="shared" si="60"/>
        <v>353902.19999999995</v>
      </c>
      <c r="H190" s="145">
        <f t="shared" si="61"/>
        <v>26637.800000000003</v>
      </c>
      <c r="I190" s="145">
        <f t="shared" si="52"/>
        <v>9858</v>
      </c>
      <c r="J190" s="145">
        <f t="shared" si="53"/>
        <v>776.61224489795939</v>
      </c>
      <c r="K190" s="142" t="str">
        <f t="shared" si="62"/>
        <v>l</v>
      </c>
      <c r="L190" s="146">
        <f>IFERROR(INDEX(Työkonekanta!$I$3:$I$27,MATCH('S3 Tiekartta'!$A190,Työkonekanta!$A$3:$A$24,0),1)*(I190+J190)*f_adblue,0)</f>
        <v>531.730612244898</v>
      </c>
      <c r="M190" s="146">
        <f t="shared" si="71"/>
        <v>0</v>
      </c>
      <c r="N190" s="143" t="str">
        <f>IF(tuulisähkö_vuosi&lt;='S3 Tiekartta'!C190,"tuulisähkö",ostosähkö_nyt)</f>
        <v>jäännössähkö</v>
      </c>
      <c r="O190" s="147">
        <f>INDEX(Muuttujat!$J$5:$J$21,MATCH($C190,Muuttujat!$H$5:$H$21,0),1)</f>
        <v>65.194885123382022</v>
      </c>
      <c r="P190" s="148">
        <f t="shared" si="63"/>
        <v>0.92999999999999994</v>
      </c>
      <c r="Q190" s="148">
        <f t="shared" si="64"/>
        <v>7.0000000000000007E-2</v>
      </c>
      <c r="R190" s="148">
        <f t="shared" si="65"/>
        <v>7.0000000000000007E-2</v>
      </c>
      <c r="S190" s="149">
        <f t="shared" si="54"/>
        <v>6.6887515799999981</v>
      </c>
      <c r="T190" s="150">
        <f t="shared" si="55"/>
        <v>1.6621987200000001</v>
      </c>
      <c r="U190" s="150">
        <f t="shared" si="56"/>
        <v>0</v>
      </c>
      <c r="V190" s="150">
        <f>IFERROR(INDEX(Työkonekanta!$J$3:$J$27,MATCH($A190,Työkonekanta!$A$3:$A$24,0),1)*$B190*ef_li_ion_akku/1000/1000/INDEX(Työkonekanta!$K$3:$K$27,MATCH($A190,Työkonekanta!$A$3:$A$24,0)),0)</f>
        <v>0</v>
      </c>
      <c r="W190" s="149">
        <f t="shared" si="72"/>
        <v>26.1209035673388</v>
      </c>
      <c r="X190" s="150">
        <f t="shared" si="73"/>
        <v>0.33681039959999998</v>
      </c>
      <c r="Y190" s="151">
        <f t="shared" si="74"/>
        <v>0.1382499591836735</v>
      </c>
      <c r="Z190" s="152">
        <f t="shared" si="66"/>
        <v>8.3509502999999974</v>
      </c>
      <c r="AA190" s="179">
        <f t="shared" si="67"/>
        <v>26.259153526522475</v>
      </c>
      <c r="AB190" s="179">
        <f t="shared" si="68"/>
        <v>26.595963926122476</v>
      </c>
      <c r="AC190" s="180">
        <f t="shared" si="75"/>
        <v>34.610103826522476</v>
      </c>
      <c r="AD190" s="156">
        <f t="shared" si="69"/>
        <v>34.946914226122473</v>
      </c>
      <c r="AE190" s="146">
        <f>IFERROR(INDEX(Työkonekanta!$L$3:$L$30,MATCH($A190,Työkonekanta!$A$3:$A$30,0),1),0)*AF190</f>
        <v>500000</v>
      </c>
      <c r="AF190" s="146">
        <f>IFERROR(INDEX(Työkonekanta!$N$3:$N$32,MATCH($A190,Työkonekanta!$A$3:$A$32,0),1),0)</f>
        <v>1</v>
      </c>
      <c r="AG190" s="332">
        <f>I190*INDEX(Muuttujat!$U$5:$U$21,MATCH($C190,Muuttujat!$N$5:$N$21,0),1)</f>
        <v>10153.74</v>
      </c>
      <c r="AH190" s="332">
        <f>J190*INDEX(Muuttujat!$T$5:$T$21,MATCH($C190,Muuttujat!$N$5:$N$21,0),1)</f>
        <v>1110.5555102040821</v>
      </c>
      <c r="AI190" s="332">
        <f t="shared" si="57"/>
        <v>265.865306122449</v>
      </c>
      <c r="AJ190" s="332">
        <f t="shared" si="58"/>
        <v>0</v>
      </c>
      <c r="AK190" s="333">
        <f t="shared" si="70"/>
        <v>11530.16081632653</v>
      </c>
      <c r="AL190" s="332">
        <f t="shared" si="59"/>
        <v>11530.16081632653</v>
      </c>
      <c r="AM190" s="351"/>
      <c r="AN190" s="351"/>
    </row>
    <row r="191" spans="1:40">
      <c r="A191" s="139">
        <v>9</v>
      </c>
      <c r="B191" s="139">
        <f>IFERROR(IF((INDEX(Työkonekanta!$F$3:$F$27,MATCH('S3 Tiekartta'!$A191,Työkonekanta!$A$3:$A$24,0),1))&lt;0,0,(INDEX(Työkonekanta!$F$3:$F$27,MATCH('S3 Tiekartta'!$A191,Työkonekanta!$A$3:$A$24,0),1))),0)</f>
        <v>0</v>
      </c>
      <c r="C191" s="140">
        <v>2025</v>
      </c>
      <c r="D191" s="141" t="str">
        <f>IFERROR(INDEX(Työkonekanta!$D$3:$D$27,MATCH('S3 Tiekartta'!$A191,Työkonekanta!$A$3:$A$24,0),1),"undefined")</f>
        <v>sähkö</v>
      </c>
      <c r="E191" s="145">
        <f>IFERROR(INDEX(Työkonekanta!$G$3:$G$27,MATCH($A191,Työkonekanta!$A$3:$A$24,0),1)*INDEX(Työkonekanta!$H$3:$H$27,MATCH($A191,Työkonekanta!$A$3:$A$24,0),1)*(1+s0b_kasvu*($C191-2019))*$B191,0)</f>
        <v>0</v>
      </c>
      <c r="F191" s="145">
        <f t="shared" si="51"/>
        <v>0</v>
      </c>
      <c r="G191" s="151">
        <f t="shared" si="60"/>
        <v>0</v>
      </c>
      <c r="H191" s="145">
        <f t="shared" si="61"/>
        <v>0</v>
      </c>
      <c r="I191" s="145">
        <f t="shared" si="52"/>
        <v>0</v>
      </c>
      <c r="J191" s="145">
        <f t="shared" si="53"/>
        <v>0</v>
      </c>
      <c r="K191" s="142" t="str">
        <f t="shared" si="62"/>
        <v>kWh</v>
      </c>
      <c r="L191" s="146">
        <f>IFERROR(INDEX(Työkonekanta!$I$3:$I$27,MATCH('S3 Tiekartta'!$A191,Työkonekanta!$A$3:$A$24,0),1)*(I191+J191)*f_adblue,0)</f>
        <v>0</v>
      </c>
      <c r="M191" s="146">
        <f t="shared" si="71"/>
        <v>0</v>
      </c>
      <c r="N191" s="143" t="str">
        <f>IF(tuulisähkö_vuosi&lt;='S3 Tiekartta'!C191,"tuulisähkö",ostosähkö_nyt)</f>
        <v>jäännössähkö</v>
      </c>
      <c r="O191" s="147">
        <f>INDEX(Muuttujat!$J$5:$J$21,MATCH($C191,Muuttujat!$H$5:$H$21,0),1)</f>
        <v>65.194885123382022</v>
      </c>
      <c r="P191" s="148">
        <f t="shared" si="63"/>
        <v>0.92999999999999994</v>
      </c>
      <c r="Q191" s="148">
        <f t="shared" si="64"/>
        <v>7.0000000000000007E-2</v>
      </c>
      <c r="R191" s="148">
        <f t="shared" si="65"/>
        <v>7.0000000000000007E-2</v>
      </c>
      <c r="S191" s="149">
        <f t="shared" si="54"/>
        <v>0</v>
      </c>
      <c r="T191" s="150">
        <f t="shared" si="55"/>
        <v>0</v>
      </c>
      <c r="U191" s="150">
        <f t="shared" si="56"/>
        <v>0</v>
      </c>
      <c r="V191" s="150">
        <f>IFERROR(INDEX(Työkonekanta!$J$3:$J$27,MATCH($A191,Työkonekanta!$A$3:$A$24,0),1)*$B191*ef_li_ion_akku/1000/1000/INDEX(Työkonekanta!$K$3:$K$27,MATCH($A191,Työkonekanta!$A$3:$A$24,0)),0)</f>
        <v>0</v>
      </c>
      <c r="W191" s="149">
        <f t="shared" si="72"/>
        <v>0</v>
      </c>
      <c r="X191" s="150">
        <f t="shared" si="73"/>
        <v>0</v>
      </c>
      <c r="Y191" s="151">
        <f t="shared" si="74"/>
        <v>0</v>
      </c>
      <c r="Z191" s="152">
        <f t="shared" si="66"/>
        <v>0</v>
      </c>
      <c r="AA191" s="179">
        <f t="shared" si="67"/>
        <v>0</v>
      </c>
      <c r="AB191" s="179">
        <f t="shared" si="68"/>
        <v>0</v>
      </c>
      <c r="AC191" s="180">
        <f t="shared" si="75"/>
        <v>0</v>
      </c>
      <c r="AD191" s="156">
        <f t="shared" si="69"/>
        <v>0</v>
      </c>
      <c r="AE191" s="146">
        <f>IFERROR(INDEX(Työkonekanta!$L$3:$L$30,MATCH($A191,Työkonekanta!$A$3:$A$30,0),1),0)*AF191</f>
        <v>0</v>
      </c>
      <c r="AF191" s="146">
        <f>IFERROR(INDEX(Työkonekanta!$N$3:$N$32,MATCH($A191,Työkonekanta!$A$3:$A$32,0),1),0)</f>
        <v>0</v>
      </c>
      <c r="AG191" s="332">
        <f>I191*INDEX(Muuttujat!$U$5:$U$21,MATCH($C191,Muuttujat!$N$5:$N$21,0),1)</f>
        <v>0</v>
      </c>
      <c r="AH191" s="332">
        <f>J191*INDEX(Muuttujat!$T$5:$T$21,MATCH($C191,Muuttujat!$N$5:$N$21,0),1)</f>
        <v>0</v>
      </c>
      <c r="AI191" s="332">
        <f t="shared" si="57"/>
        <v>0</v>
      </c>
      <c r="AJ191" s="332">
        <f t="shared" si="58"/>
        <v>0</v>
      </c>
      <c r="AK191" s="333">
        <f t="shared" si="70"/>
        <v>0</v>
      </c>
      <c r="AL191" s="332">
        <f t="shared" si="59"/>
        <v>0</v>
      </c>
      <c r="AM191" s="351"/>
      <c r="AN191" s="351"/>
    </row>
    <row r="192" spans="1:40">
      <c r="A192" s="139">
        <v>10</v>
      </c>
      <c r="B192" s="139">
        <f>IFERROR(IF((INDEX(Työkonekanta!$F$3:$F$27,MATCH('S3 Tiekartta'!$A192,Työkonekanta!$A$3:$A$24,0),1))&lt;0,0,(INDEX(Työkonekanta!$F$3:$F$27,MATCH('S3 Tiekartta'!$A192,Työkonekanta!$A$3:$A$24,0),1))),0)</f>
        <v>0</v>
      </c>
      <c r="C192" s="140">
        <v>2025</v>
      </c>
      <c r="D192" s="141" t="str">
        <f>IFERROR(INDEX(Työkonekanta!$D$3:$D$27,MATCH('S3 Tiekartta'!$A192,Työkonekanta!$A$3:$A$24,0),1),"undefined")</f>
        <v>sähkö</v>
      </c>
      <c r="E192" s="145">
        <f>IFERROR(INDEX(Työkonekanta!$G$3:$G$27,MATCH($A192,Työkonekanta!$A$3:$A$24,0),1)*INDEX(Työkonekanta!$H$3:$H$27,MATCH($A192,Työkonekanta!$A$3:$A$24,0),1)*(1+s0b_kasvu*($C192-2019))*$B192,0)</f>
        <v>0</v>
      </c>
      <c r="F192" s="145">
        <f t="shared" si="51"/>
        <v>0</v>
      </c>
      <c r="G192" s="151">
        <f t="shared" si="60"/>
        <v>0</v>
      </c>
      <c r="H192" s="145">
        <f t="shared" si="61"/>
        <v>0</v>
      </c>
      <c r="I192" s="145">
        <f t="shared" si="52"/>
        <v>0</v>
      </c>
      <c r="J192" s="145">
        <f t="shared" si="53"/>
        <v>0</v>
      </c>
      <c r="K192" s="142" t="str">
        <f t="shared" si="62"/>
        <v>kWh</v>
      </c>
      <c r="L192" s="146">
        <f>IFERROR(INDEX(Työkonekanta!$I$3:$I$27,MATCH('S3 Tiekartta'!$A192,Työkonekanta!$A$3:$A$24,0),1)*(I192+J192)*f_adblue,0)</f>
        <v>0</v>
      </c>
      <c r="M192" s="146">
        <f t="shared" si="71"/>
        <v>0</v>
      </c>
      <c r="N192" s="143" t="str">
        <f>IF(tuulisähkö_vuosi&lt;='S3 Tiekartta'!C192,"tuulisähkö",ostosähkö_nyt)</f>
        <v>jäännössähkö</v>
      </c>
      <c r="O192" s="147">
        <f>INDEX(Muuttujat!$J$5:$J$21,MATCH($C192,Muuttujat!$H$5:$H$21,0),1)</f>
        <v>65.194885123382022</v>
      </c>
      <c r="P192" s="148">
        <f t="shared" si="63"/>
        <v>0.92999999999999994</v>
      </c>
      <c r="Q192" s="148">
        <f t="shared" si="64"/>
        <v>7.0000000000000007E-2</v>
      </c>
      <c r="R192" s="148">
        <f t="shared" si="65"/>
        <v>7.0000000000000007E-2</v>
      </c>
      <c r="S192" s="149">
        <f t="shared" si="54"/>
        <v>0</v>
      </c>
      <c r="T192" s="150">
        <f t="shared" si="55"/>
        <v>0</v>
      </c>
      <c r="U192" s="150">
        <f t="shared" si="56"/>
        <v>0</v>
      </c>
      <c r="V192" s="150">
        <f>IFERROR(INDEX(Työkonekanta!$J$3:$J$27,MATCH($A192,Työkonekanta!$A$3:$A$24,0),1)*$B192*ef_li_ion_akku/1000/1000/INDEX(Työkonekanta!$K$3:$K$27,MATCH($A192,Työkonekanta!$A$3:$A$24,0)),0)</f>
        <v>0</v>
      </c>
      <c r="W192" s="149">
        <f t="shared" si="72"/>
        <v>0</v>
      </c>
      <c r="X192" s="150">
        <f t="shared" si="73"/>
        <v>0</v>
      </c>
      <c r="Y192" s="151">
        <f t="shared" si="74"/>
        <v>0</v>
      </c>
      <c r="Z192" s="152">
        <f t="shared" si="66"/>
        <v>0</v>
      </c>
      <c r="AA192" s="179">
        <f t="shared" si="67"/>
        <v>0</v>
      </c>
      <c r="AB192" s="179">
        <f t="shared" si="68"/>
        <v>0</v>
      </c>
      <c r="AC192" s="180">
        <f t="shared" si="75"/>
        <v>0</v>
      </c>
      <c r="AD192" s="156">
        <f t="shared" si="69"/>
        <v>0</v>
      </c>
      <c r="AE192" s="146">
        <f>IFERROR(INDEX(Työkonekanta!$L$3:$L$30,MATCH($A192,Työkonekanta!$A$3:$A$30,0),1),0)*AF192</f>
        <v>0</v>
      </c>
      <c r="AF192" s="146">
        <f>IFERROR(INDEX(Työkonekanta!$N$3:$N$32,MATCH($A192,Työkonekanta!$A$3:$A$32,0),1),0)</f>
        <v>0</v>
      </c>
      <c r="AG192" s="332">
        <f>I192*INDEX(Muuttujat!$U$5:$U$21,MATCH($C192,Muuttujat!$N$5:$N$21,0),1)</f>
        <v>0</v>
      </c>
      <c r="AH192" s="332">
        <f>J192*INDEX(Muuttujat!$T$5:$T$21,MATCH($C192,Muuttujat!$N$5:$N$21,0),1)</f>
        <v>0</v>
      </c>
      <c r="AI192" s="332">
        <f t="shared" si="57"/>
        <v>0</v>
      </c>
      <c r="AJ192" s="332">
        <f t="shared" si="58"/>
        <v>0</v>
      </c>
      <c r="AK192" s="333">
        <f t="shared" si="70"/>
        <v>0</v>
      </c>
      <c r="AL192" s="332">
        <f t="shared" si="59"/>
        <v>0</v>
      </c>
      <c r="AM192" s="351"/>
      <c r="AN192" s="351"/>
    </row>
    <row r="193" spans="1:40">
      <c r="A193" s="139">
        <v>11</v>
      </c>
      <c r="B193" s="139">
        <f>IFERROR(IF((INDEX(Työkonekanta!$F$3:$F$27,MATCH('S3 Tiekartta'!$A193,Työkonekanta!$A$3:$A$24,0),1))&lt;0,0,(INDEX(Työkonekanta!$F$3:$F$27,MATCH('S3 Tiekartta'!$A193,Työkonekanta!$A$3:$A$24,0),1))),0)</f>
        <v>1</v>
      </c>
      <c r="C193" s="140">
        <v>2025</v>
      </c>
      <c r="D193" s="141" t="str">
        <f>IFERROR(INDEX(Työkonekanta!$D$3:$D$27,MATCH('S3 Tiekartta'!$A193,Työkonekanta!$A$3:$A$24,0),1),"undefined")</f>
        <v>pom</v>
      </c>
      <c r="E193" s="145">
        <f>IFERROR(INDEX(Työkonekanta!$G$3:$G$27,MATCH($A193,Työkonekanta!$A$3:$A$24,0),1)*INDEX(Työkonekanta!$H$3:$H$27,MATCH($A193,Työkonekanta!$A$3:$A$24,0),1)*(1+s0b_kasvu*($C193-2019))*$B193,0)</f>
        <v>10600</v>
      </c>
      <c r="F193" s="145">
        <f t="shared" si="51"/>
        <v>380540</v>
      </c>
      <c r="G193" s="151">
        <f t="shared" si="60"/>
        <v>353902.19999999995</v>
      </c>
      <c r="H193" s="145">
        <f t="shared" si="61"/>
        <v>26637.800000000003</v>
      </c>
      <c r="I193" s="145">
        <f t="shared" si="52"/>
        <v>9858</v>
      </c>
      <c r="J193" s="145">
        <f t="shared" si="53"/>
        <v>776.61224489795939</v>
      </c>
      <c r="K193" s="142" t="str">
        <f t="shared" si="62"/>
        <v>l</v>
      </c>
      <c r="L193" s="146">
        <f>IFERROR(INDEX(Työkonekanta!$I$3:$I$27,MATCH('S3 Tiekartta'!$A193,Työkonekanta!$A$3:$A$24,0),1)*(I193+J193)*f_adblue,0)</f>
        <v>531.730612244898</v>
      </c>
      <c r="M193" s="146">
        <f t="shared" si="71"/>
        <v>0</v>
      </c>
      <c r="N193" s="143" t="str">
        <f>IF(tuulisähkö_vuosi&lt;='S3 Tiekartta'!C193,"tuulisähkö",ostosähkö_nyt)</f>
        <v>jäännössähkö</v>
      </c>
      <c r="O193" s="147">
        <f>INDEX(Muuttujat!$J$5:$J$21,MATCH($C193,Muuttujat!$H$5:$H$21,0),1)</f>
        <v>65.194885123382022</v>
      </c>
      <c r="P193" s="148">
        <f t="shared" si="63"/>
        <v>0.92999999999999994</v>
      </c>
      <c r="Q193" s="148">
        <f t="shared" si="64"/>
        <v>7.0000000000000007E-2</v>
      </c>
      <c r="R193" s="148">
        <f t="shared" si="65"/>
        <v>7.0000000000000007E-2</v>
      </c>
      <c r="S193" s="149">
        <f t="shared" si="54"/>
        <v>6.6887515799999981</v>
      </c>
      <c r="T193" s="150">
        <f t="shared" si="55"/>
        <v>1.6621987200000001</v>
      </c>
      <c r="U193" s="150">
        <f t="shared" si="56"/>
        <v>0</v>
      </c>
      <c r="V193" s="150">
        <f>IFERROR(INDEX(Työkonekanta!$J$3:$J$27,MATCH($A193,Työkonekanta!$A$3:$A$24,0),1)*$B193*ef_li_ion_akku/1000/1000/INDEX(Työkonekanta!$K$3:$K$27,MATCH($A193,Työkonekanta!$A$3:$A$24,0)),0)</f>
        <v>0</v>
      </c>
      <c r="W193" s="149">
        <f t="shared" si="72"/>
        <v>26.1209035673388</v>
      </c>
      <c r="X193" s="150">
        <f t="shared" si="73"/>
        <v>0.33681039959999998</v>
      </c>
      <c r="Y193" s="151">
        <f t="shared" si="74"/>
        <v>0.1382499591836735</v>
      </c>
      <c r="Z193" s="152">
        <f t="shared" si="66"/>
        <v>8.3509502999999974</v>
      </c>
      <c r="AA193" s="179">
        <f t="shared" si="67"/>
        <v>26.259153526522475</v>
      </c>
      <c r="AB193" s="179">
        <f t="shared" si="68"/>
        <v>26.595963926122476</v>
      </c>
      <c r="AC193" s="180">
        <f t="shared" si="75"/>
        <v>34.610103826522476</v>
      </c>
      <c r="AD193" s="156">
        <f t="shared" si="69"/>
        <v>34.946914226122473</v>
      </c>
      <c r="AE193" s="146">
        <f>IFERROR(INDEX(Työkonekanta!$L$3:$L$30,MATCH($A193,Työkonekanta!$A$3:$A$30,0),1),0)*AF193</f>
        <v>500000</v>
      </c>
      <c r="AF193" s="146">
        <f>IFERROR(INDEX(Työkonekanta!$N$3:$N$32,MATCH($A193,Työkonekanta!$A$3:$A$32,0),1),0)</f>
        <v>1</v>
      </c>
      <c r="AG193" s="332">
        <f>I193*INDEX(Muuttujat!$U$5:$U$21,MATCH($C193,Muuttujat!$N$5:$N$21,0),1)</f>
        <v>10153.74</v>
      </c>
      <c r="AH193" s="332">
        <f>J193*INDEX(Muuttujat!$T$5:$T$21,MATCH($C193,Muuttujat!$N$5:$N$21,0),1)</f>
        <v>1110.5555102040821</v>
      </c>
      <c r="AI193" s="332">
        <f t="shared" si="57"/>
        <v>265.865306122449</v>
      </c>
      <c r="AJ193" s="332">
        <f t="shared" si="58"/>
        <v>0</v>
      </c>
      <c r="AK193" s="333">
        <f t="shared" si="70"/>
        <v>11530.16081632653</v>
      </c>
      <c r="AL193" s="332">
        <f t="shared" si="59"/>
        <v>11530.16081632653</v>
      </c>
      <c r="AM193" s="351"/>
      <c r="AN193" s="351"/>
    </row>
    <row r="194" spans="1:40">
      <c r="A194" s="139">
        <v>12</v>
      </c>
      <c r="B194" s="139">
        <f>IFERROR(IF((INDEX(Työkonekanta!$F$3:$F$27,MATCH('S3 Tiekartta'!$A194,Työkonekanta!$A$3:$A$24,0),1))&lt;0,0,(INDEX(Työkonekanta!$F$3:$F$27,MATCH('S3 Tiekartta'!$A194,Työkonekanta!$A$3:$A$24,0),1))),0)</f>
        <v>1</v>
      </c>
      <c r="C194" s="140">
        <v>2025</v>
      </c>
      <c r="D194" s="141" t="str">
        <f>IFERROR(INDEX(Työkonekanta!$D$3:$D$27,MATCH('S3 Tiekartta'!$A194,Työkonekanta!$A$3:$A$24,0),1),"undefined")</f>
        <v>pom</v>
      </c>
      <c r="E194" s="145">
        <f>IFERROR(INDEX(Työkonekanta!$G$3:$G$27,MATCH($A194,Työkonekanta!$A$3:$A$24,0),1)*INDEX(Työkonekanta!$H$3:$H$27,MATCH($A194,Työkonekanta!$A$3:$A$24,0),1)*(1+s0b_kasvu*($C194-2019))*$B194,0)</f>
        <v>10600</v>
      </c>
      <c r="F194" s="145">
        <f t="shared" si="51"/>
        <v>380540</v>
      </c>
      <c r="G194" s="151">
        <f t="shared" si="60"/>
        <v>353902.19999999995</v>
      </c>
      <c r="H194" s="145">
        <f t="shared" si="61"/>
        <v>26637.800000000003</v>
      </c>
      <c r="I194" s="145">
        <f t="shared" si="52"/>
        <v>9858</v>
      </c>
      <c r="J194" s="145">
        <f t="shared" si="53"/>
        <v>776.61224489795939</v>
      </c>
      <c r="K194" s="142" t="str">
        <f t="shared" si="62"/>
        <v>l</v>
      </c>
      <c r="L194" s="146">
        <f>IFERROR(INDEX(Työkonekanta!$I$3:$I$27,MATCH('S3 Tiekartta'!$A194,Työkonekanta!$A$3:$A$24,0),1)*(I194+J194)*f_adblue,0)</f>
        <v>531.730612244898</v>
      </c>
      <c r="M194" s="146">
        <f t="shared" si="71"/>
        <v>0</v>
      </c>
      <c r="N194" s="143" t="str">
        <f>IF(tuulisähkö_vuosi&lt;='S3 Tiekartta'!C194,"tuulisähkö",ostosähkö_nyt)</f>
        <v>jäännössähkö</v>
      </c>
      <c r="O194" s="147">
        <f>INDEX(Muuttujat!$J$5:$J$21,MATCH($C194,Muuttujat!$H$5:$H$21,0),1)</f>
        <v>65.194885123382022</v>
      </c>
      <c r="P194" s="148">
        <f t="shared" si="63"/>
        <v>0.92999999999999994</v>
      </c>
      <c r="Q194" s="148">
        <f t="shared" si="64"/>
        <v>7.0000000000000007E-2</v>
      </c>
      <c r="R194" s="148">
        <f t="shared" si="65"/>
        <v>7.0000000000000007E-2</v>
      </c>
      <c r="S194" s="149">
        <f t="shared" si="54"/>
        <v>6.6887515799999981</v>
      </c>
      <c r="T194" s="150">
        <f t="shared" si="55"/>
        <v>1.6621987200000001</v>
      </c>
      <c r="U194" s="150">
        <f t="shared" si="56"/>
        <v>0</v>
      </c>
      <c r="V194" s="150">
        <f>IFERROR(INDEX(Työkonekanta!$J$3:$J$27,MATCH($A194,Työkonekanta!$A$3:$A$24,0),1)*$B194*ef_li_ion_akku/1000/1000/INDEX(Työkonekanta!$K$3:$K$27,MATCH($A194,Työkonekanta!$A$3:$A$24,0)),0)</f>
        <v>0</v>
      </c>
      <c r="W194" s="149">
        <f t="shared" si="72"/>
        <v>26.1209035673388</v>
      </c>
      <c r="X194" s="150">
        <f t="shared" si="73"/>
        <v>0.33681039959999998</v>
      </c>
      <c r="Y194" s="151">
        <f t="shared" si="74"/>
        <v>0.1382499591836735</v>
      </c>
      <c r="Z194" s="152">
        <f t="shared" si="66"/>
        <v>8.3509502999999974</v>
      </c>
      <c r="AA194" s="179">
        <f t="shared" si="67"/>
        <v>26.259153526522475</v>
      </c>
      <c r="AB194" s="179">
        <f t="shared" si="68"/>
        <v>26.595963926122476</v>
      </c>
      <c r="AC194" s="180">
        <f t="shared" si="75"/>
        <v>34.610103826522476</v>
      </c>
      <c r="AD194" s="156">
        <f t="shared" si="69"/>
        <v>34.946914226122473</v>
      </c>
      <c r="AE194" s="146">
        <f>IFERROR(INDEX(Työkonekanta!$L$3:$L$30,MATCH($A194,Työkonekanta!$A$3:$A$30,0),1),0)*AF194</f>
        <v>500000</v>
      </c>
      <c r="AF194" s="146">
        <f>IFERROR(INDEX(Työkonekanta!$N$3:$N$32,MATCH($A194,Työkonekanta!$A$3:$A$32,0),1),0)</f>
        <v>1</v>
      </c>
      <c r="AG194" s="332">
        <f>I194*INDEX(Muuttujat!$U$5:$U$21,MATCH($C194,Muuttujat!$N$5:$N$21,0),1)</f>
        <v>10153.74</v>
      </c>
      <c r="AH194" s="332">
        <f>J194*INDEX(Muuttujat!$T$5:$T$21,MATCH($C194,Muuttujat!$N$5:$N$21,0),1)</f>
        <v>1110.5555102040821</v>
      </c>
      <c r="AI194" s="332">
        <f t="shared" si="57"/>
        <v>265.865306122449</v>
      </c>
      <c r="AJ194" s="332">
        <f t="shared" si="58"/>
        <v>0</v>
      </c>
      <c r="AK194" s="333">
        <f t="shared" si="70"/>
        <v>11530.16081632653</v>
      </c>
      <c r="AL194" s="332">
        <f t="shared" si="59"/>
        <v>11530.16081632653</v>
      </c>
      <c r="AM194" s="351"/>
      <c r="AN194" s="351"/>
    </row>
    <row r="195" spans="1:40">
      <c r="A195" s="139">
        <v>13</v>
      </c>
      <c r="B195" s="139">
        <f>IFERROR(IF((INDEX(Työkonekanta!$F$3:$F$27,MATCH('S3 Tiekartta'!$A195,Työkonekanta!$A$3:$A$24,0),1))&lt;0,0,(INDEX(Työkonekanta!$F$3:$F$27,MATCH('S3 Tiekartta'!$A195,Työkonekanta!$A$3:$A$24,0),1))),0)</f>
        <v>0</v>
      </c>
      <c r="C195" s="140">
        <v>2025</v>
      </c>
      <c r="D195" s="141" t="str">
        <f>IFERROR(INDEX(Työkonekanta!$D$3:$D$27,MATCH('S3 Tiekartta'!$A195,Työkonekanta!$A$3:$A$24,0),1),"undefined")</f>
        <v>pom</v>
      </c>
      <c r="E195" s="145">
        <f>IFERROR(INDEX(Työkonekanta!$G$3:$G$27,MATCH($A195,Työkonekanta!$A$3:$A$24,0),1)*INDEX(Työkonekanta!$H$3:$H$27,MATCH($A195,Työkonekanta!$A$3:$A$24,0),1)*(1+s0b_kasvu*($C195-2019))*$B195,0)</f>
        <v>0</v>
      </c>
      <c r="F195" s="145">
        <f t="shared" ref="F195:F258" si="76">IF(D195="pom",$E195*hv_pom,0)</f>
        <v>0</v>
      </c>
      <c r="G195" s="151">
        <f t="shared" si="60"/>
        <v>0</v>
      </c>
      <c r="H195" s="145">
        <f t="shared" si="61"/>
        <v>0</v>
      </c>
      <c r="I195" s="145">
        <f t="shared" ref="I195:I258" si="77">$G195/hv_pom</f>
        <v>0</v>
      </c>
      <c r="J195" s="145">
        <f t="shared" ref="J195:J258" si="78">$H195/hv_biodies</f>
        <v>0</v>
      </c>
      <c r="K195" s="142" t="str">
        <f t="shared" si="62"/>
        <v>l</v>
      </c>
      <c r="L195" s="146">
        <f>IFERROR(INDEX(Työkonekanta!$I$3:$I$27,MATCH('S3 Tiekartta'!$A195,Työkonekanta!$A$3:$A$24,0),1)*(I195+J195)*f_adblue,0)</f>
        <v>0</v>
      </c>
      <c r="M195" s="146">
        <f t="shared" si="71"/>
        <v>0</v>
      </c>
      <c r="N195" s="143" t="str">
        <f>IF(tuulisähkö_vuosi&lt;='S3 Tiekartta'!C195,"tuulisähkö",ostosähkö_nyt)</f>
        <v>jäännössähkö</v>
      </c>
      <c r="O195" s="147">
        <f>INDEX(Muuttujat!$J$5:$J$21,MATCH($C195,Muuttujat!$H$5:$H$21,0),1)</f>
        <v>65.194885123382022</v>
      </c>
      <c r="P195" s="148">
        <f t="shared" si="63"/>
        <v>0.92999999999999994</v>
      </c>
      <c r="Q195" s="148">
        <f t="shared" si="64"/>
        <v>7.0000000000000007E-2</v>
      </c>
      <c r="R195" s="148">
        <f t="shared" si="65"/>
        <v>7.0000000000000007E-2</v>
      </c>
      <c r="S195" s="149">
        <f t="shared" ref="S195:S258" si="79">wtt_ef_e_co2_dies*$G195/1000/1000</f>
        <v>0</v>
      </c>
      <c r="T195" s="150">
        <f t="shared" ref="T195:T258" si="80">wtt_ef_e_co2_biodies*$H195/1000/1000</f>
        <v>0</v>
      </c>
      <c r="U195" s="150">
        <f t="shared" ref="U195:U258" si="81">IF(N195="jäännössähkö",$O195,IF(N195="tuulisähkö",wtt_ef_e_co2_el_wind,0))*$M195/1000/1000</f>
        <v>0</v>
      </c>
      <c r="V195" s="150">
        <f>IFERROR(INDEX(Työkonekanta!$J$3:$J$27,MATCH($A195,Työkonekanta!$A$3:$A$24,0),1)*$B195*ef_li_ion_akku/1000/1000/INDEX(Työkonekanta!$K$3:$K$27,MATCH($A195,Työkonekanta!$A$3:$A$24,0)),0)</f>
        <v>0</v>
      </c>
      <c r="W195" s="149">
        <f t="shared" si="72"/>
        <v>0</v>
      </c>
      <c r="X195" s="150">
        <f t="shared" si="73"/>
        <v>0</v>
      </c>
      <c r="Y195" s="151">
        <f t="shared" si="74"/>
        <v>0</v>
      </c>
      <c r="Z195" s="152">
        <f t="shared" si="66"/>
        <v>0</v>
      </c>
      <c r="AA195" s="179">
        <f t="shared" si="67"/>
        <v>0</v>
      </c>
      <c r="AB195" s="179">
        <f t="shared" si="68"/>
        <v>0</v>
      </c>
      <c r="AC195" s="180">
        <f t="shared" si="75"/>
        <v>0</v>
      </c>
      <c r="AD195" s="156">
        <f t="shared" si="69"/>
        <v>0</v>
      </c>
      <c r="AE195" s="146">
        <f>IFERROR(INDEX(Työkonekanta!$L$3:$L$30,MATCH($A195,Työkonekanta!$A$3:$A$30,0),1),0)*AF195</f>
        <v>0</v>
      </c>
      <c r="AF195" s="146">
        <f>IFERROR(INDEX(Työkonekanta!$N$3:$N$32,MATCH($A195,Työkonekanta!$A$3:$A$32,0),1),0)</f>
        <v>0</v>
      </c>
      <c r="AG195" s="332">
        <f>I195*INDEX(Muuttujat!$U$5:$U$21,MATCH($C195,Muuttujat!$N$5:$N$21,0),1)</f>
        <v>0</v>
      </c>
      <c r="AH195" s="332">
        <f>J195*INDEX(Muuttujat!$T$5:$T$21,MATCH($C195,Muuttujat!$N$5:$N$21,0),1)</f>
        <v>0</v>
      </c>
      <c r="AI195" s="332">
        <f t="shared" ref="AI195:AI258" si="82">L195*hinta_adblue</f>
        <v>0</v>
      </c>
      <c r="AJ195" s="332">
        <f t="shared" ref="AJ195:AJ258" si="83">M195/conv_kwh_mj*hinta_sähkö3</f>
        <v>0</v>
      </c>
      <c r="AK195" s="333">
        <f t="shared" si="70"/>
        <v>0</v>
      </c>
      <c r="AL195" s="332">
        <f t="shared" ref="AL195:AL258" si="84">IFERROR(AK195/B195,0)</f>
        <v>0</v>
      </c>
      <c r="AM195" s="351"/>
      <c r="AN195" s="351"/>
    </row>
    <row r="196" spans="1:40">
      <c r="A196" s="139">
        <v>14</v>
      </c>
      <c r="B196" s="139">
        <f>IFERROR(IF((INDEX(Työkonekanta!$F$3:$F$27,MATCH('S3 Tiekartta'!$A196,Työkonekanta!$A$3:$A$24,0),1))&lt;0,0,(INDEX(Työkonekanta!$F$3:$F$27,MATCH('S3 Tiekartta'!$A196,Työkonekanta!$A$3:$A$24,0),1))),0)</f>
        <v>0</v>
      </c>
      <c r="C196" s="140">
        <v>2025</v>
      </c>
      <c r="D196" s="141" t="str">
        <f>IFERROR(INDEX(Työkonekanta!$D$3:$D$27,MATCH('S3 Tiekartta'!$A196,Työkonekanta!$A$3:$A$24,0),1),"undefined")</f>
        <v>pom</v>
      </c>
      <c r="E196" s="145">
        <f>IFERROR(INDEX(Työkonekanta!$G$3:$G$27,MATCH($A196,Työkonekanta!$A$3:$A$24,0),1)*INDEX(Työkonekanta!$H$3:$H$27,MATCH($A196,Työkonekanta!$A$3:$A$24,0),1)*(1+s0b_kasvu*($C196-2019))*$B196,0)</f>
        <v>0</v>
      </c>
      <c r="F196" s="145">
        <f t="shared" si="76"/>
        <v>0</v>
      </c>
      <c r="G196" s="151">
        <f t="shared" ref="G196:G259" si="85">$F196*$P196</f>
        <v>0</v>
      </c>
      <c r="H196" s="145">
        <f t="shared" ref="H196:H259" si="86">$F196*$Q196</f>
        <v>0</v>
      </c>
      <c r="I196" s="145">
        <f t="shared" si="77"/>
        <v>0</v>
      </c>
      <c r="J196" s="145">
        <f t="shared" si="78"/>
        <v>0</v>
      </c>
      <c r="K196" s="142" t="str">
        <f t="shared" ref="K196:K259" si="87">IF($D196="sähkö","kWh",IF($D196="pom","l","undefined"))</f>
        <v>l</v>
      </c>
      <c r="L196" s="146">
        <f>IFERROR(INDEX(Työkonekanta!$I$3:$I$27,MATCH('S3 Tiekartta'!$A196,Työkonekanta!$A$3:$A$24,0),1)*(I196+J196)*f_adblue,0)</f>
        <v>0</v>
      </c>
      <c r="M196" s="146">
        <f t="shared" si="71"/>
        <v>0</v>
      </c>
      <c r="N196" s="143" t="str">
        <f>IF(tuulisähkö_vuosi&lt;='S3 Tiekartta'!C196,"tuulisähkö",ostosähkö_nyt)</f>
        <v>jäännössähkö</v>
      </c>
      <c r="O196" s="147">
        <f>INDEX(Muuttujat!$J$5:$J$21,MATCH($C196,Muuttujat!$H$5:$H$21,0),1)</f>
        <v>65.194885123382022</v>
      </c>
      <c r="P196" s="148">
        <f t="shared" ref="P196:P259" si="88">1-Q196</f>
        <v>0.92999999999999994</v>
      </c>
      <c r="Q196" s="148">
        <f t="shared" ref="Q196:Q259" si="89">INDEX($AP$4:$AP$20,MATCH($C196,$AO$4:$AO$20,0),1)</f>
        <v>7.0000000000000007E-2</v>
      </c>
      <c r="R196" s="148">
        <f t="shared" ref="R196:R259" si="90">INDEX($AP$4:$AP$20,MATCH($C196,$AO$4:$AO$20,0),1)</f>
        <v>7.0000000000000007E-2</v>
      </c>
      <c r="S196" s="149">
        <f t="shared" si="79"/>
        <v>0</v>
      </c>
      <c r="T196" s="150">
        <f t="shared" si="80"/>
        <v>0</v>
      </c>
      <c r="U196" s="150">
        <f t="shared" si="81"/>
        <v>0</v>
      </c>
      <c r="V196" s="150">
        <f>IFERROR(INDEX(Työkonekanta!$J$3:$J$27,MATCH($A196,Työkonekanta!$A$3:$A$24,0),1)*$B196*ef_li_ion_akku/1000/1000/INDEX(Työkonekanta!$K$3:$K$27,MATCH($A196,Työkonekanta!$A$3:$A$24,0)),0)</f>
        <v>0</v>
      </c>
      <c r="W196" s="149">
        <f t="shared" si="72"/>
        <v>0</v>
      </c>
      <c r="X196" s="150">
        <f t="shared" si="73"/>
        <v>0</v>
      </c>
      <c r="Y196" s="151">
        <f t="shared" si="74"/>
        <v>0</v>
      </c>
      <c r="Z196" s="152">
        <f t="shared" ref="Z196:Z259" si="91">SUM($S196:$V196)</f>
        <v>0</v>
      </c>
      <c r="AA196" s="179">
        <f t="shared" ref="AA196:AA259" si="92">$W196+$Y196</f>
        <v>0</v>
      </c>
      <c r="AB196" s="179">
        <f t="shared" ref="AB196:AB259" si="93">SUM($W196:$Y196)</f>
        <v>0</v>
      </c>
      <c r="AC196" s="180">
        <f t="shared" si="75"/>
        <v>0</v>
      </c>
      <c r="AD196" s="156">
        <f t="shared" ref="AD196:AD259" si="94">$Z196+$AB196</f>
        <v>0</v>
      </c>
      <c r="AE196" s="146">
        <f>IFERROR(INDEX(Työkonekanta!$L$3:$L$30,MATCH($A196,Työkonekanta!$A$3:$A$30,0),1),0)*AF196</f>
        <v>0</v>
      </c>
      <c r="AF196" s="146">
        <f>IFERROR(INDEX(Työkonekanta!$N$3:$N$32,MATCH($A196,Työkonekanta!$A$3:$A$32,0),1),0)</f>
        <v>0</v>
      </c>
      <c r="AG196" s="332">
        <f>I196*INDEX(Muuttujat!$U$5:$U$21,MATCH($C196,Muuttujat!$N$5:$N$21,0),1)</f>
        <v>0</v>
      </c>
      <c r="AH196" s="332">
        <f>J196*INDEX(Muuttujat!$T$5:$T$21,MATCH($C196,Muuttujat!$N$5:$N$21,0),1)</f>
        <v>0</v>
      </c>
      <c r="AI196" s="332">
        <f t="shared" si="82"/>
        <v>0</v>
      </c>
      <c r="AJ196" s="332">
        <f t="shared" si="83"/>
        <v>0</v>
      </c>
      <c r="AK196" s="333">
        <f t="shared" ref="AK196:AK259" si="95">SUM(AG196:AJ196)</f>
        <v>0</v>
      </c>
      <c r="AL196" s="332">
        <f t="shared" si="84"/>
        <v>0</v>
      </c>
      <c r="AM196" s="351"/>
      <c r="AN196" s="351"/>
    </row>
    <row r="197" spans="1:40">
      <c r="A197" s="139">
        <v>15</v>
      </c>
      <c r="B197" s="139">
        <f>IFERROR(IF((INDEX(Työkonekanta!$F$3:$F$27,MATCH('S3 Tiekartta'!$A197,Työkonekanta!$A$3:$A$24,0),1))&lt;0,0,(INDEX(Työkonekanta!$F$3:$F$27,MATCH('S3 Tiekartta'!$A197,Työkonekanta!$A$3:$A$24,0),1))),0)</f>
        <v>0</v>
      </c>
      <c r="C197" s="140">
        <v>2025</v>
      </c>
      <c r="D197" s="141" t="str">
        <f>IFERROR(INDEX(Työkonekanta!$D$3:$D$27,MATCH('S3 Tiekartta'!$A197,Työkonekanta!$A$3:$A$24,0),1),"undefined")</f>
        <v>sähkö</v>
      </c>
      <c r="E197" s="145">
        <f>IFERROR(INDEX(Työkonekanta!$G$3:$G$27,MATCH($A197,Työkonekanta!$A$3:$A$24,0),1)*INDEX(Työkonekanta!$H$3:$H$27,MATCH($A197,Työkonekanta!$A$3:$A$24,0),1)*(1+s0b_kasvu*($C197-2019))*$B197,0)</f>
        <v>0</v>
      </c>
      <c r="F197" s="145">
        <f t="shared" si="76"/>
        <v>0</v>
      </c>
      <c r="G197" s="151">
        <f t="shared" si="85"/>
        <v>0</v>
      </c>
      <c r="H197" s="145">
        <f t="shared" si="86"/>
        <v>0</v>
      </c>
      <c r="I197" s="145">
        <f t="shared" si="77"/>
        <v>0</v>
      </c>
      <c r="J197" s="145">
        <f t="shared" si="78"/>
        <v>0</v>
      </c>
      <c r="K197" s="142" t="str">
        <f t="shared" si="87"/>
        <v>kWh</v>
      </c>
      <c r="L197" s="146">
        <f>IFERROR(INDEX(Työkonekanta!$I$3:$I$27,MATCH('S3 Tiekartta'!$A197,Työkonekanta!$A$3:$A$24,0),1)*(I197+J197)*f_adblue,0)</f>
        <v>0</v>
      </c>
      <c r="M197" s="146">
        <f t="shared" si="71"/>
        <v>0</v>
      </c>
      <c r="N197" s="143" t="str">
        <f>IF(tuulisähkö_vuosi&lt;='S3 Tiekartta'!C197,"tuulisähkö",ostosähkö_nyt)</f>
        <v>jäännössähkö</v>
      </c>
      <c r="O197" s="147">
        <f>INDEX(Muuttujat!$J$5:$J$21,MATCH($C197,Muuttujat!$H$5:$H$21,0),1)</f>
        <v>65.194885123382022</v>
      </c>
      <c r="P197" s="148">
        <f t="shared" si="88"/>
        <v>0.92999999999999994</v>
      </c>
      <c r="Q197" s="148">
        <f t="shared" si="89"/>
        <v>7.0000000000000007E-2</v>
      </c>
      <c r="R197" s="148">
        <f t="shared" si="90"/>
        <v>7.0000000000000007E-2</v>
      </c>
      <c r="S197" s="149">
        <f t="shared" si="79"/>
        <v>0</v>
      </c>
      <c r="T197" s="150">
        <f t="shared" si="80"/>
        <v>0</v>
      </c>
      <c r="U197" s="150">
        <f t="shared" si="81"/>
        <v>0</v>
      </c>
      <c r="V197" s="150">
        <f>IFERROR(INDEX(Työkonekanta!$J$3:$J$27,MATCH($A197,Työkonekanta!$A$3:$A$24,0),1)*$B197*ef_li_ion_akku/1000/1000/INDEX(Työkonekanta!$K$3:$K$27,MATCH($A197,Työkonekanta!$A$3:$A$24,0)),0)</f>
        <v>0</v>
      </c>
      <c r="W197" s="149">
        <f t="shared" si="72"/>
        <v>0</v>
      </c>
      <c r="X197" s="150">
        <f t="shared" si="73"/>
        <v>0</v>
      </c>
      <c r="Y197" s="151">
        <f t="shared" si="74"/>
        <v>0</v>
      </c>
      <c r="Z197" s="152">
        <f t="shared" si="91"/>
        <v>0</v>
      </c>
      <c r="AA197" s="179">
        <f t="shared" si="92"/>
        <v>0</v>
      </c>
      <c r="AB197" s="179">
        <f t="shared" si="93"/>
        <v>0</v>
      </c>
      <c r="AC197" s="180">
        <f t="shared" si="75"/>
        <v>0</v>
      </c>
      <c r="AD197" s="156">
        <f t="shared" si="94"/>
        <v>0</v>
      </c>
      <c r="AE197" s="146">
        <f>IFERROR(INDEX(Työkonekanta!$L$3:$L$30,MATCH($A197,Työkonekanta!$A$3:$A$30,0),1),0)*AF197</f>
        <v>0</v>
      </c>
      <c r="AF197" s="146">
        <f>IFERROR(INDEX(Työkonekanta!$N$3:$N$32,MATCH($A197,Työkonekanta!$A$3:$A$32,0),1),0)</f>
        <v>0</v>
      </c>
      <c r="AG197" s="332">
        <f>I197*INDEX(Muuttujat!$U$5:$U$21,MATCH($C197,Muuttujat!$N$5:$N$21,0),1)</f>
        <v>0</v>
      </c>
      <c r="AH197" s="332">
        <f>J197*INDEX(Muuttujat!$T$5:$T$21,MATCH($C197,Muuttujat!$N$5:$N$21,0),1)</f>
        <v>0</v>
      </c>
      <c r="AI197" s="332">
        <f t="shared" si="82"/>
        <v>0</v>
      </c>
      <c r="AJ197" s="332">
        <f t="shared" si="83"/>
        <v>0</v>
      </c>
      <c r="AK197" s="333">
        <f t="shared" si="95"/>
        <v>0</v>
      </c>
      <c r="AL197" s="332">
        <f t="shared" si="84"/>
        <v>0</v>
      </c>
      <c r="AM197" s="351"/>
      <c r="AN197" s="351"/>
    </row>
    <row r="198" spans="1:40">
      <c r="A198" s="139">
        <v>16</v>
      </c>
      <c r="B198" s="139">
        <f>IFERROR(IF((INDEX(Työkonekanta!$F$3:$F$27,MATCH('S3 Tiekartta'!$A198,Työkonekanta!$A$3:$A$24,0),1))&lt;0,0,(INDEX(Työkonekanta!$F$3:$F$27,MATCH('S3 Tiekartta'!$A198,Työkonekanta!$A$3:$A$24,0),1))),0)</f>
        <v>0</v>
      </c>
      <c r="C198" s="140">
        <v>2025</v>
      </c>
      <c r="D198" s="141" t="str">
        <f>IFERROR(INDEX(Työkonekanta!$D$3:$D$27,MATCH('S3 Tiekartta'!$A198,Työkonekanta!$A$3:$A$24,0),1),"undefined")</f>
        <v>sähkö</v>
      </c>
      <c r="E198" s="145">
        <f>IFERROR(INDEX(Työkonekanta!$G$3:$G$27,MATCH($A198,Työkonekanta!$A$3:$A$24,0),1)*INDEX(Työkonekanta!$H$3:$H$27,MATCH($A198,Työkonekanta!$A$3:$A$24,0),1)*(1+s0b_kasvu*($C198-2019))*$B198,0)</f>
        <v>0</v>
      </c>
      <c r="F198" s="145">
        <f t="shared" si="76"/>
        <v>0</v>
      </c>
      <c r="G198" s="151">
        <f t="shared" si="85"/>
        <v>0</v>
      </c>
      <c r="H198" s="145">
        <f t="shared" si="86"/>
        <v>0</v>
      </c>
      <c r="I198" s="145">
        <f t="shared" si="77"/>
        <v>0</v>
      </c>
      <c r="J198" s="145">
        <f t="shared" si="78"/>
        <v>0</v>
      </c>
      <c r="K198" s="142" t="str">
        <f t="shared" si="87"/>
        <v>kWh</v>
      </c>
      <c r="L198" s="146">
        <f>IFERROR(INDEX(Työkonekanta!$I$3:$I$27,MATCH('S3 Tiekartta'!$A198,Työkonekanta!$A$3:$A$24,0),1)*(I198+J198)*f_adblue,0)</f>
        <v>0</v>
      </c>
      <c r="M198" s="146">
        <f t="shared" si="71"/>
        <v>0</v>
      </c>
      <c r="N198" s="143" t="str">
        <f>IF(tuulisähkö_vuosi&lt;='S3 Tiekartta'!C198,"tuulisähkö",ostosähkö_nyt)</f>
        <v>jäännössähkö</v>
      </c>
      <c r="O198" s="147">
        <f>INDEX(Muuttujat!$J$5:$J$21,MATCH($C198,Muuttujat!$H$5:$H$21,0),1)</f>
        <v>65.194885123382022</v>
      </c>
      <c r="P198" s="148">
        <f t="shared" si="88"/>
        <v>0.92999999999999994</v>
      </c>
      <c r="Q198" s="148">
        <f t="shared" si="89"/>
        <v>7.0000000000000007E-2</v>
      </c>
      <c r="R198" s="148">
        <f t="shared" si="90"/>
        <v>7.0000000000000007E-2</v>
      </c>
      <c r="S198" s="149">
        <f t="shared" si="79"/>
        <v>0</v>
      </c>
      <c r="T198" s="150">
        <f t="shared" si="80"/>
        <v>0</v>
      </c>
      <c r="U198" s="150">
        <f t="shared" si="81"/>
        <v>0</v>
      </c>
      <c r="V198" s="150">
        <f>IFERROR(INDEX(Työkonekanta!$J$3:$J$27,MATCH($A198,Työkonekanta!$A$3:$A$24,0),1)*$B198*ef_li_ion_akku/1000/1000/INDEX(Työkonekanta!$K$3:$K$27,MATCH($A198,Työkonekanta!$A$3:$A$24,0)),0)</f>
        <v>0</v>
      </c>
      <c r="W198" s="149">
        <f t="shared" si="72"/>
        <v>0</v>
      </c>
      <c r="X198" s="150">
        <f t="shared" si="73"/>
        <v>0</v>
      </c>
      <c r="Y198" s="151">
        <f t="shared" si="74"/>
        <v>0</v>
      </c>
      <c r="Z198" s="152">
        <f t="shared" si="91"/>
        <v>0</v>
      </c>
      <c r="AA198" s="179">
        <f t="shared" si="92"/>
        <v>0</v>
      </c>
      <c r="AB198" s="179">
        <f t="shared" si="93"/>
        <v>0</v>
      </c>
      <c r="AC198" s="180">
        <f t="shared" si="75"/>
        <v>0</v>
      </c>
      <c r="AD198" s="156">
        <f t="shared" si="94"/>
        <v>0</v>
      </c>
      <c r="AE198" s="146">
        <f>IFERROR(INDEX(Työkonekanta!$L$3:$L$30,MATCH($A198,Työkonekanta!$A$3:$A$30,0),1),0)*AF198</f>
        <v>0</v>
      </c>
      <c r="AF198" s="146">
        <f>IFERROR(INDEX(Työkonekanta!$N$3:$N$32,MATCH($A198,Työkonekanta!$A$3:$A$32,0),1),0)</f>
        <v>0</v>
      </c>
      <c r="AG198" s="332">
        <f>I198*INDEX(Muuttujat!$U$5:$U$21,MATCH($C198,Muuttujat!$N$5:$N$21,0),1)</f>
        <v>0</v>
      </c>
      <c r="AH198" s="332">
        <f>J198*INDEX(Muuttujat!$T$5:$T$21,MATCH($C198,Muuttujat!$N$5:$N$21,0),1)</f>
        <v>0</v>
      </c>
      <c r="AI198" s="332">
        <f t="shared" si="82"/>
        <v>0</v>
      </c>
      <c r="AJ198" s="332">
        <f t="shared" si="83"/>
        <v>0</v>
      </c>
      <c r="AK198" s="333">
        <f t="shared" si="95"/>
        <v>0</v>
      </c>
      <c r="AL198" s="332">
        <f t="shared" si="84"/>
        <v>0</v>
      </c>
      <c r="AM198" s="351"/>
      <c r="AN198" s="351"/>
    </row>
    <row r="199" spans="1:40">
      <c r="A199" s="139">
        <v>17</v>
      </c>
      <c r="B199" s="139">
        <f>IFERROR(IF((INDEX(Työkonekanta!$F$3:$F$27,MATCH('S3 Tiekartta'!$A199,Työkonekanta!$A$3:$A$24,0),1))&lt;0,0,(INDEX(Työkonekanta!$F$3:$F$27,MATCH('S3 Tiekartta'!$A199,Työkonekanta!$A$3:$A$24,0),1))),0)</f>
        <v>1</v>
      </c>
      <c r="C199" s="140">
        <v>2025</v>
      </c>
      <c r="D199" s="141" t="str">
        <f>IFERROR(INDEX(Työkonekanta!$D$3:$D$27,MATCH('S3 Tiekartta'!$A199,Työkonekanta!$A$3:$A$24,0),1),"undefined")</f>
        <v>pom</v>
      </c>
      <c r="E199" s="145">
        <f>IFERROR(INDEX(Työkonekanta!$G$3:$G$27,MATCH($A199,Työkonekanta!$A$3:$A$24,0),1)*INDEX(Työkonekanta!$H$3:$H$27,MATCH($A199,Työkonekanta!$A$3:$A$24,0),1)*(1+s0b_kasvu*($C199-2019))*$B199,0)</f>
        <v>10600</v>
      </c>
      <c r="F199" s="145">
        <f t="shared" si="76"/>
        <v>380540</v>
      </c>
      <c r="G199" s="151">
        <f t="shared" si="85"/>
        <v>353902.19999999995</v>
      </c>
      <c r="H199" s="145">
        <f t="shared" si="86"/>
        <v>26637.800000000003</v>
      </c>
      <c r="I199" s="145">
        <f t="shared" si="77"/>
        <v>9858</v>
      </c>
      <c r="J199" s="145">
        <f t="shared" si="78"/>
        <v>776.61224489795939</v>
      </c>
      <c r="K199" s="142" t="str">
        <f t="shared" si="87"/>
        <v>l</v>
      </c>
      <c r="L199" s="146">
        <f>IFERROR(INDEX(Työkonekanta!$I$3:$I$27,MATCH('S3 Tiekartta'!$A199,Työkonekanta!$A$3:$A$24,0),1)*(I199+J199)*f_adblue,0)</f>
        <v>531.730612244898</v>
      </c>
      <c r="M199" s="146">
        <f t="shared" si="71"/>
        <v>0</v>
      </c>
      <c r="N199" s="143" t="str">
        <f>IF(tuulisähkö_vuosi&lt;='S3 Tiekartta'!C199,"tuulisähkö",ostosähkö_nyt)</f>
        <v>jäännössähkö</v>
      </c>
      <c r="O199" s="147">
        <f>INDEX(Muuttujat!$J$5:$J$21,MATCH($C199,Muuttujat!$H$5:$H$21,0),1)</f>
        <v>65.194885123382022</v>
      </c>
      <c r="P199" s="148">
        <f t="shared" si="88"/>
        <v>0.92999999999999994</v>
      </c>
      <c r="Q199" s="148">
        <f t="shared" si="89"/>
        <v>7.0000000000000007E-2</v>
      </c>
      <c r="R199" s="148">
        <f t="shared" si="90"/>
        <v>7.0000000000000007E-2</v>
      </c>
      <c r="S199" s="149">
        <f t="shared" si="79"/>
        <v>6.6887515799999981</v>
      </c>
      <c r="T199" s="150">
        <f t="shared" si="80"/>
        <v>1.6621987200000001</v>
      </c>
      <c r="U199" s="150">
        <f t="shared" si="81"/>
        <v>0</v>
      </c>
      <c r="V199" s="150">
        <f>IFERROR(INDEX(Työkonekanta!$J$3:$J$27,MATCH($A199,Työkonekanta!$A$3:$A$24,0),1)*$B199*ef_li_ion_akku/1000/1000/INDEX(Työkonekanta!$K$3:$K$27,MATCH($A199,Työkonekanta!$A$3:$A$24,0)),0)</f>
        <v>0</v>
      </c>
      <c r="W199" s="149">
        <f t="shared" si="72"/>
        <v>26.1209035673388</v>
      </c>
      <c r="X199" s="150">
        <f t="shared" si="73"/>
        <v>0.33681039959999998</v>
      </c>
      <c r="Y199" s="151">
        <f t="shared" si="74"/>
        <v>0.1382499591836735</v>
      </c>
      <c r="Z199" s="152">
        <f t="shared" si="91"/>
        <v>8.3509502999999974</v>
      </c>
      <c r="AA199" s="179">
        <f t="shared" si="92"/>
        <v>26.259153526522475</v>
      </c>
      <c r="AB199" s="179">
        <f t="shared" si="93"/>
        <v>26.595963926122476</v>
      </c>
      <c r="AC199" s="180">
        <f t="shared" si="75"/>
        <v>34.610103826522476</v>
      </c>
      <c r="AD199" s="156">
        <f t="shared" si="94"/>
        <v>34.946914226122473</v>
      </c>
      <c r="AE199" s="146">
        <f>IFERROR(INDEX(Työkonekanta!$L$3:$L$30,MATCH($A199,Työkonekanta!$A$3:$A$30,0),1),0)*AF199</f>
        <v>500000</v>
      </c>
      <c r="AF199" s="146">
        <f>IFERROR(INDEX(Työkonekanta!$N$3:$N$32,MATCH($A199,Työkonekanta!$A$3:$A$32,0),1),0)</f>
        <v>1</v>
      </c>
      <c r="AG199" s="332">
        <f>I199*INDEX(Muuttujat!$U$5:$U$21,MATCH($C199,Muuttujat!$N$5:$N$21,0),1)</f>
        <v>10153.74</v>
      </c>
      <c r="AH199" s="332">
        <f>J199*INDEX(Muuttujat!$T$5:$T$21,MATCH($C199,Muuttujat!$N$5:$N$21,0),1)</f>
        <v>1110.5555102040821</v>
      </c>
      <c r="AI199" s="332">
        <f t="shared" si="82"/>
        <v>265.865306122449</v>
      </c>
      <c r="AJ199" s="332">
        <f t="shared" si="83"/>
        <v>0</v>
      </c>
      <c r="AK199" s="333">
        <f t="shared" si="95"/>
        <v>11530.16081632653</v>
      </c>
      <c r="AL199" s="332">
        <f t="shared" si="84"/>
        <v>11530.16081632653</v>
      </c>
      <c r="AM199" s="351"/>
      <c r="AN199" s="351"/>
    </row>
    <row r="200" spans="1:40">
      <c r="A200" s="139">
        <v>18</v>
      </c>
      <c r="B200" s="139">
        <f>IFERROR(IF((INDEX(Työkonekanta!$F$3:$F$27,MATCH('S3 Tiekartta'!$A200,Työkonekanta!$A$3:$A$24,0),1))&lt;0,0,(INDEX(Työkonekanta!$F$3:$F$27,MATCH('S3 Tiekartta'!$A200,Työkonekanta!$A$3:$A$24,0),1))),0)</f>
        <v>1</v>
      </c>
      <c r="C200" s="140">
        <v>2025</v>
      </c>
      <c r="D200" s="141" t="str">
        <f>IFERROR(INDEX(Työkonekanta!$D$3:$D$27,MATCH('S3 Tiekartta'!$A200,Työkonekanta!$A$3:$A$24,0),1),"undefined")</f>
        <v>pom</v>
      </c>
      <c r="E200" s="145">
        <f>IFERROR(INDEX(Työkonekanta!$G$3:$G$27,MATCH($A200,Työkonekanta!$A$3:$A$24,0),1)*INDEX(Työkonekanta!$H$3:$H$27,MATCH($A200,Työkonekanta!$A$3:$A$24,0),1)*(1+s0b_kasvu*($C200-2019))*$B200,0)</f>
        <v>10600</v>
      </c>
      <c r="F200" s="145">
        <f t="shared" si="76"/>
        <v>380540</v>
      </c>
      <c r="G200" s="151">
        <f t="shared" si="85"/>
        <v>353902.19999999995</v>
      </c>
      <c r="H200" s="145">
        <f t="shared" si="86"/>
        <v>26637.800000000003</v>
      </c>
      <c r="I200" s="145">
        <f t="shared" si="77"/>
        <v>9858</v>
      </c>
      <c r="J200" s="145">
        <f t="shared" si="78"/>
        <v>776.61224489795939</v>
      </c>
      <c r="K200" s="142" t="str">
        <f t="shared" si="87"/>
        <v>l</v>
      </c>
      <c r="L200" s="146">
        <f>IFERROR(INDEX(Työkonekanta!$I$3:$I$27,MATCH('S3 Tiekartta'!$A200,Työkonekanta!$A$3:$A$24,0),1)*(I200+J200)*f_adblue,0)</f>
        <v>425.3844897959184</v>
      </c>
      <c r="M200" s="146">
        <f t="shared" si="71"/>
        <v>0</v>
      </c>
      <c r="N200" s="143" t="str">
        <f>IF(tuulisähkö_vuosi&lt;='S3 Tiekartta'!C200,"tuulisähkö",ostosähkö_nyt)</f>
        <v>jäännössähkö</v>
      </c>
      <c r="O200" s="147">
        <f>INDEX(Muuttujat!$J$5:$J$21,MATCH($C200,Muuttujat!$H$5:$H$21,0),1)</f>
        <v>65.194885123382022</v>
      </c>
      <c r="P200" s="148">
        <f t="shared" si="88"/>
        <v>0.92999999999999994</v>
      </c>
      <c r="Q200" s="148">
        <f t="shared" si="89"/>
        <v>7.0000000000000007E-2</v>
      </c>
      <c r="R200" s="148">
        <f t="shared" si="90"/>
        <v>7.0000000000000007E-2</v>
      </c>
      <c r="S200" s="149">
        <f t="shared" si="79"/>
        <v>6.6887515799999981</v>
      </c>
      <c r="T200" s="150">
        <f t="shared" si="80"/>
        <v>1.6621987200000001</v>
      </c>
      <c r="U200" s="150">
        <f t="shared" si="81"/>
        <v>0</v>
      </c>
      <c r="V200" s="150">
        <f>IFERROR(INDEX(Työkonekanta!$J$3:$J$27,MATCH($A200,Työkonekanta!$A$3:$A$24,0),1)*$B200*ef_li_ion_akku/1000/1000/INDEX(Työkonekanta!$K$3:$K$27,MATCH($A200,Työkonekanta!$A$3:$A$24,0)),0)</f>
        <v>0</v>
      </c>
      <c r="W200" s="149">
        <f t="shared" si="72"/>
        <v>26.1209035673388</v>
      </c>
      <c r="X200" s="150">
        <f t="shared" si="73"/>
        <v>0.33681039959999998</v>
      </c>
      <c r="Y200" s="151">
        <f t="shared" si="74"/>
        <v>0.11059996734693878</v>
      </c>
      <c r="Z200" s="152">
        <f t="shared" si="91"/>
        <v>8.3509502999999974</v>
      </c>
      <c r="AA200" s="179">
        <f t="shared" si="92"/>
        <v>26.231503534685739</v>
      </c>
      <c r="AB200" s="179">
        <f t="shared" si="93"/>
        <v>26.56831393428574</v>
      </c>
      <c r="AC200" s="180">
        <f t="shared" si="75"/>
        <v>34.582453834685737</v>
      </c>
      <c r="AD200" s="156">
        <f t="shared" si="94"/>
        <v>34.919264234285734</v>
      </c>
      <c r="AE200" s="146">
        <f>IFERROR(INDEX(Työkonekanta!$L$3:$L$30,MATCH($A200,Työkonekanta!$A$3:$A$30,0),1),0)*AF200</f>
        <v>500000</v>
      </c>
      <c r="AF200" s="146">
        <f>IFERROR(INDEX(Työkonekanta!$N$3:$N$32,MATCH($A200,Työkonekanta!$A$3:$A$32,0),1),0)</f>
        <v>1</v>
      </c>
      <c r="AG200" s="332">
        <f>I200*INDEX(Muuttujat!$U$5:$U$21,MATCH($C200,Muuttujat!$N$5:$N$21,0),1)</f>
        <v>10153.74</v>
      </c>
      <c r="AH200" s="332">
        <f>J200*INDEX(Muuttujat!$T$5:$T$21,MATCH($C200,Muuttujat!$N$5:$N$21,0),1)</f>
        <v>1110.5555102040821</v>
      </c>
      <c r="AI200" s="332">
        <f t="shared" si="82"/>
        <v>212.6922448979592</v>
      </c>
      <c r="AJ200" s="332">
        <f t="shared" si="83"/>
        <v>0</v>
      </c>
      <c r="AK200" s="333">
        <f t="shared" si="95"/>
        <v>11476.98775510204</v>
      </c>
      <c r="AL200" s="332">
        <f t="shared" si="84"/>
        <v>11476.98775510204</v>
      </c>
      <c r="AM200" s="351"/>
      <c r="AN200" s="351"/>
    </row>
    <row r="201" spans="1:40">
      <c r="A201" s="139">
        <v>19</v>
      </c>
      <c r="B201" s="139">
        <f>IFERROR(IF((INDEX(Työkonekanta!$F$3:$F$27,MATCH('S3 Tiekartta'!$A201,Työkonekanta!$A$3:$A$24,0),1))&lt;0,0,(INDEX(Työkonekanta!$F$3:$F$27,MATCH('S3 Tiekartta'!$A201,Työkonekanta!$A$3:$A$24,0),1))),0)</f>
        <v>0</v>
      </c>
      <c r="C201" s="140">
        <v>2025</v>
      </c>
      <c r="D201" s="141" t="str">
        <f>IFERROR(INDEX(Työkonekanta!$D$3:$D$27,MATCH('S3 Tiekartta'!$A201,Työkonekanta!$A$3:$A$24,0),1),"undefined")</f>
        <v>pom</v>
      </c>
      <c r="E201" s="145">
        <f>IFERROR(INDEX(Työkonekanta!$G$3:$G$27,MATCH($A201,Työkonekanta!$A$3:$A$24,0),1)*INDEX(Työkonekanta!$H$3:$H$27,MATCH($A201,Työkonekanta!$A$3:$A$24,0),1)*(1+s0b_kasvu*($C201-2019))*$B201,0)</f>
        <v>0</v>
      </c>
      <c r="F201" s="145">
        <f t="shared" si="76"/>
        <v>0</v>
      </c>
      <c r="G201" s="151">
        <f t="shared" si="85"/>
        <v>0</v>
      </c>
      <c r="H201" s="145">
        <f t="shared" si="86"/>
        <v>0</v>
      </c>
      <c r="I201" s="145">
        <f t="shared" si="77"/>
        <v>0</v>
      </c>
      <c r="J201" s="145">
        <f t="shared" si="78"/>
        <v>0</v>
      </c>
      <c r="K201" s="142" t="str">
        <f t="shared" si="87"/>
        <v>l</v>
      </c>
      <c r="L201" s="146">
        <f>IFERROR(INDEX(Työkonekanta!$I$3:$I$27,MATCH('S3 Tiekartta'!$A201,Työkonekanta!$A$3:$A$24,0),1)*(I201+J201)*f_adblue,0)</f>
        <v>0</v>
      </c>
      <c r="M201" s="146">
        <f t="shared" si="71"/>
        <v>0</v>
      </c>
      <c r="N201" s="143" t="str">
        <f>IF(tuulisähkö_vuosi&lt;='S3 Tiekartta'!C201,"tuulisähkö",ostosähkö_nyt)</f>
        <v>jäännössähkö</v>
      </c>
      <c r="O201" s="147">
        <f>INDEX(Muuttujat!$J$5:$J$21,MATCH($C201,Muuttujat!$H$5:$H$21,0),1)</f>
        <v>65.194885123382022</v>
      </c>
      <c r="P201" s="148">
        <f t="shared" si="88"/>
        <v>0.92999999999999994</v>
      </c>
      <c r="Q201" s="148">
        <f t="shared" si="89"/>
        <v>7.0000000000000007E-2</v>
      </c>
      <c r="R201" s="148">
        <f t="shared" si="90"/>
        <v>7.0000000000000007E-2</v>
      </c>
      <c r="S201" s="149">
        <f t="shared" si="79"/>
        <v>0</v>
      </c>
      <c r="T201" s="150">
        <f t="shared" si="80"/>
        <v>0</v>
      </c>
      <c r="U201" s="150">
        <f t="shared" si="81"/>
        <v>0</v>
      </c>
      <c r="V201" s="150">
        <f>IFERROR(INDEX(Työkonekanta!$J$3:$J$27,MATCH($A201,Työkonekanta!$A$3:$A$24,0),1)*$B201*ef_li_ion_akku/1000/1000/INDEX(Työkonekanta!$K$3:$K$27,MATCH($A201,Työkonekanta!$A$3:$A$24,0)),0)</f>
        <v>0</v>
      </c>
      <c r="W201" s="149">
        <f t="shared" si="72"/>
        <v>0</v>
      </c>
      <c r="X201" s="150">
        <f t="shared" si="73"/>
        <v>0</v>
      </c>
      <c r="Y201" s="151">
        <f t="shared" si="74"/>
        <v>0</v>
      </c>
      <c r="Z201" s="152">
        <f t="shared" si="91"/>
        <v>0</v>
      </c>
      <c r="AA201" s="179">
        <f t="shared" si="92"/>
        <v>0</v>
      </c>
      <c r="AB201" s="179">
        <f t="shared" si="93"/>
        <v>0</v>
      </c>
      <c r="AC201" s="180">
        <f t="shared" si="75"/>
        <v>0</v>
      </c>
      <c r="AD201" s="156">
        <f t="shared" si="94"/>
        <v>0</v>
      </c>
      <c r="AE201" s="146">
        <f>IFERROR(INDEX(Työkonekanta!$L$3:$L$30,MATCH($A201,Työkonekanta!$A$3:$A$30,0),1),0)*AF201</f>
        <v>0</v>
      </c>
      <c r="AF201" s="146">
        <f>IFERROR(INDEX(Työkonekanta!$N$3:$N$32,MATCH($A201,Työkonekanta!$A$3:$A$32,0),1),0)</f>
        <v>0</v>
      </c>
      <c r="AG201" s="332">
        <f>I201*INDEX(Muuttujat!$U$5:$U$21,MATCH($C201,Muuttujat!$N$5:$N$21,0),1)</f>
        <v>0</v>
      </c>
      <c r="AH201" s="332">
        <f>J201*INDEX(Muuttujat!$T$5:$T$21,MATCH($C201,Muuttujat!$N$5:$N$21,0),1)</f>
        <v>0</v>
      </c>
      <c r="AI201" s="332">
        <f t="shared" si="82"/>
        <v>0</v>
      </c>
      <c r="AJ201" s="332">
        <f t="shared" si="83"/>
        <v>0</v>
      </c>
      <c r="AK201" s="333">
        <f t="shared" si="95"/>
        <v>0</v>
      </c>
      <c r="AL201" s="332">
        <f t="shared" si="84"/>
        <v>0</v>
      </c>
      <c r="AM201" s="351"/>
      <c r="AN201" s="351"/>
    </row>
    <row r="202" spans="1:40">
      <c r="A202" s="139">
        <v>20</v>
      </c>
      <c r="B202" s="139">
        <f>IFERROR(IF((INDEX(Työkonekanta!$F$3:$F$27,MATCH('S3 Tiekartta'!$A202,Työkonekanta!$A$3:$A$24,0),1))&lt;0,0,(INDEX(Työkonekanta!$F$3:$F$27,MATCH('S3 Tiekartta'!$A202,Työkonekanta!$A$3:$A$24,0),1))),0)</f>
        <v>0</v>
      </c>
      <c r="C202" s="140">
        <v>2025</v>
      </c>
      <c r="D202" s="141" t="str">
        <f>IFERROR(INDEX(Työkonekanta!$D$3:$D$27,MATCH('S3 Tiekartta'!$A202,Työkonekanta!$A$3:$A$24,0),1),"undefined")</f>
        <v>pom</v>
      </c>
      <c r="E202" s="145">
        <f>IFERROR(INDEX(Työkonekanta!$G$3:$G$27,MATCH($A202,Työkonekanta!$A$3:$A$24,0),1)*INDEX(Työkonekanta!$H$3:$H$27,MATCH($A202,Työkonekanta!$A$3:$A$24,0),1)*(1+s0b_kasvu*($C202-2019))*$B202,0)</f>
        <v>0</v>
      </c>
      <c r="F202" s="145">
        <f t="shared" si="76"/>
        <v>0</v>
      </c>
      <c r="G202" s="151">
        <f t="shared" si="85"/>
        <v>0</v>
      </c>
      <c r="H202" s="145">
        <f t="shared" si="86"/>
        <v>0</v>
      </c>
      <c r="I202" s="145">
        <f t="shared" si="77"/>
        <v>0</v>
      </c>
      <c r="J202" s="145">
        <f t="shared" si="78"/>
        <v>0</v>
      </c>
      <c r="K202" s="142" t="str">
        <f t="shared" si="87"/>
        <v>l</v>
      </c>
      <c r="L202" s="146">
        <f>IFERROR(INDEX(Työkonekanta!$I$3:$I$27,MATCH('S3 Tiekartta'!$A202,Työkonekanta!$A$3:$A$24,0),1)*(I202+J202)*f_adblue,0)</f>
        <v>0</v>
      </c>
      <c r="M202" s="146">
        <f t="shared" si="71"/>
        <v>0</v>
      </c>
      <c r="N202" s="143" t="str">
        <f>IF(tuulisähkö_vuosi&lt;='S3 Tiekartta'!C202,"tuulisähkö",ostosähkö_nyt)</f>
        <v>jäännössähkö</v>
      </c>
      <c r="O202" s="147">
        <f>INDEX(Muuttujat!$J$5:$J$21,MATCH($C202,Muuttujat!$H$5:$H$21,0),1)</f>
        <v>65.194885123382022</v>
      </c>
      <c r="P202" s="148">
        <f t="shared" si="88"/>
        <v>0.92999999999999994</v>
      </c>
      <c r="Q202" s="148">
        <f t="shared" si="89"/>
        <v>7.0000000000000007E-2</v>
      </c>
      <c r="R202" s="148">
        <f t="shared" si="90"/>
        <v>7.0000000000000007E-2</v>
      </c>
      <c r="S202" s="149">
        <f t="shared" si="79"/>
        <v>0</v>
      </c>
      <c r="T202" s="150">
        <f t="shared" si="80"/>
        <v>0</v>
      </c>
      <c r="U202" s="150">
        <f t="shared" si="81"/>
        <v>0</v>
      </c>
      <c r="V202" s="150">
        <f>IFERROR(INDEX(Työkonekanta!$J$3:$J$27,MATCH($A202,Työkonekanta!$A$3:$A$24,0),1)*$B202*ef_li_ion_akku/1000/1000/INDEX(Työkonekanta!$K$3:$K$27,MATCH($A202,Työkonekanta!$A$3:$A$24,0)),0)</f>
        <v>0</v>
      </c>
      <c r="W202" s="149">
        <f t="shared" si="72"/>
        <v>0</v>
      </c>
      <c r="X202" s="150">
        <f t="shared" si="73"/>
        <v>0</v>
      </c>
      <c r="Y202" s="151">
        <f t="shared" si="74"/>
        <v>0</v>
      </c>
      <c r="Z202" s="152">
        <f t="shared" si="91"/>
        <v>0</v>
      </c>
      <c r="AA202" s="179">
        <f t="shared" si="92"/>
        <v>0</v>
      </c>
      <c r="AB202" s="179">
        <f t="shared" si="93"/>
        <v>0</v>
      </c>
      <c r="AC202" s="180">
        <f t="shared" si="75"/>
        <v>0</v>
      </c>
      <c r="AD202" s="156">
        <f t="shared" si="94"/>
        <v>0</v>
      </c>
      <c r="AE202" s="146">
        <f>IFERROR(INDEX(Työkonekanta!$L$3:$L$30,MATCH($A202,Työkonekanta!$A$3:$A$30,0),1),0)*AF202</f>
        <v>0</v>
      </c>
      <c r="AF202" s="146">
        <f>IFERROR(INDEX(Työkonekanta!$N$3:$N$32,MATCH($A202,Työkonekanta!$A$3:$A$32,0),1),0)</f>
        <v>0</v>
      </c>
      <c r="AG202" s="332">
        <f>I202*INDEX(Muuttujat!$U$5:$U$21,MATCH($C202,Muuttujat!$N$5:$N$21,0),1)</f>
        <v>0</v>
      </c>
      <c r="AH202" s="332">
        <f>J202*INDEX(Muuttujat!$T$5:$T$21,MATCH($C202,Muuttujat!$N$5:$N$21,0),1)</f>
        <v>0</v>
      </c>
      <c r="AI202" s="332">
        <f t="shared" si="82"/>
        <v>0</v>
      </c>
      <c r="AJ202" s="332">
        <f t="shared" si="83"/>
        <v>0</v>
      </c>
      <c r="AK202" s="333">
        <f t="shared" si="95"/>
        <v>0</v>
      </c>
      <c r="AL202" s="332">
        <f t="shared" si="84"/>
        <v>0</v>
      </c>
      <c r="AM202" s="351"/>
      <c r="AN202" s="351"/>
    </row>
    <row r="203" spans="1:40">
      <c r="A203" s="139">
        <v>21</v>
      </c>
      <c r="B203" s="139">
        <f>IFERROR(IF((INDEX(Työkonekanta!$F$3:$F$27,MATCH('S3 Tiekartta'!$A203,Työkonekanta!$A$3:$A$24,0),1))&lt;0,0,(INDEX(Työkonekanta!$F$3:$F$27,MATCH('S3 Tiekartta'!$A203,Työkonekanta!$A$3:$A$24,0),1))),0)</f>
        <v>35</v>
      </c>
      <c r="C203" s="140">
        <v>2025</v>
      </c>
      <c r="D203" s="141" t="str">
        <f>IFERROR(INDEX(Työkonekanta!$D$3:$D$27,MATCH('S3 Tiekartta'!$A203,Työkonekanta!$A$3:$A$24,0),1),"undefined")</f>
        <v>sähkö</v>
      </c>
      <c r="E203" s="145">
        <f>IFERROR(INDEX(Työkonekanta!$G$3:$G$27,MATCH($A203,Työkonekanta!$A$3:$A$24,0),1)*INDEX(Työkonekanta!$H$3:$H$27,MATCH($A203,Työkonekanta!$A$3:$A$24,0),1)*(1+s0b_kasvu*($C203-2019))*$B203,0)</f>
        <v>431631.01851851854</v>
      </c>
      <c r="F203" s="145">
        <f t="shared" si="76"/>
        <v>0</v>
      </c>
      <c r="G203" s="151">
        <f t="shared" si="85"/>
        <v>0</v>
      </c>
      <c r="H203" s="145">
        <f t="shared" si="86"/>
        <v>0</v>
      </c>
      <c r="I203" s="145">
        <f t="shared" si="77"/>
        <v>0</v>
      </c>
      <c r="J203" s="145">
        <f t="shared" si="78"/>
        <v>0</v>
      </c>
      <c r="K203" s="142" t="str">
        <f t="shared" si="87"/>
        <v>kWh</v>
      </c>
      <c r="L203" s="146">
        <f>IFERROR(INDEX(Työkonekanta!$I$3:$I$27,MATCH('S3 Tiekartta'!$A203,Työkonekanta!$A$3:$A$24,0),1)*(I203+J203)*f_adblue,0)</f>
        <v>0</v>
      </c>
      <c r="M203" s="146">
        <f t="shared" si="71"/>
        <v>1553871.6666666667</v>
      </c>
      <c r="N203" s="143" t="str">
        <f>IF(tuulisähkö_vuosi&lt;='S3 Tiekartta'!C203,"tuulisähkö",ostosähkö_nyt)</f>
        <v>jäännössähkö</v>
      </c>
      <c r="O203" s="147">
        <f>INDEX(Muuttujat!$J$5:$J$21,MATCH($C203,Muuttujat!$H$5:$H$21,0),1)</f>
        <v>65.194885123382022</v>
      </c>
      <c r="P203" s="148">
        <f t="shared" si="88"/>
        <v>0.92999999999999994</v>
      </c>
      <c r="Q203" s="148">
        <f t="shared" si="89"/>
        <v>7.0000000000000007E-2</v>
      </c>
      <c r="R203" s="148">
        <f t="shared" si="90"/>
        <v>7.0000000000000007E-2</v>
      </c>
      <c r="S203" s="149">
        <f t="shared" si="79"/>
        <v>0</v>
      </c>
      <c r="T203" s="150">
        <f t="shared" si="80"/>
        <v>0</v>
      </c>
      <c r="U203" s="150">
        <f t="shared" si="81"/>
        <v>101.30448480481151</v>
      </c>
      <c r="V203" s="150">
        <f>IFERROR(INDEX(Työkonekanta!$J$3:$J$27,MATCH($A203,Työkonekanta!$A$3:$A$24,0),1)*$B203*ef_li_ion_akku/1000/1000/INDEX(Työkonekanta!$K$3:$K$27,MATCH($A203,Työkonekanta!$A$3:$A$24,0)),0)</f>
        <v>43.121723076923082</v>
      </c>
      <c r="W203" s="149">
        <f t="shared" si="72"/>
        <v>0</v>
      </c>
      <c r="X203" s="150">
        <f t="shared" si="73"/>
        <v>0</v>
      </c>
      <c r="Y203" s="151">
        <f t="shared" si="74"/>
        <v>0</v>
      </c>
      <c r="Z203" s="152">
        <f t="shared" si="91"/>
        <v>144.4262078817346</v>
      </c>
      <c r="AA203" s="179">
        <f t="shared" si="92"/>
        <v>0</v>
      </c>
      <c r="AB203" s="179">
        <f t="shared" si="93"/>
        <v>0</v>
      </c>
      <c r="AC203" s="180">
        <f t="shared" si="75"/>
        <v>144.4262078817346</v>
      </c>
      <c r="AD203" s="156">
        <f t="shared" si="94"/>
        <v>144.4262078817346</v>
      </c>
      <c r="AE203" s="146">
        <f>IFERROR(INDEX(Työkonekanta!$L$3:$L$30,MATCH($A203,Työkonekanta!$A$3:$A$30,0),1),0)*AF203</f>
        <v>1820000</v>
      </c>
      <c r="AF203" s="146">
        <f>IFERROR(INDEX(Työkonekanta!$N$3:$N$32,MATCH($A203,Työkonekanta!$A$3:$A$32,0),1),0)</f>
        <v>7</v>
      </c>
      <c r="AG203" s="332">
        <f>I203*INDEX(Muuttujat!$U$5:$U$21,MATCH($C203,Muuttujat!$N$5:$N$21,0),1)</f>
        <v>0</v>
      </c>
      <c r="AH203" s="332">
        <f>J203*INDEX(Muuttujat!$T$5:$T$21,MATCH($C203,Muuttujat!$N$5:$N$21,0),1)</f>
        <v>0</v>
      </c>
      <c r="AI203" s="332">
        <f t="shared" si="82"/>
        <v>0</v>
      </c>
      <c r="AJ203" s="332">
        <f t="shared" si="83"/>
        <v>38199.345138888893</v>
      </c>
      <c r="AK203" s="333">
        <f t="shared" si="95"/>
        <v>38199.345138888893</v>
      </c>
      <c r="AL203" s="332">
        <f t="shared" si="84"/>
        <v>1091.4098611111112</v>
      </c>
      <c r="AM203" s="351"/>
      <c r="AN203" s="351"/>
    </row>
    <row r="204" spans="1:40">
      <c r="A204" s="139">
        <v>22</v>
      </c>
      <c r="B204" s="139">
        <f>IFERROR(IF((INDEX(Työkonekanta!$F$3:$F$27,MATCH('S3 Tiekartta'!$A204,Työkonekanta!$A$3:$A$24,0),1))&lt;0,0,(INDEX(Työkonekanta!$F$3:$F$27,MATCH('S3 Tiekartta'!$A204,Työkonekanta!$A$3:$A$24,0),1))),0)</f>
        <v>0</v>
      </c>
      <c r="C204" s="140">
        <v>2025</v>
      </c>
      <c r="D204" s="141" t="str">
        <f>IFERROR(INDEX(Työkonekanta!$D$3:$D$27,MATCH('S3 Tiekartta'!$A204,Työkonekanta!$A$3:$A$24,0),1),"undefined")</f>
        <v>sähkö</v>
      </c>
      <c r="E204" s="145">
        <f>IFERROR(INDEX(Työkonekanta!$G$3:$G$27,MATCH($A204,Työkonekanta!$A$3:$A$24,0),1)*INDEX(Työkonekanta!$H$3:$H$27,MATCH($A204,Työkonekanta!$A$3:$A$24,0),1)*(1+s0b_kasvu*($C204-2019))*$B204,0)</f>
        <v>0</v>
      </c>
      <c r="F204" s="145">
        <f t="shared" si="76"/>
        <v>0</v>
      </c>
      <c r="G204" s="151">
        <f t="shared" si="85"/>
        <v>0</v>
      </c>
      <c r="H204" s="145">
        <f t="shared" si="86"/>
        <v>0</v>
      </c>
      <c r="I204" s="145">
        <f t="shared" si="77"/>
        <v>0</v>
      </c>
      <c r="J204" s="145">
        <f t="shared" si="78"/>
        <v>0</v>
      </c>
      <c r="K204" s="142" t="str">
        <f t="shared" si="87"/>
        <v>kWh</v>
      </c>
      <c r="L204" s="146">
        <f>IFERROR(INDEX(Työkonekanta!$I$3:$I$27,MATCH('S3 Tiekartta'!$A204,Työkonekanta!$A$3:$A$24,0),1)*(I204+J204)*f_adblue,0)</f>
        <v>0</v>
      </c>
      <c r="M204" s="146">
        <f t="shared" si="71"/>
        <v>0</v>
      </c>
      <c r="N204" s="143" t="str">
        <f>IF(tuulisähkö_vuosi&lt;='S3 Tiekartta'!C204,"tuulisähkö",ostosähkö_nyt)</f>
        <v>jäännössähkö</v>
      </c>
      <c r="O204" s="147">
        <f>INDEX(Muuttujat!$J$5:$J$21,MATCH($C204,Muuttujat!$H$5:$H$21,0),1)</f>
        <v>65.194885123382022</v>
      </c>
      <c r="P204" s="148">
        <f t="shared" si="88"/>
        <v>0.92999999999999994</v>
      </c>
      <c r="Q204" s="148">
        <f t="shared" si="89"/>
        <v>7.0000000000000007E-2</v>
      </c>
      <c r="R204" s="148">
        <f t="shared" si="90"/>
        <v>7.0000000000000007E-2</v>
      </c>
      <c r="S204" s="149">
        <f t="shared" si="79"/>
        <v>0</v>
      </c>
      <c r="T204" s="150">
        <f t="shared" si="80"/>
        <v>0</v>
      </c>
      <c r="U204" s="150">
        <f t="shared" si="81"/>
        <v>0</v>
      </c>
      <c r="V204" s="150">
        <f>IFERROR(INDEX(Työkonekanta!$J$3:$J$27,MATCH($A204,Työkonekanta!$A$3:$A$24,0),1)*$B204*ef_li_ion_akku/1000/1000/INDEX(Työkonekanta!$K$3:$K$27,MATCH($A204,Työkonekanta!$A$3:$A$24,0)),0)</f>
        <v>0</v>
      </c>
      <c r="W204" s="149">
        <f t="shared" si="72"/>
        <v>0</v>
      </c>
      <c r="X204" s="150">
        <f t="shared" si="73"/>
        <v>0</v>
      </c>
      <c r="Y204" s="151">
        <f t="shared" si="74"/>
        <v>0</v>
      </c>
      <c r="Z204" s="152">
        <f t="shared" si="91"/>
        <v>0</v>
      </c>
      <c r="AA204" s="179">
        <f t="shared" si="92"/>
        <v>0</v>
      </c>
      <c r="AB204" s="179">
        <f t="shared" si="93"/>
        <v>0</v>
      </c>
      <c r="AC204" s="180">
        <f t="shared" si="75"/>
        <v>0</v>
      </c>
      <c r="AD204" s="156">
        <f t="shared" si="94"/>
        <v>0</v>
      </c>
      <c r="AE204" s="146">
        <f>IFERROR(INDEX(Työkonekanta!$L$3:$L$30,MATCH($A204,Työkonekanta!$A$3:$A$30,0),1),0)*AF204</f>
        <v>0</v>
      </c>
      <c r="AF204" s="146">
        <f>IFERROR(INDEX(Työkonekanta!$N$3:$N$32,MATCH($A204,Työkonekanta!$A$3:$A$32,0),1),0)</f>
        <v>0</v>
      </c>
      <c r="AG204" s="332">
        <f>I204*INDEX(Muuttujat!$U$5:$U$21,MATCH($C204,Muuttujat!$N$5:$N$21,0),1)</f>
        <v>0</v>
      </c>
      <c r="AH204" s="332">
        <f>J204*INDEX(Muuttujat!$T$5:$T$21,MATCH($C204,Muuttujat!$N$5:$N$21,0),1)</f>
        <v>0</v>
      </c>
      <c r="AI204" s="332">
        <f t="shared" si="82"/>
        <v>0</v>
      </c>
      <c r="AJ204" s="332">
        <f t="shared" si="83"/>
        <v>0</v>
      </c>
      <c r="AK204" s="333">
        <f t="shared" si="95"/>
        <v>0</v>
      </c>
      <c r="AL204" s="332">
        <f t="shared" si="84"/>
        <v>0</v>
      </c>
      <c r="AM204" s="351"/>
      <c r="AN204" s="351"/>
    </row>
    <row r="205" spans="1:40">
      <c r="A205" s="139">
        <v>23</v>
      </c>
      <c r="B205" s="139">
        <f>IFERROR(IF((INDEX(Työkonekanta!$F$3:$F$27,MATCH('S3 Tiekartta'!$A205,Työkonekanta!$A$3:$A$24,0),1))&lt;0,0,(INDEX(Työkonekanta!$F$3:$F$27,MATCH('S3 Tiekartta'!$A205,Työkonekanta!$A$3:$A$24,0),1))),0)</f>
        <v>0</v>
      </c>
      <c r="C205" s="140">
        <v>2025</v>
      </c>
      <c r="D205" s="141" t="str">
        <f>IFERROR(INDEX(Työkonekanta!$D$3:$D$27,MATCH('S3 Tiekartta'!$A205,Työkonekanta!$A$3:$A$24,0),1),"undefined")</f>
        <v>undefined</v>
      </c>
      <c r="E205" s="145">
        <f>IFERROR(INDEX(Työkonekanta!$G$3:$G$27,MATCH($A205,Työkonekanta!$A$3:$A$24,0),1)*INDEX(Työkonekanta!$H$3:$H$27,MATCH($A205,Työkonekanta!$A$3:$A$24,0),1)*(1+s0b_kasvu*($C205-2019))*$B205,0)</f>
        <v>0</v>
      </c>
      <c r="F205" s="145">
        <f t="shared" si="76"/>
        <v>0</v>
      </c>
      <c r="G205" s="151">
        <f t="shared" si="85"/>
        <v>0</v>
      </c>
      <c r="H205" s="145">
        <f t="shared" si="86"/>
        <v>0</v>
      </c>
      <c r="I205" s="145">
        <f t="shared" si="77"/>
        <v>0</v>
      </c>
      <c r="J205" s="145">
        <f t="shared" si="78"/>
        <v>0</v>
      </c>
      <c r="K205" s="142" t="str">
        <f t="shared" si="87"/>
        <v>undefined</v>
      </c>
      <c r="L205" s="146">
        <f>IFERROR(INDEX(Työkonekanta!$I$3:$I$27,MATCH('S3 Tiekartta'!$A205,Työkonekanta!$A$3:$A$24,0),1)*(I205+J205)*f_adblue,0)</f>
        <v>0</v>
      </c>
      <c r="M205" s="146">
        <f t="shared" si="71"/>
        <v>0</v>
      </c>
      <c r="N205" s="143" t="str">
        <f>IF(tuulisähkö_vuosi&lt;='S3 Tiekartta'!C205,"tuulisähkö",ostosähkö_nyt)</f>
        <v>jäännössähkö</v>
      </c>
      <c r="O205" s="147">
        <f>INDEX(Muuttujat!$J$5:$J$21,MATCH($C205,Muuttujat!$H$5:$H$21,0),1)</f>
        <v>65.194885123382022</v>
      </c>
      <c r="P205" s="148">
        <f t="shared" si="88"/>
        <v>0.92999999999999994</v>
      </c>
      <c r="Q205" s="148">
        <f t="shared" si="89"/>
        <v>7.0000000000000007E-2</v>
      </c>
      <c r="R205" s="148">
        <f t="shared" si="90"/>
        <v>7.0000000000000007E-2</v>
      </c>
      <c r="S205" s="149">
        <f t="shared" si="79"/>
        <v>0</v>
      </c>
      <c r="T205" s="150">
        <f t="shared" si="80"/>
        <v>0</v>
      </c>
      <c r="U205" s="150">
        <f t="shared" si="81"/>
        <v>0</v>
      </c>
      <c r="V205" s="150">
        <f>IFERROR(INDEX(Työkonekanta!$J$3:$J$27,MATCH($A205,Työkonekanta!$A$3:$A$24,0),1)*$B205*ef_li_ion_akku/1000/1000/INDEX(Työkonekanta!$K$3:$K$27,MATCH($A205,Työkonekanta!$A$3:$A$24,0)),0)</f>
        <v>0</v>
      </c>
      <c r="W205" s="149">
        <f t="shared" si="72"/>
        <v>0</v>
      </c>
      <c r="X205" s="150">
        <f t="shared" si="73"/>
        <v>0</v>
      </c>
      <c r="Y205" s="151">
        <f t="shared" si="74"/>
        <v>0</v>
      </c>
      <c r="Z205" s="152">
        <f t="shared" si="91"/>
        <v>0</v>
      </c>
      <c r="AA205" s="179">
        <f t="shared" si="92"/>
        <v>0</v>
      </c>
      <c r="AB205" s="179">
        <f t="shared" si="93"/>
        <v>0</v>
      </c>
      <c r="AC205" s="180">
        <f t="shared" si="75"/>
        <v>0</v>
      </c>
      <c r="AD205" s="156">
        <f t="shared" si="94"/>
        <v>0</v>
      </c>
      <c r="AE205" s="146">
        <f>IFERROR(INDEX(Työkonekanta!$L$3:$L$30,MATCH($A205,Työkonekanta!$A$3:$A$30,0),1),0)*AF205</f>
        <v>0</v>
      </c>
      <c r="AF205" s="146">
        <f>IFERROR(INDEX(Työkonekanta!$N$3:$N$32,MATCH($A205,Työkonekanta!$A$3:$A$32,0),1),0)</f>
        <v>0</v>
      </c>
      <c r="AG205" s="332">
        <f>I205*INDEX(Muuttujat!$U$5:$U$21,MATCH($C205,Muuttujat!$N$5:$N$21,0),1)</f>
        <v>0</v>
      </c>
      <c r="AH205" s="332">
        <f>J205*INDEX(Muuttujat!$T$5:$T$21,MATCH($C205,Muuttujat!$N$5:$N$21,0),1)</f>
        <v>0</v>
      </c>
      <c r="AI205" s="332">
        <f t="shared" si="82"/>
        <v>0</v>
      </c>
      <c r="AJ205" s="332">
        <f t="shared" si="83"/>
        <v>0</v>
      </c>
      <c r="AK205" s="333">
        <f t="shared" si="95"/>
        <v>0</v>
      </c>
      <c r="AL205" s="332">
        <f t="shared" si="84"/>
        <v>0</v>
      </c>
      <c r="AM205" s="351"/>
      <c r="AN205" s="351"/>
    </row>
    <row r="206" spans="1:40">
      <c r="A206" s="139">
        <v>24</v>
      </c>
      <c r="B206" s="139">
        <f>IFERROR(IF((INDEX(Työkonekanta!$F$3:$F$27,MATCH('S3 Tiekartta'!$A206,Työkonekanta!$A$3:$A$24,0),1))&lt;0,0,(INDEX(Työkonekanta!$F$3:$F$27,MATCH('S3 Tiekartta'!$A206,Työkonekanta!$A$3:$A$24,0),1))),0)</f>
        <v>0</v>
      </c>
      <c r="C206" s="140">
        <v>2025</v>
      </c>
      <c r="D206" s="141" t="str">
        <f>IFERROR(INDEX(Työkonekanta!$D$3:$D$27,MATCH('S3 Tiekartta'!$A206,Työkonekanta!$A$3:$A$24,0),1),"undefined")</f>
        <v>undefined</v>
      </c>
      <c r="E206" s="145">
        <f>IFERROR(INDEX(Työkonekanta!$G$3:$G$27,MATCH($A206,Työkonekanta!$A$3:$A$24,0),1)*INDEX(Työkonekanta!$H$3:$H$27,MATCH($A206,Työkonekanta!$A$3:$A$24,0),1)*(1+s0b_kasvu*($C206-2019))*$B206,0)</f>
        <v>0</v>
      </c>
      <c r="F206" s="145">
        <f t="shared" si="76"/>
        <v>0</v>
      </c>
      <c r="G206" s="151">
        <f t="shared" si="85"/>
        <v>0</v>
      </c>
      <c r="H206" s="145">
        <f t="shared" si="86"/>
        <v>0</v>
      </c>
      <c r="I206" s="145">
        <f t="shared" si="77"/>
        <v>0</v>
      </c>
      <c r="J206" s="145">
        <f t="shared" si="78"/>
        <v>0</v>
      </c>
      <c r="K206" s="142" t="str">
        <f t="shared" si="87"/>
        <v>undefined</v>
      </c>
      <c r="L206" s="146">
        <f>IFERROR(INDEX(Työkonekanta!$I$3:$I$27,MATCH('S3 Tiekartta'!$A206,Työkonekanta!$A$3:$A$24,0),1)*(I206+J206)*f_adblue,0)</f>
        <v>0</v>
      </c>
      <c r="M206" s="146">
        <f t="shared" si="71"/>
        <v>0</v>
      </c>
      <c r="N206" s="143" t="str">
        <f>IF(tuulisähkö_vuosi&lt;='S3 Tiekartta'!C206,"tuulisähkö",ostosähkö_nyt)</f>
        <v>jäännössähkö</v>
      </c>
      <c r="O206" s="147">
        <f>INDEX(Muuttujat!$J$5:$J$21,MATCH($C206,Muuttujat!$H$5:$H$21,0),1)</f>
        <v>65.194885123382022</v>
      </c>
      <c r="P206" s="148">
        <f t="shared" si="88"/>
        <v>0.92999999999999994</v>
      </c>
      <c r="Q206" s="148">
        <f t="shared" si="89"/>
        <v>7.0000000000000007E-2</v>
      </c>
      <c r="R206" s="148">
        <f t="shared" si="90"/>
        <v>7.0000000000000007E-2</v>
      </c>
      <c r="S206" s="149">
        <f t="shared" si="79"/>
        <v>0</v>
      </c>
      <c r="T206" s="150">
        <f t="shared" si="80"/>
        <v>0</v>
      </c>
      <c r="U206" s="150">
        <f t="shared" si="81"/>
        <v>0</v>
      </c>
      <c r="V206" s="150">
        <f>IFERROR(INDEX(Työkonekanta!$J$3:$J$27,MATCH($A206,Työkonekanta!$A$3:$A$24,0),1)*$B206*ef_li_ion_akku/1000/1000/INDEX(Työkonekanta!$K$3:$K$27,MATCH($A206,Työkonekanta!$A$3:$A$24,0)),0)</f>
        <v>0</v>
      </c>
      <c r="W206" s="149">
        <f t="shared" si="72"/>
        <v>0</v>
      </c>
      <c r="X206" s="150">
        <f t="shared" si="73"/>
        <v>0</v>
      </c>
      <c r="Y206" s="151">
        <f t="shared" si="74"/>
        <v>0</v>
      </c>
      <c r="Z206" s="152">
        <f t="shared" si="91"/>
        <v>0</v>
      </c>
      <c r="AA206" s="179">
        <f t="shared" si="92"/>
        <v>0</v>
      </c>
      <c r="AB206" s="179">
        <f t="shared" si="93"/>
        <v>0</v>
      </c>
      <c r="AC206" s="180">
        <f t="shared" si="75"/>
        <v>0</v>
      </c>
      <c r="AD206" s="156">
        <f t="shared" si="94"/>
        <v>0</v>
      </c>
      <c r="AE206" s="146">
        <f>IFERROR(INDEX(Työkonekanta!$L$3:$L$30,MATCH($A206,Työkonekanta!$A$3:$A$30,0),1),0)*AF206</f>
        <v>0</v>
      </c>
      <c r="AF206" s="146">
        <f>IFERROR(INDEX(Työkonekanta!$N$3:$N$32,MATCH($A206,Työkonekanta!$A$3:$A$32,0),1),0)</f>
        <v>0</v>
      </c>
      <c r="AG206" s="332">
        <f>I206*INDEX(Muuttujat!$U$5:$U$21,MATCH($C206,Muuttujat!$N$5:$N$21,0),1)</f>
        <v>0</v>
      </c>
      <c r="AH206" s="332">
        <f>J206*INDEX(Muuttujat!$T$5:$T$21,MATCH($C206,Muuttujat!$N$5:$N$21,0),1)</f>
        <v>0</v>
      </c>
      <c r="AI206" s="332">
        <f t="shared" si="82"/>
        <v>0</v>
      </c>
      <c r="AJ206" s="332">
        <f t="shared" si="83"/>
        <v>0</v>
      </c>
      <c r="AK206" s="333">
        <f t="shared" si="95"/>
        <v>0</v>
      </c>
      <c r="AL206" s="332">
        <f t="shared" si="84"/>
        <v>0</v>
      </c>
      <c r="AM206" s="351"/>
      <c r="AN206" s="351"/>
    </row>
    <row r="207" spans="1:40">
      <c r="A207" s="139">
        <v>25</v>
      </c>
      <c r="B207" s="139">
        <f>IFERROR(IF((INDEX(Työkonekanta!$F$3:$F$27,MATCH('S3 Tiekartta'!$A207,Työkonekanta!$A$3:$A$24,0),1))&lt;0,0,(INDEX(Työkonekanta!$F$3:$F$27,MATCH('S3 Tiekartta'!$A207,Työkonekanta!$A$3:$A$24,0),1))),0)</f>
        <v>0</v>
      </c>
      <c r="C207" s="140">
        <v>2025</v>
      </c>
      <c r="D207" s="141" t="str">
        <f>IFERROR(INDEX(Työkonekanta!$D$3:$D$27,MATCH('S3 Tiekartta'!$A207,Työkonekanta!$A$3:$A$24,0),1),"undefined")</f>
        <v>undefined</v>
      </c>
      <c r="E207" s="145">
        <f>IFERROR(INDEX(Työkonekanta!$G$3:$G$27,MATCH($A207,Työkonekanta!$A$3:$A$24,0),1)*INDEX(Työkonekanta!$H$3:$H$27,MATCH($A207,Työkonekanta!$A$3:$A$24,0),1)*(1+s0b_kasvu*($C207-2019))*$B207,0)</f>
        <v>0</v>
      </c>
      <c r="F207" s="145">
        <f t="shared" si="76"/>
        <v>0</v>
      </c>
      <c r="G207" s="151">
        <f t="shared" si="85"/>
        <v>0</v>
      </c>
      <c r="H207" s="145">
        <f t="shared" si="86"/>
        <v>0</v>
      </c>
      <c r="I207" s="145">
        <f t="shared" si="77"/>
        <v>0</v>
      </c>
      <c r="J207" s="145">
        <f t="shared" si="78"/>
        <v>0</v>
      </c>
      <c r="K207" s="142" t="str">
        <f t="shared" si="87"/>
        <v>undefined</v>
      </c>
      <c r="L207" s="146">
        <f>IFERROR(INDEX(Työkonekanta!$I$3:$I$27,MATCH('S3 Tiekartta'!$A207,Työkonekanta!$A$3:$A$24,0),1)*(I207+J207)*f_adblue,0)</f>
        <v>0</v>
      </c>
      <c r="M207" s="146">
        <f t="shared" si="71"/>
        <v>0</v>
      </c>
      <c r="N207" s="143" t="str">
        <f>IF(tuulisähkö_vuosi&lt;='S3 Tiekartta'!C207,"tuulisähkö",ostosähkö_nyt)</f>
        <v>jäännössähkö</v>
      </c>
      <c r="O207" s="147">
        <f>INDEX(Muuttujat!$J$5:$J$21,MATCH($C207,Muuttujat!$H$5:$H$21,0),1)</f>
        <v>65.194885123382022</v>
      </c>
      <c r="P207" s="148">
        <f t="shared" si="88"/>
        <v>0.92999999999999994</v>
      </c>
      <c r="Q207" s="148">
        <f t="shared" si="89"/>
        <v>7.0000000000000007E-2</v>
      </c>
      <c r="R207" s="148">
        <f t="shared" si="90"/>
        <v>7.0000000000000007E-2</v>
      </c>
      <c r="S207" s="149">
        <f t="shared" si="79"/>
        <v>0</v>
      </c>
      <c r="T207" s="150">
        <f t="shared" si="80"/>
        <v>0</v>
      </c>
      <c r="U207" s="150">
        <f t="shared" si="81"/>
        <v>0</v>
      </c>
      <c r="V207" s="150">
        <f>IFERROR(INDEX(Työkonekanta!$J$3:$J$27,MATCH($A207,Työkonekanta!$A$3:$A$24,0),1)*$B207*ef_li_ion_akku/1000/1000/INDEX(Työkonekanta!$K$3:$K$27,MATCH($A207,Työkonekanta!$A$3:$A$24,0)),0)</f>
        <v>0</v>
      </c>
      <c r="W207" s="149">
        <f t="shared" si="72"/>
        <v>0</v>
      </c>
      <c r="X207" s="150">
        <f t="shared" si="73"/>
        <v>0</v>
      </c>
      <c r="Y207" s="151">
        <f t="shared" si="74"/>
        <v>0</v>
      </c>
      <c r="Z207" s="152">
        <f t="shared" si="91"/>
        <v>0</v>
      </c>
      <c r="AA207" s="179">
        <f t="shared" si="92"/>
        <v>0</v>
      </c>
      <c r="AB207" s="179">
        <f t="shared" si="93"/>
        <v>0</v>
      </c>
      <c r="AC207" s="180">
        <f t="shared" si="75"/>
        <v>0</v>
      </c>
      <c r="AD207" s="156">
        <f t="shared" si="94"/>
        <v>0</v>
      </c>
      <c r="AE207" s="146">
        <f>IFERROR(INDEX(Työkonekanta!$L$3:$L$30,MATCH($A207,Työkonekanta!$A$3:$A$30,0),1),0)*AF207</f>
        <v>0</v>
      </c>
      <c r="AF207" s="146">
        <f>IFERROR(INDEX(Työkonekanta!$N$3:$N$32,MATCH($A207,Työkonekanta!$A$3:$A$32,0),1),0)</f>
        <v>0</v>
      </c>
      <c r="AG207" s="332">
        <f>I207*INDEX(Muuttujat!$U$5:$U$21,MATCH($C207,Muuttujat!$N$5:$N$21,0),1)</f>
        <v>0</v>
      </c>
      <c r="AH207" s="332">
        <f>J207*INDEX(Muuttujat!$T$5:$T$21,MATCH($C207,Muuttujat!$N$5:$N$21,0),1)</f>
        <v>0</v>
      </c>
      <c r="AI207" s="332">
        <f t="shared" si="82"/>
        <v>0</v>
      </c>
      <c r="AJ207" s="332">
        <f t="shared" si="83"/>
        <v>0</v>
      </c>
      <c r="AK207" s="333">
        <f t="shared" si="95"/>
        <v>0</v>
      </c>
      <c r="AL207" s="332">
        <f t="shared" si="84"/>
        <v>0</v>
      </c>
      <c r="AM207" s="351"/>
      <c r="AN207" s="351"/>
    </row>
    <row r="208" spans="1:40">
      <c r="A208" s="139">
        <v>26</v>
      </c>
      <c r="B208" s="139">
        <f>IFERROR(IF((INDEX(Työkonekanta!$F$3:$F$27,MATCH('S3 Tiekartta'!$A208,Työkonekanta!$A$3:$A$24,0),1))&lt;0,0,(INDEX(Työkonekanta!$F$3:$F$27,MATCH('S3 Tiekartta'!$A208,Työkonekanta!$A$3:$A$24,0),1))),0)</f>
        <v>0</v>
      </c>
      <c r="C208" s="140">
        <v>2025</v>
      </c>
      <c r="D208" s="141" t="str">
        <f>IFERROR(INDEX(Työkonekanta!$D$3:$D$27,MATCH('S3 Tiekartta'!$A208,Työkonekanta!$A$3:$A$24,0),1),"undefined")</f>
        <v>undefined</v>
      </c>
      <c r="E208" s="145">
        <f>IFERROR(INDEX(Työkonekanta!$G$3:$G$27,MATCH($A208,Työkonekanta!$A$3:$A$24,0),1)*INDEX(Työkonekanta!$H$3:$H$27,MATCH($A208,Työkonekanta!$A$3:$A$24,0),1)*(1+s0b_kasvu*($C208-2019))*$B208,0)</f>
        <v>0</v>
      </c>
      <c r="F208" s="145">
        <f t="shared" si="76"/>
        <v>0</v>
      </c>
      <c r="G208" s="151">
        <f t="shared" si="85"/>
        <v>0</v>
      </c>
      <c r="H208" s="145">
        <f t="shared" si="86"/>
        <v>0</v>
      </c>
      <c r="I208" s="145">
        <f t="shared" si="77"/>
        <v>0</v>
      </c>
      <c r="J208" s="145">
        <f t="shared" si="78"/>
        <v>0</v>
      </c>
      <c r="K208" s="142" t="str">
        <f t="shared" si="87"/>
        <v>undefined</v>
      </c>
      <c r="L208" s="146">
        <f>IFERROR(INDEX(Työkonekanta!$I$3:$I$27,MATCH('S3 Tiekartta'!$A208,Työkonekanta!$A$3:$A$24,0),1)*(I208+J208)*f_adblue,0)</f>
        <v>0</v>
      </c>
      <c r="M208" s="146">
        <f t="shared" si="71"/>
        <v>0</v>
      </c>
      <c r="N208" s="143" t="str">
        <f>IF(tuulisähkö_vuosi&lt;='S3 Tiekartta'!C208,"tuulisähkö",ostosähkö_nyt)</f>
        <v>jäännössähkö</v>
      </c>
      <c r="O208" s="147">
        <f>INDEX(Muuttujat!$J$5:$J$21,MATCH($C208,Muuttujat!$H$5:$H$21,0),1)</f>
        <v>65.194885123382022</v>
      </c>
      <c r="P208" s="148">
        <f t="shared" si="88"/>
        <v>0.92999999999999994</v>
      </c>
      <c r="Q208" s="148">
        <f t="shared" si="89"/>
        <v>7.0000000000000007E-2</v>
      </c>
      <c r="R208" s="148">
        <f t="shared" si="90"/>
        <v>7.0000000000000007E-2</v>
      </c>
      <c r="S208" s="149">
        <f t="shared" si="79"/>
        <v>0</v>
      </c>
      <c r="T208" s="150">
        <f t="shared" si="80"/>
        <v>0</v>
      </c>
      <c r="U208" s="150">
        <f t="shared" si="81"/>
        <v>0</v>
      </c>
      <c r="V208" s="150">
        <f>IFERROR(INDEX(Työkonekanta!$J$3:$J$27,MATCH($A208,Työkonekanta!$A$3:$A$24,0),1)*$B208*ef_li_ion_akku/1000/1000/INDEX(Työkonekanta!$K$3:$K$27,MATCH($A208,Työkonekanta!$A$3:$A$24,0)),0)</f>
        <v>0</v>
      </c>
      <c r="W208" s="149">
        <f t="shared" si="72"/>
        <v>0</v>
      </c>
      <c r="X208" s="150">
        <f t="shared" si="73"/>
        <v>0</v>
      </c>
      <c r="Y208" s="151">
        <f t="shared" si="74"/>
        <v>0</v>
      </c>
      <c r="Z208" s="152">
        <f t="shared" si="91"/>
        <v>0</v>
      </c>
      <c r="AA208" s="179">
        <f t="shared" si="92"/>
        <v>0</v>
      </c>
      <c r="AB208" s="179">
        <f t="shared" si="93"/>
        <v>0</v>
      </c>
      <c r="AC208" s="180">
        <f t="shared" si="75"/>
        <v>0</v>
      </c>
      <c r="AD208" s="156">
        <f t="shared" si="94"/>
        <v>0</v>
      </c>
      <c r="AE208" s="146">
        <f>IFERROR(INDEX(Työkonekanta!$L$3:$L$30,MATCH($A208,Työkonekanta!$A$3:$A$30,0),1),0)*AF208</f>
        <v>0</v>
      </c>
      <c r="AF208" s="146">
        <f>IFERROR(INDEX(Työkonekanta!$N$3:$N$32,MATCH($A208,Työkonekanta!$A$3:$A$32,0),1),0)</f>
        <v>0</v>
      </c>
      <c r="AG208" s="332">
        <f>I208*INDEX(Muuttujat!$U$5:$U$21,MATCH($C208,Muuttujat!$N$5:$N$21,0),1)</f>
        <v>0</v>
      </c>
      <c r="AH208" s="332">
        <f>J208*INDEX(Muuttujat!$T$5:$T$21,MATCH($C208,Muuttujat!$N$5:$N$21,0),1)</f>
        <v>0</v>
      </c>
      <c r="AI208" s="332">
        <f t="shared" si="82"/>
        <v>0</v>
      </c>
      <c r="AJ208" s="332">
        <f t="shared" si="83"/>
        <v>0</v>
      </c>
      <c r="AK208" s="333">
        <f t="shared" si="95"/>
        <v>0</v>
      </c>
      <c r="AL208" s="332">
        <f t="shared" si="84"/>
        <v>0</v>
      </c>
      <c r="AM208" s="351"/>
      <c r="AN208" s="351"/>
    </row>
    <row r="209" spans="1:40">
      <c r="A209" s="139">
        <v>27</v>
      </c>
      <c r="B209" s="139">
        <f>IFERROR(IF((INDEX(Työkonekanta!$F$3:$F$27,MATCH('S3 Tiekartta'!$A209,Työkonekanta!$A$3:$A$24,0),1))&lt;0,0,(INDEX(Työkonekanta!$F$3:$F$27,MATCH('S3 Tiekartta'!$A209,Työkonekanta!$A$3:$A$24,0),1))),0)</f>
        <v>0</v>
      </c>
      <c r="C209" s="140">
        <v>2025</v>
      </c>
      <c r="D209" s="141" t="str">
        <f>IFERROR(INDEX(Työkonekanta!$D$3:$D$27,MATCH('S3 Tiekartta'!$A209,Työkonekanta!$A$3:$A$24,0),1),"undefined")</f>
        <v>undefined</v>
      </c>
      <c r="E209" s="145">
        <f>IFERROR(INDEX(Työkonekanta!$G$3:$G$27,MATCH($A209,Työkonekanta!$A$3:$A$24,0),1)*INDEX(Työkonekanta!$H$3:$H$27,MATCH($A209,Työkonekanta!$A$3:$A$24,0),1)*(1+s0b_kasvu*($C209-2019))*$B209,0)</f>
        <v>0</v>
      </c>
      <c r="F209" s="145">
        <f t="shared" si="76"/>
        <v>0</v>
      </c>
      <c r="G209" s="151">
        <f t="shared" si="85"/>
        <v>0</v>
      </c>
      <c r="H209" s="145">
        <f t="shared" si="86"/>
        <v>0</v>
      </c>
      <c r="I209" s="145">
        <f t="shared" si="77"/>
        <v>0</v>
      </c>
      <c r="J209" s="145">
        <f t="shared" si="78"/>
        <v>0</v>
      </c>
      <c r="K209" s="142" t="str">
        <f t="shared" si="87"/>
        <v>undefined</v>
      </c>
      <c r="L209" s="146">
        <f>IFERROR(INDEX(Työkonekanta!$I$3:$I$27,MATCH('S3 Tiekartta'!$A209,Työkonekanta!$A$3:$A$24,0),1)*(I209+J209)*f_adblue,0)</f>
        <v>0</v>
      </c>
      <c r="M209" s="146">
        <f t="shared" si="71"/>
        <v>0</v>
      </c>
      <c r="N209" s="143" t="str">
        <f>IF(tuulisähkö_vuosi&lt;='S3 Tiekartta'!C209,"tuulisähkö",ostosähkö_nyt)</f>
        <v>jäännössähkö</v>
      </c>
      <c r="O209" s="147">
        <f>INDEX(Muuttujat!$J$5:$J$21,MATCH($C209,Muuttujat!$H$5:$H$21,0),1)</f>
        <v>65.194885123382022</v>
      </c>
      <c r="P209" s="148">
        <f t="shared" si="88"/>
        <v>0.92999999999999994</v>
      </c>
      <c r="Q209" s="148">
        <f t="shared" si="89"/>
        <v>7.0000000000000007E-2</v>
      </c>
      <c r="R209" s="148">
        <f t="shared" si="90"/>
        <v>7.0000000000000007E-2</v>
      </c>
      <c r="S209" s="149">
        <f t="shared" si="79"/>
        <v>0</v>
      </c>
      <c r="T209" s="150">
        <f t="shared" si="80"/>
        <v>0</v>
      </c>
      <c r="U209" s="150">
        <f t="shared" si="81"/>
        <v>0</v>
      </c>
      <c r="V209" s="150">
        <f>IFERROR(INDEX(Työkonekanta!$J$3:$J$27,MATCH($A209,Työkonekanta!$A$3:$A$24,0),1)*$B209*ef_li_ion_akku/1000/1000/INDEX(Työkonekanta!$K$3:$K$27,MATCH($A209,Työkonekanta!$A$3:$A$24,0)),0)</f>
        <v>0</v>
      </c>
      <c r="W209" s="149">
        <f t="shared" si="72"/>
        <v>0</v>
      </c>
      <c r="X209" s="150">
        <f t="shared" si="73"/>
        <v>0</v>
      </c>
      <c r="Y209" s="151">
        <f t="shared" si="74"/>
        <v>0</v>
      </c>
      <c r="Z209" s="152">
        <f t="shared" si="91"/>
        <v>0</v>
      </c>
      <c r="AA209" s="179">
        <f t="shared" si="92"/>
        <v>0</v>
      </c>
      <c r="AB209" s="179">
        <f t="shared" si="93"/>
        <v>0</v>
      </c>
      <c r="AC209" s="180">
        <f t="shared" si="75"/>
        <v>0</v>
      </c>
      <c r="AD209" s="156">
        <f t="shared" si="94"/>
        <v>0</v>
      </c>
      <c r="AE209" s="146">
        <f>IFERROR(INDEX(Työkonekanta!$L$3:$L$30,MATCH($A209,Työkonekanta!$A$3:$A$30,0),1),0)*AF209</f>
        <v>0</v>
      </c>
      <c r="AF209" s="146">
        <f>IFERROR(INDEX(Työkonekanta!$N$3:$N$32,MATCH($A209,Työkonekanta!$A$3:$A$32,0),1),0)</f>
        <v>0</v>
      </c>
      <c r="AG209" s="332">
        <f>I209*INDEX(Muuttujat!$U$5:$U$21,MATCH($C209,Muuttujat!$N$5:$N$21,0),1)</f>
        <v>0</v>
      </c>
      <c r="AH209" s="332">
        <f>J209*INDEX(Muuttujat!$T$5:$T$21,MATCH($C209,Muuttujat!$N$5:$N$21,0),1)</f>
        <v>0</v>
      </c>
      <c r="AI209" s="332">
        <f t="shared" si="82"/>
        <v>0</v>
      </c>
      <c r="AJ209" s="332">
        <f t="shared" si="83"/>
        <v>0</v>
      </c>
      <c r="AK209" s="333">
        <f t="shared" si="95"/>
        <v>0</v>
      </c>
      <c r="AL209" s="332">
        <f t="shared" si="84"/>
        <v>0</v>
      </c>
      <c r="AM209" s="351"/>
      <c r="AN209" s="351"/>
    </row>
    <row r="210" spans="1:40">
      <c r="A210" s="139">
        <v>28</v>
      </c>
      <c r="B210" s="139">
        <f>IFERROR(IF((INDEX(Työkonekanta!$F$3:$F$27,MATCH('S3 Tiekartta'!$A210,Työkonekanta!$A$3:$A$24,0),1))&lt;0,0,(INDEX(Työkonekanta!$F$3:$F$27,MATCH('S3 Tiekartta'!$A210,Työkonekanta!$A$3:$A$24,0),1))),0)</f>
        <v>0</v>
      </c>
      <c r="C210" s="140">
        <v>2025</v>
      </c>
      <c r="D210" s="141" t="str">
        <f>IFERROR(INDEX(Työkonekanta!$D$3:$D$27,MATCH('S3 Tiekartta'!$A210,Työkonekanta!$A$3:$A$24,0),1),"undefined")</f>
        <v>undefined</v>
      </c>
      <c r="E210" s="145">
        <f>IFERROR(INDEX(Työkonekanta!$G$3:$G$27,MATCH($A210,Työkonekanta!$A$3:$A$24,0),1)*INDEX(Työkonekanta!$H$3:$H$27,MATCH($A210,Työkonekanta!$A$3:$A$24,0),1)*(1+s0b_kasvu*($C210-2019))*$B210,0)</f>
        <v>0</v>
      </c>
      <c r="F210" s="145">
        <f t="shared" si="76"/>
        <v>0</v>
      </c>
      <c r="G210" s="151">
        <f t="shared" si="85"/>
        <v>0</v>
      </c>
      <c r="H210" s="145">
        <f t="shared" si="86"/>
        <v>0</v>
      </c>
      <c r="I210" s="145">
        <f t="shared" si="77"/>
        <v>0</v>
      </c>
      <c r="J210" s="145">
        <f t="shared" si="78"/>
        <v>0</v>
      </c>
      <c r="K210" s="142" t="str">
        <f t="shared" si="87"/>
        <v>undefined</v>
      </c>
      <c r="L210" s="146">
        <f>IFERROR(INDEX(Työkonekanta!$I$3:$I$27,MATCH('S3 Tiekartta'!$A210,Työkonekanta!$A$3:$A$24,0),1)*(I210+J210)*f_adblue,0)</f>
        <v>0</v>
      </c>
      <c r="M210" s="146">
        <f t="shared" si="71"/>
        <v>0</v>
      </c>
      <c r="N210" s="143" t="str">
        <f>IF(tuulisähkö_vuosi&lt;='S3 Tiekartta'!C210,"tuulisähkö",ostosähkö_nyt)</f>
        <v>jäännössähkö</v>
      </c>
      <c r="O210" s="147">
        <f>INDEX(Muuttujat!$J$5:$J$21,MATCH($C210,Muuttujat!$H$5:$H$21,0),1)</f>
        <v>65.194885123382022</v>
      </c>
      <c r="P210" s="148">
        <f t="shared" si="88"/>
        <v>0.92999999999999994</v>
      </c>
      <c r="Q210" s="148">
        <f t="shared" si="89"/>
        <v>7.0000000000000007E-2</v>
      </c>
      <c r="R210" s="148">
        <f t="shared" si="90"/>
        <v>7.0000000000000007E-2</v>
      </c>
      <c r="S210" s="149">
        <f t="shared" si="79"/>
        <v>0</v>
      </c>
      <c r="T210" s="150">
        <f t="shared" si="80"/>
        <v>0</v>
      </c>
      <c r="U210" s="150">
        <f t="shared" si="81"/>
        <v>0</v>
      </c>
      <c r="V210" s="150">
        <f>IFERROR(INDEX(Työkonekanta!$J$3:$J$27,MATCH($A210,Työkonekanta!$A$3:$A$24,0),1)*$B210*ef_li_ion_akku/1000/1000/INDEX(Työkonekanta!$K$3:$K$27,MATCH($A210,Työkonekanta!$A$3:$A$24,0)),0)</f>
        <v>0</v>
      </c>
      <c r="W210" s="149">
        <f t="shared" si="72"/>
        <v>0</v>
      </c>
      <c r="X210" s="150">
        <f t="shared" si="73"/>
        <v>0</v>
      </c>
      <c r="Y210" s="151">
        <f t="shared" si="74"/>
        <v>0</v>
      </c>
      <c r="Z210" s="152">
        <f t="shared" si="91"/>
        <v>0</v>
      </c>
      <c r="AA210" s="179">
        <f t="shared" si="92"/>
        <v>0</v>
      </c>
      <c r="AB210" s="179">
        <f t="shared" si="93"/>
        <v>0</v>
      </c>
      <c r="AC210" s="180">
        <f t="shared" si="75"/>
        <v>0</v>
      </c>
      <c r="AD210" s="156">
        <f t="shared" si="94"/>
        <v>0</v>
      </c>
      <c r="AE210" s="146">
        <f>IFERROR(INDEX(Työkonekanta!$L$3:$L$30,MATCH($A210,Työkonekanta!$A$3:$A$30,0),1),0)*AF210</f>
        <v>0</v>
      </c>
      <c r="AF210" s="146">
        <f>IFERROR(INDEX(Työkonekanta!$N$3:$N$32,MATCH($A210,Työkonekanta!$A$3:$A$32,0),1),0)</f>
        <v>0</v>
      </c>
      <c r="AG210" s="332">
        <f>I210*INDEX(Muuttujat!$U$5:$U$21,MATCH($C210,Muuttujat!$N$5:$N$21,0),1)</f>
        <v>0</v>
      </c>
      <c r="AH210" s="332">
        <f>J210*INDEX(Muuttujat!$T$5:$T$21,MATCH($C210,Muuttujat!$N$5:$N$21,0),1)</f>
        <v>0</v>
      </c>
      <c r="AI210" s="332">
        <f t="shared" si="82"/>
        <v>0</v>
      </c>
      <c r="AJ210" s="332">
        <f t="shared" si="83"/>
        <v>0</v>
      </c>
      <c r="AK210" s="333">
        <f t="shared" si="95"/>
        <v>0</v>
      </c>
      <c r="AL210" s="332">
        <f t="shared" si="84"/>
        <v>0</v>
      </c>
      <c r="AM210" s="351"/>
      <c r="AN210" s="351"/>
    </row>
    <row r="211" spans="1:40">
      <c r="A211" s="139">
        <v>29</v>
      </c>
      <c r="B211" s="139">
        <f>IFERROR(IF((INDEX(Työkonekanta!$F$3:$F$27,MATCH('S3 Tiekartta'!$A211,Työkonekanta!$A$3:$A$24,0),1))&lt;0,0,(INDEX(Työkonekanta!$F$3:$F$27,MATCH('S3 Tiekartta'!$A211,Työkonekanta!$A$3:$A$24,0),1))),0)</f>
        <v>0</v>
      </c>
      <c r="C211" s="140">
        <v>2025</v>
      </c>
      <c r="D211" s="141" t="str">
        <f>IFERROR(INDEX(Työkonekanta!$D$3:$D$27,MATCH('S3 Tiekartta'!$A211,Työkonekanta!$A$3:$A$24,0),1),"undefined")</f>
        <v>undefined</v>
      </c>
      <c r="E211" s="145">
        <f>IFERROR(INDEX(Työkonekanta!$G$3:$G$27,MATCH($A211,Työkonekanta!$A$3:$A$24,0),1)*INDEX(Työkonekanta!$H$3:$H$27,MATCH($A211,Työkonekanta!$A$3:$A$24,0),1)*(1+s0b_kasvu*($C211-2019))*$B211,0)</f>
        <v>0</v>
      </c>
      <c r="F211" s="145">
        <f t="shared" si="76"/>
        <v>0</v>
      </c>
      <c r="G211" s="151">
        <f t="shared" si="85"/>
        <v>0</v>
      </c>
      <c r="H211" s="145">
        <f t="shared" si="86"/>
        <v>0</v>
      </c>
      <c r="I211" s="145">
        <f t="shared" si="77"/>
        <v>0</v>
      </c>
      <c r="J211" s="145">
        <f t="shared" si="78"/>
        <v>0</v>
      </c>
      <c r="K211" s="142" t="str">
        <f t="shared" si="87"/>
        <v>undefined</v>
      </c>
      <c r="L211" s="146">
        <f>IFERROR(INDEX(Työkonekanta!$I$3:$I$27,MATCH('S3 Tiekartta'!$A211,Työkonekanta!$A$3:$A$24,0),1)*(I211+J211)*f_adblue,0)</f>
        <v>0</v>
      </c>
      <c r="M211" s="146">
        <f t="shared" ref="M211:M274" si="96">IF($D211="sähkö",conv_kwh_mj*$E211,0)</f>
        <v>0</v>
      </c>
      <c r="N211" s="143" t="str">
        <f>IF(tuulisähkö_vuosi&lt;='S3 Tiekartta'!C211,"tuulisähkö",ostosähkö_nyt)</f>
        <v>jäännössähkö</v>
      </c>
      <c r="O211" s="147">
        <f>INDEX(Muuttujat!$J$5:$J$21,MATCH($C211,Muuttujat!$H$5:$H$21,0),1)</f>
        <v>65.194885123382022</v>
      </c>
      <c r="P211" s="148">
        <f t="shared" si="88"/>
        <v>0.92999999999999994</v>
      </c>
      <c r="Q211" s="148">
        <f t="shared" si="89"/>
        <v>7.0000000000000007E-2</v>
      </c>
      <c r="R211" s="148">
        <f t="shared" si="90"/>
        <v>7.0000000000000007E-2</v>
      </c>
      <c r="S211" s="149">
        <f t="shared" si="79"/>
        <v>0</v>
      </c>
      <c r="T211" s="150">
        <f t="shared" si="80"/>
        <v>0</v>
      </c>
      <c r="U211" s="150">
        <f t="shared" si="81"/>
        <v>0</v>
      </c>
      <c r="V211" s="150">
        <f>IFERROR(INDEX(Työkonekanta!$J$3:$J$27,MATCH($A211,Työkonekanta!$A$3:$A$24,0),1)*$B211*ef_li_ion_akku/1000/1000/INDEX(Työkonekanta!$K$3:$K$27,MATCH($A211,Työkonekanta!$A$3:$A$24,0)),0)</f>
        <v>0</v>
      </c>
      <c r="W211" s="149">
        <f t="shared" ref="W211:W274" si="97">($I211*IF($D211="pom",ef_v_co2_pom,0))/1000/1000</f>
        <v>0</v>
      </c>
      <c r="X211" s="150">
        <f t="shared" ref="X211:X274" si="98">($E211*(IF($D211="pom",ef_v_ch4_pom,0)*gwp100_ch4+IF($D211="pom",ef_v_n2o_pom,0)*gwp100_n2o))/1000/1000</f>
        <v>0</v>
      </c>
      <c r="Y211" s="151">
        <f t="shared" ref="Y211:Y274" si="99">$L211*ef_v_co2_adblue/1000/1000</f>
        <v>0</v>
      </c>
      <c r="Z211" s="152">
        <f t="shared" si="91"/>
        <v>0</v>
      </c>
      <c r="AA211" s="179">
        <f t="shared" si="92"/>
        <v>0</v>
      </c>
      <c r="AB211" s="179">
        <f t="shared" si="93"/>
        <v>0</v>
      </c>
      <c r="AC211" s="180">
        <f t="shared" ref="AC211:AC274" si="100">$Z211+$AA211</f>
        <v>0</v>
      </c>
      <c r="AD211" s="156">
        <f t="shared" si="94"/>
        <v>0</v>
      </c>
      <c r="AE211" s="146">
        <f>IFERROR(INDEX(Työkonekanta!$L$3:$L$30,MATCH($A211,Työkonekanta!$A$3:$A$30,0),1),0)*AF211</f>
        <v>0</v>
      </c>
      <c r="AF211" s="146">
        <f>IFERROR(INDEX(Työkonekanta!$N$3:$N$32,MATCH($A211,Työkonekanta!$A$3:$A$32,0),1),0)</f>
        <v>0</v>
      </c>
      <c r="AG211" s="332">
        <f>I211*INDEX(Muuttujat!$U$5:$U$21,MATCH($C211,Muuttujat!$N$5:$N$21,0),1)</f>
        <v>0</v>
      </c>
      <c r="AH211" s="332">
        <f>J211*INDEX(Muuttujat!$T$5:$T$21,MATCH($C211,Muuttujat!$N$5:$N$21,0),1)</f>
        <v>0</v>
      </c>
      <c r="AI211" s="332">
        <f t="shared" si="82"/>
        <v>0</v>
      </c>
      <c r="AJ211" s="332">
        <f t="shared" si="83"/>
        <v>0</v>
      </c>
      <c r="AK211" s="333">
        <f t="shared" si="95"/>
        <v>0</v>
      </c>
      <c r="AL211" s="332">
        <f t="shared" si="84"/>
        <v>0</v>
      </c>
      <c r="AM211" s="351"/>
      <c r="AN211" s="351"/>
    </row>
    <row r="212" spans="1:40">
      <c r="A212" s="139">
        <v>30</v>
      </c>
      <c r="B212" s="139">
        <f>IFERROR(IF((INDEX(Työkonekanta!$F$3:$F$27,MATCH('S3 Tiekartta'!$A212,Työkonekanta!$A$3:$A$24,0),1))&lt;0,0,(INDEX(Työkonekanta!$F$3:$F$27,MATCH('S3 Tiekartta'!$A212,Työkonekanta!$A$3:$A$24,0),1))),0)</f>
        <v>0</v>
      </c>
      <c r="C212" s="140">
        <v>2025</v>
      </c>
      <c r="D212" s="141" t="str">
        <f>IFERROR(INDEX(Työkonekanta!$D$3:$D$27,MATCH('S3 Tiekartta'!$A212,Työkonekanta!$A$3:$A$24,0),1),"undefined")</f>
        <v>undefined</v>
      </c>
      <c r="E212" s="145">
        <f>IFERROR(INDEX(Työkonekanta!$G$3:$G$27,MATCH($A212,Työkonekanta!$A$3:$A$24,0),1)*INDEX(Työkonekanta!$H$3:$H$27,MATCH($A212,Työkonekanta!$A$3:$A$24,0),1)*(1+s0b_kasvu*($C212-2019))*$B212,0)</f>
        <v>0</v>
      </c>
      <c r="F212" s="145">
        <f t="shared" si="76"/>
        <v>0</v>
      </c>
      <c r="G212" s="151">
        <f t="shared" si="85"/>
        <v>0</v>
      </c>
      <c r="H212" s="145">
        <f t="shared" si="86"/>
        <v>0</v>
      </c>
      <c r="I212" s="145">
        <f t="shared" si="77"/>
        <v>0</v>
      </c>
      <c r="J212" s="145">
        <f t="shared" si="78"/>
        <v>0</v>
      </c>
      <c r="K212" s="142" t="str">
        <f t="shared" si="87"/>
        <v>undefined</v>
      </c>
      <c r="L212" s="146">
        <f>IFERROR(INDEX(Työkonekanta!$I$3:$I$27,MATCH('S3 Tiekartta'!$A212,Työkonekanta!$A$3:$A$24,0),1)*(I212+J212)*f_adblue,0)</f>
        <v>0</v>
      </c>
      <c r="M212" s="146">
        <f t="shared" si="96"/>
        <v>0</v>
      </c>
      <c r="N212" s="143" t="str">
        <f>IF(tuulisähkö_vuosi&lt;='S3 Tiekartta'!C212,"tuulisähkö",ostosähkö_nyt)</f>
        <v>jäännössähkö</v>
      </c>
      <c r="O212" s="147">
        <f>INDEX(Muuttujat!$J$5:$J$21,MATCH($C212,Muuttujat!$H$5:$H$21,0),1)</f>
        <v>65.194885123382022</v>
      </c>
      <c r="P212" s="148">
        <f t="shared" si="88"/>
        <v>0.92999999999999994</v>
      </c>
      <c r="Q212" s="148">
        <f t="shared" si="89"/>
        <v>7.0000000000000007E-2</v>
      </c>
      <c r="R212" s="148">
        <f t="shared" si="90"/>
        <v>7.0000000000000007E-2</v>
      </c>
      <c r="S212" s="149">
        <f t="shared" si="79"/>
        <v>0</v>
      </c>
      <c r="T212" s="150">
        <f t="shared" si="80"/>
        <v>0</v>
      </c>
      <c r="U212" s="150">
        <f t="shared" si="81"/>
        <v>0</v>
      </c>
      <c r="V212" s="150">
        <f>IFERROR(INDEX(Työkonekanta!$J$3:$J$27,MATCH($A212,Työkonekanta!$A$3:$A$24,0),1)*$B212*ef_li_ion_akku/1000/1000/INDEX(Työkonekanta!$K$3:$K$27,MATCH($A212,Työkonekanta!$A$3:$A$24,0)),0)</f>
        <v>0</v>
      </c>
      <c r="W212" s="149">
        <f t="shared" si="97"/>
        <v>0</v>
      </c>
      <c r="X212" s="150">
        <f t="shared" si="98"/>
        <v>0</v>
      </c>
      <c r="Y212" s="151">
        <f t="shared" si="99"/>
        <v>0</v>
      </c>
      <c r="Z212" s="152">
        <f t="shared" si="91"/>
        <v>0</v>
      </c>
      <c r="AA212" s="179">
        <f t="shared" si="92"/>
        <v>0</v>
      </c>
      <c r="AB212" s="179">
        <f t="shared" si="93"/>
        <v>0</v>
      </c>
      <c r="AC212" s="180">
        <f t="shared" si="100"/>
        <v>0</v>
      </c>
      <c r="AD212" s="156">
        <f t="shared" si="94"/>
        <v>0</v>
      </c>
      <c r="AE212" s="146">
        <f>IFERROR(INDEX(Työkonekanta!$L$3:$L$30,MATCH($A212,Työkonekanta!$A$3:$A$30,0),1),0)*AF212</f>
        <v>0</v>
      </c>
      <c r="AF212" s="146">
        <f>IFERROR(INDEX(Työkonekanta!$N$3:$N$32,MATCH($A212,Työkonekanta!$A$3:$A$32,0),1),0)</f>
        <v>0</v>
      </c>
      <c r="AG212" s="332">
        <f>I212*INDEX(Muuttujat!$U$5:$U$21,MATCH($C212,Muuttujat!$N$5:$N$21,0),1)</f>
        <v>0</v>
      </c>
      <c r="AH212" s="332">
        <f>J212*INDEX(Muuttujat!$T$5:$T$21,MATCH($C212,Muuttujat!$N$5:$N$21,0),1)</f>
        <v>0</v>
      </c>
      <c r="AI212" s="332">
        <f t="shared" si="82"/>
        <v>0</v>
      </c>
      <c r="AJ212" s="332">
        <f t="shared" si="83"/>
        <v>0</v>
      </c>
      <c r="AK212" s="333">
        <f t="shared" si="95"/>
        <v>0</v>
      </c>
      <c r="AL212" s="332">
        <f t="shared" si="84"/>
        <v>0</v>
      </c>
      <c r="AM212" s="351"/>
      <c r="AN212" s="351"/>
    </row>
    <row r="213" spans="1:40">
      <c r="A213" s="139">
        <v>1</v>
      </c>
      <c r="B213" s="139">
        <f>IFERROR(IF((INDEX(Työkonekanta!$F$3:$F$27,MATCH('S3 Tiekartta'!$A213,Työkonekanta!$A$3:$A$24,0),1))&lt;0,0,(INDEX(Työkonekanta!$F$3:$F$27,MATCH('S3 Tiekartta'!$A213,Työkonekanta!$A$3:$A$24,0),1))),0)</f>
        <v>1</v>
      </c>
      <c r="C213" s="140">
        <v>2026</v>
      </c>
      <c r="D213" s="141" t="str">
        <f>IFERROR(INDEX(Työkonekanta!$D$3:$D$27,MATCH('S3 Tiekartta'!$A213,Työkonekanta!$A$3:$A$24,0),1),"undefined")</f>
        <v>pom</v>
      </c>
      <c r="E213" s="145">
        <f>IFERROR(INDEX(Työkonekanta!$G$3:$G$27,MATCH($A213,Työkonekanta!$A$3:$A$24,0),1)*INDEX(Työkonekanta!$H$3:$H$27,MATCH($A213,Työkonekanta!$A$3:$A$24,0),1)*(1+s0b_kasvu*($C213-2019))*$B213,0)</f>
        <v>10700</v>
      </c>
      <c r="F213" s="145">
        <f t="shared" si="76"/>
        <v>384130</v>
      </c>
      <c r="G213" s="151">
        <f t="shared" si="85"/>
        <v>353399.60000000003</v>
      </c>
      <c r="H213" s="145">
        <f t="shared" si="86"/>
        <v>30730.400000000001</v>
      </c>
      <c r="I213" s="145">
        <f t="shared" si="77"/>
        <v>9844.0000000000018</v>
      </c>
      <c r="J213" s="145">
        <f t="shared" si="78"/>
        <v>895.93002915451905</v>
      </c>
      <c r="K213" s="142" t="str">
        <f t="shared" si="87"/>
        <v>l</v>
      </c>
      <c r="L213" s="146">
        <f>IFERROR(INDEX(Työkonekanta!$I$3:$I$27,MATCH('S3 Tiekartta'!$A213,Työkonekanta!$A$3:$A$24,0),1)*(I213+J213)*f_adblue,0)</f>
        <v>536.99650145772603</v>
      </c>
      <c r="M213" s="146">
        <f t="shared" si="96"/>
        <v>0</v>
      </c>
      <c r="N213" s="143" t="str">
        <f>IF(tuulisähkö_vuosi&lt;='S3 Tiekartta'!C213,"tuulisähkö",ostosähkö_nyt)</f>
        <v>jäännössähkö</v>
      </c>
      <c r="O213" s="147">
        <f>INDEX(Muuttujat!$J$5:$J$21,MATCH($C213,Muuttujat!$H$5:$H$21,0),1)</f>
        <v>64.542936272148211</v>
      </c>
      <c r="P213" s="148">
        <f t="shared" si="88"/>
        <v>0.92</v>
      </c>
      <c r="Q213" s="148">
        <f t="shared" si="89"/>
        <v>0.08</v>
      </c>
      <c r="R213" s="148">
        <f t="shared" si="90"/>
        <v>0.08</v>
      </c>
      <c r="S213" s="149">
        <f t="shared" si="79"/>
        <v>6.67925244</v>
      </c>
      <c r="T213" s="150">
        <f t="shared" si="80"/>
        <v>1.9175769599999999</v>
      </c>
      <c r="U213" s="150">
        <f t="shared" si="81"/>
        <v>0</v>
      </c>
      <c r="V213" s="150">
        <f>IFERROR(INDEX(Työkonekanta!$J$3:$J$27,MATCH($A213,Työkonekanta!$A$3:$A$24,0),1)*$B213*ef_li_ion_akku/1000/1000/INDEX(Työkonekanta!$K$3:$K$27,MATCH($A213,Työkonekanta!$A$3:$A$24,0)),0)</f>
        <v>0</v>
      </c>
      <c r="W213" s="149">
        <f t="shared" si="97"/>
        <v>26.083807538738405</v>
      </c>
      <c r="X213" s="150">
        <f t="shared" si="98"/>
        <v>0.33998785619999994</v>
      </c>
      <c r="Y213" s="151">
        <f t="shared" si="99"/>
        <v>0.13961909037900874</v>
      </c>
      <c r="Z213" s="152">
        <f t="shared" si="91"/>
        <v>8.5968294000000007</v>
      </c>
      <c r="AA213" s="179">
        <f t="shared" si="92"/>
        <v>26.223426629117412</v>
      </c>
      <c r="AB213" s="179">
        <f t="shared" si="93"/>
        <v>26.563414485317413</v>
      </c>
      <c r="AC213" s="180">
        <f t="shared" si="100"/>
        <v>34.820256029117417</v>
      </c>
      <c r="AD213" s="156">
        <f t="shared" si="94"/>
        <v>35.160243885317414</v>
      </c>
      <c r="AE213" s="146">
        <f>IFERROR(INDEX(Työkonekanta!$L$3:$L$30,MATCH($A213,Työkonekanta!$A$3:$A$30,0),1),0)*AF213</f>
        <v>500000</v>
      </c>
      <c r="AF213" s="146">
        <f>IFERROR(INDEX(Työkonekanta!$N$3:$N$32,MATCH($A213,Työkonekanta!$A$3:$A$32,0),1),0)</f>
        <v>1</v>
      </c>
      <c r="AG213" s="332">
        <f>I213*INDEX(Muuttujat!$U$5:$U$21,MATCH($C213,Muuttujat!$N$5:$N$21,0),1)</f>
        <v>10139.320000000002</v>
      </c>
      <c r="AH213" s="332">
        <f>J213*INDEX(Muuttujat!$T$5:$T$21,MATCH($C213,Muuttujat!$N$5:$N$21,0),1)</f>
        <v>1281.1799416909623</v>
      </c>
      <c r="AI213" s="332">
        <f t="shared" si="82"/>
        <v>268.49825072886301</v>
      </c>
      <c r="AJ213" s="332">
        <f t="shared" si="83"/>
        <v>0</v>
      </c>
      <c r="AK213" s="333">
        <f t="shared" si="95"/>
        <v>11688.998192419826</v>
      </c>
      <c r="AL213" s="332">
        <f t="shared" si="84"/>
        <v>11688.998192419826</v>
      </c>
      <c r="AM213" s="351"/>
      <c r="AN213" s="351"/>
    </row>
    <row r="214" spans="1:40">
      <c r="A214" s="139">
        <v>2</v>
      </c>
      <c r="B214" s="139">
        <f>IFERROR(IF((INDEX(Työkonekanta!$F$3:$F$27,MATCH('S3 Tiekartta'!$A214,Työkonekanta!$A$3:$A$24,0),1))&lt;0,0,(INDEX(Työkonekanta!$F$3:$F$27,MATCH('S3 Tiekartta'!$A214,Työkonekanta!$A$3:$A$24,0),1))),0)</f>
        <v>1</v>
      </c>
      <c r="C214" s="140">
        <v>2026</v>
      </c>
      <c r="D214" s="141" t="str">
        <f>IFERROR(INDEX(Työkonekanta!$D$3:$D$27,MATCH('S3 Tiekartta'!$A214,Työkonekanta!$A$3:$A$24,0),1),"undefined")</f>
        <v>pom</v>
      </c>
      <c r="E214" s="145">
        <f>IFERROR(INDEX(Työkonekanta!$G$3:$G$27,MATCH($A214,Työkonekanta!$A$3:$A$24,0),1)*INDEX(Työkonekanta!$H$3:$H$27,MATCH($A214,Työkonekanta!$A$3:$A$24,0),1)*(1+s0b_kasvu*($C214-2019))*$B214,0)</f>
        <v>10700</v>
      </c>
      <c r="F214" s="145">
        <f t="shared" si="76"/>
        <v>384130</v>
      </c>
      <c r="G214" s="151">
        <f t="shared" si="85"/>
        <v>353399.60000000003</v>
      </c>
      <c r="H214" s="145">
        <f t="shared" si="86"/>
        <v>30730.400000000001</v>
      </c>
      <c r="I214" s="145">
        <f t="shared" si="77"/>
        <v>9844.0000000000018</v>
      </c>
      <c r="J214" s="145">
        <f t="shared" si="78"/>
        <v>895.93002915451905</v>
      </c>
      <c r="K214" s="142" t="str">
        <f t="shared" si="87"/>
        <v>l</v>
      </c>
      <c r="L214" s="146">
        <f>IFERROR(INDEX(Työkonekanta!$I$3:$I$27,MATCH('S3 Tiekartta'!$A214,Työkonekanta!$A$3:$A$24,0),1)*(I214+J214)*f_adblue,0)</f>
        <v>536.99650145772603</v>
      </c>
      <c r="M214" s="146">
        <f t="shared" si="96"/>
        <v>0</v>
      </c>
      <c r="N214" s="143" t="str">
        <f>IF(tuulisähkö_vuosi&lt;='S3 Tiekartta'!C214,"tuulisähkö",ostosähkö_nyt)</f>
        <v>jäännössähkö</v>
      </c>
      <c r="O214" s="147">
        <f>INDEX(Muuttujat!$J$5:$J$21,MATCH($C214,Muuttujat!$H$5:$H$21,0),1)</f>
        <v>64.542936272148211</v>
      </c>
      <c r="P214" s="148">
        <f t="shared" si="88"/>
        <v>0.92</v>
      </c>
      <c r="Q214" s="148">
        <f t="shared" si="89"/>
        <v>0.08</v>
      </c>
      <c r="R214" s="148">
        <f t="shared" si="90"/>
        <v>0.08</v>
      </c>
      <c r="S214" s="149">
        <f t="shared" si="79"/>
        <v>6.67925244</v>
      </c>
      <c r="T214" s="150">
        <f t="shared" si="80"/>
        <v>1.9175769599999999</v>
      </c>
      <c r="U214" s="150">
        <f t="shared" si="81"/>
        <v>0</v>
      </c>
      <c r="V214" s="150">
        <f>IFERROR(INDEX(Työkonekanta!$J$3:$J$27,MATCH($A214,Työkonekanta!$A$3:$A$24,0),1)*$B214*ef_li_ion_akku/1000/1000/INDEX(Työkonekanta!$K$3:$K$27,MATCH($A214,Työkonekanta!$A$3:$A$24,0)),0)</f>
        <v>0</v>
      </c>
      <c r="W214" s="149">
        <f t="shared" si="97"/>
        <v>26.083807538738405</v>
      </c>
      <c r="X214" s="150">
        <f t="shared" si="98"/>
        <v>0.33998785619999994</v>
      </c>
      <c r="Y214" s="151">
        <f t="shared" si="99"/>
        <v>0.13961909037900874</v>
      </c>
      <c r="Z214" s="152">
        <f t="shared" si="91"/>
        <v>8.5968294000000007</v>
      </c>
      <c r="AA214" s="179">
        <f t="shared" si="92"/>
        <v>26.223426629117412</v>
      </c>
      <c r="AB214" s="179">
        <f t="shared" si="93"/>
        <v>26.563414485317413</v>
      </c>
      <c r="AC214" s="180">
        <f t="shared" si="100"/>
        <v>34.820256029117417</v>
      </c>
      <c r="AD214" s="156">
        <f t="shared" si="94"/>
        <v>35.160243885317414</v>
      </c>
      <c r="AE214" s="146">
        <f>IFERROR(INDEX(Työkonekanta!$L$3:$L$30,MATCH($A214,Työkonekanta!$A$3:$A$30,0),1),0)*AF214</f>
        <v>500000</v>
      </c>
      <c r="AF214" s="146">
        <f>IFERROR(INDEX(Työkonekanta!$N$3:$N$32,MATCH($A214,Työkonekanta!$A$3:$A$32,0),1),0)</f>
        <v>1</v>
      </c>
      <c r="AG214" s="332">
        <f>I214*INDEX(Muuttujat!$U$5:$U$21,MATCH($C214,Muuttujat!$N$5:$N$21,0),1)</f>
        <v>10139.320000000002</v>
      </c>
      <c r="AH214" s="332">
        <f>J214*INDEX(Muuttujat!$T$5:$T$21,MATCH($C214,Muuttujat!$N$5:$N$21,0),1)</f>
        <v>1281.1799416909623</v>
      </c>
      <c r="AI214" s="332">
        <f t="shared" si="82"/>
        <v>268.49825072886301</v>
      </c>
      <c r="AJ214" s="332">
        <f t="shared" si="83"/>
        <v>0</v>
      </c>
      <c r="AK214" s="333">
        <f t="shared" si="95"/>
        <v>11688.998192419826</v>
      </c>
      <c r="AL214" s="332">
        <f t="shared" si="84"/>
        <v>11688.998192419826</v>
      </c>
      <c r="AM214" s="351"/>
      <c r="AN214" s="351"/>
    </row>
    <row r="215" spans="1:40">
      <c r="A215" s="139">
        <v>3</v>
      </c>
      <c r="B215" s="139">
        <f>IFERROR(IF((INDEX(Työkonekanta!$F$3:$F$27,MATCH('S3 Tiekartta'!$A215,Työkonekanta!$A$3:$A$24,0),1))&lt;0,0,(INDEX(Työkonekanta!$F$3:$F$27,MATCH('S3 Tiekartta'!$A215,Työkonekanta!$A$3:$A$24,0),1))),0)</f>
        <v>1</v>
      </c>
      <c r="C215" s="140">
        <v>2026</v>
      </c>
      <c r="D215" s="141" t="str">
        <f>IFERROR(INDEX(Työkonekanta!$D$3:$D$27,MATCH('S3 Tiekartta'!$A215,Työkonekanta!$A$3:$A$24,0),1),"undefined")</f>
        <v>pom</v>
      </c>
      <c r="E215" s="145">
        <f>IFERROR(INDEX(Työkonekanta!$G$3:$G$27,MATCH($A215,Työkonekanta!$A$3:$A$24,0),1)*INDEX(Työkonekanta!$H$3:$H$27,MATCH($A215,Työkonekanta!$A$3:$A$24,0),1)*(1+s0b_kasvu*($C215-2019))*$B215,0)</f>
        <v>10700</v>
      </c>
      <c r="F215" s="145">
        <f t="shared" si="76"/>
        <v>384130</v>
      </c>
      <c r="G215" s="151">
        <f t="shared" si="85"/>
        <v>353399.60000000003</v>
      </c>
      <c r="H215" s="145">
        <f t="shared" si="86"/>
        <v>30730.400000000001</v>
      </c>
      <c r="I215" s="145">
        <f t="shared" si="77"/>
        <v>9844.0000000000018</v>
      </c>
      <c r="J215" s="145">
        <f t="shared" si="78"/>
        <v>895.93002915451905</v>
      </c>
      <c r="K215" s="142" t="str">
        <f t="shared" si="87"/>
        <v>l</v>
      </c>
      <c r="L215" s="146">
        <f>IFERROR(INDEX(Työkonekanta!$I$3:$I$27,MATCH('S3 Tiekartta'!$A215,Työkonekanta!$A$3:$A$24,0),1)*(I215+J215)*f_adblue,0)</f>
        <v>536.99650145772603</v>
      </c>
      <c r="M215" s="146">
        <f t="shared" si="96"/>
        <v>0</v>
      </c>
      <c r="N215" s="143" t="str">
        <f>IF(tuulisähkö_vuosi&lt;='S3 Tiekartta'!C215,"tuulisähkö",ostosähkö_nyt)</f>
        <v>jäännössähkö</v>
      </c>
      <c r="O215" s="147">
        <f>INDEX(Muuttujat!$J$5:$J$21,MATCH($C215,Muuttujat!$H$5:$H$21,0),1)</f>
        <v>64.542936272148211</v>
      </c>
      <c r="P215" s="148">
        <f t="shared" si="88"/>
        <v>0.92</v>
      </c>
      <c r="Q215" s="148">
        <f t="shared" si="89"/>
        <v>0.08</v>
      </c>
      <c r="R215" s="148">
        <f t="shared" si="90"/>
        <v>0.08</v>
      </c>
      <c r="S215" s="149">
        <f t="shared" si="79"/>
        <v>6.67925244</v>
      </c>
      <c r="T215" s="150">
        <f t="shared" si="80"/>
        <v>1.9175769599999999</v>
      </c>
      <c r="U215" s="150">
        <f t="shared" si="81"/>
        <v>0</v>
      </c>
      <c r="V215" s="150">
        <f>IFERROR(INDEX(Työkonekanta!$J$3:$J$27,MATCH($A215,Työkonekanta!$A$3:$A$24,0),1)*$B215*ef_li_ion_akku/1000/1000/INDEX(Työkonekanta!$K$3:$K$27,MATCH($A215,Työkonekanta!$A$3:$A$24,0)),0)</f>
        <v>0</v>
      </c>
      <c r="W215" s="149">
        <f t="shared" si="97"/>
        <v>26.083807538738405</v>
      </c>
      <c r="X215" s="150">
        <f t="shared" si="98"/>
        <v>0.33998785619999994</v>
      </c>
      <c r="Y215" s="151">
        <f t="shared" si="99"/>
        <v>0.13961909037900874</v>
      </c>
      <c r="Z215" s="152">
        <f t="shared" si="91"/>
        <v>8.5968294000000007</v>
      </c>
      <c r="AA215" s="179">
        <f t="shared" si="92"/>
        <v>26.223426629117412</v>
      </c>
      <c r="AB215" s="179">
        <f t="shared" si="93"/>
        <v>26.563414485317413</v>
      </c>
      <c r="AC215" s="180">
        <f t="shared" si="100"/>
        <v>34.820256029117417</v>
      </c>
      <c r="AD215" s="156">
        <f t="shared" si="94"/>
        <v>35.160243885317414</v>
      </c>
      <c r="AE215" s="146">
        <f>IFERROR(INDEX(Työkonekanta!$L$3:$L$30,MATCH($A215,Työkonekanta!$A$3:$A$30,0),1),0)*AF215</f>
        <v>0</v>
      </c>
      <c r="AF215" s="146">
        <f>IFERROR(INDEX(Työkonekanta!$N$3:$N$32,MATCH($A215,Työkonekanta!$A$3:$A$32,0),1),0)</f>
        <v>0</v>
      </c>
      <c r="AG215" s="332">
        <f>I215*INDEX(Muuttujat!$U$5:$U$21,MATCH($C215,Muuttujat!$N$5:$N$21,0),1)</f>
        <v>10139.320000000002</v>
      </c>
      <c r="AH215" s="332">
        <f>J215*INDEX(Muuttujat!$T$5:$T$21,MATCH($C215,Muuttujat!$N$5:$N$21,0),1)</f>
        <v>1281.1799416909623</v>
      </c>
      <c r="AI215" s="332">
        <f t="shared" si="82"/>
        <v>268.49825072886301</v>
      </c>
      <c r="AJ215" s="332">
        <f t="shared" si="83"/>
        <v>0</v>
      </c>
      <c r="AK215" s="333">
        <f t="shared" si="95"/>
        <v>11688.998192419826</v>
      </c>
      <c r="AL215" s="332">
        <f t="shared" si="84"/>
        <v>11688.998192419826</v>
      </c>
      <c r="AM215" s="351"/>
      <c r="AN215" s="351"/>
    </row>
    <row r="216" spans="1:40">
      <c r="A216" s="139">
        <v>4</v>
      </c>
      <c r="B216" s="139">
        <f>IFERROR(IF((INDEX(Työkonekanta!$F$3:$F$27,MATCH('S3 Tiekartta'!$A216,Työkonekanta!$A$3:$A$24,0),1))&lt;0,0,(INDEX(Työkonekanta!$F$3:$F$27,MATCH('S3 Tiekartta'!$A216,Työkonekanta!$A$3:$A$24,0),1))),0)</f>
        <v>1</v>
      </c>
      <c r="C216" s="140">
        <v>2026</v>
      </c>
      <c r="D216" s="141" t="str">
        <f>IFERROR(INDEX(Työkonekanta!$D$3:$D$27,MATCH('S3 Tiekartta'!$A216,Työkonekanta!$A$3:$A$24,0),1),"undefined")</f>
        <v>pom</v>
      </c>
      <c r="E216" s="145">
        <f>IFERROR(INDEX(Työkonekanta!$G$3:$G$27,MATCH($A216,Työkonekanta!$A$3:$A$24,0),1)*INDEX(Työkonekanta!$H$3:$H$27,MATCH($A216,Työkonekanta!$A$3:$A$24,0),1)*(1+s0b_kasvu*($C216-2019))*$B216,0)</f>
        <v>10700</v>
      </c>
      <c r="F216" s="145">
        <f t="shared" si="76"/>
        <v>384130</v>
      </c>
      <c r="G216" s="151">
        <f t="shared" si="85"/>
        <v>353399.60000000003</v>
      </c>
      <c r="H216" s="145">
        <f t="shared" si="86"/>
        <v>30730.400000000001</v>
      </c>
      <c r="I216" s="145">
        <f t="shared" si="77"/>
        <v>9844.0000000000018</v>
      </c>
      <c r="J216" s="145">
        <f t="shared" si="78"/>
        <v>895.93002915451905</v>
      </c>
      <c r="K216" s="142" t="str">
        <f t="shared" si="87"/>
        <v>l</v>
      </c>
      <c r="L216" s="146">
        <f>IFERROR(INDEX(Työkonekanta!$I$3:$I$27,MATCH('S3 Tiekartta'!$A216,Työkonekanta!$A$3:$A$24,0),1)*(I216+J216)*f_adblue,0)</f>
        <v>536.99650145772603</v>
      </c>
      <c r="M216" s="146">
        <f t="shared" si="96"/>
        <v>0</v>
      </c>
      <c r="N216" s="143" t="str">
        <f>IF(tuulisähkö_vuosi&lt;='S3 Tiekartta'!C216,"tuulisähkö",ostosähkö_nyt)</f>
        <v>jäännössähkö</v>
      </c>
      <c r="O216" s="147">
        <f>INDEX(Muuttujat!$J$5:$J$21,MATCH($C216,Muuttujat!$H$5:$H$21,0),1)</f>
        <v>64.542936272148211</v>
      </c>
      <c r="P216" s="148">
        <f t="shared" si="88"/>
        <v>0.92</v>
      </c>
      <c r="Q216" s="148">
        <f t="shared" si="89"/>
        <v>0.08</v>
      </c>
      <c r="R216" s="148">
        <f t="shared" si="90"/>
        <v>0.08</v>
      </c>
      <c r="S216" s="149">
        <f t="shared" si="79"/>
        <v>6.67925244</v>
      </c>
      <c r="T216" s="150">
        <f t="shared" si="80"/>
        <v>1.9175769599999999</v>
      </c>
      <c r="U216" s="150">
        <f t="shared" si="81"/>
        <v>0</v>
      </c>
      <c r="V216" s="150">
        <f>IFERROR(INDEX(Työkonekanta!$J$3:$J$27,MATCH($A216,Työkonekanta!$A$3:$A$24,0),1)*$B216*ef_li_ion_akku/1000/1000/INDEX(Työkonekanta!$K$3:$K$27,MATCH($A216,Työkonekanta!$A$3:$A$24,0)),0)</f>
        <v>0</v>
      </c>
      <c r="W216" s="149">
        <f t="shared" si="97"/>
        <v>26.083807538738405</v>
      </c>
      <c r="X216" s="150">
        <f t="shared" si="98"/>
        <v>0.33998785619999994</v>
      </c>
      <c r="Y216" s="151">
        <f t="shared" si="99"/>
        <v>0.13961909037900874</v>
      </c>
      <c r="Z216" s="152">
        <f t="shared" si="91"/>
        <v>8.5968294000000007</v>
      </c>
      <c r="AA216" s="179">
        <f t="shared" si="92"/>
        <v>26.223426629117412</v>
      </c>
      <c r="AB216" s="179">
        <f t="shared" si="93"/>
        <v>26.563414485317413</v>
      </c>
      <c r="AC216" s="180">
        <f t="shared" si="100"/>
        <v>34.820256029117417</v>
      </c>
      <c r="AD216" s="156">
        <f t="shared" si="94"/>
        <v>35.160243885317414</v>
      </c>
      <c r="AE216" s="146">
        <f>IFERROR(INDEX(Työkonekanta!$L$3:$L$30,MATCH($A216,Työkonekanta!$A$3:$A$30,0),1),0)*AF216</f>
        <v>0</v>
      </c>
      <c r="AF216" s="146">
        <f>IFERROR(INDEX(Työkonekanta!$N$3:$N$32,MATCH($A216,Työkonekanta!$A$3:$A$32,0),1),0)</f>
        <v>0</v>
      </c>
      <c r="AG216" s="332">
        <f>I216*INDEX(Muuttujat!$U$5:$U$21,MATCH($C216,Muuttujat!$N$5:$N$21,0),1)</f>
        <v>10139.320000000002</v>
      </c>
      <c r="AH216" s="332">
        <f>J216*INDEX(Muuttujat!$T$5:$T$21,MATCH($C216,Muuttujat!$N$5:$N$21,0),1)</f>
        <v>1281.1799416909623</v>
      </c>
      <c r="AI216" s="332">
        <f t="shared" si="82"/>
        <v>268.49825072886301</v>
      </c>
      <c r="AJ216" s="332">
        <f t="shared" si="83"/>
        <v>0</v>
      </c>
      <c r="AK216" s="333">
        <f t="shared" si="95"/>
        <v>11688.998192419826</v>
      </c>
      <c r="AL216" s="332">
        <f t="shared" si="84"/>
        <v>11688.998192419826</v>
      </c>
      <c r="AM216" s="351"/>
      <c r="AN216" s="351"/>
    </row>
    <row r="217" spans="1:40">
      <c r="A217" s="139">
        <v>5</v>
      </c>
      <c r="B217" s="139">
        <f>IFERROR(IF((INDEX(Työkonekanta!$F$3:$F$27,MATCH('S3 Tiekartta'!$A217,Työkonekanta!$A$3:$A$24,0),1))&lt;0,0,(INDEX(Työkonekanta!$F$3:$F$27,MATCH('S3 Tiekartta'!$A217,Työkonekanta!$A$3:$A$24,0),1))),0)</f>
        <v>0</v>
      </c>
      <c r="C217" s="140">
        <v>2026</v>
      </c>
      <c r="D217" s="141" t="str">
        <f>IFERROR(INDEX(Työkonekanta!$D$3:$D$27,MATCH('S3 Tiekartta'!$A217,Työkonekanta!$A$3:$A$24,0),1),"undefined")</f>
        <v>sähkö</v>
      </c>
      <c r="E217" s="145">
        <f>IFERROR(INDEX(Työkonekanta!$G$3:$G$27,MATCH($A217,Työkonekanta!$A$3:$A$24,0),1)*INDEX(Työkonekanta!$H$3:$H$27,MATCH($A217,Työkonekanta!$A$3:$A$24,0),1)*(1+s0b_kasvu*($C217-2019))*$B217,0)</f>
        <v>0</v>
      </c>
      <c r="F217" s="145">
        <f t="shared" si="76"/>
        <v>0</v>
      </c>
      <c r="G217" s="151">
        <f t="shared" si="85"/>
        <v>0</v>
      </c>
      <c r="H217" s="145">
        <f t="shared" si="86"/>
        <v>0</v>
      </c>
      <c r="I217" s="145">
        <f t="shared" si="77"/>
        <v>0</v>
      </c>
      <c r="J217" s="145">
        <f t="shared" si="78"/>
        <v>0</v>
      </c>
      <c r="K217" s="142" t="str">
        <f t="shared" si="87"/>
        <v>kWh</v>
      </c>
      <c r="L217" s="146">
        <f>IFERROR(INDEX(Työkonekanta!$I$3:$I$27,MATCH('S3 Tiekartta'!$A217,Työkonekanta!$A$3:$A$24,0),1)*(I217+J217)*f_adblue,0)</f>
        <v>0</v>
      </c>
      <c r="M217" s="146">
        <f t="shared" si="96"/>
        <v>0</v>
      </c>
      <c r="N217" s="143" t="str">
        <f>IF(tuulisähkö_vuosi&lt;='S3 Tiekartta'!C217,"tuulisähkö",ostosähkö_nyt)</f>
        <v>jäännössähkö</v>
      </c>
      <c r="O217" s="147">
        <f>INDEX(Muuttujat!$J$5:$J$21,MATCH($C217,Muuttujat!$H$5:$H$21,0),1)</f>
        <v>64.542936272148211</v>
      </c>
      <c r="P217" s="148">
        <f t="shared" si="88"/>
        <v>0.92</v>
      </c>
      <c r="Q217" s="148">
        <f t="shared" si="89"/>
        <v>0.08</v>
      </c>
      <c r="R217" s="148">
        <f t="shared" si="90"/>
        <v>0.08</v>
      </c>
      <c r="S217" s="149">
        <f t="shared" si="79"/>
        <v>0</v>
      </c>
      <c r="T217" s="150">
        <f t="shared" si="80"/>
        <v>0</v>
      </c>
      <c r="U217" s="150">
        <f t="shared" si="81"/>
        <v>0</v>
      </c>
      <c r="V217" s="150">
        <f>IFERROR(INDEX(Työkonekanta!$J$3:$J$27,MATCH($A217,Työkonekanta!$A$3:$A$24,0),1)*$B217*ef_li_ion_akku/1000/1000/INDEX(Työkonekanta!$K$3:$K$27,MATCH($A217,Työkonekanta!$A$3:$A$24,0)),0)</f>
        <v>0</v>
      </c>
      <c r="W217" s="149">
        <f t="shared" si="97"/>
        <v>0</v>
      </c>
      <c r="X217" s="150">
        <f t="shared" si="98"/>
        <v>0</v>
      </c>
      <c r="Y217" s="151">
        <f t="shared" si="99"/>
        <v>0</v>
      </c>
      <c r="Z217" s="152">
        <f t="shared" si="91"/>
        <v>0</v>
      </c>
      <c r="AA217" s="179">
        <f t="shared" si="92"/>
        <v>0</v>
      </c>
      <c r="AB217" s="179">
        <f t="shared" si="93"/>
        <v>0</v>
      </c>
      <c r="AC217" s="180">
        <f t="shared" si="100"/>
        <v>0</v>
      </c>
      <c r="AD217" s="156">
        <f t="shared" si="94"/>
        <v>0</v>
      </c>
      <c r="AE217" s="146">
        <f>IFERROR(INDEX(Työkonekanta!$L$3:$L$30,MATCH($A217,Työkonekanta!$A$3:$A$30,0),1),0)*AF217</f>
        <v>0</v>
      </c>
      <c r="AF217" s="146">
        <f>IFERROR(INDEX(Työkonekanta!$N$3:$N$32,MATCH($A217,Työkonekanta!$A$3:$A$32,0),1),0)</f>
        <v>0</v>
      </c>
      <c r="AG217" s="332">
        <f>I217*INDEX(Muuttujat!$U$5:$U$21,MATCH($C217,Muuttujat!$N$5:$N$21,0),1)</f>
        <v>0</v>
      </c>
      <c r="AH217" s="332">
        <f>J217*INDEX(Muuttujat!$T$5:$T$21,MATCH($C217,Muuttujat!$N$5:$N$21,0),1)</f>
        <v>0</v>
      </c>
      <c r="AI217" s="332">
        <f t="shared" si="82"/>
        <v>0</v>
      </c>
      <c r="AJ217" s="332">
        <f t="shared" si="83"/>
        <v>0</v>
      </c>
      <c r="AK217" s="333">
        <f t="shared" si="95"/>
        <v>0</v>
      </c>
      <c r="AL217" s="332">
        <f t="shared" si="84"/>
        <v>0</v>
      </c>
      <c r="AM217" s="351"/>
      <c r="AN217" s="351"/>
    </row>
    <row r="218" spans="1:40">
      <c r="A218" s="139">
        <v>6</v>
      </c>
      <c r="B218" s="139">
        <f>IFERROR(IF((INDEX(Työkonekanta!$F$3:$F$27,MATCH('S3 Tiekartta'!$A218,Työkonekanta!$A$3:$A$24,0),1))&lt;0,0,(INDEX(Työkonekanta!$F$3:$F$27,MATCH('S3 Tiekartta'!$A218,Työkonekanta!$A$3:$A$24,0),1))),0)</f>
        <v>0</v>
      </c>
      <c r="C218" s="140">
        <v>2026</v>
      </c>
      <c r="D218" s="141" t="str">
        <f>IFERROR(INDEX(Työkonekanta!$D$3:$D$27,MATCH('S3 Tiekartta'!$A218,Työkonekanta!$A$3:$A$24,0),1),"undefined")</f>
        <v>sähkö</v>
      </c>
      <c r="E218" s="145">
        <f>IFERROR(INDEX(Työkonekanta!$G$3:$G$27,MATCH($A218,Työkonekanta!$A$3:$A$24,0),1)*INDEX(Työkonekanta!$H$3:$H$27,MATCH($A218,Työkonekanta!$A$3:$A$24,0),1)*(1+s0b_kasvu*($C218-2019))*$B218,0)</f>
        <v>0</v>
      </c>
      <c r="F218" s="145">
        <f t="shared" si="76"/>
        <v>0</v>
      </c>
      <c r="G218" s="151">
        <f t="shared" si="85"/>
        <v>0</v>
      </c>
      <c r="H218" s="145">
        <f t="shared" si="86"/>
        <v>0</v>
      </c>
      <c r="I218" s="145">
        <f t="shared" si="77"/>
        <v>0</v>
      </c>
      <c r="J218" s="145">
        <f t="shared" si="78"/>
        <v>0</v>
      </c>
      <c r="K218" s="142" t="str">
        <f t="shared" si="87"/>
        <v>kWh</v>
      </c>
      <c r="L218" s="146">
        <f>IFERROR(INDEX(Työkonekanta!$I$3:$I$27,MATCH('S3 Tiekartta'!$A218,Työkonekanta!$A$3:$A$24,0),1)*(I218+J218)*f_adblue,0)</f>
        <v>0</v>
      </c>
      <c r="M218" s="146">
        <f t="shared" si="96"/>
        <v>0</v>
      </c>
      <c r="N218" s="143" t="str">
        <f>IF(tuulisähkö_vuosi&lt;='S3 Tiekartta'!C218,"tuulisähkö",ostosähkö_nyt)</f>
        <v>jäännössähkö</v>
      </c>
      <c r="O218" s="147">
        <f>INDEX(Muuttujat!$J$5:$J$21,MATCH($C218,Muuttujat!$H$5:$H$21,0),1)</f>
        <v>64.542936272148211</v>
      </c>
      <c r="P218" s="148">
        <f t="shared" si="88"/>
        <v>0.92</v>
      </c>
      <c r="Q218" s="148">
        <f t="shared" si="89"/>
        <v>0.08</v>
      </c>
      <c r="R218" s="148">
        <f t="shared" si="90"/>
        <v>0.08</v>
      </c>
      <c r="S218" s="149">
        <f t="shared" si="79"/>
        <v>0</v>
      </c>
      <c r="T218" s="150">
        <f t="shared" si="80"/>
        <v>0</v>
      </c>
      <c r="U218" s="150">
        <f t="shared" si="81"/>
        <v>0</v>
      </c>
      <c r="V218" s="150">
        <f>IFERROR(INDEX(Työkonekanta!$J$3:$J$27,MATCH($A218,Työkonekanta!$A$3:$A$24,0),1)*$B218*ef_li_ion_akku/1000/1000/INDEX(Työkonekanta!$K$3:$K$27,MATCH($A218,Työkonekanta!$A$3:$A$24,0)),0)</f>
        <v>0</v>
      </c>
      <c r="W218" s="149">
        <f t="shared" si="97"/>
        <v>0</v>
      </c>
      <c r="X218" s="150">
        <f t="shared" si="98"/>
        <v>0</v>
      </c>
      <c r="Y218" s="151">
        <f t="shared" si="99"/>
        <v>0</v>
      </c>
      <c r="Z218" s="152">
        <f t="shared" si="91"/>
        <v>0</v>
      </c>
      <c r="AA218" s="179">
        <f t="shared" si="92"/>
        <v>0</v>
      </c>
      <c r="AB218" s="179">
        <f t="shared" si="93"/>
        <v>0</v>
      </c>
      <c r="AC218" s="180">
        <f t="shared" si="100"/>
        <v>0</v>
      </c>
      <c r="AD218" s="156">
        <f t="shared" si="94"/>
        <v>0</v>
      </c>
      <c r="AE218" s="146">
        <f>IFERROR(INDEX(Työkonekanta!$L$3:$L$30,MATCH($A218,Työkonekanta!$A$3:$A$30,0),1),0)*AF218</f>
        <v>0</v>
      </c>
      <c r="AF218" s="146">
        <f>IFERROR(INDEX(Työkonekanta!$N$3:$N$32,MATCH($A218,Työkonekanta!$A$3:$A$32,0),1),0)</f>
        <v>0</v>
      </c>
      <c r="AG218" s="332">
        <f>I218*INDEX(Muuttujat!$U$5:$U$21,MATCH($C218,Muuttujat!$N$5:$N$21,0),1)</f>
        <v>0</v>
      </c>
      <c r="AH218" s="332">
        <f>J218*INDEX(Muuttujat!$T$5:$T$21,MATCH($C218,Muuttujat!$N$5:$N$21,0),1)</f>
        <v>0</v>
      </c>
      <c r="AI218" s="332">
        <f t="shared" si="82"/>
        <v>0</v>
      </c>
      <c r="AJ218" s="332">
        <f t="shared" si="83"/>
        <v>0</v>
      </c>
      <c r="AK218" s="333">
        <f t="shared" si="95"/>
        <v>0</v>
      </c>
      <c r="AL218" s="332">
        <f t="shared" si="84"/>
        <v>0</v>
      </c>
      <c r="AM218" s="351"/>
      <c r="AN218" s="351"/>
    </row>
    <row r="219" spans="1:40">
      <c r="A219" s="139">
        <v>7</v>
      </c>
      <c r="B219" s="139">
        <f>IFERROR(IF((INDEX(Työkonekanta!$F$3:$F$27,MATCH('S3 Tiekartta'!$A219,Työkonekanta!$A$3:$A$24,0),1))&lt;0,0,(INDEX(Työkonekanta!$F$3:$F$27,MATCH('S3 Tiekartta'!$A219,Työkonekanta!$A$3:$A$24,0),1))),0)</f>
        <v>1</v>
      </c>
      <c r="C219" s="140">
        <v>2026</v>
      </c>
      <c r="D219" s="141" t="str">
        <f>IFERROR(INDEX(Työkonekanta!$D$3:$D$27,MATCH('S3 Tiekartta'!$A219,Työkonekanta!$A$3:$A$24,0),1),"undefined")</f>
        <v>pom</v>
      </c>
      <c r="E219" s="145">
        <f>IFERROR(INDEX(Työkonekanta!$G$3:$G$27,MATCH($A219,Työkonekanta!$A$3:$A$24,0),1)*INDEX(Työkonekanta!$H$3:$H$27,MATCH($A219,Työkonekanta!$A$3:$A$24,0),1)*(1+s0b_kasvu*($C219-2019))*$B219,0)</f>
        <v>10700</v>
      </c>
      <c r="F219" s="145">
        <f t="shared" si="76"/>
        <v>384130</v>
      </c>
      <c r="G219" s="151">
        <f t="shared" si="85"/>
        <v>353399.60000000003</v>
      </c>
      <c r="H219" s="145">
        <f t="shared" si="86"/>
        <v>30730.400000000001</v>
      </c>
      <c r="I219" s="145">
        <f t="shared" si="77"/>
        <v>9844.0000000000018</v>
      </c>
      <c r="J219" s="145">
        <f t="shared" si="78"/>
        <v>895.93002915451905</v>
      </c>
      <c r="K219" s="142" t="str">
        <f t="shared" si="87"/>
        <v>l</v>
      </c>
      <c r="L219" s="146">
        <f>IFERROR(INDEX(Työkonekanta!$I$3:$I$27,MATCH('S3 Tiekartta'!$A219,Työkonekanta!$A$3:$A$24,0),1)*(I219+J219)*f_adblue,0)</f>
        <v>0</v>
      </c>
      <c r="M219" s="146">
        <f t="shared" si="96"/>
        <v>0</v>
      </c>
      <c r="N219" s="143" t="str">
        <f>IF(tuulisähkö_vuosi&lt;='S3 Tiekartta'!C219,"tuulisähkö",ostosähkö_nyt)</f>
        <v>jäännössähkö</v>
      </c>
      <c r="O219" s="147">
        <f>INDEX(Muuttujat!$J$5:$J$21,MATCH($C219,Muuttujat!$H$5:$H$21,0),1)</f>
        <v>64.542936272148211</v>
      </c>
      <c r="P219" s="148">
        <f t="shared" si="88"/>
        <v>0.92</v>
      </c>
      <c r="Q219" s="148">
        <f t="shared" si="89"/>
        <v>0.08</v>
      </c>
      <c r="R219" s="148">
        <f t="shared" si="90"/>
        <v>0.08</v>
      </c>
      <c r="S219" s="149">
        <f t="shared" si="79"/>
        <v>6.67925244</v>
      </c>
      <c r="T219" s="150">
        <f t="shared" si="80"/>
        <v>1.9175769599999999</v>
      </c>
      <c r="U219" s="150">
        <f t="shared" si="81"/>
        <v>0</v>
      </c>
      <c r="V219" s="150">
        <f>IFERROR(INDEX(Työkonekanta!$J$3:$J$27,MATCH($A219,Työkonekanta!$A$3:$A$24,0),1)*$B219*ef_li_ion_akku/1000/1000/INDEX(Työkonekanta!$K$3:$K$27,MATCH($A219,Työkonekanta!$A$3:$A$24,0)),0)</f>
        <v>0</v>
      </c>
      <c r="W219" s="149">
        <f t="shared" si="97"/>
        <v>26.083807538738405</v>
      </c>
      <c r="X219" s="150">
        <f t="shared" si="98"/>
        <v>0.33998785619999994</v>
      </c>
      <c r="Y219" s="151">
        <f t="shared" si="99"/>
        <v>0</v>
      </c>
      <c r="Z219" s="152">
        <f t="shared" si="91"/>
        <v>8.5968294000000007</v>
      </c>
      <c r="AA219" s="179">
        <f t="shared" si="92"/>
        <v>26.083807538738405</v>
      </c>
      <c r="AB219" s="179">
        <f t="shared" si="93"/>
        <v>26.423795394938406</v>
      </c>
      <c r="AC219" s="180">
        <f t="shared" si="100"/>
        <v>34.680636938738402</v>
      </c>
      <c r="AD219" s="156">
        <f t="shared" si="94"/>
        <v>35.020624794938406</v>
      </c>
      <c r="AE219" s="146">
        <f>IFERROR(INDEX(Työkonekanta!$L$3:$L$30,MATCH($A219,Työkonekanta!$A$3:$A$30,0),1),0)*AF219</f>
        <v>500000</v>
      </c>
      <c r="AF219" s="146">
        <f>IFERROR(INDEX(Työkonekanta!$N$3:$N$32,MATCH($A219,Työkonekanta!$A$3:$A$32,0),1),0)</f>
        <v>1</v>
      </c>
      <c r="AG219" s="332">
        <f>I219*INDEX(Muuttujat!$U$5:$U$21,MATCH($C219,Muuttujat!$N$5:$N$21,0),1)</f>
        <v>10139.320000000002</v>
      </c>
      <c r="AH219" s="332">
        <f>J219*INDEX(Muuttujat!$T$5:$T$21,MATCH($C219,Muuttujat!$N$5:$N$21,0),1)</f>
        <v>1281.1799416909623</v>
      </c>
      <c r="AI219" s="332">
        <f t="shared" si="82"/>
        <v>0</v>
      </c>
      <c r="AJ219" s="332">
        <f t="shared" si="83"/>
        <v>0</v>
      </c>
      <c r="AK219" s="333">
        <f t="shared" si="95"/>
        <v>11420.499941690963</v>
      </c>
      <c r="AL219" s="332">
        <f t="shared" si="84"/>
        <v>11420.499941690963</v>
      </c>
      <c r="AM219" s="351"/>
      <c r="AN219" s="351"/>
    </row>
    <row r="220" spans="1:40">
      <c r="A220" s="139">
        <v>8</v>
      </c>
      <c r="B220" s="139">
        <f>IFERROR(IF((INDEX(Työkonekanta!$F$3:$F$27,MATCH('S3 Tiekartta'!$A220,Työkonekanta!$A$3:$A$24,0),1))&lt;0,0,(INDEX(Työkonekanta!$F$3:$F$27,MATCH('S3 Tiekartta'!$A220,Työkonekanta!$A$3:$A$24,0),1))),0)</f>
        <v>1</v>
      </c>
      <c r="C220" s="140">
        <v>2026</v>
      </c>
      <c r="D220" s="141" t="str">
        <f>IFERROR(INDEX(Työkonekanta!$D$3:$D$27,MATCH('S3 Tiekartta'!$A220,Työkonekanta!$A$3:$A$24,0),1),"undefined")</f>
        <v>pom</v>
      </c>
      <c r="E220" s="145">
        <f>IFERROR(INDEX(Työkonekanta!$G$3:$G$27,MATCH($A220,Työkonekanta!$A$3:$A$24,0),1)*INDEX(Työkonekanta!$H$3:$H$27,MATCH($A220,Työkonekanta!$A$3:$A$24,0),1)*(1+s0b_kasvu*($C220-2019))*$B220,0)</f>
        <v>10700</v>
      </c>
      <c r="F220" s="145">
        <f t="shared" si="76"/>
        <v>384130</v>
      </c>
      <c r="G220" s="151">
        <f t="shared" si="85"/>
        <v>353399.60000000003</v>
      </c>
      <c r="H220" s="145">
        <f t="shared" si="86"/>
        <v>30730.400000000001</v>
      </c>
      <c r="I220" s="145">
        <f t="shared" si="77"/>
        <v>9844.0000000000018</v>
      </c>
      <c r="J220" s="145">
        <f t="shared" si="78"/>
        <v>895.93002915451905</v>
      </c>
      <c r="K220" s="142" t="str">
        <f t="shared" si="87"/>
        <v>l</v>
      </c>
      <c r="L220" s="146">
        <f>IFERROR(INDEX(Työkonekanta!$I$3:$I$27,MATCH('S3 Tiekartta'!$A220,Työkonekanta!$A$3:$A$24,0),1)*(I220+J220)*f_adblue,0)</f>
        <v>536.99650145772603</v>
      </c>
      <c r="M220" s="146">
        <f t="shared" si="96"/>
        <v>0</v>
      </c>
      <c r="N220" s="143" t="str">
        <f>IF(tuulisähkö_vuosi&lt;='S3 Tiekartta'!C220,"tuulisähkö",ostosähkö_nyt)</f>
        <v>jäännössähkö</v>
      </c>
      <c r="O220" s="147">
        <f>INDEX(Muuttujat!$J$5:$J$21,MATCH($C220,Muuttujat!$H$5:$H$21,0),1)</f>
        <v>64.542936272148211</v>
      </c>
      <c r="P220" s="148">
        <f t="shared" si="88"/>
        <v>0.92</v>
      </c>
      <c r="Q220" s="148">
        <f t="shared" si="89"/>
        <v>0.08</v>
      </c>
      <c r="R220" s="148">
        <f t="shared" si="90"/>
        <v>0.08</v>
      </c>
      <c r="S220" s="149">
        <f t="shared" si="79"/>
        <v>6.67925244</v>
      </c>
      <c r="T220" s="150">
        <f t="shared" si="80"/>
        <v>1.9175769599999999</v>
      </c>
      <c r="U220" s="150">
        <f t="shared" si="81"/>
        <v>0</v>
      </c>
      <c r="V220" s="150">
        <f>IFERROR(INDEX(Työkonekanta!$J$3:$J$27,MATCH($A220,Työkonekanta!$A$3:$A$24,0),1)*$B220*ef_li_ion_akku/1000/1000/INDEX(Työkonekanta!$K$3:$K$27,MATCH($A220,Työkonekanta!$A$3:$A$24,0)),0)</f>
        <v>0</v>
      </c>
      <c r="W220" s="149">
        <f t="shared" si="97"/>
        <v>26.083807538738405</v>
      </c>
      <c r="X220" s="150">
        <f t="shared" si="98"/>
        <v>0.33998785619999994</v>
      </c>
      <c r="Y220" s="151">
        <f t="shared" si="99"/>
        <v>0.13961909037900874</v>
      </c>
      <c r="Z220" s="152">
        <f t="shared" si="91"/>
        <v>8.5968294000000007</v>
      </c>
      <c r="AA220" s="179">
        <f t="shared" si="92"/>
        <v>26.223426629117412</v>
      </c>
      <c r="AB220" s="179">
        <f t="shared" si="93"/>
        <v>26.563414485317413</v>
      </c>
      <c r="AC220" s="180">
        <f t="shared" si="100"/>
        <v>34.820256029117417</v>
      </c>
      <c r="AD220" s="156">
        <f t="shared" si="94"/>
        <v>35.160243885317414</v>
      </c>
      <c r="AE220" s="146">
        <f>IFERROR(INDEX(Työkonekanta!$L$3:$L$30,MATCH($A220,Työkonekanta!$A$3:$A$30,0),1),0)*AF220</f>
        <v>500000</v>
      </c>
      <c r="AF220" s="146">
        <f>IFERROR(INDEX(Työkonekanta!$N$3:$N$32,MATCH($A220,Työkonekanta!$A$3:$A$32,0),1),0)</f>
        <v>1</v>
      </c>
      <c r="AG220" s="332">
        <f>I220*INDEX(Muuttujat!$U$5:$U$21,MATCH($C220,Muuttujat!$N$5:$N$21,0),1)</f>
        <v>10139.320000000002</v>
      </c>
      <c r="AH220" s="332">
        <f>J220*INDEX(Muuttujat!$T$5:$T$21,MATCH($C220,Muuttujat!$N$5:$N$21,0),1)</f>
        <v>1281.1799416909623</v>
      </c>
      <c r="AI220" s="332">
        <f t="shared" si="82"/>
        <v>268.49825072886301</v>
      </c>
      <c r="AJ220" s="332">
        <f t="shared" si="83"/>
        <v>0</v>
      </c>
      <c r="AK220" s="333">
        <f t="shared" si="95"/>
        <v>11688.998192419826</v>
      </c>
      <c r="AL220" s="332">
        <f t="shared" si="84"/>
        <v>11688.998192419826</v>
      </c>
      <c r="AM220" s="351"/>
      <c r="AN220" s="351"/>
    </row>
    <row r="221" spans="1:40">
      <c r="A221" s="139">
        <v>9</v>
      </c>
      <c r="B221" s="139">
        <f>IFERROR(IF((INDEX(Työkonekanta!$F$3:$F$27,MATCH('S3 Tiekartta'!$A221,Työkonekanta!$A$3:$A$24,0),1))&lt;0,0,(INDEX(Työkonekanta!$F$3:$F$27,MATCH('S3 Tiekartta'!$A221,Työkonekanta!$A$3:$A$24,0),1))),0)</f>
        <v>0</v>
      </c>
      <c r="C221" s="140">
        <v>2026</v>
      </c>
      <c r="D221" s="141" t="str">
        <f>IFERROR(INDEX(Työkonekanta!$D$3:$D$27,MATCH('S3 Tiekartta'!$A221,Työkonekanta!$A$3:$A$24,0),1),"undefined")</f>
        <v>sähkö</v>
      </c>
      <c r="E221" s="145">
        <f>IFERROR(INDEX(Työkonekanta!$G$3:$G$27,MATCH($A221,Työkonekanta!$A$3:$A$24,0),1)*INDEX(Työkonekanta!$H$3:$H$27,MATCH($A221,Työkonekanta!$A$3:$A$24,0),1)*(1+s0b_kasvu*($C221-2019))*$B221,0)</f>
        <v>0</v>
      </c>
      <c r="F221" s="145">
        <f t="shared" si="76"/>
        <v>0</v>
      </c>
      <c r="G221" s="151">
        <f t="shared" si="85"/>
        <v>0</v>
      </c>
      <c r="H221" s="145">
        <f t="shared" si="86"/>
        <v>0</v>
      </c>
      <c r="I221" s="145">
        <f t="shared" si="77"/>
        <v>0</v>
      </c>
      <c r="J221" s="145">
        <f t="shared" si="78"/>
        <v>0</v>
      </c>
      <c r="K221" s="142" t="str">
        <f t="shared" si="87"/>
        <v>kWh</v>
      </c>
      <c r="L221" s="146">
        <f>IFERROR(INDEX(Työkonekanta!$I$3:$I$27,MATCH('S3 Tiekartta'!$A221,Työkonekanta!$A$3:$A$24,0),1)*(I221+J221)*f_adblue,0)</f>
        <v>0</v>
      </c>
      <c r="M221" s="146">
        <f t="shared" si="96"/>
        <v>0</v>
      </c>
      <c r="N221" s="143" t="str">
        <f>IF(tuulisähkö_vuosi&lt;='S3 Tiekartta'!C221,"tuulisähkö",ostosähkö_nyt)</f>
        <v>jäännössähkö</v>
      </c>
      <c r="O221" s="147">
        <f>INDEX(Muuttujat!$J$5:$J$21,MATCH($C221,Muuttujat!$H$5:$H$21,0),1)</f>
        <v>64.542936272148211</v>
      </c>
      <c r="P221" s="148">
        <f t="shared" si="88"/>
        <v>0.92</v>
      </c>
      <c r="Q221" s="148">
        <f t="shared" si="89"/>
        <v>0.08</v>
      </c>
      <c r="R221" s="148">
        <f t="shared" si="90"/>
        <v>0.08</v>
      </c>
      <c r="S221" s="149">
        <f t="shared" si="79"/>
        <v>0</v>
      </c>
      <c r="T221" s="150">
        <f t="shared" si="80"/>
        <v>0</v>
      </c>
      <c r="U221" s="150">
        <f t="shared" si="81"/>
        <v>0</v>
      </c>
      <c r="V221" s="150">
        <f>IFERROR(INDEX(Työkonekanta!$J$3:$J$27,MATCH($A221,Työkonekanta!$A$3:$A$24,0),1)*$B221*ef_li_ion_akku/1000/1000/INDEX(Työkonekanta!$K$3:$K$27,MATCH($A221,Työkonekanta!$A$3:$A$24,0)),0)</f>
        <v>0</v>
      </c>
      <c r="W221" s="149">
        <f t="shared" si="97"/>
        <v>0</v>
      </c>
      <c r="X221" s="150">
        <f t="shared" si="98"/>
        <v>0</v>
      </c>
      <c r="Y221" s="151">
        <f t="shared" si="99"/>
        <v>0</v>
      </c>
      <c r="Z221" s="152">
        <f t="shared" si="91"/>
        <v>0</v>
      </c>
      <c r="AA221" s="179">
        <f t="shared" si="92"/>
        <v>0</v>
      </c>
      <c r="AB221" s="179">
        <f t="shared" si="93"/>
        <v>0</v>
      </c>
      <c r="AC221" s="180">
        <f t="shared" si="100"/>
        <v>0</v>
      </c>
      <c r="AD221" s="156">
        <f t="shared" si="94"/>
        <v>0</v>
      </c>
      <c r="AE221" s="146">
        <f>IFERROR(INDEX(Työkonekanta!$L$3:$L$30,MATCH($A221,Työkonekanta!$A$3:$A$30,0),1),0)*AF221</f>
        <v>0</v>
      </c>
      <c r="AF221" s="146">
        <f>IFERROR(INDEX(Työkonekanta!$N$3:$N$32,MATCH($A221,Työkonekanta!$A$3:$A$32,0),1),0)</f>
        <v>0</v>
      </c>
      <c r="AG221" s="332">
        <f>I221*INDEX(Muuttujat!$U$5:$U$21,MATCH($C221,Muuttujat!$N$5:$N$21,0),1)</f>
        <v>0</v>
      </c>
      <c r="AH221" s="332">
        <f>J221*INDEX(Muuttujat!$T$5:$T$21,MATCH($C221,Muuttujat!$N$5:$N$21,0),1)</f>
        <v>0</v>
      </c>
      <c r="AI221" s="332">
        <f t="shared" si="82"/>
        <v>0</v>
      </c>
      <c r="AJ221" s="332">
        <f t="shared" si="83"/>
        <v>0</v>
      </c>
      <c r="AK221" s="333">
        <f t="shared" si="95"/>
        <v>0</v>
      </c>
      <c r="AL221" s="332">
        <f t="shared" si="84"/>
        <v>0</v>
      </c>
      <c r="AM221" s="351"/>
      <c r="AN221" s="351"/>
    </row>
    <row r="222" spans="1:40">
      <c r="A222" s="139">
        <v>10</v>
      </c>
      <c r="B222" s="139">
        <f>IFERROR(IF((INDEX(Työkonekanta!$F$3:$F$27,MATCH('S3 Tiekartta'!$A222,Työkonekanta!$A$3:$A$24,0),1))&lt;0,0,(INDEX(Työkonekanta!$F$3:$F$27,MATCH('S3 Tiekartta'!$A222,Työkonekanta!$A$3:$A$24,0),1))),0)</f>
        <v>0</v>
      </c>
      <c r="C222" s="140">
        <v>2026</v>
      </c>
      <c r="D222" s="141" t="str">
        <f>IFERROR(INDEX(Työkonekanta!$D$3:$D$27,MATCH('S3 Tiekartta'!$A222,Työkonekanta!$A$3:$A$24,0),1),"undefined")</f>
        <v>sähkö</v>
      </c>
      <c r="E222" s="145">
        <f>IFERROR(INDEX(Työkonekanta!$G$3:$G$27,MATCH($A222,Työkonekanta!$A$3:$A$24,0),1)*INDEX(Työkonekanta!$H$3:$H$27,MATCH($A222,Työkonekanta!$A$3:$A$24,0),1)*(1+s0b_kasvu*($C222-2019))*$B222,0)</f>
        <v>0</v>
      </c>
      <c r="F222" s="145">
        <f t="shared" si="76"/>
        <v>0</v>
      </c>
      <c r="G222" s="151">
        <f t="shared" si="85"/>
        <v>0</v>
      </c>
      <c r="H222" s="145">
        <f t="shared" si="86"/>
        <v>0</v>
      </c>
      <c r="I222" s="145">
        <f t="shared" si="77"/>
        <v>0</v>
      </c>
      <c r="J222" s="145">
        <f t="shared" si="78"/>
        <v>0</v>
      </c>
      <c r="K222" s="142" t="str">
        <f t="shared" si="87"/>
        <v>kWh</v>
      </c>
      <c r="L222" s="146">
        <f>IFERROR(INDEX(Työkonekanta!$I$3:$I$27,MATCH('S3 Tiekartta'!$A222,Työkonekanta!$A$3:$A$24,0),1)*(I222+J222)*f_adblue,0)</f>
        <v>0</v>
      </c>
      <c r="M222" s="146">
        <f t="shared" si="96"/>
        <v>0</v>
      </c>
      <c r="N222" s="143" t="str">
        <f>IF(tuulisähkö_vuosi&lt;='S3 Tiekartta'!C222,"tuulisähkö",ostosähkö_nyt)</f>
        <v>jäännössähkö</v>
      </c>
      <c r="O222" s="147">
        <f>INDEX(Muuttujat!$J$5:$J$21,MATCH($C222,Muuttujat!$H$5:$H$21,0),1)</f>
        <v>64.542936272148211</v>
      </c>
      <c r="P222" s="148">
        <f t="shared" si="88"/>
        <v>0.92</v>
      </c>
      <c r="Q222" s="148">
        <f t="shared" si="89"/>
        <v>0.08</v>
      </c>
      <c r="R222" s="148">
        <f t="shared" si="90"/>
        <v>0.08</v>
      </c>
      <c r="S222" s="149">
        <f t="shared" si="79"/>
        <v>0</v>
      </c>
      <c r="T222" s="150">
        <f t="shared" si="80"/>
        <v>0</v>
      </c>
      <c r="U222" s="150">
        <f t="shared" si="81"/>
        <v>0</v>
      </c>
      <c r="V222" s="150">
        <f>IFERROR(INDEX(Työkonekanta!$J$3:$J$27,MATCH($A222,Työkonekanta!$A$3:$A$24,0),1)*$B222*ef_li_ion_akku/1000/1000/INDEX(Työkonekanta!$K$3:$K$27,MATCH($A222,Työkonekanta!$A$3:$A$24,0)),0)</f>
        <v>0</v>
      </c>
      <c r="W222" s="149">
        <f t="shared" si="97"/>
        <v>0</v>
      </c>
      <c r="X222" s="150">
        <f t="shared" si="98"/>
        <v>0</v>
      </c>
      <c r="Y222" s="151">
        <f t="shared" si="99"/>
        <v>0</v>
      </c>
      <c r="Z222" s="152">
        <f t="shared" si="91"/>
        <v>0</v>
      </c>
      <c r="AA222" s="179">
        <f t="shared" si="92"/>
        <v>0</v>
      </c>
      <c r="AB222" s="179">
        <f t="shared" si="93"/>
        <v>0</v>
      </c>
      <c r="AC222" s="180">
        <f t="shared" si="100"/>
        <v>0</v>
      </c>
      <c r="AD222" s="156">
        <f t="shared" si="94"/>
        <v>0</v>
      </c>
      <c r="AE222" s="146">
        <f>IFERROR(INDEX(Työkonekanta!$L$3:$L$30,MATCH($A222,Työkonekanta!$A$3:$A$30,0),1),0)*AF222</f>
        <v>0</v>
      </c>
      <c r="AF222" s="146">
        <f>IFERROR(INDEX(Työkonekanta!$N$3:$N$32,MATCH($A222,Työkonekanta!$A$3:$A$32,0),1),0)</f>
        <v>0</v>
      </c>
      <c r="AG222" s="332">
        <f>I222*INDEX(Muuttujat!$U$5:$U$21,MATCH($C222,Muuttujat!$N$5:$N$21,0),1)</f>
        <v>0</v>
      </c>
      <c r="AH222" s="332">
        <f>J222*INDEX(Muuttujat!$T$5:$T$21,MATCH($C222,Muuttujat!$N$5:$N$21,0),1)</f>
        <v>0</v>
      </c>
      <c r="AI222" s="332">
        <f t="shared" si="82"/>
        <v>0</v>
      </c>
      <c r="AJ222" s="332">
        <f t="shared" si="83"/>
        <v>0</v>
      </c>
      <c r="AK222" s="333">
        <f t="shared" si="95"/>
        <v>0</v>
      </c>
      <c r="AL222" s="332">
        <f t="shared" si="84"/>
        <v>0</v>
      </c>
      <c r="AM222" s="351"/>
      <c r="AN222" s="351"/>
    </row>
    <row r="223" spans="1:40">
      <c r="A223" s="139">
        <v>11</v>
      </c>
      <c r="B223" s="139">
        <f>IFERROR(IF((INDEX(Työkonekanta!$F$3:$F$27,MATCH('S3 Tiekartta'!$A223,Työkonekanta!$A$3:$A$24,0),1))&lt;0,0,(INDEX(Työkonekanta!$F$3:$F$27,MATCH('S3 Tiekartta'!$A223,Työkonekanta!$A$3:$A$24,0),1))),0)</f>
        <v>1</v>
      </c>
      <c r="C223" s="140">
        <v>2026</v>
      </c>
      <c r="D223" s="141" t="str">
        <f>IFERROR(INDEX(Työkonekanta!$D$3:$D$27,MATCH('S3 Tiekartta'!$A223,Työkonekanta!$A$3:$A$24,0),1),"undefined")</f>
        <v>pom</v>
      </c>
      <c r="E223" s="145">
        <f>IFERROR(INDEX(Työkonekanta!$G$3:$G$27,MATCH($A223,Työkonekanta!$A$3:$A$24,0),1)*INDEX(Työkonekanta!$H$3:$H$27,MATCH($A223,Työkonekanta!$A$3:$A$24,0),1)*(1+s0b_kasvu*($C223-2019))*$B223,0)</f>
        <v>10700</v>
      </c>
      <c r="F223" s="145">
        <f t="shared" si="76"/>
        <v>384130</v>
      </c>
      <c r="G223" s="151">
        <f t="shared" si="85"/>
        <v>353399.60000000003</v>
      </c>
      <c r="H223" s="145">
        <f t="shared" si="86"/>
        <v>30730.400000000001</v>
      </c>
      <c r="I223" s="145">
        <f t="shared" si="77"/>
        <v>9844.0000000000018</v>
      </c>
      <c r="J223" s="145">
        <f t="shared" si="78"/>
        <v>895.93002915451905</v>
      </c>
      <c r="K223" s="142" t="str">
        <f t="shared" si="87"/>
        <v>l</v>
      </c>
      <c r="L223" s="146">
        <f>IFERROR(INDEX(Työkonekanta!$I$3:$I$27,MATCH('S3 Tiekartta'!$A223,Työkonekanta!$A$3:$A$24,0),1)*(I223+J223)*f_adblue,0)</f>
        <v>536.99650145772603</v>
      </c>
      <c r="M223" s="146">
        <f t="shared" si="96"/>
        <v>0</v>
      </c>
      <c r="N223" s="143" t="str">
        <f>IF(tuulisähkö_vuosi&lt;='S3 Tiekartta'!C223,"tuulisähkö",ostosähkö_nyt)</f>
        <v>jäännössähkö</v>
      </c>
      <c r="O223" s="147">
        <f>INDEX(Muuttujat!$J$5:$J$21,MATCH($C223,Muuttujat!$H$5:$H$21,0),1)</f>
        <v>64.542936272148211</v>
      </c>
      <c r="P223" s="148">
        <f t="shared" si="88"/>
        <v>0.92</v>
      </c>
      <c r="Q223" s="148">
        <f t="shared" si="89"/>
        <v>0.08</v>
      </c>
      <c r="R223" s="148">
        <f t="shared" si="90"/>
        <v>0.08</v>
      </c>
      <c r="S223" s="149">
        <f t="shared" si="79"/>
        <v>6.67925244</v>
      </c>
      <c r="T223" s="150">
        <f t="shared" si="80"/>
        <v>1.9175769599999999</v>
      </c>
      <c r="U223" s="150">
        <f t="shared" si="81"/>
        <v>0</v>
      </c>
      <c r="V223" s="150">
        <f>IFERROR(INDEX(Työkonekanta!$J$3:$J$27,MATCH($A223,Työkonekanta!$A$3:$A$24,0),1)*$B223*ef_li_ion_akku/1000/1000/INDEX(Työkonekanta!$K$3:$K$27,MATCH($A223,Työkonekanta!$A$3:$A$24,0)),0)</f>
        <v>0</v>
      </c>
      <c r="W223" s="149">
        <f t="shared" si="97"/>
        <v>26.083807538738405</v>
      </c>
      <c r="X223" s="150">
        <f t="shared" si="98"/>
        <v>0.33998785619999994</v>
      </c>
      <c r="Y223" s="151">
        <f t="shared" si="99"/>
        <v>0.13961909037900874</v>
      </c>
      <c r="Z223" s="152">
        <f t="shared" si="91"/>
        <v>8.5968294000000007</v>
      </c>
      <c r="AA223" s="179">
        <f t="shared" si="92"/>
        <v>26.223426629117412</v>
      </c>
      <c r="AB223" s="179">
        <f t="shared" si="93"/>
        <v>26.563414485317413</v>
      </c>
      <c r="AC223" s="180">
        <f t="shared" si="100"/>
        <v>34.820256029117417</v>
      </c>
      <c r="AD223" s="156">
        <f t="shared" si="94"/>
        <v>35.160243885317414</v>
      </c>
      <c r="AE223" s="146">
        <f>IFERROR(INDEX(Työkonekanta!$L$3:$L$30,MATCH($A223,Työkonekanta!$A$3:$A$30,0),1),0)*AF223</f>
        <v>500000</v>
      </c>
      <c r="AF223" s="146">
        <f>IFERROR(INDEX(Työkonekanta!$N$3:$N$32,MATCH($A223,Työkonekanta!$A$3:$A$32,0),1),0)</f>
        <v>1</v>
      </c>
      <c r="AG223" s="332">
        <f>I223*INDEX(Muuttujat!$U$5:$U$21,MATCH($C223,Muuttujat!$N$5:$N$21,0),1)</f>
        <v>10139.320000000002</v>
      </c>
      <c r="AH223" s="332">
        <f>J223*INDEX(Muuttujat!$T$5:$T$21,MATCH($C223,Muuttujat!$N$5:$N$21,0),1)</f>
        <v>1281.1799416909623</v>
      </c>
      <c r="AI223" s="332">
        <f t="shared" si="82"/>
        <v>268.49825072886301</v>
      </c>
      <c r="AJ223" s="332">
        <f t="shared" si="83"/>
        <v>0</v>
      </c>
      <c r="AK223" s="333">
        <f t="shared" si="95"/>
        <v>11688.998192419826</v>
      </c>
      <c r="AL223" s="332">
        <f t="shared" si="84"/>
        <v>11688.998192419826</v>
      </c>
      <c r="AM223" s="351"/>
      <c r="AN223" s="351"/>
    </row>
    <row r="224" spans="1:40">
      <c r="A224" s="139">
        <v>12</v>
      </c>
      <c r="B224" s="139">
        <f>IFERROR(IF((INDEX(Työkonekanta!$F$3:$F$27,MATCH('S3 Tiekartta'!$A224,Työkonekanta!$A$3:$A$24,0),1))&lt;0,0,(INDEX(Työkonekanta!$F$3:$F$27,MATCH('S3 Tiekartta'!$A224,Työkonekanta!$A$3:$A$24,0),1))),0)</f>
        <v>1</v>
      </c>
      <c r="C224" s="140">
        <v>2026</v>
      </c>
      <c r="D224" s="141" t="str">
        <f>IFERROR(INDEX(Työkonekanta!$D$3:$D$27,MATCH('S3 Tiekartta'!$A224,Työkonekanta!$A$3:$A$24,0),1),"undefined")</f>
        <v>pom</v>
      </c>
      <c r="E224" s="145">
        <f>IFERROR(INDEX(Työkonekanta!$G$3:$G$27,MATCH($A224,Työkonekanta!$A$3:$A$24,0),1)*INDEX(Työkonekanta!$H$3:$H$27,MATCH($A224,Työkonekanta!$A$3:$A$24,0),1)*(1+s0b_kasvu*($C224-2019))*$B224,0)</f>
        <v>10700</v>
      </c>
      <c r="F224" s="145">
        <f t="shared" si="76"/>
        <v>384130</v>
      </c>
      <c r="G224" s="151">
        <f t="shared" si="85"/>
        <v>353399.60000000003</v>
      </c>
      <c r="H224" s="145">
        <f t="shared" si="86"/>
        <v>30730.400000000001</v>
      </c>
      <c r="I224" s="145">
        <f t="shared" si="77"/>
        <v>9844.0000000000018</v>
      </c>
      <c r="J224" s="145">
        <f t="shared" si="78"/>
        <v>895.93002915451905</v>
      </c>
      <c r="K224" s="142" t="str">
        <f t="shared" si="87"/>
        <v>l</v>
      </c>
      <c r="L224" s="146">
        <f>IFERROR(INDEX(Työkonekanta!$I$3:$I$27,MATCH('S3 Tiekartta'!$A224,Työkonekanta!$A$3:$A$24,0),1)*(I224+J224)*f_adblue,0)</f>
        <v>536.99650145772603</v>
      </c>
      <c r="M224" s="146">
        <f t="shared" si="96"/>
        <v>0</v>
      </c>
      <c r="N224" s="143" t="str">
        <f>IF(tuulisähkö_vuosi&lt;='S3 Tiekartta'!C224,"tuulisähkö",ostosähkö_nyt)</f>
        <v>jäännössähkö</v>
      </c>
      <c r="O224" s="147">
        <f>INDEX(Muuttujat!$J$5:$J$21,MATCH($C224,Muuttujat!$H$5:$H$21,0),1)</f>
        <v>64.542936272148211</v>
      </c>
      <c r="P224" s="148">
        <f t="shared" si="88"/>
        <v>0.92</v>
      </c>
      <c r="Q224" s="148">
        <f t="shared" si="89"/>
        <v>0.08</v>
      </c>
      <c r="R224" s="148">
        <f t="shared" si="90"/>
        <v>0.08</v>
      </c>
      <c r="S224" s="149">
        <f t="shared" si="79"/>
        <v>6.67925244</v>
      </c>
      <c r="T224" s="150">
        <f t="shared" si="80"/>
        <v>1.9175769599999999</v>
      </c>
      <c r="U224" s="150">
        <f t="shared" si="81"/>
        <v>0</v>
      </c>
      <c r="V224" s="150">
        <f>IFERROR(INDEX(Työkonekanta!$J$3:$J$27,MATCH($A224,Työkonekanta!$A$3:$A$24,0),1)*$B224*ef_li_ion_akku/1000/1000/INDEX(Työkonekanta!$K$3:$K$27,MATCH($A224,Työkonekanta!$A$3:$A$24,0)),0)</f>
        <v>0</v>
      </c>
      <c r="W224" s="149">
        <f t="shared" si="97"/>
        <v>26.083807538738405</v>
      </c>
      <c r="X224" s="150">
        <f t="shared" si="98"/>
        <v>0.33998785619999994</v>
      </c>
      <c r="Y224" s="151">
        <f t="shared" si="99"/>
        <v>0.13961909037900874</v>
      </c>
      <c r="Z224" s="152">
        <f t="shared" si="91"/>
        <v>8.5968294000000007</v>
      </c>
      <c r="AA224" s="179">
        <f t="shared" si="92"/>
        <v>26.223426629117412</v>
      </c>
      <c r="AB224" s="179">
        <f t="shared" si="93"/>
        <v>26.563414485317413</v>
      </c>
      <c r="AC224" s="180">
        <f t="shared" si="100"/>
        <v>34.820256029117417</v>
      </c>
      <c r="AD224" s="156">
        <f t="shared" si="94"/>
        <v>35.160243885317414</v>
      </c>
      <c r="AE224" s="146">
        <f>IFERROR(INDEX(Työkonekanta!$L$3:$L$30,MATCH($A224,Työkonekanta!$A$3:$A$30,0),1),0)*AF224</f>
        <v>500000</v>
      </c>
      <c r="AF224" s="146">
        <f>IFERROR(INDEX(Työkonekanta!$N$3:$N$32,MATCH($A224,Työkonekanta!$A$3:$A$32,0),1),0)</f>
        <v>1</v>
      </c>
      <c r="AG224" s="332">
        <f>I224*INDEX(Muuttujat!$U$5:$U$21,MATCH($C224,Muuttujat!$N$5:$N$21,0),1)</f>
        <v>10139.320000000002</v>
      </c>
      <c r="AH224" s="332">
        <f>J224*INDEX(Muuttujat!$T$5:$T$21,MATCH($C224,Muuttujat!$N$5:$N$21,0),1)</f>
        <v>1281.1799416909623</v>
      </c>
      <c r="AI224" s="332">
        <f t="shared" si="82"/>
        <v>268.49825072886301</v>
      </c>
      <c r="AJ224" s="332">
        <f t="shared" si="83"/>
        <v>0</v>
      </c>
      <c r="AK224" s="333">
        <f t="shared" si="95"/>
        <v>11688.998192419826</v>
      </c>
      <c r="AL224" s="332">
        <f t="shared" si="84"/>
        <v>11688.998192419826</v>
      </c>
      <c r="AM224" s="351"/>
      <c r="AN224" s="351"/>
    </row>
    <row r="225" spans="1:40">
      <c r="A225" s="139">
        <v>13</v>
      </c>
      <c r="B225" s="139">
        <f>IFERROR(IF((INDEX(Työkonekanta!$F$3:$F$27,MATCH('S3 Tiekartta'!$A225,Työkonekanta!$A$3:$A$24,0),1))&lt;0,0,(INDEX(Työkonekanta!$F$3:$F$27,MATCH('S3 Tiekartta'!$A225,Työkonekanta!$A$3:$A$24,0),1))),0)</f>
        <v>0</v>
      </c>
      <c r="C225" s="140">
        <v>2026</v>
      </c>
      <c r="D225" s="141" t="str">
        <f>IFERROR(INDEX(Työkonekanta!$D$3:$D$27,MATCH('S3 Tiekartta'!$A225,Työkonekanta!$A$3:$A$24,0),1),"undefined")</f>
        <v>pom</v>
      </c>
      <c r="E225" s="145">
        <f>IFERROR(INDEX(Työkonekanta!$G$3:$G$27,MATCH($A225,Työkonekanta!$A$3:$A$24,0),1)*INDEX(Työkonekanta!$H$3:$H$27,MATCH($A225,Työkonekanta!$A$3:$A$24,0),1)*(1+s0b_kasvu*($C225-2019))*$B225,0)</f>
        <v>0</v>
      </c>
      <c r="F225" s="145">
        <f t="shared" si="76"/>
        <v>0</v>
      </c>
      <c r="G225" s="151">
        <f t="shared" si="85"/>
        <v>0</v>
      </c>
      <c r="H225" s="145">
        <f t="shared" si="86"/>
        <v>0</v>
      </c>
      <c r="I225" s="145">
        <f t="shared" si="77"/>
        <v>0</v>
      </c>
      <c r="J225" s="145">
        <f t="shared" si="78"/>
        <v>0</v>
      </c>
      <c r="K225" s="142" t="str">
        <f t="shared" si="87"/>
        <v>l</v>
      </c>
      <c r="L225" s="146">
        <f>IFERROR(INDEX(Työkonekanta!$I$3:$I$27,MATCH('S3 Tiekartta'!$A225,Työkonekanta!$A$3:$A$24,0),1)*(I225+J225)*f_adblue,0)</f>
        <v>0</v>
      </c>
      <c r="M225" s="146">
        <f t="shared" si="96"/>
        <v>0</v>
      </c>
      <c r="N225" s="143" t="str">
        <f>IF(tuulisähkö_vuosi&lt;='S3 Tiekartta'!C225,"tuulisähkö",ostosähkö_nyt)</f>
        <v>jäännössähkö</v>
      </c>
      <c r="O225" s="147">
        <f>INDEX(Muuttujat!$J$5:$J$21,MATCH($C225,Muuttujat!$H$5:$H$21,0),1)</f>
        <v>64.542936272148211</v>
      </c>
      <c r="P225" s="148">
        <f t="shared" si="88"/>
        <v>0.92</v>
      </c>
      <c r="Q225" s="148">
        <f t="shared" si="89"/>
        <v>0.08</v>
      </c>
      <c r="R225" s="148">
        <f t="shared" si="90"/>
        <v>0.08</v>
      </c>
      <c r="S225" s="149">
        <f t="shared" si="79"/>
        <v>0</v>
      </c>
      <c r="T225" s="150">
        <f t="shared" si="80"/>
        <v>0</v>
      </c>
      <c r="U225" s="150">
        <f t="shared" si="81"/>
        <v>0</v>
      </c>
      <c r="V225" s="150">
        <f>IFERROR(INDEX(Työkonekanta!$J$3:$J$27,MATCH($A225,Työkonekanta!$A$3:$A$24,0),1)*$B225*ef_li_ion_akku/1000/1000/INDEX(Työkonekanta!$K$3:$K$27,MATCH($A225,Työkonekanta!$A$3:$A$24,0)),0)</f>
        <v>0</v>
      </c>
      <c r="W225" s="149">
        <f t="shared" si="97"/>
        <v>0</v>
      </c>
      <c r="X225" s="150">
        <f t="shared" si="98"/>
        <v>0</v>
      </c>
      <c r="Y225" s="151">
        <f t="shared" si="99"/>
        <v>0</v>
      </c>
      <c r="Z225" s="152">
        <f t="shared" si="91"/>
        <v>0</v>
      </c>
      <c r="AA225" s="179">
        <f t="shared" si="92"/>
        <v>0</v>
      </c>
      <c r="AB225" s="179">
        <f t="shared" si="93"/>
        <v>0</v>
      </c>
      <c r="AC225" s="180">
        <f t="shared" si="100"/>
        <v>0</v>
      </c>
      <c r="AD225" s="156">
        <f t="shared" si="94"/>
        <v>0</v>
      </c>
      <c r="AE225" s="146">
        <f>IFERROR(INDEX(Työkonekanta!$L$3:$L$30,MATCH($A225,Työkonekanta!$A$3:$A$30,0),1),0)*AF225</f>
        <v>0</v>
      </c>
      <c r="AF225" s="146">
        <f>IFERROR(INDEX(Työkonekanta!$N$3:$N$32,MATCH($A225,Työkonekanta!$A$3:$A$32,0),1),0)</f>
        <v>0</v>
      </c>
      <c r="AG225" s="332">
        <f>I225*INDEX(Muuttujat!$U$5:$U$21,MATCH($C225,Muuttujat!$N$5:$N$21,0),1)</f>
        <v>0</v>
      </c>
      <c r="AH225" s="332">
        <f>J225*INDEX(Muuttujat!$T$5:$T$21,MATCH($C225,Muuttujat!$N$5:$N$21,0),1)</f>
        <v>0</v>
      </c>
      <c r="AI225" s="332">
        <f t="shared" si="82"/>
        <v>0</v>
      </c>
      <c r="AJ225" s="332">
        <f t="shared" si="83"/>
        <v>0</v>
      </c>
      <c r="AK225" s="333">
        <f t="shared" si="95"/>
        <v>0</v>
      </c>
      <c r="AL225" s="332">
        <f t="shared" si="84"/>
        <v>0</v>
      </c>
      <c r="AM225" s="351"/>
      <c r="AN225" s="351"/>
    </row>
    <row r="226" spans="1:40">
      <c r="A226" s="139">
        <v>14</v>
      </c>
      <c r="B226" s="139">
        <f>IFERROR(IF((INDEX(Työkonekanta!$F$3:$F$27,MATCH('S3 Tiekartta'!$A226,Työkonekanta!$A$3:$A$24,0),1))&lt;0,0,(INDEX(Työkonekanta!$F$3:$F$27,MATCH('S3 Tiekartta'!$A226,Työkonekanta!$A$3:$A$24,0),1))),0)</f>
        <v>0</v>
      </c>
      <c r="C226" s="140">
        <v>2026</v>
      </c>
      <c r="D226" s="141" t="str">
        <f>IFERROR(INDEX(Työkonekanta!$D$3:$D$27,MATCH('S3 Tiekartta'!$A226,Työkonekanta!$A$3:$A$24,0),1),"undefined")</f>
        <v>pom</v>
      </c>
      <c r="E226" s="145">
        <f>IFERROR(INDEX(Työkonekanta!$G$3:$G$27,MATCH($A226,Työkonekanta!$A$3:$A$24,0),1)*INDEX(Työkonekanta!$H$3:$H$27,MATCH($A226,Työkonekanta!$A$3:$A$24,0),1)*(1+s0b_kasvu*($C226-2019))*$B226,0)</f>
        <v>0</v>
      </c>
      <c r="F226" s="145">
        <f t="shared" si="76"/>
        <v>0</v>
      </c>
      <c r="G226" s="151">
        <f t="shared" si="85"/>
        <v>0</v>
      </c>
      <c r="H226" s="145">
        <f t="shared" si="86"/>
        <v>0</v>
      </c>
      <c r="I226" s="145">
        <f t="shared" si="77"/>
        <v>0</v>
      </c>
      <c r="J226" s="145">
        <f t="shared" si="78"/>
        <v>0</v>
      </c>
      <c r="K226" s="142" t="str">
        <f t="shared" si="87"/>
        <v>l</v>
      </c>
      <c r="L226" s="146">
        <f>IFERROR(INDEX(Työkonekanta!$I$3:$I$27,MATCH('S3 Tiekartta'!$A226,Työkonekanta!$A$3:$A$24,0),1)*(I226+J226)*f_adblue,0)</f>
        <v>0</v>
      </c>
      <c r="M226" s="146">
        <f t="shared" si="96"/>
        <v>0</v>
      </c>
      <c r="N226" s="143" t="str">
        <f>IF(tuulisähkö_vuosi&lt;='S3 Tiekartta'!C226,"tuulisähkö",ostosähkö_nyt)</f>
        <v>jäännössähkö</v>
      </c>
      <c r="O226" s="147">
        <f>INDEX(Muuttujat!$J$5:$J$21,MATCH($C226,Muuttujat!$H$5:$H$21,0),1)</f>
        <v>64.542936272148211</v>
      </c>
      <c r="P226" s="148">
        <f t="shared" si="88"/>
        <v>0.92</v>
      </c>
      <c r="Q226" s="148">
        <f t="shared" si="89"/>
        <v>0.08</v>
      </c>
      <c r="R226" s="148">
        <f t="shared" si="90"/>
        <v>0.08</v>
      </c>
      <c r="S226" s="149">
        <f t="shared" si="79"/>
        <v>0</v>
      </c>
      <c r="T226" s="150">
        <f t="shared" si="80"/>
        <v>0</v>
      </c>
      <c r="U226" s="150">
        <f t="shared" si="81"/>
        <v>0</v>
      </c>
      <c r="V226" s="150">
        <f>IFERROR(INDEX(Työkonekanta!$J$3:$J$27,MATCH($A226,Työkonekanta!$A$3:$A$24,0),1)*$B226*ef_li_ion_akku/1000/1000/INDEX(Työkonekanta!$K$3:$K$27,MATCH($A226,Työkonekanta!$A$3:$A$24,0)),0)</f>
        <v>0</v>
      </c>
      <c r="W226" s="149">
        <f t="shared" si="97"/>
        <v>0</v>
      </c>
      <c r="X226" s="150">
        <f t="shared" si="98"/>
        <v>0</v>
      </c>
      <c r="Y226" s="151">
        <f t="shared" si="99"/>
        <v>0</v>
      </c>
      <c r="Z226" s="152">
        <f t="shared" si="91"/>
        <v>0</v>
      </c>
      <c r="AA226" s="179">
        <f t="shared" si="92"/>
        <v>0</v>
      </c>
      <c r="AB226" s="179">
        <f t="shared" si="93"/>
        <v>0</v>
      </c>
      <c r="AC226" s="180">
        <f t="shared" si="100"/>
        <v>0</v>
      </c>
      <c r="AD226" s="156">
        <f t="shared" si="94"/>
        <v>0</v>
      </c>
      <c r="AE226" s="146">
        <f>IFERROR(INDEX(Työkonekanta!$L$3:$L$30,MATCH($A226,Työkonekanta!$A$3:$A$30,0),1),0)*AF226</f>
        <v>0</v>
      </c>
      <c r="AF226" s="146">
        <f>IFERROR(INDEX(Työkonekanta!$N$3:$N$32,MATCH($A226,Työkonekanta!$A$3:$A$32,0),1),0)</f>
        <v>0</v>
      </c>
      <c r="AG226" s="332">
        <f>I226*INDEX(Muuttujat!$U$5:$U$21,MATCH($C226,Muuttujat!$N$5:$N$21,0),1)</f>
        <v>0</v>
      </c>
      <c r="AH226" s="332">
        <f>J226*INDEX(Muuttujat!$T$5:$T$21,MATCH($C226,Muuttujat!$N$5:$N$21,0),1)</f>
        <v>0</v>
      </c>
      <c r="AI226" s="332">
        <f t="shared" si="82"/>
        <v>0</v>
      </c>
      <c r="AJ226" s="332">
        <f t="shared" si="83"/>
        <v>0</v>
      </c>
      <c r="AK226" s="333">
        <f t="shared" si="95"/>
        <v>0</v>
      </c>
      <c r="AL226" s="332">
        <f t="shared" si="84"/>
        <v>0</v>
      </c>
      <c r="AM226" s="351"/>
      <c r="AN226" s="351"/>
    </row>
    <row r="227" spans="1:40">
      <c r="A227" s="139">
        <v>15</v>
      </c>
      <c r="B227" s="139">
        <f>IFERROR(IF((INDEX(Työkonekanta!$F$3:$F$27,MATCH('S3 Tiekartta'!$A227,Työkonekanta!$A$3:$A$24,0),1))&lt;0,0,(INDEX(Työkonekanta!$F$3:$F$27,MATCH('S3 Tiekartta'!$A227,Työkonekanta!$A$3:$A$24,0),1))),0)</f>
        <v>0</v>
      </c>
      <c r="C227" s="140">
        <v>2026</v>
      </c>
      <c r="D227" s="141" t="str">
        <f>IFERROR(INDEX(Työkonekanta!$D$3:$D$27,MATCH('S3 Tiekartta'!$A227,Työkonekanta!$A$3:$A$24,0),1),"undefined")</f>
        <v>sähkö</v>
      </c>
      <c r="E227" s="145">
        <f>IFERROR(INDEX(Työkonekanta!$G$3:$G$27,MATCH($A227,Työkonekanta!$A$3:$A$24,0),1)*INDEX(Työkonekanta!$H$3:$H$27,MATCH($A227,Työkonekanta!$A$3:$A$24,0),1)*(1+s0b_kasvu*($C227-2019))*$B227,0)</f>
        <v>0</v>
      </c>
      <c r="F227" s="145">
        <f t="shared" si="76"/>
        <v>0</v>
      </c>
      <c r="G227" s="151">
        <f t="shared" si="85"/>
        <v>0</v>
      </c>
      <c r="H227" s="145">
        <f t="shared" si="86"/>
        <v>0</v>
      </c>
      <c r="I227" s="145">
        <f t="shared" si="77"/>
        <v>0</v>
      </c>
      <c r="J227" s="145">
        <f t="shared" si="78"/>
        <v>0</v>
      </c>
      <c r="K227" s="142" t="str">
        <f t="shared" si="87"/>
        <v>kWh</v>
      </c>
      <c r="L227" s="146">
        <f>IFERROR(INDEX(Työkonekanta!$I$3:$I$27,MATCH('S3 Tiekartta'!$A227,Työkonekanta!$A$3:$A$24,0),1)*(I227+J227)*f_adblue,0)</f>
        <v>0</v>
      </c>
      <c r="M227" s="146">
        <f t="shared" si="96"/>
        <v>0</v>
      </c>
      <c r="N227" s="143" t="str">
        <f>IF(tuulisähkö_vuosi&lt;='S3 Tiekartta'!C227,"tuulisähkö",ostosähkö_nyt)</f>
        <v>jäännössähkö</v>
      </c>
      <c r="O227" s="147">
        <f>INDEX(Muuttujat!$J$5:$J$21,MATCH($C227,Muuttujat!$H$5:$H$21,0),1)</f>
        <v>64.542936272148211</v>
      </c>
      <c r="P227" s="148">
        <f t="shared" si="88"/>
        <v>0.92</v>
      </c>
      <c r="Q227" s="148">
        <f t="shared" si="89"/>
        <v>0.08</v>
      </c>
      <c r="R227" s="148">
        <f t="shared" si="90"/>
        <v>0.08</v>
      </c>
      <c r="S227" s="149">
        <f t="shared" si="79"/>
        <v>0</v>
      </c>
      <c r="T227" s="150">
        <f t="shared" si="80"/>
        <v>0</v>
      </c>
      <c r="U227" s="150">
        <f t="shared" si="81"/>
        <v>0</v>
      </c>
      <c r="V227" s="150">
        <f>IFERROR(INDEX(Työkonekanta!$J$3:$J$27,MATCH($A227,Työkonekanta!$A$3:$A$24,0),1)*$B227*ef_li_ion_akku/1000/1000/INDEX(Työkonekanta!$K$3:$K$27,MATCH($A227,Työkonekanta!$A$3:$A$24,0)),0)</f>
        <v>0</v>
      </c>
      <c r="W227" s="149">
        <f t="shared" si="97"/>
        <v>0</v>
      </c>
      <c r="X227" s="150">
        <f t="shared" si="98"/>
        <v>0</v>
      </c>
      <c r="Y227" s="151">
        <f t="shared" si="99"/>
        <v>0</v>
      </c>
      <c r="Z227" s="152">
        <f t="shared" si="91"/>
        <v>0</v>
      </c>
      <c r="AA227" s="179">
        <f t="shared" si="92"/>
        <v>0</v>
      </c>
      <c r="AB227" s="179">
        <f t="shared" si="93"/>
        <v>0</v>
      </c>
      <c r="AC227" s="180">
        <f t="shared" si="100"/>
        <v>0</v>
      </c>
      <c r="AD227" s="156">
        <f t="shared" si="94"/>
        <v>0</v>
      </c>
      <c r="AE227" s="146">
        <f>IFERROR(INDEX(Työkonekanta!$L$3:$L$30,MATCH($A227,Työkonekanta!$A$3:$A$30,0),1),0)*AF227</f>
        <v>0</v>
      </c>
      <c r="AF227" s="146">
        <f>IFERROR(INDEX(Työkonekanta!$N$3:$N$32,MATCH($A227,Työkonekanta!$A$3:$A$32,0),1),0)</f>
        <v>0</v>
      </c>
      <c r="AG227" s="332">
        <f>I227*INDEX(Muuttujat!$U$5:$U$21,MATCH($C227,Muuttujat!$N$5:$N$21,0),1)</f>
        <v>0</v>
      </c>
      <c r="AH227" s="332">
        <f>J227*INDEX(Muuttujat!$T$5:$T$21,MATCH($C227,Muuttujat!$N$5:$N$21,0),1)</f>
        <v>0</v>
      </c>
      <c r="AI227" s="332">
        <f t="shared" si="82"/>
        <v>0</v>
      </c>
      <c r="AJ227" s="332">
        <f t="shared" si="83"/>
        <v>0</v>
      </c>
      <c r="AK227" s="333">
        <f t="shared" si="95"/>
        <v>0</v>
      </c>
      <c r="AL227" s="332">
        <f t="shared" si="84"/>
        <v>0</v>
      </c>
      <c r="AM227" s="351"/>
      <c r="AN227" s="351"/>
    </row>
    <row r="228" spans="1:40">
      <c r="A228" s="139">
        <v>16</v>
      </c>
      <c r="B228" s="139">
        <f>IFERROR(IF((INDEX(Työkonekanta!$F$3:$F$27,MATCH('S3 Tiekartta'!$A228,Työkonekanta!$A$3:$A$24,0),1))&lt;0,0,(INDEX(Työkonekanta!$F$3:$F$27,MATCH('S3 Tiekartta'!$A228,Työkonekanta!$A$3:$A$24,0),1))),0)</f>
        <v>0</v>
      </c>
      <c r="C228" s="140">
        <v>2026</v>
      </c>
      <c r="D228" s="141" t="str">
        <f>IFERROR(INDEX(Työkonekanta!$D$3:$D$27,MATCH('S3 Tiekartta'!$A228,Työkonekanta!$A$3:$A$24,0),1),"undefined")</f>
        <v>sähkö</v>
      </c>
      <c r="E228" s="145">
        <f>IFERROR(INDEX(Työkonekanta!$G$3:$G$27,MATCH($A228,Työkonekanta!$A$3:$A$24,0),1)*INDEX(Työkonekanta!$H$3:$H$27,MATCH($A228,Työkonekanta!$A$3:$A$24,0),1)*(1+s0b_kasvu*($C228-2019))*$B228,0)</f>
        <v>0</v>
      </c>
      <c r="F228" s="145">
        <f t="shared" si="76"/>
        <v>0</v>
      </c>
      <c r="G228" s="151">
        <f t="shared" si="85"/>
        <v>0</v>
      </c>
      <c r="H228" s="145">
        <f t="shared" si="86"/>
        <v>0</v>
      </c>
      <c r="I228" s="145">
        <f t="shared" si="77"/>
        <v>0</v>
      </c>
      <c r="J228" s="145">
        <f t="shared" si="78"/>
        <v>0</v>
      </c>
      <c r="K228" s="142" t="str">
        <f t="shared" si="87"/>
        <v>kWh</v>
      </c>
      <c r="L228" s="146">
        <f>IFERROR(INDEX(Työkonekanta!$I$3:$I$27,MATCH('S3 Tiekartta'!$A228,Työkonekanta!$A$3:$A$24,0),1)*(I228+J228)*f_adblue,0)</f>
        <v>0</v>
      </c>
      <c r="M228" s="146">
        <f t="shared" si="96"/>
        <v>0</v>
      </c>
      <c r="N228" s="143" t="str">
        <f>IF(tuulisähkö_vuosi&lt;='S3 Tiekartta'!C228,"tuulisähkö",ostosähkö_nyt)</f>
        <v>jäännössähkö</v>
      </c>
      <c r="O228" s="147">
        <f>INDEX(Muuttujat!$J$5:$J$21,MATCH($C228,Muuttujat!$H$5:$H$21,0),1)</f>
        <v>64.542936272148211</v>
      </c>
      <c r="P228" s="148">
        <f t="shared" si="88"/>
        <v>0.92</v>
      </c>
      <c r="Q228" s="148">
        <f t="shared" si="89"/>
        <v>0.08</v>
      </c>
      <c r="R228" s="148">
        <f t="shared" si="90"/>
        <v>0.08</v>
      </c>
      <c r="S228" s="149">
        <f t="shared" si="79"/>
        <v>0</v>
      </c>
      <c r="T228" s="150">
        <f t="shared" si="80"/>
        <v>0</v>
      </c>
      <c r="U228" s="150">
        <f t="shared" si="81"/>
        <v>0</v>
      </c>
      <c r="V228" s="150">
        <f>IFERROR(INDEX(Työkonekanta!$J$3:$J$27,MATCH($A228,Työkonekanta!$A$3:$A$24,0),1)*$B228*ef_li_ion_akku/1000/1000/INDEX(Työkonekanta!$K$3:$K$27,MATCH($A228,Työkonekanta!$A$3:$A$24,0)),0)</f>
        <v>0</v>
      </c>
      <c r="W228" s="149">
        <f t="shared" si="97"/>
        <v>0</v>
      </c>
      <c r="X228" s="150">
        <f t="shared" si="98"/>
        <v>0</v>
      </c>
      <c r="Y228" s="151">
        <f t="shared" si="99"/>
        <v>0</v>
      </c>
      <c r="Z228" s="152">
        <f t="shared" si="91"/>
        <v>0</v>
      </c>
      <c r="AA228" s="179">
        <f t="shared" si="92"/>
        <v>0</v>
      </c>
      <c r="AB228" s="179">
        <f t="shared" si="93"/>
        <v>0</v>
      </c>
      <c r="AC228" s="180">
        <f t="shared" si="100"/>
        <v>0</v>
      </c>
      <c r="AD228" s="156">
        <f t="shared" si="94"/>
        <v>0</v>
      </c>
      <c r="AE228" s="146">
        <f>IFERROR(INDEX(Työkonekanta!$L$3:$L$30,MATCH($A228,Työkonekanta!$A$3:$A$30,0),1),0)*AF228</f>
        <v>0</v>
      </c>
      <c r="AF228" s="146">
        <f>IFERROR(INDEX(Työkonekanta!$N$3:$N$32,MATCH($A228,Työkonekanta!$A$3:$A$32,0),1),0)</f>
        <v>0</v>
      </c>
      <c r="AG228" s="332">
        <f>I228*INDEX(Muuttujat!$U$5:$U$21,MATCH($C228,Muuttujat!$N$5:$N$21,0),1)</f>
        <v>0</v>
      </c>
      <c r="AH228" s="332">
        <f>J228*INDEX(Muuttujat!$T$5:$T$21,MATCH($C228,Muuttujat!$N$5:$N$21,0),1)</f>
        <v>0</v>
      </c>
      <c r="AI228" s="332">
        <f t="shared" si="82"/>
        <v>0</v>
      </c>
      <c r="AJ228" s="332">
        <f t="shared" si="83"/>
        <v>0</v>
      </c>
      <c r="AK228" s="333">
        <f t="shared" si="95"/>
        <v>0</v>
      </c>
      <c r="AL228" s="332">
        <f t="shared" si="84"/>
        <v>0</v>
      </c>
      <c r="AM228" s="351"/>
      <c r="AN228" s="351"/>
    </row>
    <row r="229" spans="1:40">
      <c r="A229" s="139">
        <v>17</v>
      </c>
      <c r="B229" s="139">
        <f>IFERROR(IF((INDEX(Työkonekanta!$F$3:$F$27,MATCH('S3 Tiekartta'!$A229,Työkonekanta!$A$3:$A$24,0),1))&lt;0,0,(INDEX(Työkonekanta!$F$3:$F$27,MATCH('S3 Tiekartta'!$A229,Työkonekanta!$A$3:$A$24,0),1))),0)</f>
        <v>1</v>
      </c>
      <c r="C229" s="140">
        <v>2026</v>
      </c>
      <c r="D229" s="141" t="str">
        <f>IFERROR(INDEX(Työkonekanta!$D$3:$D$27,MATCH('S3 Tiekartta'!$A229,Työkonekanta!$A$3:$A$24,0),1),"undefined")</f>
        <v>pom</v>
      </c>
      <c r="E229" s="145">
        <f>IFERROR(INDEX(Työkonekanta!$G$3:$G$27,MATCH($A229,Työkonekanta!$A$3:$A$24,0),1)*INDEX(Työkonekanta!$H$3:$H$27,MATCH($A229,Työkonekanta!$A$3:$A$24,0),1)*(1+s0b_kasvu*($C229-2019))*$B229,0)</f>
        <v>10700</v>
      </c>
      <c r="F229" s="145">
        <f t="shared" si="76"/>
        <v>384130</v>
      </c>
      <c r="G229" s="151">
        <f t="shared" si="85"/>
        <v>353399.60000000003</v>
      </c>
      <c r="H229" s="145">
        <f t="shared" si="86"/>
        <v>30730.400000000001</v>
      </c>
      <c r="I229" s="145">
        <f t="shared" si="77"/>
        <v>9844.0000000000018</v>
      </c>
      <c r="J229" s="145">
        <f t="shared" si="78"/>
        <v>895.93002915451905</v>
      </c>
      <c r="K229" s="142" t="str">
        <f t="shared" si="87"/>
        <v>l</v>
      </c>
      <c r="L229" s="146">
        <f>IFERROR(INDEX(Työkonekanta!$I$3:$I$27,MATCH('S3 Tiekartta'!$A229,Työkonekanta!$A$3:$A$24,0),1)*(I229+J229)*f_adblue,0)</f>
        <v>536.99650145772603</v>
      </c>
      <c r="M229" s="146">
        <f t="shared" si="96"/>
        <v>0</v>
      </c>
      <c r="N229" s="143" t="str">
        <f>IF(tuulisähkö_vuosi&lt;='S3 Tiekartta'!C229,"tuulisähkö",ostosähkö_nyt)</f>
        <v>jäännössähkö</v>
      </c>
      <c r="O229" s="147">
        <f>INDEX(Muuttujat!$J$5:$J$21,MATCH($C229,Muuttujat!$H$5:$H$21,0),1)</f>
        <v>64.542936272148211</v>
      </c>
      <c r="P229" s="148">
        <f t="shared" si="88"/>
        <v>0.92</v>
      </c>
      <c r="Q229" s="148">
        <f t="shared" si="89"/>
        <v>0.08</v>
      </c>
      <c r="R229" s="148">
        <f t="shared" si="90"/>
        <v>0.08</v>
      </c>
      <c r="S229" s="149">
        <f t="shared" si="79"/>
        <v>6.67925244</v>
      </c>
      <c r="T229" s="150">
        <f t="shared" si="80"/>
        <v>1.9175769599999999</v>
      </c>
      <c r="U229" s="150">
        <f t="shared" si="81"/>
        <v>0</v>
      </c>
      <c r="V229" s="150">
        <f>IFERROR(INDEX(Työkonekanta!$J$3:$J$27,MATCH($A229,Työkonekanta!$A$3:$A$24,0),1)*$B229*ef_li_ion_akku/1000/1000/INDEX(Työkonekanta!$K$3:$K$27,MATCH($A229,Työkonekanta!$A$3:$A$24,0)),0)</f>
        <v>0</v>
      </c>
      <c r="W229" s="149">
        <f t="shared" si="97"/>
        <v>26.083807538738405</v>
      </c>
      <c r="X229" s="150">
        <f t="shared" si="98"/>
        <v>0.33998785619999994</v>
      </c>
      <c r="Y229" s="151">
        <f t="shared" si="99"/>
        <v>0.13961909037900874</v>
      </c>
      <c r="Z229" s="152">
        <f t="shared" si="91"/>
        <v>8.5968294000000007</v>
      </c>
      <c r="AA229" s="179">
        <f t="shared" si="92"/>
        <v>26.223426629117412</v>
      </c>
      <c r="AB229" s="179">
        <f t="shared" si="93"/>
        <v>26.563414485317413</v>
      </c>
      <c r="AC229" s="180">
        <f t="shared" si="100"/>
        <v>34.820256029117417</v>
      </c>
      <c r="AD229" s="156">
        <f t="shared" si="94"/>
        <v>35.160243885317414</v>
      </c>
      <c r="AE229" s="146">
        <f>IFERROR(INDEX(Työkonekanta!$L$3:$L$30,MATCH($A229,Työkonekanta!$A$3:$A$30,0),1),0)*AF229</f>
        <v>500000</v>
      </c>
      <c r="AF229" s="146">
        <f>IFERROR(INDEX(Työkonekanta!$N$3:$N$32,MATCH($A229,Työkonekanta!$A$3:$A$32,0),1),0)</f>
        <v>1</v>
      </c>
      <c r="AG229" s="332">
        <f>I229*INDEX(Muuttujat!$U$5:$U$21,MATCH($C229,Muuttujat!$N$5:$N$21,0),1)</f>
        <v>10139.320000000002</v>
      </c>
      <c r="AH229" s="332">
        <f>J229*INDEX(Muuttujat!$T$5:$T$21,MATCH($C229,Muuttujat!$N$5:$N$21,0),1)</f>
        <v>1281.1799416909623</v>
      </c>
      <c r="AI229" s="332">
        <f t="shared" si="82"/>
        <v>268.49825072886301</v>
      </c>
      <c r="AJ229" s="332">
        <f t="shared" si="83"/>
        <v>0</v>
      </c>
      <c r="AK229" s="333">
        <f t="shared" si="95"/>
        <v>11688.998192419826</v>
      </c>
      <c r="AL229" s="332">
        <f t="shared" si="84"/>
        <v>11688.998192419826</v>
      </c>
      <c r="AM229" s="351"/>
      <c r="AN229" s="351"/>
    </row>
    <row r="230" spans="1:40">
      <c r="A230" s="139">
        <v>18</v>
      </c>
      <c r="B230" s="139">
        <f>IFERROR(IF((INDEX(Työkonekanta!$F$3:$F$27,MATCH('S3 Tiekartta'!$A230,Työkonekanta!$A$3:$A$24,0),1))&lt;0,0,(INDEX(Työkonekanta!$F$3:$F$27,MATCH('S3 Tiekartta'!$A230,Työkonekanta!$A$3:$A$24,0),1))),0)</f>
        <v>1</v>
      </c>
      <c r="C230" s="140">
        <v>2026</v>
      </c>
      <c r="D230" s="141" t="str">
        <f>IFERROR(INDEX(Työkonekanta!$D$3:$D$27,MATCH('S3 Tiekartta'!$A230,Työkonekanta!$A$3:$A$24,0),1),"undefined")</f>
        <v>pom</v>
      </c>
      <c r="E230" s="145">
        <f>IFERROR(INDEX(Työkonekanta!$G$3:$G$27,MATCH($A230,Työkonekanta!$A$3:$A$24,0),1)*INDEX(Työkonekanta!$H$3:$H$27,MATCH($A230,Työkonekanta!$A$3:$A$24,0),1)*(1+s0b_kasvu*($C230-2019))*$B230,0)</f>
        <v>10700</v>
      </c>
      <c r="F230" s="145">
        <f t="shared" si="76"/>
        <v>384130</v>
      </c>
      <c r="G230" s="151">
        <f t="shared" si="85"/>
        <v>353399.60000000003</v>
      </c>
      <c r="H230" s="145">
        <f t="shared" si="86"/>
        <v>30730.400000000001</v>
      </c>
      <c r="I230" s="145">
        <f t="shared" si="77"/>
        <v>9844.0000000000018</v>
      </c>
      <c r="J230" s="145">
        <f t="shared" si="78"/>
        <v>895.93002915451905</v>
      </c>
      <c r="K230" s="142" t="str">
        <f t="shared" si="87"/>
        <v>l</v>
      </c>
      <c r="L230" s="146">
        <f>IFERROR(INDEX(Työkonekanta!$I$3:$I$27,MATCH('S3 Tiekartta'!$A230,Työkonekanta!$A$3:$A$24,0),1)*(I230+J230)*f_adblue,0)</f>
        <v>429.59720116618087</v>
      </c>
      <c r="M230" s="146">
        <f t="shared" si="96"/>
        <v>0</v>
      </c>
      <c r="N230" s="143" t="str">
        <f>IF(tuulisähkö_vuosi&lt;='S3 Tiekartta'!C230,"tuulisähkö",ostosähkö_nyt)</f>
        <v>jäännössähkö</v>
      </c>
      <c r="O230" s="147">
        <f>INDEX(Muuttujat!$J$5:$J$21,MATCH($C230,Muuttujat!$H$5:$H$21,0),1)</f>
        <v>64.542936272148211</v>
      </c>
      <c r="P230" s="148">
        <f t="shared" si="88"/>
        <v>0.92</v>
      </c>
      <c r="Q230" s="148">
        <f t="shared" si="89"/>
        <v>0.08</v>
      </c>
      <c r="R230" s="148">
        <f t="shared" si="90"/>
        <v>0.08</v>
      </c>
      <c r="S230" s="149">
        <f t="shared" si="79"/>
        <v>6.67925244</v>
      </c>
      <c r="T230" s="150">
        <f t="shared" si="80"/>
        <v>1.9175769599999999</v>
      </c>
      <c r="U230" s="150">
        <f t="shared" si="81"/>
        <v>0</v>
      </c>
      <c r="V230" s="150">
        <f>IFERROR(INDEX(Työkonekanta!$J$3:$J$27,MATCH($A230,Työkonekanta!$A$3:$A$24,0),1)*$B230*ef_li_ion_akku/1000/1000/INDEX(Työkonekanta!$K$3:$K$27,MATCH($A230,Työkonekanta!$A$3:$A$24,0)),0)</f>
        <v>0</v>
      </c>
      <c r="W230" s="149">
        <f t="shared" si="97"/>
        <v>26.083807538738405</v>
      </c>
      <c r="X230" s="150">
        <f t="shared" si="98"/>
        <v>0.33998785619999994</v>
      </c>
      <c r="Y230" s="151">
        <f t="shared" si="99"/>
        <v>0.11169527230320701</v>
      </c>
      <c r="Z230" s="152">
        <f t="shared" si="91"/>
        <v>8.5968294000000007</v>
      </c>
      <c r="AA230" s="179">
        <f t="shared" si="92"/>
        <v>26.195502811041614</v>
      </c>
      <c r="AB230" s="179">
        <f t="shared" si="93"/>
        <v>26.535490667241614</v>
      </c>
      <c r="AC230" s="180">
        <f t="shared" si="100"/>
        <v>34.792332211041611</v>
      </c>
      <c r="AD230" s="156">
        <f t="shared" si="94"/>
        <v>35.132320067241615</v>
      </c>
      <c r="AE230" s="146">
        <f>IFERROR(INDEX(Työkonekanta!$L$3:$L$30,MATCH($A230,Työkonekanta!$A$3:$A$30,0),1),0)*AF230</f>
        <v>500000</v>
      </c>
      <c r="AF230" s="146">
        <f>IFERROR(INDEX(Työkonekanta!$N$3:$N$32,MATCH($A230,Työkonekanta!$A$3:$A$32,0),1),0)</f>
        <v>1</v>
      </c>
      <c r="AG230" s="332">
        <f>I230*INDEX(Muuttujat!$U$5:$U$21,MATCH($C230,Muuttujat!$N$5:$N$21,0),1)</f>
        <v>10139.320000000002</v>
      </c>
      <c r="AH230" s="332">
        <f>J230*INDEX(Muuttujat!$T$5:$T$21,MATCH($C230,Muuttujat!$N$5:$N$21,0),1)</f>
        <v>1281.1799416909623</v>
      </c>
      <c r="AI230" s="332">
        <f t="shared" si="82"/>
        <v>214.79860058309043</v>
      </c>
      <c r="AJ230" s="332">
        <f t="shared" si="83"/>
        <v>0</v>
      </c>
      <c r="AK230" s="333">
        <f t="shared" si="95"/>
        <v>11635.298542274053</v>
      </c>
      <c r="AL230" s="332">
        <f t="shared" si="84"/>
        <v>11635.298542274053</v>
      </c>
      <c r="AM230" s="351"/>
      <c r="AN230" s="351"/>
    </row>
    <row r="231" spans="1:40">
      <c r="A231" s="139">
        <v>19</v>
      </c>
      <c r="B231" s="139">
        <f>IFERROR(IF((INDEX(Työkonekanta!$F$3:$F$27,MATCH('S3 Tiekartta'!$A231,Työkonekanta!$A$3:$A$24,0),1))&lt;0,0,(INDEX(Työkonekanta!$F$3:$F$27,MATCH('S3 Tiekartta'!$A231,Työkonekanta!$A$3:$A$24,0),1))),0)</f>
        <v>0</v>
      </c>
      <c r="C231" s="140">
        <v>2026</v>
      </c>
      <c r="D231" s="141" t="str">
        <f>IFERROR(INDEX(Työkonekanta!$D$3:$D$27,MATCH('S3 Tiekartta'!$A231,Työkonekanta!$A$3:$A$24,0),1),"undefined")</f>
        <v>pom</v>
      </c>
      <c r="E231" s="145">
        <f>IFERROR(INDEX(Työkonekanta!$G$3:$G$27,MATCH($A231,Työkonekanta!$A$3:$A$24,0),1)*INDEX(Työkonekanta!$H$3:$H$27,MATCH($A231,Työkonekanta!$A$3:$A$24,0),1)*(1+s0b_kasvu*($C231-2019))*$B231,0)</f>
        <v>0</v>
      </c>
      <c r="F231" s="145">
        <f t="shared" si="76"/>
        <v>0</v>
      </c>
      <c r="G231" s="151">
        <f t="shared" si="85"/>
        <v>0</v>
      </c>
      <c r="H231" s="145">
        <f t="shared" si="86"/>
        <v>0</v>
      </c>
      <c r="I231" s="145">
        <f t="shared" si="77"/>
        <v>0</v>
      </c>
      <c r="J231" s="145">
        <f t="shared" si="78"/>
        <v>0</v>
      </c>
      <c r="K231" s="142" t="str">
        <f t="shared" si="87"/>
        <v>l</v>
      </c>
      <c r="L231" s="146">
        <f>IFERROR(INDEX(Työkonekanta!$I$3:$I$27,MATCH('S3 Tiekartta'!$A231,Työkonekanta!$A$3:$A$24,0),1)*(I231+J231)*f_adblue,0)</f>
        <v>0</v>
      </c>
      <c r="M231" s="146">
        <f t="shared" si="96"/>
        <v>0</v>
      </c>
      <c r="N231" s="143" t="str">
        <f>IF(tuulisähkö_vuosi&lt;='S3 Tiekartta'!C231,"tuulisähkö",ostosähkö_nyt)</f>
        <v>jäännössähkö</v>
      </c>
      <c r="O231" s="147">
        <f>INDEX(Muuttujat!$J$5:$J$21,MATCH($C231,Muuttujat!$H$5:$H$21,0),1)</f>
        <v>64.542936272148211</v>
      </c>
      <c r="P231" s="148">
        <f t="shared" si="88"/>
        <v>0.92</v>
      </c>
      <c r="Q231" s="148">
        <f t="shared" si="89"/>
        <v>0.08</v>
      </c>
      <c r="R231" s="148">
        <f t="shared" si="90"/>
        <v>0.08</v>
      </c>
      <c r="S231" s="149">
        <f t="shared" si="79"/>
        <v>0</v>
      </c>
      <c r="T231" s="150">
        <f t="shared" si="80"/>
        <v>0</v>
      </c>
      <c r="U231" s="150">
        <f t="shared" si="81"/>
        <v>0</v>
      </c>
      <c r="V231" s="150">
        <f>IFERROR(INDEX(Työkonekanta!$J$3:$J$27,MATCH($A231,Työkonekanta!$A$3:$A$24,0),1)*$B231*ef_li_ion_akku/1000/1000/INDEX(Työkonekanta!$K$3:$K$27,MATCH($A231,Työkonekanta!$A$3:$A$24,0)),0)</f>
        <v>0</v>
      </c>
      <c r="W231" s="149">
        <f t="shared" si="97"/>
        <v>0</v>
      </c>
      <c r="X231" s="150">
        <f t="shared" si="98"/>
        <v>0</v>
      </c>
      <c r="Y231" s="151">
        <f t="shared" si="99"/>
        <v>0</v>
      </c>
      <c r="Z231" s="152">
        <f t="shared" si="91"/>
        <v>0</v>
      </c>
      <c r="AA231" s="179">
        <f t="shared" si="92"/>
        <v>0</v>
      </c>
      <c r="AB231" s="179">
        <f t="shared" si="93"/>
        <v>0</v>
      </c>
      <c r="AC231" s="180">
        <f t="shared" si="100"/>
        <v>0</v>
      </c>
      <c r="AD231" s="156">
        <f t="shared" si="94"/>
        <v>0</v>
      </c>
      <c r="AE231" s="146">
        <f>IFERROR(INDEX(Työkonekanta!$L$3:$L$30,MATCH($A231,Työkonekanta!$A$3:$A$30,0),1),0)*AF231</f>
        <v>0</v>
      </c>
      <c r="AF231" s="146">
        <f>IFERROR(INDEX(Työkonekanta!$N$3:$N$32,MATCH($A231,Työkonekanta!$A$3:$A$32,0),1),0)</f>
        <v>0</v>
      </c>
      <c r="AG231" s="332">
        <f>I231*INDEX(Muuttujat!$U$5:$U$21,MATCH($C231,Muuttujat!$N$5:$N$21,0),1)</f>
        <v>0</v>
      </c>
      <c r="AH231" s="332">
        <f>J231*INDEX(Muuttujat!$T$5:$T$21,MATCH($C231,Muuttujat!$N$5:$N$21,0),1)</f>
        <v>0</v>
      </c>
      <c r="AI231" s="332">
        <f t="shared" si="82"/>
        <v>0</v>
      </c>
      <c r="AJ231" s="332">
        <f t="shared" si="83"/>
        <v>0</v>
      </c>
      <c r="AK231" s="333">
        <f t="shared" si="95"/>
        <v>0</v>
      </c>
      <c r="AL231" s="332">
        <f t="shared" si="84"/>
        <v>0</v>
      </c>
      <c r="AM231" s="351"/>
      <c r="AN231" s="351"/>
    </row>
    <row r="232" spans="1:40">
      <c r="A232" s="139">
        <v>20</v>
      </c>
      <c r="B232" s="139">
        <f>IFERROR(IF((INDEX(Työkonekanta!$F$3:$F$27,MATCH('S3 Tiekartta'!$A232,Työkonekanta!$A$3:$A$24,0),1))&lt;0,0,(INDEX(Työkonekanta!$F$3:$F$27,MATCH('S3 Tiekartta'!$A232,Työkonekanta!$A$3:$A$24,0),1))),0)</f>
        <v>0</v>
      </c>
      <c r="C232" s="140">
        <v>2026</v>
      </c>
      <c r="D232" s="141" t="str">
        <f>IFERROR(INDEX(Työkonekanta!$D$3:$D$27,MATCH('S3 Tiekartta'!$A232,Työkonekanta!$A$3:$A$24,0),1),"undefined")</f>
        <v>pom</v>
      </c>
      <c r="E232" s="145">
        <f>IFERROR(INDEX(Työkonekanta!$G$3:$G$27,MATCH($A232,Työkonekanta!$A$3:$A$24,0),1)*INDEX(Työkonekanta!$H$3:$H$27,MATCH($A232,Työkonekanta!$A$3:$A$24,0),1)*(1+s0b_kasvu*($C232-2019))*$B232,0)</f>
        <v>0</v>
      </c>
      <c r="F232" s="145">
        <f t="shared" si="76"/>
        <v>0</v>
      </c>
      <c r="G232" s="151">
        <f t="shared" si="85"/>
        <v>0</v>
      </c>
      <c r="H232" s="145">
        <f t="shared" si="86"/>
        <v>0</v>
      </c>
      <c r="I232" s="145">
        <f t="shared" si="77"/>
        <v>0</v>
      </c>
      <c r="J232" s="145">
        <f t="shared" si="78"/>
        <v>0</v>
      </c>
      <c r="K232" s="142" t="str">
        <f t="shared" si="87"/>
        <v>l</v>
      </c>
      <c r="L232" s="146">
        <f>IFERROR(INDEX(Työkonekanta!$I$3:$I$27,MATCH('S3 Tiekartta'!$A232,Työkonekanta!$A$3:$A$24,0),1)*(I232+J232)*f_adblue,0)</f>
        <v>0</v>
      </c>
      <c r="M232" s="146">
        <f t="shared" si="96"/>
        <v>0</v>
      </c>
      <c r="N232" s="143" t="str">
        <f>IF(tuulisähkö_vuosi&lt;='S3 Tiekartta'!C232,"tuulisähkö",ostosähkö_nyt)</f>
        <v>jäännössähkö</v>
      </c>
      <c r="O232" s="147">
        <f>INDEX(Muuttujat!$J$5:$J$21,MATCH($C232,Muuttujat!$H$5:$H$21,0),1)</f>
        <v>64.542936272148211</v>
      </c>
      <c r="P232" s="148">
        <f t="shared" si="88"/>
        <v>0.92</v>
      </c>
      <c r="Q232" s="148">
        <f t="shared" si="89"/>
        <v>0.08</v>
      </c>
      <c r="R232" s="148">
        <f t="shared" si="90"/>
        <v>0.08</v>
      </c>
      <c r="S232" s="149">
        <f t="shared" si="79"/>
        <v>0</v>
      </c>
      <c r="T232" s="150">
        <f t="shared" si="80"/>
        <v>0</v>
      </c>
      <c r="U232" s="150">
        <f t="shared" si="81"/>
        <v>0</v>
      </c>
      <c r="V232" s="150">
        <f>IFERROR(INDEX(Työkonekanta!$J$3:$J$27,MATCH($A232,Työkonekanta!$A$3:$A$24,0),1)*$B232*ef_li_ion_akku/1000/1000/INDEX(Työkonekanta!$K$3:$K$27,MATCH($A232,Työkonekanta!$A$3:$A$24,0)),0)</f>
        <v>0</v>
      </c>
      <c r="W232" s="149">
        <f t="shared" si="97"/>
        <v>0</v>
      </c>
      <c r="X232" s="150">
        <f t="shared" si="98"/>
        <v>0</v>
      </c>
      <c r="Y232" s="151">
        <f t="shared" si="99"/>
        <v>0</v>
      </c>
      <c r="Z232" s="152">
        <f t="shared" si="91"/>
        <v>0</v>
      </c>
      <c r="AA232" s="179">
        <f t="shared" si="92"/>
        <v>0</v>
      </c>
      <c r="AB232" s="179">
        <f t="shared" si="93"/>
        <v>0</v>
      </c>
      <c r="AC232" s="180">
        <f t="shared" si="100"/>
        <v>0</v>
      </c>
      <c r="AD232" s="156">
        <f t="shared" si="94"/>
        <v>0</v>
      </c>
      <c r="AE232" s="146">
        <f>IFERROR(INDEX(Työkonekanta!$L$3:$L$30,MATCH($A232,Työkonekanta!$A$3:$A$30,0),1),0)*AF232</f>
        <v>0</v>
      </c>
      <c r="AF232" s="146">
        <f>IFERROR(INDEX(Työkonekanta!$N$3:$N$32,MATCH($A232,Työkonekanta!$A$3:$A$32,0),1),0)</f>
        <v>0</v>
      </c>
      <c r="AG232" s="332">
        <f>I232*INDEX(Muuttujat!$U$5:$U$21,MATCH($C232,Muuttujat!$N$5:$N$21,0),1)</f>
        <v>0</v>
      </c>
      <c r="AH232" s="332">
        <f>J232*INDEX(Muuttujat!$T$5:$T$21,MATCH($C232,Muuttujat!$N$5:$N$21,0),1)</f>
        <v>0</v>
      </c>
      <c r="AI232" s="332">
        <f t="shared" si="82"/>
        <v>0</v>
      </c>
      <c r="AJ232" s="332">
        <f t="shared" si="83"/>
        <v>0</v>
      </c>
      <c r="AK232" s="333">
        <f t="shared" si="95"/>
        <v>0</v>
      </c>
      <c r="AL232" s="332">
        <f t="shared" si="84"/>
        <v>0</v>
      </c>
      <c r="AM232" s="351"/>
      <c r="AN232" s="351"/>
    </row>
    <row r="233" spans="1:40">
      <c r="A233" s="139">
        <v>21</v>
      </c>
      <c r="B233" s="139">
        <f>IFERROR(IF((INDEX(Työkonekanta!$F$3:$F$27,MATCH('S3 Tiekartta'!$A233,Työkonekanta!$A$3:$A$24,0),1))&lt;0,0,(INDEX(Työkonekanta!$F$3:$F$27,MATCH('S3 Tiekartta'!$A233,Työkonekanta!$A$3:$A$24,0),1))),0)</f>
        <v>35</v>
      </c>
      <c r="C233" s="140">
        <v>2026</v>
      </c>
      <c r="D233" s="141" t="str">
        <f>IFERROR(INDEX(Työkonekanta!$D$3:$D$27,MATCH('S3 Tiekartta'!$A233,Työkonekanta!$A$3:$A$24,0),1),"undefined")</f>
        <v>sähkö</v>
      </c>
      <c r="E233" s="145">
        <f>IFERROR(INDEX(Työkonekanta!$G$3:$G$27,MATCH($A233,Työkonekanta!$A$3:$A$24,0),1)*INDEX(Työkonekanta!$H$3:$H$27,MATCH($A233,Työkonekanta!$A$3:$A$24,0),1)*(1+s0b_kasvu*($C233-2019))*$B233,0)</f>
        <v>435703.00925925933</v>
      </c>
      <c r="F233" s="145">
        <f t="shared" si="76"/>
        <v>0</v>
      </c>
      <c r="G233" s="151">
        <f t="shared" si="85"/>
        <v>0</v>
      </c>
      <c r="H233" s="145">
        <f t="shared" si="86"/>
        <v>0</v>
      </c>
      <c r="I233" s="145">
        <f t="shared" si="77"/>
        <v>0</v>
      </c>
      <c r="J233" s="145">
        <f t="shared" si="78"/>
        <v>0</v>
      </c>
      <c r="K233" s="142" t="str">
        <f t="shared" si="87"/>
        <v>kWh</v>
      </c>
      <c r="L233" s="146">
        <f>IFERROR(INDEX(Työkonekanta!$I$3:$I$27,MATCH('S3 Tiekartta'!$A233,Työkonekanta!$A$3:$A$24,0),1)*(I233+J233)*f_adblue,0)</f>
        <v>0</v>
      </c>
      <c r="M233" s="146">
        <f t="shared" si="96"/>
        <v>1568530.8333333337</v>
      </c>
      <c r="N233" s="143" t="str">
        <f>IF(tuulisähkö_vuosi&lt;='S3 Tiekartta'!C233,"tuulisähkö",ostosähkö_nyt)</f>
        <v>jäännössähkö</v>
      </c>
      <c r="O233" s="147">
        <f>INDEX(Muuttujat!$J$5:$J$21,MATCH($C233,Muuttujat!$H$5:$H$21,0),1)</f>
        <v>64.542936272148211</v>
      </c>
      <c r="P233" s="148">
        <f t="shared" si="88"/>
        <v>0.92</v>
      </c>
      <c r="Q233" s="148">
        <f t="shared" si="89"/>
        <v>0.08</v>
      </c>
      <c r="R233" s="148">
        <f t="shared" si="90"/>
        <v>0.08</v>
      </c>
      <c r="S233" s="149">
        <f t="shared" si="79"/>
        <v>0</v>
      </c>
      <c r="T233" s="150">
        <f t="shared" si="80"/>
        <v>0</v>
      </c>
      <c r="U233" s="150">
        <f t="shared" si="81"/>
        <v>101.23758561673287</v>
      </c>
      <c r="V233" s="150">
        <f>IFERROR(INDEX(Työkonekanta!$J$3:$J$27,MATCH($A233,Työkonekanta!$A$3:$A$24,0),1)*$B233*ef_li_ion_akku/1000/1000/INDEX(Työkonekanta!$K$3:$K$27,MATCH($A233,Työkonekanta!$A$3:$A$24,0)),0)</f>
        <v>43.121723076923082</v>
      </c>
      <c r="W233" s="149">
        <f t="shared" si="97"/>
        <v>0</v>
      </c>
      <c r="X233" s="150">
        <f t="shared" si="98"/>
        <v>0</v>
      </c>
      <c r="Y233" s="151">
        <f t="shared" si="99"/>
        <v>0</v>
      </c>
      <c r="Z233" s="152">
        <f t="shared" si="91"/>
        <v>144.35930869365595</v>
      </c>
      <c r="AA233" s="179">
        <f t="shared" si="92"/>
        <v>0</v>
      </c>
      <c r="AB233" s="179">
        <f t="shared" si="93"/>
        <v>0</v>
      </c>
      <c r="AC233" s="180">
        <f t="shared" si="100"/>
        <v>144.35930869365595</v>
      </c>
      <c r="AD233" s="156">
        <f t="shared" si="94"/>
        <v>144.35930869365595</v>
      </c>
      <c r="AE233" s="146">
        <f>IFERROR(INDEX(Työkonekanta!$L$3:$L$30,MATCH($A233,Työkonekanta!$A$3:$A$30,0),1),0)*AF233</f>
        <v>1820000</v>
      </c>
      <c r="AF233" s="146">
        <f>IFERROR(INDEX(Työkonekanta!$N$3:$N$32,MATCH($A233,Työkonekanta!$A$3:$A$32,0),1),0)</f>
        <v>7</v>
      </c>
      <c r="AG233" s="332">
        <f>I233*INDEX(Muuttujat!$U$5:$U$21,MATCH($C233,Muuttujat!$N$5:$N$21,0),1)</f>
        <v>0</v>
      </c>
      <c r="AH233" s="332">
        <f>J233*INDEX(Muuttujat!$T$5:$T$21,MATCH($C233,Muuttujat!$N$5:$N$21,0),1)</f>
        <v>0</v>
      </c>
      <c r="AI233" s="332">
        <f t="shared" si="82"/>
        <v>0</v>
      </c>
      <c r="AJ233" s="332">
        <f t="shared" si="83"/>
        <v>38559.716319444451</v>
      </c>
      <c r="AK233" s="333">
        <f t="shared" si="95"/>
        <v>38559.716319444451</v>
      </c>
      <c r="AL233" s="332">
        <f t="shared" si="84"/>
        <v>1101.7061805555556</v>
      </c>
      <c r="AM233" s="351"/>
      <c r="AN233" s="351"/>
    </row>
    <row r="234" spans="1:40">
      <c r="A234" s="139">
        <v>22</v>
      </c>
      <c r="B234" s="139">
        <f>IFERROR(IF((INDEX(Työkonekanta!$F$3:$F$27,MATCH('S3 Tiekartta'!$A234,Työkonekanta!$A$3:$A$24,0),1))&lt;0,0,(INDEX(Työkonekanta!$F$3:$F$27,MATCH('S3 Tiekartta'!$A234,Työkonekanta!$A$3:$A$24,0),1))),0)</f>
        <v>0</v>
      </c>
      <c r="C234" s="140">
        <v>2026</v>
      </c>
      <c r="D234" s="141" t="str">
        <f>IFERROR(INDEX(Työkonekanta!$D$3:$D$27,MATCH('S3 Tiekartta'!$A234,Työkonekanta!$A$3:$A$24,0),1),"undefined")</f>
        <v>sähkö</v>
      </c>
      <c r="E234" s="145">
        <f>IFERROR(INDEX(Työkonekanta!$G$3:$G$27,MATCH($A234,Työkonekanta!$A$3:$A$24,0),1)*INDEX(Työkonekanta!$H$3:$H$27,MATCH($A234,Työkonekanta!$A$3:$A$24,0),1)*(1+s0b_kasvu*($C234-2019))*$B234,0)</f>
        <v>0</v>
      </c>
      <c r="F234" s="145">
        <f t="shared" si="76"/>
        <v>0</v>
      </c>
      <c r="G234" s="151">
        <f t="shared" si="85"/>
        <v>0</v>
      </c>
      <c r="H234" s="145">
        <f t="shared" si="86"/>
        <v>0</v>
      </c>
      <c r="I234" s="145">
        <f t="shared" si="77"/>
        <v>0</v>
      </c>
      <c r="J234" s="145">
        <f t="shared" si="78"/>
        <v>0</v>
      </c>
      <c r="K234" s="142" t="str">
        <f t="shared" si="87"/>
        <v>kWh</v>
      </c>
      <c r="L234" s="146">
        <f>IFERROR(INDEX(Työkonekanta!$I$3:$I$27,MATCH('S3 Tiekartta'!$A234,Työkonekanta!$A$3:$A$24,0),1)*(I234+J234)*f_adblue,0)</f>
        <v>0</v>
      </c>
      <c r="M234" s="146">
        <f t="shared" si="96"/>
        <v>0</v>
      </c>
      <c r="N234" s="143" t="str">
        <f>IF(tuulisähkö_vuosi&lt;='S3 Tiekartta'!C234,"tuulisähkö",ostosähkö_nyt)</f>
        <v>jäännössähkö</v>
      </c>
      <c r="O234" s="147">
        <f>INDEX(Muuttujat!$J$5:$J$21,MATCH($C234,Muuttujat!$H$5:$H$21,0),1)</f>
        <v>64.542936272148211</v>
      </c>
      <c r="P234" s="148">
        <f t="shared" si="88"/>
        <v>0.92</v>
      </c>
      <c r="Q234" s="148">
        <f t="shared" si="89"/>
        <v>0.08</v>
      </c>
      <c r="R234" s="148">
        <f t="shared" si="90"/>
        <v>0.08</v>
      </c>
      <c r="S234" s="149">
        <f t="shared" si="79"/>
        <v>0</v>
      </c>
      <c r="T234" s="150">
        <f t="shared" si="80"/>
        <v>0</v>
      </c>
      <c r="U234" s="150">
        <f t="shared" si="81"/>
        <v>0</v>
      </c>
      <c r="V234" s="150">
        <f>IFERROR(INDEX(Työkonekanta!$J$3:$J$27,MATCH($A234,Työkonekanta!$A$3:$A$24,0),1)*$B234*ef_li_ion_akku/1000/1000/INDEX(Työkonekanta!$K$3:$K$27,MATCH($A234,Työkonekanta!$A$3:$A$24,0)),0)</f>
        <v>0</v>
      </c>
      <c r="W234" s="149">
        <f t="shared" si="97"/>
        <v>0</v>
      </c>
      <c r="X234" s="150">
        <f t="shared" si="98"/>
        <v>0</v>
      </c>
      <c r="Y234" s="151">
        <f t="shared" si="99"/>
        <v>0</v>
      </c>
      <c r="Z234" s="152">
        <f t="shared" si="91"/>
        <v>0</v>
      </c>
      <c r="AA234" s="179">
        <f t="shared" si="92"/>
        <v>0</v>
      </c>
      <c r="AB234" s="179">
        <f t="shared" si="93"/>
        <v>0</v>
      </c>
      <c r="AC234" s="180">
        <f t="shared" si="100"/>
        <v>0</v>
      </c>
      <c r="AD234" s="156">
        <f t="shared" si="94"/>
        <v>0</v>
      </c>
      <c r="AE234" s="146">
        <f>IFERROR(INDEX(Työkonekanta!$L$3:$L$30,MATCH($A234,Työkonekanta!$A$3:$A$30,0),1),0)*AF234</f>
        <v>0</v>
      </c>
      <c r="AF234" s="146">
        <f>IFERROR(INDEX(Työkonekanta!$N$3:$N$32,MATCH($A234,Työkonekanta!$A$3:$A$32,0),1),0)</f>
        <v>0</v>
      </c>
      <c r="AG234" s="332">
        <f>I234*INDEX(Muuttujat!$U$5:$U$21,MATCH($C234,Muuttujat!$N$5:$N$21,0),1)</f>
        <v>0</v>
      </c>
      <c r="AH234" s="332">
        <f>J234*INDEX(Muuttujat!$T$5:$T$21,MATCH($C234,Muuttujat!$N$5:$N$21,0),1)</f>
        <v>0</v>
      </c>
      <c r="AI234" s="332">
        <f t="shared" si="82"/>
        <v>0</v>
      </c>
      <c r="AJ234" s="332">
        <f t="shared" si="83"/>
        <v>0</v>
      </c>
      <c r="AK234" s="333">
        <f t="shared" si="95"/>
        <v>0</v>
      </c>
      <c r="AL234" s="332">
        <f t="shared" si="84"/>
        <v>0</v>
      </c>
      <c r="AM234" s="351"/>
      <c r="AN234" s="351"/>
    </row>
    <row r="235" spans="1:40">
      <c r="A235" s="139">
        <v>23</v>
      </c>
      <c r="B235" s="139">
        <f>IFERROR(IF((INDEX(Työkonekanta!$F$3:$F$27,MATCH('S3 Tiekartta'!$A235,Työkonekanta!$A$3:$A$24,0),1))&lt;0,0,(INDEX(Työkonekanta!$F$3:$F$27,MATCH('S3 Tiekartta'!$A235,Työkonekanta!$A$3:$A$24,0),1))),0)</f>
        <v>0</v>
      </c>
      <c r="C235" s="140">
        <v>2026</v>
      </c>
      <c r="D235" s="141" t="str">
        <f>IFERROR(INDEX(Työkonekanta!$D$3:$D$27,MATCH('S3 Tiekartta'!$A235,Työkonekanta!$A$3:$A$24,0),1),"undefined")</f>
        <v>undefined</v>
      </c>
      <c r="E235" s="145">
        <f>IFERROR(INDEX(Työkonekanta!$G$3:$G$27,MATCH($A235,Työkonekanta!$A$3:$A$24,0),1)*INDEX(Työkonekanta!$H$3:$H$27,MATCH($A235,Työkonekanta!$A$3:$A$24,0),1)*(1+s0b_kasvu*($C235-2019))*$B235,0)</f>
        <v>0</v>
      </c>
      <c r="F235" s="145">
        <f t="shared" si="76"/>
        <v>0</v>
      </c>
      <c r="G235" s="151">
        <f t="shared" si="85"/>
        <v>0</v>
      </c>
      <c r="H235" s="145">
        <f t="shared" si="86"/>
        <v>0</v>
      </c>
      <c r="I235" s="145">
        <f t="shared" si="77"/>
        <v>0</v>
      </c>
      <c r="J235" s="145">
        <f t="shared" si="78"/>
        <v>0</v>
      </c>
      <c r="K235" s="142" t="str">
        <f t="shared" si="87"/>
        <v>undefined</v>
      </c>
      <c r="L235" s="146">
        <f>IFERROR(INDEX(Työkonekanta!$I$3:$I$27,MATCH('S3 Tiekartta'!$A235,Työkonekanta!$A$3:$A$24,0),1)*(I235+J235)*f_adblue,0)</f>
        <v>0</v>
      </c>
      <c r="M235" s="146">
        <f t="shared" si="96"/>
        <v>0</v>
      </c>
      <c r="N235" s="143" t="str">
        <f>IF(tuulisähkö_vuosi&lt;='S3 Tiekartta'!C235,"tuulisähkö",ostosähkö_nyt)</f>
        <v>jäännössähkö</v>
      </c>
      <c r="O235" s="147">
        <f>INDEX(Muuttujat!$J$5:$J$21,MATCH($C235,Muuttujat!$H$5:$H$21,0),1)</f>
        <v>64.542936272148211</v>
      </c>
      <c r="P235" s="148">
        <f t="shared" si="88"/>
        <v>0.92</v>
      </c>
      <c r="Q235" s="148">
        <f t="shared" si="89"/>
        <v>0.08</v>
      </c>
      <c r="R235" s="148">
        <f t="shared" si="90"/>
        <v>0.08</v>
      </c>
      <c r="S235" s="149">
        <f t="shared" si="79"/>
        <v>0</v>
      </c>
      <c r="T235" s="150">
        <f t="shared" si="80"/>
        <v>0</v>
      </c>
      <c r="U235" s="150">
        <f t="shared" si="81"/>
        <v>0</v>
      </c>
      <c r="V235" s="150">
        <f>IFERROR(INDEX(Työkonekanta!$J$3:$J$27,MATCH($A235,Työkonekanta!$A$3:$A$24,0),1)*$B235*ef_li_ion_akku/1000/1000/INDEX(Työkonekanta!$K$3:$K$27,MATCH($A235,Työkonekanta!$A$3:$A$24,0)),0)</f>
        <v>0</v>
      </c>
      <c r="W235" s="149">
        <f t="shared" si="97"/>
        <v>0</v>
      </c>
      <c r="X235" s="150">
        <f t="shared" si="98"/>
        <v>0</v>
      </c>
      <c r="Y235" s="151">
        <f t="shared" si="99"/>
        <v>0</v>
      </c>
      <c r="Z235" s="152">
        <f t="shared" si="91"/>
        <v>0</v>
      </c>
      <c r="AA235" s="179">
        <f t="shared" si="92"/>
        <v>0</v>
      </c>
      <c r="AB235" s="179">
        <f t="shared" si="93"/>
        <v>0</v>
      </c>
      <c r="AC235" s="180">
        <f t="shared" si="100"/>
        <v>0</v>
      </c>
      <c r="AD235" s="156">
        <f t="shared" si="94"/>
        <v>0</v>
      </c>
      <c r="AE235" s="146">
        <f>IFERROR(INDEX(Työkonekanta!$L$3:$L$30,MATCH($A235,Työkonekanta!$A$3:$A$30,0),1),0)*AF235</f>
        <v>0</v>
      </c>
      <c r="AF235" s="146">
        <f>IFERROR(INDEX(Työkonekanta!$N$3:$N$32,MATCH($A235,Työkonekanta!$A$3:$A$32,0),1),0)</f>
        <v>0</v>
      </c>
      <c r="AG235" s="332">
        <f>I235*INDEX(Muuttujat!$U$5:$U$21,MATCH($C235,Muuttujat!$N$5:$N$21,0),1)</f>
        <v>0</v>
      </c>
      <c r="AH235" s="332">
        <f>J235*INDEX(Muuttujat!$T$5:$T$21,MATCH($C235,Muuttujat!$N$5:$N$21,0),1)</f>
        <v>0</v>
      </c>
      <c r="AI235" s="332">
        <f t="shared" si="82"/>
        <v>0</v>
      </c>
      <c r="AJ235" s="332">
        <f t="shared" si="83"/>
        <v>0</v>
      </c>
      <c r="AK235" s="333">
        <f t="shared" si="95"/>
        <v>0</v>
      </c>
      <c r="AL235" s="332">
        <f t="shared" si="84"/>
        <v>0</v>
      </c>
      <c r="AM235" s="351"/>
      <c r="AN235" s="351"/>
    </row>
    <row r="236" spans="1:40">
      <c r="A236" s="139">
        <v>24</v>
      </c>
      <c r="B236" s="139">
        <f>IFERROR(IF((INDEX(Työkonekanta!$F$3:$F$27,MATCH('S3 Tiekartta'!$A236,Työkonekanta!$A$3:$A$24,0),1))&lt;0,0,(INDEX(Työkonekanta!$F$3:$F$27,MATCH('S3 Tiekartta'!$A236,Työkonekanta!$A$3:$A$24,0),1))),0)</f>
        <v>0</v>
      </c>
      <c r="C236" s="140">
        <v>2026</v>
      </c>
      <c r="D236" s="141" t="str">
        <f>IFERROR(INDEX(Työkonekanta!$D$3:$D$27,MATCH('S3 Tiekartta'!$A236,Työkonekanta!$A$3:$A$24,0),1),"undefined")</f>
        <v>undefined</v>
      </c>
      <c r="E236" s="145">
        <f>IFERROR(INDEX(Työkonekanta!$G$3:$G$27,MATCH($A236,Työkonekanta!$A$3:$A$24,0),1)*INDEX(Työkonekanta!$H$3:$H$27,MATCH($A236,Työkonekanta!$A$3:$A$24,0),1)*(1+s0b_kasvu*($C236-2019))*$B236,0)</f>
        <v>0</v>
      </c>
      <c r="F236" s="145">
        <f t="shared" si="76"/>
        <v>0</v>
      </c>
      <c r="G236" s="151">
        <f t="shared" si="85"/>
        <v>0</v>
      </c>
      <c r="H236" s="145">
        <f t="shared" si="86"/>
        <v>0</v>
      </c>
      <c r="I236" s="145">
        <f t="shared" si="77"/>
        <v>0</v>
      </c>
      <c r="J236" s="145">
        <f t="shared" si="78"/>
        <v>0</v>
      </c>
      <c r="K236" s="142" t="str">
        <f t="shared" si="87"/>
        <v>undefined</v>
      </c>
      <c r="L236" s="146">
        <f>IFERROR(INDEX(Työkonekanta!$I$3:$I$27,MATCH('S3 Tiekartta'!$A236,Työkonekanta!$A$3:$A$24,0),1)*(I236+J236)*f_adblue,0)</f>
        <v>0</v>
      </c>
      <c r="M236" s="146">
        <f t="shared" si="96"/>
        <v>0</v>
      </c>
      <c r="N236" s="143" t="str">
        <f>IF(tuulisähkö_vuosi&lt;='S3 Tiekartta'!C236,"tuulisähkö",ostosähkö_nyt)</f>
        <v>jäännössähkö</v>
      </c>
      <c r="O236" s="147">
        <f>INDEX(Muuttujat!$J$5:$J$21,MATCH($C236,Muuttujat!$H$5:$H$21,0),1)</f>
        <v>64.542936272148211</v>
      </c>
      <c r="P236" s="148">
        <f t="shared" si="88"/>
        <v>0.92</v>
      </c>
      <c r="Q236" s="148">
        <f t="shared" si="89"/>
        <v>0.08</v>
      </c>
      <c r="R236" s="148">
        <f t="shared" si="90"/>
        <v>0.08</v>
      </c>
      <c r="S236" s="149">
        <f t="shared" si="79"/>
        <v>0</v>
      </c>
      <c r="T236" s="150">
        <f t="shared" si="80"/>
        <v>0</v>
      </c>
      <c r="U236" s="150">
        <f t="shared" si="81"/>
        <v>0</v>
      </c>
      <c r="V236" s="150">
        <f>IFERROR(INDEX(Työkonekanta!$J$3:$J$27,MATCH($A236,Työkonekanta!$A$3:$A$24,0),1)*$B236*ef_li_ion_akku/1000/1000/INDEX(Työkonekanta!$K$3:$K$27,MATCH($A236,Työkonekanta!$A$3:$A$24,0)),0)</f>
        <v>0</v>
      </c>
      <c r="W236" s="149">
        <f t="shared" si="97"/>
        <v>0</v>
      </c>
      <c r="X236" s="150">
        <f t="shared" si="98"/>
        <v>0</v>
      </c>
      <c r="Y236" s="151">
        <f t="shared" si="99"/>
        <v>0</v>
      </c>
      <c r="Z236" s="152">
        <f t="shared" si="91"/>
        <v>0</v>
      </c>
      <c r="AA236" s="179">
        <f t="shared" si="92"/>
        <v>0</v>
      </c>
      <c r="AB236" s="179">
        <f t="shared" si="93"/>
        <v>0</v>
      </c>
      <c r="AC236" s="180">
        <f t="shared" si="100"/>
        <v>0</v>
      </c>
      <c r="AD236" s="156">
        <f t="shared" si="94"/>
        <v>0</v>
      </c>
      <c r="AE236" s="146">
        <f>IFERROR(INDEX(Työkonekanta!$L$3:$L$30,MATCH($A236,Työkonekanta!$A$3:$A$30,0),1),0)*AF236</f>
        <v>0</v>
      </c>
      <c r="AF236" s="146">
        <f>IFERROR(INDEX(Työkonekanta!$N$3:$N$32,MATCH($A236,Työkonekanta!$A$3:$A$32,0),1),0)</f>
        <v>0</v>
      </c>
      <c r="AG236" s="332">
        <f>I236*INDEX(Muuttujat!$U$5:$U$21,MATCH($C236,Muuttujat!$N$5:$N$21,0),1)</f>
        <v>0</v>
      </c>
      <c r="AH236" s="332">
        <f>J236*INDEX(Muuttujat!$T$5:$T$21,MATCH($C236,Muuttujat!$N$5:$N$21,0),1)</f>
        <v>0</v>
      </c>
      <c r="AI236" s="332">
        <f t="shared" si="82"/>
        <v>0</v>
      </c>
      <c r="AJ236" s="332">
        <f t="shared" si="83"/>
        <v>0</v>
      </c>
      <c r="AK236" s="333">
        <f t="shared" si="95"/>
        <v>0</v>
      </c>
      <c r="AL236" s="332">
        <f t="shared" si="84"/>
        <v>0</v>
      </c>
      <c r="AM236" s="351"/>
      <c r="AN236" s="351"/>
    </row>
    <row r="237" spans="1:40">
      <c r="A237" s="139">
        <v>25</v>
      </c>
      <c r="B237" s="139">
        <f>IFERROR(IF((INDEX(Työkonekanta!$F$3:$F$27,MATCH('S3 Tiekartta'!$A237,Työkonekanta!$A$3:$A$24,0),1))&lt;0,0,(INDEX(Työkonekanta!$F$3:$F$27,MATCH('S3 Tiekartta'!$A237,Työkonekanta!$A$3:$A$24,0),1))),0)</f>
        <v>0</v>
      </c>
      <c r="C237" s="140">
        <v>2026</v>
      </c>
      <c r="D237" s="141" t="str">
        <f>IFERROR(INDEX(Työkonekanta!$D$3:$D$27,MATCH('S3 Tiekartta'!$A237,Työkonekanta!$A$3:$A$24,0),1),"undefined")</f>
        <v>undefined</v>
      </c>
      <c r="E237" s="145">
        <f>IFERROR(INDEX(Työkonekanta!$G$3:$G$27,MATCH($A237,Työkonekanta!$A$3:$A$24,0),1)*INDEX(Työkonekanta!$H$3:$H$27,MATCH($A237,Työkonekanta!$A$3:$A$24,0),1)*(1+s0b_kasvu*($C237-2019))*$B237,0)</f>
        <v>0</v>
      </c>
      <c r="F237" s="145">
        <f t="shared" si="76"/>
        <v>0</v>
      </c>
      <c r="G237" s="151">
        <f t="shared" si="85"/>
        <v>0</v>
      </c>
      <c r="H237" s="145">
        <f t="shared" si="86"/>
        <v>0</v>
      </c>
      <c r="I237" s="145">
        <f t="shared" si="77"/>
        <v>0</v>
      </c>
      <c r="J237" s="145">
        <f t="shared" si="78"/>
        <v>0</v>
      </c>
      <c r="K237" s="142" t="str">
        <f t="shared" si="87"/>
        <v>undefined</v>
      </c>
      <c r="L237" s="146">
        <f>IFERROR(INDEX(Työkonekanta!$I$3:$I$27,MATCH('S3 Tiekartta'!$A237,Työkonekanta!$A$3:$A$24,0),1)*(I237+J237)*f_adblue,0)</f>
        <v>0</v>
      </c>
      <c r="M237" s="146">
        <f t="shared" si="96"/>
        <v>0</v>
      </c>
      <c r="N237" s="143" t="str">
        <f>IF(tuulisähkö_vuosi&lt;='S3 Tiekartta'!C237,"tuulisähkö",ostosähkö_nyt)</f>
        <v>jäännössähkö</v>
      </c>
      <c r="O237" s="147">
        <f>INDEX(Muuttujat!$J$5:$J$21,MATCH($C237,Muuttujat!$H$5:$H$21,0),1)</f>
        <v>64.542936272148211</v>
      </c>
      <c r="P237" s="148">
        <f t="shared" si="88"/>
        <v>0.92</v>
      </c>
      <c r="Q237" s="148">
        <f t="shared" si="89"/>
        <v>0.08</v>
      </c>
      <c r="R237" s="148">
        <f t="shared" si="90"/>
        <v>0.08</v>
      </c>
      <c r="S237" s="149">
        <f t="shared" si="79"/>
        <v>0</v>
      </c>
      <c r="T237" s="150">
        <f t="shared" si="80"/>
        <v>0</v>
      </c>
      <c r="U237" s="150">
        <f t="shared" si="81"/>
        <v>0</v>
      </c>
      <c r="V237" s="150">
        <f>IFERROR(INDEX(Työkonekanta!$J$3:$J$27,MATCH($A237,Työkonekanta!$A$3:$A$24,0),1)*$B237*ef_li_ion_akku/1000/1000/INDEX(Työkonekanta!$K$3:$K$27,MATCH($A237,Työkonekanta!$A$3:$A$24,0)),0)</f>
        <v>0</v>
      </c>
      <c r="W237" s="149">
        <f t="shared" si="97"/>
        <v>0</v>
      </c>
      <c r="X237" s="150">
        <f t="shared" si="98"/>
        <v>0</v>
      </c>
      <c r="Y237" s="151">
        <f t="shared" si="99"/>
        <v>0</v>
      </c>
      <c r="Z237" s="152">
        <f t="shared" si="91"/>
        <v>0</v>
      </c>
      <c r="AA237" s="179">
        <f t="shared" si="92"/>
        <v>0</v>
      </c>
      <c r="AB237" s="179">
        <f t="shared" si="93"/>
        <v>0</v>
      </c>
      <c r="AC237" s="180">
        <f t="shared" si="100"/>
        <v>0</v>
      </c>
      <c r="AD237" s="156">
        <f t="shared" si="94"/>
        <v>0</v>
      </c>
      <c r="AE237" s="146">
        <f>IFERROR(INDEX(Työkonekanta!$L$3:$L$30,MATCH($A237,Työkonekanta!$A$3:$A$30,0),1),0)*AF237</f>
        <v>0</v>
      </c>
      <c r="AF237" s="146">
        <f>IFERROR(INDEX(Työkonekanta!$N$3:$N$32,MATCH($A237,Työkonekanta!$A$3:$A$32,0),1),0)</f>
        <v>0</v>
      </c>
      <c r="AG237" s="332">
        <f>I237*INDEX(Muuttujat!$U$5:$U$21,MATCH($C237,Muuttujat!$N$5:$N$21,0),1)</f>
        <v>0</v>
      </c>
      <c r="AH237" s="332">
        <f>J237*INDEX(Muuttujat!$T$5:$T$21,MATCH($C237,Muuttujat!$N$5:$N$21,0),1)</f>
        <v>0</v>
      </c>
      <c r="AI237" s="332">
        <f t="shared" si="82"/>
        <v>0</v>
      </c>
      <c r="AJ237" s="332">
        <f t="shared" si="83"/>
        <v>0</v>
      </c>
      <c r="AK237" s="333">
        <f t="shared" si="95"/>
        <v>0</v>
      </c>
      <c r="AL237" s="332">
        <f t="shared" si="84"/>
        <v>0</v>
      </c>
      <c r="AM237" s="351"/>
      <c r="AN237" s="351"/>
    </row>
    <row r="238" spans="1:40">
      <c r="A238" s="139">
        <v>26</v>
      </c>
      <c r="B238" s="139">
        <f>IFERROR(IF((INDEX(Työkonekanta!$F$3:$F$27,MATCH('S3 Tiekartta'!$A238,Työkonekanta!$A$3:$A$24,0),1))&lt;0,0,(INDEX(Työkonekanta!$F$3:$F$27,MATCH('S3 Tiekartta'!$A238,Työkonekanta!$A$3:$A$24,0),1))),0)</f>
        <v>0</v>
      </c>
      <c r="C238" s="140">
        <v>2026</v>
      </c>
      <c r="D238" s="141" t="str">
        <f>IFERROR(INDEX(Työkonekanta!$D$3:$D$27,MATCH('S3 Tiekartta'!$A238,Työkonekanta!$A$3:$A$24,0),1),"undefined")</f>
        <v>undefined</v>
      </c>
      <c r="E238" s="145">
        <f>IFERROR(INDEX(Työkonekanta!$G$3:$G$27,MATCH($A238,Työkonekanta!$A$3:$A$24,0),1)*INDEX(Työkonekanta!$H$3:$H$27,MATCH($A238,Työkonekanta!$A$3:$A$24,0),1)*(1+s0b_kasvu*($C238-2019))*$B238,0)</f>
        <v>0</v>
      </c>
      <c r="F238" s="145">
        <f t="shared" si="76"/>
        <v>0</v>
      </c>
      <c r="G238" s="151">
        <f t="shared" si="85"/>
        <v>0</v>
      </c>
      <c r="H238" s="145">
        <f t="shared" si="86"/>
        <v>0</v>
      </c>
      <c r="I238" s="145">
        <f t="shared" si="77"/>
        <v>0</v>
      </c>
      <c r="J238" s="145">
        <f t="shared" si="78"/>
        <v>0</v>
      </c>
      <c r="K238" s="142" t="str">
        <f t="shared" si="87"/>
        <v>undefined</v>
      </c>
      <c r="L238" s="146">
        <f>IFERROR(INDEX(Työkonekanta!$I$3:$I$27,MATCH('S3 Tiekartta'!$A238,Työkonekanta!$A$3:$A$24,0),1)*(I238+J238)*f_adblue,0)</f>
        <v>0</v>
      </c>
      <c r="M238" s="146">
        <f t="shared" si="96"/>
        <v>0</v>
      </c>
      <c r="N238" s="143" t="str">
        <f>IF(tuulisähkö_vuosi&lt;='S3 Tiekartta'!C238,"tuulisähkö",ostosähkö_nyt)</f>
        <v>jäännössähkö</v>
      </c>
      <c r="O238" s="147">
        <f>INDEX(Muuttujat!$J$5:$J$21,MATCH($C238,Muuttujat!$H$5:$H$21,0),1)</f>
        <v>64.542936272148211</v>
      </c>
      <c r="P238" s="148">
        <f t="shared" si="88"/>
        <v>0.92</v>
      </c>
      <c r="Q238" s="148">
        <f t="shared" si="89"/>
        <v>0.08</v>
      </c>
      <c r="R238" s="148">
        <f t="shared" si="90"/>
        <v>0.08</v>
      </c>
      <c r="S238" s="149">
        <f t="shared" si="79"/>
        <v>0</v>
      </c>
      <c r="T238" s="150">
        <f t="shared" si="80"/>
        <v>0</v>
      </c>
      <c r="U238" s="150">
        <f t="shared" si="81"/>
        <v>0</v>
      </c>
      <c r="V238" s="150">
        <f>IFERROR(INDEX(Työkonekanta!$J$3:$J$27,MATCH($A238,Työkonekanta!$A$3:$A$24,0),1)*$B238*ef_li_ion_akku/1000/1000/INDEX(Työkonekanta!$K$3:$K$27,MATCH($A238,Työkonekanta!$A$3:$A$24,0)),0)</f>
        <v>0</v>
      </c>
      <c r="W238" s="149">
        <f t="shared" si="97"/>
        <v>0</v>
      </c>
      <c r="X238" s="150">
        <f t="shared" si="98"/>
        <v>0</v>
      </c>
      <c r="Y238" s="151">
        <f t="shared" si="99"/>
        <v>0</v>
      </c>
      <c r="Z238" s="152">
        <f t="shared" si="91"/>
        <v>0</v>
      </c>
      <c r="AA238" s="179">
        <f t="shared" si="92"/>
        <v>0</v>
      </c>
      <c r="AB238" s="179">
        <f t="shared" si="93"/>
        <v>0</v>
      </c>
      <c r="AC238" s="180">
        <f t="shared" si="100"/>
        <v>0</v>
      </c>
      <c r="AD238" s="156">
        <f t="shared" si="94"/>
        <v>0</v>
      </c>
      <c r="AE238" s="146">
        <f>IFERROR(INDEX(Työkonekanta!$L$3:$L$30,MATCH($A238,Työkonekanta!$A$3:$A$30,0),1),0)*AF238</f>
        <v>0</v>
      </c>
      <c r="AF238" s="146">
        <f>IFERROR(INDEX(Työkonekanta!$N$3:$N$32,MATCH($A238,Työkonekanta!$A$3:$A$32,0),1),0)</f>
        <v>0</v>
      </c>
      <c r="AG238" s="332">
        <f>I238*INDEX(Muuttujat!$U$5:$U$21,MATCH($C238,Muuttujat!$N$5:$N$21,0),1)</f>
        <v>0</v>
      </c>
      <c r="AH238" s="332">
        <f>J238*INDEX(Muuttujat!$T$5:$T$21,MATCH($C238,Muuttujat!$N$5:$N$21,0),1)</f>
        <v>0</v>
      </c>
      <c r="AI238" s="332">
        <f t="shared" si="82"/>
        <v>0</v>
      </c>
      <c r="AJ238" s="332">
        <f t="shared" si="83"/>
        <v>0</v>
      </c>
      <c r="AK238" s="333">
        <f t="shared" si="95"/>
        <v>0</v>
      </c>
      <c r="AL238" s="332">
        <f t="shared" si="84"/>
        <v>0</v>
      </c>
      <c r="AM238" s="351"/>
      <c r="AN238" s="351"/>
    </row>
    <row r="239" spans="1:40">
      <c r="A239" s="139">
        <v>27</v>
      </c>
      <c r="B239" s="139">
        <f>IFERROR(IF((INDEX(Työkonekanta!$F$3:$F$27,MATCH('S3 Tiekartta'!$A239,Työkonekanta!$A$3:$A$24,0),1))&lt;0,0,(INDEX(Työkonekanta!$F$3:$F$27,MATCH('S3 Tiekartta'!$A239,Työkonekanta!$A$3:$A$24,0),1))),0)</f>
        <v>0</v>
      </c>
      <c r="C239" s="140">
        <v>2026</v>
      </c>
      <c r="D239" s="141" t="str">
        <f>IFERROR(INDEX(Työkonekanta!$D$3:$D$27,MATCH('S3 Tiekartta'!$A239,Työkonekanta!$A$3:$A$24,0),1),"undefined")</f>
        <v>undefined</v>
      </c>
      <c r="E239" s="145">
        <f>IFERROR(INDEX(Työkonekanta!$G$3:$G$27,MATCH($A239,Työkonekanta!$A$3:$A$24,0),1)*INDEX(Työkonekanta!$H$3:$H$27,MATCH($A239,Työkonekanta!$A$3:$A$24,0),1)*(1+s0b_kasvu*($C239-2019))*$B239,0)</f>
        <v>0</v>
      </c>
      <c r="F239" s="145">
        <f t="shared" si="76"/>
        <v>0</v>
      </c>
      <c r="G239" s="151">
        <f t="shared" si="85"/>
        <v>0</v>
      </c>
      <c r="H239" s="145">
        <f t="shared" si="86"/>
        <v>0</v>
      </c>
      <c r="I239" s="145">
        <f t="shared" si="77"/>
        <v>0</v>
      </c>
      <c r="J239" s="145">
        <f t="shared" si="78"/>
        <v>0</v>
      </c>
      <c r="K239" s="142" t="str">
        <f t="shared" si="87"/>
        <v>undefined</v>
      </c>
      <c r="L239" s="146">
        <f>IFERROR(INDEX(Työkonekanta!$I$3:$I$27,MATCH('S3 Tiekartta'!$A239,Työkonekanta!$A$3:$A$24,0),1)*(I239+J239)*f_adblue,0)</f>
        <v>0</v>
      </c>
      <c r="M239" s="146">
        <f t="shared" si="96"/>
        <v>0</v>
      </c>
      <c r="N239" s="143" t="str">
        <f>IF(tuulisähkö_vuosi&lt;='S3 Tiekartta'!C239,"tuulisähkö",ostosähkö_nyt)</f>
        <v>jäännössähkö</v>
      </c>
      <c r="O239" s="147">
        <f>INDEX(Muuttujat!$J$5:$J$21,MATCH($C239,Muuttujat!$H$5:$H$21,0),1)</f>
        <v>64.542936272148211</v>
      </c>
      <c r="P239" s="148">
        <f t="shared" si="88"/>
        <v>0.92</v>
      </c>
      <c r="Q239" s="148">
        <f t="shared" si="89"/>
        <v>0.08</v>
      </c>
      <c r="R239" s="148">
        <f t="shared" si="90"/>
        <v>0.08</v>
      </c>
      <c r="S239" s="149">
        <f t="shared" si="79"/>
        <v>0</v>
      </c>
      <c r="T239" s="150">
        <f t="shared" si="80"/>
        <v>0</v>
      </c>
      <c r="U239" s="150">
        <f t="shared" si="81"/>
        <v>0</v>
      </c>
      <c r="V239" s="150">
        <f>IFERROR(INDEX(Työkonekanta!$J$3:$J$27,MATCH($A239,Työkonekanta!$A$3:$A$24,0),1)*$B239*ef_li_ion_akku/1000/1000/INDEX(Työkonekanta!$K$3:$K$27,MATCH($A239,Työkonekanta!$A$3:$A$24,0)),0)</f>
        <v>0</v>
      </c>
      <c r="W239" s="149">
        <f t="shared" si="97"/>
        <v>0</v>
      </c>
      <c r="X239" s="150">
        <f t="shared" si="98"/>
        <v>0</v>
      </c>
      <c r="Y239" s="151">
        <f t="shared" si="99"/>
        <v>0</v>
      </c>
      <c r="Z239" s="152">
        <f t="shared" si="91"/>
        <v>0</v>
      </c>
      <c r="AA239" s="179">
        <f t="shared" si="92"/>
        <v>0</v>
      </c>
      <c r="AB239" s="179">
        <f t="shared" si="93"/>
        <v>0</v>
      </c>
      <c r="AC239" s="180">
        <f t="shared" si="100"/>
        <v>0</v>
      </c>
      <c r="AD239" s="156">
        <f t="shared" si="94"/>
        <v>0</v>
      </c>
      <c r="AE239" s="146">
        <f>IFERROR(INDEX(Työkonekanta!$L$3:$L$30,MATCH($A239,Työkonekanta!$A$3:$A$30,0),1),0)*AF239</f>
        <v>0</v>
      </c>
      <c r="AF239" s="146">
        <f>IFERROR(INDEX(Työkonekanta!$N$3:$N$32,MATCH($A239,Työkonekanta!$A$3:$A$32,0),1),0)</f>
        <v>0</v>
      </c>
      <c r="AG239" s="332">
        <f>I239*INDEX(Muuttujat!$U$5:$U$21,MATCH($C239,Muuttujat!$N$5:$N$21,0),1)</f>
        <v>0</v>
      </c>
      <c r="AH239" s="332">
        <f>J239*INDEX(Muuttujat!$T$5:$T$21,MATCH($C239,Muuttujat!$N$5:$N$21,0),1)</f>
        <v>0</v>
      </c>
      <c r="AI239" s="332">
        <f t="shared" si="82"/>
        <v>0</v>
      </c>
      <c r="AJ239" s="332">
        <f t="shared" si="83"/>
        <v>0</v>
      </c>
      <c r="AK239" s="333">
        <f t="shared" si="95"/>
        <v>0</v>
      </c>
      <c r="AL239" s="332">
        <f t="shared" si="84"/>
        <v>0</v>
      </c>
      <c r="AM239" s="351"/>
      <c r="AN239" s="351"/>
    </row>
    <row r="240" spans="1:40">
      <c r="A240" s="139">
        <v>28</v>
      </c>
      <c r="B240" s="139">
        <f>IFERROR(IF((INDEX(Työkonekanta!$F$3:$F$27,MATCH('S3 Tiekartta'!$A240,Työkonekanta!$A$3:$A$24,0),1))&lt;0,0,(INDEX(Työkonekanta!$F$3:$F$27,MATCH('S3 Tiekartta'!$A240,Työkonekanta!$A$3:$A$24,0),1))),0)</f>
        <v>0</v>
      </c>
      <c r="C240" s="140">
        <v>2026</v>
      </c>
      <c r="D240" s="141" t="str">
        <f>IFERROR(INDEX(Työkonekanta!$D$3:$D$27,MATCH('S3 Tiekartta'!$A240,Työkonekanta!$A$3:$A$24,0),1),"undefined")</f>
        <v>undefined</v>
      </c>
      <c r="E240" s="145">
        <f>IFERROR(INDEX(Työkonekanta!$G$3:$G$27,MATCH($A240,Työkonekanta!$A$3:$A$24,0),1)*INDEX(Työkonekanta!$H$3:$H$27,MATCH($A240,Työkonekanta!$A$3:$A$24,0),1)*(1+s0b_kasvu*($C240-2019))*$B240,0)</f>
        <v>0</v>
      </c>
      <c r="F240" s="145">
        <f t="shared" si="76"/>
        <v>0</v>
      </c>
      <c r="G240" s="151">
        <f t="shared" si="85"/>
        <v>0</v>
      </c>
      <c r="H240" s="145">
        <f t="shared" si="86"/>
        <v>0</v>
      </c>
      <c r="I240" s="145">
        <f t="shared" si="77"/>
        <v>0</v>
      </c>
      <c r="J240" s="145">
        <f t="shared" si="78"/>
        <v>0</v>
      </c>
      <c r="K240" s="142" t="str">
        <f t="shared" si="87"/>
        <v>undefined</v>
      </c>
      <c r="L240" s="146">
        <f>IFERROR(INDEX(Työkonekanta!$I$3:$I$27,MATCH('S3 Tiekartta'!$A240,Työkonekanta!$A$3:$A$24,0),1)*(I240+J240)*f_adblue,0)</f>
        <v>0</v>
      </c>
      <c r="M240" s="146">
        <f t="shared" si="96"/>
        <v>0</v>
      </c>
      <c r="N240" s="143" t="str">
        <f>IF(tuulisähkö_vuosi&lt;='S3 Tiekartta'!C240,"tuulisähkö",ostosähkö_nyt)</f>
        <v>jäännössähkö</v>
      </c>
      <c r="O240" s="147">
        <f>INDEX(Muuttujat!$J$5:$J$21,MATCH($C240,Muuttujat!$H$5:$H$21,0),1)</f>
        <v>64.542936272148211</v>
      </c>
      <c r="P240" s="148">
        <f t="shared" si="88"/>
        <v>0.92</v>
      </c>
      <c r="Q240" s="148">
        <f t="shared" si="89"/>
        <v>0.08</v>
      </c>
      <c r="R240" s="148">
        <f t="shared" si="90"/>
        <v>0.08</v>
      </c>
      <c r="S240" s="149">
        <f t="shared" si="79"/>
        <v>0</v>
      </c>
      <c r="T240" s="150">
        <f t="shared" si="80"/>
        <v>0</v>
      </c>
      <c r="U240" s="150">
        <f t="shared" si="81"/>
        <v>0</v>
      </c>
      <c r="V240" s="150">
        <f>IFERROR(INDEX(Työkonekanta!$J$3:$J$27,MATCH($A240,Työkonekanta!$A$3:$A$24,0),1)*$B240*ef_li_ion_akku/1000/1000/INDEX(Työkonekanta!$K$3:$K$27,MATCH($A240,Työkonekanta!$A$3:$A$24,0)),0)</f>
        <v>0</v>
      </c>
      <c r="W240" s="149">
        <f t="shared" si="97"/>
        <v>0</v>
      </c>
      <c r="X240" s="150">
        <f t="shared" si="98"/>
        <v>0</v>
      </c>
      <c r="Y240" s="151">
        <f t="shared" si="99"/>
        <v>0</v>
      </c>
      <c r="Z240" s="152">
        <f t="shared" si="91"/>
        <v>0</v>
      </c>
      <c r="AA240" s="179">
        <f t="shared" si="92"/>
        <v>0</v>
      </c>
      <c r="AB240" s="179">
        <f t="shared" si="93"/>
        <v>0</v>
      </c>
      <c r="AC240" s="180">
        <f t="shared" si="100"/>
        <v>0</v>
      </c>
      <c r="AD240" s="156">
        <f t="shared" si="94"/>
        <v>0</v>
      </c>
      <c r="AE240" s="146">
        <f>IFERROR(INDEX(Työkonekanta!$L$3:$L$30,MATCH($A240,Työkonekanta!$A$3:$A$30,0),1),0)*AF240</f>
        <v>0</v>
      </c>
      <c r="AF240" s="146">
        <f>IFERROR(INDEX(Työkonekanta!$N$3:$N$32,MATCH($A240,Työkonekanta!$A$3:$A$32,0),1),0)</f>
        <v>0</v>
      </c>
      <c r="AG240" s="332">
        <f>I240*INDEX(Muuttujat!$U$5:$U$21,MATCH($C240,Muuttujat!$N$5:$N$21,0),1)</f>
        <v>0</v>
      </c>
      <c r="AH240" s="332">
        <f>J240*INDEX(Muuttujat!$T$5:$T$21,MATCH($C240,Muuttujat!$N$5:$N$21,0),1)</f>
        <v>0</v>
      </c>
      <c r="AI240" s="332">
        <f t="shared" si="82"/>
        <v>0</v>
      </c>
      <c r="AJ240" s="332">
        <f t="shared" si="83"/>
        <v>0</v>
      </c>
      <c r="AK240" s="333">
        <f t="shared" si="95"/>
        <v>0</v>
      </c>
      <c r="AL240" s="332">
        <f t="shared" si="84"/>
        <v>0</v>
      </c>
      <c r="AM240" s="351"/>
      <c r="AN240" s="351"/>
    </row>
    <row r="241" spans="1:40">
      <c r="A241" s="139">
        <v>29</v>
      </c>
      <c r="B241" s="139">
        <f>IFERROR(IF((INDEX(Työkonekanta!$F$3:$F$27,MATCH('S3 Tiekartta'!$A241,Työkonekanta!$A$3:$A$24,0),1))&lt;0,0,(INDEX(Työkonekanta!$F$3:$F$27,MATCH('S3 Tiekartta'!$A241,Työkonekanta!$A$3:$A$24,0),1))),0)</f>
        <v>0</v>
      </c>
      <c r="C241" s="140">
        <v>2026</v>
      </c>
      <c r="D241" s="141" t="str">
        <f>IFERROR(INDEX(Työkonekanta!$D$3:$D$27,MATCH('S3 Tiekartta'!$A241,Työkonekanta!$A$3:$A$24,0),1),"undefined")</f>
        <v>undefined</v>
      </c>
      <c r="E241" s="145">
        <f>IFERROR(INDEX(Työkonekanta!$G$3:$G$27,MATCH($A241,Työkonekanta!$A$3:$A$24,0),1)*INDEX(Työkonekanta!$H$3:$H$27,MATCH($A241,Työkonekanta!$A$3:$A$24,0),1)*(1+s0b_kasvu*($C241-2019))*$B241,0)</f>
        <v>0</v>
      </c>
      <c r="F241" s="145">
        <f t="shared" si="76"/>
        <v>0</v>
      </c>
      <c r="G241" s="151">
        <f t="shared" si="85"/>
        <v>0</v>
      </c>
      <c r="H241" s="145">
        <f t="shared" si="86"/>
        <v>0</v>
      </c>
      <c r="I241" s="145">
        <f t="shared" si="77"/>
        <v>0</v>
      </c>
      <c r="J241" s="145">
        <f t="shared" si="78"/>
        <v>0</v>
      </c>
      <c r="K241" s="142" t="str">
        <f t="shared" si="87"/>
        <v>undefined</v>
      </c>
      <c r="L241" s="146">
        <f>IFERROR(INDEX(Työkonekanta!$I$3:$I$27,MATCH('S3 Tiekartta'!$A241,Työkonekanta!$A$3:$A$24,0),1)*(I241+J241)*f_adblue,0)</f>
        <v>0</v>
      </c>
      <c r="M241" s="146">
        <f t="shared" si="96"/>
        <v>0</v>
      </c>
      <c r="N241" s="143" t="str">
        <f>IF(tuulisähkö_vuosi&lt;='S3 Tiekartta'!C241,"tuulisähkö",ostosähkö_nyt)</f>
        <v>jäännössähkö</v>
      </c>
      <c r="O241" s="147">
        <f>INDEX(Muuttujat!$J$5:$J$21,MATCH($C241,Muuttujat!$H$5:$H$21,0),1)</f>
        <v>64.542936272148211</v>
      </c>
      <c r="P241" s="148">
        <f t="shared" si="88"/>
        <v>0.92</v>
      </c>
      <c r="Q241" s="148">
        <f t="shared" si="89"/>
        <v>0.08</v>
      </c>
      <c r="R241" s="148">
        <f t="shared" si="90"/>
        <v>0.08</v>
      </c>
      <c r="S241" s="149">
        <f t="shared" si="79"/>
        <v>0</v>
      </c>
      <c r="T241" s="150">
        <f t="shared" si="80"/>
        <v>0</v>
      </c>
      <c r="U241" s="150">
        <f t="shared" si="81"/>
        <v>0</v>
      </c>
      <c r="V241" s="150">
        <f>IFERROR(INDEX(Työkonekanta!$J$3:$J$27,MATCH($A241,Työkonekanta!$A$3:$A$24,0),1)*$B241*ef_li_ion_akku/1000/1000/INDEX(Työkonekanta!$K$3:$K$27,MATCH($A241,Työkonekanta!$A$3:$A$24,0)),0)</f>
        <v>0</v>
      </c>
      <c r="W241" s="149">
        <f t="shared" si="97"/>
        <v>0</v>
      </c>
      <c r="X241" s="150">
        <f t="shared" si="98"/>
        <v>0</v>
      </c>
      <c r="Y241" s="151">
        <f t="shared" si="99"/>
        <v>0</v>
      </c>
      <c r="Z241" s="152">
        <f t="shared" si="91"/>
        <v>0</v>
      </c>
      <c r="AA241" s="179">
        <f t="shared" si="92"/>
        <v>0</v>
      </c>
      <c r="AB241" s="179">
        <f t="shared" si="93"/>
        <v>0</v>
      </c>
      <c r="AC241" s="180">
        <f t="shared" si="100"/>
        <v>0</v>
      </c>
      <c r="AD241" s="156">
        <f t="shared" si="94"/>
        <v>0</v>
      </c>
      <c r="AE241" s="146">
        <f>IFERROR(INDEX(Työkonekanta!$L$3:$L$30,MATCH($A241,Työkonekanta!$A$3:$A$30,0),1),0)*AF241</f>
        <v>0</v>
      </c>
      <c r="AF241" s="146">
        <f>IFERROR(INDEX(Työkonekanta!$N$3:$N$32,MATCH($A241,Työkonekanta!$A$3:$A$32,0),1),0)</f>
        <v>0</v>
      </c>
      <c r="AG241" s="332">
        <f>I241*INDEX(Muuttujat!$U$5:$U$21,MATCH($C241,Muuttujat!$N$5:$N$21,0),1)</f>
        <v>0</v>
      </c>
      <c r="AH241" s="332">
        <f>J241*INDEX(Muuttujat!$T$5:$T$21,MATCH($C241,Muuttujat!$N$5:$N$21,0),1)</f>
        <v>0</v>
      </c>
      <c r="AI241" s="332">
        <f t="shared" si="82"/>
        <v>0</v>
      </c>
      <c r="AJ241" s="332">
        <f t="shared" si="83"/>
        <v>0</v>
      </c>
      <c r="AK241" s="333">
        <f t="shared" si="95"/>
        <v>0</v>
      </c>
      <c r="AL241" s="332">
        <f t="shared" si="84"/>
        <v>0</v>
      </c>
      <c r="AM241" s="351"/>
      <c r="AN241" s="351"/>
    </row>
    <row r="242" spans="1:40">
      <c r="A242" s="139">
        <v>30</v>
      </c>
      <c r="B242" s="139">
        <f>IFERROR(IF((INDEX(Työkonekanta!$F$3:$F$27,MATCH('S3 Tiekartta'!$A242,Työkonekanta!$A$3:$A$24,0),1))&lt;0,0,(INDEX(Työkonekanta!$F$3:$F$27,MATCH('S3 Tiekartta'!$A242,Työkonekanta!$A$3:$A$24,0),1))),0)</f>
        <v>0</v>
      </c>
      <c r="C242" s="140">
        <v>2026</v>
      </c>
      <c r="D242" s="141" t="str">
        <f>IFERROR(INDEX(Työkonekanta!$D$3:$D$27,MATCH('S3 Tiekartta'!$A242,Työkonekanta!$A$3:$A$24,0),1),"undefined")</f>
        <v>undefined</v>
      </c>
      <c r="E242" s="145">
        <f>IFERROR(INDEX(Työkonekanta!$G$3:$G$27,MATCH($A242,Työkonekanta!$A$3:$A$24,0),1)*INDEX(Työkonekanta!$H$3:$H$27,MATCH($A242,Työkonekanta!$A$3:$A$24,0),1)*(1+s0b_kasvu*($C242-2019))*$B242,0)</f>
        <v>0</v>
      </c>
      <c r="F242" s="145">
        <f t="shared" si="76"/>
        <v>0</v>
      </c>
      <c r="G242" s="151">
        <f t="shared" si="85"/>
        <v>0</v>
      </c>
      <c r="H242" s="145">
        <f t="shared" si="86"/>
        <v>0</v>
      </c>
      <c r="I242" s="145">
        <f t="shared" si="77"/>
        <v>0</v>
      </c>
      <c r="J242" s="145">
        <f t="shared" si="78"/>
        <v>0</v>
      </c>
      <c r="K242" s="142" t="str">
        <f t="shared" si="87"/>
        <v>undefined</v>
      </c>
      <c r="L242" s="146">
        <f>IFERROR(INDEX(Työkonekanta!$I$3:$I$27,MATCH('S3 Tiekartta'!$A242,Työkonekanta!$A$3:$A$24,0),1)*(I242+J242)*f_adblue,0)</f>
        <v>0</v>
      </c>
      <c r="M242" s="146">
        <f t="shared" si="96"/>
        <v>0</v>
      </c>
      <c r="N242" s="143" t="str">
        <f>IF(tuulisähkö_vuosi&lt;='S3 Tiekartta'!C242,"tuulisähkö",ostosähkö_nyt)</f>
        <v>jäännössähkö</v>
      </c>
      <c r="O242" s="147">
        <f>INDEX(Muuttujat!$J$5:$J$21,MATCH($C242,Muuttujat!$H$5:$H$21,0),1)</f>
        <v>64.542936272148211</v>
      </c>
      <c r="P242" s="148">
        <f t="shared" si="88"/>
        <v>0.92</v>
      </c>
      <c r="Q242" s="148">
        <f t="shared" si="89"/>
        <v>0.08</v>
      </c>
      <c r="R242" s="148">
        <f t="shared" si="90"/>
        <v>0.08</v>
      </c>
      <c r="S242" s="149">
        <f t="shared" si="79"/>
        <v>0</v>
      </c>
      <c r="T242" s="150">
        <f t="shared" si="80"/>
        <v>0</v>
      </c>
      <c r="U242" s="150">
        <f t="shared" si="81"/>
        <v>0</v>
      </c>
      <c r="V242" s="150">
        <f>IFERROR(INDEX(Työkonekanta!$J$3:$J$27,MATCH($A242,Työkonekanta!$A$3:$A$24,0),1)*$B242*ef_li_ion_akku/1000/1000/INDEX(Työkonekanta!$K$3:$K$27,MATCH($A242,Työkonekanta!$A$3:$A$24,0)),0)</f>
        <v>0</v>
      </c>
      <c r="W242" s="149">
        <f t="shared" si="97"/>
        <v>0</v>
      </c>
      <c r="X242" s="150">
        <f t="shared" si="98"/>
        <v>0</v>
      </c>
      <c r="Y242" s="151">
        <f t="shared" si="99"/>
        <v>0</v>
      </c>
      <c r="Z242" s="152">
        <f t="shared" si="91"/>
        <v>0</v>
      </c>
      <c r="AA242" s="179">
        <f t="shared" si="92"/>
        <v>0</v>
      </c>
      <c r="AB242" s="179">
        <f t="shared" si="93"/>
        <v>0</v>
      </c>
      <c r="AC242" s="180">
        <f t="shared" si="100"/>
        <v>0</v>
      </c>
      <c r="AD242" s="156">
        <f t="shared" si="94"/>
        <v>0</v>
      </c>
      <c r="AE242" s="146">
        <f>IFERROR(INDEX(Työkonekanta!$L$3:$L$30,MATCH($A242,Työkonekanta!$A$3:$A$30,0),1),0)*AF242</f>
        <v>0</v>
      </c>
      <c r="AF242" s="146">
        <f>IFERROR(INDEX(Työkonekanta!$N$3:$N$32,MATCH($A242,Työkonekanta!$A$3:$A$32,0),1),0)</f>
        <v>0</v>
      </c>
      <c r="AG242" s="332">
        <f>I242*INDEX(Muuttujat!$U$5:$U$21,MATCH($C242,Muuttujat!$N$5:$N$21,0),1)</f>
        <v>0</v>
      </c>
      <c r="AH242" s="332">
        <f>J242*INDEX(Muuttujat!$T$5:$T$21,MATCH($C242,Muuttujat!$N$5:$N$21,0),1)</f>
        <v>0</v>
      </c>
      <c r="AI242" s="332">
        <f t="shared" si="82"/>
        <v>0</v>
      </c>
      <c r="AJ242" s="332">
        <f t="shared" si="83"/>
        <v>0</v>
      </c>
      <c r="AK242" s="333">
        <f t="shared" si="95"/>
        <v>0</v>
      </c>
      <c r="AL242" s="332">
        <f t="shared" si="84"/>
        <v>0</v>
      </c>
      <c r="AM242" s="351"/>
      <c r="AN242" s="351"/>
    </row>
    <row r="243" spans="1:40">
      <c r="A243" s="139">
        <v>1</v>
      </c>
      <c r="B243" s="139">
        <f>IFERROR(IF((INDEX(Työkonekanta!$F$3:$F$27,MATCH('S3 Tiekartta'!$A243,Työkonekanta!$A$3:$A$24,0),1))&lt;0,0,(INDEX(Työkonekanta!$F$3:$F$27,MATCH('S3 Tiekartta'!$A243,Työkonekanta!$A$3:$A$24,0),1))),0)</f>
        <v>1</v>
      </c>
      <c r="C243" s="140">
        <v>2027</v>
      </c>
      <c r="D243" s="141" t="str">
        <f>IFERROR(INDEX(Työkonekanta!$D$3:$D$27,MATCH('S3 Tiekartta'!$A243,Työkonekanta!$A$3:$A$24,0),1),"undefined")</f>
        <v>pom</v>
      </c>
      <c r="E243" s="145">
        <f>IFERROR(INDEX(Työkonekanta!$G$3:$G$27,MATCH($A243,Työkonekanta!$A$3:$A$24,0),1)*INDEX(Työkonekanta!$H$3:$H$27,MATCH($A243,Työkonekanta!$A$3:$A$24,0),1)*(1+s0b_kasvu*($C243-2019))*$B243,0)</f>
        <v>10800</v>
      </c>
      <c r="F243" s="145">
        <f t="shared" si="76"/>
        <v>387720</v>
      </c>
      <c r="G243" s="151">
        <f t="shared" si="85"/>
        <v>342705.70799999998</v>
      </c>
      <c r="H243" s="145">
        <f t="shared" si="86"/>
        <v>45014.292000000001</v>
      </c>
      <c r="I243" s="145">
        <f t="shared" si="77"/>
        <v>9546.1200000000008</v>
      </c>
      <c r="J243" s="145">
        <f t="shared" si="78"/>
        <v>1312.370029154519</v>
      </c>
      <c r="K243" s="142" t="str">
        <f t="shared" si="87"/>
        <v>l</v>
      </c>
      <c r="L243" s="146">
        <f>IFERROR(INDEX(Työkonekanta!$I$3:$I$27,MATCH('S3 Tiekartta'!$A243,Työkonekanta!$A$3:$A$24,0),1)*(I243+J243)*f_adblue,0)</f>
        <v>542.92450145772602</v>
      </c>
      <c r="M243" s="146">
        <f t="shared" si="96"/>
        <v>0</v>
      </c>
      <c r="N243" s="143" t="str">
        <f>IF(tuulisähkö_vuosi&lt;='S3 Tiekartta'!C243,"tuulisähkö",ostosähkö_nyt)</f>
        <v>jäännössähkö</v>
      </c>
      <c r="O243" s="147">
        <f>INDEX(Muuttujat!$J$5:$J$21,MATCH($C243,Muuttujat!$H$5:$H$21,0),1)</f>
        <v>63.897506909426724</v>
      </c>
      <c r="P243" s="148">
        <f t="shared" si="88"/>
        <v>0.88390000000000002</v>
      </c>
      <c r="Q243" s="148">
        <f t="shared" si="89"/>
        <v>0.11609999999999999</v>
      </c>
      <c r="R243" s="148">
        <f t="shared" si="90"/>
        <v>0.11609999999999999</v>
      </c>
      <c r="S243" s="149">
        <f t="shared" si="79"/>
        <v>6.4771378811999982</v>
      </c>
      <c r="T243" s="150">
        <f t="shared" si="80"/>
        <v>2.8088918208</v>
      </c>
      <c r="U243" s="150">
        <f t="shared" si="81"/>
        <v>0</v>
      </c>
      <c r="V243" s="150">
        <f>IFERROR(INDEX(Työkonekanta!$J$3:$J$27,MATCH($A243,Työkonekanta!$A$3:$A$24,0),1)*$B243*ef_li_ion_akku/1000/1000/INDEX(Työkonekanta!$K$3:$K$27,MATCH($A243,Työkonekanta!$A$3:$A$24,0)),0)</f>
        <v>0</v>
      </c>
      <c r="W243" s="149">
        <f t="shared" si="97"/>
        <v>25.294510038775034</v>
      </c>
      <c r="X243" s="150">
        <f t="shared" si="98"/>
        <v>0.34316531280000001</v>
      </c>
      <c r="Y243" s="151">
        <f t="shared" si="99"/>
        <v>0.14116037037900875</v>
      </c>
      <c r="Z243" s="152">
        <f t="shared" si="91"/>
        <v>9.2860297019999987</v>
      </c>
      <c r="AA243" s="179">
        <f t="shared" si="92"/>
        <v>25.435670409154042</v>
      </c>
      <c r="AB243" s="179">
        <f t="shared" si="93"/>
        <v>25.778835721954042</v>
      </c>
      <c r="AC243" s="180">
        <f t="shared" si="100"/>
        <v>34.721700111154043</v>
      </c>
      <c r="AD243" s="156">
        <f t="shared" si="94"/>
        <v>35.064865423954039</v>
      </c>
      <c r="AE243" s="146">
        <f>IFERROR(INDEX(Työkonekanta!$L$3:$L$30,MATCH($A243,Työkonekanta!$A$3:$A$30,0),1),0)*AF243</f>
        <v>500000</v>
      </c>
      <c r="AF243" s="146">
        <f>IFERROR(INDEX(Työkonekanta!$N$3:$N$32,MATCH($A243,Työkonekanta!$A$3:$A$32,0),1),0)</f>
        <v>1</v>
      </c>
      <c r="AG243" s="332">
        <f>I243*INDEX(Muuttujat!$U$5:$U$21,MATCH($C243,Muuttujat!$N$5:$N$21,0),1)</f>
        <v>9927.9648000000016</v>
      </c>
      <c r="AH243" s="332">
        <f>J243*INDEX(Muuttujat!$T$5:$T$21,MATCH($C243,Muuttujat!$N$5:$N$21,0),1)</f>
        <v>1889.8128419825073</v>
      </c>
      <c r="AI243" s="332">
        <f t="shared" si="82"/>
        <v>271.46225072886301</v>
      </c>
      <c r="AJ243" s="332">
        <f t="shared" si="83"/>
        <v>0</v>
      </c>
      <c r="AK243" s="333">
        <f t="shared" si="95"/>
        <v>12089.239892711372</v>
      </c>
      <c r="AL243" s="332">
        <f t="shared" si="84"/>
        <v>12089.239892711372</v>
      </c>
      <c r="AM243" s="351"/>
      <c r="AN243" s="351"/>
    </row>
    <row r="244" spans="1:40">
      <c r="A244" s="139">
        <v>2</v>
      </c>
      <c r="B244" s="139">
        <f>IFERROR(IF((INDEX(Työkonekanta!$F$3:$F$27,MATCH('S3 Tiekartta'!$A244,Työkonekanta!$A$3:$A$24,0),1))&lt;0,0,(INDEX(Työkonekanta!$F$3:$F$27,MATCH('S3 Tiekartta'!$A244,Työkonekanta!$A$3:$A$24,0),1))),0)</f>
        <v>1</v>
      </c>
      <c r="C244" s="140">
        <v>2027</v>
      </c>
      <c r="D244" s="141" t="str">
        <f>IFERROR(INDEX(Työkonekanta!$D$3:$D$27,MATCH('S3 Tiekartta'!$A244,Työkonekanta!$A$3:$A$24,0),1),"undefined")</f>
        <v>pom</v>
      </c>
      <c r="E244" s="145">
        <f>IFERROR(INDEX(Työkonekanta!$G$3:$G$27,MATCH($A244,Työkonekanta!$A$3:$A$24,0),1)*INDEX(Työkonekanta!$H$3:$H$27,MATCH($A244,Työkonekanta!$A$3:$A$24,0),1)*(1+s0b_kasvu*($C244-2019))*$B244,0)</f>
        <v>10800</v>
      </c>
      <c r="F244" s="145">
        <f t="shared" si="76"/>
        <v>387720</v>
      </c>
      <c r="G244" s="151">
        <f t="shared" si="85"/>
        <v>342705.70799999998</v>
      </c>
      <c r="H244" s="145">
        <f t="shared" si="86"/>
        <v>45014.292000000001</v>
      </c>
      <c r="I244" s="145">
        <f t="shared" si="77"/>
        <v>9546.1200000000008</v>
      </c>
      <c r="J244" s="145">
        <f t="shared" si="78"/>
        <v>1312.370029154519</v>
      </c>
      <c r="K244" s="142" t="str">
        <f t="shared" si="87"/>
        <v>l</v>
      </c>
      <c r="L244" s="146">
        <f>IFERROR(INDEX(Työkonekanta!$I$3:$I$27,MATCH('S3 Tiekartta'!$A244,Työkonekanta!$A$3:$A$24,0),1)*(I244+J244)*f_adblue,0)</f>
        <v>542.92450145772602</v>
      </c>
      <c r="M244" s="146">
        <f t="shared" si="96"/>
        <v>0</v>
      </c>
      <c r="N244" s="143" t="str">
        <f>IF(tuulisähkö_vuosi&lt;='S3 Tiekartta'!C244,"tuulisähkö",ostosähkö_nyt)</f>
        <v>jäännössähkö</v>
      </c>
      <c r="O244" s="147">
        <f>INDEX(Muuttujat!$J$5:$J$21,MATCH($C244,Muuttujat!$H$5:$H$21,0),1)</f>
        <v>63.897506909426724</v>
      </c>
      <c r="P244" s="148">
        <f t="shared" si="88"/>
        <v>0.88390000000000002</v>
      </c>
      <c r="Q244" s="148">
        <f t="shared" si="89"/>
        <v>0.11609999999999999</v>
      </c>
      <c r="R244" s="148">
        <f t="shared" si="90"/>
        <v>0.11609999999999999</v>
      </c>
      <c r="S244" s="149">
        <f t="shared" si="79"/>
        <v>6.4771378811999982</v>
      </c>
      <c r="T244" s="150">
        <f t="shared" si="80"/>
        <v>2.8088918208</v>
      </c>
      <c r="U244" s="150">
        <f t="shared" si="81"/>
        <v>0</v>
      </c>
      <c r="V244" s="150">
        <f>IFERROR(INDEX(Työkonekanta!$J$3:$J$27,MATCH($A244,Työkonekanta!$A$3:$A$24,0),1)*$B244*ef_li_ion_akku/1000/1000/INDEX(Työkonekanta!$K$3:$K$27,MATCH($A244,Työkonekanta!$A$3:$A$24,0)),0)</f>
        <v>0</v>
      </c>
      <c r="W244" s="149">
        <f t="shared" si="97"/>
        <v>25.294510038775034</v>
      </c>
      <c r="X244" s="150">
        <f t="shared" si="98"/>
        <v>0.34316531280000001</v>
      </c>
      <c r="Y244" s="151">
        <f t="shared" si="99"/>
        <v>0.14116037037900875</v>
      </c>
      <c r="Z244" s="152">
        <f t="shared" si="91"/>
        <v>9.2860297019999987</v>
      </c>
      <c r="AA244" s="179">
        <f t="shared" si="92"/>
        <v>25.435670409154042</v>
      </c>
      <c r="AB244" s="179">
        <f t="shared" si="93"/>
        <v>25.778835721954042</v>
      </c>
      <c r="AC244" s="180">
        <f t="shared" si="100"/>
        <v>34.721700111154043</v>
      </c>
      <c r="AD244" s="156">
        <f t="shared" si="94"/>
        <v>35.064865423954039</v>
      </c>
      <c r="AE244" s="146">
        <f>IFERROR(INDEX(Työkonekanta!$L$3:$L$30,MATCH($A244,Työkonekanta!$A$3:$A$30,0),1),0)*AF244</f>
        <v>500000</v>
      </c>
      <c r="AF244" s="146">
        <f>IFERROR(INDEX(Työkonekanta!$N$3:$N$32,MATCH($A244,Työkonekanta!$A$3:$A$32,0),1),0)</f>
        <v>1</v>
      </c>
      <c r="AG244" s="332">
        <f>I244*INDEX(Muuttujat!$U$5:$U$21,MATCH($C244,Muuttujat!$N$5:$N$21,0),1)</f>
        <v>9927.9648000000016</v>
      </c>
      <c r="AH244" s="332">
        <f>J244*INDEX(Muuttujat!$T$5:$T$21,MATCH($C244,Muuttujat!$N$5:$N$21,0),1)</f>
        <v>1889.8128419825073</v>
      </c>
      <c r="AI244" s="332">
        <f t="shared" si="82"/>
        <v>271.46225072886301</v>
      </c>
      <c r="AJ244" s="332">
        <f t="shared" si="83"/>
        <v>0</v>
      </c>
      <c r="AK244" s="333">
        <f t="shared" si="95"/>
        <v>12089.239892711372</v>
      </c>
      <c r="AL244" s="332">
        <f t="shared" si="84"/>
        <v>12089.239892711372</v>
      </c>
      <c r="AM244" s="351"/>
      <c r="AN244" s="351"/>
    </row>
    <row r="245" spans="1:40">
      <c r="A245" s="139">
        <v>3</v>
      </c>
      <c r="B245" s="139">
        <f>IFERROR(IF((INDEX(Työkonekanta!$F$3:$F$27,MATCH('S3 Tiekartta'!$A245,Työkonekanta!$A$3:$A$24,0),1))&lt;0,0,(INDEX(Työkonekanta!$F$3:$F$27,MATCH('S3 Tiekartta'!$A245,Työkonekanta!$A$3:$A$24,0),1))),0)</f>
        <v>1</v>
      </c>
      <c r="C245" s="140">
        <v>2027</v>
      </c>
      <c r="D245" s="141" t="str">
        <f>IFERROR(INDEX(Työkonekanta!$D$3:$D$27,MATCH('S3 Tiekartta'!$A245,Työkonekanta!$A$3:$A$24,0),1),"undefined")</f>
        <v>pom</v>
      </c>
      <c r="E245" s="145">
        <f>IFERROR(INDEX(Työkonekanta!$G$3:$G$27,MATCH($A245,Työkonekanta!$A$3:$A$24,0),1)*INDEX(Työkonekanta!$H$3:$H$27,MATCH($A245,Työkonekanta!$A$3:$A$24,0),1)*(1+s0b_kasvu*($C245-2019))*$B245,0)</f>
        <v>10800</v>
      </c>
      <c r="F245" s="145">
        <f t="shared" si="76"/>
        <v>387720</v>
      </c>
      <c r="G245" s="151">
        <f t="shared" si="85"/>
        <v>342705.70799999998</v>
      </c>
      <c r="H245" s="145">
        <f t="shared" si="86"/>
        <v>45014.292000000001</v>
      </c>
      <c r="I245" s="145">
        <f t="shared" si="77"/>
        <v>9546.1200000000008</v>
      </c>
      <c r="J245" s="145">
        <f t="shared" si="78"/>
        <v>1312.370029154519</v>
      </c>
      <c r="K245" s="142" t="str">
        <f t="shared" si="87"/>
        <v>l</v>
      </c>
      <c r="L245" s="146">
        <f>IFERROR(INDEX(Työkonekanta!$I$3:$I$27,MATCH('S3 Tiekartta'!$A245,Työkonekanta!$A$3:$A$24,0),1)*(I245+J245)*f_adblue,0)</f>
        <v>542.92450145772602</v>
      </c>
      <c r="M245" s="146">
        <f t="shared" si="96"/>
        <v>0</v>
      </c>
      <c r="N245" s="143" t="str">
        <f>IF(tuulisähkö_vuosi&lt;='S3 Tiekartta'!C245,"tuulisähkö",ostosähkö_nyt)</f>
        <v>jäännössähkö</v>
      </c>
      <c r="O245" s="147">
        <f>INDEX(Muuttujat!$J$5:$J$21,MATCH($C245,Muuttujat!$H$5:$H$21,0),1)</f>
        <v>63.897506909426724</v>
      </c>
      <c r="P245" s="148">
        <f t="shared" si="88"/>
        <v>0.88390000000000002</v>
      </c>
      <c r="Q245" s="148">
        <f t="shared" si="89"/>
        <v>0.11609999999999999</v>
      </c>
      <c r="R245" s="148">
        <f t="shared" si="90"/>
        <v>0.11609999999999999</v>
      </c>
      <c r="S245" s="149">
        <f t="shared" si="79"/>
        <v>6.4771378811999982</v>
      </c>
      <c r="T245" s="150">
        <f t="shared" si="80"/>
        <v>2.8088918208</v>
      </c>
      <c r="U245" s="150">
        <f t="shared" si="81"/>
        <v>0</v>
      </c>
      <c r="V245" s="150">
        <f>IFERROR(INDEX(Työkonekanta!$J$3:$J$27,MATCH($A245,Työkonekanta!$A$3:$A$24,0),1)*$B245*ef_li_ion_akku/1000/1000/INDEX(Työkonekanta!$K$3:$K$27,MATCH($A245,Työkonekanta!$A$3:$A$24,0)),0)</f>
        <v>0</v>
      </c>
      <c r="W245" s="149">
        <f t="shared" si="97"/>
        <v>25.294510038775034</v>
      </c>
      <c r="X245" s="150">
        <f t="shared" si="98"/>
        <v>0.34316531280000001</v>
      </c>
      <c r="Y245" s="151">
        <f t="shared" si="99"/>
        <v>0.14116037037900875</v>
      </c>
      <c r="Z245" s="152">
        <f t="shared" si="91"/>
        <v>9.2860297019999987</v>
      </c>
      <c r="AA245" s="179">
        <f t="shared" si="92"/>
        <v>25.435670409154042</v>
      </c>
      <c r="AB245" s="179">
        <f t="shared" si="93"/>
        <v>25.778835721954042</v>
      </c>
      <c r="AC245" s="180">
        <f t="shared" si="100"/>
        <v>34.721700111154043</v>
      </c>
      <c r="AD245" s="156">
        <f t="shared" si="94"/>
        <v>35.064865423954039</v>
      </c>
      <c r="AE245" s="146">
        <f>IFERROR(INDEX(Työkonekanta!$L$3:$L$30,MATCH($A245,Työkonekanta!$A$3:$A$30,0),1),0)*AF245</f>
        <v>0</v>
      </c>
      <c r="AF245" s="146">
        <f>IFERROR(INDEX(Työkonekanta!$N$3:$N$32,MATCH($A245,Työkonekanta!$A$3:$A$32,0),1),0)</f>
        <v>0</v>
      </c>
      <c r="AG245" s="332">
        <f>I245*INDEX(Muuttujat!$U$5:$U$21,MATCH($C245,Muuttujat!$N$5:$N$21,0),1)</f>
        <v>9927.9648000000016</v>
      </c>
      <c r="AH245" s="332">
        <f>J245*INDEX(Muuttujat!$T$5:$T$21,MATCH($C245,Muuttujat!$N$5:$N$21,0),1)</f>
        <v>1889.8128419825073</v>
      </c>
      <c r="AI245" s="332">
        <f t="shared" si="82"/>
        <v>271.46225072886301</v>
      </c>
      <c r="AJ245" s="332">
        <f t="shared" si="83"/>
        <v>0</v>
      </c>
      <c r="AK245" s="333">
        <f t="shared" si="95"/>
        <v>12089.239892711372</v>
      </c>
      <c r="AL245" s="332">
        <f t="shared" si="84"/>
        <v>12089.239892711372</v>
      </c>
      <c r="AM245" s="351"/>
      <c r="AN245" s="351"/>
    </row>
    <row r="246" spans="1:40">
      <c r="A246" s="139">
        <v>4</v>
      </c>
      <c r="B246" s="139">
        <f>IFERROR(IF((INDEX(Työkonekanta!$F$3:$F$27,MATCH('S3 Tiekartta'!$A246,Työkonekanta!$A$3:$A$24,0),1))&lt;0,0,(INDEX(Työkonekanta!$F$3:$F$27,MATCH('S3 Tiekartta'!$A246,Työkonekanta!$A$3:$A$24,0),1))),0)</f>
        <v>1</v>
      </c>
      <c r="C246" s="140">
        <v>2027</v>
      </c>
      <c r="D246" s="141" t="str">
        <f>IFERROR(INDEX(Työkonekanta!$D$3:$D$27,MATCH('S3 Tiekartta'!$A246,Työkonekanta!$A$3:$A$24,0),1),"undefined")</f>
        <v>pom</v>
      </c>
      <c r="E246" s="145">
        <f>IFERROR(INDEX(Työkonekanta!$G$3:$G$27,MATCH($A246,Työkonekanta!$A$3:$A$24,0),1)*INDEX(Työkonekanta!$H$3:$H$27,MATCH($A246,Työkonekanta!$A$3:$A$24,0),1)*(1+s0b_kasvu*($C246-2019))*$B246,0)</f>
        <v>10800</v>
      </c>
      <c r="F246" s="145">
        <f t="shared" si="76"/>
        <v>387720</v>
      </c>
      <c r="G246" s="151">
        <f t="shared" si="85"/>
        <v>342705.70799999998</v>
      </c>
      <c r="H246" s="145">
        <f t="shared" si="86"/>
        <v>45014.292000000001</v>
      </c>
      <c r="I246" s="145">
        <f t="shared" si="77"/>
        <v>9546.1200000000008</v>
      </c>
      <c r="J246" s="145">
        <f t="shared" si="78"/>
        <v>1312.370029154519</v>
      </c>
      <c r="K246" s="142" t="str">
        <f t="shared" si="87"/>
        <v>l</v>
      </c>
      <c r="L246" s="146">
        <f>IFERROR(INDEX(Työkonekanta!$I$3:$I$27,MATCH('S3 Tiekartta'!$A246,Työkonekanta!$A$3:$A$24,0),1)*(I246+J246)*f_adblue,0)</f>
        <v>542.92450145772602</v>
      </c>
      <c r="M246" s="146">
        <f t="shared" si="96"/>
        <v>0</v>
      </c>
      <c r="N246" s="143" t="str">
        <f>IF(tuulisähkö_vuosi&lt;='S3 Tiekartta'!C246,"tuulisähkö",ostosähkö_nyt)</f>
        <v>jäännössähkö</v>
      </c>
      <c r="O246" s="147">
        <f>INDEX(Muuttujat!$J$5:$J$21,MATCH($C246,Muuttujat!$H$5:$H$21,0),1)</f>
        <v>63.897506909426724</v>
      </c>
      <c r="P246" s="148">
        <f t="shared" si="88"/>
        <v>0.88390000000000002</v>
      </c>
      <c r="Q246" s="148">
        <f t="shared" si="89"/>
        <v>0.11609999999999999</v>
      </c>
      <c r="R246" s="148">
        <f t="shared" si="90"/>
        <v>0.11609999999999999</v>
      </c>
      <c r="S246" s="149">
        <f t="shared" si="79"/>
        <v>6.4771378811999982</v>
      </c>
      <c r="T246" s="150">
        <f t="shared" si="80"/>
        <v>2.8088918208</v>
      </c>
      <c r="U246" s="150">
        <f t="shared" si="81"/>
        <v>0</v>
      </c>
      <c r="V246" s="150">
        <f>IFERROR(INDEX(Työkonekanta!$J$3:$J$27,MATCH($A246,Työkonekanta!$A$3:$A$24,0),1)*$B246*ef_li_ion_akku/1000/1000/INDEX(Työkonekanta!$K$3:$K$27,MATCH($A246,Työkonekanta!$A$3:$A$24,0)),0)</f>
        <v>0</v>
      </c>
      <c r="W246" s="149">
        <f t="shared" si="97"/>
        <v>25.294510038775034</v>
      </c>
      <c r="X246" s="150">
        <f t="shared" si="98"/>
        <v>0.34316531280000001</v>
      </c>
      <c r="Y246" s="151">
        <f t="shared" si="99"/>
        <v>0.14116037037900875</v>
      </c>
      <c r="Z246" s="152">
        <f t="shared" si="91"/>
        <v>9.2860297019999987</v>
      </c>
      <c r="AA246" s="179">
        <f t="shared" si="92"/>
        <v>25.435670409154042</v>
      </c>
      <c r="AB246" s="179">
        <f t="shared" si="93"/>
        <v>25.778835721954042</v>
      </c>
      <c r="AC246" s="180">
        <f t="shared" si="100"/>
        <v>34.721700111154043</v>
      </c>
      <c r="AD246" s="156">
        <f t="shared" si="94"/>
        <v>35.064865423954039</v>
      </c>
      <c r="AE246" s="146">
        <f>IFERROR(INDEX(Työkonekanta!$L$3:$L$30,MATCH($A246,Työkonekanta!$A$3:$A$30,0),1),0)*AF246</f>
        <v>0</v>
      </c>
      <c r="AF246" s="146">
        <f>IFERROR(INDEX(Työkonekanta!$N$3:$N$32,MATCH($A246,Työkonekanta!$A$3:$A$32,0),1),0)</f>
        <v>0</v>
      </c>
      <c r="AG246" s="332">
        <f>I246*INDEX(Muuttujat!$U$5:$U$21,MATCH($C246,Muuttujat!$N$5:$N$21,0),1)</f>
        <v>9927.9648000000016</v>
      </c>
      <c r="AH246" s="332">
        <f>J246*INDEX(Muuttujat!$T$5:$T$21,MATCH($C246,Muuttujat!$N$5:$N$21,0),1)</f>
        <v>1889.8128419825073</v>
      </c>
      <c r="AI246" s="332">
        <f t="shared" si="82"/>
        <v>271.46225072886301</v>
      </c>
      <c r="AJ246" s="332">
        <f t="shared" si="83"/>
        <v>0</v>
      </c>
      <c r="AK246" s="333">
        <f t="shared" si="95"/>
        <v>12089.239892711372</v>
      </c>
      <c r="AL246" s="332">
        <f t="shared" si="84"/>
        <v>12089.239892711372</v>
      </c>
      <c r="AM246" s="351"/>
      <c r="AN246" s="351"/>
    </row>
    <row r="247" spans="1:40">
      <c r="A247" s="139">
        <v>5</v>
      </c>
      <c r="B247" s="139">
        <f>IFERROR(IF((INDEX(Työkonekanta!$F$3:$F$27,MATCH('S3 Tiekartta'!$A247,Työkonekanta!$A$3:$A$24,0),1))&lt;0,0,(INDEX(Työkonekanta!$F$3:$F$27,MATCH('S3 Tiekartta'!$A247,Työkonekanta!$A$3:$A$24,0),1))),0)</f>
        <v>0</v>
      </c>
      <c r="C247" s="140">
        <v>2027</v>
      </c>
      <c r="D247" s="141" t="str">
        <f>IFERROR(INDEX(Työkonekanta!$D$3:$D$27,MATCH('S3 Tiekartta'!$A247,Työkonekanta!$A$3:$A$24,0),1),"undefined")</f>
        <v>sähkö</v>
      </c>
      <c r="E247" s="145">
        <f>IFERROR(INDEX(Työkonekanta!$G$3:$G$27,MATCH($A247,Työkonekanta!$A$3:$A$24,0),1)*INDEX(Työkonekanta!$H$3:$H$27,MATCH($A247,Työkonekanta!$A$3:$A$24,0),1)*(1+s0b_kasvu*($C247-2019))*$B247,0)</f>
        <v>0</v>
      </c>
      <c r="F247" s="145">
        <f t="shared" si="76"/>
        <v>0</v>
      </c>
      <c r="G247" s="151">
        <f t="shared" si="85"/>
        <v>0</v>
      </c>
      <c r="H247" s="145">
        <f t="shared" si="86"/>
        <v>0</v>
      </c>
      <c r="I247" s="145">
        <f t="shared" si="77"/>
        <v>0</v>
      </c>
      <c r="J247" s="145">
        <f t="shared" si="78"/>
        <v>0</v>
      </c>
      <c r="K247" s="142" t="str">
        <f t="shared" si="87"/>
        <v>kWh</v>
      </c>
      <c r="L247" s="146">
        <f>IFERROR(INDEX(Työkonekanta!$I$3:$I$27,MATCH('S3 Tiekartta'!$A247,Työkonekanta!$A$3:$A$24,0),1)*(I247+J247)*f_adblue,0)</f>
        <v>0</v>
      </c>
      <c r="M247" s="146">
        <f t="shared" si="96"/>
        <v>0</v>
      </c>
      <c r="N247" s="143" t="str">
        <f>IF(tuulisähkö_vuosi&lt;='S3 Tiekartta'!C247,"tuulisähkö",ostosähkö_nyt)</f>
        <v>jäännössähkö</v>
      </c>
      <c r="O247" s="147">
        <f>INDEX(Muuttujat!$J$5:$J$21,MATCH($C247,Muuttujat!$H$5:$H$21,0),1)</f>
        <v>63.897506909426724</v>
      </c>
      <c r="P247" s="148">
        <f t="shared" si="88"/>
        <v>0.88390000000000002</v>
      </c>
      <c r="Q247" s="148">
        <f t="shared" si="89"/>
        <v>0.11609999999999999</v>
      </c>
      <c r="R247" s="148">
        <f t="shared" si="90"/>
        <v>0.11609999999999999</v>
      </c>
      <c r="S247" s="149">
        <f t="shared" si="79"/>
        <v>0</v>
      </c>
      <c r="T247" s="150">
        <f t="shared" si="80"/>
        <v>0</v>
      </c>
      <c r="U247" s="150">
        <f t="shared" si="81"/>
        <v>0</v>
      </c>
      <c r="V247" s="150">
        <f>IFERROR(INDEX(Työkonekanta!$J$3:$J$27,MATCH($A247,Työkonekanta!$A$3:$A$24,0),1)*$B247*ef_li_ion_akku/1000/1000/INDEX(Työkonekanta!$K$3:$K$27,MATCH($A247,Työkonekanta!$A$3:$A$24,0)),0)</f>
        <v>0</v>
      </c>
      <c r="W247" s="149">
        <f t="shared" si="97"/>
        <v>0</v>
      </c>
      <c r="X247" s="150">
        <f t="shared" si="98"/>
        <v>0</v>
      </c>
      <c r="Y247" s="151">
        <f t="shared" si="99"/>
        <v>0</v>
      </c>
      <c r="Z247" s="152">
        <f t="shared" si="91"/>
        <v>0</v>
      </c>
      <c r="AA247" s="179">
        <f t="shared" si="92"/>
        <v>0</v>
      </c>
      <c r="AB247" s="179">
        <f t="shared" si="93"/>
        <v>0</v>
      </c>
      <c r="AC247" s="180">
        <f t="shared" si="100"/>
        <v>0</v>
      </c>
      <c r="AD247" s="156">
        <f t="shared" si="94"/>
        <v>0</v>
      </c>
      <c r="AE247" s="146">
        <f>IFERROR(INDEX(Työkonekanta!$L$3:$L$30,MATCH($A247,Työkonekanta!$A$3:$A$30,0),1),0)*AF247</f>
        <v>0</v>
      </c>
      <c r="AF247" s="146">
        <f>IFERROR(INDEX(Työkonekanta!$N$3:$N$32,MATCH($A247,Työkonekanta!$A$3:$A$32,0),1),0)</f>
        <v>0</v>
      </c>
      <c r="AG247" s="332">
        <f>I247*INDEX(Muuttujat!$U$5:$U$21,MATCH($C247,Muuttujat!$N$5:$N$21,0),1)</f>
        <v>0</v>
      </c>
      <c r="AH247" s="332">
        <f>J247*INDEX(Muuttujat!$T$5:$T$21,MATCH($C247,Muuttujat!$N$5:$N$21,0),1)</f>
        <v>0</v>
      </c>
      <c r="AI247" s="332">
        <f t="shared" si="82"/>
        <v>0</v>
      </c>
      <c r="AJ247" s="332">
        <f t="shared" si="83"/>
        <v>0</v>
      </c>
      <c r="AK247" s="333">
        <f t="shared" si="95"/>
        <v>0</v>
      </c>
      <c r="AL247" s="332">
        <f t="shared" si="84"/>
        <v>0</v>
      </c>
      <c r="AM247" s="351"/>
      <c r="AN247" s="351"/>
    </row>
    <row r="248" spans="1:40">
      <c r="A248" s="139">
        <v>6</v>
      </c>
      <c r="B248" s="139">
        <f>IFERROR(IF((INDEX(Työkonekanta!$F$3:$F$27,MATCH('S3 Tiekartta'!$A248,Työkonekanta!$A$3:$A$24,0),1))&lt;0,0,(INDEX(Työkonekanta!$F$3:$F$27,MATCH('S3 Tiekartta'!$A248,Työkonekanta!$A$3:$A$24,0),1))),0)</f>
        <v>0</v>
      </c>
      <c r="C248" s="140">
        <v>2027</v>
      </c>
      <c r="D248" s="141" t="str">
        <f>IFERROR(INDEX(Työkonekanta!$D$3:$D$27,MATCH('S3 Tiekartta'!$A248,Työkonekanta!$A$3:$A$24,0),1),"undefined")</f>
        <v>sähkö</v>
      </c>
      <c r="E248" s="145">
        <f>IFERROR(INDEX(Työkonekanta!$G$3:$G$27,MATCH($A248,Työkonekanta!$A$3:$A$24,0),1)*INDEX(Työkonekanta!$H$3:$H$27,MATCH($A248,Työkonekanta!$A$3:$A$24,0),1)*(1+s0b_kasvu*($C248-2019))*$B248,0)</f>
        <v>0</v>
      </c>
      <c r="F248" s="145">
        <f t="shared" si="76"/>
        <v>0</v>
      </c>
      <c r="G248" s="151">
        <f t="shared" si="85"/>
        <v>0</v>
      </c>
      <c r="H248" s="145">
        <f t="shared" si="86"/>
        <v>0</v>
      </c>
      <c r="I248" s="145">
        <f t="shared" si="77"/>
        <v>0</v>
      </c>
      <c r="J248" s="145">
        <f t="shared" si="78"/>
        <v>0</v>
      </c>
      <c r="K248" s="142" t="str">
        <f t="shared" si="87"/>
        <v>kWh</v>
      </c>
      <c r="L248" s="146">
        <f>IFERROR(INDEX(Työkonekanta!$I$3:$I$27,MATCH('S3 Tiekartta'!$A248,Työkonekanta!$A$3:$A$24,0),1)*(I248+J248)*f_adblue,0)</f>
        <v>0</v>
      </c>
      <c r="M248" s="146">
        <f t="shared" si="96"/>
        <v>0</v>
      </c>
      <c r="N248" s="143" t="str">
        <f>IF(tuulisähkö_vuosi&lt;='S3 Tiekartta'!C248,"tuulisähkö",ostosähkö_nyt)</f>
        <v>jäännössähkö</v>
      </c>
      <c r="O248" s="147">
        <f>INDEX(Muuttujat!$J$5:$J$21,MATCH($C248,Muuttujat!$H$5:$H$21,0),1)</f>
        <v>63.897506909426724</v>
      </c>
      <c r="P248" s="148">
        <f t="shared" si="88"/>
        <v>0.88390000000000002</v>
      </c>
      <c r="Q248" s="148">
        <f t="shared" si="89"/>
        <v>0.11609999999999999</v>
      </c>
      <c r="R248" s="148">
        <f t="shared" si="90"/>
        <v>0.11609999999999999</v>
      </c>
      <c r="S248" s="149">
        <f t="shared" si="79"/>
        <v>0</v>
      </c>
      <c r="T248" s="150">
        <f t="shared" si="80"/>
        <v>0</v>
      </c>
      <c r="U248" s="150">
        <f t="shared" si="81"/>
        <v>0</v>
      </c>
      <c r="V248" s="150">
        <f>IFERROR(INDEX(Työkonekanta!$J$3:$J$27,MATCH($A248,Työkonekanta!$A$3:$A$24,0),1)*$B248*ef_li_ion_akku/1000/1000/INDEX(Työkonekanta!$K$3:$K$27,MATCH($A248,Työkonekanta!$A$3:$A$24,0)),0)</f>
        <v>0</v>
      </c>
      <c r="W248" s="149">
        <f t="shared" si="97"/>
        <v>0</v>
      </c>
      <c r="X248" s="150">
        <f t="shared" si="98"/>
        <v>0</v>
      </c>
      <c r="Y248" s="151">
        <f t="shared" si="99"/>
        <v>0</v>
      </c>
      <c r="Z248" s="152">
        <f t="shared" si="91"/>
        <v>0</v>
      </c>
      <c r="AA248" s="179">
        <f t="shared" si="92"/>
        <v>0</v>
      </c>
      <c r="AB248" s="179">
        <f t="shared" si="93"/>
        <v>0</v>
      </c>
      <c r="AC248" s="180">
        <f t="shared" si="100"/>
        <v>0</v>
      </c>
      <c r="AD248" s="156">
        <f t="shared" si="94"/>
        <v>0</v>
      </c>
      <c r="AE248" s="146">
        <f>IFERROR(INDEX(Työkonekanta!$L$3:$L$30,MATCH($A248,Työkonekanta!$A$3:$A$30,0),1),0)*AF248</f>
        <v>0</v>
      </c>
      <c r="AF248" s="146">
        <f>IFERROR(INDEX(Työkonekanta!$N$3:$N$32,MATCH($A248,Työkonekanta!$A$3:$A$32,0),1),0)</f>
        <v>0</v>
      </c>
      <c r="AG248" s="332">
        <f>I248*INDEX(Muuttujat!$U$5:$U$21,MATCH($C248,Muuttujat!$N$5:$N$21,0),1)</f>
        <v>0</v>
      </c>
      <c r="AH248" s="332">
        <f>J248*INDEX(Muuttujat!$T$5:$T$21,MATCH($C248,Muuttujat!$N$5:$N$21,0),1)</f>
        <v>0</v>
      </c>
      <c r="AI248" s="332">
        <f t="shared" si="82"/>
        <v>0</v>
      </c>
      <c r="AJ248" s="332">
        <f t="shared" si="83"/>
        <v>0</v>
      </c>
      <c r="AK248" s="333">
        <f t="shared" si="95"/>
        <v>0</v>
      </c>
      <c r="AL248" s="332">
        <f t="shared" si="84"/>
        <v>0</v>
      </c>
      <c r="AM248" s="351"/>
      <c r="AN248" s="351"/>
    </row>
    <row r="249" spans="1:40">
      <c r="A249" s="139">
        <v>7</v>
      </c>
      <c r="B249" s="139">
        <f>IFERROR(IF((INDEX(Työkonekanta!$F$3:$F$27,MATCH('S3 Tiekartta'!$A249,Työkonekanta!$A$3:$A$24,0),1))&lt;0,0,(INDEX(Työkonekanta!$F$3:$F$27,MATCH('S3 Tiekartta'!$A249,Työkonekanta!$A$3:$A$24,0),1))),0)</f>
        <v>1</v>
      </c>
      <c r="C249" s="140">
        <v>2027</v>
      </c>
      <c r="D249" s="141" t="str">
        <f>IFERROR(INDEX(Työkonekanta!$D$3:$D$27,MATCH('S3 Tiekartta'!$A249,Työkonekanta!$A$3:$A$24,0),1),"undefined")</f>
        <v>pom</v>
      </c>
      <c r="E249" s="145">
        <f>IFERROR(INDEX(Työkonekanta!$G$3:$G$27,MATCH($A249,Työkonekanta!$A$3:$A$24,0),1)*INDEX(Työkonekanta!$H$3:$H$27,MATCH($A249,Työkonekanta!$A$3:$A$24,0),1)*(1+s0b_kasvu*($C249-2019))*$B249,0)</f>
        <v>10800</v>
      </c>
      <c r="F249" s="145">
        <f t="shared" si="76"/>
        <v>387720</v>
      </c>
      <c r="G249" s="151">
        <f t="shared" si="85"/>
        <v>342705.70799999998</v>
      </c>
      <c r="H249" s="145">
        <f t="shared" si="86"/>
        <v>45014.292000000001</v>
      </c>
      <c r="I249" s="145">
        <f t="shared" si="77"/>
        <v>9546.1200000000008</v>
      </c>
      <c r="J249" s="145">
        <f t="shared" si="78"/>
        <v>1312.370029154519</v>
      </c>
      <c r="K249" s="142" t="str">
        <f t="shared" si="87"/>
        <v>l</v>
      </c>
      <c r="L249" s="146">
        <f>IFERROR(INDEX(Työkonekanta!$I$3:$I$27,MATCH('S3 Tiekartta'!$A249,Työkonekanta!$A$3:$A$24,0),1)*(I249+J249)*f_adblue,0)</f>
        <v>0</v>
      </c>
      <c r="M249" s="146">
        <f t="shared" si="96"/>
        <v>0</v>
      </c>
      <c r="N249" s="143" t="str">
        <f>IF(tuulisähkö_vuosi&lt;='S3 Tiekartta'!C249,"tuulisähkö",ostosähkö_nyt)</f>
        <v>jäännössähkö</v>
      </c>
      <c r="O249" s="147">
        <f>INDEX(Muuttujat!$J$5:$J$21,MATCH($C249,Muuttujat!$H$5:$H$21,0),1)</f>
        <v>63.897506909426724</v>
      </c>
      <c r="P249" s="148">
        <f t="shared" si="88"/>
        <v>0.88390000000000002</v>
      </c>
      <c r="Q249" s="148">
        <f t="shared" si="89"/>
        <v>0.11609999999999999</v>
      </c>
      <c r="R249" s="148">
        <f t="shared" si="90"/>
        <v>0.11609999999999999</v>
      </c>
      <c r="S249" s="149">
        <f t="shared" si="79"/>
        <v>6.4771378811999982</v>
      </c>
      <c r="T249" s="150">
        <f t="shared" si="80"/>
        <v>2.8088918208</v>
      </c>
      <c r="U249" s="150">
        <f t="shared" si="81"/>
        <v>0</v>
      </c>
      <c r="V249" s="150">
        <f>IFERROR(INDEX(Työkonekanta!$J$3:$J$27,MATCH($A249,Työkonekanta!$A$3:$A$24,0),1)*$B249*ef_li_ion_akku/1000/1000/INDEX(Työkonekanta!$K$3:$K$27,MATCH($A249,Työkonekanta!$A$3:$A$24,0)),0)</f>
        <v>0</v>
      </c>
      <c r="W249" s="149">
        <f t="shared" si="97"/>
        <v>25.294510038775034</v>
      </c>
      <c r="X249" s="150">
        <f t="shared" si="98"/>
        <v>0.34316531280000001</v>
      </c>
      <c r="Y249" s="151">
        <f t="shared" si="99"/>
        <v>0</v>
      </c>
      <c r="Z249" s="152">
        <f t="shared" si="91"/>
        <v>9.2860297019999987</v>
      </c>
      <c r="AA249" s="179">
        <f t="shared" si="92"/>
        <v>25.294510038775034</v>
      </c>
      <c r="AB249" s="179">
        <f t="shared" si="93"/>
        <v>25.637675351575034</v>
      </c>
      <c r="AC249" s="180">
        <f t="shared" si="100"/>
        <v>34.580539740775031</v>
      </c>
      <c r="AD249" s="156">
        <f t="shared" si="94"/>
        <v>34.923705053575034</v>
      </c>
      <c r="AE249" s="146">
        <f>IFERROR(INDEX(Työkonekanta!$L$3:$L$30,MATCH($A249,Työkonekanta!$A$3:$A$30,0),1),0)*AF249</f>
        <v>500000</v>
      </c>
      <c r="AF249" s="146">
        <f>IFERROR(INDEX(Työkonekanta!$N$3:$N$32,MATCH($A249,Työkonekanta!$A$3:$A$32,0),1),0)</f>
        <v>1</v>
      </c>
      <c r="AG249" s="332">
        <f>I249*INDEX(Muuttujat!$U$5:$U$21,MATCH($C249,Muuttujat!$N$5:$N$21,0),1)</f>
        <v>9927.9648000000016</v>
      </c>
      <c r="AH249" s="332">
        <f>J249*INDEX(Muuttujat!$T$5:$T$21,MATCH($C249,Muuttujat!$N$5:$N$21,0),1)</f>
        <v>1889.8128419825073</v>
      </c>
      <c r="AI249" s="332">
        <f t="shared" si="82"/>
        <v>0</v>
      </c>
      <c r="AJ249" s="332">
        <f t="shared" si="83"/>
        <v>0</v>
      </c>
      <c r="AK249" s="333">
        <f t="shared" si="95"/>
        <v>11817.77764198251</v>
      </c>
      <c r="AL249" s="332">
        <f t="shared" si="84"/>
        <v>11817.77764198251</v>
      </c>
      <c r="AM249" s="351"/>
      <c r="AN249" s="351"/>
    </row>
    <row r="250" spans="1:40">
      <c r="A250" s="139">
        <v>8</v>
      </c>
      <c r="B250" s="139">
        <f>IFERROR(IF((INDEX(Työkonekanta!$F$3:$F$27,MATCH('S3 Tiekartta'!$A250,Työkonekanta!$A$3:$A$24,0),1))&lt;0,0,(INDEX(Työkonekanta!$F$3:$F$27,MATCH('S3 Tiekartta'!$A250,Työkonekanta!$A$3:$A$24,0),1))),0)</f>
        <v>1</v>
      </c>
      <c r="C250" s="140">
        <v>2027</v>
      </c>
      <c r="D250" s="141" t="str">
        <f>IFERROR(INDEX(Työkonekanta!$D$3:$D$27,MATCH('S3 Tiekartta'!$A250,Työkonekanta!$A$3:$A$24,0),1),"undefined")</f>
        <v>pom</v>
      </c>
      <c r="E250" s="145">
        <f>IFERROR(INDEX(Työkonekanta!$G$3:$G$27,MATCH($A250,Työkonekanta!$A$3:$A$24,0),1)*INDEX(Työkonekanta!$H$3:$H$27,MATCH($A250,Työkonekanta!$A$3:$A$24,0),1)*(1+s0b_kasvu*($C250-2019))*$B250,0)</f>
        <v>10800</v>
      </c>
      <c r="F250" s="145">
        <f t="shared" si="76"/>
        <v>387720</v>
      </c>
      <c r="G250" s="151">
        <f t="shared" si="85"/>
        <v>342705.70799999998</v>
      </c>
      <c r="H250" s="145">
        <f t="shared" si="86"/>
        <v>45014.292000000001</v>
      </c>
      <c r="I250" s="145">
        <f t="shared" si="77"/>
        <v>9546.1200000000008</v>
      </c>
      <c r="J250" s="145">
        <f t="shared" si="78"/>
        <v>1312.370029154519</v>
      </c>
      <c r="K250" s="142" t="str">
        <f t="shared" si="87"/>
        <v>l</v>
      </c>
      <c r="L250" s="146">
        <f>IFERROR(INDEX(Työkonekanta!$I$3:$I$27,MATCH('S3 Tiekartta'!$A250,Työkonekanta!$A$3:$A$24,0),1)*(I250+J250)*f_adblue,0)</f>
        <v>542.92450145772602</v>
      </c>
      <c r="M250" s="146">
        <f t="shared" si="96"/>
        <v>0</v>
      </c>
      <c r="N250" s="143" t="str">
        <f>IF(tuulisähkö_vuosi&lt;='S3 Tiekartta'!C250,"tuulisähkö",ostosähkö_nyt)</f>
        <v>jäännössähkö</v>
      </c>
      <c r="O250" s="147">
        <f>INDEX(Muuttujat!$J$5:$J$21,MATCH($C250,Muuttujat!$H$5:$H$21,0),1)</f>
        <v>63.897506909426724</v>
      </c>
      <c r="P250" s="148">
        <f t="shared" si="88"/>
        <v>0.88390000000000002</v>
      </c>
      <c r="Q250" s="148">
        <f t="shared" si="89"/>
        <v>0.11609999999999999</v>
      </c>
      <c r="R250" s="148">
        <f t="shared" si="90"/>
        <v>0.11609999999999999</v>
      </c>
      <c r="S250" s="149">
        <f t="shared" si="79"/>
        <v>6.4771378811999982</v>
      </c>
      <c r="T250" s="150">
        <f t="shared" si="80"/>
        <v>2.8088918208</v>
      </c>
      <c r="U250" s="150">
        <f t="shared" si="81"/>
        <v>0</v>
      </c>
      <c r="V250" s="150">
        <f>IFERROR(INDEX(Työkonekanta!$J$3:$J$27,MATCH($A250,Työkonekanta!$A$3:$A$24,0),1)*$B250*ef_li_ion_akku/1000/1000/INDEX(Työkonekanta!$K$3:$K$27,MATCH($A250,Työkonekanta!$A$3:$A$24,0)),0)</f>
        <v>0</v>
      </c>
      <c r="W250" s="149">
        <f t="shared" si="97"/>
        <v>25.294510038775034</v>
      </c>
      <c r="X250" s="150">
        <f t="shared" si="98"/>
        <v>0.34316531280000001</v>
      </c>
      <c r="Y250" s="151">
        <f t="shared" si="99"/>
        <v>0.14116037037900875</v>
      </c>
      <c r="Z250" s="152">
        <f t="shared" si="91"/>
        <v>9.2860297019999987</v>
      </c>
      <c r="AA250" s="179">
        <f t="shared" si="92"/>
        <v>25.435670409154042</v>
      </c>
      <c r="AB250" s="179">
        <f t="shared" si="93"/>
        <v>25.778835721954042</v>
      </c>
      <c r="AC250" s="180">
        <f t="shared" si="100"/>
        <v>34.721700111154043</v>
      </c>
      <c r="AD250" s="156">
        <f t="shared" si="94"/>
        <v>35.064865423954039</v>
      </c>
      <c r="AE250" s="146">
        <f>IFERROR(INDEX(Työkonekanta!$L$3:$L$30,MATCH($A250,Työkonekanta!$A$3:$A$30,0),1),0)*AF250</f>
        <v>500000</v>
      </c>
      <c r="AF250" s="146">
        <f>IFERROR(INDEX(Työkonekanta!$N$3:$N$32,MATCH($A250,Työkonekanta!$A$3:$A$32,0),1),0)</f>
        <v>1</v>
      </c>
      <c r="AG250" s="332">
        <f>I250*INDEX(Muuttujat!$U$5:$U$21,MATCH($C250,Muuttujat!$N$5:$N$21,0),1)</f>
        <v>9927.9648000000016</v>
      </c>
      <c r="AH250" s="332">
        <f>J250*INDEX(Muuttujat!$T$5:$T$21,MATCH($C250,Muuttujat!$N$5:$N$21,0),1)</f>
        <v>1889.8128419825073</v>
      </c>
      <c r="AI250" s="332">
        <f t="shared" si="82"/>
        <v>271.46225072886301</v>
      </c>
      <c r="AJ250" s="332">
        <f t="shared" si="83"/>
        <v>0</v>
      </c>
      <c r="AK250" s="333">
        <f t="shared" si="95"/>
        <v>12089.239892711372</v>
      </c>
      <c r="AL250" s="332">
        <f t="shared" si="84"/>
        <v>12089.239892711372</v>
      </c>
      <c r="AM250" s="351"/>
      <c r="AN250" s="351"/>
    </row>
    <row r="251" spans="1:40">
      <c r="A251" s="139">
        <v>9</v>
      </c>
      <c r="B251" s="139">
        <f>IFERROR(IF((INDEX(Työkonekanta!$F$3:$F$27,MATCH('S3 Tiekartta'!$A251,Työkonekanta!$A$3:$A$24,0),1))&lt;0,0,(INDEX(Työkonekanta!$F$3:$F$27,MATCH('S3 Tiekartta'!$A251,Työkonekanta!$A$3:$A$24,0),1))),0)</f>
        <v>0</v>
      </c>
      <c r="C251" s="140">
        <v>2027</v>
      </c>
      <c r="D251" s="141" t="str">
        <f>IFERROR(INDEX(Työkonekanta!$D$3:$D$27,MATCH('S3 Tiekartta'!$A251,Työkonekanta!$A$3:$A$24,0),1),"undefined")</f>
        <v>sähkö</v>
      </c>
      <c r="E251" s="145">
        <f>IFERROR(INDEX(Työkonekanta!$G$3:$G$27,MATCH($A251,Työkonekanta!$A$3:$A$24,0),1)*INDEX(Työkonekanta!$H$3:$H$27,MATCH($A251,Työkonekanta!$A$3:$A$24,0),1)*(1+s0b_kasvu*($C251-2019))*$B251,0)</f>
        <v>0</v>
      </c>
      <c r="F251" s="145">
        <f t="shared" si="76"/>
        <v>0</v>
      </c>
      <c r="G251" s="151">
        <f t="shared" si="85"/>
        <v>0</v>
      </c>
      <c r="H251" s="145">
        <f t="shared" si="86"/>
        <v>0</v>
      </c>
      <c r="I251" s="145">
        <f t="shared" si="77"/>
        <v>0</v>
      </c>
      <c r="J251" s="145">
        <f t="shared" si="78"/>
        <v>0</v>
      </c>
      <c r="K251" s="142" t="str">
        <f t="shared" si="87"/>
        <v>kWh</v>
      </c>
      <c r="L251" s="146">
        <f>IFERROR(INDEX(Työkonekanta!$I$3:$I$27,MATCH('S3 Tiekartta'!$A251,Työkonekanta!$A$3:$A$24,0),1)*(I251+J251)*f_adblue,0)</f>
        <v>0</v>
      </c>
      <c r="M251" s="146">
        <f t="shared" si="96"/>
        <v>0</v>
      </c>
      <c r="N251" s="143" t="str">
        <f>IF(tuulisähkö_vuosi&lt;='S3 Tiekartta'!C251,"tuulisähkö",ostosähkö_nyt)</f>
        <v>jäännössähkö</v>
      </c>
      <c r="O251" s="147">
        <f>INDEX(Muuttujat!$J$5:$J$21,MATCH($C251,Muuttujat!$H$5:$H$21,0),1)</f>
        <v>63.897506909426724</v>
      </c>
      <c r="P251" s="148">
        <f t="shared" si="88"/>
        <v>0.88390000000000002</v>
      </c>
      <c r="Q251" s="148">
        <f t="shared" si="89"/>
        <v>0.11609999999999999</v>
      </c>
      <c r="R251" s="148">
        <f t="shared" si="90"/>
        <v>0.11609999999999999</v>
      </c>
      <c r="S251" s="149">
        <f t="shared" si="79"/>
        <v>0</v>
      </c>
      <c r="T251" s="150">
        <f t="shared" si="80"/>
        <v>0</v>
      </c>
      <c r="U251" s="150">
        <f t="shared" si="81"/>
        <v>0</v>
      </c>
      <c r="V251" s="150">
        <f>IFERROR(INDEX(Työkonekanta!$J$3:$J$27,MATCH($A251,Työkonekanta!$A$3:$A$24,0),1)*$B251*ef_li_ion_akku/1000/1000/INDEX(Työkonekanta!$K$3:$K$27,MATCH($A251,Työkonekanta!$A$3:$A$24,0)),0)</f>
        <v>0</v>
      </c>
      <c r="W251" s="149">
        <f t="shared" si="97"/>
        <v>0</v>
      </c>
      <c r="X251" s="150">
        <f t="shared" si="98"/>
        <v>0</v>
      </c>
      <c r="Y251" s="151">
        <f t="shared" si="99"/>
        <v>0</v>
      </c>
      <c r="Z251" s="152">
        <f t="shared" si="91"/>
        <v>0</v>
      </c>
      <c r="AA251" s="179">
        <f t="shared" si="92"/>
        <v>0</v>
      </c>
      <c r="AB251" s="179">
        <f t="shared" si="93"/>
        <v>0</v>
      </c>
      <c r="AC251" s="180">
        <f t="shared" si="100"/>
        <v>0</v>
      </c>
      <c r="AD251" s="156">
        <f t="shared" si="94"/>
        <v>0</v>
      </c>
      <c r="AE251" s="146">
        <f>IFERROR(INDEX(Työkonekanta!$L$3:$L$30,MATCH($A251,Työkonekanta!$A$3:$A$30,0),1),0)*AF251</f>
        <v>0</v>
      </c>
      <c r="AF251" s="146">
        <f>IFERROR(INDEX(Työkonekanta!$N$3:$N$32,MATCH($A251,Työkonekanta!$A$3:$A$32,0),1),0)</f>
        <v>0</v>
      </c>
      <c r="AG251" s="332">
        <f>I251*INDEX(Muuttujat!$U$5:$U$21,MATCH($C251,Muuttujat!$N$5:$N$21,0),1)</f>
        <v>0</v>
      </c>
      <c r="AH251" s="332">
        <f>J251*INDEX(Muuttujat!$T$5:$T$21,MATCH($C251,Muuttujat!$N$5:$N$21,0),1)</f>
        <v>0</v>
      </c>
      <c r="AI251" s="332">
        <f t="shared" si="82"/>
        <v>0</v>
      </c>
      <c r="AJ251" s="332">
        <f t="shared" si="83"/>
        <v>0</v>
      </c>
      <c r="AK251" s="333">
        <f t="shared" si="95"/>
        <v>0</v>
      </c>
      <c r="AL251" s="332">
        <f t="shared" si="84"/>
        <v>0</v>
      </c>
      <c r="AM251" s="351"/>
      <c r="AN251" s="351"/>
    </row>
    <row r="252" spans="1:40">
      <c r="A252" s="139">
        <v>10</v>
      </c>
      <c r="B252" s="139">
        <f>IFERROR(IF((INDEX(Työkonekanta!$F$3:$F$27,MATCH('S3 Tiekartta'!$A252,Työkonekanta!$A$3:$A$24,0),1))&lt;0,0,(INDEX(Työkonekanta!$F$3:$F$27,MATCH('S3 Tiekartta'!$A252,Työkonekanta!$A$3:$A$24,0),1))),0)</f>
        <v>0</v>
      </c>
      <c r="C252" s="140">
        <v>2027</v>
      </c>
      <c r="D252" s="141" t="str">
        <f>IFERROR(INDEX(Työkonekanta!$D$3:$D$27,MATCH('S3 Tiekartta'!$A252,Työkonekanta!$A$3:$A$24,0),1),"undefined")</f>
        <v>sähkö</v>
      </c>
      <c r="E252" s="145">
        <f>IFERROR(INDEX(Työkonekanta!$G$3:$G$27,MATCH($A252,Työkonekanta!$A$3:$A$24,0),1)*INDEX(Työkonekanta!$H$3:$H$27,MATCH($A252,Työkonekanta!$A$3:$A$24,0),1)*(1+s0b_kasvu*($C252-2019))*$B252,0)</f>
        <v>0</v>
      </c>
      <c r="F252" s="145">
        <f t="shared" si="76"/>
        <v>0</v>
      </c>
      <c r="G252" s="151">
        <f t="shared" si="85"/>
        <v>0</v>
      </c>
      <c r="H252" s="145">
        <f t="shared" si="86"/>
        <v>0</v>
      </c>
      <c r="I252" s="145">
        <f t="shared" si="77"/>
        <v>0</v>
      </c>
      <c r="J252" s="145">
        <f t="shared" si="78"/>
        <v>0</v>
      </c>
      <c r="K252" s="142" t="str">
        <f t="shared" si="87"/>
        <v>kWh</v>
      </c>
      <c r="L252" s="146">
        <f>IFERROR(INDEX(Työkonekanta!$I$3:$I$27,MATCH('S3 Tiekartta'!$A252,Työkonekanta!$A$3:$A$24,0),1)*(I252+J252)*f_adblue,0)</f>
        <v>0</v>
      </c>
      <c r="M252" s="146">
        <f t="shared" si="96"/>
        <v>0</v>
      </c>
      <c r="N252" s="143" t="str">
        <f>IF(tuulisähkö_vuosi&lt;='S3 Tiekartta'!C252,"tuulisähkö",ostosähkö_nyt)</f>
        <v>jäännössähkö</v>
      </c>
      <c r="O252" s="147">
        <f>INDEX(Muuttujat!$J$5:$J$21,MATCH($C252,Muuttujat!$H$5:$H$21,0),1)</f>
        <v>63.897506909426724</v>
      </c>
      <c r="P252" s="148">
        <f t="shared" si="88"/>
        <v>0.88390000000000002</v>
      </c>
      <c r="Q252" s="148">
        <f t="shared" si="89"/>
        <v>0.11609999999999999</v>
      </c>
      <c r="R252" s="148">
        <f t="shared" si="90"/>
        <v>0.11609999999999999</v>
      </c>
      <c r="S252" s="149">
        <f t="shared" si="79"/>
        <v>0</v>
      </c>
      <c r="T252" s="150">
        <f t="shared" si="80"/>
        <v>0</v>
      </c>
      <c r="U252" s="150">
        <f t="shared" si="81"/>
        <v>0</v>
      </c>
      <c r="V252" s="150">
        <f>IFERROR(INDEX(Työkonekanta!$J$3:$J$27,MATCH($A252,Työkonekanta!$A$3:$A$24,0),1)*$B252*ef_li_ion_akku/1000/1000/INDEX(Työkonekanta!$K$3:$K$27,MATCH($A252,Työkonekanta!$A$3:$A$24,0)),0)</f>
        <v>0</v>
      </c>
      <c r="W252" s="149">
        <f t="shared" si="97"/>
        <v>0</v>
      </c>
      <c r="X252" s="150">
        <f t="shared" si="98"/>
        <v>0</v>
      </c>
      <c r="Y252" s="151">
        <f t="shared" si="99"/>
        <v>0</v>
      </c>
      <c r="Z252" s="152">
        <f t="shared" si="91"/>
        <v>0</v>
      </c>
      <c r="AA252" s="179">
        <f t="shared" si="92"/>
        <v>0</v>
      </c>
      <c r="AB252" s="179">
        <f t="shared" si="93"/>
        <v>0</v>
      </c>
      <c r="AC252" s="180">
        <f t="shared" si="100"/>
        <v>0</v>
      </c>
      <c r="AD252" s="156">
        <f t="shared" si="94"/>
        <v>0</v>
      </c>
      <c r="AE252" s="146">
        <f>IFERROR(INDEX(Työkonekanta!$L$3:$L$30,MATCH($A252,Työkonekanta!$A$3:$A$30,0),1),0)*AF252</f>
        <v>0</v>
      </c>
      <c r="AF252" s="146">
        <f>IFERROR(INDEX(Työkonekanta!$N$3:$N$32,MATCH($A252,Työkonekanta!$A$3:$A$32,0),1),0)</f>
        <v>0</v>
      </c>
      <c r="AG252" s="332">
        <f>I252*INDEX(Muuttujat!$U$5:$U$21,MATCH($C252,Muuttujat!$N$5:$N$21,0),1)</f>
        <v>0</v>
      </c>
      <c r="AH252" s="332">
        <f>J252*INDEX(Muuttujat!$T$5:$T$21,MATCH($C252,Muuttujat!$N$5:$N$21,0),1)</f>
        <v>0</v>
      </c>
      <c r="AI252" s="332">
        <f t="shared" si="82"/>
        <v>0</v>
      </c>
      <c r="AJ252" s="332">
        <f t="shared" si="83"/>
        <v>0</v>
      </c>
      <c r="AK252" s="333">
        <f t="shared" si="95"/>
        <v>0</v>
      </c>
      <c r="AL252" s="332">
        <f t="shared" si="84"/>
        <v>0</v>
      </c>
      <c r="AM252" s="351"/>
      <c r="AN252" s="351"/>
    </row>
    <row r="253" spans="1:40">
      <c r="A253" s="139">
        <v>11</v>
      </c>
      <c r="B253" s="139">
        <f>IFERROR(IF((INDEX(Työkonekanta!$F$3:$F$27,MATCH('S3 Tiekartta'!$A253,Työkonekanta!$A$3:$A$24,0),1))&lt;0,0,(INDEX(Työkonekanta!$F$3:$F$27,MATCH('S3 Tiekartta'!$A253,Työkonekanta!$A$3:$A$24,0),1))),0)</f>
        <v>1</v>
      </c>
      <c r="C253" s="140">
        <v>2027</v>
      </c>
      <c r="D253" s="141" t="str">
        <f>IFERROR(INDEX(Työkonekanta!$D$3:$D$27,MATCH('S3 Tiekartta'!$A253,Työkonekanta!$A$3:$A$24,0),1),"undefined")</f>
        <v>pom</v>
      </c>
      <c r="E253" s="145">
        <f>IFERROR(INDEX(Työkonekanta!$G$3:$G$27,MATCH($A253,Työkonekanta!$A$3:$A$24,0),1)*INDEX(Työkonekanta!$H$3:$H$27,MATCH($A253,Työkonekanta!$A$3:$A$24,0),1)*(1+s0b_kasvu*($C253-2019))*$B253,0)</f>
        <v>10800</v>
      </c>
      <c r="F253" s="145">
        <f t="shared" si="76"/>
        <v>387720</v>
      </c>
      <c r="G253" s="151">
        <f t="shared" si="85"/>
        <v>342705.70799999998</v>
      </c>
      <c r="H253" s="145">
        <f t="shared" si="86"/>
        <v>45014.292000000001</v>
      </c>
      <c r="I253" s="145">
        <f t="shared" si="77"/>
        <v>9546.1200000000008</v>
      </c>
      <c r="J253" s="145">
        <f t="shared" si="78"/>
        <v>1312.370029154519</v>
      </c>
      <c r="K253" s="142" t="str">
        <f t="shared" si="87"/>
        <v>l</v>
      </c>
      <c r="L253" s="146">
        <f>IFERROR(INDEX(Työkonekanta!$I$3:$I$27,MATCH('S3 Tiekartta'!$A253,Työkonekanta!$A$3:$A$24,0),1)*(I253+J253)*f_adblue,0)</f>
        <v>542.92450145772602</v>
      </c>
      <c r="M253" s="146">
        <f t="shared" si="96"/>
        <v>0</v>
      </c>
      <c r="N253" s="143" t="str">
        <f>IF(tuulisähkö_vuosi&lt;='S3 Tiekartta'!C253,"tuulisähkö",ostosähkö_nyt)</f>
        <v>jäännössähkö</v>
      </c>
      <c r="O253" s="147">
        <f>INDEX(Muuttujat!$J$5:$J$21,MATCH($C253,Muuttujat!$H$5:$H$21,0),1)</f>
        <v>63.897506909426724</v>
      </c>
      <c r="P253" s="148">
        <f t="shared" si="88"/>
        <v>0.88390000000000002</v>
      </c>
      <c r="Q253" s="148">
        <f t="shared" si="89"/>
        <v>0.11609999999999999</v>
      </c>
      <c r="R253" s="148">
        <f t="shared" si="90"/>
        <v>0.11609999999999999</v>
      </c>
      <c r="S253" s="149">
        <f t="shared" si="79"/>
        <v>6.4771378811999982</v>
      </c>
      <c r="T253" s="150">
        <f t="shared" si="80"/>
        <v>2.8088918208</v>
      </c>
      <c r="U253" s="150">
        <f t="shared" si="81"/>
        <v>0</v>
      </c>
      <c r="V253" s="150">
        <f>IFERROR(INDEX(Työkonekanta!$J$3:$J$27,MATCH($A253,Työkonekanta!$A$3:$A$24,0),1)*$B253*ef_li_ion_akku/1000/1000/INDEX(Työkonekanta!$K$3:$K$27,MATCH($A253,Työkonekanta!$A$3:$A$24,0)),0)</f>
        <v>0</v>
      </c>
      <c r="W253" s="149">
        <f t="shared" si="97"/>
        <v>25.294510038775034</v>
      </c>
      <c r="X253" s="150">
        <f t="shared" si="98"/>
        <v>0.34316531280000001</v>
      </c>
      <c r="Y253" s="151">
        <f t="shared" si="99"/>
        <v>0.14116037037900875</v>
      </c>
      <c r="Z253" s="152">
        <f t="shared" si="91"/>
        <v>9.2860297019999987</v>
      </c>
      <c r="AA253" s="179">
        <f t="shared" si="92"/>
        <v>25.435670409154042</v>
      </c>
      <c r="AB253" s="179">
        <f t="shared" si="93"/>
        <v>25.778835721954042</v>
      </c>
      <c r="AC253" s="180">
        <f t="shared" si="100"/>
        <v>34.721700111154043</v>
      </c>
      <c r="AD253" s="156">
        <f t="shared" si="94"/>
        <v>35.064865423954039</v>
      </c>
      <c r="AE253" s="146">
        <f>IFERROR(INDEX(Työkonekanta!$L$3:$L$30,MATCH($A253,Työkonekanta!$A$3:$A$30,0),1),0)*AF253</f>
        <v>500000</v>
      </c>
      <c r="AF253" s="146">
        <f>IFERROR(INDEX(Työkonekanta!$N$3:$N$32,MATCH($A253,Työkonekanta!$A$3:$A$32,0),1),0)</f>
        <v>1</v>
      </c>
      <c r="AG253" s="332">
        <f>I253*INDEX(Muuttujat!$U$5:$U$21,MATCH($C253,Muuttujat!$N$5:$N$21,0),1)</f>
        <v>9927.9648000000016</v>
      </c>
      <c r="AH253" s="332">
        <f>J253*INDEX(Muuttujat!$T$5:$T$21,MATCH($C253,Muuttujat!$N$5:$N$21,0),1)</f>
        <v>1889.8128419825073</v>
      </c>
      <c r="AI253" s="332">
        <f t="shared" si="82"/>
        <v>271.46225072886301</v>
      </c>
      <c r="AJ253" s="332">
        <f t="shared" si="83"/>
        <v>0</v>
      </c>
      <c r="AK253" s="333">
        <f t="shared" si="95"/>
        <v>12089.239892711372</v>
      </c>
      <c r="AL253" s="332">
        <f t="shared" si="84"/>
        <v>12089.239892711372</v>
      </c>
      <c r="AM253" s="351"/>
      <c r="AN253" s="351"/>
    </row>
    <row r="254" spans="1:40">
      <c r="A254" s="139">
        <v>12</v>
      </c>
      <c r="B254" s="139">
        <f>IFERROR(IF((INDEX(Työkonekanta!$F$3:$F$27,MATCH('S3 Tiekartta'!$A254,Työkonekanta!$A$3:$A$24,0),1))&lt;0,0,(INDEX(Työkonekanta!$F$3:$F$27,MATCH('S3 Tiekartta'!$A254,Työkonekanta!$A$3:$A$24,0),1))),0)</f>
        <v>1</v>
      </c>
      <c r="C254" s="140">
        <v>2027</v>
      </c>
      <c r="D254" s="141" t="str">
        <f>IFERROR(INDEX(Työkonekanta!$D$3:$D$27,MATCH('S3 Tiekartta'!$A254,Työkonekanta!$A$3:$A$24,0),1),"undefined")</f>
        <v>pom</v>
      </c>
      <c r="E254" s="145">
        <f>IFERROR(INDEX(Työkonekanta!$G$3:$G$27,MATCH($A254,Työkonekanta!$A$3:$A$24,0),1)*INDEX(Työkonekanta!$H$3:$H$27,MATCH($A254,Työkonekanta!$A$3:$A$24,0),1)*(1+s0b_kasvu*($C254-2019))*$B254,0)</f>
        <v>10800</v>
      </c>
      <c r="F254" s="145">
        <f t="shared" si="76"/>
        <v>387720</v>
      </c>
      <c r="G254" s="151">
        <f t="shared" si="85"/>
        <v>342705.70799999998</v>
      </c>
      <c r="H254" s="145">
        <f t="shared" si="86"/>
        <v>45014.292000000001</v>
      </c>
      <c r="I254" s="145">
        <f t="shared" si="77"/>
        <v>9546.1200000000008</v>
      </c>
      <c r="J254" s="145">
        <f t="shared" si="78"/>
        <v>1312.370029154519</v>
      </c>
      <c r="K254" s="142" t="str">
        <f t="shared" si="87"/>
        <v>l</v>
      </c>
      <c r="L254" s="146">
        <f>IFERROR(INDEX(Työkonekanta!$I$3:$I$27,MATCH('S3 Tiekartta'!$A254,Työkonekanta!$A$3:$A$24,0),1)*(I254+J254)*f_adblue,0)</f>
        <v>542.92450145772602</v>
      </c>
      <c r="M254" s="146">
        <f t="shared" si="96"/>
        <v>0</v>
      </c>
      <c r="N254" s="143" t="str">
        <f>IF(tuulisähkö_vuosi&lt;='S3 Tiekartta'!C254,"tuulisähkö",ostosähkö_nyt)</f>
        <v>jäännössähkö</v>
      </c>
      <c r="O254" s="147">
        <f>INDEX(Muuttujat!$J$5:$J$21,MATCH($C254,Muuttujat!$H$5:$H$21,0),1)</f>
        <v>63.897506909426724</v>
      </c>
      <c r="P254" s="148">
        <f t="shared" si="88"/>
        <v>0.88390000000000002</v>
      </c>
      <c r="Q254" s="148">
        <f t="shared" si="89"/>
        <v>0.11609999999999999</v>
      </c>
      <c r="R254" s="148">
        <f t="shared" si="90"/>
        <v>0.11609999999999999</v>
      </c>
      <c r="S254" s="149">
        <f t="shared" si="79"/>
        <v>6.4771378811999982</v>
      </c>
      <c r="T254" s="150">
        <f t="shared" si="80"/>
        <v>2.8088918208</v>
      </c>
      <c r="U254" s="150">
        <f t="shared" si="81"/>
        <v>0</v>
      </c>
      <c r="V254" s="150">
        <f>IFERROR(INDEX(Työkonekanta!$J$3:$J$27,MATCH($A254,Työkonekanta!$A$3:$A$24,0),1)*$B254*ef_li_ion_akku/1000/1000/INDEX(Työkonekanta!$K$3:$K$27,MATCH($A254,Työkonekanta!$A$3:$A$24,0)),0)</f>
        <v>0</v>
      </c>
      <c r="W254" s="149">
        <f t="shared" si="97"/>
        <v>25.294510038775034</v>
      </c>
      <c r="X254" s="150">
        <f t="shared" si="98"/>
        <v>0.34316531280000001</v>
      </c>
      <c r="Y254" s="151">
        <f t="shared" si="99"/>
        <v>0.14116037037900875</v>
      </c>
      <c r="Z254" s="152">
        <f t="shared" si="91"/>
        <v>9.2860297019999987</v>
      </c>
      <c r="AA254" s="179">
        <f t="shared" si="92"/>
        <v>25.435670409154042</v>
      </c>
      <c r="AB254" s="179">
        <f t="shared" si="93"/>
        <v>25.778835721954042</v>
      </c>
      <c r="AC254" s="180">
        <f t="shared" si="100"/>
        <v>34.721700111154043</v>
      </c>
      <c r="AD254" s="156">
        <f t="shared" si="94"/>
        <v>35.064865423954039</v>
      </c>
      <c r="AE254" s="146">
        <f>IFERROR(INDEX(Työkonekanta!$L$3:$L$30,MATCH($A254,Työkonekanta!$A$3:$A$30,0),1),0)*AF254</f>
        <v>500000</v>
      </c>
      <c r="AF254" s="146">
        <f>IFERROR(INDEX(Työkonekanta!$N$3:$N$32,MATCH($A254,Työkonekanta!$A$3:$A$32,0),1),0)</f>
        <v>1</v>
      </c>
      <c r="AG254" s="332">
        <f>I254*INDEX(Muuttujat!$U$5:$U$21,MATCH($C254,Muuttujat!$N$5:$N$21,0),1)</f>
        <v>9927.9648000000016</v>
      </c>
      <c r="AH254" s="332">
        <f>J254*INDEX(Muuttujat!$T$5:$T$21,MATCH($C254,Muuttujat!$N$5:$N$21,0),1)</f>
        <v>1889.8128419825073</v>
      </c>
      <c r="AI254" s="332">
        <f t="shared" si="82"/>
        <v>271.46225072886301</v>
      </c>
      <c r="AJ254" s="332">
        <f t="shared" si="83"/>
        <v>0</v>
      </c>
      <c r="AK254" s="333">
        <f t="shared" si="95"/>
        <v>12089.239892711372</v>
      </c>
      <c r="AL254" s="332">
        <f t="shared" si="84"/>
        <v>12089.239892711372</v>
      </c>
      <c r="AM254" s="351"/>
      <c r="AN254" s="351"/>
    </row>
    <row r="255" spans="1:40">
      <c r="A255" s="139">
        <v>13</v>
      </c>
      <c r="B255" s="139">
        <f>IFERROR(IF((INDEX(Työkonekanta!$F$3:$F$27,MATCH('S3 Tiekartta'!$A255,Työkonekanta!$A$3:$A$24,0),1))&lt;0,0,(INDEX(Työkonekanta!$F$3:$F$27,MATCH('S3 Tiekartta'!$A255,Työkonekanta!$A$3:$A$24,0),1))),0)</f>
        <v>0</v>
      </c>
      <c r="C255" s="140">
        <v>2027</v>
      </c>
      <c r="D255" s="141" t="str">
        <f>IFERROR(INDEX(Työkonekanta!$D$3:$D$27,MATCH('S3 Tiekartta'!$A255,Työkonekanta!$A$3:$A$24,0),1),"undefined")</f>
        <v>pom</v>
      </c>
      <c r="E255" s="145">
        <f>IFERROR(INDEX(Työkonekanta!$G$3:$G$27,MATCH($A255,Työkonekanta!$A$3:$A$24,0),1)*INDEX(Työkonekanta!$H$3:$H$27,MATCH($A255,Työkonekanta!$A$3:$A$24,0),1)*(1+s0b_kasvu*($C255-2019))*$B255,0)</f>
        <v>0</v>
      </c>
      <c r="F255" s="145">
        <f t="shared" si="76"/>
        <v>0</v>
      </c>
      <c r="G255" s="151">
        <f t="shared" si="85"/>
        <v>0</v>
      </c>
      <c r="H255" s="145">
        <f t="shared" si="86"/>
        <v>0</v>
      </c>
      <c r="I255" s="145">
        <f t="shared" si="77"/>
        <v>0</v>
      </c>
      <c r="J255" s="145">
        <f t="shared" si="78"/>
        <v>0</v>
      </c>
      <c r="K255" s="142" t="str">
        <f t="shared" si="87"/>
        <v>l</v>
      </c>
      <c r="L255" s="146">
        <f>IFERROR(INDEX(Työkonekanta!$I$3:$I$27,MATCH('S3 Tiekartta'!$A255,Työkonekanta!$A$3:$A$24,0),1)*(I255+J255)*f_adblue,0)</f>
        <v>0</v>
      </c>
      <c r="M255" s="146">
        <f t="shared" si="96"/>
        <v>0</v>
      </c>
      <c r="N255" s="143" t="str">
        <f>IF(tuulisähkö_vuosi&lt;='S3 Tiekartta'!C255,"tuulisähkö",ostosähkö_nyt)</f>
        <v>jäännössähkö</v>
      </c>
      <c r="O255" s="147">
        <f>INDEX(Muuttujat!$J$5:$J$21,MATCH($C255,Muuttujat!$H$5:$H$21,0),1)</f>
        <v>63.897506909426724</v>
      </c>
      <c r="P255" s="148">
        <f t="shared" si="88"/>
        <v>0.88390000000000002</v>
      </c>
      <c r="Q255" s="148">
        <f t="shared" si="89"/>
        <v>0.11609999999999999</v>
      </c>
      <c r="R255" s="148">
        <f t="shared" si="90"/>
        <v>0.11609999999999999</v>
      </c>
      <c r="S255" s="149">
        <f t="shared" si="79"/>
        <v>0</v>
      </c>
      <c r="T255" s="150">
        <f t="shared" si="80"/>
        <v>0</v>
      </c>
      <c r="U255" s="150">
        <f t="shared" si="81"/>
        <v>0</v>
      </c>
      <c r="V255" s="150">
        <f>IFERROR(INDEX(Työkonekanta!$J$3:$J$27,MATCH($A255,Työkonekanta!$A$3:$A$24,0),1)*$B255*ef_li_ion_akku/1000/1000/INDEX(Työkonekanta!$K$3:$K$27,MATCH($A255,Työkonekanta!$A$3:$A$24,0)),0)</f>
        <v>0</v>
      </c>
      <c r="W255" s="149">
        <f t="shared" si="97"/>
        <v>0</v>
      </c>
      <c r="X255" s="150">
        <f t="shared" si="98"/>
        <v>0</v>
      </c>
      <c r="Y255" s="151">
        <f t="shared" si="99"/>
        <v>0</v>
      </c>
      <c r="Z255" s="152">
        <f t="shared" si="91"/>
        <v>0</v>
      </c>
      <c r="AA255" s="179">
        <f t="shared" si="92"/>
        <v>0</v>
      </c>
      <c r="AB255" s="179">
        <f t="shared" si="93"/>
        <v>0</v>
      </c>
      <c r="AC255" s="180">
        <f t="shared" si="100"/>
        <v>0</v>
      </c>
      <c r="AD255" s="156">
        <f t="shared" si="94"/>
        <v>0</v>
      </c>
      <c r="AE255" s="146">
        <f>IFERROR(INDEX(Työkonekanta!$L$3:$L$30,MATCH($A255,Työkonekanta!$A$3:$A$30,0),1),0)*AF255</f>
        <v>0</v>
      </c>
      <c r="AF255" s="146">
        <f>IFERROR(INDEX(Työkonekanta!$N$3:$N$32,MATCH($A255,Työkonekanta!$A$3:$A$32,0),1),0)</f>
        <v>0</v>
      </c>
      <c r="AG255" s="332">
        <f>I255*INDEX(Muuttujat!$U$5:$U$21,MATCH($C255,Muuttujat!$N$5:$N$21,0),1)</f>
        <v>0</v>
      </c>
      <c r="AH255" s="332">
        <f>J255*INDEX(Muuttujat!$T$5:$T$21,MATCH($C255,Muuttujat!$N$5:$N$21,0),1)</f>
        <v>0</v>
      </c>
      <c r="AI255" s="332">
        <f t="shared" si="82"/>
        <v>0</v>
      </c>
      <c r="AJ255" s="332">
        <f t="shared" si="83"/>
        <v>0</v>
      </c>
      <c r="AK255" s="333">
        <f t="shared" si="95"/>
        <v>0</v>
      </c>
      <c r="AL255" s="332">
        <f t="shared" si="84"/>
        <v>0</v>
      </c>
      <c r="AM255" s="351"/>
      <c r="AN255" s="351"/>
    </row>
    <row r="256" spans="1:40">
      <c r="A256" s="139">
        <v>14</v>
      </c>
      <c r="B256" s="139">
        <f>IFERROR(IF((INDEX(Työkonekanta!$F$3:$F$27,MATCH('S3 Tiekartta'!$A256,Työkonekanta!$A$3:$A$24,0),1))&lt;0,0,(INDEX(Työkonekanta!$F$3:$F$27,MATCH('S3 Tiekartta'!$A256,Työkonekanta!$A$3:$A$24,0),1))),0)</f>
        <v>0</v>
      </c>
      <c r="C256" s="140">
        <v>2027</v>
      </c>
      <c r="D256" s="141" t="str">
        <f>IFERROR(INDEX(Työkonekanta!$D$3:$D$27,MATCH('S3 Tiekartta'!$A256,Työkonekanta!$A$3:$A$24,0),1),"undefined")</f>
        <v>pom</v>
      </c>
      <c r="E256" s="145">
        <f>IFERROR(INDEX(Työkonekanta!$G$3:$G$27,MATCH($A256,Työkonekanta!$A$3:$A$24,0),1)*INDEX(Työkonekanta!$H$3:$H$27,MATCH($A256,Työkonekanta!$A$3:$A$24,0),1)*(1+s0b_kasvu*($C256-2019))*$B256,0)</f>
        <v>0</v>
      </c>
      <c r="F256" s="145">
        <f t="shared" si="76"/>
        <v>0</v>
      </c>
      <c r="G256" s="151">
        <f t="shared" si="85"/>
        <v>0</v>
      </c>
      <c r="H256" s="145">
        <f t="shared" si="86"/>
        <v>0</v>
      </c>
      <c r="I256" s="145">
        <f t="shared" si="77"/>
        <v>0</v>
      </c>
      <c r="J256" s="145">
        <f t="shared" si="78"/>
        <v>0</v>
      </c>
      <c r="K256" s="142" t="str">
        <f t="shared" si="87"/>
        <v>l</v>
      </c>
      <c r="L256" s="146">
        <f>IFERROR(INDEX(Työkonekanta!$I$3:$I$27,MATCH('S3 Tiekartta'!$A256,Työkonekanta!$A$3:$A$24,0),1)*(I256+J256)*f_adblue,0)</f>
        <v>0</v>
      </c>
      <c r="M256" s="146">
        <f t="shared" si="96"/>
        <v>0</v>
      </c>
      <c r="N256" s="143" t="str">
        <f>IF(tuulisähkö_vuosi&lt;='S3 Tiekartta'!C256,"tuulisähkö",ostosähkö_nyt)</f>
        <v>jäännössähkö</v>
      </c>
      <c r="O256" s="147">
        <f>INDEX(Muuttujat!$J$5:$J$21,MATCH($C256,Muuttujat!$H$5:$H$21,0),1)</f>
        <v>63.897506909426724</v>
      </c>
      <c r="P256" s="148">
        <f t="shared" si="88"/>
        <v>0.88390000000000002</v>
      </c>
      <c r="Q256" s="148">
        <f t="shared" si="89"/>
        <v>0.11609999999999999</v>
      </c>
      <c r="R256" s="148">
        <f t="shared" si="90"/>
        <v>0.11609999999999999</v>
      </c>
      <c r="S256" s="149">
        <f t="shared" si="79"/>
        <v>0</v>
      </c>
      <c r="T256" s="150">
        <f t="shared" si="80"/>
        <v>0</v>
      </c>
      <c r="U256" s="150">
        <f t="shared" si="81"/>
        <v>0</v>
      </c>
      <c r="V256" s="150">
        <f>IFERROR(INDEX(Työkonekanta!$J$3:$J$27,MATCH($A256,Työkonekanta!$A$3:$A$24,0),1)*$B256*ef_li_ion_akku/1000/1000/INDEX(Työkonekanta!$K$3:$K$27,MATCH($A256,Työkonekanta!$A$3:$A$24,0)),0)</f>
        <v>0</v>
      </c>
      <c r="W256" s="149">
        <f t="shared" si="97"/>
        <v>0</v>
      </c>
      <c r="X256" s="150">
        <f t="shared" si="98"/>
        <v>0</v>
      </c>
      <c r="Y256" s="151">
        <f t="shared" si="99"/>
        <v>0</v>
      </c>
      <c r="Z256" s="152">
        <f t="shared" si="91"/>
        <v>0</v>
      </c>
      <c r="AA256" s="179">
        <f t="shared" si="92"/>
        <v>0</v>
      </c>
      <c r="AB256" s="179">
        <f t="shared" si="93"/>
        <v>0</v>
      </c>
      <c r="AC256" s="180">
        <f t="shared" si="100"/>
        <v>0</v>
      </c>
      <c r="AD256" s="156">
        <f t="shared" si="94"/>
        <v>0</v>
      </c>
      <c r="AE256" s="146">
        <f>IFERROR(INDEX(Työkonekanta!$L$3:$L$30,MATCH($A256,Työkonekanta!$A$3:$A$30,0),1),0)*AF256</f>
        <v>0</v>
      </c>
      <c r="AF256" s="146">
        <f>IFERROR(INDEX(Työkonekanta!$N$3:$N$32,MATCH($A256,Työkonekanta!$A$3:$A$32,0),1),0)</f>
        <v>0</v>
      </c>
      <c r="AG256" s="332">
        <f>I256*INDEX(Muuttujat!$U$5:$U$21,MATCH($C256,Muuttujat!$N$5:$N$21,0),1)</f>
        <v>0</v>
      </c>
      <c r="AH256" s="332">
        <f>J256*INDEX(Muuttujat!$T$5:$T$21,MATCH($C256,Muuttujat!$N$5:$N$21,0),1)</f>
        <v>0</v>
      </c>
      <c r="AI256" s="332">
        <f t="shared" si="82"/>
        <v>0</v>
      </c>
      <c r="AJ256" s="332">
        <f t="shared" si="83"/>
        <v>0</v>
      </c>
      <c r="AK256" s="333">
        <f t="shared" si="95"/>
        <v>0</v>
      </c>
      <c r="AL256" s="332">
        <f t="shared" si="84"/>
        <v>0</v>
      </c>
      <c r="AM256" s="351"/>
      <c r="AN256" s="351"/>
    </row>
    <row r="257" spans="1:40">
      <c r="A257" s="139">
        <v>15</v>
      </c>
      <c r="B257" s="139">
        <f>IFERROR(IF((INDEX(Työkonekanta!$F$3:$F$27,MATCH('S3 Tiekartta'!$A257,Työkonekanta!$A$3:$A$24,0),1))&lt;0,0,(INDEX(Työkonekanta!$F$3:$F$27,MATCH('S3 Tiekartta'!$A257,Työkonekanta!$A$3:$A$24,0),1))),0)</f>
        <v>0</v>
      </c>
      <c r="C257" s="140">
        <v>2027</v>
      </c>
      <c r="D257" s="141" t="str">
        <f>IFERROR(INDEX(Työkonekanta!$D$3:$D$27,MATCH('S3 Tiekartta'!$A257,Työkonekanta!$A$3:$A$24,0),1),"undefined")</f>
        <v>sähkö</v>
      </c>
      <c r="E257" s="145">
        <f>IFERROR(INDEX(Työkonekanta!$G$3:$G$27,MATCH($A257,Työkonekanta!$A$3:$A$24,0),1)*INDEX(Työkonekanta!$H$3:$H$27,MATCH($A257,Työkonekanta!$A$3:$A$24,0),1)*(1+s0b_kasvu*($C257-2019))*$B257,0)</f>
        <v>0</v>
      </c>
      <c r="F257" s="145">
        <f t="shared" si="76"/>
        <v>0</v>
      </c>
      <c r="G257" s="151">
        <f t="shared" si="85"/>
        <v>0</v>
      </c>
      <c r="H257" s="145">
        <f t="shared" si="86"/>
        <v>0</v>
      </c>
      <c r="I257" s="145">
        <f t="shared" si="77"/>
        <v>0</v>
      </c>
      <c r="J257" s="145">
        <f t="shared" si="78"/>
        <v>0</v>
      </c>
      <c r="K257" s="142" t="str">
        <f t="shared" si="87"/>
        <v>kWh</v>
      </c>
      <c r="L257" s="146">
        <f>IFERROR(INDEX(Työkonekanta!$I$3:$I$27,MATCH('S3 Tiekartta'!$A257,Työkonekanta!$A$3:$A$24,0),1)*(I257+J257)*f_adblue,0)</f>
        <v>0</v>
      </c>
      <c r="M257" s="146">
        <f t="shared" si="96"/>
        <v>0</v>
      </c>
      <c r="N257" s="143" t="str">
        <f>IF(tuulisähkö_vuosi&lt;='S3 Tiekartta'!C257,"tuulisähkö",ostosähkö_nyt)</f>
        <v>jäännössähkö</v>
      </c>
      <c r="O257" s="147">
        <f>INDEX(Muuttujat!$J$5:$J$21,MATCH($C257,Muuttujat!$H$5:$H$21,0),1)</f>
        <v>63.897506909426724</v>
      </c>
      <c r="P257" s="148">
        <f t="shared" si="88"/>
        <v>0.88390000000000002</v>
      </c>
      <c r="Q257" s="148">
        <f t="shared" si="89"/>
        <v>0.11609999999999999</v>
      </c>
      <c r="R257" s="148">
        <f t="shared" si="90"/>
        <v>0.11609999999999999</v>
      </c>
      <c r="S257" s="149">
        <f t="shared" si="79"/>
        <v>0</v>
      </c>
      <c r="T257" s="150">
        <f t="shared" si="80"/>
        <v>0</v>
      </c>
      <c r="U257" s="150">
        <f t="shared" si="81"/>
        <v>0</v>
      </c>
      <c r="V257" s="150">
        <f>IFERROR(INDEX(Työkonekanta!$J$3:$J$27,MATCH($A257,Työkonekanta!$A$3:$A$24,0),1)*$B257*ef_li_ion_akku/1000/1000/INDEX(Työkonekanta!$K$3:$K$27,MATCH($A257,Työkonekanta!$A$3:$A$24,0)),0)</f>
        <v>0</v>
      </c>
      <c r="W257" s="149">
        <f t="shared" si="97"/>
        <v>0</v>
      </c>
      <c r="X257" s="150">
        <f t="shared" si="98"/>
        <v>0</v>
      </c>
      <c r="Y257" s="151">
        <f t="shared" si="99"/>
        <v>0</v>
      </c>
      <c r="Z257" s="152">
        <f t="shared" si="91"/>
        <v>0</v>
      </c>
      <c r="AA257" s="179">
        <f t="shared" si="92"/>
        <v>0</v>
      </c>
      <c r="AB257" s="179">
        <f t="shared" si="93"/>
        <v>0</v>
      </c>
      <c r="AC257" s="180">
        <f t="shared" si="100"/>
        <v>0</v>
      </c>
      <c r="AD257" s="156">
        <f t="shared" si="94"/>
        <v>0</v>
      </c>
      <c r="AE257" s="146">
        <f>IFERROR(INDEX(Työkonekanta!$L$3:$L$30,MATCH($A257,Työkonekanta!$A$3:$A$30,0),1),0)*AF257</f>
        <v>0</v>
      </c>
      <c r="AF257" s="146">
        <f>IFERROR(INDEX(Työkonekanta!$N$3:$N$32,MATCH($A257,Työkonekanta!$A$3:$A$32,0),1),0)</f>
        <v>0</v>
      </c>
      <c r="AG257" s="332">
        <f>I257*INDEX(Muuttujat!$U$5:$U$21,MATCH($C257,Muuttujat!$N$5:$N$21,0),1)</f>
        <v>0</v>
      </c>
      <c r="AH257" s="332">
        <f>J257*INDEX(Muuttujat!$T$5:$T$21,MATCH($C257,Muuttujat!$N$5:$N$21,0),1)</f>
        <v>0</v>
      </c>
      <c r="AI257" s="332">
        <f t="shared" si="82"/>
        <v>0</v>
      </c>
      <c r="AJ257" s="332">
        <f t="shared" si="83"/>
        <v>0</v>
      </c>
      <c r="AK257" s="333">
        <f t="shared" si="95"/>
        <v>0</v>
      </c>
      <c r="AL257" s="332">
        <f t="shared" si="84"/>
        <v>0</v>
      </c>
      <c r="AM257" s="351"/>
      <c r="AN257" s="351"/>
    </row>
    <row r="258" spans="1:40">
      <c r="A258" s="139">
        <v>16</v>
      </c>
      <c r="B258" s="139">
        <f>IFERROR(IF((INDEX(Työkonekanta!$F$3:$F$27,MATCH('S3 Tiekartta'!$A258,Työkonekanta!$A$3:$A$24,0),1))&lt;0,0,(INDEX(Työkonekanta!$F$3:$F$27,MATCH('S3 Tiekartta'!$A258,Työkonekanta!$A$3:$A$24,0),1))),0)</f>
        <v>0</v>
      </c>
      <c r="C258" s="140">
        <v>2027</v>
      </c>
      <c r="D258" s="141" t="str">
        <f>IFERROR(INDEX(Työkonekanta!$D$3:$D$27,MATCH('S3 Tiekartta'!$A258,Työkonekanta!$A$3:$A$24,0),1),"undefined")</f>
        <v>sähkö</v>
      </c>
      <c r="E258" s="145">
        <f>IFERROR(INDEX(Työkonekanta!$G$3:$G$27,MATCH($A258,Työkonekanta!$A$3:$A$24,0),1)*INDEX(Työkonekanta!$H$3:$H$27,MATCH($A258,Työkonekanta!$A$3:$A$24,0),1)*(1+s0b_kasvu*($C258-2019))*$B258,0)</f>
        <v>0</v>
      </c>
      <c r="F258" s="145">
        <f t="shared" si="76"/>
        <v>0</v>
      </c>
      <c r="G258" s="151">
        <f t="shared" si="85"/>
        <v>0</v>
      </c>
      <c r="H258" s="145">
        <f t="shared" si="86"/>
        <v>0</v>
      </c>
      <c r="I258" s="145">
        <f t="shared" si="77"/>
        <v>0</v>
      </c>
      <c r="J258" s="145">
        <f t="shared" si="78"/>
        <v>0</v>
      </c>
      <c r="K258" s="142" t="str">
        <f t="shared" si="87"/>
        <v>kWh</v>
      </c>
      <c r="L258" s="146">
        <f>IFERROR(INDEX(Työkonekanta!$I$3:$I$27,MATCH('S3 Tiekartta'!$A258,Työkonekanta!$A$3:$A$24,0),1)*(I258+J258)*f_adblue,0)</f>
        <v>0</v>
      </c>
      <c r="M258" s="146">
        <f t="shared" si="96"/>
        <v>0</v>
      </c>
      <c r="N258" s="143" t="str">
        <f>IF(tuulisähkö_vuosi&lt;='S3 Tiekartta'!C258,"tuulisähkö",ostosähkö_nyt)</f>
        <v>jäännössähkö</v>
      </c>
      <c r="O258" s="147">
        <f>INDEX(Muuttujat!$J$5:$J$21,MATCH($C258,Muuttujat!$H$5:$H$21,0),1)</f>
        <v>63.897506909426724</v>
      </c>
      <c r="P258" s="148">
        <f t="shared" si="88"/>
        <v>0.88390000000000002</v>
      </c>
      <c r="Q258" s="148">
        <f t="shared" si="89"/>
        <v>0.11609999999999999</v>
      </c>
      <c r="R258" s="148">
        <f t="shared" si="90"/>
        <v>0.11609999999999999</v>
      </c>
      <c r="S258" s="149">
        <f t="shared" si="79"/>
        <v>0</v>
      </c>
      <c r="T258" s="150">
        <f t="shared" si="80"/>
        <v>0</v>
      </c>
      <c r="U258" s="150">
        <f t="shared" si="81"/>
        <v>0</v>
      </c>
      <c r="V258" s="150">
        <f>IFERROR(INDEX(Työkonekanta!$J$3:$J$27,MATCH($A258,Työkonekanta!$A$3:$A$24,0),1)*$B258*ef_li_ion_akku/1000/1000/INDEX(Työkonekanta!$K$3:$K$27,MATCH($A258,Työkonekanta!$A$3:$A$24,0)),0)</f>
        <v>0</v>
      </c>
      <c r="W258" s="149">
        <f t="shared" si="97"/>
        <v>0</v>
      </c>
      <c r="X258" s="150">
        <f t="shared" si="98"/>
        <v>0</v>
      </c>
      <c r="Y258" s="151">
        <f t="shared" si="99"/>
        <v>0</v>
      </c>
      <c r="Z258" s="152">
        <f t="shared" si="91"/>
        <v>0</v>
      </c>
      <c r="AA258" s="179">
        <f t="shared" si="92"/>
        <v>0</v>
      </c>
      <c r="AB258" s="179">
        <f t="shared" si="93"/>
        <v>0</v>
      </c>
      <c r="AC258" s="180">
        <f t="shared" si="100"/>
        <v>0</v>
      </c>
      <c r="AD258" s="156">
        <f t="shared" si="94"/>
        <v>0</v>
      </c>
      <c r="AE258" s="146">
        <f>IFERROR(INDEX(Työkonekanta!$L$3:$L$30,MATCH($A258,Työkonekanta!$A$3:$A$30,0),1),0)*AF258</f>
        <v>0</v>
      </c>
      <c r="AF258" s="146">
        <f>IFERROR(INDEX(Työkonekanta!$N$3:$N$32,MATCH($A258,Työkonekanta!$A$3:$A$32,0),1),0)</f>
        <v>0</v>
      </c>
      <c r="AG258" s="332">
        <f>I258*INDEX(Muuttujat!$U$5:$U$21,MATCH($C258,Muuttujat!$N$5:$N$21,0),1)</f>
        <v>0</v>
      </c>
      <c r="AH258" s="332">
        <f>J258*INDEX(Muuttujat!$T$5:$T$21,MATCH($C258,Muuttujat!$N$5:$N$21,0),1)</f>
        <v>0</v>
      </c>
      <c r="AI258" s="332">
        <f t="shared" si="82"/>
        <v>0</v>
      </c>
      <c r="AJ258" s="332">
        <f t="shared" si="83"/>
        <v>0</v>
      </c>
      <c r="AK258" s="333">
        <f t="shared" si="95"/>
        <v>0</v>
      </c>
      <c r="AL258" s="332">
        <f t="shared" si="84"/>
        <v>0</v>
      </c>
      <c r="AM258" s="351"/>
      <c r="AN258" s="351"/>
    </row>
    <row r="259" spans="1:40">
      <c r="A259" s="139">
        <v>17</v>
      </c>
      <c r="B259" s="139">
        <f>IFERROR(IF((INDEX(Työkonekanta!$F$3:$F$27,MATCH('S3 Tiekartta'!$A259,Työkonekanta!$A$3:$A$24,0),1))&lt;0,0,(INDEX(Työkonekanta!$F$3:$F$27,MATCH('S3 Tiekartta'!$A259,Työkonekanta!$A$3:$A$24,0),1))),0)</f>
        <v>1</v>
      </c>
      <c r="C259" s="140">
        <v>2027</v>
      </c>
      <c r="D259" s="141" t="str">
        <f>IFERROR(INDEX(Työkonekanta!$D$3:$D$27,MATCH('S3 Tiekartta'!$A259,Työkonekanta!$A$3:$A$24,0),1),"undefined")</f>
        <v>pom</v>
      </c>
      <c r="E259" s="145">
        <f>IFERROR(INDEX(Työkonekanta!$G$3:$G$27,MATCH($A259,Työkonekanta!$A$3:$A$24,0),1)*INDEX(Työkonekanta!$H$3:$H$27,MATCH($A259,Työkonekanta!$A$3:$A$24,0),1)*(1+s0b_kasvu*($C259-2019))*$B259,0)</f>
        <v>10800</v>
      </c>
      <c r="F259" s="145">
        <f t="shared" ref="F259:F322" si="101">IF(D259="pom",$E259*hv_pom,0)</f>
        <v>387720</v>
      </c>
      <c r="G259" s="151">
        <f t="shared" si="85"/>
        <v>342705.70799999998</v>
      </c>
      <c r="H259" s="145">
        <f t="shared" si="86"/>
        <v>45014.292000000001</v>
      </c>
      <c r="I259" s="145">
        <f t="shared" ref="I259:I322" si="102">$G259/hv_pom</f>
        <v>9546.1200000000008</v>
      </c>
      <c r="J259" s="145">
        <f t="shared" ref="J259:J322" si="103">$H259/hv_biodies</f>
        <v>1312.370029154519</v>
      </c>
      <c r="K259" s="142" t="str">
        <f t="shared" si="87"/>
        <v>l</v>
      </c>
      <c r="L259" s="146">
        <f>IFERROR(INDEX(Työkonekanta!$I$3:$I$27,MATCH('S3 Tiekartta'!$A259,Työkonekanta!$A$3:$A$24,0),1)*(I259+J259)*f_adblue,0)</f>
        <v>542.92450145772602</v>
      </c>
      <c r="M259" s="146">
        <f t="shared" si="96"/>
        <v>0</v>
      </c>
      <c r="N259" s="143" t="str">
        <f>IF(tuulisähkö_vuosi&lt;='S3 Tiekartta'!C259,"tuulisähkö",ostosähkö_nyt)</f>
        <v>jäännössähkö</v>
      </c>
      <c r="O259" s="147">
        <f>INDEX(Muuttujat!$J$5:$J$21,MATCH($C259,Muuttujat!$H$5:$H$21,0),1)</f>
        <v>63.897506909426724</v>
      </c>
      <c r="P259" s="148">
        <f t="shared" si="88"/>
        <v>0.88390000000000002</v>
      </c>
      <c r="Q259" s="148">
        <f t="shared" si="89"/>
        <v>0.11609999999999999</v>
      </c>
      <c r="R259" s="148">
        <f t="shared" si="90"/>
        <v>0.11609999999999999</v>
      </c>
      <c r="S259" s="149">
        <f t="shared" ref="S259:S322" si="104">wtt_ef_e_co2_dies*$G259/1000/1000</f>
        <v>6.4771378811999982</v>
      </c>
      <c r="T259" s="150">
        <f t="shared" ref="T259:T322" si="105">wtt_ef_e_co2_biodies*$H259/1000/1000</f>
        <v>2.8088918208</v>
      </c>
      <c r="U259" s="150">
        <f t="shared" ref="U259:U322" si="106">IF(N259="jäännössähkö",$O259,IF(N259="tuulisähkö",wtt_ef_e_co2_el_wind,0))*$M259/1000/1000</f>
        <v>0</v>
      </c>
      <c r="V259" s="150">
        <f>IFERROR(INDEX(Työkonekanta!$J$3:$J$27,MATCH($A259,Työkonekanta!$A$3:$A$24,0),1)*$B259*ef_li_ion_akku/1000/1000/INDEX(Työkonekanta!$K$3:$K$27,MATCH($A259,Työkonekanta!$A$3:$A$24,0)),0)</f>
        <v>0</v>
      </c>
      <c r="W259" s="149">
        <f t="shared" si="97"/>
        <v>25.294510038775034</v>
      </c>
      <c r="X259" s="150">
        <f t="shared" si="98"/>
        <v>0.34316531280000001</v>
      </c>
      <c r="Y259" s="151">
        <f t="shared" si="99"/>
        <v>0.14116037037900875</v>
      </c>
      <c r="Z259" s="152">
        <f t="shared" si="91"/>
        <v>9.2860297019999987</v>
      </c>
      <c r="AA259" s="179">
        <f t="shared" si="92"/>
        <v>25.435670409154042</v>
      </c>
      <c r="AB259" s="179">
        <f t="shared" si="93"/>
        <v>25.778835721954042</v>
      </c>
      <c r="AC259" s="180">
        <f t="shared" si="100"/>
        <v>34.721700111154043</v>
      </c>
      <c r="AD259" s="156">
        <f t="shared" si="94"/>
        <v>35.064865423954039</v>
      </c>
      <c r="AE259" s="146">
        <f>IFERROR(INDEX(Työkonekanta!$L$3:$L$30,MATCH($A259,Työkonekanta!$A$3:$A$30,0),1),0)*AF259</f>
        <v>500000</v>
      </c>
      <c r="AF259" s="146">
        <f>IFERROR(INDEX(Työkonekanta!$N$3:$N$32,MATCH($A259,Työkonekanta!$A$3:$A$32,0),1),0)</f>
        <v>1</v>
      </c>
      <c r="AG259" s="332">
        <f>I259*INDEX(Muuttujat!$U$5:$U$21,MATCH($C259,Muuttujat!$N$5:$N$21,0),1)</f>
        <v>9927.9648000000016</v>
      </c>
      <c r="AH259" s="332">
        <f>J259*INDEX(Muuttujat!$T$5:$T$21,MATCH($C259,Muuttujat!$N$5:$N$21,0),1)</f>
        <v>1889.8128419825073</v>
      </c>
      <c r="AI259" s="332">
        <f t="shared" ref="AI259:AI322" si="107">L259*hinta_adblue</f>
        <v>271.46225072886301</v>
      </c>
      <c r="AJ259" s="332">
        <f t="shared" ref="AJ259:AJ322" si="108">M259/conv_kwh_mj*hinta_sähkö3</f>
        <v>0</v>
      </c>
      <c r="AK259" s="333">
        <f t="shared" si="95"/>
        <v>12089.239892711372</v>
      </c>
      <c r="AL259" s="332">
        <f t="shared" ref="AL259:AL322" si="109">IFERROR(AK259/B259,0)</f>
        <v>12089.239892711372</v>
      </c>
      <c r="AM259" s="351"/>
      <c r="AN259" s="351"/>
    </row>
    <row r="260" spans="1:40">
      <c r="A260" s="139">
        <v>18</v>
      </c>
      <c r="B260" s="139">
        <f>IFERROR(IF((INDEX(Työkonekanta!$F$3:$F$27,MATCH('S3 Tiekartta'!$A260,Työkonekanta!$A$3:$A$24,0),1))&lt;0,0,(INDEX(Työkonekanta!$F$3:$F$27,MATCH('S3 Tiekartta'!$A260,Työkonekanta!$A$3:$A$24,0),1))),0)</f>
        <v>1</v>
      </c>
      <c r="C260" s="140">
        <v>2027</v>
      </c>
      <c r="D260" s="141" t="str">
        <f>IFERROR(INDEX(Työkonekanta!$D$3:$D$27,MATCH('S3 Tiekartta'!$A260,Työkonekanta!$A$3:$A$24,0),1),"undefined")</f>
        <v>pom</v>
      </c>
      <c r="E260" s="145">
        <f>IFERROR(INDEX(Työkonekanta!$G$3:$G$27,MATCH($A260,Työkonekanta!$A$3:$A$24,0),1)*INDEX(Työkonekanta!$H$3:$H$27,MATCH($A260,Työkonekanta!$A$3:$A$24,0),1)*(1+s0b_kasvu*($C260-2019))*$B260,0)</f>
        <v>10800</v>
      </c>
      <c r="F260" s="145">
        <f t="shared" si="101"/>
        <v>387720</v>
      </c>
      <c r="G260" s="151">
        <f t="shared" ref="G260:G323" si="110">$F260*$P260</f>
        <v>342705.70799999998</v>
      </c>
      <c r="H260" s="145">
        <f t="shared" ref="H260:H323" si="111">$F260*$Q260</f>
        <v>45014.292000000001</v>
      </c>
      <c r="I260" s="145">
        <f t="shared" si="102"/>
        <v>9546.1200000000008</v>
      </c>
      <c r="J260" s="145">
        <f t="shared" si="103"/>
        <v>1312.370029154519</v>
      </c>
      <c r="K260" s="142" t="str">
        <f t="shared" ref="K260:K323" si="112">IF($D260="sähkö","kWh",IF($D260="pom","l","undefined"))</f>
        <v>l</v>
      </c>
      <c r="L260" s="146">
        <f>IFERROR(INDEX(Työkonekanta!$I$3:$I$27,MATCH('S3 Tiekartta'!$A260,Työkonekanta!$A$3:$A$24,0),1)*(I260+J260)*f_adblue,0)</f>
        <v>434.33960116618084</v>
      </c>
      <c r="M260" s="146">
        <f t="shared" si="96"/>
        <v>0</v>
      </c>
      <c r="N260" s="143" t="str">
        <f>IF(tuulisähkö_vuosi&lt;='S3 Tiekartta'!C260,"tuulisähkö",ostosähkö_nyt)</f>
        <v>jäännössähkö</v>
      </c>
      <c r="O260" s="147">
        <f>INDEX(Muuttujat!$J$5:$J$21,MATCH($C260,Muuttujat!$H$5:$H$21,0),1)</f>
        <v>63.897506909426724</v>
      </c>
      <c r="P260" s="148">
        <f t="shared" ref="P260:P323" si="113">1-Q260</f>
        <v>0.88390000000000002</v>
      </c>
      <c r="Q260" s="148">
        <f t="shared" ref="Q260:Q323" si="114">INDEX($AP$4:$AP$20,MATCH($C260,$AO$4:$AO$20,0),1)</f>
        <v>0.11609999999999999</v>
      </c>
      <c r="R260" s="148">
        <f t="shared" ref="R260:R323" si="115">INDEX($AP$4:$AP$20,MATCH($C260,$AO$4:$AO$20,0),1)</f>
        <v>0.11609999999999999</v>
      </c>
      <c r="S260" s="149">
        <f t="shared" si="104"/>
        <v>6.4771378811999982</v>
      </c>
      <c r="T260" s="150">
        <f t="shared" si="105"/>
        <v>2.8088918208</v>
      </c>
      <c r="U260" s="150">
        <f t="shared" si="106"/>
        <v>0</v>
      </c>
      <c r="V260" s="150">
        <f>IFERROR(INDEX(Työkonekanta!$J$3:$J$27,MATCH($A260,Työkonekanta!$A$3:$A$24,0),1)*$B260*ef_li_ion_akku/1000/1000/INDEX(Työkonekanta!$K$3:$K$27,MATCH($A260,Työkonekanta!$A$3:$A$24,0)),0)</f>
        <v>0</v>
      </c>
      <c r="W260" s="149">
        <f t="shared" si="97"/>
        <v>25.294510038775034</v>
      </c>
      <c r="X260" s="150">
        <f t="shared" si="98"/>
        <v>0.34316531280000001</v>
      </c>
      <c r="Y260" s="151">
        <f t="shared" si="99"/>
        <v>0.11292829630320703</v>
      </c>
      <c r="Z260" s="152">
        <f t="shared" ref="Z260:Z323" si="116">SUM($S260:$V260)</f>
        <v>9.2860297019999987</v>
      </c>
      <c r="AA260" s="179">
        <f t="shared" ref="AA260:AA323" si="117">$W260+$Y260</f>
        <v>25.40743833507824</v>
      </c>
      <c r="AB260" s="179">
        <f t="shared" ref="AB260:AB323" si="118">SUM($W260:$Y260)</f>
        <v>25.75060364787824</v>
      </c>
      <c r="AC260" s="180">
        <f t="shared" si="100"/>
        <v>34.69346803707824</v>
      </c>
      <c r="AD260" s="156">
        <f t="shared" ref="AD260:AD323" si="119">$Z260+$AB260</f>
        <v>35.036633349878237</v>
      </c>
      <c r="AE260" s="146">
        <f>IFERROR(INDEX(Työkonekanta!$L$3:$L$30,MATCH($A260,Työkonekanta!$A$3:$A$30,0),1),0)*AF260</f>
        <v>500000</v>
      </c>
      <c r="AF260" s="146">
        <f>IFERROR(INDEX(Työkonekanta!$N$3:$N$32,MATCH($A260,Työkonekanta!$A$3:$A$32,0),1),0)</f>
        <v>1</v>
      </c>
      <c r="AG260" s="332">
        <f>I260*INDEX(Muuttujat!$U$5:$U$21,MATCH($C260,Muuttujat!$N$5:$N$21,0),1)</f>
        <v>9927.9648000000016</v>
      </c>
      <c r="AH260" s="332">
        <f>J260*INDEX(Muuttujat!$T$5:$T$21,MATCH($C260,Muuttujat!$N$5:$N$21,0),1)</f>
        <v>1889.8128419825073</v>
      </c>
      <c r="AI260" s="332">
        <f t="shared" si="107"/>
        <v>217.16980058309042</v>
      </c>
      <c r="AJ260" s="332">
        <f t="shared" si="108"/>
        <v>0</v>
      </c>
      <c r="AK260" s="333">
        <f t="shared" ref="AK260:AK323" si="120">SUM(AG260:AJ260)</f>
        <v>12034.947442565601</v>
      </c>
      <c r="AL260" s="332">
        <f t="shared" si="109"/>
        <v>12034.947442565601</v>
      </c>
      <c r="AM260" s="351"/>
      <c r="AN260" s="351"/>
    </row>
    <row r="261" spans="1:40">
      <c r="A261" s="139">
        <v>19</v>
      </c>
      <c r="B261" s="139">
        <f>IFERROR(IF((INDEX(Työkonekanta!$F$3:$F$27,MATCH('S3 Tiekartta'!$A261,Työkonekanta!$A$3:$A$24,0),1))&lt;0,0,(INDEX(Työkonekanta!$F$3:$F$27,MATCH('S3 Tiekartta'!$A261,Työkonekanta!$A$3:$A$24,0),1))),0)</f>
        <v>0</v>
      </c>
      <c r="C261" s="140">
        <v>2027</v>
      </c>
      <c r="D261" s="141" t="str">
        <f>IFERROR(INDEX(Työkonekanta!$D$3:$D$27,MATCH('S3 Tiekartta'!$A261,Työkonekanta!$A$3:$A$24,0),1),"undefined")</f>
        <v>pom</v>
      </c>
      <c r="E261" s="145">
        <f>IFERROR(INDEX(Työkonekanta!$G$3:$G$27,MATCH($A261,Työkonekanta!$A$3:$A$24,0),1)*INDEX(Työkonekanta!$H$3:$H$27,MATCH($A261,Työkonekanta!$A$3:$A$24,0),1)*(1+s0b_kasvu*($C261-2019))*$B261,0)</f>
        <v>0</v>
      </c>
      <c r="F261" s="145">
        <f t="shared" si="101"/>
        <v>0</v>
      </c>
      <c r="G261" s="151">
        <f t="shared" si="110"/>
        <v>0</v>
      </c>
      <c r="H261" s="145">
        <f t="shared" si="111"/>
        <v>0</v>
      </c>
      <c r="I261" s="145">
        <f t="shared" si="102"/>
        <v>0</v>
      </c>
      <c r="J261" s="145">
        <f t="shared" si="103"/>
        <v>0</v>
      </c>
      <c r="K261" s="142" t="str">
        <f t="shared" si="112"/>
        <v>l</v>
      </c>
      <c r="L261" s="146">
        <f>IFERROR(INDEX(Työkonekanta!$I$3:$I$27,MATCH('S3 Tiekartta'!$A261,Työkonekanta!$A$3:$A$24,0),1)*(I261+J261)*f_adblue,0)</f>
        <v>0</v>
      </c>
      <c r="M261" s="146">
        <f t="shared" si="96"/>
        <v>0</v>
      </c>
      <c r="N261" s="143" t="str">
        <f>IF(tuulisähkö_vuosi&lt;='S3 Tiekartta'!C261,"tuulisähkö",ostosähkö_nyt)</f>
        <v>jäännössähkö</v>
      </c>
      <c r="O261" s="147">
        <f>INDEX(Muuttujat!$J$5:$J$21,MATCH($C261,Muuttujat!$H$5:$H$21,0),1)</f>
        <v>63.897506909426724</v>
      </c>
      <c r="P261" s="148">
        <f t="shared" si="113"/>
        <v>0.88390000000000002</v>
      </c>
      <c r="Q261" s="148">
        <f t="shared" si="114"/>
        <v>0.11609999999999999</v>
      </c>
      <c r="R261" s="148">
        <f t="shared" si="115"/>
        <v>0.11609999999999999</v>
      </c>
      <c r="S261" s="149">
        <f t="shared" si="104"/>
        <v>0</v>
      </c>
      <c r="T261" s="150">
        <f t="shared" si="105"/>
        <v>0</v>
      </c>
      <c r="U261" s="150">
        <f t="shared" si="106"/>
        <v>0</v>
      </c>
      <c r="V261" s="150">
        <f>IFERROR(INDEX(Työkonekanta!$J$3:$J$27,MATCH($A261,Työkonekanta!$A$3:$A$24,0),1)*$B261*ef_li_ion_akku/1000/1000/INDEX(Työkonekanta!$K$3:$K$27,MATCH($A261,Työkonekanta!$A$3:$A$24,0)),0)</f>
        <v>0</v>
      </c>
      <c r="W261" s="149">
        <f t="shared" si="97"/>
        <v>0</v>
      </c>
      <c r="X261" s="150">
        <f t="shared" si="98"/>
        <v>0</v>
      </c>
      <c r="Y261" s="151">
        <f t="shared" si="99"/>
        <v>0</v>
      </c>
      <c r="Z261" s="152">
        <f t="shared" si="116"/>
        <v>0</v>
      </c>
      <c r="AA261" s="179">
        <f t="shared" si="117"/>
        <v>0</v>
      </c>
      <c r="AB261" s="179">
        <f t="shared" si="118"/>
        <v>0</v>
      </c>
      <c r="AC261" s="180">
        <f t="shared" si="100"/>
        <v>0</v>
      </c>
      <c r="AD261" s="156">
        <f t="shared" si="119"/>
        <v>0</v>
      </c>
      <c r="AE261" s="146">
        <f>IFERROR(INDEX(Työkonekanta!$L$3:$L$30,MATCH($A261,Työkonekanta!$A$3:$A$30,0),1),0)*AF261</f>
        <v>0</v>
      </c>
      <c r="AF261" s="146">
        <f>IFERROR(INDEX(Työkonekanta!$N$3:$N$32,MATCH($A261,Työkonekanta!$A$3:$A$32,0),1),0)</f>
        <v>0</v>
      </c>
      <c r="AG261" s="332">
        <f>I261*INDEX(Muuttujat!$U$5:$U$21,MATCH($C261,Muuttujat!$N$5:$N$21,0),1)</f>
        <v>0</v>
      </c>
      <c r="AH261" s="332">
        <f>J261*INDEX(Muuttujat!$T$5:$T$21,MATCH($C261,Muuttujat!$N$5:$N$21,0),1)</f>
        <v>0</v>
      </c>
      <c r="AI261" s="332">
        <f t="shared" si="107"/>
        <v>0</v>
      </c>
      <c r="AJ261" s="332">
        <f t="shared" si="108"/>
        <v>0</v>
      </c>
      <c r="AK261" s="333">
        <f t="shared" si="120"/>
        <v>0</v>
      </c>
      <c r="AL261" s="332">
        <f t="shared" si="109"/>
        <v>0</v>
      </c>
      <c r="AM261" s="351"/>
      <c r="AN261" s="351"/>
    </row>
    <row r="262" spans="1:40">
      <c r="A262" s="139">
        <v>20</v>
      </c>
      <c r="B262" s="139">
        <f>IFERROR(IF((INDEX(Työkonekanta!$F$3:$F$27,MATCH('S3 Tiekartta'!$A262,Työkonekanta!$A$3:$A$24,0),1))&lt;0,0,(INDEX(Työkonekanta!$F$3:$F$27,MATCH('S3 Tiekartta'!$A262,Työkonekanta!$A$3:$A$24,0),1))),0)</f>
        <v>0</v>
      </c>
      <c r="C262" s="140">
        <v>2027</v>
      </c>
      <c r="D262" s="141" t="str">
        <f>IFERROR(INDEX(Työkonekanta!$D$3:$D$27,MATCH('S3 Tiekartta'!$A262,Työkonekanta!$A$3:$A$24,0),1),"undefined")</f>
        <v>pom</v>
      </c>
      <c r="E262" s="145">
        <f>IFERROR(INDEX(Työkonekanta!$G$3:$G$27,MATCH($A262,Työkonekanta!$A$3:$A$24,0),1)*INDEX(Työkonekanta!$H$3:$H$27,MATCH($A262,Työkonekanta!$A$3:$A$24,0),1)*(1+s0b_kasvu*($C262-2019))*$B262,0)</f>
        <v>0</v>
      </c>
      <c r="F262" s="145">
        <f t="shared" si="101"/>
        <v>0</v>
      </c>
      <c r="G262" s="151">
        <f t="shared" si="110"/>
        <v>0</v>
      </c>
      <c r="H262" s="145">
        <f t="shared" si="111"/>
        <v>0</v>
      </c>
      <c r="I262" s="145">
        <f t="shared" si="102"/>
        <v>0</v>
      </c>
      <c r="J262" s="145">
        <f t="shared" si="103"/>
        <v>0</v>
      </c>
      <c r="K262" s="142" t="str">
        <f t="shared" si="112"/>
        <v>l</v>
      </c>
      <c r="L262" s="146">
        <f>IFERROR(INDEX(Työkonekanta!$I$3:$I$27,MATCH('S3 Tiekartta'!$A262,Työkonekanta!$A$3:$A$24,0),1)*(I262+J262)*f_adblue,0)</f>
        <v>0</v>
      </c>
      <c r="M262" s="146">
        <f t="shared" si="96"/>
        <v>0</v>
      </c>
      <c r="N262" s="143" t="str">
        <f>IF(tuulisähkö_vuosi&lt;='S3 Tiekartta'!C262,"tuulisähkö",ostosähkö_nyt)</f>
        <v>jäännössähkö</v>
      </c>
      <c r="O262" s="147">
        <f>INDEX(Muuttujat!$J$5:$J$21,MATCH($C262,Muuttujat!$H$5:$H$21,0),1)</f>
        <v>63.897506909426724</v>
      </c>
      <c r="P262" s="148">
        <f t="shared" si="113"/>
        <v>0.88390000000000002</v>
      </c>
      <c r="Q262" s="148">
        <f t="shared" si="114"/>
        <v>0.11609999999999999</v>
      </c>
      <c r="R262" s="148">
        <f t="shared" si="115"/>
        <v>0.11609999999999999</v>
      </c>
      <c r="S262" s="149">
        <f t="shared" si="104"/>
        <v>0</v>
      </c>
      <c r="T262" s="150">
        <f t="shared" si="105"/>
        <v>0</v>
      </c>
      <c r="U262" s="150">
        <f t="shared" si="106"/>
        <v>0</v>
      </c>
      <c r="V262" s="150">
        <f>IFERROR(INDEX(Työkonekanta!$J$3:$J$27,MATCH($A262,Työkonekanta!$A$3:$A$24,0),1)*$B262*ef_li_ion_akku/1000/1000/INDEX(Työkonekanta!$K$3:$K$27,MATCH($A262,Työkonekanta!$A$3:$A$24,0)),0)</f>
        <v>0</v>
      </c>
      <c r="W262" s="149">
        <f t="shared" si="97"/>
        <v>0</v>
      </c>
      <c r="X262" s="150">
        <f t="shared" si="98"/>
        <v>0</v>
      </c>
      <c r="Y262" s="151">
        <f t="shared" si="99"/>
        <v>0</v>
      </c>
      <c r="Z262" s="152">
        <f t="shared" si="116"/>
        <v>0</v>
      </c>
      <c r="AA262" s="179">
        <f t="shared" si="117"/>
        <v>0</v>
      </c>
      <c r="AB262" s="179">
        <f t="shared" si="118"/>
        <v>0</v>
      </c>
      <c r="AC262" s="180">
        <f t="shared" si="100"/>
        <v>0</v>
      </c>
      <c r="AD262" s="156">
        <f t="shared" si="119"/>
        <v>0</v>
      </c>
      <c r="AE262" s="146">
        <f>IFERROR(INDEX(Työkonekanta!$L$3:$L$30,MATCH($A262,Työkonekanta!$A$3:$A$30,0),1),0)*AF262</f>
        <v>0</v>
      </c>
      <c r="AF262" s="146">
        <f>IFERROR(INDEX(Työkonekanta!$N$3:$N$32,MATCH($A262,Työkonekanta!$A$3:$A$32,0),1),0)</f>
        <v>0</v>
      </c>
      <c r="AG262" s="332">
        <f>I262*INDEX(Muuttujat!$U$5:$U$21,MATCH($C262,Muuttujat!$N$5:$N$21,0),1)</f>
        <v>0</v>
      </c>
      <c r="AH262" s="332">
        <f>J262*INDEX(Muuttujat!$T$5:$T$21,MATCH($C262,Muuttujat!$N$5:$N$21,0),1)</f>
        <v>0</v>
      </c>
      <c r="AI262" s="332">
        <f t="shared" si="107"/>
        <v>0</v>
      </c>
      <c r="AJ262" s="332">
        <f t="shared" si="108"/>
        <v>0</v>
      </c>
      <c r="AK262" s="333">
        <f t="shared" si="120"/>
        <v>0</v>
      </c>
      <c r="AL262" s="332">
        <f t="shared" si="109"/>
        <v>0</v>
      </c>
      <c r="AM262" s="351"/>
      <c r="AN262" s="351"/>
    </row>
    <row r="263" spans="1:40">
      <c r="A263" s="139">
        <v>21</v>
      </c>
      <c r="B263" s="139">
        <f>IFERROR(IF((INDEX(Työkonekanta!$F$3:$F$27,MATCH('S3 Tiekartta'!$A263,Työkonekanta!$A$3:$A$24,0),1))&lt;0,0,(INDEX(Työkonekanta!$F$3:$F$27,MATCH('S3 Tiekartta'!$A263,Työkonekanta!$A$3:$A$24,0),1))),0)</f>
        <v>35</v>
      </c>
      <c r="C263" s="140">
        <v>2027</v>
      </c>
      <c r="D263" s="141" t="str">
        <f>IFERROR(INDEX(Työkonekanta!$D$3:$D$27,MATCH('S3 Tiekartta'!$A263,Työkonekanta!$A$3:$A$24,0),1),"undefined")</f>
        <v>sähkö</v>
      </c>
      <c r="E263" s="145">
        <f>IFERROR(INDEX(Työkonekanta!$G$3:$G$27,MATCH($A263,Työkonekanta!$A$3:$A$24,0),1)*INDEX(Työkonekanta!$H$3:$H$27,MATCH($A263,Työkonekanta!$A$3:$A$24,0),1)*(1+s0b_kasvu*($C263-2019))*$B263,0)</f>
        <v>439775</v>
      </c>
      <c r="F263" s="145">
        <f t="shared" si="101"/>
        <v>0</v>
      </c>
      <c r="G263" s="151">
        <f t="shared" si="110"/>
        <v>0</v>
      </c>
      <c r="H263" s="145">
        <f t="shared" si="111"/>
        <v>0</v>
      </c>
      <c r="I263" s="145">
        <f t="shared" si="102"/>
        <v>0</v>
      </c>
      <c r="J263" s="145">
        <f t="shared" si="103"/>
        <v>0</v>
      </c>
      <c r="K263" s="142" t="str">
        <f t="shared" si="112"/>
        <v>kWh</v>
      </c>
      <c r="L263" s="146">
        <f>IFERROR(INDEX(Työkonekanta!$I$3:$I$27,MATCH('S3 Tiekartta'!$A263,Työkonekanta!$A$3:$A$24,0),1)*(I263+J263)*f_adblue,0)</f>
        <v>0</v>
      </c>
      <c r="M263" s="146">
        <f t="shared" si="96"/>
        <v>1583190</v>
      </c>
      <c r="N263" s="143" t="str">
        <f>IF(tuulisähkö_vuosi&lt;='S3 Tiekartta'!C263,"tuulisähkö",ostosähkö_nyt)</f>
        <v>jäännössähkö</v>
      </c>
      <c r="O263" s="147">
        <f>INDEX(Muuttujat!$J$5:$J$21,MATCH($C263,Muuttujat!$H$5:$H$21,0),1)</f>
        <v>63.897506909426724</v>
      </c>
      <c r="P263" s="148">
        <f t="shared" si="113"/>
        <v>0.88390000000000002</v>
      </c>
      <c r="Q263" s="148">
        <f t="shared" si="114"/>
        <v>0.11609999999999999</v>
      </c>
      <c r="R263" s="148">
        <f t="shared" si="115"/>
        <v>0.11609999999999999</v>
      </c>
      <c r="S263" s="149">
        <f t="shared" si="104"/>
        <v>0</v>
      </c>
      <c r="T263" s="150">
        <f t="shared" si="105"/>
        <v>0</v>
      </c>
      <c r="U263" s="150">
        <f t="shared" si="106"/>
        <v>101.1618939639353</v>
      </c>
      <c r="V263" s="150">
        <f>IFERROR(INDEX(Työkonekanta!$J$3:$J$27,MATCH($A263,Työkonekanta!$A$3:$A$24,0),1)*$B263*ef_li_ion_akku/1000/1000/INDEX(Työkonekanta!$K$3:$K$27,MATCH($A263,Työkonekanta!$A$3:$A$24,0)),0)</f>
        <v>43.121723076923082</v>
      </c>
      <c r="W263" s="149">
        <f t="shared" si="97"/>
        <v>0</v>
      </c>
      <c r="X263" s="150">
        <f t="shared" si="98"/>
        <v>0</v>
      </c>
      <c r="Y263" s="151">
        <f t="shared" si="99"/>
        <v>0</v>
      </c>
      <c r="Z263" s="152">
        <f t="shared" si="116"/>
        <v>144.28361704085839</v>
      </c>
      <c r="AA263" s="179">
        <f t="shared" si="117"/>
        <v>0</v>
      </c>
      <c r="AB263" s="179">
        <f t="shared" si="118"/>
        <v>0</v>
      </c>
      <c r="AC263" s="180">
        <f t="shared" si="100"/>
        <v>144.28361704085839</v>
      </c>
      <c r="AD263" s="156">
        <f t="shared" si="119"/>
        <v>144.28361704085839</v>
      </c>
      <c r="AE263" s="146">
        <f>IFERROR(INDEX(Työkonekanta!$L$3:$L$30,MATCH($A263,Työkonekanta!$A$3:$A$30,0),1),0)*AF263</f>
        <v>1820000</v>
      </c>
      <c r="AF263" s="146">
        <f>IFERROR(INDEX(Työkonekanta!$N$3:$N$32,MATCH($A263,Työkonekanta!$A$3:$A$32,0),1),0)</f>
        <v>7</v>
      </c>
      <c r="AG263" s="332">
        <f>I263*INDEX(Muuttujat!$U$5:$U$21,MATCH($C263,Muuttujat!$N$5:$N$21,0),1)</f>
        <v>0</v>
      </c>
      <c r="AH263" s="332">
        <f>J263*INDEX(Muuttujat!$T$5:$T$21,MATCH($C263,Muuttujat!$N$5:$N$21,0),1)</f>
        <v>0</v>
      </c>
      <c r="AI263" s="332">
        <f t="shared" si="107"/>
        <v>0</v>
      </c>
      <c r="AJ263" s="332">
        <f t="shared" si="108"/>
        <v>38920.087500000001</v>
      </c>
      <c r="AK263" s="333">
        <f t="shared" si="120"/>
        <v>38920.087500000001</v>
      </c>
      <c r="AL263" s="332">
        <f t="shared" si="109"/>
        <v>1112.0025000000001</v>
      </c>
      <c r="AM263" s="351"/>
      <c r="AN263" s="351"/>
    </row>
    <row r="264" spans="1:40">
      <c r="A264" s="139">
        <v>22</v>
      </c>
      <c r="B264" s="139">
        <f>IFERROR(IF((INDEX(Työkonekanta!$F$3:$F$27,MATCH('S3 Tiekartta'!$A264,Työkonekanta!$A$3:$A$24,0),1))&lt;0,0,(INDEX(Työkonekanta!$F$3:$F$27,MATCH('S3 Tiekartta'!$A264,Työkonekanta!$A$3:$A$24,0),1))),0)</f>
        <v>0</v>
      </c>
      <c r="C264" s="140">
        <v>2027</v>
      </c>
      <c r="D264" s="141" t="str">
        <f>IFERROR(INDEX(Työkonekanta!$D$3:$D$27,MATCH('S3 Tiekartta'!$A264,Työkonekanta!$A$3:$A$24,0),1),"undefined")</f>
        <v>sähkö</v>
      </c>
      <c r="E264" s="145">
        <f>IFERROR(INDEX(Työkonekanta!$G$3:$G$27,MATCH($A264,Työkonekanta!$A$3:$A$24,0),1)*INDEX(Työkonekanta!$H$3:$H$27,MATCH($A264,Työkonekanta!$A$3:$A$24,0),1)*(1+s0b_kasvu*($C264-2019))*$B264,0)</f>
        <v>0</v>
      </c>
      <c r="F264" s="145">
        <f t="shared" si="101"/>
        <v>0</v>
      </c>
      <c r="G264" s="151">
        <f t="shared" si="110"/>
        <v>0</v>
      </c>
      <c r="H264" s="145">
        <f t="shared" si="111"/>
        <v>0</v>
      </c>
      <c r="I264" s="145">
        <f t="shared" si="102"/>
        <v>0</v>
      </c>
      <c r="J264" s="145">
        <f t="shared" si="103"/>
        <v>0</v>
      </c>
      <c r="K264" s="142" t="str">
        <f t="shared" si="112"/>
        <v>kWh</v>
      </c>
      <c r="L264" s="146">
        <f>IFERROR(INDEX(Työkonekanta!$I$3:$I$27,MATCH('S3 Tiekartta'!$A264,Työkonekanta!$A$3:$A$24,0),1)*(I264+J264)*f_adblue,0)</f>
        <v>0</v>
      </c>
      <c r="M264" s="146">
        <f t="shared" si="96"/>
        <v>0</v>
      </c>
      <c r="N264" s="143" t="str">
        <f>IF(tuulisähkö_vuosi&lt;='S3 Tiekartta'!C264,"tuulisähkö",ostosähkö_nyt)</f>
        <v>jäännössähkö</v>
      </c>
      <c r="O264" s="147">
        <f>INDEX(Muuttujat!$J$5:$J$21,MATCH($C264,Muuttujat!$H$5:$H$21,0),1)</f>
        <v>63.897506909426724</v>
      </c>
      <c r="P264" s="148">
        <f t="shared" si="113"/>
        <v>0.88390000000000002</v>
      </c>
      <c r="Q264" s="148">
        <f t="shared" si="114"/>
        <v>0.11609999999999999</v>
      </c>
      <c r="R264" s="148">
        <f t="shared" si="115"/>
        <v>0.11609999999999999</v>
      </c>
      <c r="S264" s="149">
        <f t="shared" si="104"/>
        <v>0</v>
      </c>
      <c r="T264" s="150">
        <f t="shared" si="105"/>
        <v>0</v>
      </c>
      <c r="U264" s="150">
        <f t="shared" si="106"/>
        <v>0</v>
      </c>
      <c r="V264" s="150">
        <f>IFERROR(INDEX(Työkonekanta!$J$3:$J$27,MATCH($A264,Työkonekanta!$A$3:$A$24,0),1)*$B264*ef_li_ion_akku/1000/1000/INDEX(Työkonekanta!$K$3:$K$27,MATCH($A264,Työkonekanta!$A$3:$A$24,0)),0)</f>
        <v>0</v>
      </c>
      <c r="W264" s="149">
        <f t="shared" si="97"/>
        <v>0</v>
      </c>
      <c r="X264" s="150">
        <f t="shared" si="98"/>
        <v>0</v>
      </c>
      <c r="Y264" s="151">
        <f t="shared" si="99"/>
        <v>0</v>
      </c>
      <c r="Z264" s="152">
        <f t="shared" si="116"/>
        <v>0</v>
      </c>
      <c r="AA264" s="179">
        <f t="shared" si="117"/>
        <v>0</v>
      </c>
      <c r="AB264" s="179">
        <f t="shared" si="118"/>
        <v>0</v>
      </c>
      <c r="AC264" s="180">
        <f t="shared" si="100"/>
        <v>0</v>
      </c>
      <c r="AD264" s="156">
        <f t="shared" si="119"/>
        <v>0</v>
      </c>
      <c r="AE264" s="146">
        <f>IFERROR(INDEX(Työkonekanta!$L$3:$L$30,MATCH($A264,Työkonekanta!$A$3:$A$30,0),1),0)*AF264</f>
        <v>0</v>
      </c>
      <c r="AF264" s="146">
        <f>IFERROR(INDEX(Työkonekanta!$N$3:$N$32,MATCH($A264,Työkonekanta!$A$3:$A$32,0),1),0)</f>
        <v>0</v>
      </c>
      <c r="AG264" s="332">
        <f>I264*INDEX(Muuttujat!$U$5:$U$21,MATCH($C264,Muuttujat!$N$5:$N$21,0),1)</f>
        <v>0</v>
      </c>
      <c r="AH264" s="332">
        <f>J264*INDEX(Muuttujat!$T$5:$T$21,MATCH($C264,Muuttujat!$N$5:$N$21,0),1)</f>
        <v>0</v>
      </c>
      <c r="AI264" s="332">
        <f t="shared" si="107"/>
        <v>0</v>
      </c>
      <c r="AJ264" s="332">
        <f t="shared" si="108"/>
        <v>0</v>
      </c>
      <c r="AK264" s="333">
        <f t="shared" si="120"/>
        <v>0</v>
      </c>
      <c r="AL264" s="332">
        <f t="shared" si="109"/>
        <v>0</v>
      </c>
      <c r="AM264" s="351"/>
      <c r="AN264" s="351"/>
    </row>
    <row r="265" spans="1:40">
      <c r="A265" s="139">
        <v>23</v>
      </c>
      <c r="B265" s="139">
        <f>IFERROR(IF((INDEX(Työkonekanta!$F$3:$F$27,MATCH('S3 Tiekartta'!$A265,Työkonekanta!$A$3:$A$24,0),1))&lt;0,0,(INDEX(Työkonekanta!$F$3:$F$27,MATCH('S3 Tiekartta'!$A265,Työkonekanta!$A$3:$A$24,0),1))),0)</f>
        <v>0</v>
      </c>
      <c r="C265" s="140">
        <v>2027</v>
      </c>
      <c r="D265" s="141" t="str">
        <f>IFERROR(INDEX(Työkonekanta!$D$3:$D$27,MATCH('S3 Tiekartta'!$A265,Työkonekanta!$A$3:$A$24,0),1),"undefined")</f>
        <v>undefined</v>
      </c>
      <c r="E265" s="145">
        <f>IFERROR(INDEX(Työkonekanta!$G$3:$G$27,MATCH($A265,Työkonekanta!$A$3:$A$24,0),1)*INDEX(Työkonekanta!$H$3:$H$27,MATCH($A265,Työkonekanta!$A$3:$A$24,0),1)*(1+s0b_kasvu*($C265-2019))*$B265,0)</f>
        <v>0</v>
      </c>
      <c r="F265" s="145">
        <f t="shared" si="101"/>
        <v>0</v>
      </c>
      <c r="G265" s="151">
        <f t="shared" si="110"/>
        <v>0</v>
      </c>
      <c r="H265" s="145">
        <f t="shared" si="111"/>
        <v>0</v>
      </c>
      <c r="I265" s="145">
        <f t="shared" si="102"/>
        <v>0</v>
      </c>
      <c r="J265" s="145">
        <f t="shared" si="103"/>
        <v>0</v>
      </c>
      <c r="K265" s="142" t="str">
        <f t="shared" si="112"/>
        <v>undefined</v>
      </c>
      <c r="L265" s="146">
        <f>IFERROR(INDEX(Työkonekanta!$I$3:$I$27,MATCH('S3 Tiekartta'!$A265,Työkonekanta!$A$3:$A$24,0),1)*(I265+J265)*f_adblue,0)</f>
        <v>0</v>
      </c>
      <c r="M265" s="146">
        <f t="shared" si="96"/>
        <v>0</v>
      </c>
      <c r="N265" s="143" t="str">
        <f>IF(tuulisähkö_vuosi&lt;='S3 Tiekartta'!C265,"tuulisähkö",ostosähkö_nyt)</f>
        <v>jäännössähkö</v>
      </c>
      <c r="O265" s="147">
        <f>INDEX(Muuttujat!$J$5:$J$21,MATCH($C265,Muuttujat!$H$5:$H$21,0),1)</f>
        <v>63.897506909426724</v>
      </c>
      <c r="P265" s="148">
        <f t="shared" si="113"/>
        <v>0.88390000000000002</v>
      </c>
      <c r="Q265" s="148">
        <f t="shared" si="114"/>
        <v>0.11609999999999999</v>
      </c>
      <c r="R265" s="148">
        <f t="shared" si="115"/>
        <v>0.11609999999999999</v>
      </c>
      <c r="S265" s="149">
        <f t="shared" si="104"/>
        <v>0</v>
      </c>
      <c r="T265" s="150">
        <f t="shared" si="105"/>
        <v>0</v>
      </c>
      <c r="U265" s="150">
        <f t="shared" si="106"/>
        <v>0</v>
      </c>
      <c r="V265" s="150">
        <f>IFERROR(INDEX(Työkonekanta!$J$3:$J$27,MATCH($A265,Työkonekanta!$A$3:$A$24,0),1)*$B265*ef_li_ion_akku/1000/1000/INDEX(Työkonekanta!$K$3:$K$27,MATCH($A265,Työkonekanta!$A$3:$A$24,0)),0)</f>
        <v>0</v>
      </c>
      <c r="W265" s="149">
        <f t="shared" si="97"/>
        <v>0</v>
      </c>
      <c r="X265" s="150">
        <f t="shared" si="98"/>
        <v>0</v>
      </c>
      <c r="Y265" s="151">
        <f t="shared" si="99"/>
        <v>0</v>
      </c>
      <c r="Z265" s="152">
        <f t="shared" si="116"/>
        <v>0</v>
      </c>
      <c r="AA265" s="179">
        <f t="shared" si="117"/>
        <v>0</v>
      </c>
      <c r="AB265" s="179">
        <f t="shared" si="118"/>
        <v>0</v>
      </c>
      <c r="AC265" s="180">
        <f t="shared" si="100"/>
        <v>0</v>
      </c>
      <c r="AD265" s="156">
        <f t="shared" si="119"/>
        <v>0</v>
      </c>
      <c r="AE265" s="146">
        <f>IFERROR(INDEX(Työkonekanta!$L$3:$L$30,MATCH($A265,Työkonekanta!$A$3:$A$30,0),1),0)*AF265</f>
        <v>0</v>
      </c>
      <c r="AF265" s="146">
        <f>IFERROR(INDEX(Työkonekanta!$N$3:$N$32,MATCH($A265,Työkonekanta!$A$3:$A$32,0),1),0)</f>
        <v>0</v>
      </c>
      <c r="AG265" s="332">
        <f>I265*INDEX(Muuttujat!$U$5:$U$21,MATCH($C265,Muuttujat!$N$5:$N$21,0),1)</f>
        <v>0</v>
      </c>
      <c r="AH265" s="332">
        <f>J265*INDEX(Muuttujat!$T$5:$T$21,MATCH($C265,Muuttujat!$N$5:$N$21,0),1)</f>
        <v>0</v>
      </c>
      <c r="AI265" s="332">
        <f t="shared" si="107"/>
        <v>0</v>
      </c>
      <c r="AJ265" s="332">
        <f t="shared" si="108"/>
        <v>0</v>
      </c>
      <c r="AK265" s="333">
        <f t="shared" si="120"/>
        <v>0</v>
      </c>
      <c r="AL265" s="332">
        <f t="shared" si="109"/>
        <v>0</v>
      </c>
      <c r="AM265" s="351"/>
      <c r="AN265" s="351"/>
    </row>
    <row r="266" spans="1:40">
      <c r="A266" s="139">
        <v>24</v>
      </c>
      <c r="B266" s="139">
        <f>IFERROR(IF((INDEX(Työkonekanta!$F$3:$F$27,MATCH('S3 Tiekartta'!$A266,Työkonekanta!$A$3:$A$24,0),1))&lt;0,0,(INDEX(Työkonekanta!$F$3:$F$27,MATCH('S3 Tiekartta'!$A266,Työkonekanta!$A$3:$A$24,0),1))),0)</f>
        <v>0</v>
      </c>
      <c r="C266" s="140">
        <v>2027</v>
      </c>
      <c r="D266" s="141" t="str">
        <f>IFERROR(INDEX(Työkonekanta!$D$3:$D$27,MATCH('S3 Tiekartta'!$A266,Työkonekanta!$A$3:$A$24,0),1),"undefined")</f>
        <v>undefined</v>
      </c>
      <c r="E266" s="145">
        <f>IFERROR(INDEX(Työkonekanta!$G$3:$G$27,MATCH($A266,Työkonekanta!$A$3:$A$24,0),1)*INDEX(Työkonekanta!$H$3:$H$27,MATCH($A266,Työkonekanta!$A$3:$A$24,0),1)*(1+s0b_kasvu*($C266-2019))*$B266,0)</f>
        <v>0</v>
      </c>
      <c r="F266" s="145">
        <f t="shared" si="101"/>
        <v>0</v>
      </c>
      <c r="G266" s="151">
        <f t="shared" si="110"/>
        <v>0</v>
      </c>
      <c r="H266" s="145">
        <f t="shared" si="111"/>
        <v>0</v>
      </c>
      <c r="I266" s="145">
        <f t="shared" si="102"/>
        <v>0</v>
      </c>
      <c r="J266" s="145">
        <f t="shared" si="103"/>
        <v>0</v>
      </c>
      <c r="K266" s="142" t="str">
        <f t="shared" si="112"/>
        <v>undefined</v>
      </c>
      <c r="L266" s="146">
        <f>IFERROR(INDEX(Työkonekanta!$I$3:$I$27,MATCH('S3 Tiekartta'!$A266,Työkonekanta!$A$3:$A$24,0),1)*(I266+J266)*f_adblue,0)</f>
        <v>0</v>
      </c>
      <c r="M266" s="146">
        <f t="shared" si="96"/>
        <v>0</v>
      </c>
      <c r="N266" s="143" t="str">
        <f>IF(tuulisähkö_vuosi&lt;='S3 Tiekartta'!C266,"tuulisähkö",ostosähkö_nyt)</f>
        <v>jäännössähkö</v>
      </c>
      <c r="O266" s="147">
        <f>INDEX(Muuttujat!$J$5:$J$21,MATCH($C266,Muuttujat!$H$5:$H$21,0),1)</f>
        <v>63.897506909426724</v>
      </c>
      <c r="P266" s="148">
        <f t="shared" si="113"/>
        <v>0.88390000000000002</v>
      </c>
      <c r="Q266" s="148">
        <f t="shared" si="114"/>
        <v>0.11609999999999999</v>
      </c>
      <c r="R266" s="148">
        <f t="shared" si="115"/>
        <v>0.11609999999999999</v>
      </c>
      <c r="S266" s="149">
        <f t="shared" si="104"/>
        <v>0</v>
      </c>
      <c r="T266" s="150">
        <f t="shared" si="105"/>
        <v>0</v>
      </c>
      <c r="U266" s="150">
        <f t="shared" si="106"/>
        <v>0</v>
      </c>
      <c r="V266" s="150">
        <f>IFERROR(INDEX(Työkonekanta!$J$3:$J$27,MATCH($A266,Työkonekanta!$A$3:$A$24,0),1)*$B266*ef_li_ion_akku/1000/1000/INDEX(Työkonekanta!$K$3:$K$27,MATCH($A266,Työkonekanta!$A$3:$A$24,0)),0)</f>
        <v>0</v>
      </c>
      <c r="W266" s="149">
        <f t="shared" si="97"/>
        <v>0</v>
      </c>
      <c r="X266" s="150">
        <f t="shared" si="98"/>
        <v>0</v>
      </c>
      <c r="Y266" s="151">
        <f t="shared" si="99"/>
        <v>0</v>
      </c>
      <c r="Z266" s="152">
        <f t="shared" si="116"/>
        <v>0</v>
      </c>
      <c r="AA266" s="179">
        <f t="shared" si="117"/>
        <v>0</v>
      </c>
      <c r="AB266" s="179">
        <f t="shared" si="118"/>
        <v>0</v>
      </c>
      <c r="AC266" s="180">
        <f t="shared" si="100"/>
        <v>0</v>
      </c>
      <c r="AD266" s="156">
        <f t="shared" si="119"/>
        <v>0</v>
      </c>
      <c r="AE266" s="146">
        <f>IFERROR(INDEX(Työkonekanta!$L$3:$L$30,MATCH($A266,Työkonekanta!$A$3:$A$30,0),1),0)*AF266</f>
        <v>0</v>
      </c>
      <c r="AF266" s="146">
        <f>IFERROR(INDEX(Työkonekanta!$N$3:$N$32,MATCH($A266,Työkonekanta!$A$3:$A$32,0),1),0)</f>
        <v>0</v>
      </c>
      <c r="AG266" s="332">
        <f>I266*INDEX(Muuttujat!$U$5:$U$21,MATCH($C266,Muuttujat!$N$5:$N$21,0),1)</f>
        <v>0</v>
      </c>
      <c r="AH266" s="332">
        <f>J266*INDEX(Muuttujat!$T$5:$T$21,MATCH($C266,Muuttujat!$N$5:$N$21,0),1)</f>
        <v>0</v>
      </c>
      <c r="AI266" s="332">
        <f t="shared" si="107"/>
        <v>0</v>
      </c>
      <c r="AJ266" s="332">
        <f t="shared" si="108"/>
        <v>0</v>
      </c>
      <c r="AK266" s="333">
        <f t="shared" si="120"/>
        <v>0</v>
      </c>
      <c r="AL266" s="332">
        <f t="shared" si="109"/>
        <v>0</v>
      </c>
      <c r="AM266" s="351"/>
      <c r="AN266" s="351"/>
    </row>
    <row r="267" spans="1:40">
      <c r="A267" s="139">
        <v>25</v>
      </c>
      <c r="B267" s="139">
        <f>IFERROR(IF((INDEX(Työkonekanta!$F$3:$F$27,MATCH('S3 Tiekartta'!$A267,Työkonekanta!$A$3:$A$24,0),1))&lt;0,0,(INDEX(Työkonekanta!$F$3:$F$27,MATCH('S3 Tiekartta'!$A267,Työkonekanta!$A$3:$A$24,0),1))),0)</f>
        <v>0</v>
      </c>
      <c r="C267" s="140">
        <v>2027</v>
      </c>
      <c r="D267" s="141" t="str">
        <f>IFERROR(INDEX(Työkonekanta!$D$3:$D$27,MATCH('S3 Tiekartta'!$A267,Työkonekanta!$A$3:$A$24,0),1),"undefined")</f>
        <v>undefined</v>
      </c>
      <c r="E267" s="145">
        <f>IFERROR(INDEX(Työkonekanta!$G$3:$G$27,MATCH($A267,Työkonekanta!$A$3:$A$24,0),1)*INDEX(Työkonekanta!$H$3:$H$27,MATCH($A267,Työkonekanta!$A$3:$A$24,0),1)*(1+s0b_kasvu*($C267-2019))*$B267,0)</f>
        <v>0</v>
      </c>
      <c r="F267" s="145">
        <f t="shared" si="101"/>
        <v>0</v>
      </c>
      <c r="G267" s="151">
        <f t="shared" si="110"/>
        <v>0</v>
      </c>
      <c r="H267" s="145">
        <f t="shared" si="111"/>
        <v>0</v>
      </c>
      <c r="I267" s="145">
        <f t="shared" si="102"/>
        <v>0</v>
      </c>
      <c r="J267" s="145">
        <f t="shared" si="103"/>
        <v>0</v>
      </c>
      <c r="K267" s="142" t="str">
        <f t="shared" si="112"/>
        <v>undefined</v>
      </c>
      <c r="L267" s="146">
        <f>IFERROR(INDEX(Työkonekanta!$I$3:$I$27,MATCH('S3 Tiekartta'!$A267,Työkonekanta!$A$3:$A$24,0),1)*(I267+J267)*f_adblue,0)</f>
        <v>0</v>
      </c>
      <c r="M267" s="146">
        <f t="shared" si="96"/>
        <v>0</v>
      </c>
      <c r="N267" s="143" t="str">
        <f>IF(tuulisähkö_vuosi&lt;='S3 Tiekartta'!C267,"tuulisähkö",ostosähkö_nyt)</f>
        <v>jäännössähkö</v>
      </c>
      <c r="O267" s="147">
        <f>INDEX(Muuttujat!$J$5:$J$21,MATCH($C267,Muuttujat!$H$5:$H$21,0),1)</f>
        <v>63.897506909426724</v>
      </c>
      <c r="P267" s="148">
        <f t="shared" si="113"/>
        <v>0.88390000000000002</v>
      </c>
      <c r="Q267" s="148">
        <f t="shared" si="114"/>
        <v>0.11609999999999999</v>
      </c>
      <c r="R267" s="148">
        <f t="shared" si="115"/>
        <v>0.11609999999999999</v>
      </c>
      <c r="S267" s="149">
        <f t="shared" si="104"/>
        <v>0</v>
      </c>
      <c r="T267" s="150">
        <f t="shared" si="105"/>
        <v>0</v>
      </c>
      <c r="U267" s="150">
        <f t="shared" si="106"/>
        <v>0</v>
      </c>
      <c r="V267" s="150">
        <f>IFERROR(INDEX(Työkonekanta!$J$3:$J$27,MATCH($A267,Työkonekanta!$A$3:$A$24,0),1)*$B267*ef_li_ion_akku/1000/1000/INDEX(Työkonekanta!$K$3:$K$27,MATCH($A267,Työkonekanta!$A$3:$A$24,0)),0)</f>
        <v>0</v>
      </c>
      <c r="W267" s="149">
        <f t="shared" si="97"/>
        <v>0</v>
      </c>
      <c r="X267" s="150">
        <f t="shared" si="98"/>
        <v>0</v>
      </c>
      <c r="Y267" s="151">
        <f t="shared" si="99"/>
        <v>0</v>
      </c>
      <c r="Z267" s="152">
        <f t="shared" si="116"/>
        <v>0</v>
      </c>
      <c r="AA267" s="179">
        <f t="shared" si="117"/>
        <v>0</v>
      </c>
      <c r="AB267" s="179">
        <f t="shared" si="118"/>
        <v>0</v>
      </c>
      <c r="AC267" s="180">
        <f t="shared" si="100"/>
        <v>0</v>
      </c>
      <c r="AD267" s="156">
        <f t="shared" si="119"/>
        <v>0</v>
      </c>
      <c r="AE267" s="146">
        <f>IFERROR(INDEX(Työkonekanta!$L$3:$L$30,MATCH($A267,Työkonekanta!$A$3:$A$30,0),1),0)*AF267</f>
        <v>0</v>
      </c>
      <c r="AF267" s="146">
        <f>IFERROR(INDEX(Työkonekanta!$N$3:$N$32,MATCH($A267,Työkonekanta!$A$3:$A$32,0),1),0)</f>
        <v>0</v>
      </c>
      <c r="AG267" s="332">
        <f>I267*INDEX(Muuttujat!$U$5:$U$21,MATCH($C267,Muuttujat!$N$5:$N$21,0),1)</f>
        <v>0</v>
      </c>
      <c r="AH267" s="332">
        <f>J267*INDEX(Muuttujat!$T$5:$T$21,MATCH($C267,Muuttujat!$N$5:$N$21,0),1)</f>
        <v>0</v>
      </c>
      <c r="AI267" s="332">
        <f t="shared" si="107"/>
        <v>0</v>
      </c>
      <c r="AJ267" s="332">
        <f t="shared" si="108"/>
        <v>0</v>
      </c>
      <c r="AK267" s="333">
        <f t="shared" si="120"/>
        <v>0</v>
      </c>
      <c r="AL267" s="332">
        <f t="shared" si="109"/>
        <v>0</v>
      </c>
      <c r="AM267" s="351"/>
      <c r="AN267" s="351"/>
    </row>
    <row r="268" spans="1:40">
      <c r="A268" s="139">
        <v>26</v>
      </c>
      <c r="B268" s="139">
        <f>IFERROR(IF((INDEX(Työkonekanta!$F$3:$F$27,MATCH('S3 Tiekartta'!$A268,Työkonekanta!$A$3:$A$24,0),1))&lt;0,0,(INDEX(Työkonekanta!$F$3:$F$27,MATCH('S3 Tiekartta'!$A268,Työkonekanta!$A$3:$A$24,0),1))),0)</f>
        <v>0</v>
      </c>
      <c r="C268" s="140">
        <v>2027</v>
      </c>
      <c r="D268" s="141" t="str">
        <f>IFERROR(INDEX(Työkonekanta!$D$3:$D$27,MATCH('S3 Tiekartta'!$A268,Työkonekanta!$A$3:$A$24,0),1),"undefined")</f>
        <v>undefined</v>
      </c>
      <c r="E268" s="145">
        <f>IFERROR(INDEX(Työkonekanta!$G$3:$G$27,MATCH($A268,Työkonekanta!$A$3:$A$24,0),1)*INDEX(Työkonekanta!$H$3:$H$27,MATCH($A268,Työkonekanta!$A$3:$A$24,0),1)*(1+s0b_kasvu*($C268-2019))*$B268,0)</f>
        <v>0</v>
      </c>
      <c r="F268" s="145">
        <f t="shared" si="101"/>
        <v>0</v>
      </c>
      <c r="G268" s="151">
        <f t="shared" si="110"/>
        <v>0</v>
      </c>
      <c r="H268" s="145">
        <f t="shared" si="111"/>
        <v>0</v>
      </c>
      <c r="I268" s="145">
        <f t="shared" si="102"/>
        <v>0</v>
      </c>
      <c r="J268" s="145">
        <f t="shared" si="103"/>
        <v>0</v>
      </c>
      <c r="K268" s="142" t="str">
        <f t="shared" si="112"/>
        <v>undefined</v>
      </c>
      <c r="L268" s="146">
        <f>IFERROR(INDEX(Työkonekanta!$I$3:$I$27,MATCH('S3 Tiekartta'!$A268,Työkonekanta!$A$3:$A$24,0),1)*(I268+J268)*f_adblue,0)</f>
        <v>0</v>
      </c>
      <c r="M268" s="146">
        <f t="shared" si="96"/>
        <v>0</v>
      </c>
      <c r="N268" s="143" t="str">
        <f>IF(tuulisähkö_vuosi&lt;='S3 Tiekartta'!C268,"tuulisähkö",ostosähkö_nyt)</f>
        <v>jäännössähkö</v>
      </c>
      <c r="O268" s="147">
        <f>INDEX(Muuttujat!$J$5:$J$21,MATCH($C268,Muuttujat!$H$5:$H$21,0),1)</f>
        <v>63.897506909426724</v>
      </c>
      <c r="P268" s="148">
        <f t="shared" si="113"/>
        <v>0.88390000000000002</v>
      </c>
      <c r="Q268" s="148">
        <f t="shared" si="114"/>
        <v>0.11609999999999999</v>
      </c>
      <c r="R268" s="148">
        <f t="shared" si="115"/>
        <v>0.11609999999999999</v>
      </c>
      <c r="S268" s="149">
        <f t="shared" si="104"/>
        <v>0</v>
      </c>
      <c r="T268" s="150">
        <f t="shared" si="105"/>
        <v>0</v>
      </c>
      <c r="U268" s="150">
        <f t="shared" si="106"/>
        <v>0</v>
      </c>
      <c r="V268" s="150">
        <f>IFERROR(INDEX(Työkonekanta!$J$3:$J$27,MATCH($A268,Työkonekanta!$A$3:$A$24,0),1)*$B268*ef_li_ion_akku/1000/1000/INDEX(Työkonekanta!$K$3:$K$27,MATCH($A268,Työkonekanta!$A$3:$A$24,0)),0)</f>
        <v>0</v>
      </c>
      <c r="W268" s="149">
        <f t="shared" si="97"/>
        <v>0</v>
      </c>
      <c r="X268" s="150">
        <f t="shared" si="98"/>
        <v>0</v>
      </c>
      <c r="Y268" s="151">
        <f t="shared" si="99"/>
        <v>0</v>
      </c>
      <c r="Z268" s="152">
        <f t="shared" si="116"/>
        <v>0</v>
      </c>
      <c r="AA268" s="179">
        <f t="shared" si="117"/>
        <v>0</v>
      </c>
      <c r="AB268" s="179">
        <f t="shared" si="118"/>
        <v>0</v>
      </c>
      <c r="AC268" s="180">
        <f t="shared" si="100"/>
        <v>0</v>
      </c>
      <c r="AD268" s="156">
        <f t="shared" si="119"/>
        <v>0</v>
      </c>
      <c r="AE268" s="146">
        <f>IFERROR(INDEX(Työkonekanta!$L$3:$L$30,MATCH($A268,Työkonekanta!$A$3:$A$30,0),1),0)*AF268</f>
        <v>0</v>
      </c>
      <c r="AF268" s="146">
        <f>IFERROR(INDEX(Työkonekanta!$N$3:$N$32,MATCH($A268,Työkonekanta!$A$3:$A$32,0),1),0)</f>
        <v>0</v>
      </c>
      <c r="AG268" s="332">
        <f>I268*INDEX(Muuttujat!$U$5:$U$21,MATCH($C268,Muuttujat!$N$5:$N$21,0),1)</f>
        <v>0</v>
      </c>
      <c r="AH268" s="332">
        <f>J268*INDEX(Muuttujat!$T$5:$T$21,MATCH($C268,Muuttujat!$N$5:$N$21,0),1)</f>
        <v>0</v>
      </c>
      <c r="AI268" s="332">
        <f t="shared" si="107"/>
        <v>0</v>
      </c>
      <c r="AJ268" s="332">
        <f t="shared" si="108"/>
        <v>0</v>
      </c>
      <c r="AK268" s="333">
        <f t="shared" si="120"/>
        <v>0</v>
      </c>
      <c r="AL268" s="332">
        <f t="shared" si="109"/>
        <v>0</v>
      </c>
      <c r="AM268" s="351"/>
      <c r="AN268" s="351"/>
    </row>
    <row r="269" spans="1:40">
      <c r="A269" s="139">
        <v>27</v>
      </c>
      <c r="B269" s="139">
        <f>IFERROR(IF((INDEX(Työkonekanta!$F$3:$F$27,MATCH('S3 Tiekartta'!$A269,Työkonekanta!$A$3:$A$24,0),1))&lt;0,0,(INDEX(Työkonekanta!$F$3:$F$27,MATCH('S3 Tiekartta'!$A269,Työkonekanta!$A$3:$A$24,0),1))),0)</f>
        <v>0</v>
      </c>
      <c r="C269" s="140">
        <v>2027</v>
      </c>
      <c r="D269" s="141" t="str">
        <f>IFERROR(INDEX(Työkonekanta!$D$3:$D$27,MATCH('S3 Tiekartta'!$A269,Työkonekanta!$A$3:$A$24,0),1),"undefined")</f>
        <v>undefined</v>
      </c>
      <c r="E269" s="145">
        <f>IFERROR(INDEX(Työkonekanta!$G$3:$G$27,MATCH($A269,Työkonekanta!$A$3:$A$24,0),1)*INDEX(Työkonekanta!$H$3:$H$27,MATCH($A269,Työkonekanta!$A$3:$A$24,0),1)*(1+s0b_kasvu*($C269-2019))*$B269,0)</f>
        <v>0</v>
      </c>
      <c r="F269" s="145">
        <f t="shared" si="101"/>
        <v>0</v>
      </c>
      <c r="G269" s="151">
        <f t="shared" si="110"/>
        <v>0</v>
      </c>
      <c r="H269" s="145">
        <f t="shared" si="111"/>
        <v>0</v>
      </c>
      <c r="I269" s="145">
        <f t="shared" si="102"/>
        <v>0</v>
      </c>
      <c r="J269" s="145">
        <f t="shared" si="103"/>
        <v>0</v>
      </c>
      <c r="K269" s="142" t="str">
        <f t="shared" si="112"/>
        <v>undefined</v>
      </c>
      <c r="L269" s="146">
        <f>IFERROR(INDEX(Työkonekanta!$I$3:$I$27,MATCH('S3 Tiekartta'!$A269,Työkonekanta!$A$3:$A$24,0),1)*(I269+J269)*f_adblue,0)</f>
        <v>0</v>
      </c>
      <c r="M269" s="146">
        <f t="shared" si="96"/>
        <v>0</v>
      </c>
      <c r="N269" s="143" t="str">
        <f>IF(tuulisähkö_vuosi&lt;='S3 Tiekartta'!C269,"tuulisähkö",ostosähkö_nyt)</f>
        <v>jäännössähkö</v>
      </c>
      <c r="O269" s="147">
        <f>INDEX(Muuttujat!$J$5:$J$21,MATCH($C269,Muuttujat!$H$5:$H$21,0),1)</f>
        <v>63.897506909426724</v>
      </c>
      <c r="P269" s="148">
        <f t="shared" si="113"/>
        <v>0.88390000000000002</v>
      </c>
      <c r="Q269" s="148">
        <f t="shared" si="114"/>
        <v>0.11609999999999999</v>
      </c>
      <c r="R269" s="148">
        <f t="shared" si="115"/>
        <v>0.11609999999999999</v>
      </c>
      <c r="S269" s="149">
        <f t="shared" si="104"/>
        <v>0</v>
      </c>
      <c r="T269" s="150">
        <f t="shared" si="105"/>
        <v>0</v>
      </c>
      <c r="U269" s="150">
        <f t="shared" si="106"/>
        <v>0</v>
      </c>
      <c r="V269" s="150">
        <f>IFERROR(INDEX(Työkonekanta!$J$3:$J$27,MATCH($A269,Työkonekanta!$A$3:$A$24,0),1)*$B269*ef_li_ion_akku/1000/1000/INDEX(Työkonekanta!$K$3:$K$27,MATCH($A269,Työkonekanta!$A$3:$A$24,0)),0)</f>
        <v>0</v>
      </c>
      <c r="W269" s="149">
        <f t="shared" si="97"/>
        <v>0</v>
      </c>
      <c r="X269" s="150">
        <f t="shared" si="98"/>
        <v>0</v>
      </c>
      <c r="Y269" s="151">
        <f t="shared" si="99"/>
        <v>0</v>
      </c>
      <c r="Z269" s="152">
        <f t="shared" si="116"/>
        <v>0</v>
      </c>
      <c r="AA269" s="179">
        <f t="shared" si="117"/>
        <v>0</v>
      </c>
      <c r="AB269" s="179">
        <f t="shared" si="118"/>
        <v>0</v>
      </c>
      <c r="AC269" s="180">
        <f t="shared" si="100"/>
        <v>0</v>
      </c>
      <c r="AD269" s="156">
        <f t="shared" si="119"/>
        <v>0</v>
      </c>
      <c r="AE269" s="146">
        <f>IFERROR(INDEX(Työkonekanta!$L$3:$L$30,MATCH($A269,Työkonekanta!$A$3:$A$30,0),1),0)*AF269</f>
        <v>0</v>
      </c>
      <c r="AF269" s="146">
        <f>IFERROR(INDEX(Työkonekanta!$N$3:$N$32,MATCH($A269,Työkonekanta!$A$3:$A$32,0),1),0)</f>
        <v>0</v>
      </c>
      <c r="AG269" s="332">
        <f>I269*INDEX(Muuttujat!$U$5:$U$21,MATCH($C269,Muuttujat!$N$5:$N$21,0),1)</f>
        <v>0</v>
      </c>
      <c r="AH269" s="332">
        <f>J269*INDEX(Muuttujat!$T$5:$T$21,MATCH($C269,Muuttujat!$N$5:$N$21,0),1)</f>
        <v>0</v>
      </c>
      <c r="AI269" s="332">
        <f t="shared" si="107"/>
        <v>0</v>
      </c>
      <c r="AJ269" s="332">
        <f t="shared" si="108"/>
        <v>0</v>
      </c>
      <c r="AK269" s="333">
        <f t="shared" si="120"/>
        <v>0</v>
      </c>
      <c r="AL269" s="332">
        <f t="shared" si="109"/>
        <v>0</v>
      </c>
      <c r="AM269" s="351"/>
      <c r="AN269" s="351"/>
    </row>
    <row r="270" spans="1:40">
      <c r="A270" s="139">
        <v>28</v>
      </c>
      <c r="B270" s="139">
        <f>IFERROR(IF((INDEX(Työkonekanta!$F$3:$F$27,MATCH('S3 Tiekartta'!$A270,Työkonekanta!$A$3:$A$24,0),1))&lt;0,0,(INDEX(Työkonekanta!$F$3:$F$27,MATCH('S3 Tiekartta'!$A270,Työkonekanta!$A$3:$A$24,0),1))),0)</f>
        <v>0</v>
      </c>
      <c r="C270" s="140">
        <v>2027</v>
      </c>
      <c r="D270" s="141" t="str">
        <f>IFERROR(INDEX(Työkonekanta!$D$3:$D$27,MATCH('S3 Tiekartta'!$A270,Työkonekanta!$A$3:$A$24,0),1),"undefined")</f>
        <v>undefined</v>
      </c>
      <c r="E270" s="145">
        <f>IFERROR(INDEX(Työkonekanta!$G$3:$G$27,MATCH($A270,Työkonekanta!$A$3:$A$24,0),1)*INDEX(Työkonekanta!$H$3:$H$27,MATCH($A270,Työkonekanta!$A$3:$A$24,0),1)*(1+s0b_kasvu*($C270-2019))*$B270,0)</f>
        <v>0</v>
      </c>
      <c r="F270" s="145">
        <f t="shared" si="101"/>
        <v>0</v>
      </c>
      <c r="G270" s="151">
        <f t="shared" si="110"/>
        <v>0</v>
      </c>
      <c r="H270" s="145">
        <f t="shared" si="111"/>
        <v>0</v>
      </c>
      <c r="I270" s="145">
        <f t="shared" si="102"/>
        <v>0</v>
      </c>
      <c r="J270" s="145">
        <f t="shared" si="103"/>
        <v>0</v>
      </c>
      <c r="K270" s="142" t="str">
        <f t="shared" si="112"/>
        <v>undefined</v>
      </c>
      <c r="L270" s="146">
        <f>IFERROR(INDEX(Työkonekanta!$I$3:$I$27,MATCH('S3 Tiekartta'!$A270,Työkonekanta!$A$3:$A$24,0),1)*(I270+J270)*f_adblue,0)</f>
        <v>0</v>
      </c>
      <c r="M270" s="146">
        <f t="shared" si="96"/>
        <v>0</v>
      </c>
      <c r="N270" s="143" t="str">
        <f>IF(tuulisähkö_vuosi&lt;='S3 Tiekartta'!C270,"tuulisähkö",ostosähkö_nyt)</f>
        <v>jäännössähkö</v>
      </c>
      <c r="O270" s="147">
        <f>INDEX(Muuttujat!$J$5:$J$21,MATCH($C270,Muuttujat!$H$5:$H$21,0),1)</f>
        <v>63.897506909426724</v>
      </c>
      <c r="P270" s="148">
        <f t="shared" si="113"/>
        <v>0.88390000000000002</v>
      </c>
      <c r="Q270" s="148">
        <f t="shared" si="114"/>
        <v>0.11609999999999999</v>
      </c>
      <c r="R270" s="148">
        <f t="shared" si="115"/>
        <v>0.11609999999999999</v>
      </c>
      <c r="S270" s="149">
        <f t="shared" si="104"/>
        <v>0</v>
      </c>
      <c r="T270" s="150">
        <f t="shared" si="105"/>
        <v>0</v>
      </c>
      <c r="U270" s="150">
        <f t="shared" si="106"/>
        <v>0</v>
      </c>
      <c r="V270" s="150">
        <f>IFERROR(INDEX(Työkonekanta!$J$3:$J$27,MATCH($A270,Työkonekanta!$A$3:$A$24,0),1)*$B270*ef_li_ion_akku/1000/1000/INDEX(Työkonekanta!$K$3:$K$27,MATCH($A270,Työkonekanta!$A$3:$A$24,0)),0)</f>
        <v>0</v>
      </c>
      <c r="W270" s="149">
        <f t="shared" si="97"/>
        <v>0</v>
      </c>
      <c r="X270" s="150">
        <f t="shared" si="98"/>
        <v>0</v>
      </c>
      <c r="Y270" s="151">
        <f t="shared" si="99"/>
        <v>0</v>
      </c>
      <c r="Z270" s="152">
        <f t="shared" si="116"/>
        <v>0</v>
      </c>
      <c r="AA270" s="179">
        <f t="shared" si="117"/>
        <v>0</v>
      </c>
      <c r="AB270" s="179">
        <f t="shared" si="118"/>
        <v>0</v>
      </c>
      <c r="AC270" s="180">
        <f t="shared" si="100"/>
        <v>0</v>
      </c>
      <c r="AD270" s="156">
        <f t="shared" si="119"/>
        <v>0</v>
      </c>
      <c r="AE270" s="146">
        <f>IFERROR(INDEX(Työkonekanta!$L$3:$L$30,MATCH($A270,Työkonekanta!$A$3:$A$30,0),1),0)*AF270</f>
        <v>0</v>
      </c>
      <c r="AF270" s="146">
        <f>IFERROR(INDEX(Työkonekanta!$N$3:$N$32,MATCH($A270,Työkonekanta!$A$3:$A$32,0),1),0)</f>
        <v>0</v>
      </c>
      <c r="AG270" s="332">
        <f>I270*INDEX(Muuttujat!$U$5:$U$21,MATCH($C270,Muuttujat!$N$5:$N$21,0),1)</f>
        <v>0</v>
      </c>
      <c r="AH270" s="332">
        <f>J270*INDEX(Muuttujat!$T$5:$T$21,MATCH($C270,Muuttujat!$N$5:$N$21,0),1)</f>
        <v>0</v>
      </c>
      <c r="AI270" s="332">
        <f t="shared" si="107"/>
        <v>0</v>
      </c>
      <c r="AJ270" s="332">
        <f t="shared" si="108"/>
        <v>0</v>
      </c>
      <c r="AK270" s="333">
        <f t="shared" si="120"/>
        <v>0</v>
      </c>
      <c r="AL270" s="332">
        <f t="shared" si="109"/>
        <v>0</v>
      </c>
      <c r="AM270" s="351"/>
      <c r="AN270" s="351"/>
    </row>
    <row r="271" spans="1:40">
      <c r="A271" s="139">
        <v>29</v>
      </c>
      <c r="B271" s="139">
        <f>IFERROR(IF((INDEX(Työkonekanta!$F$3:$F$27,MATCH('S3 Tiekartta'!$A271,Työkonekanta!$A$3:$A$24,0),1))&lt;0,0,(INDEX(Työkonekanta!$F$3:$F$27,MATCH('S3 Tiekartta'!$A271,Työkonekanta!$A$3:$A$24,0),1))),0)</f>
        <v>0</v>
      </c>
      <c r="C271" s="140">
        <v>2027</v>
      </c>
      <c r="D271" s="141" t="str">
        <f>IFERROR(INDEX(Työkonekanta!$D$3:$D$27,MATCH('S3 Tiekartta'!$A271,Työkonekanta!$A$3:$A$24,0),1),"undefined")</f>
        <v>undefined</v>
      </c>
      <c r="E271" s="145">
        <f>IFERROR(INDEX(Työkonekanta!$G$3:$G$27,MATCH($A271,Työkonekanta!$A$3:$A$24,0),1)*INDEX(Työkonekanta!$H$3:$H$27,MATCH($A271,Työkonekanta!$A$3:$A$24,0),1)*(1+s0b_kasvu*($C271-2019))*$B271,0)</f>
        <v>0</v>
      </c>
      <c r="F271" s="145">
        <f t="shared" si="101"/>
        <v>0</v>
      </c>
      <c r="G271" s="151">
        <f t="shared" si="110"/>
        <v>0</v>
      </c>
      <c r="H271" s="145">
        <f t="shared" si="111"/>
        <v>0</v>
      </c>
      <c r="I271" s="145">
        <f t="shared" si="102"/>
        <v>0</v>
      </c>
      <c r="J271" s="145">
        <f t="shared" si="103"/>
        <v>0</v>
      </c>
      <c r="K271" s="142" t="str">
        <f t="shared" si="112"/>
        <v>undefined</v>
      </c>
      <c r="L271" s="146">
        <f>IFERROR(INDEX(Työkonekanta!$I$3:$I$27,MATCH('S3 Tiekartta'!$A271,Työkonekanta!$A$3:$A$24,0),1)*(I271+J271)*f_adblue,0)</f>
        <v>0</v>
      </c>
      <c r="M271" s="146">
        <f t="shared" si="96"/>
        <v>0</v>
      </c>
      <c r="N271" s="143" t="str">
        <f>IF(tuulisähkö_vuosi&lt;='S3 Tiekartta'!C271,"tuulisähkö",ostosähkö_nyt)</f>
        <v>jäännössähkö</v>
      </c>
      <c r="O271" s="147">
        <f>INDEX(Muuttujat!$J$5:$J$21,MATCH($C271,Muuttujat!$H$5:$H$21,0),1)</f>
        <v>63.897506909426724</v>
      </c>
      <c r="P271" s="148">
        <f t="shared" si="113"/>
        <v>0.88390000000000002</v>
      </c>
      <c r="Q271" s="148">
        <f t="shared" si="114"/>
        <v>0.11609999999999999</v>
      </c>
      <c r="R271" s="148">
        <f t="shared" si="115"/>
        <v>0.11609999999999999</v>
      </c>
      <c r="S271" s="149">
        <f t="shared" si="104"/>
        <v>0</v>
      </c>
      <c r="T271" s="150">
        <f t="shared" si="105"/>
        <v>0</v>
      </c>
      <c r="U271" s="150">
        <f t="shared" si="106"/>
        <v>0</v>
      </c>
      <c r="V271" s="150">
        <f>IFERROR(INDEX(Työkonekanta!$J$3:$J$27,MATCH($A271,Työkonekanta!$A$3:$A$24,0),1)*$B271*ef_li_ion_akku/1000/1000/INDEX(Työkonekanta!$K$3:$K$27,MATCH($A271,Työkonekanta!$A$3:$A$24,0)),0)</f>
        <v>0</v>
      </c>
      <c r="W271" s="149">
        <f t="shared" si="97"/>
        <v>0</v>
      </c>
      <c r="X271" s="150">
        <f t="shared" si="98"/>
        <v>0</v>
      </c>
      <c r="Y271" s="151">
        <f t="shared" si="99"/>
        <v>0</v>
      </c>
      <c r="Z271" s="152">
        <f t="shared" si="116"/>
        <v>0</v>
      </c>
      <c r="AA271" s="179">
        <f t="shared" si="117"/>
        <v>0</v>
      </c>
      <c r="AB271" s="179">
        <f t="shared" si="118"/>
        <v>0</v>
      </c>
      <c r="AC271" s="180">
        <f t="shared" si="100"/>
        <v>0</v>
      </c>
      <c r="AD271" s="156">
        <f t="shared" si="119"/>
        <v>0</v>
      </c>
      <c r="AE271" s="146">
        <f>IFERROR(INDEX(Työkonekanta!$L$3:$L$30,MATCH($A271,Työkonekanta!$A$3:$A$30,0),1),0)*AF271</f>
        <v>0</v>
      </c>
      <c r="AF271" s="146">
        <f>IFERROR(INDEX(Työkonekanta!$N$3:$N$32,MATCH($A271,Työkonekanta!$A$3:$A$32,0),1),0)</f>
        <v>0</v>
      </c>
      <c r="AG271" s="332">
        <f>I271*INDEX(Muuttujat!$U$5:$U$21,MATCH($C271,Muuttujat!$N$5:$N$21,0),1)</f>
        <v>0</v>
      </c>
      <c r="AH271" s="332">
        <f>J271*INDEX(Muuttujat!$T$5:$T$21,MATCH($C271,Muuttujat!$N$5:$N$21,0),1)</f>
        <v>0</v>
      </c>
      <c r="AI271" s="332">
        <f t="shared" si="107"/>
        <v>0</v>
      </c>
      <c r="AJ271" s="332">
        <f t="shared" si="108"/>
        <v>0</v>
      </c>
      <c r="AK271" s="333">
        <f t="shared" si="120"/>
        <v>0</v>
      </c>
      <c r="AL271" s="332">
        <f t="shared" si="109"/>
        <v>0</v>
      </c>
      <c r="AM271" s="351"/>
      <c r="AN271" s="351"/>
    </row>
    <row r="272" spans="1:40">
      <c r="A272" s="139">
        <v>30</v>
      </c>
      <c r="B272" s="139">
        <f>IFERROR(IF((INDEX(Työkonekanta!$F$3:$F$27,MATCH('S3 Tiekartta'!$A272,Työkonekanta!$A$3:$A$24,0),1))&lt;0,0,(INDEX(Työkonekanta!$F$3:$F$27,MATCH('S3 Tiekartta'!$A272,Työkonekanta!$A$3:$A$24,0),1))),0)</f>
        <v>0</v>
      </c>
      <c r="C272" s="140">
        <v>2027</v>
      </c>
      <c r="D272" s="141" t="str">
        <f>IFERROR(INDEX(Työkonekanta!$D$3:$D$27,MATCH('S3 Tiekartta'!$A272,Työkonekanta!$A$3:$A$24,0),1),"undefined")</f>
        <v>undefined</v>
      </c>
      <c r="E272" s="145">
        <f>IFERROR(INDEX(Työkonekanta!$G$3:$G$27,MATCH($A272,Työkonekanta!$A$3:$A$24,0),1)*INDEX(Työkonekanta!$H$3:$H$27,MATCH($A272,Työkonekanta!$A$3:$A$24,0),1)*(1+s0b_kasvu*($C272-2019))*$B272,0)</f>
        <v>0</v>
      </c>
      <c r="F272" s="145">
        <f t="shared" si="101"/>
        <v>0</v>
      </c>
      <c r="G272" s="151">
        <f t="shared" si="110"/>
        <v>0</v>
      </c>
      <c r="H272" s="145">
        <f t="shared" si="111"/>
        <v>0</v>
      </c>
      <c r="I272" s="145">
        <f t="shared" si="102"/>
        <v>0</v>
      </c>
      <c r="J272" s="145">
        <f t="shared" si="103"/>
        <v>0</v>
      </c>
      <c r="K272" s="142" t="str">
        <f t="shared" si="112"/>
        <v>undefined</v>
      </c>
      <c r="L272" s="146">
        <f>IFERROR(INDEX(Työkonekanta!$I$3:$I$27,MATCH('S3 Tiekartta'!$A272,Työkonekanta!$A$3:$A$24,0),1)*(I272+J272)*f_adblue,0)</f>
        <v>0</v>
      </c>
      <c r="M272" s="146">
        <f t="shared" si="96"/>
        <v>0</v>
      </c>
      <c r="N272" s="143" t="str">
        <f>IF(tuulisähkö_vuosi&lt;='S3 Tiekartta'!C272,"tuulisähkö",ostosähkö_nyt)</f>
        <v>jäännössähkö</v>
      </c>
      <c r="O272" s="147">
        <f>INDEX(Muuttujat!$J$5:$J$21,MATCH($C272,Muuttujat!$H$5:$H$21,0),1)</f>
        <v>63.897506909426724</v>
      </c>
      <c r="P272" s="148">
        <f t="shared" si="113"/>
        <v>0.88390000000000002</v>
      </c>
      <c r="Q272" s="148">
        <f t="shared" si="114"/>
        <v>0.11609999999999999</v>
      </c>
      <c r="R272" s="148">
        <f t="shared" si="115"/>
        <v>0.11609999999999999</v>
      </c>
      <c r="S272" s="149">
        <f t="shared" si="104"/>
        <v>0</v>
      </c>
      <c r="T272" s="150">
        <f t="shared" si="105"/>
        <v>0</v>
      </c>
      <c r="U272" s="150">
        <f t="shared" si="106"/>
        <v>0</v>
      </c>
      <c r="V272" s="150">
        <f>IFERROR(INDEX(Työkonekanta!$J$3:$J$27,MATCH($A272,Työkonekanta!$A$3:$A$24,0),1)*$B272*ef_li_ion_akku/1000/1000/INDEX(Työkonekanta!$K$3:$K$27,MATCH($A272,Työkonekanta!$A$3:$A$24,0)),0)</f>
        <v>0</v>
      </c>
      <c r="W272" s="149">
        <f t="shared" si="97"/>
        <v>0</v>
      </c>
      <c r="X272" s="150">
        <f t="shared" si="98"/>
        <v>0</v>
      </c>
      <c r="Y272" s="151">
        <f t="shared" si="99"/>
        <v>0</v>
      </c>
      <c r="Z272" s="152">
        <f t="shared" si="116"/>
        <v>0</v>
      </c>
      <c r="AA272" s="179">
        <f t="shared" si="117"/>
        <v>0</v>
      </c>
      <c r="AB272" s="179">
        <f t="shared" si="118"/>
        <v>0</v>
      </c>
      <c r="AC272" s="180">
        <f t="shared" si="100"/>
        <v>0</v>
      </c>
      <c r="AD272" s="156">
        <f t="shared" si="119"/>
        <v>0</v>
      </c>
      <c r="AE272" s="146">
        <f>IFERROR(INDEX(Työkonekanta!$L$3:$L$30,MATCH($A272,Työkonekanta!$A$3:$A$30,0),1),0)*AF272</f>
        <v>0</v>
      </c>
      <c r="AF272" s="146">
        <f>IFERROR(INDEX(Työkonekanta!$N$3:$N$32,MATCH($A272,Työkonekanta!$A$3:$A$32,0),1),0)</f>
        <v>0</v>
      </c>
      <c r="AG272" s="332">
        <f>I272*INDEX(Muuttujat!$U$5:$U$21,MATCH($C272,Muuttujat!$N$5:$N$21,0),1)</f>
        <v>0</v>
      </c>
      <c r="AH272" s="332">
        <f>J272*INDEX(Muuttujat!$T$5:$T$21,MATCH($C272,Muuttujat!$N$5:$N$21,0),1)</f>
        <v>0</v>
      </c>
      <c r="AI272" s="332">
        <f t="shared" si="107"/>
        <v>0</v>
      </c>
      <c r="AJ272" s="332">
        <f t="shared" si="108"/>
        <v>0</v>
      </c>
      <c r="AK272" s="333">
        <f t="shared" si="120"/>
        <v>0</v>
      </c>
      <c r="AL272" s="332">
        <f t="shared" si="109"/>
        <v>0</v>
      </c>
      <c r="AM272" s="351"/>
      <c r="AN272" s="351"/>
    </row>
    <row r="273" spans="1:40">
      <c r="A273" s="139">
        <v>1</v>
      </c>
      <c r="B273" s="139">
        <f>IFERROR(IF((INDEX(Työkonekanta!$F$3:$F$27,MATCH('S3 Tiekartta'!$A273,Työkonekanta!$A$3:$A$24,0),1))&lt;0,0,(INDEX(Työkonekanta!$F$3:$F$27,MATCH('S3 Tiekartta'!$A273,Työkonekanta!$A$3:$A$24,0),1))),0)</f>
        <v>1</v>
      </c>
      <c r="C273" s="140">
        <v>2028</v>
      </c>
      <c r="D273" s="141" t="str">
        <f>IFERROR(INDEX(Työkonekanta!$D$3:$D$27,MATCH('S3 Tiekartta'!$A273,Työkonekanta!$A$3:$A$24,0),1),"undefined")</f>
        <v>pom</v>
      </c>
      <c r="E273" s="145">
        <f>IFERROR(INDEX(Työkonekanta!$G$3:$G$27,MATCH($A273,Työkonekanta!$A$3:$A$24,0),1)*INDEX(Työkonekanta!$H$3:$H$27,MATCH($A273,Työkonekanta!$A$3:$A$24,0),1)*(1+s0b_kasvu*($C273-2019))*$B273,0)</f>
        <v>10900</v>
      </c>
      <c r="F273" s="145">
        <f t="shared" si="101"/>
        <v>391310</v>
      </c>
      <c r="G273" s="151">
        <f t="shared" si="110"/>
        <v>332703.89260999998</v>
      </c>
      <c r="H273" s="145">
        <f t="shared" si="111"/>
        <v>58606.107389999997</v>
      </c>
      <c r="I273" s="145">
        <f t="shared" si="102"/>
        <v>9267.5179000000007</v>
      </c>
      <c r="J273" s="145">
        <f t="shared" si="103"/>
        <v>1708.6328685131195</v>
      </c>
      <c r="K273" s="142" t="str">
        <f t="shared" si="112"/>
        <v>l</v>
      </c>
      <c r="L273" s="146">
        <f>IFERROR(INDEX(Työkonekanta!$I$3:$I$27,MATCH('S3 Tiekartta'!$A273,Työkonekanta!$A$3:$A$24,0),1)*(I273+J273)*f_adblue,0)</f>
        <v>548.80753842565605</v>
      </c>
      <c r="M273" s="146">
        <f t="shared" si="96"/>
        <v>0</v>
      </c>
      <c r="N273" s="143" t="str">
        <f>IF(tuulisähkö_vuosi&lt;='S3 Tiekartta'!C273,"tuulisähkö",ostosähkö_nyt)</f>
        <v>jäännössähkö</v>
      </c>
      <c r="O273" s="147">
        <f>INDEX(Muuttujat!$J$5:$J$21,MATCH($C273,Muuttujat!$H$5:$H$21,0),1)</f>
        <v>63.258531840332459</v>
      </c>
      <c r="P273" s="148">
        <f t="shared" si="113"/>
        <v>0.85023099999999996</v>
      </c>
      <c r="Q273" s="148">
        <f t="shared" si="114"/>
        <v>0.14976899999999999</v>
      </c>
      <c r="R273" s="148">
        <f t="shared" si="115"/>
        <v>0.14976899999999999</v>
      </c>
      <c r="S273" s="149">
        <f t="shared" si="104"/>
        <v>6.2881035703289987</v>
      </c>
      <c r="T273" s="150">
        <f t="shared" si="105"/>
        <v>3.6570211011359999</v>
      </c>
      <c r="U273" s="150">
        <f t="shared" si="106"/>
        <v>0</v>
      </c>
      <c r="V273" s="150">
        <f>IFERROR(INDEX(Työkonekanta!$J$3:$J$27,MATCH($A273,Työkonekanta!$A$3:$A$24,0),1)*$B273*ef_li_ion_akku/1000/1000/INDEX(Työkonekanta!$K$3:$K$27,MATCH($A273,Työkonekanta!$A$3:$A$24,0)),0)</f>
        <v>0</v>
      </c>
      <c r="W273" s="149">
        <f t="shared" si="97"/>
        <v>24.556293505222783</v>
      </c>
      <c r="X273" s="150">
        <f t="shared" si="98"/>
        <v>0.34634276940000003</v>
      </c>
      <c r="Y273" s="151">
        <f t="shared" si="99"/>
        <v>0.14268995999067058</v>
      </c>
      <c r="Z273" s="152">
        <f t="shared" si="116"/>
        <v>9.945124671464999</v>
      </c>
      <c r="AA273" s="179">
        <f t="shared" si="117"/>
        <v>24.698983465213452</v>
      </c>
      <c r="AB273" s="179">
        <f t="shared" si="118"/>
        <v>25.045326234613452</v>
      </c>
      <c r="AC273" s="180">
        <f t="shared" si="100"/>
        <v>34.644108136678454</v>
      </c>
      <c r="AD273" s="156">
        <f t="shared" si="119"/>
        <v>34.990450906078451</v>
      </c>
      <c r="AE273" s="146">
        <f>IFERROR(INDEX(Työkonekanta!$L$3:$L$30,MATCH($A273,Työkonekanta!$A$3:$A$30,0),1),0)*AF273</f>
        <v>500000</v>
      </c>
      <c r="AF273" s="146">
        <f>IFERROR(INDEX(Työkonekanta!$N$3:$N$32,MATCH($A273,Työkonekanta!$A$3:$A$32,0),1),0)</f>
        <v>1</v>
      </c>
      <c r="AG273" s="332">
        <f>I273*INDEX(Muuttujat!$U$5:$U$21,MATCH($C273,Muuttujat!$N$5:$N$21,0),1)</f>
        <v>9730.8937950000018</v>
      </c>
      <c r="AH273" s="332">
        <f>J273*INDEX(Muuttujat!$T$5:$T$21,MATCH($C273,Muuttujat!$N$5:$N$21,0),1)</f>
        <v>2477.5176593440237</v>
      </c>
      <c r="AI273" s="332">
        <f t="shared" si="107"/>
        <v>274.40376921282802</v>
      </c>
      <c r="AJ273" s="332">
        <f t="shared" si="108"/>
        <v>0</v>
      </c>
      <c r="AK273" s="333">
        <f t="shared" si="120"/>
        <v>12482.815223556854</v>
      </c>
      <c r="AL273" s="332">
        <f t="shared" si="109"/>
        <v>12482.815223556854</v>
      </c>
      <c r="AM273" s="351"/>
      <c r="AN273" s="351"/>
    </row>
    <row r="274" spans="1:40">
      <c r="A274" s="139">
        <v>2</v>
      </c>
      <c r="B274" s="139">
        <f>IFERROR(IF((INDEX(Työkonekanta!$F$3:$F$27,MATCH('S3 Tiekartta'!$A274,Työkonekanta!$A$3:$A$24,0),1))&lt;0,0,(INDEX(Työkonekanta!$F$3:$F$27,MATCH('S3 Tiekartta'!$A274,Työkonekanta!$A$3:$A$24,0),1))),0)</f>
        <v>1</v>
      </c>
      <c r="C274" s="140">
        <v>2028</v>
      </c>
      <c r="D274" s="141" t="str">
        <f>IFERROR(INDEX(Työkonekanta!$D$3:$D$27,MATCH('S3 Tiekartta'!$A274,Työkonekanta!$A$3:$A$24,0),1),"undefined")</f>
        <v>pom</v>
      </c>
      <c r="E274" s="145">
        <f>IFERROR(INDEX(Työkonekanta!$G$3:$G$27,MATCH($A274,Työkonekanta!$A$3:$A$24,0),1)*INDEX(Työkonekanta!$H$3:$H$27,MATCH($A274,Työkonekanta!$A$3:$A$24,0),1)*(1+s0b_kasvu*($C274-2019))*$B274,0)</f>
        <v>10900</v>
      </c>
      <c r="F274" s="145">
        <f t="shared" si="101"/>
        <v>391310</v>
      </c>
      <c r="G274" s="151">
        <f t="shared" si="110"/>
        <v>332703.89260999998</v>
      </c>
      <c r="H274" s="145">
        <f t="shared" si="111"/>
        <v>58606.107389999997</v>
      </c>
      <c r="I274" s="145">
        <f t="shared" si="102"/>
        <v>9267.5179000000007</v>
      </c>
      <c r="J274" s="145">
        <f t="shared" si="103"/>
        <v>1708.6328685131195</v>
      </c>
      <c r="K274" s="142" t="str">
        <f t="shared" si="112"/>
        <v>l</v>
      </c>
      <c r="L274" s="146">
        <f>IFERROR(INDEX(Työkonekanta!$I$3:$I$27,MATCH('S3 Tiekartta'!$A274,Työkonekanta!$A$3:$A$24,0),1)*(I274+J274)*f_adblue,0)</f>
        <v>548.80753842565605</v>
      </c>
      <c r="M274" s="146">
        <f t="shared" si="96"/>
        <v>0</v>
      </c>
      <c r="N274" s="143" t="str">
        <f>IF(tuulisähkö_vuosi&lt;='S3 Tiekartta'!C274,"tuulisähkö",ostosähkö_nyt)</f>
        <v>jäännössähkö</v>
      </c>
      <c r="O274" s="147">
        <f>INDEX(Muuttujat!$J$5:$J$21,MATCH($C274,Muuttujat!$H$5:$H$21,0),1)</f>
        <v>63.258531840332459</v>
      </c>
      <c r="P274" s="148">
        <f t="shared" si="113"/>
        <v>0.85023099999999996</v>
      </c>
      <c r="Q274" s="148">
        <f t="shared" si="114"/>
        <v>0.14976899999999999</v>
      </c>
      <c r="R274" s="148">
        <f t="shared" si="115"/>
        <v>0.14976899999999999</v>
      </c>
      <c r="S274" s="149">
        <f t="shared" si="104"/>
        <v>6.2881035703289987</v>
      </c>
      <c r="T274" s="150">
        <f t="shared" si="105"/>
        <v>3.6570211011359999</v>
      </c>
      <c r="U274" s="150">
        <f t="shared" si="106"/>
        <v>0</v>
      </c>
      <c r="V274" s="150">
        <f>IFERROR(INDEX(Työkonekanta!$J$3:$J$27,MATCH($A274,Työkonekanta!$A$3:$A$24,0),1)*$B274*ef_li_ion_akku/1000/1000/INDEX(Työkonekanta!$K$3:$K$27,MATCH($A274,Työkonekanta!$A$3:$A$24,0)),0)</f>
        <v>0</v>
      </c>
      <c r="W274" s="149">
        <f t="shared" si="97"/>
        <v>24.556293505222783</v>
      </c>
      <c r="X274" s="150">
        <f t="shared" si="98"/>
        <v>0.34634276940000003</v>
      </c>
      <c r="Y274" s="151">
        <f t="shared" si="99"/>
        <v>0.14268995999067058</v>
      </c>
      <c r="Z274" s="152">
        <f t="shared" si="116"/>
        <v>9.945124671464999</v>
      </c>
      <c r="AA274" s="179">
        <f t="shared" si="117"/>
        <v>24.698983465213452</v>
      </c>
      <c r="AB274" s="179">
        <f t="shared" si="118"/>
        <v>25.045326234613452</v>
      </c>
      <c r="AC274" s="180">
        <f t="shared" si="100"/>
        <v>34.644108136678454</v>
      </c>
      <c r="AD274" s="156">
        <f t="shared" si="119"/>
        <v>34.990450906078451</v>
      </c>
      <c r="AE274" s="146">
        <f>IFERROR(INDEX(Työkonekanta!$L$3:$L$30,MATCH($A274,Työkonekanta!$A$3:$A$30,0),1),0)*AF274</f>
        <v>500000</v>
      </c>
      <c r="AF274" s="146">
        <f>IFERROR(INDEX(Työkonekanta!$N$3:$N$32,MATCH($A274,Työkonekanta!$A$3:$A$32,0),1),0)</f>
        <v>1</v>
      </c>
      <c r="AG274" s="332">
        <f>I274*INDEX(Muuttujat!$U$5:$U$21,MATCH($C274,Muuttujat!$N$5:$N$21,0),1)</f>
        <v>9730.8937950000018</v>
      </c>
      <c r="AH274" s="332">
        <f>J274*INDEX(Muuttujat!$T$5:$T$21,MATCH($C274,Muuttujat!$N$5:$N$21,0),1)</f>
        <v>2477.5176593440237</v>
      </c>
      <c r="AI274" s="332">
        <f t="shared" si="107"/>
        <v>274.40376921282802</v>
      </c>
      <c r="AJ274" s="332">
        <f t="shared" si="108"/>
        <v>0</v>
      </c>
      <c r="AK274" s="333">
        <f t="shared" si="120"/>
        <v>12482.815223556854</v>
      </c>
      <c r="AL274" s="332">
        <f t="shared" si="109"/>
        <v>12482.815223556854</v>
      </c>
      <c r="AM274" s="351"/>
      <c r="AN274" s="351"/>
    </row>
    <row r="275" spans="1:40">
      <c r="A275" s="139">
        <v>3</v>
      </c>
      <c r="B275" s="139">
        <f>IFERROR(IF((INDEX(Työkonekanta!$F$3:$F$27,MATCH('S3 Tiekartta'!$A275,Työkonekanta!$A$3:$A$24,0),1))&lt;0,0,(INDEX(Työkonekanta!$F$3:$F$27,MATCH('S3 Tiekartta'!$A275,Työkonekanta!$A$3:$A$24,0),1))),0)</f>
        <v>1</v>
      </c>
      <c r="C275" s="140">
        <v>2028</v>
      </c>
      <c r="D275" s="141" t="str">
        <f>IFERROR(INDEX(Työkonekanta!$D$3:$D$27,MATCH('S3 Tiekartta'!$A275,Työkonekanta!$A$3:$A$24,0),1),"undefined")</f>
        <v>pom</v>
      </c>
      <c r="E275" s="145">
        <f>IFERROR(INDEX(Työkonekanta!$G$3:$G$27,MATCH($A275,Työkonekanta!$A$3:$A$24,0),1)*INDEX(Työkonekanta!$H$3:$H$27,MATCH($A275,Työkonekanta!$A$3:$A$24,0),1)*(1+s0b_kasvu*($C275-2019))*$B275,0)</f>
        <v>10900</v>
      </c>
      <c r="F275" s="145">
        <f t="shared" si="101"/>
        <v>391310</v>
      </c>
      <c r="G275" s="151">
        <f t="shared" si="110"/>
        <v>332703.89260999998</v>
      </c>
      <c r="H275" s="145">
        <f t="shared" si="111"/>
        <v>58606.107389999997</v>
      </c>
      <c r="I275" s="145">
        <f t="shared" si="102"/>
        <v>9267.5179000000007</v>
      </c>
      <c r="J275" s="145">
        <f t="shared" si="103"/>
        <v>1708.6328685131195</v>
      </c>
      <c r="K275" s="142" t="str">
        <f t="shared" si="112"/>
        <v>l</v>
      </c>
      <c r="L275" s="146">
        <f>IFERROR(INDEX(Työkonekanta!$I$3:$I$27,MATCH('S3 Tiekartta'!$A275,Työkonekanta!$A$3:$A$24,0),1)*(I275+J275)*f_adblue,0)</f>
        <v>548.80753842565605</v>
      </c>
      <c r="M275" s="146">
        <f t="shared" ref="M275:M338" si="121">IF($D275="sähkö",conv_kwh_mj*$E275,0)</f>
        <v>0</v>
      </c>
      <c r="N275" s="143" t="str">
        <f>IF(tuulisähkö_vuosi&lt;='S3 Tiekartta'!C275,"tuulisähkö",ostosähkö_nyt)</f>
        <v>jäännössähkö</v>
      </c>
      <c r="O275" s="147">
        <f>INDEX(Muuttujat!$J$5:$J$21,MATCH($C275,Muuttujat!$H$5:$H$21,0),1)</f>
        <v>63.258531840332459</v>
      </c>
      <c r="P275" s="148">
        <f t="shared" si="113"/>
        <v>0.85023099999999996</v>
      </c>
      <c r="Q275" s="148">
        <f t="shared" si="114"/>
        <v>0.14976899999999999</v>
      </c>
      <c r="R275" s="148">
        <f t="shared" si="115"/>
        <v>0.14976899999999999</v>
      </c>
      <c r="S275" s="149">
        <f t="shared" si="104"/>
        <v>6.2881035703289987</v>
      </c>
      <c r="T275" s="150">
        <f t="shared" si="105"/>
        <v>3.6570211011359999</v>
      </c>
      <c r="U275" s="150">
        <f t="shared" si="106"/>
        <v>0</v>
      </c>
      <c r="V275" s="150">
        <f>IFERROR(INDEX(Työkonekanta!$J$3:$J$27,MATCH($A275,Työkonekanta!$A$3:$A$24,0),1)*$B275*ef_li_ion_akku/1000/1000/INDEX(Työkonekanta!$K$3:$K$27,MATCH($A275,Työkonekanta!$A$3:$A$24,0)),0)</f>
        <v>0</v>
      </c>
      <c r="W275" s="149">
        <f t="shared" ref="W275:W338" si="122">($I275*IF($D275="pom",ef_v_co2_pom,0))/1000/1000</f>
        <v>24.556293505222783</v>
      </c>
      <c r="X275" s="150">
        <f t="shared" ref="X275:X338" si="123">($E275*(IF($D275="pom",ef_v_ch4_pom,0)*gwp100_ch4+IF($D275="pom",ef_v_n2o_pom,0)*gwp100_n2o))/1000/1000</f>
        <v>0.34634276940000003</v>
      </c>
      <c r="Y275" s="151">
        <f t="shared" ref="Y275:Y338" si="124">$L275*ef_v_co2_adblue/1000/1000</f>
        <v>0.14268995999067058</v>
      </c>
      <c r="Z275" s="152">
        <f t="shared" si="116"/>
        <v>9.945124671464999</v>
      </c>
      <c r="AA275" s="179">
        <f t="shared" si="117"/>
        <v>24.698983465213452</v>
      </c>
      <c r="AB275" s="179">
        <f t="shared" si="118"/>
        <v>25.045326234613452</v>
      </c>
      <c r="AC275" s="180">
        <f t="shared" ref="AC275:AC338" si="125">$Z275+$AA275</f>
        <v>34.644108136678454</v>
      </c>
      <c r="AD275" s="156">
        <f t="shared" si="119"/>
        <v>34.990450906078451</v>
      </c>
      <c r="AE275" s="146">
        <f>IFERROR(INDEX(Työkonekanta!$L$3:$L$30,MATCH($A275,Työkonekanta!$A$3:$A$30,0),1),0)*AF275</f>
        <v>0</v>
      </c>
      <c r="AF275" s="146">
        <f>IFERROR(INDEX(Työkonekanta!$N$3:$N$32,MATCH($A275,Työkonekanta!$A$3:$A$32,0),1),0)</f>
        <v>0</v>
      </c>
      <c r="AG275" s="332">
        <f>I275*INDEX(Muuttujat!$U$5:$U$21,MATCH($C275,Muuttujat!$N$5:$N$21,0),1)</f>
        <v>9730.8937950000018</v>
      </c>
      <c r="AH275" s="332">
        <f>J275*INDEX(Muuttujat!$T$5:$T$21,MATCH($C275,Muuttujat!$N$5:$N$21,0),1)</f>
        <v>2477.5176593440237</v>
      </c>
      <c r="AI275" s="332">
        <f t="shared" si="107"/>
        <v>274.40376921282802</v>
      </c>
      <c r="AJ275" s="332">
        <f t="shared" si="108"/>
        <v>0</v>
      </c>
      <c r="AK275" s="333">
        <f t="shared" si="120"/>
        <v>12482.815223556854</v>
      </c>
      <c r="AL275" s="332">
        <f t="shared" si="109"/>
        <v>12482.815223556854</v>
      </c>
      <c r="AM275" s="351"/>
      <c r="AN275" s="351"/>
    </row>
    <row r="276" spans="1:40">
      <c r="A276" s="139">
        <v>4</v>
      </c>
      <c r="B276" s="139">
        <f>IFERROR(IF((INDEX(Työkonekanta!$F$3:$F$27,MATCH('S3 Tiekartta'!$A276,Työkonekanta!$A$3:$A$24,0),1))&lt;0,0,(INDEX(Työkonekanta!$F$3:$F$27,MATCH('S3 Tiekartta'!$A276,Työkonekanta!$A$3:$A$24,0),1))),0)</f>
        <v>1</v>
      </c>
      <c r="C276" s="140">
        <v>2028</v>
      </c>
      <c r="D276" s="141" t="str">
        <f>IFERROR(INDEX(Työkonekanta!$D$3:$D$27,MATCH('S3 Tiekartta'!$A276,Työkonekanta!$A$3:$A$24,0),1),"undefined")</f>
        <v>pom</v>
      </c>
      <c r="E276" s="145">
        <f>IFERROR(INDEX(Työkonekanta!$G$3:$G$27,MATCH($A276,Työkonekanta!$A$3:$A$24,0),1)*INDEX(Työkonekanta!$H$3:$H$27,MATCH($A276,Työkonekanta!$A$3:$A$24,0),1)*(1+s0b_kasvu*($C276-2019))*$B276,0)</f>
        <v>10900</v>
      </c>
      <c r="F276" s="145">
        <f t="shared" si="101"/>
        <v>391310</v>
      </c>
      <c r="G276" s="151">
        <f t="shared" si="110"/>
        <v>332703.89260999998</v>
      </c>
      <c r="H276" s="145">
        <f t="shared" si="111"/>
        <v>58606.107389999997</v>
      </c>
      <c r="I276" s="145">
        <f t="shared" si="102"/>
        <v>9267.5179000000007</v>
      </c>
      <c r="J276" s="145">
        <f t="shared" si="103"/>
        <v>1708.6328685131195</v>
      </c>
      <c r="K276" s="142" t="str">
        <f t="shared" si="112"/>
        <v>l</v>
      </c>
      <c r="L276" s="146">
        <f>IFERROR(INDEX(Työkonekanta!$I$3:$I$27,MATCH('S3 Tiekartta'!$A276,Työkonekanta!$A$3:$A$24,0),1)*(I276+J276)*f_adblue,0)</f>
        <v>548.80753842565605</v>
      </c>
      <c r="M276" s="146">
        <f t="shared" si="121"/>
        <v>0</v>
      </c>
      <c r="N276" s="143" t="str">
        <f>IF(tuulisähkö_vuosi&lt;='S3 Tiekartta'!C276,"tuulisähkö",ostosähkö_nyt)</f>
        <v>jäännössähkö</v>
      </c>
      <c r="O276" s="147">
        <f>INDEX(Muuttujat!$J$5:$J$21,MATCH($C276,Muuttujat!$H$5:$H$21,0),1)</f>
        <v>63.258531840332459</v>
      </c>
      <c r="P276" s="148">
        <f t="shared" si="113"/>
        <v>0.85023099999999996</v>
      </c>
      <c r="Q276" s="148">
        <f t="shared" si="114"/>
        <v>0.14976899999999999</v>
      </c>
      <c r="R276" s="148">
        <f t="shared" si="115"/>
        <v>0.14976899999999999</v>
      </c>
      <c r="S276" s="149">
        <f t="shared" si="104"/>
        <v>6.2881035703289987</v>
      </c>
      <c r="T276" s="150">
        <f t="shared" si="105"/>
        <v>3.6570211011359999</v>
      </c>
      <c r="U276" s="150">
        <f t="shared" si="106"/>
        <v>0</v>
      </c>
      <c r="V276" s="150">
        <f>IFERROR(INDEX(Työkonekanta!$J$3:$J$27,MATCH($A276,Työkonekanta!$A$3:$A$24,0),1)*$B276*ef_li_ion_akku/1000/1000/INDEX(Työkonekanta!$K$3:$K$27,MATCH($A276,Työkonekanta!$A$3:$A$24,0)),0)</f>
        <v>0</v>
      </c>
      <c r="W276" s="149">
        <f t="shared" si="122"/>
        <v>24.556293505222783</v>
      </c>
      <c r="X276" s="150">
        <f t="shared" si="123"/>
        <v>0.34634276940000003</v>
      </c>
      <c r="Y276" s="151">
        <f t="shared" si="124"/>
        <v>0.14268995999067058</v>
      </c>
      <c r="Z276" s="152">
        <f t="shared" si="116"/>
        <v>9.945124671464999</v>
      </c>
      <c r="AA276" s="179">
        <f t="shared" si="117"/>
        <v>24.698983465213452</v>
      </c>
      <c r="AB276" s="179">
        <f t="shared" si="118"/>
        <v>25.045326234613452</v>
      </c>
      <c r="AC276" s="180">
        <f t="shared" si="125"/>
        <v>34.644108136678454</v>
      </c>
      <c r="AD276" s="156">
        <f t="shared" si="119"/>
        <v>34.990450906078451</v>
      </c>
      <c r="AE276" s="146">
        <f>IFERROR(INDEX(Työkonekanta!$L$3:$L$30,MATCH($A276,Työkonekanta!$A$3:$A$30,0),1),0)*AF276</f>
        <v>0</v>
      </c>
      <c r="AF276" s="146">
        <f>IFERROR(INDEX(Työkonekanta!$N$3:$N$32,MATCH($A276,Työkonekanta!$A$3:$A$32,0),1),0)</f>
        <v>0</v>
      </c>
      <c r="AG276" s="332">
        <f>I276*INDEX(Muuttujat!$U$5:$U$21,MATCH($C276,Muuttujat!$N$5:$N$21,0),1)</f>
        <v>9730.8937950000018</v>
      </c>
      <c r="AH276" s="332">
        <f>J276*INDEX(Muuttujat!$T$5:$T$21,MATCH($C276,Muuttujat!$N$5:$N$21,0),1)</f>
        <v>2477.5176593440237</v>
      </c>
      <c r="AI276" s="332">
        <f t="shared" si="107"/>
        <v>274.40376921282802</v>
      </c>
      <c r="AJ276" s="332">
        <f t="shared" si="108"/>
        <v>0</v>
      </c>
      <c r="AK276" s="333">
        <f t="shared" si="120"/>
        <v>12482.815223556854</v>
      </c>
      <c r="AL276" s="332">
        <f t="shared" si="109"/>
        <v>12482.815223556854</v>
      </c>
      <c r="AM276" s="351"/>
      <c r="AN276" s="351"/>
    </row>
    <row r="277" spans="1:40">
      <c r="A277" s="139">
        <v>5</v>
      </c>
      <c r="B277" s="139">
        <f>IFERROR(IF((INDEX(Työkonekanta!$F$3:$F$27,MATCH('S3 Tiekartta'!$A277,Työkonekanta!$A$3:$A$24,0),1))&lt;0,0,(INDEX(Työkonekanta!$F$3:$F$27,MATCH('S3 Tiekartta'!$A277,Työkonekanta!$A$3:$A$24,0),1))),0)</f>
        <v>0</v>
      </c>
      <c r="C277" s="140">
        <v>2028</v>
      </c>
      <c r="D277" s="141" t="str">
        <f>IFERROR(INDEX(Työkonekanta!$D$3:$D$27,MATCH('S3 Tiekartta'!$A277,Työkonekanta!$A$3:$A$24,0),1),"undefined")</f>
        <v>sähkö</v>
      </c>
      <c r="E277" s="145">
        <f>IFERROR(INDEX(Työkonekanta!$G$3:$G$27,MATCH($A277,Työkonekanta!$A$3:$A$24,0),1)*INDEX(Työkonekanta!$H$3:$H$27,MATCH($A277,Työkonekanta!$A$3:$A$24,0),1)*(1+s0b_kasvu*($C277-2019))*$B277,0)</f>
        <v>0</v>
      </c>
      <c r="F277" s="145">
        <f t="shared" si="101"/>
        <v>0</v>
      </c>
      <c r="G277" s="151">
        <f t="shared" si="110"/>
        <v>0</v>
      </c>
      <c r="H277" s="145">
        <f t="shared" si="111"/>
        <v>0</v>
      </c>
      <c r="I277" s="145">
        <f t="shared" si="102"/>
        <v>0</v>
      </c>
      <c r="J277" s="145">
        <f t="shared" si="103"/>
        <v>0</v>
      </c>
      <c r="K277" s="142" t="str">
        <f t="shared" si="112"/>
        <v>kWh</v>
      </c>
      <c r="L277" s="146">
        <f>IFERROR(INDEX(Työkonekanta!$I$3:$I$27,MATCH('S3 Tiekartta'!$A277,Työkonekanta!$A$3:$A$24,0),1)*(I277+J277)*f_adblue,0)</f>
        <v>0</v>
      </c>
      <c r="M277" s="146">
        <f t="shared" si="121"/>
        <v>0</v>
      </c>
      <c r="N277" s="143" t="str">
        <f>IF(tuulisähkö_vuosi&lt;='S3 Tiekartta'!C277,"tuulisähkö",ostosähkö_nyt)</f>
        <v>jäännössähkö</v>
      </c>
      <c r="O277" s="147">
        <f>INDEX(Muuttujat!$J$5:$J$21,MATCH($C277,Muuttujat!$H$5:$H$21,0),1)</f>
        <v>63.258531840332459</v>
      </c>
      <c r="P277" s="148">
        <f t="shared" si="113"/>
        <v>0.85023099999999996</v>
      </c>
      <c r="Q277" s="148">
        <f t="shared" si="114"/>
        <v>0.14976899999999999</v>
      </c>
      <c r="R277" s="148">
        <f t="shared" si="115"/>
        <v>0.14976899999999999</v>
      </c>
      <c r="S277" s="149">
        <f t="shared" si="104"/>
        <v>0</v>
      </c>
      <c r="T277" s="150">
        <f t="shared" si="105"/>
        <v>0</v>
      </c>
      <c r="U277" s="150">
        <f t="shared" si="106"/>
        <v>0</v>
      </c>
      <c r="V277" s="150">
        <f>IFERROR(INDEX(Työkonekanta!$J$3:$J$27,MATCH($A277,Työkonekanta!$A$3:$A$24,0),1)*$B277*ef_li_ion_akku/1000/1000/INDEX(Työkonekanta!$K$3:$K$27,MATCH($A277,Työkonekanta!$A$3:$A$24,0)),0)</f>
        <v>0</v>
      </c>
      <c r="W277" s="149">
        <f t="shared" si="122"/>
        <v>0</v>
      </c>
      <c r="X277" s="150">
        <f t="shared" si="123"/>
        <v>0</v>
      </c>
      <c r="Y277" s="151">
        <f t="shared" si="124"/>
        <v>0</v>
      </c>
      <c r="Z277" s="152">
        <f t="shared" si="116"/>
        <v>0</v>
      </c>
      <c r="AA277" s="179">
        <f t="shared" si="117"/>
        <v>0</v>
      </c>
      <c r="AB277" s="179">
        <f t="shared" si="118"/>
        <v>0</v>
      </c>
      <c r="AC277" s="180">
        <f t="shared" si="125"/>
        <v>0</v>
      </c>
      <c r="AD277" s="156">
        <f t="shared" si="119"/>
        <v>0</v>
      </c>
      <c r="AE277" s="146">
        <f>IFERROR(INDEX(Työkonekanta!$L$3:$L$30,MATCH($A277,Työkonekanta!$A$3:$A$30,0),1),0)*AF277</f>
        <v>0</v>
      </c>
      <c r="AF277" s="146">
        <f>IFERROR(INDEX(Työkonekanta!$N$3:$N$32,MATCH($A277,Työkonekanta!$A$3:$A$32,0),1),0)</f>
        <v>0</v>
      </c>
      <c r="AG277" s="332">
        <f>I277*INDEX(Muuttujat!$U$5:$U$21,MATCH($C277,Muuttujat!$N$5:$N$21,0),1)</f>
        <v>0</v>
      </c>
      <c r="AH277" s="332">
        <f>J277*INDEX(Muuttujat!$T$5:$T$21,MATCH($C277,Muuttujat!$N$5:$N$21,0),1)</f>
        <v>0</v>
      </c>
      <c r="AI277" s="332">
        <f t="shared" si="107"/>
        <v>0</v>
      </c>
      <c r="AJ277" s="332">
        <f t="shared" si="108"/>
        <v>0</v>
      </c>
      <c r="AK277" s="333">
        <f t="shared" si="120"/>
        <v>0</v>
      </c>
      <c r="AL277" s="332">
        <f t="shared" si="109"/>
        <v>0</v>
      </c>
      <c r="AM277" s="351"/>
      <c r="AN277" s="351"/>
    </row>
    <row r="278" spans="1:40">
      <c r="A278" s="139">
        <v>6</v>
      </c>
      <c r="B278" s="139">
        <f>IFERROR(IF((INDEX(Työkonekanta!$F$3:$F$27,MATCH('S3 Tiekartta'!$A278,Työkonekanta!$A$3:$A$24,0),1))&lt;0,0,(INDEX(Työkonekanta!$F$3:$F$27,MATCH('S3 Tiekartta'!$A278,Työkonekanta!$A$3:$A$24,0),1))),0)</f>
        <v>0</v>
      </c>
      <c r="C278" s="140">
        <v>2028</v>
      </c>
      <c r="D278" s="141" t="str">
        <f>IFERROR(INDEX(Työkonekanta!$D$3:$D$27,MATCH('S3 Tiekartta'!$A278,Työkonekanta!$A$3:$A$24,0),1),"undefined")</f>
        <v>sähkö</v>
      </c>
      <c r="E278" s="145">
        <f>IFERROR(INDEX(Työkonekanta!$G$3:$G$27,MATCH($A278,Työkonekanta!$A$3:$A$24,0),1)*INDEX(Työkonekanta!$H$3:$H$27,MATCH($A278,Työkonekanta!$A$3:$A$24,0),1)*(1+s0b_kasvu*($C278-2019))*$B278,0)</f>
        <v>0</v>
      </c>
      <c r="F278" s="145">
        <f t="shared" si="101"/>
        <v>0</v>
      </c>
      <c r="G278" s="151">
        <f t="shared" si="110"/>
        <v>0</v>
      </c>
      <c r="H278" s="145">
        <f t="shared" si="111"/>
        <v>0</v>
      </c>
      <c r="I278" s="145">
        <f t="shared" si="102"/>
        <v>0</v>
      </c>
      <c r="J278" s="145">
        <f t="shared" si="103"/>
        <v>0</v>
      </c>
      <c r="K278" s="142" t="str">
        <f t="shared" si="112"/>
        <v>kWh</v>
      </c>
      <c r="L278" s="146">
        <f>IFERROR(INDEX(Työkonekanta!$I$3:$I$27,MATCH('S3 Tiekartta'!$A278,Työkonekanta!$A$3:$A$24,0),1)*(I278+J278)*f_adblue,0)</f>
        <v>0</v>
      </c>
      <c r="M278" s="146">
        <f t="shared" si="121"/>
        <v>0</v>
      </c>
      <c r="N278" s="143" t="str">
        <f>IF(tuulisähkö_vuosi&lt;='S3 Tiekartta'!C278,"tuulisähkö",ostosähkö_nyt)</f>
        <v>jäännössähkö</v>
      </c>
      <c r="O278" s="147">
        <f>INDEX(Muuttujat!$J$5:$J$21,MATCH($C278,Muuttujat!$H$5:$H$21,0),1)</f>
        <v>63.258531840332459</v>
      </c>
      <c r="P278" s="148">
        <f t="shared" si="113"/>
        <v>0.85023099999999996</v>
      </c>
      <c r="Q278" s="148">
        <f t="shared" si="114"/>
        <v>0.14976899999999999</v>
      </c>
      <c r="R278" s="148">
        <f t="shared" si="115"/>
        <v>0.14976899999999999</v>
      </c>
      <c r="S278" s="149">
        <f t="shared" si="104"/>
        <v>0</v>
      </c>
      <c r="T278" s="150">
        <f t="shared" si="105"/>
        <v>0</v>
      </c>
      <c r="U278" s="150">
        <f t="shared" si="106"/>
        <v>0</v>
      </c>
      <c r="V278" s="150">
        <f>IFERROR(INDEX(Työkonekanta!$J$3:$J$27,MATCH($A278,Työkonekanta!$A$3:$A$24,0),1)*$B278*ef_li_ion_akku/1000/1000/INDEX(Työkonekanta!$K$3:$K$27,MATCH($A278,Työkonekanta!$A$3:$A$24,0)),0)</f>
        <v>0</v>
      </c>
      <c r="W278" s="149">
        <f t="shared" si="122"/>
        <v>0</v>
      </c>
      <c r="X278" s="150">
        <f t="shared" si="123"/>
        <v>0</v>
      </c>
      <c r="Y278" s="151">
        <f t="shared" si="124"/>
        <v>0</v>
      </c>
      <c r="Z278" s="152">
        <f t="shared" si="116"/>
        <v>0</v>
      </c>
      <c r="AA278" s="179">
        <f t="shared" si="117"/>
        <v>0</v>
      </c>
      <c r="AB278" s="179">
        <f t="shared" si="118"/>
        <v>0</v>
      </c>
      <c r="AC278" s="180">
        <f t="shared" si="125"/>
        <v>0</v>
      </c>
      <c r="AD278" s="156">
        <f t="shared" si="119"/>
        <v>0</v>
      </c>
      <c r="AE278" s="146">
        <f>IFERROR(INDEX(Työkonekanta!$L$3:$L$30,MATCH($A278,Työkonekanta!$A$3:$A$30,0),1),0)*AF278</f>
        <v>0</v>
      </c>
      <c r="AF278" s="146">
        <f>IFERROR(INDEX(Työkonekanta!$N$3:$N$32,MATCH($A278,Työkonekanta!$A$3:$A$32,0),1),0)</f>
        <v>0</v>
      </c>
      <c r="AG278" s="332">
        <f>I278*INDEX(Muuttujat!$U$5:$U$21,MATCH($C278,Muuttujat!$N$5:$N$21,0),1)</f>
        <v>0</v>
      </c>
      <c r="AH278" s="332">
        <f>J278*INDEX(Muuttujat!$T$5:$T$21,MATCH($C278,Muuttujat!$N$5:$N$21,0),1)</f>
        <v>0</v>
      </c>
      <c r="AI278" s="332">
        <f t="shared" si="107"/>
        <v>0</v>
      </c>
      <c r="AJ278" s="332">
        <f t="shared" si="108"/>
        <v>0</v>
      </c>
      <c r="AK278" s="333">
        <f t="shared" si="120"/>
        <v>0</v>
      </c>
      <c r="AL278" s="332">
        <f t="shared" si="109"/>
        <v>0</v>
      </c>
      <c r="AM278" s="351"/>
      <c r="AN278" s="351"/>
    </row>
    <row r="279" spans="1:40">
      <c r="A279" s="139">
        <v>7</v>
      </c>
      <c r="B279" s="139">
        <f>IFERROR(IF((INDEX(Työkonekanta!$F$3:$F$27,MATCH('S3 Tiekartta'!$A279,Työkonekanta!$A$3:$A$24,0),1))&lt;0,0,(INDEX(Työkonekanta!$F$3:$F$27,MATCH('S3 Tiekartta'!$A279,Työkonekanta!$A$3:$A$24,0),1))),0)</f>
        <v>1</v>
      </c>
      <c r="C279" s="140">
        <v>2028</v>
      </c>
      <c r="D279" s="141" t="str">
        <f>IFERROR(INDEX(Työkonekanta!$D$3:$D$27,MATCH('S3 Tiekartta'!$A279,Työkonekanta!$A$3:$A$24,0),1),"undefined")</f>
        <v>pom</v>
      </c>
      <c r="E279" s="145">
        <f>IFERROR(INDEX(Työkonekanta!$G$3:$G$27,MATCH($A279,Työkonekanta!$A$3:$A$24,0),1)*INDEX(Työkonekanta!$H$3:$H$27,MATCH($A279,Työkonekanta!$A$3:$A$24,0),1)*(1+s0b_kasvu*($C279-2019))*$B279,0)</f>
        <v>10900</v>
      </c>
      <c r="F279" s="145">
        <f t="shared" si="101"/>
        <v>391310</v>
      </c>
      <c r="G279" s="151">
        <f t="shared" si="110"/>
        <v>332703.89260999998</v>
      </c>
      <c r="H279" s="145">
        <f t="shared" si="111"/>
        <v>58606.107389999997</v>
      </c>
      <c r="I279" s="145">
        <f t="shared" si="102"/>
        <v>9267.5179000000007</v>
      </c>
      <c r="J279" s="145">
        <f t="shared" si="103"/>
        <v>1708.6328685131195</v>
      </c>
      <c r="K279" s="142" t="str">
        <f t="shared" si="112"/>
        <v>l</v>
      </c>
      <c r="L279" s="146">
        <f>IFERROR(INDEX(Työkonekanta!$I$3:$I$27,MATCH('S3 Tiekartta'!$A279,Työkonekanta!$A$3:$A$24,0),1)*(I279+J279)*f_adblue,0)</f>
        <v>0</v>
      </c>
      <c r="M279" s="146">
        <f t="shared" si="121"/>
        <v>0</v>
      </c>
      <c r="N279" s="143" t="str">
        <f>IF(tuulisähkö_vuosi&lt;='S3 Tiekartta'!C279,"tuulisähkö",ostosähkö_nyt)</f>
        <v>jäännössähkö</v>
      </c>
      <c r="O279" s="147">
        <f>INDEX(Muuttujat!$J$5:$J$21,MATCH($C279,Muuttujat!$H$5:$H$21,0),1)</f>
        <v>63.258531840332459</v>
      </c>
      <c r="P279" s="148">
        <f t="shared" si="113"/>
        <v>0.85023099999999996</v>
      </c>
      <c r="Q279" s="148">
        <f t="shared" si="114"/>
        <v>0.14976899999999999</v>
      </c>
      <c r="R279" s="148">
        <f t="shared" si="115"/>
        <v>0.14976899999999999</v>
      </c>
      <c r="S279" s="149">
        <f t="shared" si="104"/>
        <v>6.2881035703289987</v>
      </c>
      <c r="T279" s="150">
        <f t="shared" si="105"/>
        <v>3.6570211011359999</v>
      </c>
      <c r="U279" s="150">
        <f t="shared" si="106"/>
        <v>0</v>
      </c>
      <c r="V279" s="150">
        <f>IFERROR(INDEX(Työkonekanta!$J$3:$J$27,MATCH($A279,Työkonekanta!$A$3:$A$24,0),1)*$B279*ef_li_ion_akku/1000/1000/INDEX(Työkonekanta!$K$3:$K$27,MATCH($A279,Työkonekanta!$A$3:$A$24,0)),0)</f>
        <v>0</v>
      </c>
      <c r="W279" s="149">
        <f t="shared" si="122"/>
        <v>24.556293505222783</v>
      </c>
      <c r="X279" s="150">
        <f t="shared" si="123"/>
        <v>0.34634276940000003</v>
      </c>
      <c r="Y279" s="151">
        <f t="shared" si="124"/>
        <v>0</v>
      </c>
      <c r="Z279" s="152">
        <f t="shared" si="116"/>
        <v>9.945124671464999</v>
      </c>
      <c r="AA279" s="179">
        <f t="shared" si="117"/>
        <v>24.556293505222783</v>
      </c>
      <c r="AB279" s="179">
        <f t="shared" si="118"/>
        <v>24.902636274622783</v>
      </c>
      <c r="AC279" s="180">
        <f t="shared" si="125"/>
        <v>34.501418176687778</v>
      </c>
      <c r="AD279" s="156">
        <f t="shared" si="119"/>
        <v>34.847760946087782</v>
      </c>
      <c r="AE279" s="146">
        <f>IFERROR(INDEX(Työkonekanta!$L$3:$L$30,MATCH($A279,Työkonekanta!$A$3:$A$30,0),1),0)*AF279</f>
        <v>500000</v>
      </c>
      <c r="AF279" s="146">
        <f>IFERROR(INDEX(Työkonekanta!$N$3:$N$32,MATCH($A279,Työkonekanta!$A$3:$A$32,0),1),0)</f>
        <v>1</v>
      </c>
      <c r="AG279" s="332">
        <f>I279*INDEX(Muuttujat!$U$5:$U$21,MATCH($C279,Muuttujat!$N$5:$N$21,0),1)</f>
        <v>9730.8937950000018</v>
      </c>
      <c r="AH279" s="332">
        <f>J279*INDEX(Muuttujat!$T$5:$T$21,MATCH($C279,Muuttujat!$N$5:$N$21,0),1)</f>
        <v>2477.5176593440237</v>
      </c>
      <c r="AI279" s="332">
        <f t="shared" si="107"/>
        <v>0</v>
      </c>
      <c r="AJ279" s="332">
        <f t="shared" si="108"/>
        <v>0</v>
      </c>
      <c r="AK279" s="333">
        <f t="shared" si="120"/>
        <v>12208.411454344026</v>
      </c>
      <c r="AL279" s="332">
        <f t="shared" si="109"/>
        <v>12208.411454344026</v>
      </c>
      <c r="AM279" s="351"/>
      <c r="AN279" s="351"/>
    </row>
    <row r="280" spans="1:40">
      <c r="A280" s="139">
        <v>8</v>
      </c>
      <c r="B280" s="139">
        <f>IFERROR(IF((INDEX(Työkonekanta!$F$3:$F$27,MATCH('S3 Tiekartta'!$A280,Työkonekanta!$A$3:$A$24,0),1))&lt;0,0,(INDEX(Työkonekanta!$F$3:$F$27,MATCH('S3 Tiekartta'!$A280,Työkonekanta!$A$3:$A$24,0),1))),0)</f>
        <v>1</v>
      </c>
      <c r="C280" s="140">
        <v>2028</v>
      </c>
      <c r="D280" s="141" t="str">
        <f>IFERROR(INDEX(Työkonekanta!$D$3:$D$27,MATCH('S3 Tiekartta'!$A280,Työkonekanta!$A$3:$A$24,0),1),"undefined")</f>
        <v>pom</v>
      </c>
      <c r="E280" s="145">
        <f>IFERROR(INDEX(Työkonekanta!$G$3:$G$27,MATCH($A280,Työkonekanta!$A$3:$A$24,0),1)*INDEX(Työkonekanta!$H$3:$H$27,MATCH($A280,Työkonekanta!$A$3:$A$24,0),1)*(1+s0b_kasvu*($C280-2019))*$B280,0)</f>
        <v>10900</v>
      </c>
      <c r="F280" s="145">
        <f t="shared" si="101"/>
        <v>391310</v>
      </c>
      <c r="G280" s="151">
        <f t="shared" si="110"/>
        <v>332703.89260999998</v>
      </c>
      <c r="H280" s="145">
        <f t="shared" si="111"/>
        <v>58606.107389999997</v>
      </c>
      <c r="I280" s="145">
        <f t="shared" si="102"/>
        <v>9267.5179000000007</v>
      </c>
      <c r="J280" s="145">
        <f t="shared" si="103"/>
        <v>1708.6328685131195</v>
      </c>
      <c r="K280" s="142" t="str">
        <f t="shared" si="112"/>
        <v>l</v>
      </c>
      <c r="L280" s="146">
        <f>IFERROR(INDEX(Työkonekanta!$I$3:$I$27,MATCH('S3 Tiekartta'!$A280,Työkonekanta!$A$3:$A$24,0),1)*(I280+J280)*f_adblue,0)</f>
        <v>548.80753842565605</v>
      </c>
      <c r="M280" s="146">
        <f t="shared" si="121"/>
        <v>0</v>
      </c>
      <c r="N280" s="143" t="str">
        <f>IF(tuulisähkö_vuosi&lt;='S3 Tiekartta'!C280,"tuulisähkö",ostosähkö_nyt)</f>
        <v>jäännössähkö</v>
      </c>
      <c r="O280" s="147">
        <f>INDEX(Muuttujat!$J$5:$J$21,MATCH($C280,Muuttujat!$H$5:$H$21,0),1)</f>
        <v>63.258531840332459</v>
      </c>
      <c r="P280" s="148">
        <f t="shared" si="113"/>
        <v>0.85023099999999996</v>
      </c>
      <c r="Q280" s="148">
        <f t="shared" si="114"/>
        <v>0.14976899999999999</v>
      </c>
      <c r="R280" s="148">
        <f t="shared" si="115"/>
        <v>0.14976899999999999</v>
      </c>
      <c r="S280" s="149">
        <f t="shared" si="104"/>
        <v>6.2881035703289987</v>
      </c>
      <c r="T280" s="150">
        <f t="shared" si="105"/>
        <v>3.6570211011359999</v>
      </c>
      <c r="U280" s="150">
        <f t="shared" si="106"/>
        <v>0</v>
      </c>
      <c r="V280" s="150">
        <f>IFERROR(INDEX(Työkonekanta!$J$3:$J$27,MATCH($A280,Työkonekanta!$A$3:$A$24,0),1)*$B280*ef_li_ion_akku/1000/1000/INDEX(Työkonekanta!$K$3:$K$27,MATCH($A280,Työkonekanta!$A$3:$A$24,0)),0)</f>
        <v>0</v>
      </c>
      <c r="W280" s="149">
        <f t="shared" si="122"/>
        <v>24.556293505222783</v>
      </c>
      <c r="X280" s="150">
        <f t="shared" si="123"/>
        <v>0.34634276940000003</v>
      </c>
      <c r="Y280" s="151">
        <f t="shared" si="124"/>
        <v>0.14268995999067058</v>
      </c>
      <c r="Z280" s="152">
        <f t="shared" si="116"/>
        <v>9.945124671464999</v>
      </c>
      <c r="AA280" s="179">
        <f t="shared" si="117"/>
        <v>24.698983465213452</v>
      </c>
      <c r="AB280" s="179">
        <f t="shared" si="118"/>
        <v>25.045326234613452</v>
      </c>
      <c r="AC280" s="180">
        <f t="shared" si="125"/>
        <v>34.644108136678454</v>
      </c>
      <c r="AD280" s="156">
        <f t="shared" si="119"/>
        <v>34.990450906078451</v>
      </c>
      <c r="AE280" s="146">
        <f>IFERROR(INDEX(Työkonekanta!$L$3:$L$30,MATCH($A280,Työkonekanta!$A$3:$A$30,0),1),0)*AF280</f>
        <v>500000</v>
      </c>
      <c r="AF280" s="146">
        <f>IFERROR(INDEX(Työkonekanta!$N$3:$N$32,MATCH($A280,Työkonekanta!$A$3:$A$32,0),1),0)</f>
        <v>1</v>
      </c>
      <c r="AG280" s="332">
        <f>I280*INDEX(Muuttujat!$U$5:$U$21,MATCH($C280,Muuttujat!$N$5:$N$21,0),1)</f>
        <v>9730.8937950000018</v>
      </c>
      <c r="AH280" s="332">
        <f>J280*INDEX(Muuttujat!$T$5:$T$21,MATCH($C280,Muuttujat!$N$5:$N$21,0),1)</f>
        <v>2477.5176593440237</v>
      </c>
      <c r="AI280" s="332">
        <f t="shared" si="107"/>
        <v>274.40376921282802</v>
      </c>
      <c r="AJ280" s="332">
        <f t="shared" si="108"/>
        <v>0</v>
      </c>
      <c r="AK280" s="333">
        <f t="shared" si="120"/>
        <v>12482.815223556854</v>
      </c>
      <c r="AL280" s="332">
        <f t="shared" si="109"/>
        <v>12482.815223556854</v>
      </c>
      <c r="AM280" s="351"/>
      <c r="AN280" s="351"/>
    </row>
    <row r="281" spans="1:40">
      <c r="A281" s="139">
        <v>9</v>
      </c>
      <c r="B281" s="139">
        <f>IFERROR(IF((INDEX(Työkonekanta!$F$3:$F$27,MATCH('S3 Tiekartta'!$A281,Työkonekanta!$A$3:$A$24,0),1))&lt;0,0,(INDEX(Työkonekanta!$F$3:$F$27,MATCH('S3 Tiekartta'!$A281,Työkonekanta!$A$3:$A$24,0),1))),0)</f>
        <v>0</v>
      </c>
      <c r="C281" s="140">
        <v>2028</v>
      </c>
      <c r="D281" s="141" t="str">
        <f>IFERROR(INDEX(Työkonekanta!$D$3:$D$27,MATCH('S3 Tiekartta'!$A281,Työkonekanta!$A$3:$A$24,0),1),"undefined")</f>
        <v>sähkö</v>
      </c>
      <c r="E281" s="145">
        <f>IFERROR(INDEX(Työkonekanta!$G$3:$G$27,MATCH($A281,Työkonekanta!$A$3:$A$24,0),1)*INDEX(Työkonekanta!$H$3:$H$27,MATCH($A281,Työkonekanta!$A$3:$A$24,0),1)*(1+s0b_kasvu*($C281-2019))*$B281,0)</f>
        <v>0</v>
      </c>
      <c r="F281" s="145">
        <f t="shared" si="101"/>
        <v>0</v>
      </c>
      <c r="G281" s="151">
        <f t="shared" si="110"/>
        <v>0</v>
      </c>
      <c r="H281" s="145">
        <f t="shared" si="111"/>
        <v>0</v>
      </c>
      <c r="I281" s="145">
        <f t="shared" si="102"/>
        <v>0</v>
      </c>
      <c r="J281" s="145">
        <f t="shared" si="103"/>
        <v>0</v>
      </c>
      <c r="K281" s="142" t="str">
        <f t="shared" si="112"/>
        <v>kWh</v>
      </c>
      <c r="L281" s="146">
        <f>IFERROR(INDEX(Työkonekanta!$I$3:$I$27,MATCH('S3 Tiekartta'!$A281,Työkonekanta!$A$3:$A$24,0),1)*(I281+J281)*f_adblue,0)</f>
        <v>0</v>
      </c>
      <c r="M281" s="146">
        <f t="shared" si="121"/>
        <v>0</v>
      </c>
      <c r="N281" s="143" t="str">
        <f>IF(tuulisähkö_vuosi&lt;='S3 Tiekartta'!C281,"tuulisähkö",ostosähkö_nyt)</f>
        <v>jäännössähkö</v>
      </c>
      <c r="O281" s="147">
        <f>INDEX(Muuttujat!$J$5:$J$21,MATCH($C281,Muuttujat!$H$5:$H$21,0),1)</f>
        <v>63.258531840332459</v>
      </c>
      <c r="P281" s="148">
        <f t="shared" si="113"/>
        <v>0.85023099999999996</v>
      </c>
      <c r="Q281" s="148">
        <f t="shared" si="114"/>
        <v>0.14976899999999999</v>
      </c>
      <c r="R281" s="148">
        <f t="shared" si="115"/>
        <v>0.14976899999999999</v>
      </c>
      <c r="S281" s="149">
        <f t="shared" si="104"/>
        <v>0</v>
      </c>
      <c r="T281" s="150">
        <f t="shared" si="105"/>
        <v>0</v>
      </c>
      <c r="U281" s="150">
        <f t="shared" si="106"/>
        <v>0</v>
      </c>
      <c r="V281" s="150">
        <f>IFERROR(INDEX(Työkonekanta!$J$3:$J$27,MATCH($A281,Työkonekanta!$A$3:$A$24,0),1)*$B281*ef_li_ion_akku/1000/1000/INDEX(Työkonekanta!$K$3:$K$27,MATCH($A281,Työkonekanta!$A$3:$A$24,0)),0)</f>
        <v>0</v>
      </c>
      <c r="W281" s="149">
        <f t="shared" si="122"/>
        <v>0</v>
      </c>
      <c r="X281" s="150">
        <f t="shared" si="123"/>
        <v>0</v>
      </c>
      <c r="Y281" s="151">
        <f t="shared" si="124"/>
        <v>0</v>
      </c>
      <c r="Z281" s="152">
        <f t="shared" si="116"/>
        <v>0</v>
      </c>
      <c r="AA281" s="179">
        <f t="shared" si="117"/>
        <v>0</v>
      </c>
      <c r="AB281" s="179">
        <f t="shared" si="118"/>
        <v>0</v>
      </c>
      <c r="AC281" s="180">
        <f t="shared" si="125"/>
        <v>0</v>
      </c>
      <c r="AD281" s="156">
        <f t="shared" si="119"/>
        <v>0</v>
      </c>
      <c r="AE281" s="146">
        <f>IFERROR(INDEX(Työkonekanta!$L$3:$L$30,MATCH($A281,Työkonekanta!$A$3:$A$30,0),1),0)*AF281</f>
        <v>0</v>
      </c>
      <c r="AF281" s="146">
        <f>IFERROR(INDEX(Työkonekanta!$N$3:$N$32,MATCH($A281,Työkonekanta!$A$3:$A$32,0),1),0)</f>
        <v>0</v>
      </c>
      <c r="AG281" s="332">
        <f>I281*INDEX(Muuttujat!$U$5:$U$21,MATCH($C281,Muuttujat!$N$5:$N$21,0),1)</f>
        <v>0</v>
      </c>
      <c r="AH281" s="332">
        <f>J281*INDEX(Muuttujat!$T$5:$T$21,MATCH($C281,Muuttujat!$N$5:$N$21,0),1)</f>
        <v>0</v>
      </c>
      <c r="AI281" s="332">
        <f t="shared" si="107"/>
        <v>0</v>
      </c>
      <c r="AJ281" s="332">
        <f t="shared" si="108"/>
        <v>0</v>
      </c>
      <c r="AK281" s="333">
        <f t="shared" si="120"/>
        <v>0</v>
      </c>
      <c r="AL281" s="332">
        <f t="shared" si="109"/>
        <v>0</v>
      </c>
      <c r="AM281" s="351"/>
      <c r="AN281" s="351"/>
    </row>
    <row r="282" spans="1:40">
      <c r="A282" s="139">
        <v>10</v>
      </c>
      <c r="B282" s="139">
        <f>IFERROR(IF((INDEX(Työkonekanta!$F$3:$F$27,MATCH('S3 Tiekartta'!$A282,Työkonekanta!$A$3:$A$24,0),1))&lt;0,0,(INDEX(Työkonekanta!$F$3:$F$27,MATCH('S3 Tiekartta'!$A282,Työkonekanta!$A$3:$A$24,0),1))),0)</f>
        <v>0</v>
      </c>
      <c r="C282" s="140">
        <v>2028</v>
      </c>
      <c r="D282" s="141" t="str">
        <f>IFERROR(INDEX(Työkonekanta!$D$3:$D$27,MATCH('S3 Tiekartta'!$A282,Työkonekanta!$A$3:$A$24,0),1),"undefined")</f>
        <v>sähkö</v>
      </c>
      <c r="E282" s="145">
        <f>IFERROR(INDEX(Työkonekanta!$G$3:$G$27,MATCH($A282,Työkonekanta!$A$3:$A$24,0),1)*INDEX(Työkonekanta!$H$3:$H$27,MATCH($A282,Työkonekanta!$A$3:$A$24,0),1)*(1+s0b_kasvu*($C282-2019))*$B282,0)</f>
        <v>0</v>
      </c>
      <c r="F282" s="145">
        <f t="shared" si="101"/>
        <v>0</v>
      </c>
      <c r="G282" s="151">
        <f t="shared" si="110"/>
        <v>0</v>
      </c>
      <c r="H282" s="145">
        <f t="shared" si="111"/>
        <v>0</v>
      </c>
      <c r="I282" s="145">
        <f t="shared" si="102"/>
        <v>0</v>
      </c>
      <c r="J282" s="145">
        <f t="shared" si="103"/>
        <v>0</v>
      </c>
      <c r="K282" s="142" t="str">
        <f t="shared" si="112"/>
        <v>kWh</v>
      </c>
      <c r="L282" s="146">
        <f>IFERROR(INDEX(Työkonekanta!$I$3:$I$27,MATCH('S3 Tiekartta'!$A282,Työkonekanta!$A$3:$A$24,0),1)*(I282+J282)*f_adblue,0)</f>
        <v>0</v>
      </c>
      <c r="M282" s="146">
        <f t="shared" si="121"/>
        <v>0</v>
      </c>
      <c r="N282" s="143" t="str">
        <f>IF(tuulisähkö_vuosi&lt;='S3 Tiekartta'!C282,"tuulisähkö",ostosähkö_nyt)</f>
        <v>jäännössähkö</v>
      </c>
      <c r="O282" s="147">
        <f>INDEX(Muuttujat!$J$5:$J$21,MATCH($C282,Muuttujat!$H$5:$H$21,0),1)</f>
        <v>63.258531840332459</v>
      </c>
      <c r="P282" s="148">
        <f t="shared" si="113"/>
        <v>0.85023099999999996</v>
      </c>
      <c r="Q282" s="148">
        <f t="shared" si="114"/>
        <v>0.14976899999999999</v>
      </c>
      <c r="R282" s="148">
        <f t="shared" si="115"/>
        <v>0.14976899999999999</v>
      </c>
      <c r="S282" s="149">
        <f t="shared" si="104"/>
        <v>0</v>
      </c>
      <c r="T282" s="150">
        <f t="shared" si="105"/>
        <v>0</v>
      </c>
      <c r="U282" s="150">
        <f t="shared" si="106"/>
        <v>0</v>
      </c>
      <c r="V282" s="150">
        <f>IFERROR(INDEX(Työkonekanta!$J$3:$J$27,MATCH($A282,Työkonekanta!$A$3:$A$24,0),1)*$B282*ef_li_ion_akku/1000/1000/INDEX(Työkonekanta!$K$3:$K$27,MATCH($A282,Työkonekanta!$A$3:$A$24,0)),0)</f>
        <v>0</v>
      </c>
      <c r="W282" s="149">
        <f t="shared" si="122"/>
        <v>0</v>
      </c>
      <c r="X282" s="150">
        <f t="shared" si="123"/>
        <v>0</v>
      </c>
      <c r="Y282" s="151">
        <f t="shared" si="124"/>
        <v>0</v>
      </c>
      <c r="Z282" s="152">
        <f t="shared" si="116"/>
        <v>0</v>
      </c>
      <c r="AA282" s="179">
        <f t="shared" si="117"/>
        <v>0</v>
      </c>
      <c r="AB282" s="179">
        <f t="shared" si="118"/>
        <v>0</v>
      </c>
      <c r="AC282" s="180">
        <f t="shared" si="125"/>
        <v>0</v>
      </c>
      <c r="AD282" s="156">
        <f t="shared" si="119"/>
        <v>0</v>
      </c>
      <c r="AE282" s="146">
        <f>IFERROR(INDEX(Työkonekanta!$L$3:$L$30,MATCH($A282,Työkonekanta!$A$3:$A$30,0),1),0)*AF282</f>
        <v>0</v>
      </c>
      <c r="AF282" s="146">
        <f>IFERROR(INDEX(Työkonekanta!$N$3:$N$32,MATCH($A282,Työkonekanta!$A$3:$A$32,0),1),0)</f>
        <v>0</v>
      </c>
      <c r="AG282" s="332">
        <f>I282*INDEX(Muuttujat!$U$5:$U$21,MATCH($C282,Muuttujat!$N$5:$N$21,0),1)</f>
        <v>0</v>
      </c>
      <c r="AH282" s="332">
        <f>J282*INDEX(Muuttujat!$T$5:$T$21,MATCH($C282,Muuttujat!$N$5:$N$21,0),1)</f>
        <v>0</v>
      </c>
      <c r="AI282" s="332">
        <f t="shared" si="107"/>
        <v>0</v>
      </c>
      <c r="AJ282" s="332">
        <f t="shared" si="108"/>
        <v>0</v>
      </c>
      <c r="AK282" s="333">
        <f t="shared" si="120"/>
        <v>0</v>
      </c>
      <c r="AL282" s="332">
        <f t="shared" si="109"/>
        <v>0</v>
      </c>
      <c r="AM282" s="351"/>
      <c r="AN282" s="351"/>
    </row>
    <row r="283" spans="1:40">
      <c r="A283" s="139">
        <v>11</v>
      </c>
      <c r="B283" s="139">
        <f>IFERROR(IF((INDEX(Työkonekanta!$F$3:$F$27,MATCH('S3 Tiekartta'!$A283,Työkonekanta!$A$3:$A$24,0),1))&lt;0,0,(INDEX(Työkonekanta!$F$3:$F$27,MATCH('S3 Tiekartta'!$A283,Työkonekanta!$A$3:$A$24,0),1))),0)</f>
        <v>1</v>
      </c>
      <c r="C283" s="140">
        <v>2028</v>
      </c>
      <c r="D283" s="141" t="str">
        <f>IFERROR(INDEX(Työkonekanta!$D$3:$D$27,MATCH('S3 Tiekartta'!$A283,Työkonekanta!$A$3:$A$24,0),1),"undefined")</f>
        <v>pom</v>
      </c>
      <c r="E283" s="145">
        <f>IFERROR(INDEX(Työkonekanta!$G$3:$G$27,MATCH($A283,Työkonekanta!$A$3:$A$24,0),1)*INDEX(Työkonekanta!$H$3:$H$27,MATCH($A283,Työkonekanta!$A$3:$A$24,0),1)*(1+s0b_kasvu*($C283-2019))*$B283,0)</f>
        <v>10900</v>
      </c>
      <c r="F283" s="145">
        <f t="shared" si="101"/>
        <v>391310</v>
      </c>
      <c r="G283" s="151">
        <f t="shared" si="110"/>
        <v>332703.89260999998</v>
      </c>
      <c r="H283" s="145">
        <f t="shared" si="111"/>
        <v>58606.107389999997</v>
      </c>
      <c r="I283" s="145">
        <f t="shared" si="102"/>
        <v>9267.5179000000007</v>
      </c>
      <c r="J283" s="145">
        <f t="shared" si="103"/>
        <v>1708.6328685131195</v>
      </c>
      <c r="K283" s="142" t="str">
        <f t="shared" si="112"/>
        <v>l</v>
      </c>
      <c r="L283" s="146">
        <f>IFERROR(INDEX(Työkonekanta!$I$3:$I$27,MATCH('S3 Tiekartta'!$A283,Työkonekanta!$A$3:$A$24,0),1)*(I283+J283)*f_adblue,0)</f>
        <v>548.80753842565605</v>
      </c>
      <c r="M283" s="146">
        <f t="shared" si="121"/>
        <v>0</v>
      </c>
      <c r="N283" s="143" t="str">
        <f>IF(tuulisähkö_vuosi&lt;='S3 Tiekartta'!C283,"tuulisähkö",ostosähkö_nyt)</f>
        <v>jäännössähkö</v>
      </c>
      <c r="O283" s="147">
        <f>INDEX(Muuttujat!$J$5:$J$21,MATCH($C283,Muuttujat!$H$5:$H$21,0),1)</f>
        <v>63.258531840332459</v>
      </c>
      <c r="P283" s="148">
        <f t="shared" si="113"/>
        <v>0.85023099999999996</v>
      </c>
      <c r="Q283" s="148">
        <f t="shared" si="114"/>
        <v>0.14976899999999999</v>
      </c>
      <c r="R283" s="148">
        <f t="shared" si="115"/>
        <v>0.14976899999999999</v>
      </c>
      <c r="S283" s="149">
        <f t="shared" si="104"/>
        <v>6.2881035703289987</v>
      </c>
      <c r="T283" s="150">
        <f t="shared" si="105"/>
        <v>3.6570211011359999</v>
      </c>
      <c r="U283" s="150">
        <f t="shared" si="106"/>
        <v>0</v>
      </c>
      <c r="V283" s="150">
        <f>IFERROR(INDEX(Työkonekanta!$J$3:$J$27,MATCH($A283,Työkonekanta!$A$3:$A$24,0),1)*$B283*ef_li_ion_akku/1000/1000/INDEX(Työkonekanta!$K$3:$K$27,MATCH($A283,Työkonekanta!$A$3:$A$24,0)),0)</f>
        <v>0</v>
      </c>
      <c r="W283" s="149">
        <f t="shared" si="122"/>
        <v>24.556293505222783</v>
      </c>
      <c r="X283" s="150">
        <f t="shared" si="123"/>
        <v>0.34634276940000003</v>
      </c>
      <c r="Y283" s="151">
        <f t="shared" si="124"/>
        <v>0.14268995999067058</v>
      </c>
      <c r="Z283" s="152">
        <f t="shared" si="116"/>
        <v>9.945124671464999</v>
      </c>
      <c r="AA283" s="179">
        <f t="shared" si="117"/>
        <v>24.698983465213452</v>
      </c>
      <c r="AB283" s="179">
        <f t="shared" si="118"/>
        <v>25.045326234613452</v>
      </c>
      <c r="AC283" s="180">
        <f t="shared" si="125"/>
        <v>34.644108136678454</v>
      </c>
      <c r="AD283" s="156">
        <f t="shared" si="119"/>
        <v>34.990450906078451</v>
      </c>
      <c r="AE283" s="146">
        <f>IFERROR(INDEX(Työkonekanta!$L$3:$L$30,MATCH($A283,Työkonekanta!$A$3:$A$30,0),1),0)*AF283</f>
        <v>500000</v>
      </c>
      <c r="AF283" s="146">
        <f>IFERROR(INDEX(Työkonekanta!$N$3:$N$32,MATCH($A283,Työkonekanta!$A$3:$A$32,0),1),0)</f>
        <v>1</v>
      </c>
      <c r="AG283" s="332">
        <f>I283*INDEX(Muuttujat!$U$5:$U$21,MATCH($C283,Muuttujat!$N$5:$N$21,0),1)</f>
        <v>9730.8937950000018</v>
      </c>
      <c r="AH283" s="332">
        <f>J283*INDEX(Muuttujat!$T$5:$T$21,MATCH($C283,Muuttujat!$N$5:$N$21,0),1)</f>
        <v>2477.5176593440237</v>
      </c>
      <c r="AI283" s="332">
        <f t="shared" si="107"/>
        <v>274.40376921282802</v>
      </c>
      <c r="AJ283" s="332">
        <f t="shared" si="108"/>
        <v>0</v>
      </c>
      <c r="AK283" s="333">
        <f t="shared" si="120"/>
        <v>12482.815223556854</v>
      </c>
      <c r="AL283" s="332">
        <f t="shared" si="109"/>
        <v>12482.815223556854</v>
      </c>
      <c r="AM283" s="351"/>
      <c r="AN283" s="351"/>
    </row>
    <row r="284" spans="1:40">
      <c r="A284" s="139">
        <v>12</v>
      </c>
      <c r="B284" s="139">
        <f>IFERROR(IF((INDEX(Työkonekanta!$F$3:$F$27,MATCH('S3 Tiekartta'!$A284,Työkonekanta!$A$3:$A$24,0),1))&lt;0,0,(INDEX(Työkonekanta!$F$3:$F$27,MATCH('S3 Tiekartta'!$A284,Työkonekanta!$A$3:$A$24,0),1))),0)</f>
        <v>1</v>
      </c>
      <c r="C284" s="140">
        <v>2028</v>
      </c>
      <c r="D284" s="141" t="str">
        <f>IFERROR(INDEX(Työkonekanta!$D$3:$D$27,MATCH('S3 Tiekartta'!$A284,Työkonekanta!$A$3:$A$24,0),1),"undefined")</f>
        <v>pom</v>
      </c>
      <c r="E284" s="145">
        <f>IFERROR(INDEX(Työkonekanta!$G$3:$G$27,MATCH($A284,Työkonekanta!$A$3:$A$24,0),1)*INDEX(Työkonekanta!$H$3:$H$27,MATCH($A284,Työkonekanta!$A$3:$A$24,0),1)*(1+s0b_kasvu*($C284-2019))*$B284,0)</f>
        <v>10900</v>
      </c>
      <c r="F284" s="145">
        <f t="shared" si="101"/>
        <v>391310</v>
      </c>
      <c r="G284" s="151">
        <f t="shared" si="110"/>
        <v>332703.89260999998</v>
      </c>
      <c r="H284" s="145">
        <f t="shared" si="111"/>
        <v>58606.107389999997</v>
      </c>
      <c r="I284" s="145">
        <f t="shared" si="102"/>
        <v>9267.5179000000007</v>
      </c>
      <c r="J284" s="145">
        <f t="shared" si="103"/>
        <v>1708.6328685131195</v>
      </c>
      <c r="K284" s="142" t="str">
        <f t="shared" si="112"/>
        <v>l</v>
      </c>
      <c r="L284" s="146">
        <f>IFERROR(INDEX(Työkonekanta!$I$3:$I$27,MATCH('S3 Tiekartta'!$A284,Työkonekanta!$A$3:$A$24,0),1)*(I284+J284)*f_adblue,0)</f>
        <v>548.80753842565605</v>
      </c>
      <c r="M284" s="146">
        <f t="shared" si="121"/>
        <v>0</v>
      </c>
      <c r="N284" s="143" t="str">
        <f>IF(tuulisähkö_vuosi&lt;='S3 Tiekartta'!C284,"tuulisähkö",ostosähkö_nyt)</f>
        <v>jäännössähkö</v>
      </c>
      <c r="O284" s="147">
        <f>INDEX(Muuttujat!$J$5:$J$21,MATCH($C284,Muuttujat!$H$5:$H$21,0),1)</f>
        <v>63.258531840332459</v>
      </c>
      <c r="P284" s="148">
        <f t="shared" si="113"/>
        <v>0.85023099999999996</v>
      </c>
      <c r="Q284" s="148">
        <f t="shared" si="114"/>
        <v>0.14976899999999999</v>
      </c>
      <c r="R284" s="148">
        <f t="shared" si="115"/>
        <v>0.14976899999999999</v>
      </c>
      <c r="S284" s="149">
        <f t="shared" si="104"/>
        <v>6.2881035703289987</v>
      </c>
      <c r="T284" s="150">
        <f t="shared" si="105"/>
        <v>3.6570211011359999</v>
      </c>
      <c r="U284" s="150">
        <f t="shared" si="106"/>
        <v>0</v>
      </c>
      <c r="V284" s="150">
        <f>IFERROR(INDEX(Työkonekanta!$J$3:$J$27,MATCH($A284,Työkonekanta!$A$3:$A$24,0),1)*$B284*ef_li_ion_akku/1000/1000/INDEX(Työkonekanta!$K$3:$K$27,MATCH($A284,Työkonekanta!$A$3:$A$24,0)),0)</f>
        <v>0</v>
      </c>
      <c r="W284" s="149">
        <f t="shared" si="122"/>
        <v>24.556293505222783</v>
      </c>
      <c r="X284" s="150">
        <f t="shared" si="123"/>
        <v>0.34634276940000003</v>
      </c>
      <c r="Y284" s="151">
        <f t="shared" si="124"/>
        <v>0.14268995999067058</v>
      </c>
      <c r="Z284" s="152">
        <f t="shared" si="116"/>
        <v>9.945124671464999</v>
      </c>
      <c r="AA284" s="179">
        <f t="shared" si="117"/>
        <v>24.698983465213452</v>
      </c>
      <c r="AB284" s="179">
        <f t="shared" si="118"/>
        <v>25.045326234613452</v>
      </c>
      <c r="AC284" s="180">
        <f t="shared" si="125"/>
        <v>34.644108136678454</v>
      </c>
      <c r="AD284" s="156">
        <f t="shared" si="119"/>
        <v>34.990450906078451</v>
      </c>
      <c r="AE284" s="146">
        <f>IFERROR(INDEX(Työkonekanta!$L$3:$L$30,MATCH($A284,Työkonekanta!$A$3:$A$30,0),1),0)*AF284</f>
        <v>500000</v>
      </c>
      <c r="AF284" s="146">
        <f>IFERROR(INDEX(Työkonekanta!$N$3:$N$32,MATCH($A284,Työkonekanta!$A$3:$A$32,0),1),0)</f>
        <v>1</v>
      </c>
      <c r="AG284" s="332">
        <f>I284*INDEX(Muuttujat!$U$5:$U$21,MATCH($C284,Muuttujat!$N$5:$N$21,0),1)</f>
        <v>9730.8937950000018</v>
      </c>
      <c r="AH284" s="332">
        <f>J284*INDEX(Muuttujat!$T$5:$T$21,MATCH($C284,Muuttujat!$N$5:$N$21,0),1)</f>
        <v>2477.5176593440237</v>
      </c>
      <c r="AI284" s="332">
        <f t="shared" si="107"/>
        <v>274.40376921282802</v>
      </c>
      <c r="AJ284" s="332">
        <f t="shared" si="108"/>
        <v>0</v>
      </c>
      <c r="AK284" s="333">
        <f t="shared" si="120"/>
        <v>12482.815223556854</v>
      </c>
      <c r="AL284" s="332">
        <f t="shared" si="109"/>
        <v>12482.815223556854</v>
      </c>
      <c r="AM284" s="351"/>
      <c r="AN284" s="351"/>
    </row>
    <row r="285" spans="1:40">
      <c r="A285" s="139">
        <v>13</v>
      </c>
      <c r="B285" s="139">
        <f>IFERROR(IF((INDEX(Työkonekanta!$F$3:$F$27,MATCH('S3 Tiekartta'!$A285,Työkonekanta!$A$3:$A$24,0),1))&lt;0,0,(INDEX(Työkonekanta!$F$3:$F$27,MATCH('S3 Tiekartta'!$A285,Työkonekanta!$A$3:$A$24,0),1))),0)</f>
        <v>0</v>
      </c>
      <c r="C285" s="140">
        <v>2028</v>
      </c>
      <c r="D285" s="141" t="str">
        <f>IFERROR(INDEX(Työkonekanta!$D$3:$D$27,MATCH('S3 Tiekartta'!$A285,Työkonekanta!$A$3:$A$24,0),1),"undefined")</f>
        <v>pom</v>
      </c>
      <c r="E285" s="145">
        <f>IFERROR(INDEX(Työkonekanta!$G$3:$G$27,MATCH($A285,Työkonekanta!$A$3:$A$24,0),1)*INDEX(Työkonekanta!$H$3:$H$27,MATCH($A285,Työkonekanta!$A$3:$A$24,0),1)*(1+s0b_kasvu*($C285-2019))*$B285,0)</f>
        <v>0</v>
      </c>
      <c r="F285" s="145">
        <f t="shared" si="101"/>
        <v>0</v>
      </c>
      <c r="G285" s="151">
        <f t="shared" si="110"/>
        <v>0</v>
      </c>
      <c r="H285" s="145">
        <f t="shared" si="111"/>
        <v>0</v>
      </c>
      <c r="I285" s="145">
        <f t="shared" si="102"/>
        <v>0</v>
      </c>
      <c r="J285" s="145">
        <f t="shared" si="103"/>
        <v>0</v>
      </c>
      <c r="K285" s="142" t="str">
        <f t="shared" si="112"/>
        <v>l</v>
      </c>
      <c r="L285" s="146">
        <f>IFERROR(INDEX(Työkonekanta!$I$3:$I$27,MATCH('S3 Tiekartta'!$A285,Työkonekanta!$A$3:$A$24,0),1)*(I285+J285)*f_adblue,0)</f>
        <v>0</v>
      </c>
      <c r="M285" s="146">
        <f t="shared" si="121"/>
        <v>0</v>
      </c>
      <c r="N285" s="143" t="str">
        <f>IF(tuulisähkö_vuosi&lt;='S3 Tiekartta'!C285,"tuulisähkö",ostosähkö_nyt)</f>
        <v>jäännössähkö</v>
      </c>
      <c r="O285" s="147">
        <f>INDEX(Muuttujat!$J$5:$J$21,MATCH($C285,Muuttujat!$H$5:$H$21,0),1)</f>
        <v>63.258531840332459</v>
      </c>
      <c r="P285" s="148">
        <f t="shared" si="113"/>
        <v>0.85023099999999996</v>
      </c>
      <c r="Q285" s="148">
        <f t="shared" si="114"/>
        <v>0.14976899999999999</v>
      </c>
      <c r="R285" s="148">
        <f t="shared" si="115"/>
        <v>0.14976899999999999</v>
      </c>
      <c r="S285" s="149">
        <f t="shared" si="104"/>
        <v>0</v>
      </c>
      <c r="T285" s="150">
        <f t="shared" si="105"/>
        <v>0</v>
      </c>
      <c r="U285" s="150">
        <f t="shared" si="106"/>
        <v>0</v>
      </c>
      <c r="V285" s="150">
        <f>IFERROR(INDEX(Työkonekanta!$J$3:$J$27,MATCH($A285,Työkonekanta!$A$3:$A$24,0),1)*$B285*ef_li_ion_akku/1000/1000/INDEX(Työkonekanta!$K$3:$K$27,MATCH($A285,Työkonekanta!$A$3:$A$24,0)),0)</f>
        <v>0</v>
      </c>
      <c r="W285" s="149">
        <f t="shared" si="122"/>
        <v>0</v>
      </c>
      <c r="X285" s="150">
        <f t="shared" si="123"/>
        <v>0</v>
      </c>
      <c r="Y285" s="151">
        <f t="shared" si="124"/>
        <v>0</v>
      </c>
      <c r="Z285" s="152">
        <f t="shared" si="116"/>
        <v>0</v>
      </c>
      <c r="AA285" s="179">
        <f t="shared" si="117"/>
        <v>0</v>
      </c>
      <c r="AB285" s="179">
        <f t="shared" si="118"/>
        <v>0</v>
      </c>
      <c r="AC285" s="180">
        <f t="shared" si="125"/>
        <v>0</v>
      </c>
      <c r="AD285" s="156">
        <f t="shared" si="119"/>
        <v>0</v>
      </c>
      <c r="AE285" s="146">
        <f>IFERROR(INDEX(Työkonekanta!$L$3:$L$30,MATCH($A285,Työkonekanta!$A$3:$A$30,0),1),0)*AF285</f>
        <v>0</v>
      </c>
      <c r="AF285" s="146">
        <f>IFERROR(INDEX(Työkonekanta!$N$3:$N$32,MATCH($A285,Työkonekanta!$A$3:$A$32,0),1),0)</f>
        <v>0</v>
      </c>
      <c r="AG285" s="332">
        <f>I285*INDEX(Muuttujat!$U$5:$U$21,MATCH($C285,Muuttujat!$N$5:$N$21,0),1)</f>
        <v>0</v>
      </c>
      <c r="AH285" s="332">
        <f>J285*INDEX(Muuttujat!$T$5:$T$21,MATCH($C285,Muuttujat!$N$5:$N$21,0),1)</f>
        <v>0</v>
      </c>
      <c r="AI285" s="332">
        <f t="shared" si="107"/>
        <v>0</v>
      </c>
      <c r="AJ285" s="332">
        <f t="shared" si="108"/>
        <v>0</v>
      </c>
      <c r="AK285" s="333">
        <f t="shared" si="120"/>
        <v>0</v>
      </c>
      <c r="AL285" s="332">
        <f t="shared" si="109"/>
        <v>0</v>
      </c>
      <c r="AM285" s="351"/>
      <c r="AN285" s="351"/>
    </row>
    <row r="286" spans="1:40">
      <c r="A286" s="139">
        <v>14</v>
      </c>
      <c r="B286" s="139">
        <f>IFERROR(IF((INDEX(Työkonekanta!$F$3:$F$27,MATCH('S3 Tiekartta'!$A286,Työkonekanta!$A$3:$A$24,0),1))&lt;0,0,(INDEX(Työkonekanta!$F$3:$F$27,MATCH('S3 Tiekartta'!$A286,Työkonekanta!$A$3:$A$24,0),1))),0)</f>
        <v>0</v>
      </c>
      <c r="C286" s="140">
        <v>2028</v>
      </c>
      <c r="D286" s="141" t="str">
        <f>IFERROR(INDEX(Työkonekanta!$D$3:$D$27,MATCH('S3 Tiekartta'!$A286,Työkonekanta!$A$3:$A$24,0),1),"undefined")</f>
        <v>pom</v>
      </c>
      <c r="E286" s="145">
        <f>IFERROR(INDEX(Työkonekanta!$G$3:$G$27,MATCH($A286,Työkonekanta!$A$3:$A$24,0),1)*INDEX(Työkonekanta!$H$3:$H$27,MATCH($A286,Työkonekanta!$A$3:$A$24,0),1)*(1+s0b_kasvu*($C286-2019))*$B286,0)</f>
        <v>0</v>
      </c>
      <c r="F286" s="145">
        <f t="shared" si="101"/>
        <v>0</v>
      </c>
      <c r="G286" s="151">
        <f t="shared" si="110"/>
        <v>0</v>
      </c>
      <c r="H286" s="145">
        <f t="shared" si="111"/>
        <v>0</v>
      </c>
      <c r="I286" s="145">
        <f t="shared" si="102"/>
        <v>0</v>
      </c>
      <c r="J286" s="145">
        <f t="shared" si="103"/>
        <v>0</v>
      </c>
      <c r="K286" s="142" t="str">
        <f t="shared" si="112"/>
        <v>l</v>
      </c>
      <c r="L286" s="146">
        <f>IFERROR(INDEX(Työkonekanta!$I$3:$I$27,MATCH('S3 Tiekartta'!$A286,Työkonekanta!$A$3:$A$24,0),1)*(I286+J286)*f_adblue,0)</f>
        <v>0</v>
      </c>
      <c r="M286" s="146">
        <f t="shared" si="121"/>
        <v>0</v>
      </c>
      <c r="N286" s="143" t="str">
        <f>IF(tuulisähkö_vuosi&lt;='S3 Tiekartta'!C286,"tuulisähkö",ostosähkö_nyt)</f>
        <v>jäännössähkö</v>
      </c>
      <c r="O286" s="147">
        <f>INDEX(Muuttujat!$J$5:$J$21,MATCH($C286,Muuttujat!$H$5:$H$21,0),1)</f>
        <v>63.258531840332459</v>
      </c>
      <c r="P286" s="148">
        <f t="shared" si="113"/>
        <v>0.85023099999999996</v>
      </c>
      <c r="Q286" s="148">
        <f t="shared" si="114"/>
        <v>0.14976899999999999</v>
      </c>
      <c r="R286" s="148">
        <f t="shared" si="115"/>
        <v>0.14976899999999999</v>
      </c>
      <c r="S286" s="149">
        <f t="shared" si="104"/>
        <v>0</v>
      </c>
      <c r="T286" s="150">
        <f t="shared" si="105"/>
        <v>0</v>
      </c>
      <c r="U286" s="150">
        <f t="shared" si="106"/>
        <v>0</v>
      </c>
      <c r="V286" s="150">
        <f>IFERROR(INDEX(Työkonekanta!$J$3:$J$27,MATCH($A286,Työkonekanta!$A$3:$A$24,0),1)*$B286*ef_li_ion_akku/1000/1000/INDEX(Työkonekanta!$K$3:$K$27,MATCH($A286,Työkonekanta!$A$3:$A$24,0)),0)</f>
        <v>0</v>
      </c>
      <c r="W286" s="149">
        <f t="shared" si="122"/>
        <v>0</v>
      </c>
      <c r="X286" s="150">
        <f t="shared" si="123"/>
        <v>0</v>
      </c>
      <c r="Y286" s="151">
        <f t="shared" si="124"/>
        <v>0</v>
      </c>
      <c r="Z286" s="152">
        <f t="shared" si="116"/>
        <v>0</v>
      </c>
      <c r="AA286" s="179">
        <f t="shared" si="117"/>
        <v>0</v>
      </c>
      <c r="AB286" s="179">
        <f t="shared" si="118"/>
        <v>0</v>
      </c>
      <c r="AC286" s="180">
        <f t="shared" si="125"/>
        <v>0</v>
      </c>
      <c r="AD286" s="156">
        <f t="shared" si="119"/>
        <v>0</v>
      </c>
      <c r="AE286" s="146">
        <f>IFERROR(INDEX(Työkonekanta!$L$3:$L$30,MATCH($A286,Työkonekanta!$A$3:$A$30,0),1),0)*AF286</f>
        <v>0</v>
      </c>
      <c r="AF286" s="146">
        <f>IFERROR(INDEX(Työkonekanta!$N$3:$N$32,MATCH($A286,Työkonekanta!$A$3:$A$32,0),1),0)</f>
        <v>0</v>
      </c>
      <c r="AG286" s="332">
        <f>I286*INDEX(Muuttujat!$U$5:$U$21,MATCH($C286,Muuttujat!$N$5:$N$21,0),1)</f>
        <v>0</v>
      </c>
      <c r="AH286" s="332">
        <f>J286*INDEX(Muuttujat!$T$5:$T$21,MATCH($C286,Muuttujat!$N$5:$N$21,0),1)</f>
        <v>0</v>
      </c>
      <c r="AI286" s="332">
        <f t="shared" si="107"/>
        <v>0</v>
      </c>
      <c r="AJ286" s="332">
        <f t="shared" si="108"/>
        <v>0</v>
      </c>
      <c r="AK286" s="333">
        <f t="shared" si="120"/>
        <v>0</v>
      </c>
      <c r="AL286" s="332">
        <f t="shared" si="109"/>
        <v>0</v>
      </c>
      <c r="AM286" s="351"/>
      <c r="AN286" s="351"/>
    </row>
    <row r="287" spans="1:40">
      <c r="A287" s="139">
        <v>15</v>
      </c>
      <c r="B287" s="139">
        <f>IFERROR(IF((INDEX(Työkonekanta!$F$3:$F$27,MATCH('S3 Tiekartta'!$A287,Työkonekanta!$A$3:$A$24,0),1))&lt;0,0,(INDEX(Työkonekanta!$F$3:$F$27,MATCH('S3 Tiekartta'!$A287,Työkonekanta!$A$3:$A$24,0),1))),0)</f>
        <v>0</v>
      </c>
      <c r="C287" s="140">
        <v>2028</v>
      </c>
      <c r="D287" s="141" t="str">
        <f>IFERROR(INDEX(Työkonekanta!$D$3:$D$27,MATCH('S3 Tiekartta'!$A287,Työkonekanta!$A$3:$A$24,0),1),"undefined")</f>
        <v>sähkö</v>
      </c>
      <c r="E287" s="145">
        <f>IFERROR(INDEX(Työkonekanta!$G$3:$G$27,MATCH($A287,Työkonekanta!$A$3:$A$24,0),1)*INDEX(Työkonekanta!$H$3:$H$27,MATCH($A287,Työkonekanta!$A$3:$A$24,0),1)*(1+s0b_kasvu*($C287-2019))*$B287,0)</f>
        <v>0</v>
      </c>
      <c r="F287" s="145">
        <f t="shared" si="101"/>
        <v>0</v>
      </c>
      <c r="G287" s="151">
        <f t="shared" si="110"/>
        <v>0</v>
      </c>
      <c r="H287" s="145">
        <f t="shared" si="111"/>
        <v>0</v>
      </c>
      <c r="I287" s="145">
        <f t="shared" si="102"/>
        <v>0</v>
      </c>
      <c r="J287" s="145">
        <f t="shared" si="103"/>
        <v>0</v>
      </c>
      <c r="K287" s="142" t="str">
        <f t="shared" si="112"/>
        <v>kWh</v>
      </c>
      <c r="L287" s="146">
        <f>IFERROR(INDEX(Työkonekanta!$I$3:$I$27,MATCH('S3 Tiekartta'!$A287,Työkonekanta!$A$3:$A$24,0),1)*(I287+J287)*f_adblue,0)</f>
        <v>0</v>
      </c>
      <c r="M287" s="146">
        <f t="shared" si="121"/>
        <v>0</v>
      </c>
      <c r="N287" s="143" t="str">
        <f>IF(tuulisähkö_vuosi&lt;='S3 Tiekartta'!C287,"tuulisähkö",ostosähkö_nyt)</f>
        <v>jäännössähkö</v>
      </c>
      <c r="O287" s="147">
        <f>INDEX(Muuttujat!$J$5:$J$21,MATCH($C287,Muuttujat!$H$5:$H$21,0),1)</f>
        <v>63.258531840332459</v>
      </c>
      <c r="P287" s="148">
        <f t="shared" si="113"/>
        <v>0.85023099999999996</v>
      </c>
      <c r="Q287" s="148">
        <f t="shared" si="114"/>
        <v>0.14976899999999999</v>
      </c>
      <c r="R287" s="148">
        <f t="shared" si="115"/>
        <v>0.14976899999999999</v>
      </c>
      <c r="S287" s="149">
        <f t="shared" si="104"/>
        <v>0</v>
      </c>
      <c r="T287" s="150">
        <f t="shared" si="105"/>
        <v>0</v>
      </c>
      <c r="U287" s="150">
        <f t="shared" si="106"/>
        <v>0</v>
      </c>
      <c r="V287" s="150">
        <f>IFERROR(INDEX(Työkonekanta!$J$3:$J$27,MATCH($A287,Työkonekanta!$A$3:$A$24,0),1)*$B287*ef_li_ion_akku/1000/1000/INDEX(Työkonekanta!$K$3:$K$27,MATCH($A287,Työkonekanta!$A$3:$A$24,0)),0)</f>
        <v>0</v>
      </c>
      <c r="W287" s="149">
        <f t="shared" si="122"/>
        <v>0</v>
      </c>
      <c r="X287" s="150">
        <f t="shared" si="123"/>
        <v>0</v>
      </c>
      <c r="Y287" s="151">
        <f t="shared" si="124"/>
        <v>0</v>
      </c>
      <c r="Z287" s="152">
        <f t="shared" si="116"/>
        <v>0</v>
      </c>
      <c r="AA287" s="179">
        <f t="shared" si="117"/>
        <v>0</v>
      </c>
      <c r="AB287" s="179">
        <f t="shared" si="118"/>
        <v>0</v>
      </c>
      <c r="AC287" s="180">
        <f t="shared" si="125"/>
        <v>0</v>
      </c>
      <c r="AD287" s="156">
        <f t="shared" si="119"/>
        <v>0</v>
      </c>
      <c r="AE287" s="146">
        <f>IFERROR(INDEX(Työkonekanta!$L$3:$L$30,MATCH($A287,Työkonekanta!$A$3:$A$30,0),1),0)*AF287</f>
        <v>0</v>
      </c>
      <c r="AF287" s="146">
        <f>IFERROR(INDEX(Työkonekanta!$N$3:$N$32,MATCH($A287,Työkonekanta!$A$3:$A$32,0),1),0)</f>
        <v>0</v>
      </c>
      <c r="AG287" s="332">
        <f>I287*INDEX(Muuttujat!$U$5:$U$21,MATCH($C287,Muuttujat!$N$5:$N$21,0),1)</f>
        <v>0</v>
      </c>
      <c r="AH287" s="332">
        <f>J287*INDEX(Muuttujat!$T$5:$T$21,MATCH($C287,Muuttujat!$N$5:$N$21,0),1)</f>
        <v>0</v>
      </c>
      <c r="AI287" s="332">
        <f t="shared" si="107"/>
        <v>0</v>
      </c>
      <c r="AJ287" s="332">
        <f t="shared" si="108"/>
        <v>0</v>
      </c>
      <c r="AK287" s="333">
        <f t="shared" si="120"/>
        <v>0</v>
      </c>
      <c r="AL287" s="332">
        <f t="shared" si="109"/>
        <v>0</v>
      </c>
      <c r="AM287" s="351"/>
      <c r="AN287" s="351"/>
    </row>
    <row r="288" spans="1:40">
      <c r="A288" s="139">
        <v>16</v>
      </c>
      <c r="B288" s="139">
        <f>IFERROR(IF((INDEX(Työkonekanta!$F$3:$F$27,MATCH('S3 Tiekartta'!$A288,Työkonekanta!$A$3:$A$24,0),1))&lt;0,0,(INDEX(Työkonekanta!$F$3:$F$27,MATCH('S3 Tiekartta'!$A288,Työkonekanta!$A$3:$A$24,0),1))),0)</f>
        <v>0</v>
      </c>
      <c r="C288" s="140">
        <v>2028</v>
      </c>
      <c r="D288" s="141" t="str">
        <f>IFERROR(INDEX(Työkonekanta!$D$3:$D$27,MATCH('S3 Tiekartta'!$A288,Työkonekanta!$A$3:$A$24,0),1),"undefined")</f>
        <v>sähkö</v>
      </c>
      <c r="E288" s="145">
        <f>IFERROR(INDEX(Työkonekanta!$G$3:$G$27,MATCH($A288,Työkonekanta!$A$3:$A$24,0),1)*INDEX(Työkonekanta!$H$3:$H$27,MATCH($A288,Työkonekanta!$A$3:$A$24,0),1)*(1+s0b_kasvu*($C288-2019))*$B288,0)</f>
        <v>0</v>
      </c>
      <c r="F288" s="145">
        <f t="shared" si="101"/>
        <v>0</v>
      </c>
      <c r="G288" s="151">
        <f t="shared" si="110"/>
        <v>0</v>
      </c>
      <c r="H288" s="145">
        <f t="shared" si="111"/>
        <v>0</v>
      </c>
      <c r="I288" s="145">
        <f t="shared" si="102"/>
        <v>0</v>
      </c>
      <c r="J288" s="145">
        <f t="shared" si="103"/>
        <v>0</v>
      </c>
      <c r="K288" s="142" t="str">
        <f t="shared" si="112"/>
        <v>kWh</v>
      </c>
      <c r="L288" s="146">
        <f>IFERROR(INDEX(Työkonekanta!$I$3:$I$27,MATCH('S3 Tiekartta'!$A288,Työkonekanta!$A$3:$A$24,0),1)*(I288+J288)*f_adblue,0)</f>
        <v>0</v>
      </c>
      <c r="M288" s="146">
        <f t="shared" si="121"/>
        <v>0</v>
      </c>
      <c r="N288" s="143" t="str">
        <f>IF(tuulisähkö_vuosi&lt;='S3 Tiekartta'!C288,"tuulisähkö",ostosähkö_nyt)</f>
        <v>jäännössähkö</v>
      </c>
      <c r="O288" s="147">
        <f>INDEX(Muuttujat!$J$5:$J$21,MATCH($C288,Muuttujat!$H$5:$H$21,0),1)</f>
        <v>63.258531840332459</v>
      </c>
      <c r="P288" s="148">
        <f t="shared" si="113"/>
        <v>0.85023099999999996</v>
      </c>
      <c r="Q288" s="148">
        <f t="shared" si="114"/>
        <v>0.14976899999999999</v>
      </c>
      <c r="R288" s="148">
        <f t="shared" si="115"/>
        <v>0.14976899999999999</v>
      </c>
      <c r="S288" s="149">
        <f t="shared" si="104"/>
        <v>0</v>
      </c>
      <c r="T288" s="150">
        <f t="shared" si="105"/>
        <v>0</v>
      </c>
      <c r="U288" s="150">
        <f t="shared" si="106"/>
        <v>0</v>
      </c>
      <c r="V288" s="150">
        <f>IFERROR(INDEX(Työkonekanta!$J$3:$J$27,MATCH($A288,Työkonekanta!$A$3:$A$24,0),1)*$B288*ef_li_ion_akku/1000/1000/INDEX(Työkonekanta!$K$3:$K$27,MATCH($A288,Työkonekanta!$A$3:$A$24,0)),0)</f>
        <v>0</v>
      </c>
      <c r="W288" s="149">
        <f t="shared" si="122"/>
        <v>0</v>
      </c>
      <c r="X288" s="150">
        <f t="shared" si="123"/>
        <v>0</v>
      </c>
      <c r="Y288" s="151">
        <f t="shared" si="124"/>
        <v>0</v>
      </c>
      <c r="Z288" s="152">
        <f t="shared" si="116"/>
        <v>0</v>
      </c>
      <c r="AA288" s="179">
        <f t="shared" si="117"/>
        <v>0</v>
      </c>
      <c r="AB288" s="179">
        <f t="shared" si="118"/>
        <v>0</v>
      </c>
      <c r="AC288" s="180">
        <f t="shared" si="125"/>
        <v>0</v>
      </c>
      <c r="AD288" s="156">
        <f t="shared" si="119"/>
        <v>0</v>
      </c>
      <c r="AE288" s="146">
        <f>IFERROR(INDEX(Työkonekanta!$L$3:$L$30,MATCH($A288,Työkonekanta!$A$3:$A$30,0),1),0)*AF288</f>
        <v>0</v>
      </c>
      <c r="AF288" s="146">
        <f>IFERROR(INDEX(Työkonekanta!$N$3:$N$32,MATCH($A288,Työkonekanta!$A$3:$A$32,0),1),0)</f>
        <v>0</v>
      </c>
      <c r="AG288" s="332">
        <f>I288*INDEX(Muuttujat!$U$5:$U$21,MATCH($C288,Muuttujat!$N$5:$N$21,0),1)</f>
        <v>0</v>
      </c>
      <c r="AH288" s="332">
        <f>J288*INDEX(Muuttujat!$T$5:$T$21,MATCH($C288,Muuttujat!$N$5:$N$21,0),1)</f>
        <v>0</v>
      </c>
      <c r="AI288" s="332">
        <f t="shared" si="107"/>
        <v>0</v>
      </c>
      <c r="AJ288" s="332">
        <f t="shared" si="108"/>
        <v>0</v>
      </c>
      <c r="AK288" s="333">
        <f t="shared" si="120"/>
        <v>0</v>
      </c>
      <c r="AL288" s="332">
        <f t="shared" si="109"/>
        <v>0</v>
      </c>
      <c r="AM288" s="351"/>
      <c r="AN288" s="351"/>
    </row>
    <row r="289" spans="1:40">
      <c r="A289" s="139">
        <v>17</v>
      </c>
      <c r="B289" s="139">
        <f>IFERROR(IF((INDEX(Työkonekanta!$F$3:$F$27,MATCH('S3 Tiekartta'!$A289,Työkonekanta!$A$3:$A$24,0),1))&lt;0,0,(INDEX(Työkonekanta!$F$3:$F$27,MATCH('S3 Tiekartta'!$A289,Työkonekanta!$A$3:$A$24,0),1))),0)</f>
        <v>1</v>
      </c>
      <c r="C289" s="140">
        <v>2028</v>
      </c>
      <c r="D289" s="141" t="str">
        <f>IFERROR(INDEX(Työkonekanta!$D$3:$D$27,MATCH('S3 Tiekartta'!$A289,Työkonekanta!$A$3:$A$24,0),1),"undefined")</f>
        <v>pom</v>
      </c>
      <c r="E289" s="145">
        <f>IFERROR(INDEX(Työkonekanta!$G$3:$G$27,MATCH($A289,Työkonekanta!$A$3:$A$24,0),1)*INDEX(Työkonekanta!$H$3:$H$27,MATCH($A289,Työkonekanta!$A$3:$A$24,0),1)*(1+s0b_kasvu*($C289-2019))*$B289,0)</f>
        <v>10900</v>
      </c>
      <c r="F289" s="145">
        <f t="shared" si="101"/>
        <v>391310</v>
      </c>
      <c r="G289" s="151">
        <f t="shared" si="110"/>
        <v>332703.89260999998</v>
      </c>
      <c r="H289" s="145">
        <f t="shared" si="111"/>
        <v>58606.107389999997</v>
      </c>
      <c r="I289" s="145">
        <f t="shared" si="102"/>
        <v>9267.5179000000007</v>
      </c>
      <c r="J289" s="145">
        <f t="shared" si="103"/>
        <v>1708.6328685131195</v>
      </c>
      <c r="K289" s="142" t="str">
        <f t="shared" si="112"/>
        <v>l</v>
      </c>
      <c r="L289" s="146">
        <f>IFERROR(INDEX(Työkonekanta!$I$3:$I$27,MATCH('S3 Tiekartta'!$A289,Työkonekanta!$A$3:$A$24,0),1)*(I289+J289)*f_adblue,0)</f>
        <v>548.80753842565605</v>
      </c>
      <c r="M289" s="146">
        <f t="shared" si="121"/>
        <v>0</v>
      </c>
      <c r="N289" s="143" t="str">
        <f>IF(tuulisähkö_vuosi&lt;='S3 Tiekartta'!C289,"tuulisähkö",ostosähkö_nyt)</f>
        <v>jäännössähkö</v>
      </c>
      <c r="O289" s="147">
        <f>INDEX(Muuttujat!$J$5:$J$21,MATCH($C289,Muuttujat!$H$5:$H$21,0),1)</f>
        <v>63.258531840332459</v>
      </c>
      <c r="P289" s="148">
        <f t="shared" si="113"/>
        <v>0.85023099999999996</v>
      </c>
      <c r="Q289" s="148">
        <f t="shared" si="114"/>
        <v>0.14976899999999999</v>
      </c>
      <c r="R289" s="148">
        <f t="shared" si="115"/>
        <v>0.14976899999999999</v>
      </c>
      <c r="S289" s="149">
        <f t="shared" si="104"/>
        <v>6.2881035703289987</v>
      </c>
      <c r="T289" s="150">
        <f t="shared" si="105"/>
        <v>3.6570211011359999</v>
      </c>
      <c r="U289" s="150">
        <f t="shared" si="106"/>
        <v>0</v>
      </c>
      <c r="V289" s="150">
        <f>IFERROR(INDEX(Työkonekanta!$J$3:$J$27,MATCH($A289,Työkonekanta!$A$3:$A$24,0),1)*$B289*ef_li_ion_akku/1000/1000/INDEX(Työkonekanta!$K$3:$K$27,MATCH($A289,Työkonekanta!$A$3:$A$24,0)),0)</f>
        <v>0</v>
      </c>
      <c r="W289" s="149">
        <f t="shared" si="122"/>
        <v>24.556293505222783</v>
      </c>
      <c r="X289" s="150">
        <f t="shared" si="123"/>
        <v>0.34634276940000003</v>
      </c>
      <c r="Y289" s="151">
        <f t="shared" si="124"/>
        <v>0.14268995999067058</v>
      </c>
      <c r="Z289" s="152">
        <f t="shared" si="116"/>
        <v>9.945124671464999</v>
      </c>
      <c r="AA289" s="179">
        <f t="shared" si="117"/>
        <v>24.698983465213452</v>
      </c>
      <c r="AB289" s="179">
        <f t="shared" si="118"/>
        <v>25.045326234613452</v>
      </c>
      <c r="AC289" s="180">
        <f t="shared" si="125"/>
        <v>34.644108136678454</v>
      </c>
      <c r="AD289" s="156">
        <f t="shared" si="119"/>
        <v>34.990450906078451</v>
      </c>
      <c r="AE289" s="146">
        <f>IFERROR(INDEX(Työkonekanta!$L$3:$L$30,MATCH($A289,Työkonekanta!$A$3:$A$30,0),1),0)*AF289</f>
        <v>500000</v>
      </c>
      <c r="AF289" s="146">
        <f>IFERROR(INDEX(Työkonekanta!$N$3:$N$32,MATCH($A289,Työkonekanta!$A$3:$A$32,0),1),0)</f>
        <v>1</v>
      </c>
      <c r="AG289" s="332">
        <f>I289*INDEX(Muuttujat!$U$5:$U$21,MATCH($C289,Muuttujat!$N$5:$N$21,0),1)</f>
        <v>9730.8937950000018</v>
      </c>
      <c r="AH289" s="332">
        <f>J289*INDEX(Muuttujat!$T$5:$T$21,MATCH($C289,Muuttujat!$N$5:$N$21,0),1)</f>
        <v>2477.5176593440237</v>
      </c>
      <c r="AI289" s="332">
        <f t="shared" si="107"/>
        <v>274.40376921282802</v>
      </c>
      <c r="AJ289" s="332">
        <f t="shared" si="108"/>
        <v>0</v>
      </c>
      <c r="AK289" s="333">
        <f t="shared" si="120"/>
        <v>12482.815223556854</v>
      </c>
      <c r="AL289" s="332">
        <f t="shared" si="109"/>
        <v>12482.815223556854</v>
      </c>
      <c r="AM289" s="351"/>
      <c r="AN289" s="351"/>
    </row>
    <row r="290" spans="1:40">
      <c r="A290" s="139">
        <v>18</v>
      </c>
      <c r="B290" s="139">
        <f>IFERROR(IF((INDEX(Työkonekanta!$F$3:$F$27,MATCH('S3 Tiekartta'!$A290,Työkonekanta!$A$3:$A$24,0),1))&lt;0,0,(INDEX(Työkonekanta!$F$3:$F$27,MATCH('S3 Tiekartta'!$A290,Työkonekanta!$A$3:$A$24,0),1))),0)</f>
        <v>1</v>
      </c>
      <c r="C290" s="140">
        <v>2028</v>
      </c>
      <c r="D290" s="141" t="str">
        <f>IFERROR(INDEX(Työkonekanta!$D$3:$D$27,MATCH('S3 Tiekartta'!$A290,Työkonekanta!$A$3:$A$24,0),1),"undefined")</f>
        <v>pom</v>
      </c>
      <c r="E290" s="145">
        <f>IFERROR(INDEX(Työkonekanta!$G$3:$G$27,MATCH($A290,Työkonekanta!$A$3:$A$24,0),1)*INDEX(Työkonekanta!$H$3:$H$27,MATCH($A290,Työkonekanta!$A$3:$A$24,0),1)*(1+s0b_kasvu*($C290-2019))*$B290,0)</f>
        <v>10900</v>
      </c>
      <c r="F290" s="145">
        <f t="shared" si="101"/>
        <v>391310</v>
      </c>
      <c r="G290" s="151">
        <f t="shared" si="110"/>
        <v>332703.89260999998</v>
      </c>
      <c r="H290" s="145">
        <f t="shared" si="111"/>
        <v>58606.107389999997</v>
      </c>
      <c r="I290" s="145">
        <f t="shared" si="102"/>
        <v>9267.5179000000007</v>
      </c>
      <c r="J290" s="145">
        <f t="shared" si="103"/>
        <v>1708.6328685131195</v>
      </c>
      <c r="K290" s="142" t="str">
        <f t="shared" si="112"/>
        <v>l</v>
      </c>
      <c r="L290" s="146">
        <f>IFERROR(INDEX(Työkonekanta!$I$3:$I$27,MATCH('S3 Tiekartta'!$A290,Työkonekanta!$A$3:$A$24,0),1)*(I290+J290)*f_adblue,0)</f>
        <v>439.04603074052488</v>
      </c>
      <c r="M290" s="146">
        <f t="shared" si="121"/>
        <v>0</v>
      </c>
      <c r="N290" s="143" t="str">
        <f>IF(tuulisähkö_vuosi&lt;='S3 Tiekartta'!C290,"tuulisähkö",ostosähkö_nyt)</f>
        <v>jäännössähkö</v>
      </c>
      <c r="O290" s="147">
        <f>INDEX(Muuttujat!$J$5:$J$21,MATCH($C290,Muuttujat!$H$5:$H$21,0),1)</f>
        <v>63.258531840332459</v>
      </c>
      <c r="P290" s="148">
        <f t="shared" si="113"/>
        <v>0.85023099999999996</v>
      </c>
      <c r="Q290" s="148">
        <f t="shared" si="114"/>
        <v>0.14976899999999999</v>
      </c>
      <c r="R290" s="148">
        <f t="shared" si="115"/>
        <v>0.14976899999999999</v>
      </c>
      <c r="S290" s="149">
        <f t="shared" si="104"/>
        <v>6.2881035703289987</v>
      </c>
      <c r="T290" s="150">
        <f t="shared" si="105"/>
        <v>3.6570211011359999</v>
      </c>
      <c r="U290" s="150">
        <f t="shared" si="106"/>
        <v>0</v>
      </c>
      <c r="V290" s="150">
        <f>IFERROR(INDEX(Työkonekanta!$J$3:$J$27,MATCH($A290,Työkonekanta!$A$3:$A$24,0),1)*$B290*ef_li_ion_akku/1000/1000/INDEX(Työkonekanta!$K$3:$K$27,MATCH($A290,Työkonekanta!$A$3:$A$24,0)),0)</f>
        <v>0</v>
      </c>
      <c r="W290" s="149">
        <f t="shared" si="122"/>
        <v>24.556293505222783</v>
      </c>
      <c r="X290" s="150">
        <f t="shared" si="123"/>
        <v>0.34634276940000003</v>
      </c>
      <c r="Y290" s="151">
        <f t="shared" si="124"/>
        <v>0.11415196799253648</v>
      </c>
      <c r="Z290" s="152">
        <f t="shared" si="116"/>
        <v>9.945124671464999</v>
      </c>
      <c r="AA290" s="179">
        <f t="shared" si="117"/>
        <v>24.67044547321532</v>
      </c>
      <c r="AB290" s="179">
        <f t="shared" si="118"/>
        <v>25.01678824261532</v>
      </c>
      <c r="AC290" s="180">
        <f t="shared" si="125"/>
        <v>34.615570144680319</v>
      </c>
      <c r="AD290" s="156">
        <f t="shared" si="119"/>
        <v>34.961912914080315</v>
      </c>
      <c r="AE290" s="146">
        <f>IFERROR(INDEX(Työkonekanta!$L$3:$L$30,MATCH($A290,Työkonekanta!$A$3:$A$30,0),1),0)*AF290</f>
        <v>500000</v>
      </c>
      <c r="AF290" s="146">
        <f>IFERROR(INDEX(Työkonekanta!$N$3:$N$32,MATCH($A290,Työkonekanta!$A$3:$A$32,0),1),0)</f>
        <v>1</v>
      </c>
      <c r="AG290" s="332">
        <f>I290*INDEX(Muuttujat!$U$5:$U$21,MATCH($C290,Muuttujat!$N$5:$N$21,0),1)</f>
        <v>9730.8937950000018</v>
      </c>
      <c r="AH290" s="332">
        <f>J290*INDEX(Muuttujat!$T$5:$T$21,MATCH($C290,Muuttujat!$N$5:$N$21,0),1)</f>
        <v>2477.5176593440237</v>
      </c>
      <c r="AI290" s="332">
        <f t="shared" si="107"/>
        <v>219.52301537026244</v>
      </c>
      <c r="AJ290" s="332">
        <f t="shared" si="108"/>
        <v>0</v>
      </c>
      <c r="AK290" s="333">
        <f t="shared" si="120"/>
        <v>12427.93446971429</v>
      </c>
      <c r="AL290" s="332">
        <f t="shared" si="109"/>
        <v>12427.93446971429</v>
      </c>
      <c r="AM290" s="351"/>
      <c r="AN290" s="351"/>
    </row>
    <row r="291" spans="1:40">
      <c r="A291" s="139">
        <v>19</v>
      </c>
      <c r="B291" s="139">
        <f>IFERROR(IF((INDEX(Työkonekanta!$F$3:$F$27,MATCH('S3 Tiekartta'!$A291,Työkonekanta!$A$3:$A$24,0),1))&lt;0,0,(INDEX(Työkonekanta!$F$3:$F$27,MATCH('S3 Tiekartta'!$A291,Työkonekanta!$A$3:$A$24,0),1))),0)</f>
        <v>0</v>
      </c>
      <c r="C291" s="140">
        <v>2028</v>
      </c>
      <c r="D291" s="141" t="str">
        <f>IFERROR(INDEX(Työkonekanta!$D$3:$D$27,MATCH('S3 Tiekartta'!$A291,Työkonekanta!$A$3:$A$24,0),1),"undefined")</f>
        <v>pom</v>
      </c>
      <c r="E291" s="145">
        <f>IFERROR(INDEX(Työkonekanta!$G$3:$G$27,MATCH($A291,Työkonekanta!$A$3:$A$24,0),1)*INDEX(Työkonekanta!$H$3:$H$27,MATCH($A291,Työkonekanta!$A$3:$A$24,0),1)*(1+s0b_kasvu*($C291-2019))*$B291,0)</f>
        <v>0</v>
      </c>
      <c r="F291" s="145">
        <f t="shared" si="101"/>
        <v>0</v>
      </c>
      <c r="G291" s="151">
        <f t="shared" si="110"/>
        <v>0</v>
      </c>
      <c r="H291" s="145">
        <f t="shared" si="111"/>
        <v>0</v>
      </c>
      <c r="I291" s="145">
        <f t="shared" si="102"/>
        <v>0</v>
      </c>
      <c r="J291" s="145">
        <f t="shared" si="103"/>
        <v>0</v>
      </c>
      <c r="K291" s="142" t="str">
        <f t="shared" si="112"/>
        <v>l</v>
      </c>
      <c r="L291" s="146">
        <f>IFERROR(INDEX(Työkonekanta!$I$3:$I$27,MATCH('S3 Tiekartta'!$A291,Työkonekanta!$A$3:$A$24,0),1)*(I291+J291)*f_adblue,0)</f>
        <v>0</v>
      </c>
      <c r="M291" s="146">
        <f t="shared" si="121"/>
        <v>0</v>
      </c>
      <c r="N291" s="143" t="str">
        <f>IF(tuulisähkö_vuosi&lt;='S3 Tiekartta'!C291,"tuulisähkö",ostosähkö_nyt)</f>
        <v>jäännössähkö</v>
      </c>
      <c r="O291" s="147">
        <f>INDEX(Muuttujat!$J$5:$J$21,MATCH($C291,Muuttujat!$H$5:$H$21,0),1)</f>
        <v>63.258531840332459</v>
      </c>
      <c r="P291" s="148">
        <f t="shared" si="113"/>
        <v>0.85023099999999996</v>
      </c>
      <c r="Q291" s="148">
        <f t="shared" si="114"/>
        <v>0.14976899999999999</v>
      </c>
      <c r="R291" s="148">
        <f t="shared" si="115"/>
        <v>0.14976899999999999</v>
      </c>
      <c r="S291" s="149">
        <f t="shared" si="104"/>
        <v>0</v>
      </c>
      <c r="T291" s="150">
        <f t="shared" si="105"/>
        <v>0</v>
      </c>
      <c r="U291" s="150">
        <f t="shared" si="106"/>
        <v>0</v>
      </c>
      <c r="V291" s="150">
        <f>IFERROR(INDEX(Työkonekanta!$J$3:$J$27,MATCH($A291,Työkonekanta!$A$3:$A$24,0),1)*$B291*ef_li_ion_akku/1000/1000/INDEX(Työkonekanta!$K$3:$K$27,MATCH($A291,Työkonekanta!$A$3:$A$24,0)),0)</f>
        <v>0</v>
      </c>
      <c r="W291" s="149">
        <f t="shared" si="122"/>
        <v>0</v>
      </c>
      <c r="X291" s="150">
        <f t="shared" si="123"/>
        <v>0</v>
      </c>
      <c r="Y291" s="151">
        <f t="shared" si="124"/>
        <v>0</v>
      </c>
      <c r="Z291" s="152">
        <f t="shared" si="116"/>
        <v>0</v>
      </c>
      <c r="AA291" s="179">
        <f t="shared" si="117"/>
        <v>0</v>
      </c>
      <c r="AB291" s="179">
        <f t="shared" si="118"/>
        <v>0</v>
      </c>
      <c r="AC291" s="180">
        <f t="shared" si="125"/>
        <v>0</v>
      </c>
      <c r="AD291" s="156">
        <f t="shared" si="119"/>
        <v>0</v>
      </c>
      <c r="AE291" s="146">
        <f>IFERROR(INDEX(Työkonekanta!$L$3:$L$30,MATCH($A291,Työkonekanta!$A$3:$A$30,0),1),0)*AF291</f>
        <v>0</v>
      </c>
      <c r="AF291" s="146">
        <f>IFERROR(INDEX(Työkonekanta!$N$3:$N$32,MATCH($A291,Työkonekanta!$A$3:$A$32,0),1),0)</f>
        <v>0</v>
      </c>
      <c r="AG291" s="332">
        <f>I291*INDEX(Muuttujat!$U$5:$U$21,MATCH($C291,Muuttujat!$N$5:$N$21,0),1)</f>
        <v>0</v>
      </c>
      <c r="AH291" s="332">
        <f>J291*INDEX(Muuttujat!$T$5:$T$21,MATCH($C291,Muuttujat!$N$5:$N$21,0),1)</f>
        <v>0</v>
      </c>
      <c r="AI291" s="332">
        <f t="shared" si="107"/>
        <v>0</v>
      </c>
      <c r="AJ291" s="332">
        <f t="shared" si="108"/>
        <v>0</v>
      </c>
      <c r="AK291" s="333">
        <f t="shared" si="120"/>
        <v>0</v>
      </c>
      <c r="AL291" s="332">
        <f t="shared" si="109"/>
        <v>0</v>
      </c>
      <c r="AM291" s="351"/>
      <c r="AN291" s="351"/>
    </row>
    <row r="292" spans="1:40">
      <c r="A292" s="139">
        <v>20</v>
      </c>
      <c r="B292" s="139">
        <f>IFERROR(IF((INDEX(Työkonekanta!$F$3:$F$27,MATCH('S3 Tiekartta'!$A292,Työkonekanta!$A$3:$A$24,0),1))&lt;0,0,(INDEX(Työkonekanta!$F$3:$F$27,MATCH('S3 Tiekartta'!$A292,Työkonekanta!$A$3:$A$24,0),1))),0)</f>
        <v>0</v>
      </c>
      <c r="C292" s="140">
        <v>2028</v>
      </c>
      <c r="D292" s="141" t="str">
        <f>IFERROR(INDEX(Työkonekanta!$D$3:$D$27,MATCH('S3 Tiekartta'!$A292,Työkonekanta!$A$3:$A$24,0),1),"undefined")</f>
        <v>pom</v>
      </c>
      <c r="E292" s="145">
        <f>IFERROR(INDEX(Työkonekanta!$G$3:$G$27,MATCH($A292,Työkonekanta!$A$3:$A$24,0),1)*INDEX(Työkonekanta!$H$3:$H$27,MATCH($A292,Työkonekanta!$A$3:$A$24,0),1)*(1+s0b_kasvu*($C292-2019))*$B292,0)</f>
        <v>0</v>
      </c>
      <c r="F292" s="145">
        <f t="shared" si="101"/>
        <v>0</v>
      </c>
      <c r="G292" s="151">
        <f t="shared" si="110"/>
        <v>0</v>
      </c>
      <c r="H292" s="145">
        <f t="shared" si="111"/>
        <v>0</v>
      </c>
      <c r="I292" s="145">
        <f t="shared" si="102"/>
        <v>0</v>
      </c>
      <c r="J292" s="145">
        <f t="shared" si="103"/>
        <v>0</v>
      </c>
      <c r="K292" s="142" t="str">
        <f t="shared" si="112"/>
        <v>l</v>
      </c>
      <c r="L292" s="146">
        <f>IFERROR(INDEX(Työkonekanta!$I$3:$I$27,MATCH('S3 Tiekartta'!$A292,Työkonekanta!$A$3:$A$24,0),1)*(I292+J292)*f_adblue,0)</f>
        <v>0</v>
      </c>
      <c r="M292" s="146">
        <f t="shared" si="121"/>
        <v>0</v>
      </c>
      <c r="N292" s="143" t="str">
        <f>IF(tuulisähkö_vuosi&lt;='S3 Tiekartta'!C292,"tuulisähkö",ostosähkö_nyt)</f>
        <v>jäännössähkö</v>
      </c>
      <c r="O292" s="147">
        <f>INDEX(Muuttujat!$J$5:$J$21,MATCH($C292,Muuttujat!$H$5:$H$21,0),1)</f>
        <v>63.258531840332459</v>
      </c>
      <c r="P292" s="148">
        <f t="shared" si="113"/>
        <v>0.85023099999999996</v>
      </c>
      <c r="Q292" s="148">
        <f t="shared" si="114"/>
        <v>0.14976899999999999</v>
      </c>
      <c r="R292" s="148">
        <f t="shared" si="115"/>
        <v>0.14976899999999999</v>
      </c>
      <c r="S292" s="149">
        <f t="shared" si="104"/>
        <v>0</v>
      </c>
      <c r="T292" s="150">
        <f t="shared" si="105"/>
        <v>0</v>
      </c>
      <c r="U292" s="150">
        <f t="shared" si="106"/>
        <v>0</v>
      </c>
      <c r="V292" s="150">
        <f>IFERROR(INDEX(Työkonekanta!$J$3:$J$27,MATCH($A292,Työkonekanta!$A$3:$A$24,0),1)*$B292*ef_li_ion_akku/1000/1000/INDEX(Työkonekanta!$K$3:$K$27,MATCH($A292,Työkonekanta!$A$3:$A$24,0)),0)</f>
        <v>0</v>
      </c>
      <c r="W292" s="149">
        <f t="shared" si="122"/>
        <v>0</v>
      </c>
      <c r="X292" s="150">
        <f t="shared" si="123"/>
        <v>0</v>
      </c>
      <c r="Y292" s="151">
        <f t="shared" si="124"/>
        <v>0</v>
      </c>
      <c r="Z292" s="152">
        <f t="shared" si="116"/>
        <v>0</v>
      </c>
      <c r="AA292" s="179">
        <f t="shared" si="117"/>
        <v>0</v>
      </c>
      <c r="AB292" s="179">
        <f t="shared" si="118"/>
        <v>0</v>
      </c>
      <c r="AC292" s="180">
        <f t="shared" si="125"/>
        <v>0</v>
      </c>
      <c r="AD292" s="156">
        <f t="shared" si="119"/>
        <v>0</v>
      </c>
      <c r="AE292" s="146">
        <f>IFERROR(INDEX(Työkonekanta!$L$3:$L$30,MATCH($A292,Työkonekanta!$A$3:$A$30,0),1),0)*AF292</f>
        <v>0</v>
      </c>
      <c r="AF292" s="146">
        <f>IFERROR(INDEX(Työkonekanta!$N$3:$N$32,MATCH($A292,Työkonekanta!$A$3:$A$32,0),1),0)</f>
        <v>0</v>
      </c>
      <c r="AG292" s="332">
        <f>I292*INDEX(Muuttujat!$U$5:$U$21,MATCH($C292,Muuttujat!$N$5:$N$21,0),1)</f>
        <v>0</v>
      </c>
      <c r="AH292" s="332">
        <f>J292*INDEX(Muuttujat!$T$5:$T$21,MATCH($C292,Muuttujat!$N$5:$N$21,0),1)</f>
        <v>0</v>
      </c>
      <c r="AI292" s="332">
        <f t="shared" si="107"/>
        <v>0</v>
      </c>
      <c r="AJ292" s="332">
        <f t="shared" si="108"/>
        <v>0</v>
      </c>
      <c r="AK292" s="333">
        <f t="shared" si="120"/>
        <v>0</v>
      </c>
      <c r="AL292" s="332">
        <f t="shared" si="109"/>
        <v>0</v>
      </c>
      <c r="AM292" s="351"/>
      <c r="AN292" s="351"/>
    </row>
    <row r="293" spans="1:40">
      <c r="A293" s="139">
        <v>21</v>
      </c>
      <c r="B293" s="139">
        <f>IFERROR(IF((INDEX(Työkonekanta!$F$3:$F$27,MATCH('S3 Tiekartta'!$A293,Työkonekanta!$A$3:$A$24,0),1))&lt;0,0,(INDEX(Työkonekanta!$F$3:$F$27,MATCH('S3 Tiekartta'!$A293,Työkonekanta!$A$3:$A$24,0),1))),0)</f>
        <v>35</v>
      </c>
      <c r="C293" s="140">
        <v>2028</v>
      </c>
      <c r="D293" s="141" t="str">
        <f>IFERROR(INDEX(Työkonekanta!$D$3:$D$27,MATCH('S3 Tiekartta'!$A293,Työkonekanta!$A$3:$A$24,0),1),"undefined")</f>
        <v>sähkö</v>
      </c>
      <c r="E293" s="145">
        <f>IFERROR(INDEX(Työkonekanta!$G$3:$G$27,MATCH($A293,Työkonekanta!$A$3:$A$24,0),1)*INDEX(Työkonekanta!$H$3:$H$27,MATCH($A293,Työkonekanta!$A$3:$A$24,0),1)*(1+s0b_kasvu*($C293-2019))*$B293,0)</f>
        <v>443846.99074074073</v>
      </c>
      <c r="F293" s="145">
        <f t="shared" si="101"/>
        <v>0</v>
      </c>
      <c r="G293" s="151">
        <f t="shared" si="110"/>
        <v>0</v>
      </c>
      <c r="H293" s="145">
        <f t="shared" si="111"/>
        <v>0</v>
      </c>
      <c r="I293" s="145">
        <f t="shared" si="102"/>
        <v>0</v>
      </c>
      <c r="J293" s="145">
        <f t="shared" si="103"/>
        <v>0</v>
      </c>
      <c r="K293" s="142" t="str">
        <f t="shared" si="112"/>
        <v>kWh</v>
      </c>
      <c r="L293" s="146">
        <f>IFERROR(INDEX(Työkonekanta!$I$3:$I$27,MATCH('S3 Tiekartta'!$A293,Työkonekanta!$A$3:$A$24,0),1)*(I293+J293)*f_adblue,0)</f>
        <v>0</v>
      </c>
      <c r="M293" s="146">
        <f t="shared" si="121"/>
        <v>1597849.1666666667</v>
      </c>
      <c r="N293" s="143" t="str">
        <f>IF(tuulisähkö_vuosi&lt;='S3 Tiekartta'!C293,"tuulisähkö",ostosähkö_nyt)</f>
        <v>jäännössähkö</v>
      </c>
      <c r="O293" s="147">
        <f>INDEX(Muuttujat!$J$5:$J$21,MATCH($C293,Muuttujat!$H$5:$H$21,0),1)</f>
        <v>63.258531840332459</v>
      </c>
      <c r="P293" s="148">
        <f t="shared" si="113"/>
        <v>0.85023099999999996</v>
      </c>
      <c r="Q293" s="148">
        <f t="shared" si="114"/>
        <v>0.14976899999999999</v>
      </c>
      <c r="R293" s="148">
        <f t="shared" si="115"/>
        <v>0.14976899999999999</v>
      </c>
      <c r="S293" s="149">
        <f t="shared" si="104"/>
        <v>0</v>
      </c>
      <c r="T293" s="150">
        <f t="shared" si="105"/>
        <v>0</v>
      </c>
      <c r="U293" s="150">
        <f t="shared" si="106"/>
        <v>101.07759238563203</v>
      </c>
      <c r="V293" s="150">
        <f>IFERROR(INDEX(Työkonekanta!$J$3:$J$27,MATCH($A293,Työkonekanta!$A$3:$A$24,0),1)*$B293*ef_li_ion_akku/1000/1000/INDEX(Työkonekanta!$K$3:$K$27,MATCH($A293,Työkonekanta!$A$3:$A$24,0)),0)</f>
        <v>43.121723076923082</v>
      </c>
      <c r="W293" s="149">
        <f t="shared" si="122"/>
        <v>0</v>
      </c>
      <c r="X293" s="150">
        <f t="shared" si="123"/>
        <v>0</v>
      </c>
      <c r="Y293" s="151">
        <f t="shared" si="124"/>
        <v>0</v>
      </c>
      <c r="Z293" s="152">
        <f t="shared" si="116"/>
        <v>144.19931546255512</v>
      </c>
      <c r="AA293" s="179">
        <f t="shared" si="117"/>
        <v>0</v>
      </c>
      <c r="AB293" s="179">
        <f t="shared" si="118"/>
        <v>0</v>
      </c>
      <c r="AC293" s="180">
        <f t="shared" si="125"/>
        <v>144.19931546255512</v>
      </c>
      <c r="AD293" s="156">
        <f t="shared" si="119"/>
        <v>144.19931546255512</v>
      </c>
      <c r="AE293" s="146">
        <f>IFERROR(INDEX(Työkonekanta!$L$3:$L$30,MATCH($A293,Työkonekanta!$A$3:$A$30,0),1),0)*AF293</f>
        <v>1820000</v>
      </c>
      <c r="AF293" s="146">
        <f>IFERROR(INDEX(Työkonekanta!$N$3:$N$32,MATCH($A293,Työkonekanta!$A$3:$A$32,0),1),0)</f>
        <v>7</v>
      </c>
      <c r="AG293" s="332">
        <f>I293*INDEX(Muuttujat!$U$5:$U$21,MATCH($C293,Muuttujat!$N$5:$N$21,0),1)</f>
        <v>0</v>
      </c>
      <c r="AH293" s="332">
        <f>J293*INDEX(Muuttujat!$T$5:$T$21,MATCH($C293,Muuttujat!$N$5:$N$21,0),1)</f>
        <v>0</v>
      </c>
      <c r="AI293" s="332">
        <f t="shared" si="107"/>
        <v>0</v>
      </c>
      <c r="AJ293" s="332">
        <f t="shared" si="108"/>
        <v>39280.458680555559</v>
      </c>
      <c r="AK293" s="333">
        <f t="shared" si="120"/>
        <v>39280.458680555559</v>
      </c>
      <c r="AL293" s="332">
        <f t="shared" si="109"/>
        <v>1122.2988194444445</v>
      </c>
      <c r="AM293" s="351"/>
      <c r="AN293" s="351"/>
    </row>
    <row r="294" spans="1:40">
      <c r="A294" s="139">
        <v>22</v>
      </c>
      <c r="B294" s="139">
        <f>IFERROR(IF((INDEX(Työkonekanta!$F$3:$F$27,MATCH('S3 Tiekartta'!$A294,Työkonekanta!$A$3:$A$24,0),1))&lt;0,0,(INDEX(Työkonekanta!$F$3:$F$27,MATCH('S3 Tiekartta'!$A294,Työkonekanta!$A$3:$A$24,0),1))),0)</f>
        <v>0</v>
      </c>
      <c r="C294" s="140">
        <v>2028</v>
      </c>
      <c r="D294" s="141" t="str">
        <f>IFERROR(INDEX(Työkonekanta!$D$3:$D$27,MATCH('S3 Tiekartta'!$A294,Työkonekanta!$A$3:$A$24,0),1),"undefined")</f>
        <v>sähkö</v>
      </c>
      <c r="E294" s="145">
        <f>IFERROR(INDEX(Työkonekanta!$G$3:$G$27,MATCH($A294,Työkonekanta!$A$3:$A$24,0),1)*INDEX(Työkonekanta!$H$3:$H$27,MATCH($A294,Työkonekanta!$A$3:$A$24,0),1)*(1+s0b_kasvu*($C294-2019))*$B294,0)</f>
        <v>0</v>
      </c>
      <c r="F294" s="145">
        <f t="shared" si="101"/>
        <v>0</v>
      </c>
      <c r="G294" s="151">
        <f t="shared" si="110"/>
        <v>0</v>
      </c>
      <c r="H294" s="145">
        <f t="shared" si="111"/>
        <v>0</v>
      </c>
      <c r="I294" s="145">
        <f t="shared" si="102"/>
        <v>0</v>
      </c>
      <c r="J294" s="145">
        <f t="shared" si="103"/>
        <v>0</v>
      </c>
      <c r="K294" s="142" t="str">
        <f t="shared" si="112"/>
        <v>kWh</v>
      </c>
      <c r="L294" s="146">
        <f>IFERROR(INDEX(Työkonekanta!$I$3:$I$27,MATCH('S3 Tiekartta'!$A294,Työkonekanta!$A$3:$A$24,0),1)*(I294+J294)*f_adblue,0)</f>
        <v>0</v>
      </c>
      <c r="M294" s="146">
        <f t="shared" si="121"/>
        <v>0</v>
      </c>
      <c r="N294" s="143" t="str">
        <f>IF(tuulisähkö_vuosi&lt;='S3 Tiekartta'!C294,"tuulisähkö",ostosähkö_nyt)</f>
        <v>jäännössähkö</v>
      </c>
      <c r="O294" s="147">
        <f>INDEX(Muuttujat!$J$5:$J$21,MATCH($C294,Muuttujat!$H$5:$H$21,0),1)</f>
        <v>63.258531840332459</v>
      </c>
      <c r="P294" s="148">
        <f t="shared" si="113"/>
        <v>0.85023099999999996</v>
      </c>
      <c r="Q294" s="148">
        <f t="shared" si="114"/>
        <v>0.14976899999999999</v>
      </c>
      <c r="R294" s="148">
        <f t="shared" si="115"/>
        <v>0.14976899999999999</v>
      </c>
      <c r="S294" s="149">
        <f t="shared" si="104"/>
        <v>0</v>
      </c>
      <c r="T294" s="150">
        <f t="shared" si="105"/>
        <v>0</v>
      </c>
      <c r="U294" s="150">
        <f t="shared" si="106"/>
        <v>0</v>
      </c>
      <c r="V294" s="150">
        <f>IFERROR(INDEX(Työkonekanta!$J$3:$J$27,MATCH($A294,Työkonekanta!$A$3:$A$24,0),1)*$B294*ef_li_ion_akku/1000/1000/INDEX(Työkonekanta!$K$3:$K$27,MATCH($A294,Työkonekanta!$A$3:$A$24,0)),0)</f>
        <v>0</v>
      </c>
      <c r="W294" s="149">
        <f t="shared" si="122"/>
        <v>0</v>
      </c>
      <c r="X294" s="150">
        <f t="shared" si="123"/>
        <v>0</v>
      </c>
      <c r="Y294" s="151">
        <f t="shared" si="124"/>
        <v>0</v>
      </c>
      <c r="Z294" s="152">
        <f t="shared" si="116"/>
        <v>0</v>
      </c>
      <c r="AA294" s="179">
        <f t="shared" si="117"/>
        <v>0</v>
      </c>
      <c r="AB294" s="179">
        <f t="shared" si="118"/>
        <v>0</v>
      </c>
      <c r="AC294" s="180">
        <f t="shared" si="125"/>
        <v>0</v>
      </c>
      <c r="AD294" s="156">
        <f t="shared" si="119"/>
        <v>0</v>
      </c>
      <c r="AE294" s="146">
        <f>IFERROR(INDEX(Työkonekanta!$L$3:$L$30,MATCH($A294,Työkonekanta!$A$3:$A$30,0),1),0)*AF294</f>
        <v>0</v>
      </c>
      <c r="AF294" s="146">
        <f>IFERROR(INDEX(Työkonekanta!$N$3:$N$32,MATCH($A294,Työkonekanta!$A$3:$A$32,0),1),0)</f>
        <v>0</v>
      </c>
      <c r="AG294" s="332">
        <f>I294*INDEX(Muuttujat!$U$5:$U$21,MATCH($C294,Muuttujat!$N$5:$N$21,0),1)</f>
        <v>0</v>
      </c>
      <c r="AH294" s="332">
        <f>J294*INDEX(Muuttujat!$T$5:$T$21,MATCH($C294,Muuttujat!$N$5:$N$21,0),1)</f>
        <v>0</v>
      </c>
      <c r="AI294" s="332">
        <f t="shared" si="107"/>
        <v>0</v>
      </c>
      <c r="AJ294" s="332">
        <f t="shared" si="108"/>
        <v>0</v>
      </c>
      <c r="AK294" s="333">
        <f t="shared" si="120"/>
        <v>0</v>
      </c>
      <c r="AL294" s="332">
        <f t="shared" si="109"/>
        <v>0</v>
      </c>
      <c r="AM294" s="351"/>
      <c r="AN294" s="351"/>
    </row>
    <row r="295" spans="1:40">
      <c r="A295" s="139">
        <v>23</v>
      </c>
      <c r="B295" s="139">
        <f>IFERROR(IF((INDEX(Työkonekanta!$F$3:$F$27,MATCH('S3 Tiekartta'!$A295,Työkonekanta!$A$3:$A$24,0),1))&lt;0,0,(INDEX(Työkonekanta!$F$3:$F$27,MATCH('S3 Tiekartta'!$A295,Työkonekanta!$A$3:$A$24,0),1))),0)</f>
        <v>0</v>
      </c>
      <c r="C295" s="140">
        <v>2028</v>
      </c>
      <c r="D295" s="141" t="str">
        <f>IFERROR(INDEX(Työkonekanta!$D$3:$D$27,MATCH('S3 Tiekartta'!$A295,Työkonekanta!$A$3:$A$24,0),1),"undefined")</f>
        <v>undefined</v>
      </c>
      <c r="E295" s="145">
        <f>IFERROR(INDEX(Työkonekanta!$G$3:$G$27,MATCH($A295,Työkonekanta!$A$3:$A$24,0),1)*INDEX(Työkonekanta!$H$3:$H$27,MATCH($A295,Työkonekanta!$A$3:$A$24,0),1)*(1+s0b_kasvu*($C295-2019))*$B295,0)</f>
        <v>0</v>
      </c>
      <c r="F295" s="145">
        <f t="shared" si="101"/>
        <v>0</v>
      </c>
      <c r="G295" s="151">
        <f t="shared" si="110"/>
        <v>0</v>
      </c>
      <c r="H295" s="145">
        <f t="shared" si="111"/>
        <v>0</v>
      </c>
      <c r="I295" s="145">
        <f t="shared" si="102"/>
        <v>0</v>
      </c>
      <c r="J295" s="145">
        <f t="shared" si="103"/>
        <v>0</v>
      </c>
      <c r="K295" s="142" t="str">
        <f t="shared" si="112"/>
        <v>undefined</v>
      </c>
      <c r="L295" s="146">
        <f>IFERROR(INDEX(Työkonekanta!$I$3:$I$27,MATCH('S3 Tiekartta'!$A295,Työkonekanta!$A$3:$A$24,0),1)*(I295+J295)*f_adblue,0)</f>
        <v>0</v>
      </c>
      <c r="M295" s="146">
        <f t="shared" si="121"/>
        <v>0</v>
      </c>
      <c r="N295" s="143" t="str">
        <f>IF(tuulisähkö_vuosi&lt;='S3 Tiekartta'!C295,"tuulisähkö",ostosähkö_nyt)</f>
        <v>jäännössähkö</v>
      </c>
      <c r="O295" s="147">
        <f>INDEX(Muuttujat!$J$5:$J$21,MATCH($C295,Muuttujat!$H$5:$H$21,0),1)</f>
        <v>63.258531840332459</v>
      </c>
      <c r="P295" s="148">
        <f t="shared" si="113"/>
        <v>0.85023099999999996</v>
      </c>
      <c r="Q295" s="148">
        <f t="shared" si="114"/>
        <v>0.14976899999999999</v>
      </c>
      <c r="R295" s="148">
        <f t="shared" si="115"/>
        <v>0.14976899999999999</v>
      </c>
      <c r="S295" s="149">
        <f t="shared" si="104"/>
        <v>0</v>
      </c>
      <c r="T295" s="150">
        <f t="shared" si="105"/>
        <v>0</v>
      </c>
      <c r="U295" s="150">
        <f t="shared" si="106"/>
        <v>0</v>
      </c>
      <c r="V295" s="150">
        <f>IFERROR(INDEX(Työkonekanta!$J$3:$J$27,MATCH($A295,Työkonekanta!$A$3:$A$24,0),1)*$B295*ef_li_ion_akku/1000/1000/INDEX(Työkonekanta!$K$3:$K$27,MATCH($A295,Työkonekanta!$A$3:$A$24,0)),0)</f>
        <v>0</v>
      </c>
      <c r="W295" s="149">
        <f t="shared" si="122"/>
        <v>0</v>
      </c>
      <c r="X295" s="150">
        <f t="shared" si="123"/>
        <v>0</v>
      </c>
      <c r="Y295" s="151">
        <f t="shared" si="124"/>
        <v>0</v>
      </c>
      <c r="Z295" s="152">
        <f t="shared" si="116"/>
        <v>0</v>
      </c>
      <c r="AA295" s="179">
        <f t="shared" si="117"/>
        <v>0</v>
      </c>
      <c r="AB295" s="179">
        <f t="shared" si="118"/>
        <v>0</v>
      </c>
      <c r="AC295" s="180">
        <f t="shared" si="125"/>
        <v>0</v>
      </c>
      <c r="AD295" s="156">
        <f t="shared" si="119"/>
        <v>0</v>
      </c>
      <c r="AE295" s="146">
        <f>IFERROR(INDEX(Työkonekanta!$L$3:$L$30,MATCH($A295,Työkonekanta!$A$3:$A$30,0),1),0)*AF295</f>
        <v>0</v>
      </c>
      <c r="AF295" s="146">
        <f>IFERROR(INDEX(Työkonekanta!$N$3:$N$32,MATCH($A295,Työkonekanta!$A$3:$A$32,0),1),0)</f>
        <v>0</v>
      </c>
      <c r="AG295" s="332">
        <f>I295*INDEX(Muuttujat!$U$5:$U$21,MATCH($C295,Muuttujat!$N$5:$N$21,0),1)</f>
        <v>0</v>
      </c>
      <c r="AH295" s="332">
        <f>J295*INDEX(Muuttujat!$T$5:$T$21,MATCH($C295,Muuttujat!$N$5:$N$21,0),1)</f>
        <v>0</v>
      </c>
      <c r="AI295" s="332">
        <f t="shared" si="107"/>
        <v>0</v>
      </c>
      <c r="AJ295" s="332">
        <f t="shared" si="108"/>
        <v>0</v>
      </c>
      <c r="AK295" s="333">
        <f t="shared" si="120"/>
        <v>0</v>
      </c>
      <c r="AL295" s="332">
        <f t="shared" si="109"/>
        <v>0</v>
      </c>
      <c r="AM295" s="351"/>
      <c r="AN295" s="351"/>
    </row>
    <row r="296" spans="1:40">
      <c r="A296" s="139">
        <v>24</v>
      </c>
      <c r="B296" s="139">
        <f>IFERROR(IF((INDEX(Työkonekanta!$F$3:$F$27,MATCH('S3 Tiekartta'!$A296,Työkonekanta!$A$3:$A$24,0),1))&lt;0,0,(INDEX(Työkonekanta!$F$3:$F$27,MATCH('S3 Tiekartta'!$A296,Työkonekanta!$A$3:$A$24,0),1))),0)</f>
        <v>0</v>
      </c>
      <c r="C296" s="140">
        <v>2028</v>
      </c>
      <c r="D296" s="141" t="str">
        <f>IFERROR(INDEX(Työkonekanta!$D$3:$D$27,MATCH('S3 Tiekartta'!$A296,Työkonekanta!$A$3:$A$24,0),1),"undefined")</f>
        <v>undefined</v>
      </c>
      <c r="E296" s="145">
        <f>IFERROR(INDEX(Työkonekanta!$G$3:$G$27,MATCH($A296,Työkonekanta!$A$3:$A$24,0),1)*INDEX(Työkonekanta!$H$3:$H$27,MATCH($A296,Työkonekanta!$A$3:$A$24,0),1)*(1+s0b_kasvu*($C296-2019))*$B296,0)</f>
        <v>0</v>
      </c>
      <c r="F296" s="145">
        <f t="shared" si="101"/>
        <v>0</v>
      </c>
      <c r="G296" s="151">
        <f t="shared" si="110"/>
        <v>0</v>
      </c>
      <c r="H296" s="145">
        <f t="shared" si="111"/>
        <v>0</v>
      </c>
      <c r="I296" s="145">
        <f t="shared" si="102"/>
        <v>0</v>
      </c>
      <c r="J296" s="145">
        <f t="shared" si="103"/>
        <v>0</v>
      </c>
      <c r="K296" s="142" t="str">
        <f t="shared" si="112"/>
        <v>undefined</v>
      </c>
      <c r="L296" s="146">
        <f>IFERROR(INDEX(Työkonekanta!$I$3:$I$27,MATCH('S3 Tiekartta'!$A296,Työkonekanta!$A$3:$A$24,0),1)*(I296+J296)*f_adblue,0)</f>
        <v>0</v>
      </c>
      <c r="M296" s="146">
        <f t="shared" si="121"/>
        <v>0</v>
      </c>
      <c r="N296" s="143" t="str">
        <f>IF(tuulisähkö_vuosi&lt;='S3 Tiekartta'!C296,"tuulisähkö",ostosähkö_nyt)</f>
        <v>jäännössähkö</v>
      </c>
      <c r="O296" s="147">
        <f>INDEX(Muuttujat!$J$5:$J$21,MATCH($C296,Muuttujat!$H$5:$H$21,0),1)</f>
        <v>63.258531840332459</v>
      </c>
      <c r="P296" s="148">
        <f t="shared" si="113"/>
        <v>0.85023099999999996</v>
      </c>
      <c r="Q296" s="148">
        <f t="shared" si="114"/>
        <v>0.14976899999999999</v>
      </c>
      <c r="R296" s="148">
        <f t="shared" si="115"/>
        <v>0.14976899999999999</v>
      </c>
      <c r="S296" s="149">
        <f t="shared" si="104"/>
        <v>0</v>
      </c>
      <c r="T296" s="150">
        <f t="shared" si="105"/>
        <v>0</v>
      </c>
      <c r="U296" s="150">
        <f t="shared" si="106"/>
        <v>0</v>
      </c>
      <c r="V296" s="150">
        <f>IFERROR(INDEX(Työkonekanta!$J$3:$J$27,MATCH($A296,Työkonekanta!$A$3:$A$24,0),1)*$B296*ef_li_ion_akku/1000/1000/INDEX(Työkonekanta!$K$3:$K$27,MATCH($A296,Työkonekanta!$A$3:$A$24,0)),0)</f>
        <v>0</v>
      </c>
      <c r="W296" s="149">
        <f t="shared" si="122"/>
        <v>0</v>
      </c>
      <c r="X296" s="150">
        <f t="shared" si="123"/>
        <v>0</v>
      </c>
      <c r="Y296" s="151">
        <f t="shared" si="124"/>
        <v>0</v>
      </c>
      <c r="Z296" s="152">
        <f t="shared" si="116"/>
        <v>0</v>
      </c>
      <c r="AA296" s="179">
        <f t="shared" si="117"/>
        <v>0</v>
      </c>
      <c r="AB296" s="179">
        <f t="shared" si="118"/>
        <v>0</v>
      </c>
      <c r="AC296" s="180">
        <f t="shared" si="125"/>
        <v>0</v>
      </c>
      <c r="AD296" s="156">
        <f t="shared" si="119"/>
        <v>0</v>
      </c>
      <c r="AE296" s="146">
        <f>IFERROR(INDEX(Työkonekanta!$L$3:$L$30,MATCH($A296,Työkonekanta!$A$3:$A$30,0),1),0)*AF296</f>
        <v>0</v>
      </c>
      <c r="AF296" s="146">
        <f>IFERROR(INDEX(Työkonekanta!$N$3:$N$32,MATCH($A296,Työkonekanta!$A$3:$A$32,0),1),0)</f>
        <v>0</v>
      </c>
      <c r="AG296" s="332">
        <f>I296*INDEX(Muuttujat!$U$5:$U$21,MATCH($C296,Muuttujat!$N$5:$N$21,0),1)</f>
        <v>0</v>
      </c>
      <c r="AH296" s="332">
        <f>J296*INDEX(Muuttujat!$T$5:$T$21,MATCH($C296,Muuttujat!$N$5:$N$21,0),1)</f>
        <v>0</v>
      </c>
      <c r="AI296" s="332">
        <f t="shared" si="107"/>
        <v>0</v>
      </c>
      <c r="AJ296" s="332">
        <f t="shared" si="108"/>
        <v>0</v>
      </c>
      <c r="AK296" s="333">
        <f t="shared" si="120"/>
        <v>0</v>
      </c>
      <c r="AL296" s="332">
        <f t="shared" si="109"/>
        <v>0</v>
      </c>
      <c r="AM296" s="351"/>
      <c r="AN296" s="351"/>
    </row>
    <row r="297" spans="1:40">
      <c r="A297" s="139">
        <v>25</v>
      </c>
      <c r="B297" s="139">
        <f>IFERROR(IF((INDEX(Työkonekanta!$F$3:$F$27,MATCH('S3 Tiekartta'!$A297,Työkonekanta!$A$3:$A$24,0),1))&lt;0,0,(INDEX(Työkonekanta!$F$3:$F$27,MATCH('S3 Tiekartta'!$A297,Työkonekanta!$A$3:$A$24,0),1))),0)</f>
        <v>0</v>
      </c>
      <c r="C297" s="140">
        <v>2028</v>
      </c>
      <c r="D297" s="141" t="str">
        <f>IFERROR(INDEX(Työkonekanta!$D$3:$D$27,MATCH('S3 Tiekartta'!$A297,Työkonekanta!$A$3:$A$24,0),1),"undefined")</f>
        <v>undefined</v>
      </c>
      <c r="E297" s="145">
        <f>IFERROR(INDEX(Työkonekanta!$G$3:$G$27,MATCH($A297,Työkonekanta!$A$3:$A$24,0),1)*INDEX(Työkonekanta!$H$3:$H$27,MATCH($A297,Työkonekanta!$A$3:$A$24,0),1)*(1+s0b_kasvu*($C297-2019))*$B297,0)</f>
        <v>0</v>
      </c>
      <c r="F297" s="145">
        <f t="shared" si="101"/>
        <v>0</v>
      </c>
      <c r="G297" s="151">
        <f t="shared" si="110"/>
        <v>0</v>
      </c>
      <c r="H297" s="145">
        <f t="shared" si="111"/>
        <v>0</v>
      </c>
      <c r="I297" s="145">
        <f t="shared" si="102"/>
        <v>0</v>
      </c>
      <c r="J297" s="145">
        <f t="shared" si="103"/>
        <v>0</v>
      </c>
      <c r="K297" s="142" t="str">
        <f t="shared" si="112"/>
        <v>undefined</v>
      </c>
      <c r="L297" s="146">
        <f>IFERROR(INDEX(Työkonekanta!$I$3:$I$27,MATCH('S3 Tiekartta'!$A297,Työkonekanta!$A$3:$A$24,0),1)*(I297+J297)*f_adblue,0)</f>
        <v>0</v>
      </c>
      <c r="M297" s="146">
        <f t="shared" si="121"/>
        <v>0</v>
      </c>
      <c r="N297" s="143" t="str">
        <f>IF(tuulisähkö_vuosi&lt;='S3 Tiekartta'!C297,"tuulisähkö",ostosähkö_nyt)</f>
        <v>jäännössähkö</v>
      </c>
      <c r="O297" s="147">
        <f>INDEX(Muuttujat!$J$5:$J$21,MATCH($C297,Muuttujat!$H$5:$H$21,0),1)</f>
        <v>63.258531840332459</v>
      </c>
      <c r="P297" s="148">
        <f t="shared" si="113"/>
        <v>0.85023099999999996</v>
      </c>
      <c r="Q297" s="148">
        <f t="shared" si="114"/>
        <v>0.14976899999999999</v>
      </c>
      <c r="R297" s="148">
        <f t="shared" si="115"/>
        <v>0.14976899999999999</v>
      </c>
      <c r="S297" s="149">
        <f t="shared" si="104"/>
        <v>0</v>
      </c>
      <c r="T297" s="150">
        <f t="shared" si="105"/>
        <v>0</v>
      </c>
      <c r="U297" s="150">
        <f t="shared" si="106"/>
        <v>0</v>
      </c>
      <c r="V297" s="150">
        <f>IFERROR(INDEX(Työkonekanta!$J$3:$J$27,MATCH($A297,Työkonekanta!$A$3:$A$24,0),1)*$B297*ef_li_ion_akku/1000/1000/INDEX(Työkonekanta!$K$3:$K$27,MATCH($A297,Työkonekanta!$A$3:$A$24,0)),0)</f>
        <v>0</v>
      </c>
      <c r="W297" s="149">
        <f t="shared" si="122"/>
        <v>0</v>
      </c>
      <c r="X297" s="150">
        <f t="shared" si="123"/>
        <v>0</v>
      </c>
      <c r="Y297" s="151">
        <f t="shared" si="124"/>
        <v>0</v>
      </c>
      <c r="Z297" s="152">
        <f t="shared" si="116"/>
        <v>0</v>
      </c>
      <c r="AA297" s="179">
        <f t="shared" si="117"/>
        <v>0</v>
      </c>
      <c r="AB297" s="179">
        <f t="shared" si="118"/>
        <v>0</v>
      </c>
      <c r="AC297" s="180">
        <f t="shared" si="125"/>
        <v>0</v>
      </c>
      <c r="AD297" s="156">
        <f t="shared" si="119"/>
        <v>0</v>
      </c>
      <c r="AE297" s="146">
        <f>IFERROR(INDEX(Työkonekanta!$L$3:$L$30,MATCH($A297,Työkonekanta!$A$3:$A$30,0),1),0)*AF297</f>
        <v>0</v>
      </c>
      <c r="AF297" s="146">
        <f>IFERROR(INDEX(Työkonekanta!$N$3:$N$32,MATCH($A297,Työkonekanta!$A$3:$A$32,0),1),0)</f>
        <v>0</v>
      </c>
      <c r="AG297" s="332">
        <f>I297*INDEX(Muuttujat!$U$5:$U$21,MATCH($C297,Muuttujat!$N$5:$N$21,0),1)</f>
        <v>0</v>
      </c>
      <c r="AH297" s="332">
        <f>J297*INDEX(Muuttujat!$T$5:$T$21,MATCH($C297,Muuttujat!$N$5:$N$21,0),1)</f>
        <v>0</v>
      </c>
      <c r="AI297" s="332">
        <f t="shared" si="107"/>
        <v>0</v>
      </c>
      <c r="AJ297" s="332">
        <f t="shared" si="108"/>
        <v>0</v>
      </c>
      <c r="AK297" s="333">
        <f t="shared" si="120"/>
        <v>0</v>
      </c>
      <c r="AL297" s="332">
        <f t="shared" si="109"/>
        <v>0</v>
      </c>
      <c r="AM297" s="351"/>
      <c r="AN297" s="351"/>
    </row>
    <row r="298" spans="1:40">
      <c r="A298" s="139">
        <v>26</v>
      </c>
      <c r="B298" s="139">
        <f>IFERROR(IF((INDEX(Työkonekanta!$F$3:$F$27,MATCH('S3 Tiekartta'!$A298,Työkonekanta!$A$3:$A$24,0),1))&lt;0,0,(INDEX(Työkonekanta!$F$3:$F$27,MATCH('S3 Tiekartta'!$A298,Työkonekanta!$A$3:$A$24,0),1))),0)</f>
        <v>0</v>
      </c>
      <c r="C298" s="140">
        <v>2028</v>
      </c>
      <c r="D298" s="141" t="str">
        <f>IFERROR(INDEX(Työkonekanta!$D$3:$D$27,MATCH('S3 Tiekartta'!$A298,Työkonekanta!$A$3:$A$24,0),1),"undefined")</f>
        <v>undefined</v>
      </c>
      <c r="E298" s="145">
        <f>IFERROR(INDEX(Työkonekanta!$G$3:$G$27,MATCH($A298,Työkonekanta!$A$3:$A$24,0),1)*INDEX(Työkonekanta!$H$3:$H$27,MATCH($A298,Työkonekanta!$A$3:$A$24,0),1)*(1+s0b_kasvu*($C298-2019))*$B298,0)</f>
        <v>0</v>
      </c>
      <c r="F298" s="145">
        <f t="shared" si="101"/>
        <v>0</v>
      </c>
      <c r="G298" s="151">
        <f t="shared" si="110"/>
        <v>0</v>
      </c>
      <c r="H298" s="145">
        <f t="shared" si="111"/>
        <v>0</v>
      </c>
      <c r="I298" s="145">
        <f t="shared" si="102"/>
        <v>0</v>
      </c>
      <c r="J298" s="145">
        <f t="shared" si="103"/>
        <v>0</v>
      </c>
      <c r="K298" s="142" t="str">
        <f t="shared" si="112"/>
        <v>undefined</v>
      </c>
      <c r="L298" s="146">
        <f>IFERROR(INDEX(Työkonekanta!$I$3:$I$27,MATCH('S3 Tiekartta'!$A298,Työkonekanta!$A$3:$A$24,0),1)*(I298+J298)*f_adblue,0)</f>
        <v>0</v>
      </c>
      <c r="M298" s="146">
        <f t="shared" si="121"/>
        <v>0</v>
      </c>
      <c r="N298" s="143" t="str">
        <f>IF(tuulisähkö_vuosi&lt;='S3 Tiekartta'!C298,"tuulisähkö",ostosähkö_nyt)</f>
        <v>jäännössähkö</v>
      </c>
      <c r="O298" s="147">
        <f>INDEX(Muuttujat!$J$5:$J$21,MATCH($C298,Muuttujat!$H$5:$H$21,0),1)</f>
        <v>63.258531840332459</v>
      </c>
      <c r="P298" s="148">
        <f t="shared" si="113"/>
        <v>0.85023099999999996</v>
      </c>
      <c r="Q298" s="148">
        <f t="shared" si="114"/>
        <v>0.14976899999999999</v>
      </c>
      <c r="R298" s="148">
        <f t="shared" si="115"/>
        <v>0.14976899999999999</v>
      </c>
      <c r="S298" s="149">
        <f t="shared" si="104"/>
        <v>0</v>
      </c>
      <c r="T298" s="150">
        <f t="shared" si="105"/>
        <v>0</v>
      </c>
      <c r="U298" s="150">
        <f t="shared" si="106"/>
        <v>0</v>
      </c>
      <c r="V298" s="150">
        <f>IFERROR(INDEX(Työkonekanta!$J$3:$J$27,MATCH($A298,Työkonekanta!$A$3:$A$24,0),1)*$B298*ef_li_ion_akku/1000/1000/INDEX(Työkonekanta!$K$3:$K$27,MATCH($A298,Työkonekanta!$A$3:$A$24,0)),0)</f>
        <v>0</v>
      </c>
      <c r="W298" s="149">
        <f t="shared" si="122"/>
        <v>0</v>
      </c>
      <c r="X298" s="150">
        <f t="shared" si="123"/>
        <v>0</v>
      </c>
      <c r="Y298" s="151">
        <f t="shared" si="124"/>
        <v>0</v>
      </c>
      <c r="Z298" s="152">
        <f t="shared" si="116"/>
        <v>0</v>
      </c>
      <c r="AA298" s="179">
        <f t="shared" si="117"/>
        <v>0</v>
      </c>
      <c r="AB298" s="179">
        <f t="shared" si="118"/>
        <v>0</v>
      </c>
      <c r="AC298" s="180">
        <f t="shared" si="125"/>
        <v>0</v>
      </c>
      <c r="AD298" s="156">
        <f t="shared" si="119"/>
        <v>0</v>
      </c>
      <c r="AE298" s="146">
        <f>IFERROR(INDEX(Työkonekanta!$L$3:$L$30,MATCH($A298,Työkonekanta!$A$3:$A$30,0),1),0)*AF298</f>
        <v>0</v>
      </c>
      <c r="AF298" s="146">
        <f>IFERROR(INDEX(Työkonekanta!$N$3:$N$32,MATCH($A298,Työkonekanta!$A$3:$A$32,0),1),0)</f>
        <v>0</v>
      </c>
      <c r="AG298" s="332">
        <f>I298*INDEX(Muuttujat!$U$5:$U$21,MATCH($C298,Muuttujat!$N$5:$N$21,0),1)</f>
        <v>0</v>
      </c>
      <c r="AH298" s="332">
        <f>J298*INDEX(Muuttujat!$T$5:$T$21,MATCH($C298,Muuttujat!$N$5:$N$21,0),1)</f>
        <v>0</v>
      </c>
      <c r="AI298" s="332">
        <f t="shared" si="107"/>
        <v>0</v>
      </c>
      <c r="AJ298" s="332">
        <f t="shared" si="108"/>
        <v>0</v>
      </c>
      <c r="AK298" s="333">
        <f t="shared" si="120"/>
        <v>0</v>
      </c>
      <c r="AL298" s="332">
        <f t="shared" si="109"/>
        <v>0</v>
      </c>
      <c r="AM298" s="351"/>
      <c r="AN298" s="351"/>
    </row>
    <row r="299" spans="1:40">
      <c r="A299" s="139">
        <v>27</v>
      </c>
      <c r="B299" s="139">
        <f>IFERROR(IF((INDEX(Työkonekanta!$F$3:$F$27,MATCH('S3 Tiekartta'!$A299,Työkonekanta!$A$3:$A$24,0),1))&lt;0,0,(INDEX(Työkonekanta!$F$3:$F$27,MATCH('S3 Tiekartta'!$A299,Työkonekanta!$A$3:$A$24,0),1))),0)</f>
        <v>0</v>
      </c>
      <c r="C299" s="140">
        <v>2028</v>
      </c>
      <c r="D299" s="141" t="str">
        <f>IFERROR(INDEX(Työkonekanta!$D$3:$D$27,MATCH('S3 Tiekartta'!$A299,Työkonekanta!$A$3:$A$24,0),1),"undefined")</f>
        <v>undefined</v>
      </c>
      <c r="E299" s="145">
        <f>IFERROR(INDEX(Työkonekanta!$G$3:$G$27,MATCH($A299,Työkonekanta!$A$3:$A$24,0),1)*INDEX(Työkonekanta!$H$3:$H$27,MATCH($A299,Työkonekanta!$A$3:$A$24,0),1)*(1+s0b_kasvu*($C299-2019))*$B299,0)</f>
        <v>0</v>
      </c>
      <c r="F299" s="145">
        <f t="shared" si="101"/>
        <v>0</v>
      </c>
      <c r="G299" s="151">
        <f t="shared" si="110"/>
        <v>0</v>
      </c>
      <c r="H299" s="145">
        <f t="shared" si="111"/>
        <v>0</v>
      </c>
      <c r="I299" s="145">
        <f t="shared" si="102"/>
        <v>0</v>
      </c>
      <c r="J299" s="145">
        <f t="shared" si="103"/>
        <v>0</v>
      </c>
      <c r="K299" s="142" t="str">
        <f t="shared" si="112"/>
        <v>undefined</v>
      </c>
      <c r="L299" s="146">
        <f>IFERROR(INDEX(Työkonekanta!$I$3:$I$27,MATCH('S3 Tiekartta'!$A299,Työkonekanta!$A$3:$A$24,0),1)*(I299+J299)*f_adblue,0)</f>
        <v>0</v>
      </c>
      <c r="M299" s="146">
        <f t="shared" si="121"/>
        <v>0</v>
      </c>
      <c r="N299" s="143" t="str">
        <f>IF(tuulisähkö_vuosi&lt;='S3 Tiekartta'!C299,"tuulisähkö",ostosähkö_nyt)</f>
        <v>jäännössähkö</v>
      </c>
      <c r="O299" s="147">
        <f>INDEX(Muuttujat!$J$5:$J$21,MATCH($C299,Muuttujat!$H$5:$H$21,0),1)</f>
        <v>63.258531840332459</v>
      </c>
      <c r="P299" s="148">
        <f t="shared" si="113"/>
        <v>0.85023099999999996</v>
      </c>
      <c r="Q299" s="148">
        <f t="shared" si="114"/>
        <v>0.14976899999999999</v>
      </c>
      <c r="R299" s="148">
        <f t="shared" si="115"/>
        <v>0.14976899999999999</v>
      </c>
      <c r="S299" s="149">
        <f t="shared" si="104"/>
        <v>0</v>
      </c>
      <c r="T299" s="150">
        <f t="shared" si="105"/>
        <v>0</v>
      </c>
      <c r="U299" s="150">
        <f t="shared" si="106"/>
        <v>0</v>
      </c>
      <c r="V299" s="150">
        <f>IFERROR(INDEX(Työkonekanta!$J$3:$J$27,MATCH($A299,Työkonekanta!$A$3:$A$24,0),1)*$B299*ef_li_ion_akku/1000/1000/INDEX(Työkonekanta!$K$3:$K$27,MATCH($A299,Työkonekanta!$A$3:$A$24,0)),0)</f>
        <v>0</v>
      </c>
      <c r="W299" s="149">
        <f t="shared" si="122"/>
        <v>0</v>
      </c>
      <c r="X299" s="150">
        <f t="shared" si="123"/>
        <v>0</v>
      </c>
      <c r="Y299" s="151">
        <f t="shared" si="124"/>
        <v>0</v>
      </c>
      <c r="Z299" s="152">
        <f t="shared" si="116"/>
        <v>0</v>
      </c>
      <c r="AA299" s="179">
        <f t="shared" si="117"/>
        <v>0</v>
      </c>
      <c r="AB299" s="179">
        <f t="shared" si="118"/>
        <v>0</v>
      </c>
      <c r="AC299" s="180">
        <f t="shared" si="125"/>
        <v>0</v>
      </c>
      <c r="AD299" s="156">
        <f t="shared" si="119"/>
        <v>0</v>
      </c>
      <c r="AE299" s="146">
        <f>IFERROR(INDEX(Työkonekanta!$L$3:$L$30,MATCH($A299,Työkonekanta!$A$3:$A$30,0),1),0)*AF299</f>
        <v>0</v>
      </c>
      <c r="AF299" s="146">
        <f>IFERROR(INDEX(Työkonekanta!$N$3:$N$32,MATCH($A299,Työkonekanta!$A$3:$A$32,0),1),0)</f>
        <v>0</v>
      </c>
      <c r="AG299" s="332">
        <f>I299*INDEX(Muuttujat!$U$5:$U$21,MATCH($C299,Muuttujat!$N$5:$N$21,0),1)</f>
        <v>0</v>
      </c>
      <c r="AH299" s="332">
        <f>J299*INDEX(Muuttujat!$T$5:$T$21,MATCH($C299,Muuttujat!$N$5:$N$21,0),1)</f>
        <v>0</v>
      </c>
      <c r="AI299" s="332">
        <f t="shared" si="107"/>
        <v>0</v>
      </c>
      <c r="AJ299" s="332">
        <f t="shared" si="108"/>
        <v>0</v>
      </c>
      <c r="AK299" s="333">
        <f t="shared" si="120"/>
        <v>0</v>
      </c>
      <c r="AL299" s="332">
        <f t="shared" si="109"/>
        <v>0</v>
      </c>
      <c r="AM299" s="351"/>
      <c r="AN299" s="351"/>
    </row>
    <row r="300" spans="1:40">
      <c r="A300" s="139">
        <v>28</v>
      </c>
      <c r="B300" s="139">
        <f>IFERROR(IF((INDEX(Työkonekanta!$F$3:$F$27,MATCH('S3 Tiekartta'!$A300,Työkonekanta!$A$3:$A$24,0),1))&lt;0,0,(INDEX(Työkonekanta!$F$3:$F$27,MATCH('S3 Tiekartta'!$A300,Työkonekanta!$A$3:$A$24,0),1))),0)</f>
        <v>0</v>
      </c>
      <c r="C300" s="140">
        <v>2028</v>
      </c>
      <c r="D300" s="141" t="str">
        <f>IFERROR(INDEX(Työkonekanta!$D$3:$D$27,MATCH('S3 Tiekartta'!$A300,Työkonekanta!$A$3:$A$24,0),1),"undefined")</f>
        <v>undefined</v>
      </c>
      <c r="E300" s="145">
        <f>IFERROR(INDEX(Työkonekanta!$G$3:$G$27,MATCH($A300,Työkonekanta!$A$3:$A$24,0),1)*INDEX(Työkonekanta!$H$3:$H$27,MATCH($A300,Työkonekanta!$A$3:$A$24,0),1)*(1+s0b_kasvu*($C300-2019))*$B300,0)</f>
        <v>0</v>
      </c>
      <c r="F300" s="145">
        <f t="shared" si="101"/>
        <v>0</v>
      </c>
      <c r="G300" s="151">
        <f t="shared" si="110"/>
        <v>0</v>
      </c>
      <c r="H300" s="145">
        <f t="shared" si="111"/>
        <v>0</v>
      </c>
      <c r="I300" s="145">
        <f t="shared" si="102"/>
        <v>0</v>
      </c>
      <c r="J300" s="145">
        <f t="shared" si="103"/>
        <v>0</v>
      </c>
      <c r="K300" s="142" t="str">
        <f t="shared" si="112"/>
        <v>undefined</v>
      </c>
      <c r="L300" s="146">
        <f>IFERROR(INDEX(Työkonekanta!$I$3:$I$27,MATCH('S3 Tiekartta'!$A300,Työkonekanta!$A$3:$A$24,0),1)*(I300+J300)*f_adblue,0)</f>
        <v>0</v>
      </c>
      <c r="M300" s="146">
        <f t="shared" si="121"/>
        <v>0</v>
      </c>
      <c r="N300" s="143" t="str">
        <f>IF(tuulisähkö_vuosi&lt;='S3 Tiekartta'!C300,"tuulisähkö",ostosähkö_nyt)</f>
        <v>jäännössähkö</v>
      </c>
      <c r="O300" s="147">
        <f>INDEX(Muuttujat!$J$5:$J$21,MATCH($C300,Muuttujat!$H$5:$H$21,0),1)</f>
        <v>63.258531840332459</v>
      </c>
      <c r="P300" s="148">
        <f t="shared" si="113"/>
        <v>0.85023099999999996</v>
      </c>
      <c r="Q300" s="148">
        <f t="shared" si="114"/>
        <v>0.14976899999999999</v>
      </c>
      <c r="R300" s="148">
        <f t="shared" si="115"/>
        <v>0.14976899999999999</v>
      </c>
      <c r="S300" s="149">
        <f t="shared" si="104"/>
        <v>0</v>
      </c>
      <c r="T300" s="150">
        <f t="shared" si="105"/>
        <v>0</v>
      </c>
      <c r="U300" s="150">
        <f t="shared" si="106"/>
        <v>0</v>
      </c>
      <c r="V300" s="150">
        <f>IFERROR(INDEX(Työkonekanta!$J$3:$J$27,MATCH($A300,Työkonekanta!$A$3:$A$24,0),1)*$B300*ef_li_ion_akku/1000/1000/INDEX(Työkonekanta!$K$3:$K$27,MATCH($A300,Työkonekanta!$A$3:$A$24,0)),0)</f>
        <v>0</v>
      </c>
      <c r="W300" s="149">
        <f t="shared" si="122"/>
        <v>0</v>
      </c>
      <c r="X300" s="150">
        <f t="shared" si="123"/>
        <v>0</v>
      </c>
      <c r="Y300" s="151">
        <f t="shared" si="124"/>
        <v>0</v>
      </c>
      <c r="Z300" s="152">
        <f t="shared" si="116"/>
        <v>0</v>
      </c>
      <c r="AA300" s="179">
        <f t="shared" si="117"/>
        <v>0</v>
      </c>
      <c r="AB300" s="179">
        <f t="shared" si="118"/>
        <v>0</v>
      </c>
      <c r="AC300" s="180">
        <f t="shared" si="125"/>
        <v>0</v>
      </c>
      <c r="AD300" s="156">
        <f t="shared" si="119"/>
        <v>0</v>
      </c>
      <c r="AE300" s="146">
        <f>IFERROR(INDEX(Työkonekanta!$L$3:$L$30,MATCH($A300,Työkonekanta!$A$3:$A$30,0),1),0)*AF300</f>
        <v>0</v>
      </c>
      <c r="AF300" s="146">
        <f>IFERROR(INDEX(Työkonekanta!$N$3:$N$32,MATCH($A300,Työkonekanta!$A$3:$A$32,0),1),0)</f>
        <v>0</v>
      </c>
      <c r="AG300" s="332">
        <f>I300*INDEX(Muuttujat!$U$5:$U$21,MATCH($C300,Muuttujat!$N$5:$N$21,0),1)</f>
        <v>0</v>
      </c>
      <c r="AH300" s="332">
        <f>J300*INDEX(Muuttujat!$T$5:$T$21,MATCH($C300,Muuttujat!$N$5:$N$21,0),1)</f>
        <v>0</v>
      </c>
      <c r="AI300" s="332">
        <f t="shared" si="107"/>
        <v>0</v>
      </c>
      <c r="AJ300" s="332">
        <f t="shared" si="108"/>
        <v>0</v>
      </c>
      <c r="AK300" s="333">
        <f t="shared" si="120"/>
        <v>0</v>
      </c>
      <c r="AL300" s="332">
        <f t="shared" si="109"/>
        <v>0</v>
      </c>
      <c r="AM300" s="351"/>
      <c r="AN300" s="351"/>
    </row>
    <row r="301" spans="1:40">
      <c r="A301" s="139">
        <v>29</v>
      </c>
      <c r="B301" s="139">
        <f>IFERROR(IF((INDEX(Työkonekanta!$F$3:$F$27,MATCH('S3 Tiekartta'!$A301,Työkonekanta!$A$3:$A$24,0),1))&lt;0,0,(INDEX(Työkonekanta!$F$3:$F$27,MATCH('S3 Tiekartta'!$A301,Työkonekanta!$A$3:$A$24,0),1))),0)</f>
        <v>0</v>
      </c>
      <c r="C301" s="140">
        <v>2028</v>
      </c>
      <c r="D301" s="141" t="str">
        <f>IFERROR(INDEX(Työkonekanta!$D$3:$D$27,MATCH('S3 Tiekartta'!$A301,Työkonekanta!$A$3:$A$24,0),1),"undefined")</f>
        <v>undefined</v>
      </c>
      <c r="E301" s="145">
        <f>IFERROR(INDEX(Työkonekanta!$G$3:$G$27,MATCH($A301,Työkonekanta!$A$3:$A$24,0),1)*INDEX(Työkonekanta!$H$3:$H$27,MATCH($A301,Työkonekanta!$A$3:$A$24,0),1)*(1+s0b_kasvu*($C301-2019))*$B301,0)</f>
        <v>0</v>
      </c>
      <c r="F301" s="145">
        <f t="shared" si="101"/>
        <v>0</v>
      </c>
      <c r="G301" s="151">
        <f t="shared" si="110"/>
        <v>0</v>
      </c>
      <c r="H301" s="145">
        <f t="shared" si="111"/>
        <v>0</v>
      </c>
      <c r="I301" s="145">
        <f t="shared" si="102"/>
        <v>0</v>
      </c>
      <c r="J301" s="145">
        <f t="shared" si="103"/>
        <v>0</v>
      </c>
      <c r="K301" s="142" t="str">
        <f t="shared" si="112"/>
        <v>undefined</v>
      </c>
      <c r="L301" s="146">
        <f>IFERROR(INDEX(Työkonekanta!$I$3:$I$27,MATCH('S3 Tiekartta'!$A301,Työkonekanta!$A$3:$A$24,0),1)*(I301+J301)*f_adblue,0)</f>
        <v>0</v>
      </c>
      <c r="M301" s="146">
        <f t="shared" si="121"/>
        <v>0</v>
      </c>
      <c r="N301" s="143" t="str">
        <f>IF(tuulisähkö_vuosi&lt;='S3 Tiekartta'!C301,"tuulisähkö",ostosähkö_nyt)</f>
        <v>jäännössähkö</v>
      </c>
      <c r="O301" s="147">
        <f>INDEX(Muuttujat!$J$5:$J$21,MATCH($C301,Muuttujat!$H$5:$H$21,0),1)</f>
        <v>63.258531840332459</v>
      </c>
      <c r="P301" s="148">
        <f t="shared" si="113"/>
        <v>0.85023099999999996</v>
      </c>
      <c r="Q301" s="148">
        <f t="shared" si="114"/>
        <v>0.14976899999999999</v>
      </c>
      <c r="R301" s="148">
        <f t="shared" si="115"/>
        <v>0.14976899999999999</v>
      </c>
      <c r="S301" s="149">
        <f t="shared" si="104"/>
        <v>0</v>
      </c>
      <c r="T301" s="150">
        <f t="shared" si="105"/>
        <v>0</v>
      </c>
      <c r="U301" s="150">
        <f t="shared" si="106"/>
        <v>0</v>
      </c>
      <c r="V301" s="150">
        <f>IFERROR(INDEX(Työkonekanta!$J$3:$J$27,MATCH($A301,Työkonekanta!$A$3:$A$24,0),1)*$B301*ef_li_ion_akku/1000/1000/INDEX(Työkonekanta!$K$3:$K$27,MATCH($A301,Työkonekanta!$A$3:$A$24,0)),0)</f>
        <v>0</v>
      </c>
      <c r="W301" s="149">
        <f t="shared" si="122"/>
        <v>0</v>
      </c>
      <c r="X301" s="150">
        <f t="shared" si="123"/>
        <v>0</v>
      </c>
      <c r="Y301" s="151">
        <f t="shared" si="124"/>
        <v>0</v>
      </c>
      <c r="Z301" s="152">
        <f t="shared" si="116"/>
        <v>0</v>
      </c>
      <c r="AA301" s="179">
        <f t="shared" si="117"/>
        <v>0</v>
      </c>
      <c r="AB301" s="179">
        <f t="shared" si="118"/>
        <v>0</v>
      </c>
      <c r="AC301" s="180">
        <f t="shared" si="125"/>
        <v>0</v>
      </c>
      <c r="AD301" s="156">
        <f t="shared" si="119"/>
        <v>0</v>
      </c>
      <c r="AE301" s="146">
        <f>IFERROR(INDEX(Työkonekanta!$L$3:$L$30,MATCH($A301,Työkonekanta!$A$3:$A$30,0),1),0)*AF301</f>
        <v>0</v>
      </c>
      <c r="AF301" s="146">
        <f>IFERROR(INDEX(Työkonekanta!$N$3:$N$32,MATCH($A301,Työkonekanta!$A$3:$A$32,0),1),0)</f>
        <v>0</v>
      </c>
      <c r="AG301" s="332">
        <f>I301*INDEX(Muuttujat!$U$5:$U$21,MATCH($C301,Muuttujat!$N$5:$N$21,0),1)</f>
        <v>0</v>
      </c>
      <c r="AH301" s="332">
        <f>J301*INDEX(Muuttujat!$T$5:$T$21,MATCH($C301,Muuttujat!$N$5:$N$21,0),1)</f>
        <v>0</v>
      </c>
      <c r="AI301" s="332">
        <f t="shared" si="107"/>
        <v>0</v>
      </c>
      <c r="AJ301" s="332">
        <f t="shared" si="108"/>
        <v>0</v>
      </c>
      <c r="AK301" s="333">
        <f t="shared" si="120"/>
        <v>0</v>
      </c>
      <c r="AL301" s="332">
        <f t="shared" si="109"/>
        <v>0</v>
      </c>
      <c r="AM301" s="351"/>
      <c r="AN301" s="351"/>
    </row>
    <row r="302" spans="1:40">
      <c r="A302" s="139">
        <v>30</v>
      </c>
      <c r="B302" s="139">
        <f>IFERROR(IF((INDEX(Työkonekanta!$F$3:$F$27,MATCH('S3 Tiekartta'!$A302,Työkonekanta!$A$3:$A$24,0),1))&lt;0,0,(INDEX(Työkonekanta!$F$3:$F$27,MATCH('S3 Tiekartta'!$A302,Työkonekanta!$A$3:$A$24,0),1))),0)</f>
        <v>0</v>
      </c>
      <c r="C302" s="140">
        <v>2028</v>
      </c>
      <c r="D302" s="141" t="str">
        <f>IFERROR(INDEX(Työkonekanta!$D$3:$D$27,MATCH('S3 Tiekartta'!$A302,Työkonekanta!$A$3:$A$24,0),1),"undefined")</f>
        <v>undefined</v>
      </c>
      <c r="E302" s="145">
        <f>IFERROR(INDEX(Työkonekanta!$G$3:$G$27,MATCH($A302,Työkonekanta!$A$3:$A$24,0),1)*INDEX(Työkonekanta!$H$3:$H$27,MATCH($A302,Työkonekanta!$A$3:$A$24,0),1)*(1+s0b_kasvu*($C302-2019))*$B302,0)</f>
        <v>0</v>
      </c>
      <c r="F302" s="145">
        <f t="shared" si="101"/>
        <v>0</v>
      </c>
      <c r="G302" s="151">
        <f t="shared" si="110"/>
        <v>0</v>
      </c>
      <c r="H302" s="145">
        <f t="shared" si="111"/>
        <v>0</v>
      </c>
      <c r="I302" s="145">
        <f t="shared" si="102"/>
        <v>0</v>
      </c>
      <c r="J302" s="145">
        <f t="shared" si="103"/>
        <v>0</v>
      </c>
      <c r="K302" s="142" t="str">
        <f t="shared" si="112"/>
        <v>undefined</v>
      </c>
      <c r="L302" s="146">
        <f>IFERROR(INDEX(Työkonekanta!$I$3:$I$27,MATCH('S3 Tiekartta'!$A302,Työkonekanta!$A$3:$A$24,0),1)*(I302+J302)*f_adblue,0)</f>
        <v>0</v>
      </c>
      <c r="M302" s="146">
        <f t="shared" si="121"/>
        <v>0</v>
      </c>
      <c r="N302" s="143" t="str">
        <f>IF(tuulisähkö_vuosi&lt;='S3 Tiekartta'!C302,"tuulisähkö",ostosähkö_nyt)</f>
        <v>jäännössähkö</v>
      </c>
      <c r="O302" s="147">
        <f>INDEX(Muuttujat!$J$5:$J$21,MATCH($C302,Muuttujat!$H$5:$H$21,0),1)</f>
        <v>63.258531840332459</v>
      </c>
      <c r="P302" s="148">
        <f t="shared" si="113"/>
        <v>0.85023099999999996</v>
      </c>
      <c r="Q302" s="148">
        <f t="shared" si="114"/>
        <v>0.14976899999999999</v>
      </c>
      <c r="R302" s="148">
        <f t="shared" si="115"/>
        <v>0.14976899999999999</v>
      </c>
      <c r="S302" s="149">
        <f t="shared" si="104"/>
        <v>0</v>
      </c>
      <c r="T302" s="150">
        <f t="shared" si="105"/>
        <v>0</v>
      </c>
      <c r="U302" s="150">
        <f t="shared" si="106"/>
        <v>0</v>
      </c>
      <c r="V302" s="150">
        <f>IFERROR(INDEX(Työkonekanta!$J$3:$J$27,MATCH($A302,Työkonekanta!$A$3:$A$24,0),1)*$B302*ef_li_ion_akku/1000/1000/INDEX(Työkonekanta!$K$3:$K$27,MATCH($A302,Työkonekanta!$A$3:$A$24,0)),0)</f>
        <v>0</v>
      </c>
      <c r="W302" s="149">
        <f t="shared" si="122"/>
        <v>0</v>
      </c>
      <c r="X302" s="150">
        <f t="shared" si="123"/>
        <v>0</v>
      </c>
      <c r="Y302" s="151">
        <f t="shared" si="124"/>
        <v>0</v>
      </c>
      <c r="Z302" s="152">
        <f t="shared" si="116"/>
        <v>0</v>
      </c>
      <c r="AA302" s="179">
        <f t="shared" si="117"/>
        <v>0</v>
      </c>
      <c r="AB302" s="179">
        <f t="shared" si="118"/>
        <v>0</v>
      </c>
      <c r="AC302" s="180">
        <f t="shared" si="125"/>
        <v>0</v>
      </c>
      <c r="AD302" s="156">
        <f t="shared" si="119"/>
        <v>0</v>
      </c>
      <c r="AE302" s="146">
        <f>IFERROR(INDEX(Työkonekanta!$L$3:$L$30,MATCH($A302,Työkonekanta!$A$3:$A$30,0),1),0)*AF302</f>
        <v>0</v>
      </c>
      <c r="AF302" s="146">
        <f>IFERROR(INDEX(Työkonekanta!$N$3:$N$32,MATCH($A302,Työkonekanta!$A$3:$A$32,0),1),0)</f>
        <v>0</v>
      </c>
      <c r="AG302" s="332">
        <f>I302*INDEX(Muuttujat!$U$5:$U$21,MATCH($C302,Muuttujat!$N$5:$N$21,0),1)</f>
        <v>0</v>
      </c>
      <c r="AH302" s="332">
        <f>J302*INDEX(Muuttujat!$T$5:$T$21,MATCH($C302,Muuttujat!$N$5:$N$21,0),1)</f>
        <v>0</v>
      </c>
      <c r="AI302" s="332">
        <f t="shared" si="107"/>
        <v>0</v>
      </c>
      <c r="AJ302" s="332">
        <f t="shared" si="108"/>
        <v>0</v>
      </c>
      <c r="AK302" s="333">
        <f t="shared" si="120"/>
        <v>0</v>
      </c>
      <c r="AL302" s="332">
        <f t="shared" si="109"/>
        <v>0</v>
      </c>
      <c r="AM302" s="351"/>
      <c r="AN302" s="351"/>
    </row>
    <row r="303" spans="1:40">
      <c r="A303" s="139">
        <v>1</v>
      </c>
      <c r="B303" s="139">
        <f>IFERROR(IF((INDEX(Työkonekanta!$F$3:$F$27,MATCH('S3 Tiekartta'!$A303,Työkonekanta!$A$3:$A$24,0),1))&lt;0,0,(INDEX(Työkonekanta!$F$3:$F$27,MATCH('S3 Tiekartta'!$A303,Työkonekanta!$A$3:$A$24,0),1))),0)</f>
        <v>1</v>
      </c>
      <c r="C303" s="140">
        <v>2029</v>
      </c>
      <c r="D303" s="141" t="str">
        <f>IFERROR(INDEX(Työkonekanta!$D$3:$D$27,MATCH('S3 Tiekartta'!$A303,Työkonekanta!$A$3:$A$24,0),1),"undefined")</f>
        <v>pom</v>
      </c>
      <c r="E303" s="145">
        <f>IFERROR(INDEX(Työkonekanta!$G$3:$G$27,MATCH($A303,Työkonekanta!$A$3:$A$24,0),1)*INDEX(Työkonekanta!$H$3:$H$27,MATCH($A303,Työkonekanta!$A$3:$A$24,0),1)*(1+s0b_kasvu*($C303-2019))*$B303,0)</f>
        <v>11000</v>
      </c>
      <c r="F303" s="145">
        <f t="shared" si="101"/>
        <v>394900</v>
      </c>
      <c r="G303" s="151">
        <f t="shared" si="110"/>
        <v>318604.526251</v>
      </c>
      <c r="H303" s="145">
        <f t="shared" si="111"/>
        <v>76295.473748999997</v>
      </c>
      <c r="I303" s="145">
        <f t="shared" si="102"/>
        <v>8874.7778900000012</v>
      </c>
      <c r="J303" s="145">
        <f t="shared" si="103"/>
        <v>2224.3578352478135</v>
      </c>
      <c r="K303" s="142" t="str">
        <f t="shared" si="112"/>
        <v>l</v>
      </c>
      <c r="L303" s="146">
        <f>IFERROR(INDEX(Työkonekanta!$I$3:$I$27,MATCH('S3 Tiekartta'!$A303,Työkonekanta!$A$3:$A$24,0),1)*(I303+J303)*f_adblue,0)</f>
        <v>554.95678626239078</v>
      </c>
      <c r="M303" s="146">
        <f t="shared" si="121"/>
        <v>0</v>
      </c>
      <c r="N303" s="143" t="str">
        <f>IF(tuulisähkö_vuosi&lt;='S3 Tiekartta'!C303,"tuulisähkö",ostosähkö_nyt)</f>
        <v>jäännössähkö</v>
      </c>
      <c r="O303" s="147">
        <f>INDEX(Muuttujat!$J$5:$J$21,MATCH($C303,Muuttujat!$H$5:$H$21,0),1)</f>
        <v>62.625946521929137</v>
      </c>
      <c r="P303" s="148">
        <f t="shared" si="113"/>
        <v>0.80679798999999996</v>
      </c>
      <c r="Q303" s="148">
        <f t="shared" si="114"/>
        <v>0.19320200999999998</v>
      </c>
      <c r="R303" s="148">
        <f t="shared" si="115"/>
        <v>0.19320200999999998</v>
      </c>
      <c r="S303" s="149">
        <f t="shared" si="104"/>
        <v>6.0216255461438992</v>
      </c>
      <c r="T303" s="150">
        <f t="shared" si="105"/>
        <v>4.7608375619375991</v>
      </c>
      <c r="U303" s="150">
        <f t="shared" si="106"/>
        <v>0</v>
      </c>
      <c r="V303" s="150">
        <f>IFERROR(INDEX(Työkonekanta!$J$3:$J$27,MATCH($A303,Työkonekanta!$A$3:$A$24,0),1)*$B303*ef_li_ion_akku/1000/1000/INDEX(Työkonekanta!$K$3:$K$27,MATCH($A303,Työkonekanta!$A$3:$A$24,0)),0)</f>
        <v>0</v>
      </c>
      <c r="W303" s="149">
        <f t="shared" si="122"/>
        <v>23.51564388783126</v>
      </c>
      <c r="X303" s="150">
        <f t="shared" si="123"/>
        <v>0.34952022600000004</v>
      </c>
      <c r="Y303" s="151">
        <f t="shared" si="124"/>
        <v>0.14428876442822158</v>
      </c>
      <c r="Z303" s="152">
        <f t="shared" si="116"/>
        <v>10.782463108081497</v>
      </c>
      <c r="AA303" s="179">
        <f t="shared" si="117"/>
        <v>23.659932652259482</v>
      </c>
      <c r="AB303" s="179">
        <f t="shared" si="118"/>
        <v>24.009452878259481</v>
      </c>
      <c r="AC303" s="180">
        <f t="shared" si="125"/>
        <v>34.442395760340979</v>
      </c>
      <c r="AD303" s="156">
        <f t="shared" si="119"/>
        <v>34.791915986340982</v>
      </c>
      <c r="AE303" s="146">
        <f>IFERROR(INDEX(Työkonekanta!$L$3:$L$30,MATCH($A303,Työkonekanta!$A$3:$A$30,0),1),0)*AF303</f>
        <v>500000</v>
      </c>
      <c r="AF303" s="146">
        <f>IFERROR(INDEX(Työkonekanta!$N$3:$N$32,MATCH($A303,Työkonekanta!$A$3:$A$32,0),1),0)</f>
        <v>1</v>
      </c>
      <c r="AG303" s="332">
        <f>I303*INDEX(Muuttujat!$U$5:$U$21,MATCH($C303,Muuttujat!$N$5:$N$21,0),1)</f>
        <v>9318.5167845000014</v>
      </c>
      <c r="AH303" s="332">
        <f>J303*INDEX(Muuttujat!$T$5:$T$21,MATCH($C303,Muuttujat!$N$5:$N$21,0),1)</f>
        <v>3225.3188611093301</v>
      </c>
      <c r="AI303" s="332">
        <f t="shared" si="107"/>
        <v>277.47839313119539</v>
      </c>
      <c r="AJ303" s="332">
        <f t="shared" si="108"/>
        <v>0</v>
      </c>
      <c r="AK303" s="333">
        <f t="shared" si="120"/>
        <v>12821.314038740527</v>
      </c>
      <c r="AL303" s="332">
        <f t="shared" si="109"/>
        <v>12821.314038740527</v>
      </c>
      <c r="AM303" s="351"/>
      <c r="AN303" s="351"/>
    </row>
    <row r="304" spans="1:40">
      <c r="A304" s="139">
        <v>2</v>
      </c>
      <c r="B304" s="139">
        <f>IFERROR(IF((INDEX(Työkonekanta!$F$3:$F$27,MATCH('S3 Tiekartta'!$A304,Työkonekanta!$A$3:$A$24,0),1))&lt;0,0,(INDEX(Työkonekanta!$F$3:$F$27,MATCH('S3 Tiekartta'!$A304,Työkonekanta!$A$3:$A$24,0),1))),0)</f>
        <v>1</v>
      </c>
      <c r="C304" s="140">
        <v>2029</v>
      </c>
      <c r="D304" s="141" t="str">
        <f>IFERROR(INDEX(Työkonekanta!$D$3:$D$27,MATCH('S3 Tiekartta'!$A304,Työkonekanta!$A$3:$A$24,0),1),"undefined")</f>
        <v>pom</v>
      </c>
      <c r="E304" s="145">
        <f>IFERROR(INDEX(Työkonekanta!$G$3:$G$27,MATCH($A304,Työkonekanta!$A$3:$A$24,0),1)*INDEX(Työkonekanta!$H$3:$H$27,MATCH($A304,Työkonekanta!$A$3:$A$24,0),1)*(1+s0b_kasvu*($C304-2019))*$B304,0)</f>
        <v>11000</v>
      </c>
      <c r="F304" s="145">
        <f t="shared" si="101"/>
        <v>394900</v>
      </c>
      <c r="G304" s="151">
        <f t="shared" si="110"/>
        <v>318604.526251</v>
      </c>
      <c r="H304" s="145">
        <f t="shared" si="111"/>
        <v>76295.473748999997</v>
      </c>
      <c r="I304" s="145">
        <f t="shared" si="102"/>
        <v>8874.7778900000012</v>
      </c>
      <c r="J304" s="145">
        <f t="shared" si="103"/>
        <v>2224.3578352478135</v>
      </c>
      <c r="K304" s="142" t="str">
        <f t="shared" si="112"/>
        <v>l</v>
      </c>
      <c r="L304" s="146">
        <f>IFERROR(INDEX(Työkonekanta!$I$3:$I$27,MATCH('S3 Tiekartta'!$A304,Työkonekanta!$A$3:$A$24,0),1)*(I304+J304)*f_adblue,0)</f>
        <v>554.95678626239078</v>
      </c>
      <c r="M304" s="146">
        <f t="shared" si="121"/>
        <v>0</v>
      </c>
      <c r="N304" s="143" t="str">
        <f>IF(tuulisähkö_vuosi&lt;='S3 Tiekartta'!C304,"tuulisähkö",ostosähkö_nyt)</f>
        <v>jäännössähkö</v>
      </c>
      <c r="O304" s="147">
        <f>INDEX(Muuttujat!$J$5:$J$21,MATCH($C304,Muuttujat!$H$5:$H$21,0),1)</f>
        <v>62.625946521929137</v>
      </c>
      <c r="P304" s="148">
        <f t="shared" si="113"/>
        <v>0.80679798999999996</v>
      </c>
      <c r="Q304" s="148">
        <f t="shared" si="114"/>
        <v>0.19320200999999998</v>
      </c>
      <c r="R304" s="148">
        <f t="shared" si="115"/>
        <v>0.19320200999999998</v>
      </c>
      <c r="S304" s="149">
        <f t="shared" si="104"/>
        <v>6.0216255461438992</v>
      </c>
      <c r="T304" s="150">
        <f t="shared" si="105"/>
        <v>4.7608375619375991</v>
      </c>
      <c r="U304" s="150">
        <f t="shared" si="106"/>
        <v>0</v>
      </c>
      <c r="V304" s="150">
        <f>IFERROR(INDEX(Työkonekanta!$J$3:$J$27,MATCH($A304,Työkonekanta!$A$3:$A$24,0),1)*$B304*ef_li_ion_akku/1000/1000/INDEX(Työkonekanta!$K$3:$K$27,MATCH($A304,Työkonekanta!$A$3:$A$24,0)),0)</f>
        <v>0</v>
      </c>
      <c r="W304" s="149">
        <f t="shared" si="122"/>
        <v>23.51564388783126</v>
      </c>
      <c r="X304" s="150">
        <f t="shared" si="123"/>
        <v>0.34952022600000004</v>
      </c>
      <c r="Y304" s="151">
        <f t="shared" si="124"/>
        <v>0.14428876442822158</v>
      </c>
      <c r="Z304" s="152">
        <f t="shared" si="116"/>
        <v>10.782463108081497</v>
      </c>
      <c r="AA304" s="179">
        <f t="shared" si="117"/>
        <v>23.659932652259482</v>
      </c>
      <c r="AB304" s="179">
        <f t="shared" si="118"/>
        <v>24.009452878259481</v>
      </c>
      <c r="AC304" s="180">
        <f t="shared" si="125"/>
        <v>34.442395760340979</v>
      </c>
      <c r="AD304" s="156">
        <f t="shared" si="119"/>
        <v>34.791915986340982</v>
      </c>
      <c r="AE304" s="146">
        <f>IFERROR(INDEX(Työkonekanta!$L$3:$L$30,MATCH($A304,Työkonekanta!$A$3:$A$30,0),1),0)*AF304</f>
        <v>500000</v>
      </c>
      <c r="AF304" s="146">
        <f>IFERROR(INDEX(Työkonekanta!$N$3:$N$32,MATCH($A304,Työkonekanta!$A$3:$A$32,0),1),0)</f>
        <v>1</v>
      </c>
      <c r="AG304" s="332">
        <f>I304*INDEX(Muuttujat!$U$5:$U$21,MATCH($C304,Muuttujat!$N$5:$N$21,0),1)</f>
        <v>9318.5167845000014</v>
      </c>
      <c r="AH304" s="332">
        <f>J304*INDEX(Muuttujat!$T$5:$T$21,MATCH($C304,Muuttujat!$N$5:$N$21,0),1)</f>
        <v>3225.3188611093301</v>
      </c>
      <c r="AI304" s="332">
        <f t="shared" si="107"/>
        <v>277.47839313119539</v>
      </c>
      <c r="AJ304" s="332">
        <f t="shared" si="108"/>
        <v>0</v>
      </c>
      <c r="AK304" s="333">
        <f t="shared" si="120"/>
        <v>12821.314038740527</v>
      </c>
      <c r="AL304" s="332">
        <f t="shared" si="109"/>
        <v>12821.314038740527</v>
      </c>
      <c r="AM304" s="351"/>
      <c r="AN304" s="351"/>
    </row>
    <row r="305" spans="1:40">
      <c r="A305" s="139">
        <v>3</v>
      </c>
      <c r="B305" s="139">
        <f>IFERROR(IF((INDEX(Työkonekanta!$F$3:$F$27,MATCH('S3 Tiekartta'!$A305,Työkonekanta!$A$3:$A$24,0),1))&lt;0,0,(INDEX(Työkonekanta!$F$3:$F$27,MATCH('S3 Tiekartta'!$A305,Työkonekanta!$A$3:$A$24,0),1))),0)</f>
        <v>1</v>
      </c>
      <c r="C305" s="140">
        <v>2029</v>
      </c>
      <c r="D305" s="141" t="str">
        <f>IFERROR(INDEX(Työkonekanta!$D$3:$D$27,MATCH('S3 Tiekartta'!$A305,Työkonekanta!$A$3:$A$24,0),1),"undefined")</f>
        <v>pom</v>
      </c>
      <c r="E305" s="145">
        <f>IFERROR(INDEX(Työkonekanta!$G$3:$G$27,MATCH($A305,Työkonekanta!$A$3:$A$24,0),1)*INDEX(Työkonekanta!$H$3:$H$27,MATCH($A305,Työkonekanta!$A$3:$A$24,0),1)*(1+s0b_kasvu*($C305-2019))*$B305,0)</f>
        <v>11000</v>
      </c>
      <c r="F305" s="145">
        <f t="shared" si="101"/>
        <v>394900</v>
      </c>
      <c r="G305" s="151">
        <f t="shared" si="110"/>
        <v>318604.526251</v>
      </c>
      <c r="H305" s="145">
        <f t="shared" si="111"/>
        <v>76295.473748999997</v>
      </c>
      <c r="I305" s="145">
        <f t="shared" si="102"/>
        <v>8874.7778900000012</v>
      </c>
      <c r="J305" s="145">
        <f t="shared" si="103"/>
        <v>2224.3578352478135</v>
      </c>
      <c r="K305" s="142" t="str">
        <f t="shared" si="112"/>
        <v>l</v>
      </c>
      <c r="L305" s="146">
        <f>IFERROR(INDEX(Työkonekanta!$I$3:$I$27,MATCH('S3 Tiekartta'!$A305,Työkonekanta!$A$3:$A$24,0),1)*(I305+J305)*f_adblue,0)</f>
        <v>554.95678626239078</v>
      </c>
      <c r="M305" s="146">
        <f t="shared" si="121"/>
        <v>0</v>
      </c>
      <c r="N305" s="143" t="str">
        <f>IF(tuulisähkö_vuosi&lt;='S3 Tiekartta'!C305,"tuulisähkö",ostosähkö_nyt)</f>
        <v>jäännössähkö</v>
      </c>
      <c r="O305" s="147">
        <f>INDEX(Muuttujat!$J$5:$J$21,MATCH($C305,Muuttujat!$H$5:$H$21,0),1)</f>
        <v>62.625946521929137</v>
      </c>
      <c r="P305" s="148">
        <f t="shared" si="113"/>
        <v>0.80679798999999996</v>
      </c>
      <c r="Q305" s="148">
        <f t="shared" si="114"/>
        <v>0.19320200999999998</v>
      </c>
      <c r="R305" s="148">
        <f t="shared" si="115"/>
        <v>0.19320200999999998</v>
      </c>
      <c r="S305" s="149">
        <f t="shared" si="104"/>
        <v>6.0216255461438992</v>
      </c>
      <c r="T305" s="150">
        <f t="shared" si="105"/>
        <v>4.7608375619375991</v>
      </c>
      <c r="U305" s="150">
        <f t="shared" si="106"/>
        <v>0</v>
      </c>
      <c r="V305" s="150">
        <f>IFERROR(INDEX(Työkonekanta!$J$3:$J$27,MATCH($A305,Työkonekanta!$A$3:$A$24,0),1)*$B305*ef_li_ion_akku/1000/1000/INDEX(Työkonekanta!$K$3:$K$27,MATCH($A305,Työkonekanta!$A$3:$A$24,0)),0)</f>
        <v>0</v>
      </c>
      <c r="W305" s="149">
        <f t="shared" si="122"/>
        <v>23.51564388783126</v>
      </c>
      <c r="X305" s="150">
        <f t="shared" si="123"/>
        <v>0.34952022600000004</v>
      </c>
      <c r="Y305" s="151">
        <f t="shared" si="124"/>
        <v>0.14428876442822158</v>
      </c>
      <c r="Z305" s="152">
        <f t="shared" si="116"/>
        <v>10.782463108081497</v>
      </c>
      <c r="AA305" s="179">
        <f t="shared" si="117"/>
        <v>23.659932652259482</v>
      </c>
      <c r="AB305" s="179">
        <f t="shared" si="118"/>
        <v>24.009452878259481</v>
      </c>
      <c r="AC305" s="180">
        <f t="shared" si="125"/>
        <v>34.442395760340979</v>
      </c>
      <c r="AD305" s="156">
        <f t="shared" si="119"/>
        <v>34.791915986340982</v>
      </c>
      <c r="AE305" s="146">
        <f>IFERROR(INDEX(Työkonekanta!$L$3:$L$30,MATCH($A305,Työkonekanta!$A$3:$A$30,0),1),0)*AF305</f>
        <v>0</v>
      </c>
      <c r="AF305" s="146">
        <f>IFERROR(INDEX(Työkonekanta!$N$3:$N$32,MATCH($A305,Työkonekanta!$A$3:$A$32,0),1),0)</f>
        <v>0</v>
      </c>
      <c r="AG305" s="332">
        <f>I305*INDEX(Muuttujat!$U$5:$U$21,MATCH($C305,Muuttujat!$N$5:$N$21,0),1)</f>
        <v>9318.5167845000014</v>
      </c>
      <c r="AH305" s="332">
        <f>J305*INDEX(Muuttujat!$T$5:$T$21,MATCH($C305,Muuttujat!$N$5:$N$21,0),1)</f>
        <v>3225.3188611093301</v>
      </c>
      <c r="AI305" s="332">
        <f t="shared" si="107"/>
        <v>277.47839313119539</v>
      </c>
      <c r="AJ305" s="332">
        <f t="shared" si="108"/>
        <v>0</v>
      </c>
      <c r="AK305" s="333">
        <f t="shared" si="120"/>
        <v>12821.314038740527</v>
      </c>
      <c r="AL305" s="332">
        <f t="shared" si="109"/>
        <v>12821.314038740527</v>
      </c>
      <c r="AM305" s="351"/>
      <c r="AN305" s="351"/>
    </row>
    <row r="306" spans="1:40">
      <c r="A306" s="139">
        <v>4</v>
      </c>
      <c r="B306" s="139">
        <f>IFERROR(IF((INDEX(Työkonekanta!$F$3:$F$27,MATCH('S3 Tiekartta'!$A306,Työkonekanta!$A$3:$A$24,0),1))&lt;0,0,(INDEX(Työkonekanta!$F$3:$F$27,MATCH('S3 Tiekartta'!$A306,Työkonekanta!$A$3:$A$24,0),1))),0)</f>
        <v>1</v>
      </c>
      <c r="C306" s="140">
        <v>2029</v>
      </c>
      <c r="D306" s="141" t="str">
        <f>IFERROR(INDEX(Työkonekanta!$D$3:$D$27,MATCH('S3 Tiekartta'!$A306,Työkonekanta!$A$3:$A$24,0),1),"undefined")</f>
        <v>pom</v>
      </c>
      <c r="E306" s="145">
        <f>IFERROR(INDEX(Työkonekanta!$G$3:$G$27,MATCH($A306,Työkonekanta!$A$3:$A$24,0),1)*INDEX(Työkonekanta!$H$3:$H$27,MATCH($A306,Työkonekanta!$A$3:$A$24,0),1)*(1+s0b_kasvu*($C306-2019))*$B306,0)</f>
        <v>11000</v>
      </c>
      <c r="F306" s="145">
        <f t="shared" si="101"/>
        <v>394900</v>
      </c>
      <c r="G306" s="151">
        <f t="shared" si="110"/>
        <v>318604.526251</v>
      </c>
      <c r="H306" s="145">
        <f t="shared" si="111"/>
        <v>76295.473748999997</v>
      </c>
      <c r="I306" s="145">
        <f t="shared" si="102"/>
        <v>8874.7778900000012</v>
      </c>
      <c r="J306" s="145">
        <f t="shared" si="103"/>
        <v>2224.3578352478135</v>
      </c>
      <c r="K306" s="142" t="str">
        <f t="shared" si="112"/>
        <v>l</v>
      </c>
      <c r="L306" s="146">
        <f>IFERROR(INDEX(Työkonekanta!$I$3:$I$27,MATCH('S3 Tiekartta'!$A306,Työkonekanta!$A$3:$A$24,0),1)*(I306+J306)*f_adblue,0)</f>
        <v>554.95678626239078</v>
      </c>
      <c r="M306" s="146">
        <f t="shared" si="121"/>
        <v>0</v>
      </c>
      <c r="N306" s="143" t="str">
        <f>IF(tuulisähkö_vuosi&lt;='S3 Tiekartta'!C306,"tuulisähkö",ostosähkö_nyt)</f>
        <v>jäännössähkö</v>
      </c>
      <c r="O306" s="147">
        <f>INDEX(Muuttujat!$J$5:$J$21,MATCH($C306,Muuttujat!$H$5:$H$21,0),1)</f>
        <v>62.625946521929137</v>
      </c>
      <c r="P306" s="148">
        <f t="shared" si="113"/>
        <v>0.80679798999999996</v>
      </c>
      <c r="Q306" s="148">
        <f t="shared" si="114"/>
        <v>0.19320200999999998</v>
      </c>
      <c r="R306" s="148">
        <f t="shared" si="115"/>
        <v>0.19320200999999998</v>
      </c>
      <c r="S306" s="149">
        <f t="shared" si="104"/>
        <v>6.0216255461438992</v>
      </c>
      <c r="T306" s="150">
        <f t="shared" si="105"/>
        <v>4.7608375619375991</v>
      </c>
      <c r="U306" s="150">
        <f t="shared" si="106"/>
        <v>0</v>
      </c>
      <c r="V306" s="150">
        <f>IFERROR(INDEX(Työkonekanta!$J$3:$J$27,MATCH($A306,Työkonekanta!$A$3:$A$24,0),1)*$B306*ef_li_ion_akku/1000/1000/INDEX(Työkonekanta!$K$3:$K$27,MATCH($A306,Työkonekanta!$A$3:$A$24,0)),0)</f>
        <v>0</v>
      </c>
      <c r="W306" s="149">
        <f t="shared" si="122"/>
        <v>23.51564388783126</v>
      </c>
      <c r="X306" s="150">
        <f t="shared" si="123"/>
        <v>0.34952022600000004</v>
      </c>
      <c r="Y306" s="151">
        <f t="shared" si="124"/>
        <v>0.14428876442822158</v>
      </c>
      <c r="Z306" s="152">
        <f t="shared" si="116"/>
        <v>10.782463108081497</v>
      </c>
      <c r="AA306" s="179">
        <f t="shared" si="117"/>
        <v>23.659932652259482</v>
      </c>
      <c r="AB306" s="179">
        <f t="shared" si="118"/>
        <v>24.009452878259481</v>
      </c>
      <c r="AC306" s="180">
        <f t="shared" si="125"/>
        <v>34.442395760340979</v>
      </c>
      <c r="AD306" s="156">
        <f t="shared" si="119"/>
        <v>34.791915986340982</v>
      </c>
      <c r="AE306" s="146">
        <f>IFERROR(INDEX(Työkonekanta!$L$3:$L$30,MATCH($A306,Työkonekanta!$A$3:$A$30,0),1),0)*AF306</f>
        <v>0</v>
      </c>
      <c r="AF306" s="146">
        <f>IFERROR(INDEX(Työkonekanta!$N$3:$N$32,MATCH($A306,Työkonekanta!$A$3:$A$32,0),1),0)</f>
        <v>0</v>
      </c>
      <c r="AG306" s="332">
        <f>I306*INDEX(Muuttujat!$U$5:$U$21,MATCH($C306,Muuttujat!$N$5:$N$21,0),1)</f>
        <v>9318.5167845000014</v>
      </c>
      <c r="AH306" s="332">
        <f>J306*INDEX(Muuttujat!$T$5:$T$21,MATCH($C306,Muuttujat!$N$5:$N$21,0),1)</f>
        <v>3225.3188611093301</v>
      </c>
      <c r="AI306" s="332">
        <f t="shared" si="107"/>
        <v>277.47839313119539</v>
      </c>
      <c r="AJ306" s="332">
        <f t="shared" si="108"/>
        <v>0</v>
      </c>
      <c r="AK306" s="333">
        <f t="shared" si="120"/>
        <v>12821.314038740527</v>
      </c>
      <c r="AL306" s="332">
        <f t="shared" si="109"/>
        <v>12821.314038740527</v>
      </c>
      <c r="AM306" s="351"/>
      <c r="AN306" s="351"/>
    </row>
    <row r="307" spans="1:40">
      <c r="A307" s="139">
        <v>5</v>
      </c>
      <c r="B307" s="139">
        <f>IFERROR(IF((INDEX(Työkonekanta!$F$3:$F$27,MATCH('S3 Tiekartta'!$A307,Työkonekanta!$A$3:$A$24,0),1))&lt;0,0,(INDEX(Työkonekanta!$F$3:$F$27,MATCH('S3 Tiekartta'!$A307,Työkonekanta!$A$3:$A$24,0),1))),0)</f>
        <v>0</v>
      </c>
      <c r="C307" s="140">
        <v>2029</v>
      </c>
      <c r="D307" s="141" t="str">
        <f>IFERROR(INDEX(Työkonekanta!$D$3:$D$27,MATCH('S3 Tiekartta'!$A307,Työkonekanta!$A$3:$A$24,0),1),"undefined")</f>
        <v>sähkö</v>
      </c>
      <c r="E307" s="145">
        <f>IFERROR(INDEX(Työkonekanta!$G$3:$G$27,MATCH($A307,Työkonekanta!$A$3:$A$24,0),1)*INDEX(Työkonekanta!$H$3:$H$27,MATCH($A307,Työkonekanta!$A$3:$A$24,0),1)*(1+s0b_kasvu*($C307-2019))*$B307,0)</f>
        <v>0</v>
      </c>
      <c r="F307" s="145">
        <f t="shared" si="101"/>
        <v>0</v>
      </c>
      <c r="G307" s="151">
        <f t="shared" si="110"/>
        <v>0</v>
      </c>
      <c r="H307" s="145">
        <f t="shared" si="111"/>
        <v>0</v>
      </c>
      <c r="I307" s="145">
        <f t="shared" si="102"/>
        <v>0</v>
      </c>
      <c r="J307" s="145">
        <f t="shared" si="103"/>
        <v>0</v>
      </c>
      <c r="K307" s="142" t="str">
        <f t="shared" si="112"/>
        <v>kWh</v>
      </c>
      <c r="L307" s="146">
        <f>IFERROR(INDEX(Työkonekanta!$I$3:$I$27,MATCH('S3 Tiekartta'!$A307,Työkonekanta!$A$3:$A$24,0),1)*(I307+J307)*f_adblue,0)</f>
        <v>0</v>
      </c>
      <c r="M307" s="146">
        <f t="shared" si="121"/>
        <v>0</v>
      </c>
      <c r="N307" s="143" t="str">
        <f>IF(tuulisähkö_vuosi&lt;='S3 Tiekartta'!C307,"tuulisähkö",ostosähkö_nyt)</f>
        <v>jäännössähkö</v>
      </c>
      <c r="O307" s="147">
        <f>INDEX(Muuttujat!$J$5:$J$21,MATCH($C307,Muuttujat!$H$5:$H$21,0),1)</f>
        <v>62.625946521929137</v>
      </c>
      <c r="P307" s="148">
        <f t="shared" si="113"/>
        <v>0.80679798999999996</v>
      </c>
      <c r="Q307" s="148">
        <f t="shared" si="114"/>
        <v>0.19320200999999998</v>
      </c>
      <c r="R307" s="148">
        <f t="shared" si="115"/>
        <v>0.19320200999999998</v>
      </c>
      <c r="S307" s="149">
        <f t="shared" si="104"/>
        <v>0</v>
      </c>
      <c r="T307" s="150">
        <f t="shared" si="105"/>
        <v>0</v>
      </c>
      <c r="U307" s="150">
        <f t="shared" si="106"/>
        <v>0</v>
      </c>
      <c r="V307" s="150">
        <f>IFERROR(INDEX(Työkonekanta!$J$3:$J$27,MATCH($A307,Työkonekanta!$A$3:$A$24,0),1)*$B307*ef_li_ion_akku/1000/1000/INDEX(Työkonekanta!$K$3:$K$27,MATCH($A307,Työkonekanta!$A$3:$A$24,0)),0)</f>
        <v>0</v>
      </c>
      <c r="W307" s="149">
        <f t="shared" si="122"/>
        <v>0</v>
      </c>
      <c r="X307" s="150">
        <f t="shared" si="123"/>
        <v>0</v>
      </c>
      <c r="Y307" s="151">
        <f t="shared" si="124"/>
        <v>0</v>
      </c>
      <c r="Z307" s="152">
        <f t="shared" si="116"/>
        <v>0</v>
      </c>
      <c r="AA307" s="179">
        <f t="shared" si="117"/>
        <v>0</v>
      </c>
      <c r="AB307" s="179">
        <f t="shared" si="118"/>
        <v>0</v>
      </c>
      <c r="AC307" s="180">
        <f t="shared" si="125"/>
        <v>0</v>
      </c>
      <c r="AD307" s="156">
        <f t="shared" si="119"/>
        <v>0</v>
      </c>
      <c r="AE307" s="146">
        <f>IFERROR(INDEX(Työkonekanta!$L$3:$L$30,MATCH($A307,Työkonekanta!$A$3:$A$30,0),1),0)*AF307</f>
        <v>0</v>
      </c>
      <c r="AF307" s="146">
        <f>IFERROR(INDEX(Työkonekanta!$N$3:$N$32,MATCH($A307,Työkonekanta!$A$3:$A$32,0),1),0)</f>
        <v>0</v>
      </c>
      <c r="AG307" s="332">
        <f>I307*INDEX(Muuttujat!$U$5:$U$21,MATCH($C307,Muuttujat!$N$5:$N$21,0),1)</f>
        <v>0</v>
      </c>
      <c r="AH307" s="332">
        <f>J307*INDEX(Muuttujat!$T$5:$T$21,MATCH($C307,Muuttujat!$N$5:$N$21,0),1)</f>
        <v>0</v>
      </c>
      <c r="AI307" s="332">
        <f t="shared" si="107"/>
        <v>0</v>
      </c>
      <c r="AJ307" s="332">
        <f t="shared" si="108"/>
        <v>0</v>
      </c>
      <c r="AK307" s="333">
        <f t="shared" si="120"/>
        <v>0</v>
      </c>
      <c r="AL307" s="332">
        <f t="shared" si="109"/>
        <v>0</v>
      </c>
      <c r="AM307" s="351"/>
      <c r="AN307" s="351"/>
    </row>
    <row r="308" spans="1:40">
      <c r="A308" s="139">
        <v>6</v>
      </c>
      <c r="B308" s="139">
        <f>IFERROR(IF((INDEX(Työkonekanta!$F$3:$F$27,MATCH('S3 Tiekartta'!$A308,Työkonekanta!$A$3:$A$24,0),1))&lt;0,0,(INDEX(Työkonekanta!$F$3:$F$27,MATCH('S3 Tiekartta'!$A308,Työkonekanta!$A$3:$A$24,0),1))),0)</f>
        <v>0</v>
      </c>
      <c r="C308" s="140">
        <v>2029</v>
      </c>
      <c r="D308" s="141" t="str">
        <f>IFERROR(INDEX(Työkonekanta!$D$3:$D$27,MATCH('S3 Tiekartta'!$A308,Työkonekanta!$A$3:$A$24,0),1),"undefined")</f>
        <v>sähkö</v>
      </c>
      <c r="E308" s="145">
        <f>IFERROR(INDEX(Työkonekanta!$G$3:$G$27,MATCH($A308,Työkonekanta!$A$3:$A$24,0),1)*INDEX(Työkonekanta!$H$3:$H$27,MATCH($A308,Työkonekanta!$A$3:$A$24,0),1)*(1+s0b_kasvu*($C308-2019))*$B308,0)</f>
        <v>0</v>
      </c>
      <c r="F308" s="145">
        <f t="shared" si="101"/>
        <v>0</v>
      </c>
      <c r="G308" s="151">
        <f t="shared" si="110"/>
        <v>0</v>
      </c>
      <c r="H308" s="145">
        <f t="shared" si="111"/>
        <v>0</v>
      </c>
      <c r="I308" s="145">
        <f t="shared" si="102"/>
        <v>0</v>
      </c>
      <c r="J308" s="145">
        <f t="shared" si="103"/>
        <v>0</v>
      </c>
      <c r="K308" s="142" t="str">
        <f t="shared" si="112"/>
        <v>kWh</v>
      </c>
      <c r="L308" s="146">
        <f>IFERROR(INDEX(Työkonekanta!$I$3:$I$27,MATCH('S3 Tiekartta'!$A308,Työkonekanta!$A$3:$A$24,0),1)*(I308+J308)*f_adblue,0)</f>
        <v>0</v>
      </c>
      <c r="M308" s="146">
        <f t="shared" si="121"/>
        <v>0</v>
      </c>
      <c r="N308" s="143" t="str">
        <f>IF(tuulisähkö_vuosi&lt;='S3 Tiekartta'!C308,"tuulisähkö",ostosähkö_nyt)</f>
        <v>jäännössähkö</v>
      </c>
      <c r="O308" s="147">
        <f>INDEX(Muuttujat!$J$5:$J$21,MATCH($C308,Muuttujat!$H$5:$H$21,0),1)</f>
        <v>62.625946521929137</v>
      </c>
      <c r="P308" s="148">
        <f t="shared" si="113"/>
        <v>0.80679798999999996</v>
      </c>
      <c r="Q308" s="148">
        <f t="shared" si="114"/>
        <v>0.19320200999999998</v>
      </c>
      <c r="R308" s="148">
        <f t="shared" si="115"/>
        <v>0.19320200999999998</v>
      </c>
      <c r="S308" s="149">
        <f t="shared" si="104"/>
        <v>0</v>
      </c>
      <c r="T308" s="150">
        <f t="shared" si="105"/>
        <v>0</v>
      </c>
      <c r="U308" s="150">
        <f t="shared" si="106"/>
        <v>0</v>
      </c>
      <c r="V308" s="150">
        <f>IFERROR(INDEX(Työkonekanta!$J$3:$J$27,MATCH($A308,Työkonekanta!$A$3:$A$24,0),1)*$B308*ef_li_ion_akku/1000/1000/INDEX(Työkonekanta!$K$3:$K$27,MATCH($A308,Työkonekanta!$A$3:$A$24,0)),0)</f>
        <v>0</v>
      </c>
      <c r="W308" s="149">
        <f t="shared" si="122"/>
        <v>0</v>
      </c>
      <c r="X308" s="150">
        <f t="shared" si="123"/>
        <v>0</v>
      </c>
      <c r="Y308" s="151">
        <f t="shared" si="124"/>
        <v>0</v>
      </c>
      <c r="Z308" s="152">
        <f t="shared" si="116"/>
        <v>0</v>
      </c>
      <c r="AA308" s="179">
        <f t="shared" si="117"/>
        <v>0</v>
      </c>
      <c r="AB308" s="179">
        <f t="shared" si="118"/>
        <v>0</v>
      </c>
      <c r="AC308" s="180">
        <f t="shared" si="125"/>
        <v>0</v>
      </c>
      <c r="AD308" s="156">
        <f t="shared" si="119"/>
        <v>0</v>
      </c>
      <c r="AE308" s="146">
        <f>IFERROR(INDEX(Työkonekanta!$L$3:$L$30,MATCH($A308,Työkonekanta!$A$3:$A$30,0),1),0)*AF308</f>
        <v>0</v>
      </c>
      <c r="AF308" s="146">
        <f>IFERROR(INDEX(Työkonekanta!$N$3:$N$32,MATCH($A308,Työkonekanta!$A$3:$A$32,0),1),0)</f>
        <v>0</v>
      </c>
      <c r="AG308" s="332">
        <f>I308*INDEX(Muuttujat!$U$5:$U$21,MATCH($C308,Muuttujat!$N$5:$N$21,0),1)</f>
        <v>0</v>
      </c>
      <c r="AH308" s="332">
        <f>J308*INDEX(Muuttujat!$T$5:$T$21,MATCH($C308,Muuttujat!$N$5:$N$21,0),1)</f>
        <v>0</v>
      </c>
      <c r="AI308" s="332">
        <f t="shared" si="107"/>
        <v>0</v>
      </c>
      <c r="AJ308" s="332">
        <f t="shared" si="108"/>
        <v>0</v>
      </c>
      <c r="AK308" s="333">
        <f t="shared" si="120"/>
        <v>0</v>
      </c>
      <c r="AL308" s="332">
        <f t="shared" si="109"/>
        <v>0</v>
      </c>
      <c r="AM308" s="351"/>
      <c r="AN308" s="351"/>
    </row>
    <row r="309" spans="1:40">
      <c r="A309" s="139">
        <v>7</v>
      </c>
      <c r="B309" s="139">
        <f>IFERROR(IF((INDEX(Työkonekanta!$F$3:$F$27,MATCH('S3 Tiekartta'!$A309,Työkonekanta!$A$3:$A$24,0),1))&lt;0,0,(INDEX(Työkonekanta!$F$3:$F$27,MATCH('S3 Tiekartta'!$A309,Työkonekanta!$A$3:$A$24,0),1))),0)</f>
        <v>1</v>
      </c>
      <c r="C309" s="140">
        <v>2029</v>
      </c>
      <c r="D309" s="141" t="str">
        <f>IFERROR(INDEX(Työkonekanta!$D$3:$D$27,MATCH('S3 Tiekartta'!$A309,Työkonekanta!$A$3:$A$24,0),1),"undefined")</f>
        <v>pom</v>
      </c>
      <c r="E309" s="145">
        <f>IFERROR(INDEX(Työkonekanta!$G$3:$G$27,MATCH($A309,Työkonekanta!$A$3:$A$24,0),1)*INDEX(Työkonekanta!$H$3:$H$27,MATCH($A309,Työkonekanta!$A$3:$A$24,0),1)*(1+s0b_kasvu*($C309-2019))*$B309,0)</f>
        <v>11000</v>
      </c>
      <c r="F309" s="145">
        <f t="shared" si="101"/>
        <v>394900</v>
      </c>
      <c r="G309" s="151">
        <f t="shared" si="110"/>
        <v>318604.526251</v>
      </c>
      <c r="H309" s="145">
        <f t="shared" si="111"/>
        <v>76295.473748999997</v>
      </c>
      <c r="I309" s="145">
        <f t="shared" si="102"/>
        <v>8874.7778900000012</v>
      </c>
      <c r="J309" s="145">
        <f t="shared" si="103"/>
        <v>2224.3578352478135</v>
      </c>
      <c r="K309" s="142" t="str">
        <f t="shared" si="112"/>
        <v>l</v>
      </c>
      <c r="L309" s="146">
        <f>IFERROR(INDEX(Työkonekanta!$I$3:$I$27,MATCH('S3 Tiekartta'!$A309,Työkonekanta!$A$3:$A$24,0),1)*(I309+J309)*f_adblue,0)</f>
        <v>0</v>
      </c>
      <c r="M309" s="146">
        <f t="shared" si="121"/>
        <v>0</v>
      </c>
      <c r="N309" s="143" t="str">
        <f>IF(tuulisähkö_vuosi&lt;='S3 Tiekartta'!C309,"tuulisähkö",ostosähkö_nyt)</f>
        <v>jäännössähkö</v>
      </c>
      <c r="O309" s="147">
        <f>INDEX(Muuttujat!$J$5:$J$21,MATCH($C309,Muuttujat!$H$5:$H$21,0),1)</f>
        <v>62.625946521929137</v>
      </c>
      <c r="P309" s="148">
        <f t="shared" si="113"/>
        <v>0.80679798999999996</v>
      </c>
      <c r="Q309" s="148">
        <f t="shared" si="114"/>
        <v>0.19320200999999998</v>
      </c>
      <c r="R309" s="148">
        <f t="shared" si="115"/>
        <v>0.19320200999999998</v>
      </c>
      <c r="S309" s="149">
        <f t="shared" si="104"/>
        <v>6.0216255461438992</v>
      </c>
      <c r="T309" s="150">
        <f t="shared" si="105"/>
        <v>4.7608375619375991</v>
      </c>
      <c r="U309" s="150">
        <f t="shared" si="106"/>
        <v>0</v>
      </c>
      <c r="V309" s="150">
        <f>IFERROR(INDEX(Työkonekanta!$J$3:$J$27,MATCH($A309,Työkonekanta!$A$3:$A$24,0),1)*$B309*ef_li_ion_akku/1000/1000/INDEX(Työkonekanta!$K$3:$K$27,MATCH($A309,Työkonekanta!$A$3:$A$24,0)),0)</f>
        <v>0</v>
      </c>
      <c r="W309" s="149">
        <f t="shared" si="122"/>
        <v>23.51564388783126</v>
      </c>
      <c r="X309" s="150">
        <f t="shared" si="123"/>
        <v>0.34952022600000004</v>
      </c>
      <c r="Y309" s="151">
        <f t="shared" si="124"/>
        <v>0</v>
      </c>
      <c r="Z309" s="152">
        <f t="shared" si="116"/>
        <v>10.782463108081497</v>
      </c>
      <c r="AA309" s="179">
        <f t="shared" si="117"/>
        <v>23.51564388783126</v>
      </c>
      <c r="AB309" s="179">
        <f t="shared" si="118"/>
        <v>23.865164113831259</v>
      </c>
      <c r="AC309" s="180">
        <f t="shared" si="125"/>
        <v>34.298106995912761</v>
      </c>
      <c r="AD309" s="156">
        <f t="shared" si="119"/>
        <v>34.647627221912757</v>
      </c>
      <c r="AE309" s="146">
        <f>IFERROR(INDEX(Työkonekanta!$L$3:$L$30,MATCH($A309,Työkonekanta!$A$3:$A$30,0),1),0)*AF309</f>
        <v>500000</v>
      </c>
      <c r="AF309" s="146">
        <f>IFERROR(INDEX(Työkonekanta!$N$3:$N$32,MATCH($A309,Työkonekanta!$A$3:$A$32,0),1),0)</f>
        <v>1</v>
      </c>
      <c r="AG309" s="332">
        <f>I309*INDEX(Muuttujat!$U$5:$U$21,MATCH($C309,Muuttujat!$N$5:$N$21,0),1)</f>
        <v>9318.5167845000014</v>
      </c>
      <c r="AH309" s="332">
        <f>J309*INDEX(Muuttujat!$T$5:$T$21,MATCH($C309,Muuttujat!$N$5:$N$21,0),1)</f>
        <v>3225.3188611093301</v>
      </c>
      <c r="AI309" s="332">
        <f t="shared" si="107"/>
        <v>0</v>
      </c>
      <c r="AJ309" s="332">
        <f t="shared" si="108"/>
        <v>0</v>
      </c>
      <c r="AK309" s="333">
        <f t="shared" si="120"/>
        <v>12543.835645609332</v>
      </c>
      <c r="AL309" s="332">
        <f t="shared" si="109"/>
        <v>12543.835645609332</v>
      </c>
      <c r="AM309" s="351"/>
      <c r="AN309" s="351"/>
    </row>
    <row r="310" spans="1:40">
      <c r="A310" s="139">
        <v>8</v>
      </c>
      <c r="B310" s="139">
        <f>IFERROR(IF((INDEX(Työkonekanta!$F$3:$F$27,MATCH('S3 Tiekartta'!$A310,Työkonekanta!$A$3:$A$24,0),1))&lt;0,0,(INDEX(Työkonekanta!$F$3:$F$27,MATCH('S3 Tiekartta'!$A310,Työkonekanta!$A$3:$A$24,0),1))),0)</f>
        <v>1</v>
      </c>
      <c r="C310" s="140">
        <v>2029</v>
      </c>
      <c r="D310" s="141" t="str">
        <f>IFERROR(INDEX(Työkonekanta!$D$3:$D$27,MATCH('S3 Tiekartta'!$A310,Työkonekanta!$A$3:$A$24,0),1),"undefined")</f>
        <v>pom</v>
      </c>
      <c r="E310" s="145">
        <f>IFERROR(INDEX(Työkonekanta!$G$3:$G$27,MATCH($A310,Työkonekanta!$A$3:$A$24,0),1)*INDEX(Työkonekanta!$H$3:$H$27,MATCH($A310,Työkonekanta!$A$3:$A$24,0),1)*(1+s0b_kasvu*($C310-2019))*$B310,0)</f>
        <v>11000</v>
      </c>
      <c r="F310" s="145">
        <f t="shared" si="101"/>
        <v>394900</v>
      </c>
      <c r="G310" s="151">
        <f t="shared" si="110"/>
        <v>318604.526251</v>
      </c>
      <c r="H310" s="145">
        <f t="shared" si="111"/>
        <v>76295.473748999997</v>
      </c>
      <c r="I310" s="145">
        <f t="shared" si="102"/>
        <v>8874.7778900000012</v>
      </c>
      <c r="J310" s="145">
        <f t="shared" si="103"/>
        <v>2224.3578352478135</v>
      </c>
      <c r="K310" s="142" t="str">
        <f t="shared" si="112"/>
        <v>l</v>
      </c>
      <c r="L310" s="146">
        <f>IFERROR(INDEX(Työkonekanta!$I$3:$I$27,MATCH('S3 Tiekartta'!$A310,Työkonekanta!$A$3:$A$24,0),1)*(I310+J310)*f_adblue,0)</f>
        <v>554.95678626239078</v>
      </c>
      <c r="M310" s="146">
        <f t="shared" si="121"/>
        <v>0</v>
      </c>
      <c r="N310" s="143" t="str">
        <f>IF(tuulisähkö_vuosi&lt;='S3 Tiekartta'!C310,"tuulisähkö",ostosähkö_nyt)</f>
        <v>jäännössähkö</v>
      </c>
      <c r="O310" s="147">
        <f>INDEX(Muuttujat!$J$5:$J$21,MATCH($C310,Muuttujat!$H$5:$H$21,0),1)</f>
        <v>62.625946521929137</v>
      </c>
      <c r="P310" s="148">
        <f t="shared" si="113"/>
        <v>0.80679798999999996</v>
      </c>
      <c r="Q310" s="148">
        <f t="shared" si="114"/>
        <v>0.19320200999999998</v>
      </c>
      <c r="R310" s="148">
        <f t="shared" si="115"/>
        <v>0.19320200999999998</v>
      </c>
      <c r="S310" s="149">
        <f t="shared" si="104"/>
        <v>6.0216255461438992</v>
      </c>
      <c r="T310" s="150">
        <f t="shared" si="105"/>
        <v>4.7608375619375991</v>
      </c>
      <c r="U310" s="150">
        <f t="shared" si="106"/>
        <v>0</v>
      </c>
      <c r="V310" s="150">
        <f>IFERROR(INDEX(Työkonekanta!$J$3:$J$27,MATCH($A310,Työkonekanta!$A$3:$A$24,0),1)*$B310*ef_li_ion_akku/1000/1000/INDEX(Työkonekanta!$K$3:$K$27,MATCH($A310,Työkonekanta!$A$3:$A$24,0)),0)</f>
        <v>0</v>
      </c>
      <c r="W310" s="149">
        <f t="shared" si="122"/>
        <v>23.51564388783126</v>
      </c>
      <c r="X310" s="150">
        <f t="shared" si="123"/>
        <v>0.34952022600000004</v>
      </c>
      <c r="Y310" s="151">
        <f t="shared" si="124"/>
        <v>0.14428876442822158</v>
      </c>
      <c r="Z310" s="152">
        <f t="shared" si="116"/>
        <v>10.782463108081497</v>
      </c>
      <c r="AA310" s="179">
        <f t="shared" si="117"/>
        <v>23.659932652259482</v>
      </c>
      <c r="AB310" s="179">
        <f t="shared" si="118"/>
        <v>24.009452878259481</v>
      </c>
      <c r="AC310" s="180">
        <f t="shared" si="125"/>
        <v>34.442395760340979</v>
      </c>
      <c r="AD310" s="156">
        <f t="shared" si="119"/>
        <v>34.791915986340982</v>
      </c>
      <c r="AE310" s="146">
        <f>IFERROR(INDEX(Työkonekanta!$L$3:$L$30,MATCH($A310,Työkonekanta!$A$3:$A$30,0),1),0)*AF310</f>
        <v>500000</v>
      </c>
      <c r="AF310" s="146">
        <f>IFERROR(INDEX(Työkonekanta!$N$3:$N$32,MATCH($A310,Työkonekanta!$A$3:$A$32,0),1),0)</f>
        <v>1</v>
      </c>
      <c r="AG310" s="332">
        <f>I310*INDEX(Muuttujat!$U$5:$U$21,MATCH($C310,Muuttujat!$N$5:$N$21,0),1)</f>
        <v>9318.5167845000014</v>
      </c>
      <c r="AH310" s="332">
        <f>J310*INDEX(Muuttujat!$T$5:$T$21,MATCH($C310,Muuttujat!$N$5:$N$21,0),1)</f>
        <v>3225.3188611093301</v>
      </c>
      <c r="AI310" s="332">
        <f t="shared" si="107"/>
        <v>277.47839313119539</v>
      </c>
      <c r="AJ310" s="332">
        <f t="shared" si="108"/>
        <v>0</v>
      </c>
      <c r="AK310" s="333">
        <f t="shared" si="120"/>
        <v>12821.314038740527</v>
      </c>
      <c r="AL310" s="332">
        <f t="shared" si="109"/>
        <v>12821.314038740527</v>
      </c>
      <c r="AM310" s="351"/>
      <c r="AN310" s="351"/>
    </row>
    <row r="311" spans="1:40">
      <c r="A311" s="139">
        <v>9</v>
      </c>
      <c r="B311" s="139">
        <f>IFERROR(IF((INDEX(Työkonekanta!$F$3:$F$27,MATCH('S3 Tiekartta'!$A311,Työkonekanta!$A$3:$A$24,0),1))&lt;0,0,(INDEX(Työkonekanta!$F$3:$F$27,MATCH('S3 Tiekartta'!$A311,Työkonekanta!$A$3:$A$24,0),1))),0)</f>
        <v>0</v>
      </c>
      <c r="C311" s="140">
        <v>2029</v>
      </c>
      <c r="D311" s="141" t="str">
        <f>IFERROR(INDEX(Työkonekanta!$D$3:$D$27,MATCH('S3 Tiekartta'!$A311,Työkonekanta!$A$3:$A$24,0),1),"undefined")</f>
        <v>sähkö</v>
      </c>
      <c r="E311" s="145">
        <f>IFERROR(INDEX(Työkonekanta!$G$3:$G$27,MATCH($A311,Työkonekanta!$A$3:$A$24,0),1)*INDEX(Työkonekanta!$H$3:$H$27,MATCH($A311,Työkonekanta!$A$3:$A$24,0),1)*(1+s0b_kasvu*($C311-2019))*$B311,0)</f>
        <v>0</v>
      </c>
      <c r="F311" s="145">
        <f t="shared" si="101"/>
        <v>0</v>
      </c>
      <c r="G311" s="151">
        <f t="shared" si="110"/>
        <v>0</v>
      </c>
      <c r="H311" s="145">
        <f t="shared" si="111"/>
        <v>0</v>
      </c>
      <c r="I311" s="145">
        <f t="shared" si="102"/>
        <v>0</v>
      </c>
      <c r="J311" s="145">
        <f t="shared" si="103"/>
        <v>0</v>
      </c>
      <c r="K311" s="142" t="str">
        <f t="shared" si="112"/>
        <v>kWh</v>
      </c>
      <c r="L311" s="146">
        <f>IFERROR(INDEX(Työkonekanta!$I$3:$I$27,MATCH('S3 Tiekartta'!$A311,Työkonekanta!$A$3:$A$24,0),1)*(I311+J311)*f_adblue,0)</f>
        <v>0</v>
      </c>
      <c r="M311" s="146">
        <f t="shared" si="121"/>
        <v>0</v>
      </c>
      <c r="N311" s="143" t="str">
        <f>IF(tuulisähkö_vuosi&lt;='S3 Tiekartta'!C311,"tuulisähkö",ostosähkö_nyt)</f>
        <v>jäännössähkö</v>
      </c>
      <c r="O311" s="147">
        <f>INDEX(Muuttujat!$J$5:$J$21,MATCH($C311,Muuttujat!$H$5:$H$21,0),1)</f>
        <v>62.625946521929137</v>
      </c>
      <c r="P311" s="148">
        <f t="shared" si="113"/>
        <v>0.80679798999999996</v>
      </c>
      <c r="Q311" s="148">
        <f t="shared" si="114"/>
        <v>0.19320200999999998</v>
      </c>
      <c r="R311" s="148">
        <f t="shared" si="115"/>
        <v>0.19320200999999998</v>
      </c>
      <c r="S311" s="149">
        <f t="shared" si="104"/>
        <v>0</v>
      </c>
      <c r="T311" s="150">
        <f t="shared" si="105"/>
        <v>0</v>
      </c>
      <c r="U311" s="150">
        <f t="shared" si="106"/>
        <v>0</v>
      </c>
      <c r="V311" s="150">
        <f>IFERROR(INDEX(Työkonekanta!$J$3:$J$27,MATCH($A311,Työkonekanta!$A$3:$A$24,0),1)*$B311*ef_li_ion_akku/1000/1000/INDEX(Työkonekanta!$K$3:$K$27,MATCH($A311,Työkonekanta!$A$3:$A$24,0)),0)</f>
        <v>0</v>
      </c>
      <c r="W311" s="149">
        <f t="shared" si="122"/>
        <v>0</v>
      </c>
      <c r="X311" s="150">
        <f t="shared" si="123"/>
        <v>0</v>
      </c>
      <c r="Y311" s="151">
        <f t="shared" si="124"/>
        <v>0</v>
      </c>
      <c r="Z311" s="152">
        <f t="shared" si="116"/>
        <v>0</v>
      </c>
      <c r="AA311" s="179">
        <f t="shared" si="117"/>
        <v>0</v>
      </c>
      <c r="AB311" s="179">
        <f t="shared" si="118"/>
        <v>0</v>
      </c>
      <c r="AC311" s="180">
        <f t="shared" si="125"/>
        <v>0</v>
      </c>
      <c r="AD311" s="156">
        <f t="shared" si="119"/>
        <v>0</v>
      </c>
      <c r="AE311" s="146">
        <f>IFERROR(INDEX(Työkonekanta!$L$3:$L$30,MATCH($A311,Työkonekanta!$A$3:$A$30,0),1),0)*AF311</f>
        <v>0</v>
      </c>
      <c r="AF311" s="146">
        <f>IFERROR(INDEX(Työkonekanta!$N$3:$N$32,MATCH($A311,Työkonekanta!$A$3:$A$32,0),1),0)</f>
        <v>0</v>
      </c>
      <c r="AG311" s="332">
        <f>I311*INDEX(Muuttujat!$U$5:$U$21,MATCH($C311,Muuttujat!$N$5:$N$21,0),1)</f>
        <v>0</v>
      </c>
      <c r="AH311" s="332">
        <f>J311*INDEX(Muuttujat!$T$5:$T$21,MATCH($C311,Muuttujat!$N$5:$N$21,0),1)</f>
        <v>0</v>
      </c>
      <c r="AI311" s="332">
        <f t="shared" si="107"/>
        <v>0</v>
      </c>
      <c r="AJ311" s="332">
        <f t="shared" si="108"/>
        <v>0</v>
      </c>
      <c r="AK311" s="333">
        <f t="shared" si="120"/>
        <v>0</v>
      </c>
      <c r="AL311" s="332">
        <f t="shared" si="109"/>
        <v>0</v>
      </c>
      <c r="AM311" s="351"/>
      <c r="AN311" s="351"/>
    </row>
    <row r="312" spans="1:40">
      <c r="A312" s="139">
        <v>10</v>
      </c>
      <c r="B312" s="139">
        <f>IFERROR(IF((INDEX(Työkonekanta!$F$3:$F$27,MATCH('S3 Tiekartta'!$A312,Työkonekanta!$A$3:$A$24,0),1))&lt;0,0,(INDEX(Työkonekanta!$F$3:$F$27,MATCH('S3 Tiekartta'!$A312,Työkonekanta!$A$3:$A$24,0),1))),0)</f>
        <v>0</v>
      </c>
      <c r="C312" s="140">
        <v>2029</v>
      </c>
      <c r="D312" s="141" t="str">
        <f>IFERROR(INDEX(Työkonekanta!$D$3:$D$27,MATCH('S3 Tiekartta'!$A312,Työkonekanta!$A$3:$A$24,0),1),"undefined")</f>
        <v>sähkö</v>
      </c>
      <c r="E312" s="145">
        <f>IFERROR(INDEX(Työkonekanta!$G$3:$G$27,MATCH($A312,Työkonekanta!$A$3:$A$24,0),1)*INDEX(Työkonekanta!$H$3:$H$27,MATCH($A312,Työkonekanta!$A$3:$A$24,0),1)*(1+s0b_kasvu*($C312-2019))*$B312,0)</f>
        <v>0</v>
      </c>
      <c r="F312" s="145">
        <f t="shared" si="101"/>
        <v>0</v>
      </c>
      <c r="G312" s="151">
        <f t="shared" si="110"/>
        <v>0</v>
      </c>
      <c r="H312" s="145">
        <f t="shared" si="111"/>
        <v>0</v>
      </c>
      <c r="I312" s="145">
        <f t="shared" si="102"/>
        <v>0</v>
      </c>
      <c r="J312" s="145">
        <f t="shared" si="103"/>
        <v>0</v>
      </c>
      <c r="K312" s="142" t="str">
        <f t="shared" si="112"/>
        <v>kWh</v>
      </c>
      <c r="L312" s="146">
        <f>IFERROR(INDEX(Työkonekanta!$I$3:$I$27,MATCH('S3 Tiekartta'!$A312,Työkonekanta!$A$3:$A$24,0),1)*(I312+J312)*f_adblue,0)</f>
        <v>0</v>
      </c>
      <c r="M312" s="146">
        <f t="shared" si="121"/>
        <v>0</v>
      </c>
      <c r="N312" s="143" t="str">
        <f>IF(tuulisähkö_vuosi&lt;='S3 Tiekartta'!C312,"tuulisähkö",ostosähkö_nyt)</f>
        <v>jäännössähkö</v>
      </c>
      <c r="O312" s="147">
        <f>INDEX(Muuttujat!$J$5:$J$21,MATCH($C312,Muuttujat!$H$5:$H$21,0),1)</f>
        <v>62.625946521929137</v>
      </c>
      <c r="P312" s="148">
        <f t="shared" si="113"/>
        <v>0.80679798999999996</v>
      </c>
      <c r="Q312" s="148">
        <f t="shared" si="114"/>
        <v>0.19320200999999998</v>
      </c>
      <c r="R312" s="148">
        <f t="shared" si="115"/>
        <v>0.19320200999999998</v>
      </c>
      <c r="S312" s="149">
        <f t="shared" si="104"/>
        <v>0</v>
      </c>
      <c r="T312" s="150">
        <f t="shared" si="105"/>
        <v>0</v>
      </c>
      <c r="U312" s="150">
        <f t="shared" si="106"/>
        <v>0</v>
      </c>
      <c r="V312" s="150">
        <f>IFERROR(INDEX(Työkonekanta!$J$3:$J$27,MATCH($A312,Työkonekanta!$A$3:$A$24,0),1)*$B312*ef_li_ion_akku/1000/1000/INDEX(Työkonekanta!$K$3:$K$27,MATCH($A312,Työkonekanta!$A$3:$A$24,0)),0)</f>
        <v>0</v>
      </c>
      <c r="W312" s="149">
        <f t="shared" si="122"/>
        <v>0</v>
      </c>
      <c r="X312" s="150">
        <f t="shared" si="123"/>
        <v>0</v>
      </c>
      <c r="Y312" s="151">
        <f t="shared" si="124"/>
        <v>0</v>
      </c>
      <c r="Z312" s="152">
        <f t="shared" si="116"/>
        <v>0</v>
      </c>
      <c r="AA312" s="179">
        <f t="shared" si="117"/>
        <v>0</v>
      </c>
      <c r="AB312" s="179">
        <f t="shared" si="118"/>
        <v>0</v>
      </c>
      <c r="AC312" s="180">
        <f t="shared" si="125"/>
        <v>0</v>
      </c>
      <c r="AD312" s="156">
        <f t="shared" si="119"/>
        <v>0</v>
      </c>
      <c r="AE312" s="146">
        <f>IFERROR(INDEX(Työkonekanta!$L$3:$L$30,MATCH($A312,Työkonekanta!$A$3:$A$30,0),1),0)*AF312</f>
        <v>0</v>
      </c>
      <c r="AF312" s="146">
        <f>IFERROR(INDEX(Työkonekanta!$N$3:$N$32,MATCH($A312,Työkonekanta!$A$3:$A$32,0),1),0)</f>
        <v>0</v>
      </c>
      <c r="AG312" s="332">
        <f>I312*INDEX(Muuttujat!$U$5:$U$21,MATCH($C312,Muuttujat!$N$5:$N$21,0),1)</f>
        <v>0</v>
      </c>
      <c r="AH312" s="332">
        <f>J312*INDEX(Muuttujat!$T$5:$T$21,MATCH($C312,Muuttujat!$N$5:$N$21,0),1)</f>
        <v>0</v>
      </c>
      <c r="AI312" s="332">
        <f t="shared" si="107"/>
        <v>0</v>
      </c>
      <c r="AJ312" s="332">
        <f t="shared" si="108"/>
        <v>0</v>
      </c>
      <c r="AK312" s="333">
        <f t="shared" si="120"/>
        <v>0</v>
      </c>
      <c r="AL312" s="332">
        <f t="shared" si="109"/>
        <v>0</v>
      </c>
      <c r="AM312" s="351"/>
      <c r="AN312" s="351"/>
    </row>
    <row r="313" spans="1:40">
      <c r="A313" s="139">
        <v>11</v>
      </c>
      <c r="B313" s="139">
        <f>IFERROR(IF((INDEX(Työkonekanta!$F$3:$F$27,MATCH('S3 Tiekartta'!$A313,Työkonekanta!$A$3:$A$24,0),1))&lt;0,0,(INDEX(Työkonekanta!$F$3:$F$27,MATCH('S3 Tiekartta'!$A313,Työkonekanta!$A$3:$A$24,0),1))),0)</f>
        <v>1</v>
      </c>
      <c r="C313" s="140">
        <v>2029</v>
      </c>
      <c r="D313" s="141" t="str">
        <f>IFERROR(INDEX(Työkonekanta!$D$3:$D$27,MATCH('S3 Tiekartta'!$A313,Työkonekanta!$A$3:$A$24,0),1),"undefined")</f>
        <v>pom</v>
      </c>
      <c r="E313" s="145">
        <f>IFERROR(INDEX(Työkonekanta!$G$3:$G$27,MATCH($A313,Työkonekanta!$A$3:$A$24,0),1)*INDEX(Työkonekanta!$H$3:$H$27,MATCH($A313,Työkonekanta!$A$3:$A$24,0),1)*(1+s0b_kasvu*($C313-2019))*$B313,0)</f>
        <v>11000</v>
      </c>
      <c r="F313" s="145">
        <f t="shared" si="101"/>
        <v>394900</v>
      </c>
      <c r="G313" s="151">
        <f t="shared" si="110"/>
        <v>318604.526251</v>
      </c>
      <c r="H313" s="145">
        <f t="shared" si="111"/>
        <v>76295.473748999997</v>
      </c>
      <c r="I313" s="145">
        <f t="shared" si="102"/>
        <v>8874.7778900000012</v>
      </c>
      <c r="J313" s="145">
        <f t="shared" si="103"/>
        <v>2224.3578352478135</v>
      </c>
      <c r="K313" s="142" t="str">
        <f t="shared" si="112"/>
        <v>l</v>
      </c>
      <c r="L313" s="146">
        <f>IFERROR(INDEX(Työkonekanta!$I$3:$I$27,MATCH('S3 Tiekartta'!$A313,Työkonekanta!$A$3:$A$24,0),1)*(I313+J313)*f_adblue,0)</f>
        <v>554.95678626239078</v>
      </c>
      <c r="M313" s="146">
        <f t="shared" si="121"/>
        <v>0</v>
      </c>
      <c r="N313" s="143" t="str">
        <f>IF(tuulisähkö_vuosi&lt;='S3 Tiekartta'!C313,"tuulisähkö",ostosähkö_nyt)</f>
        <v>jäännössähkö</v>
      </c>
      <c r="O313" s="147">
        <f>INDEX(Muuttujat!$J$5:$J$21,MATCH($C313,Muuttujat!$H$5:$H$21,0),1)</f>
        <v>62.625946521929137</v>
      </c>
      <c r="P313" s="148">
        <f t="shared" si="113"/>
        <v>0.80679798999999996</v>
      </c>
      <c r="Q313" s="148">
        <f t="shared" si="114"/>
        <v>0.19320200999999998</v>
      </c>
      <c r="R313" s="148">
        <f t="shared" si="115"/>
        <v>0.19320200999999998</v>
      </c>
      <c r="S313" s="149">
        <f t="shared" si="104"/>
        <v>6.0216255461438992</v>
      </c>
      <c r="T313" s="150">
        <f t="shared" si="105"/>
        <v>4.7608375619375991</v>
      </c>
      <c r="U313" s="150">
        <f t="shared" si="106"/>
        <v>0</v>
      </c>
      <c r="V313" s="150">
        <f>IFERROR(INDEX(Työkonekanta!$J$3:$J$27,MATCH($A313,Työkonekanta!$A$3:$A$24,0),1)*$B313*ef_li_ion_akku/1000/1000/INDEX(Työkonekanta!$K$3:$K$27,MATCH($A313,Työkonekanta!$A$3:$A$24,0)),0)</f>
        <v>0</v>
      </c>
      <c r="W313" s="149">
        <f t="shared" si="122"/>
        <v>23.51564388783126</v>
      </c>
      <c r="X313" s="150">
        <f t="shared" si="123"/>
        <v>0.34952022600000004</v>
      </c>
      <c r="Y313" s="151">
        <f t="shared" si="124"/>
        <v>0.14428876442822158</v>
      </c>
      <c r="Z313" s="152">
        <f t="shared" si="116"/>
        <v>10.782463108081497</v>
      </c>
      <c r="AA313" s="179">
        <f t="shared" si="117"/>
        <v>23.659932652259482</v>
      </c>
      <c r="AB313" s="179">
        <f t="shared" si="118"/>
        <v>24.009452878259481</v>
      </c>
      <c r="AC313" s="180">
        <f t="shared" si="125"/>
        <v>34.442395760340979</v>
      </c>
      <c r="AD313" s="156">
        <f t="shared" si="119"/>
        <v>34.791915986340982</v>
      </c>
      <c r="AE313" s="146">
        <f>IFERROR(INDEX(Työkonekanta!$L$3:$L$30,MATCH($A313,Työkonekanta!$A$3:$A$30,0),1),0)*AF313</f>
        <v>500000</v>
      </c>
      <c r="AF313" s="146">
        <f>IFERROR(INDEX(Työkonekanta!$N$3:$N$32,MATCH($A313,Työkonekanta!$A$3:$A$32,0),1),0)</f>
        <v>1</v>
      </c>
      <c r="AG313" s="332">
        <f>I313*INDEX(Muuttujat!$U$5:$U$21,MATCH($C313,Muuttujat!$N$5:$N$21,0),1)</f>
        <v>9318.5167845000014</v>
      </c>
      <c r="AH313" s="332">
        <f>J313*INDEX(Muuttujat!$T$5:$T$21,MATCH($C313,Muuttujat!$N$5:$N$21,0),1)</f>
        <v>3225.3188611093301</v>
      </c>
      <c r="AI313" s="332">
        <f t="shared" si="107"/>
        <v>277.47839313119539</v>
      </c>
      <c r="AJ313" s="332">
        <f t="shared" si="108"/>
        <v>0</v>
      </c>
      <c r="AK313" s="333">
        <f t="shared" si="120"/>
        <v>12821.314038740527</v>
      </c>
      <c r="AL313" s="332">
        <f t="shared" si="109"/>
        <v>12821.314038740527</v>
      </c>
      <c r="AM313" s="351"/>
      <c r="AN313" s="351"/>
    </row>
    <row r="314" spans="1:40">
      <c r="A314" s="139">
        <v>12</v>
      </c>
      <c r="B314" s="139">
        <f>IFERROR(IF((INDEX(Työkonekanta!$F$3:$F$27,MATCH('S3 Tiekartta'!$A314,Työkonekanta!$A$3:$A$24,0),1))&lt;0,0,(INDEX(Työkonekanta!$F$3:$F$27,MATCH('S3 Tiekartta'!$A314,Työkonekanta!$A$3:$A$24,0),1))),0)</f>
        <v>1</v>
      </c>
      <c r="C314" s="140">
        <v>2029</v>
      </c>
      <c r="D314" s="141" t="str">
        <f>IFERROR(INDEX(Työkonekanta!$D$3:$D$27,MATCH('S3 Tiekartta'!$A314,Työkonekanta!$A$3:$A$24,0),1),"undefined")</f>
        <v>pom</v>
      </c>
      <c r="E314" s="145">
        <f>IFERROR(INDEX(Työkonekanta!$G$3:$G$27,MATCH($A314,Työkonekanta!$A$3:$A$24,0),1)*INDEX(Työkonekanta!$H$3:$H$27,MATCH($A314,Työkonekanta!$A$3:$A$24,0),1)*(1+s0b_kasvu*($C314-2019))*$B314,0)</f>
        <v>11000</v>
      </c>
      <c r="F314" s="145">
        <f t="shared" si="101"/>
        <v>394900</v>
      </c>
      <c r="G314" s="151">
        <f t="shared" si="110"/>
        <v>318604.526251</v>
      </c>
      <c r="H314" s="145">
        <f t="shared" si="111"/>
        <v>76295.473748999997</v>
      </c>
      <c r="I314" s="145">
        <f t="shared" si="102"/>
        <v>8874.7778900000012</v>
      </c>
      <c r="J314" s="145">
        <f t="shared" si="103"/>
        <v>2224.3578352478135</v>
      </c>
      <c r="K314" s="142" t="str">
        <f t="shared" si="112"/>
        <v>l</v>
      </c>
      <c r="L314" s="146">
        <f>IFERROR(INDEX(Työkonekanta!$I$3:$I$27,MATCH('S3 Tiekartta'!$A314,Työkonekanta!$A$3:$A$24,0),1)*(I314+J314)*f_adblue,0)</f>
        <v>554.95678626239078</v>
      </c>
      <c r="M314" s="146">
        <f t="shared" si="121"/>
        <v>0</v>
      </c>
      <c r="N314" s="143" t="str">
        <f>IF(tuulisähkö_vuosi&lt;='S3 Tiekartta'!C314,"tuulisähkö",ostosähkö_nyt)</f>
        <v>jäännössähkö</v>
      </c>
      <c r="O314" s="147">
        <f>INDEX(Muuttujat!$J$5:$J$21,MATCH($C314,Muuttujat!$H$5:$H$21,0),1)</f>
        <v>62.625946521929137</v>
      </c>
      <c r="P314" s="148">
        <f t="shared" si="113"/>
        <v>0.80679798999999996</v>
      </c>
      <c r="Q314" s="148">
        <f t="shared" si="114"/>
        <v>0.19320200999999998</v>
      </c>
      <c r="R314" s="148">
        <f t="shared" si="115"/>
        <v>0.19320200999999998</v>
      </c>
      <c r="S314" s="149">
        <f t="shared" si="104"/>
        <v>6.0216255461438992</v>
      </c>
      <c r="T314" s="150">
        <f t="shared" si="105"/>
        <v>4.7608375619375991</v>
      </c>
      <c r="U314" s="150">
        <f t="shared" si="106"/>
        <v>0</v>
      </c>
      <c r="V314" s="150">
        <f>IFERROR(INDEX(Työkonekanta!$J$3:$J$27,MATCH($A314,Työkonekanta!$A$3:$A$24,0),1)*$B314*ef_li_ion_akku/1000/1000/INDEX(Työkonekanta!$K$3:$K$27,MATCH($A314,Työkonekanta!$A$3:$A$24,0)),0)</f>
        <v>0</v>
      </c>
      <c r="W314" s="149">
        <f t="shared" si="122"/>
        <v>23.51564388783126</v>
      </c>
      <c r="X314" s="150">
        <f t="shared" si="123"/>
        <v>0.34952022600000004</v>
      </c>
      <c r="Y314" s="151">
        <f t="shared" si="124"/>
        <v>0.14428876442822158</v>
      </c>
      <c r="Z314" s="152">
        <f t="shared" si="116"/>
        <v>10.782463108081497</v>
      </c>
      <c r="AA314" s="179">
        <f t="shared" si="117"/>
        <v>23.659932652259482</v>
      </c>
      <c r="AB314" s="179">
        <f t="shared" si="118"/>
        <v>24.009452878259481</v>
      </c>
      <c r="AC314" s="180">
        <f t="shared" si="125"/>
        <v>34.442395760340979</v>
      </c>
      <c r="AD314" s="156">
        <f t="shared" si="119"/>
        <v>34.791915986340982</v>
      </c>
      <c r="AE314" s="146">
        <f>IFERROR(INDEX(Työkonekanta!$L$3:$L$30,MATCH($A314,Työkonekanta!$A$3:$A$30,0),1),0)*AF314</f>
        <v>500000</v>
      </c>
      <c r="AF314" s="146">
        <f>IFERROR(INDEX(Työkonekanta!$N$3:$N$32,MATCH($A314,Työkonekanta!$A$3:$A$32,0),1),0)</f>
        <v>1</v>
      </c>
      <c r="AG314" s="332">
        <f>I314*INDEX(Muuttujat!$U$5:$U$21,MATCH($C314,Muuttujat!$N$5:$N$21,0),1)</f>
        <v>9318.5167845000014</v>
      </c>
      <c r="AH314" s="332">
        <f>J314*INDEX(Muuttujat!$T$5:$T$21,MATCH($C314,Muuttujat!$N$5:$N$21,0),1)</f>
        <v>3225.3188611093301</v>
      </c>
      <c r="AI314" s="332">
        <f t="shared" si="107"/>
        <v>277.47839313119539</v>
      </c>
      <c r="AJ314" s="332">
        <f t="shared" si="108"/>
        <v>0</v>
      </c>
      <c r="AK314" s="333">
        <f t="shared" si="120"/>
        <v>12821.314038740527</v>
      </c>
      <c r="AL314" s="332">
        <f t="shared" si="109"/>
        <v>12821.314038740527</v>
      </c>
      <c r="AM314" s="351"/>
      <c r="AN314" s="351"/>
    </row>
    <row r="315" spans="1:40">
      <c r="A315" s="139">
        <v>13</v>
      </c>
      <c r="B315" s="139">
        <f>IFERROR(IF((INDEX(Työkonekanta!$F$3:$F$27,MATCH('S3 Tiekartta'!$A315,Työkonekanta!$A$3:$A$24,0),1))&lt;0,0,(INDEX(Työkonekanta!$F$3:$F$27,MATCH('S3 Tiekartta'!$A315,Työkonekanta!$A$3:$A$24,0),1))),0)</f>
        <v>0</v>
      </c>
      <c r="C315" s="140">
        <v>2029</v>
      </c>
      <c r="D315" s="141" t="str">
        <f>IFERROR(INDEX(Työkonekanta!$D$3:$D$27,MATCH('S3 Tiekartta'!$A315,Työkonekanta!$A$3:$A$24,0),1),"undefined")</f>
        <v>pom</v>
      </c>
      <c r="E315" s="145">
        <f>IFERROR(INDEX(Työkonekanta!$G$3:$G$27,MATCH($A315,Työkonekanta!$A$3:$A$24,0),1)*INDEX(Työkonekanta!$H$3:$H$27,MATCH($A315,Työkonekanta!$A$3:$A$24,0),1)*(1+s0b_kasvu*($C315-2019))*$B315,0)</f>
        <v>0</v>
      </c>
      <c r="F315" s="145">
        <f t="shared" si="101"/>
        <v>0</v>
      </c>
      <c r="G315" s="151">
        <f t="shared" si="110"/>
        <v>0</v>
      </c>
      <c r="H315" s="145">
        <f t="shared" si="111"/>
        <v>0</v>
      </c>
      <c r="I315" s="145">
        <f t="shared" si="102"/>
        <v>0</v>
      </c>
      <c r="J315" s="145">
        <f t="shared" si="103"/>
        <v>0</v>
      </c>
      <c r="K315" s="142" t="str">
        <f t="shared" si="112"/>
        <v>l</v>
      </c>
      <c r="L315" s="146">
        <f>IFERROR(INDEX(Työkonekanta!$I$3:$I$27,MATCH('S3 Tiekartta'!$A315,Työkonekanta!$A$3:$A$24,0),1)*(I315+J315)*f_adblue,0)</f>
        <v>0</v>
      </c>
      <c r="M315" s="146">
        <f t="shared" si="121"/>
        <v>0</v>
      </c>
      <c r="N315" s="143" t="str">
        <f>IF(tuulisähkö_vuosi&lt;='S3 Tiekartta'!C315,"tuulisähkö",ostosähkö_nyt)</f>
        <v>jäännössähkö</v>
      </c>
      <c r="O315" s="147">
        <f>INDEX(Muuttujat!$J$5:$J$21,MATCH($C315,Muuttujat!$H$5:$H$21,0),1)</f>
        <v>62.625946521929137</v>
      </c>
      <c r="P315" s="148">
        <f t="shared" si="113"/>
        <v>0.80679798999999996</v>
      </c>
      <c r="Q315" s="148">
        <f t="shared" si="114"/>
        <v>0.19320200999999998</v>
      </c>
      <c r="R315" s="148">
        <f t="shared" si="115"/>
        <v>0.19320200999999998</v>
      </c>
      <c r="S315" s="149">
        <f t="shared" si="104"/>
        <v>0</v>
      </c>
      <c r="T315" s="150">
        <f t="shared" si="105"/>
        <v>0</v>
      </c>
      <c r="U315" s="150">
        <f t="shared" si="106"/>
        <v>0</v>
      </c>
      <c r="V315" s="150">
        <f>IFERROR(INDEX(Työkonekanta!$J$3:$J$27,MATCH($A315,Työkonekanta!$A$3:$A$24,0),1)*$B315*ef_li_ion_akku/1000/1000/INDEX(Työkonekanta!$K$3:$K$27,MATCH($A315,Työkonekanta!$A$3:$A$24,0)),0)</f>
        <v>0</v>
      </c>
      <c r="W315" s="149">
        <f t="shared" si="122"/>
        <v>0</v>
      </c>
      <c r="X315" s="150">
        <f t="shared" si="123"/>
        <v>0</v>
      </c>
      <c r="Y315" s="151">
        <f t="shared" si="124"/>
        <v>0</v>
      </c>
      <c r="Z315" s="152">
        <f t="shared" si="116"/>
        <v>0</v>
      </c>
      <c r="AA315" s="179">
        <f t="shared" si="117"/>
        <v>0</v>
      </c>
      <c r="AB315" s="179">
        <f t="shared" si="118"/>
        <v>0</v>
      </c>
      <c r="AC315" s="180">
        <f t="shared" si="125"/>
        <v>0</v>
      </c>
      <c r="AD315" s="156">
        <f t="shared" si="119"/>
        <v>0</v>
      </c>
      <c r="AE315" s="146">
        <f>IFERROR(INDEX(Työkonekanta!$L$3:$L$30,MATCH($A315,Työkonekanta!$A$3:$A$30,0),1),0)*AF315</f>
        <v>0</v>
      </c>
      <c r="AF315" s="146">
        <f>IFERROR(INDEX(Työkonekanta!$N$3:$N$32,MATCH($A315,Työkonekanta!$A$3:$A$32,0),1),0)</f>
        <v>0</v>
      </c>
      <c r="AG315" s="332">
        <f>I315*INDEX(Muuttujat!$U$5:$U$21,MATCH($C315,Muuttujat!$N$5:$N$21,0),1)</f>
        <v>0</v>
      </c>
      <c r="AH315" s="332">
        <f>J315*INDEX(Muuttujat!$T$5:$T$21,MATCH($C315,Muuttujat!$N$5:$N$21,0),1)</f>
        <v>0</v>
      </c>
      <c r="AI315" s="332">
        <f t="shared" si="107"/>
        <v>0</v>
      </c>
      <c r="AJ315" s="332">
        <f t="shared" si="108"/>
        <v>0</v>
      </c>
      <c r="AK315" s="333">
        <f t="shared" si="120"/>
        <v>0</v>
      </c>
      <c r="AL315" s="332">
        <f t="shared" si="109"/>
        <v>0</v>
      </c>
      <c r="AM315" s="351"/>
      <c r="AN315" s="351"/>
    </row>
    <row r="316" spans="1:40">
      <c r="A316" s="139">
        <v>14</v>
      </c>
      <c r="B316" s="139">
        <f>IFERROR(IF((INDEX(Työkonekanta!$F$3:$F$27,MATCH('S3 Tiekartta'!$A316,Työkonekanta!$A$3:$A$24,0),1))&lt;0,0,(INDEX(Työkonekanta!$F$3:$F$27,MATCH('S3 Tiekartta'!$A316,Työkonekanta!$A$3:$A$24,0),1))),0)</f>
        <v>0</v>
      </c>
      <c r="C316" s="140">
        <v>2029</v>
      </c>
      <c r="D316" s="141" t="str">
        <f>IFERROR(INDEX(Työkonekanta!$D$3:$D$27,MATCH('S3 Tiekartta'!$A316,Työkonekanta!$A$3:$A$24,0),1),"undefined")</f>
        <v>pom</v>
      </c>
      <c r="E316" s="145">
        <f>IFERROR(INDEX(Työkonekanta!$G$3:$G$27,MATCH($A316,Työkonekanta!$A$3:$A$24,0),1)*INDEX(Työkonekanta!$H$3:$H$27,MATCH($A316,Työkonekanta!$A$3:$A$24,0),1)*(1+s0b_kasvu*($C316-2019))*$B316,0)</f>
        <v>0</v>
      </c>
      <c r="F316" s="145">
        <f t="shared" si="101"/>
        <v>0</v>
      </c>
      <c r="G316" s="151">
        <f t="shared" si="110"/>
        <v>0</v>
      </c>
      <c r="H316" s="145">
        <f t="shared" si="111"/>
        <v>0</v>
      </c>
      <c r="I316" s="145">
        <f t="shared" si="102"/>
        <v>0</v>
      </c>
      <c r="J316" s="145">
        <f t="shared" si="103"/>
        <v>0</v>
      </c>
      <c r="K316" s="142" t="str">
        <f t="shared" si="112"/>
        <v>l</v>
      </c>
      <c r="L316" s="146">
        <f>IFERROR(INDEX(Työkonekanta!$I$3:$I$27,MATCH('S3 Tiekartta'!$A316,Työkonekanta!$A$3:$A$24,0),1)*(I316+J316)*f_adblue,0)</f>
        <v>0</v>
      </c>
      <c r="M316" s="146">
        <f t="shared" si="121"/>
        <v>0</v>
      </c>
      <c r="N316" s="143" t="str">
        <f>IF(tuulisähkö_vuosi&lt;='S3 Tiekartta'!C316,"tuulisähkö",ostosähkö_nyt)</f>
        <v>jäännössähkö</v>
      </c>
      <c r="O316" s="147">
        <f>INDEX(Muuttujat!$J$5:$J$21,MATCH($C316,Muuttujat!$H$5:$H$21,0),1)</f>
        <v>62.625946521929137</v>
      </c>
      <c r="P316" s="148">
        <f t="shared" si="113"/>
        <v>0.80679798999999996</v>
      </c>
      <c r="Q316" s="148">
        <f t="shared" si="114"/>
        <v>0.19320200999999998</v>
      </c>
      <c r="R316" s="148">
        <f t="shared" si="115"/>
        <v>0.19320200999999998</v>
      </c>
      <c r="S316" s="149">
        <f t="shared" si="104"/>
        <v>0</v>
      </c>
      <c r="T316" s="150">
        <f t="shared" si="105"/>
        <v>0</v>
      </c>
      <c r="U316" s="150">
        <f t="shared" si="106"/>
        <v>0</v>
      </c>
      <c r="V316" s="150">
        <f>IFERROR(INDEX(Työkonekanta!$J$3:$J$27,MATCH($A316,Työkonekanta!$A$3:$A$24,0),1)*$B316*ef_li_ion_akku/1000/1000/INDEX(Työkonekanta!$K$3:$K$27,MATCH($A316,Työkonekanta!$A$3:$A$24,0)),0)</f>
        <v>0</v>
      </c>
      <c r="W316" s="149">
        <f t="shared" si="122"/>
        <v>0</v>
      </c>
      <c r="X316" s="150">
        <f t="shared" si="123"/>
        <v>0</v>
      </c>
      <c r="Y316" s="151">
        <f t="shared" si="124"/>
        <v>0</v>
      </c>
      <c r="Z316" s="152">
        <f t="shared" si="116"/>
        <v>0</v>
      </c>
      <c r="AA316" s="179">
        <f t="shared" si="117"/>
        <v>0</v>
      </c>
      <c r="AB316" s="179">
        <f t="shared" si="118"/>
        <v>0</v>
      </c>
      <c r="AC316" s="180">
        <f t="shared" si="125"/>
        <v>0</v>
      </c>
      <c r="AD316" s="156">
        <f t="shared" si="119"/>
        <v>0</v>
      </c>
      <c r="AE316" s="146">
        <f>IFERROR(INDEX(Työkonekanta!$L$3:$L$30,MATCH($A316,Työkonekanta!$A$3:$A$30,0),1),0)*AF316</f>
        <v>0</v>
      </c>
      <c r="AF316" s="146">
        <f>IFERROR(INDEX(Työkonekanta!$N$3:$N$32,MATCH($A316,Työkonekanta!$A$3:$A$32,0),1),0)</f>
        <v>0</v>
      </c>
      <c r="AG316" s="332">
        <f>I316*INDEX(Muuttujat!$U$5:$U$21,MATCH($C316,Muuttujat!$N$5:$N$21,0),1)</f>
        <v>0</v>
      </c>
      <c r="AH316" s="332">
        <f>J316*INDEX(Muuttujat!$T$5:$T$21,MATCH($C316,Muuttujat!$N$5:$N$21,0),1)</f>
        <v>0</v>
      </c>
      <c r="AI316" s="332">
        <f t="shared" si="107"/>
        <v>0</v>
      </c>
      <c r="AJ316" s="332">
        <f t="shared" si="108"/>
        <v>0</v>
      </c>
      <c r="AK316" s="333">
        <f t="shared" si="120"/>
        <v>0</v>
      </c>
      <c r="AL316" s="332">
        <f t="shared" si="109"/>
        <v>0</v>
      </c>
      <c r="AM316" s="351"/>
      <c r="AN316" s="351"/>
    </row>
    <row r="317" spans="1:40">
      <c r="A317" s="139">
        <v>15</v>
      </c>
      <c r="B317" s="139">
        <f>IFERROR(IF((INDEX(Työkonekanta!$F$3:$F$27,MATCH('S3 Tiekartta'!$A317,Työkonekanta!$A$3:$A$24,0),1))&lt;0,0,(INDEX(Työkonekanta!$F$3:$F$27,MATCH('S3 Tiekartta'!$A317,Työkonekanta!$A$3:$A$24,0),1))),0)</f>
        <v>0</v>
      </c>
      <c r="C317" s="140">
        <v>2029</v>
      </c>
      <c r="D317" s="141" t="str">
        <f>IFERROR(INDEX(Työkonekanta!$D$3:$D$27,MATCH('S3 Tiekartta'!$A317,Työkonekanta!$A$3:$A$24,0),1),"undefined")</f>
        <v>sähkö</v>
      </c>
      <c r="E317" s="145">
        <f>IFERROR(INDEX(Työkonekanta!$G$3:$G$27,MATCH($A317,Työkonekanta!$A$3:$A$24,0),1)*INDEX(Työkonekanta!$H$3:$H$27,MATCH($A317,Työkonekanta!$A$3:$A$24,0),1)*(1+s0b_kasvu*($C317-2019))*$B317,0)</f>
        <v>0</v>
      </c>
      <c r="F317" s="145">
        <f t="shared" si="101"/>
        <v>0</v>
      </c>
      <c r="G317" s="151">
        <f t="shared" si="110"/>
        <v>0</v>
      </c>
      <c r="H317" s="145">
        <f t="shared" si="111"/>
        <v>0</v>
      </c>
      <c r="I317" s="145">
        <f t="shared" si="102"/>
        <v>0</v>
      </c>
      <c r="J317" s="145">
        <f t="shared" si="103"/>
        <v>0</v>
      </c>
      <c r="K317" s="142" t="str">
        <f t="shared" si="112"/>
        <v>kWh</v>
      </c>
      <c r="L317" s="146">
        <f>IFERROR(INDEX(Työkonekanta!$I$3:$I$27,MATCH('S3 Tiekartta'!$A317,Työkonekanta!$A$3:$A$24,0),1)*(I317+J317)*f_adblue,0)</f>
        <v>0</v>
      </c>
      <c r="M317" s="146">
        <f t="shared" si="121"/>
        <v>0</v>
      </c>
      <c r="N317" s="143" t="str">
        <f>IF(tuulisähkö_vuosi&lt;='S3 Tiekartta'!C317,"tuulisähkö",ostosähkö_nyt)</f>
        <v>jäännössähkö</v>
      </c>
      <c r="O317" s="147">
        <f>INDEX(Muuttujat!$J$5:$J$21,MATCH($C317,Muuttujat!$H$5:$H$21,0),1)</f>
        <v>62.625946521929137</v>
      </c>
      <c r="P317" s="148">
        <f t="shared" si="113"/>
        <v>0.80679798999999996</v>
      </c>
      <c r="Q317" s="148">
        <f t="shared" si="114"/>
        <v>0.19320200999999998</v>
      </c>
      <c r="R317" s="148">
        <f t="shared" si="115"/>
        <v>0.19320200999999998</v>
      </c>
      <c r="S317" s="149">
        <f t="shared" si="104"/>
        <v>0</v>
      </c>
      <c r="T317" s="150">
        <f t="shared" si="105"/>
        <v>0</v>
      </c>
      <c r="U317" s="150">
        <f t="shared" si="106"/>
        <v>0</v>
      </c>
      <c r="V317" s="150">
        <f>IFERROR(INDEX(Työkonekanta!$J$3:$J$27,MATCH($A317,Työkonekanta!$A$3:$A$24,0),1)*$B317*ef_li_ion_akku/1000/1000/INDEX(Työkonekanta!$K$3:$K$27,MATCH($A317,Työkonekanta!$A$3:$A$24,0)),0)</f>
        <v>0</v>
      </c>
      <c r="W317" s="149">
        <f t="shared" si="122"/>
        <v>0</v>
      </c>
      <c r="X317" s="150">
        <f t="shared" si="123"/>
        <v>0</v>
      </c>
      <c r="Y317" s="151">
        <f t="shared" si="124"/>
        <v>0</v>
      </c>
      <c r="Z317" s="152">
        <f t="shared" si="116"/>
        <v>0</v>
      </c>
      <c r="AA317" s="179">
        <f t="shared" si="117"/>
        <v>0</v>
      </c>
      <c r="AB317" s="179">
        <f t="shared" si="118"/>
        <v>0</v>
      </c>
      <c r="AC317" s="180">
        <f t="shared" si="125"/>
        <v>0</v>
      </c>
      <c r="AD317" s="156">
        <f t="shared" si="119"/>
        <v>0</v>
      </c>
      <c r="AE317" s="146">
        <f>IFERROR(INDEX(Työkonekanta!$L$3:$L$30,MATCH($A317,Työkonekanta!$A$3:$A$30,0),1),0)*AF317</f>
        <v>0</v>
      </c>
      <c r="AF317" s="146">
        <f>IFERROR(INDEX(Työkonekanta!$N$3:$N$32,MATCH($A317,Työkonekanta!$A$3:$A$32,0),1),0)</f>
        <v>0</v>
      </c>
      <c r="AG317" s="332">
        <f>I317*INDEX(Muuttujat!$U$5:$U$21,MATCH($C317,Muuttujat!$N$5:$N$21,0),1)</f>
        <v>0</v>
      </c>
      <c r="AH317" s="332">
        <f>J317*INDEX(Muuttujat!$T$5:$T$21,MATCH($C317,Muuttujat!$N$5:$N$21,0),1)</f>
        <v>0</v>
      </c>
      <c r="AI317" s="332">
        <f t="shared" si="107"/>
        <v>0</v>
      </c>
      <c r="AJ317" s="332">
        <f t="shared" si="108"/>
        <v>0</v>
      </c>
      <c r="AK317" s="333">
        <f t="shared" si="120"/>
        <v>0</v>
      </c>
      <c r="AL317" s="332">
        <f t="shared" si="109"/>
        <v>0</v>
      </c>
      <c r="AM317" s="351"/>
      <c r="AN317" s="351"/>
    </row>
    <row r="318" spans="1:40">
      <c r="A318" s="139">
        <v>16</v>
      </c>
      <c r="B318" s="139">
        <f>IFERROR(IF((INDEX(Työkonekanta!$F$3:$F$27,MATCH('S3 Tiekartta'!$A318,Työkonekanta!$A$3:$A$24,0),1))&lt;0,0,(INDEX(Työkonekanta!$F$3:$F$27,MATCH('S3 Tiekartta'!$A318,Työkonekanta!$A$3:$A$24,0),1))),0)</f>
        <v>0</v>
      </c>
      <c r="C318" s="140">
        <v>2029</v>
      </c>
      <c r="D318" s="141" t="str">
        <f>IFERROR(INDEX(Työkonekanta!$D$3:$D$27,MATCH('S3 Tiekartta'!$A318,Työkonekanta!$A$3:$A$24,0),1),"undefined")</f>
        <v>sähkö</v>
      </c>
      <c r="E318" s="145">
        <f>IFERROR(INDEX(Työkonekanta!$G$3:$G$27,MATCH($A318,Työkonekanta!$A$3:$A$24,0),1)*INDEX(Työkonekanta!$H$3:$H$27,MATCH($A318,Työkonekanta!$A$3:$A$24,0),1)*(1+s0b_kasvu*($C318-2019))*$B318,0)</f>
        <v>0</v>
      </c>
      <c r="F318" s="145">
        <f t="shared" si="101"/>
        <v>0</v>
      </c>
      <c r="G318" s="151">
        <f t="shared" si="110"/>
        <v>0</v>
      </c>
      <c r="H318" s="145">
        <f t="shared" si="111"/>
        <v>0</v>
      </c>
      <c r="I318" s="145">
        <f t="shared" si="102"/>
        <v>0</v>
      </c>
      <c r="J318" s="145">
        <f t="shared" si="103"/>
        <v>0</v>
      </c>
      <c r="K318" s="142" t="str">
        <f t="shared" si="112"/>
        <v>kWh</v>
      </c>
      <c r="L318" s="146">
        <f>IFERROR(INDEX(Työkonekanta!$I$3:$I$27,MATCH('S3 Tiekartta'!$A318,Työkonekanta!$A$3:$A$24,0),1)*(I318+J318)*f_adblue,0)</f>
        <v>0</v>
      </c>
      <c r="M318" s="146">
        <f t="shared" si="121"/>
        <v>0</v>
      </c>
      <c r="N318" s="143" t="str">
        <f>IF(tuulisähkö_vuosi&lt;='S3 Tiekartta'!C318,"tuulisähkö",ostosähkö_nyt)</f>
        <v>jäännössähkö</v>
      </c>
      <c r="O318" s="147">
        <f>INDEX(Muuttujat!$J$5:$J$21,MATCH($C318,Muuttujat!$H$5:$H$21,0),1)</f>
        <v>62.625946521929137</v>
      </c>
      <c r="P318" s="148">
        <f t="shared" si="113"/>
        <v>0.80679798999999996</v>
      </c>
      <c r="Q318" s="148">
        <f t="shared" si="114"/>
        <v>0.19320200999999998</v>
      </c>
      <c r="R318" s="148">
        <f t="shared" si="115"/>
        <v>0.19320200999999998</v>
      </c>
      <c r="S318" s="149">
        <f t="shared" si="104"/>
        <v>0</v>
      </c>
      <c r="T318" s="150">
        <f t="shared" si="105"/>
        <v>0</v>
      </c>
      <c r="U318" s="150">
        <f t="shared" si="106"/>
        <v>0</v>
      </c>
      <c r="V318" s="150">
        <f>IFERROR(INDEX(Työkonekanta!$J$3:$J$27,MATCH($A318,Työkonekanta!$A$3:$A$24,0),1)*$B318*ef_li_ion_akku/1000/1000/INDEX(Työkonekanta!$K$3:$K$27,MATCH($A318,Työkonekanta!$A$3:$A$24,0)),0)</f>
        <v>0</v>
      </c>
      <c r="W318" s="149">
        <f t="shared" si="122"/>
        <v>0</v>
      </c>
      <c r="X318" s="150">
        <f t="shared" si="123"/>
        <v>0</v>
      </c>
      <c r="Y318" s="151">
        <f t="shared" si="124"/>
        <v>0</v>
      </c>
      <c r="Z318" s="152">
        <f t="shared" si="116"/>
        <v>0</v>
      </c>
      <c r="AA318" s="179">
        <f t="shared" si="117"/>
        <v>0</v>
      </c>
      <c r="AB318" s="179">
        <f t="shared" si="118"/>
        <v>0</v>
      </c>
      <c r="AC318" s="180">
        <f t="shared" si="125"/>
        <v>0</v>
      </c>
      <c r="AD318" s="156">
        <f t="shared" si="119"/>
        <v>0</v>
      </c>
      <c r="AE318" s="146">
        <f>IFERROR(INDEX(Työkonekanta!$L$3:$L$30,MATCH($A318,Työkonekanta!$A$3:$A$30,0),1),0)*AF318</f>
        <v>0</v>
      </c>
      <c r="AF318" s="146">
        <f>IFERROR(INDEX(Työkonekanta!$N$3:$N$32,MATCH($A318,Työkonekanta!$A$3:$A$32,0),1),0)</f>
        <v>0</v>
      </c>
      <c r="AG318" s="332">
        <f>I318*INDEX(Muuttujat!$U$5:$U$21,MATCH($C318,Muuttujat!$N$5:$N$21,0),1)</f>
        <v>0</v>
      </c>
      <c r="AH318" s="332">
        <f>J318*INDEX(Muuttujat!$T$5:$T$21,MATCH($C318,Muuttujat!$N$5:$N$21,0),1)</f>
        <v>0</v>
      </c>
      <c r="AI318" s="332">
        <f t="shared" si="107"/>
        <v>0</v>
      </c>
      <c r="AJ318" s="332">
        <f t="shared" si="108"/>
        <v>0</v>
      </c>
      <c r="AK318" s="333">
        <f t="shared" si="120"/>
        <v>0</v>
      </c>
      <c r="AL318" s="332">
        <f t="shared" si="109"/>
        <v>0</v>
      </c>
      <c r="AM318" s="351"/>
      <c r="AN318" s="351"/>
    </row>
    <row r="319" spans="1:40">
      <c r="A319" s="139">
        <v>17</v>
      </c>
      <c r="B319" s="139">
        <f>IFERROR(IF((INDEX(Työkonekanta!$F$3:$F$27,MATCH('S3 Tiekartta'!$A319,Työkonekanta!$A$3:$A$24,0),1))&lt;0,0,(INDEX(Työkonekanta!$F$3:$F$27,MATCH('S3 Tiekartta'!$A319,Työkonekanta!$A$3:$A$24,0),1))),0)</f>
        <v>1</v>
      </c>
      <c r="C319" s="140">
        <v>2029</v>
      </c>
      <c r="D319" s="141" t="str">
        <f>IFERROR(INDEX(Työkonekanta!$D$3:$D$27,MATCH('S3 Tiekartta'!$A319,Työkonekanta!$A$3:$A$24,0),1),"undefined")</f>
        <v>pom</v>
      </c>
      <c r="E319" s="145">
        <f>IFERROR(INDEX(Työkonekanta!$G$3:$G$27,MATCH($A319,Työkonekanta!$A$3:$A$24,0),1)*INDEX(Työkonekanta!$H$3:$H$27,MATCH($A319,Työkonekanta!$A$3:$A$24,0),1)*(1+s0b_kasvu*($C319-2019))*$B319,0)</f>
        <v>11000</v>
      </c>
      <c r="F319" s="145">
        <f t="shared" si="101"/>
        <v>394900</v>
      </c>
      <c r="G319" s="151">
        <f t="shared" si="110"/>
        <v>318604.526251</v>
      </c>
      <c r="H319" s="145">
        <f t="shared" si="111"/>
        <v>76295.473748999997</v>
      </c>
      <c r="I319" s="145">
        <f t="shared" si="102"/>
        <v>8874.7778900000012</v>
      </c>
      <c r="J319" s="145">
        <f t="shared" si="103"/>
        <v>2224.3578352478135</v>
      </c>
      <c r="K319" s="142" t="str">
        <f t="shared" si="112"/>
        <v>l</v>
      </c>
      <c r="L319" s="146">
        <f>IFERROR(INDEX(Työkonekanta!$I$3:$I$27,MATCH('S3 Tiekartta'!$A319,Työkonekanta!$A$3:$A$24,0),1)*(I319+J319)*f_adblue,0)</f>
        <v>554.95678626239078</v>
      </c>
      <c r="M319" s="146">
        <f t="shared" si="121"/>
        <v>0</v>
      </c>
      <c r="N319" s="143" t="str">
        <f>IF(tuulisähkö_vuosi&lt;='S3 Tiekartta'!C319,"tuulisähkö",ostosähkö_nyt)</f>
        <v>jäännössähkö</v>
      </c>
      <c r="O319" s="147">
        <f>INDEX(Muuttujat!$J$5:$J$21,MATCH($C319,Muuttujat!$H$5:$H$21,0),1)</f>
        <v>62.625946521929137</v>
      </c>
      <c r="P319" s="148">
        <f t="shared" si="113"/>
        <v>0.80679798999999996</v>
      </c>
      <c r="Q319" s="148">
        <f t="shared" si="114"/>
        <v>0.19320200999999998</v>
      </c>
      <c r="R319" s="148">
        <f t="shared" si="115"/>
        <v>0.19320200999999998</v>
      </c>
      <c r="S319" s="149">
        <f t="shared" si="104"/>
        <v>6.0216255461438992</v>
      </c>
      <c r="T319" s="150">
        <f t="shared" si="105"/>
        <v>4.7608375619375991</v>
      </c>
      <c r="U319" s="150">
        <f t="shared" si="106"/>
        <v>0</v>
      </c>
      <c r="V319" s="150">
        <f>IFERROR(INDEX(Työkonekanta!$J$3:$J$27,MATCH($A319,Työkonekanta!$A$3:$A$24,0),1)*$B319*ef_li_ion_akku/1000/1000/INDEX(Työkonekanta!$K$3:$K$27,MATCH($A319,Työkonekanta!$A$3:$A$24,0)),0)</f>
        <v>0</v>
      </c>
      <c r="W319" s="149">
        <f t="shared" si="122"/>
        <v>23.51564388783126</v>
      </c>
      <c r="X319" s="150">
        <f t="shared" si="123"/>
        <v>0.34952022600000004</v>
      </c>
      <c r="Y319" s="151">
        <f t="shared" si="124"/>
        <v>0.14428876442822158</v>
      </c>
      <c r="Z319" s="152">
        <f t="shared" si="116"/>
        <v>10.782463108081497</v>
      </c>
      <c r="AA319" s="179">
        <f t="shared" si="117"/>
        <v>23.659932652259482</v>
      </c>
      <c r="AB319" s="179">
        <f t="shared" si="118"/>
        <v>24.009452878259481</v>
      </c>
      <c r="AC319" s="180">
        <f t="shared" si="125"/>
        <v>34.442395760340979</v>
      </c>
      <c r="AD319" s="156">
        <f t="shared" si="119"/>
        <v>34.791915986340982</v>
      </c>
      <c r="AE319" s="146">
        <f>IFERROR(INDEX(Työkonekanta!$L$3:$L$30,MATCH($A319,Työkonekanta!$A$3:$A$30,0),1),0)*AF319</f>
        <v>500000</v>
      </c>
      <c r="AF319" s="146">
        <f>IFERROR(INDEX(Työkonekanta!$N$3:$N$32,MATCH($A319,Työkonekanta!$A$3:$A$32,0),1),0)</f>
        <v>1</v>
      </c>
      <c r="AG319" s="332">
        <f>I319*INDEX(Muuttujat!$U$5:$U$21,MATCH($C319,Muuttujat!$N$5:$N$21,0),1)</f>
        <v>9318.5167845000014</v>
      </c>
      <c r="AH319" s="332">
        <f>J319*INDEX(Muuttujat!$T$5:$T$21,MATCH($C319,Muuttujat!$N$5:$N$21,0),1)</f>
        <v>3225.3188611093301</v>
      </c>
      <c r="AI319" s="332">
        <f t="shared" si="107"/>
        <v>277.47839313119539</v>
      </c>
      <c r="AJ319" s="332">
        <f t="shared" si="108"/>
        <v>0</v>
      </c>
      <c r="AK319" s="333">
        <f t="shared" si="120"/>
        <v>12821.314038740527</v>
      </c>
      <c r="AL319" s="332">
        <f t="shared" si="109"/>
        <v>12821.314038740527</v>
      </c>
      <c r="AM319" s="351"/>
      <c r="AN319" s="351"/>
    </row>
    <row r="320" spans="1:40">
      <c r="A320" s="139">
        <v>18</v>
      </c>
      <c r="B320" s="139">
        <f>IFERROR(IF((INDEX(Työkonekanta!$F$3:$F$27,MATCH('S3 Tiekartta'!$A320,Työkonekanta!$A$3:$A$24,0),1))&lt;0,0,(INDEX(Työkonekanta!$F$3:$F$27,MATCH('S3 Tiekartta'!$A320,Työkonekanta!$A$3:$A$24,0),1))),0)</f>
        <v>1</v>
      </c>
      <c r="C320" s="140">
        <v>2029</v>
      </c>
      <c r="D320" s="141" t="str">
        <f>IFERROR(INDEX(Työkonekanta!$D$3:$D$27,MATCH('S3 Tiekartta'!$A320,Työkonekanta!$A$3:$A$24,0),1),"undefined")</f>
        <v>pom</v>
      </c>
      <c r="E320" s="145">
        <f>IFERROR(INDEX(Työkonekanta!$G$3:$G$27,MATCH($A320,Työkonekanta!$A$3:$A$24,0),1)*INDEX(Työkonekanta!$H$3:$H$27,MATCH($A320,Työkonekanta!$A$3:$A$24,0),1)*(1+s0b_kasvu*($C320-2019))*$B320,0)</f>
        <v>11000</v>
      </c>
      <c r="F320" s="145">
        <f t="shared" si="101"/>
        <v>394900</v>
      </c>
      <c r="G320" s="151">
        <f t="shared" si="110"/>
        <v>318604.526251</v>
      </c>
      <c r="H320" s="145">
        <f t="shared" si="111"/>
        <v>76295.473748999997</v>
      </c>
      <c r="I320" s="145">
        <f t="shared" si="102"/>
        <v>8874.7778900000012</v>
      </c>
      <c r="J320" s="145">
        <f t="shared" si="103"/>
        <v>2224.3578352478135</v>
      </c>
      <c r="K320" s="142" t="str">
        <f t="shared" si="112"/>
        <v>l</v>
      </c>
      <c r="L320" s="146">
        <f>IFERROR(INDEX(Työkonekanta!$I$3:$I$27,MATCH('S3 Tiekartta'!$A320,Työkonekanta!$A$3:$A$24,0),1)*(I320+J320)*f_adblue,0)</f>
        <v>443.96542900991267</v>
      </c>
      <c r="M320" s="146">
        <f t="shared" si="121"/>
        <v>0</v>
      </c>
      <c r="N320" s="143" t="str">
        <f>IF(tuulisähkö_vuosi&lt;='S3 Tiekartta'!C320,"tuulisähkö",ostosähkö_nyt)</f>
        <v>jäännössähkö</v>
      </c>
      <c r="O320" s="147">
        <f>INDEX(Muuttujat!$J$5:$J$21,MATCH($C320,Muuttujat!$H$5:$H$21,0),1)</f>
        <v>62.625946521929137</v>
      </c>
      <c r="P320" s="148">
        <f t="shared" si="113"/>
        <v>0.80679798999999996</v>
      </c>
      <c r="Q320" s="148">
        <f t="shared" si="114"/>
        <v>0.19320200999999998</v>
      </c>
      <c r="R320" s="148">
        <f t="shared" si="115"/>
        <v>0.19320200999999998</v>
      </c>
      <c r="S320" s="149">
        <f t="shared" si="104"/>
        <v>6.0216255461438992</v>
      </c>
      <c r="T320" s="150">
        <f t="shared" si="105"/>
        <v>4.7608375619375991</v>
      </c>
      <c r="U320" s="150">
        <f t="shared" si="106"/>
        <v>0</v>
      </c>
      <c r="V320" s="150">
        <f>IFERROR(INDEX(Työkonekanta!$J$3:$J$27,MATCH($A320,Työkonekanta!$A$3:$A$24,0),1)*$B320*ef_li_ion_akku/1000/1000/INDEX(Työkonekanta!$K$3:$K$27,MATCH($A320,Työkonekanta!$A$3:$A$24,0)),0)</f>
        <v>0</v>
      </c>
      <c r="W320" s="149">
        <f t="shared" si="122"/>
        <v>23.51564388783126</v>
      </c>
      <c r="X320" s="150">
        <f t="shared" si="123"/>
        <v>0.34952022600000004</v>
      </c>
      <c r="Y320" s="151">
        <f t="shared" si="124"/>
        <v>0.11543101154257729</v>
      </c>
      <c r="Z320" s="152">
        <f t="shared" si="116"/>
        <v>10.782463108081497</v>
      </c>
      <c r="AA320" s="179">
        <f t="shared" si="117"/>
        <v>23.631074899373836</v>
      </c>
      <c r="AB320" s="179">
        <f t="shared" si="118"/>
        <v>23.980595125373835</v>
      </c>
      <c r="AC320" s="180">
        <f t="shared" si="125"/>
        <v>34.41353800745533</v>
      </c>
      <c r="AD320" s="156">
        <f t="shared" si="119"/>
        <v>34.763058233455332</v>
      </c>
      <c r="AE320" s="146">
        <f>IFERROR(INDEX(Työkonekanta!$L$3:$L$30,MATCH($A320,Työkonekanta!$A$3:$A$30,0),1),0)*AF320</f>
        <v>500000</v>
      </c>
      <c r="AF320" s="146">
        <f>IFERROR(INDEX(Työkonekanta!$N$3:$N$32,MATCH($A320,Työkonekanta!$A$3:$A$32,0),1),0)</f>
        <v>1</v>
      </c>
      <c r="AG320" s="332">
        <f>I320*INDEX(Muuttujat!$U$5:$U$21,MATCH($C320,Muuttujat!$N$5:$N$21,0),1)</f>
        <v>9318.5167845000014</v>
      </c>
      <c r="AH320" s="332">
        <f>J320*INDEX(Muuttujat!$T$5:$T$21,MATCH($C320,Muuttujat!$N$5:$N$21,0),1)</f>
        <v>3225.3188611093301</v>
      </c>
      <c r="AI320" s="332">
        <f t="shared" si="107"/>
        <v>221.98271450495633</v>
      </c>
      <c r="AJ320" s="332">
        <f t="shared" si="108"/>
        <v>0</v>
      </c>
      <c r="AK320" s="333">
        <f t="shared" si="120"/>
        <v>12765.818360114288</v>
      </c>
      <c r="AL320" s="332">
        <f t="shared" si="109"/>
        <v>12765.818360114288</v>
      </c>
      <c r="AM320" s="351"/>
      <c r="AN320" s="351"/>
    </row>
    <row r="321" spans="1:40">
      <c r="A321" s="139">
        <v>19</v>
      </c>
      <c r="B321" s="139">
        <f>IFERROR(IF((INDEX(Työkonekanta!$F$3:$F$27,MATCH('S3 Tiekartta'!$A321,Työkonekanta!$A$3:$A$24,0),1))&lt;0,0,(INDEX(Työkonekanta!$F$3:$F$27,MATCH('S3 Tiekartta'!$A321,Työkonekanta!$A$3:$A$24,0),1))),0)</f>
        <v>0</v>
      </c>
      <c r="C321" s="140">
        <v>2029</v>
      </c>
      <c r="D321" s="141" t="str">
        <f>IFERROR(INDEX(Työkonekanta!$D$3:$D$27,MATCH('S3 Tiekartta'!$A321,Työkonekanta!$A$3:$A$24,0),1),"undefined")</f>
        <v>pom</v>
      </c>
      <c r="E321" s="145">
        <f>IFERROR(INDEX(Työkonekanta!$G$3:$G$27,MATCH($A321,Työkonekanta!$A$3:$A$24,0),1)*INDEX(Työkonekanta!$H$3:$H$27,MATCH($A321,Työkonekanta!$A$3:$A$24,0),1)*(1+s0b_kasvu*($C321-2019))*$B321,0)</f>
        <v>0</v>
      </c>
      <c r="F321" s="145">
        <f t="shared" si="101"/>
        <v>0</v>
      </c>
      <c r="G321" s="151">
        <f t="shared" si="110"/>
        <v>0</v>
      </c>
      <c r="H321" s="145">
        <f t="shared" si="111"/>
        <v>0</v>
      </c>
      <c r="I321" s="145">
        <f t="shared" si="102"/>
        <v>0</v>
      </c>
      <c r="J321" s="145">
        <f t="shared" si="103"/>
        <v>0</v>
      </c>
      <c r="K321" s="142" t="str">
        <f t="shared" si="112"/>
        <v>l</v>
      </c>
      <c r="L321" s="146">
        <f>IFERROR(INDEX(Työkonekanta!$I$3:$I$27,MATCH('S3 Tiekartta'!$A321,Työkonekanta!$A$3:$A$24,0),1)*(I321+J321)*f_adblue,0)</f>
        <v>0</v>
      </c>
      <c r="M321" s="146">
        <f t="shared" si="121"/>
        <v>0</v>
      </c>
      <c r="N321" s="143" t="str">
        <f>IF(tuulisähkö_vuosi&lt;='S3 Tiekartta'!C321,"tuulisähkö",ostosähkö_nyt)</f>
        <v>jäännössähkö</v>
      </c>
      <c r="O321" s="147">
        <f>INDEX(Muuttujat!$J$5:$J$21,MATCH($C321,Muuttujat!$H$5:$H$21,0),1)</f>
        <v>62.625946521929137</v>
      </c>
      <c r="P321" s="148">
        <f t="shared" si="113"/>
        <v>0.80679798999999996</v>
      </c>
      <c r="Q321" s="148">
        <f t="shared" si="114"/>
        <v>0.19320200999999998</v>
      </c>
      <c r="R321" s="148">
        <f t="shared" si="115"/>
        <v>0.19320200999999998</v>
      </c>
      <c r="S321" s="149">
        <f t="shared" si="104"/>
        <v>0</v>
      </c>
      <c r="T321" s="150">
        <f t="shared" si="105"/>
        <v>0</v>
      </c>
      <c r="U321" s="150">
        <f t="shared" si="106"/>
        <v>0</v>
      </c>
      <c r="V321" s="150">
        <f>IFERROR(INDEX(Työkonekanta!$J$3:$J$27,MATCH($A321,Työkonekanta!$A$3:$A$24,0),1)*$B321*ef_li_ion_akku/1000/1000/INDEX(Työkonekanta!$K$3:$K$27,MATCH($A321,Työkonekanta!$A$3:$A$24,0)),0)</f>
        <v>0</v>
      </c>
      <c r="W321" s="149">
        <f t="shared" si="122"/>
        <v>0</v>
      </c>
      <c r="X321" s="150">
        <f t="shared" si="123"/>
        <v>0</v>
      </c>
      <c r="Y321" s="151">
        <f t="shared" si="124"/>
        <v>0</v>
      </c>
      <c r="Z321" s="152">
        <f t="shared" si="116"/>
        <v>0</v>
      </c>
      <c r="AA321" s="179">
        <f t="shared" si="117"/>
        <v>0</v>
      </c>
      <c r="AB321" s="179">
        <f t="shared" si="118"/>
        <v>0</v>
      </c>
      <c r="AC321" s="180">
        <f t="shared" si="125"/>
        <v>0</v>
      </c>
      <c r="AD321" s="156">
        <f t="shared" si="119"/>
        <v>0</v>
      </c>
      <c r="AE321" s="146">
        <f>IFERROR(INDEX(Työkonekanta!$L$3:$L$30,MATCH($A321,Työkonekanta!$A$3:$A$30,0),1),0)*AF321</f>
        <v>0</v>
      </c>
      <c r="AF321" s="146">
        <f>IFERROR(INDEX(Työkonekanta!$N$3:$N$32,MATCH($A321,Työkonekanta!$A$3:$A$32,0),1),0)</f>
        <v>0</v>
      </c>
      <c r="AG321" s="332">
        <f>I321*INDEX(Muuttujat!$U$5:$U$21,MATCH($C321,Muuttujat!$N$5:$N$21,0),1)</f>
        <v>0</v>
      </c>
      <c r="AH321" s="332">
        <f>J321*INDEX(Muuttujat!$T$5:$T$21,MATCH($C321,Muuttujat!$N$5:$N$21,0),1)</f>
        <v>0</v>
      </c>
      <c r="AI321" s="332">
        <f t="shared" si="107"/>
        <v>0</v>
      </c>
      <c r="AJ321" s="332">
        <f t="shared" si="108"/>
        <v>0</v>
      </c>
      <c r="AK321" s="333">
        <f t="shared" si="120"/>
        <v>0</v>
      </c>
      <c r="AL321" s="332">
        <f t="shared" si="109"/>
        <v>0</v>
      </c>
      <c r="AM321" s="351"/>
      <c r="AN321" s="351"/>
    </row>
    <row r="322" spans="1:40">
      <c r="A322" s="139">
        <v>20</v>
      </c>
      <c r="B322" s="139">
        <f>IFERROR(IF((INDEX(Työkonekanta!$F$3:$F$27,MATCH('S3 Tiekartta'!$A322,Työkonekanta!$A$3:$A$24,0),1))&lt;0,0,(INDEX(Työkonekanta!$F$3:$F$27,MATCH('S3 Tiekartta'!$A322,Työkonekanta!$A$3:$A$24,0),1))),0)</f>
        <v>0</v>
      </c>
      <c r="C322" s="140">
        <v>2029</v>
      </c>
      <c r="D322" s="141" t="str">
        <f>IFERROR(INDEX(Työkonekanta!$D$3:$D$27,MATCH('S3 Tiekartta'!$A322,Työkonekanta!$A$3:$A$24,0),1),"undefined")</f>
        <v>pom</v>
      </c>
      <c r="E322" s="145">
        <f>IFERROR(INDEX(Työkonekanta!$G$3:$G$27,MATCH($A322,Työkonekanta!$A$3:$A$24,0),1)*INDEX(Työkonekanta!$H$3:$H$27,MATCH($A322,Työkonekanta!$A$3:$A$24,0),1)*(1+s0b_kasvu*($C322-2019))*$B322,0)</f>
        <v>0</v>
      </c>
      <c r="F322" s="145">
        <f t="shared" si="101"/>
        <v>0</v>
      </c>
      <c r="G322" s="151">
        <f t="shared" si="110"/>
        <v>0</v>
      </c>
      <c r="H322" s="145">
        <f t="shared" si="111"/>
        <v>0</v>
      </c>
      <c r="I322" s="145">
        <f t="shared" si="102"/>
        <v>0</v>
      </c>
      <c r="J322" s="145">
        <f t="shared" si="103"/>
        <v>0</v>
      </c>
      <c r="K322" s="142" t="str">
        <f t="shared" si="112"/>
        <v>l</v>
      </c>
      <c r="L322" s="146">
        <f>IFERROR(INDEX(Työkonekanta!$I$3:$I$27,MATCH('S3 Tiekartta'!$A322,Työkonekanta!$A$3:$A$24,0),1)*(I322+J322)*f_adblue,0)</f>
        <v>0</v>
      </c>
      <c r="M322" s="146">
        <f t="shared" si="121"/>
        <v>0</v>
      </c>
      <c r="N322" s="143" t="str">
        <f>IF(tuulisähkö_vuosi&lt;='S3 Tiekartta'!C322,"tuulisähkö",ostosähkö_nyt)</f>
        <v>jäännössähkö</v>
      </c>
      <c r="O322" s="147">
        <f>INDEX(Muuttujat!$J$5:$J$21,MATCH($C322,Muuttujat!$H$5:$H$21,0),1)</f>
        <v>62.625946521929137</v>
      </c>
      <c r="P322" s="148">
        <f t="shared" si="113"/>
        <v>0.80679798999999996</v>
      </c>
      <c r="Q322" s="148">
        <f t="shared" si="114"/>
        <v>0.19320200999999998</v>
      </c>
      <c r="R322" s="148">
        <f t="shared" si="115"/>
        <v>0.19320200999999998</v>
      </c>
      <c r="S322" s="149">
        <f t="shared" si="104"/>
        <v>0</v>
      </c>
      <c r="T322" s="150">
        <f t="shared" si="105"/>
        <v>0</v>
      </c>
      <c r="U322" s="150">
        <f t="shared" si="106"/>
        <v>0</v>
      </c>
      <c r="V322" s="150">
        <f>IFERROR(INDEX(Työkonekanta!$J$3:$J$27,MATCH($A322,Työkonekanta!$A$3:$A$24,0),1)*$B322*ef_li_ion_akku/1000/1000/INDEX(Työkonekanta!$K$3:$K$27,MATCH($A322,Työkonekanta!$A$3:$A$24,0)),0)</f>
        <v>0</v>
      </c>
      <c r="W322" s="149">
        <f t="shared" si="122"/>
        <v>0</v>
      </c>
      <c r="X322" s="150">
        <f t="shared" si="123"/>
        <v>0</v>
      </c>
      <c r="Y322" s="151">
        <f t="shared" si="124"/>
        <v>0</v>
      </c>
      <c r="Z322" s="152">
        <f t="shared" si="116"/>
        <v>0</v>
      </c>
      <c r="AA322" s="179">
        <f t="shared" si="117"/>
        <v>0</v>
      </c>
      <c r="AB322" s="179">
        <f t="shared" si="118"/>
        <v>0</v>
      </c>
      <c r="AC322" s="180">
        <f t="shared" si="125"/>
        <v>0</v>
      </c>
      <c r="AD322" s="156">
        <f t="shared" si="119"/>
        <v>0</v>
      </c>
      <c r="AE322" s="146">
        <f>IFERROR(INDEX(Työkonekanta!$L$3:$L$30,MATCH($A322,Työkonekanta!$A$3:$A$30,0),1),0)*AF322</f>
        <v>0</v>
      </c>
      <c r="AF322" s="146">
        <f>IFERROR(INDEX(Työkonekanta!$N$3:$N$32,MATCH($A322,Työkonekanta!$A$3:$A$32,0),1),0)</f>
        <v>0</v>
      </c>
      <c r="AG322" s="332">
        <f>I322*INDEX(Muuttujat!$U$5:$U$21,MATCH($C322,Muuttujat!$N$5:$N$21,0),1)</f>
        <v>0</v>
      </c>
      <c r="AH322" s="332">
        <f>J322*INDEX(Muuttujat!$T$5:$T$21,MATCH($C322,Muuttujat!$N$5:$N$21,0),1)</f>
        <v>0</v>
      </c>
      <c r="AI322" s="332">
        <f t="shared" si="107"/>
        <v>0</v>
      </c>
      <c r="AJ322" s="332">
        <f t="shared" si="108"/>
        <v>0</v>
      </c>
      <c r="AK322" s="333">
        <f t="shared" si="120"/>
        <v>0</v>
      </c>
      <c r="AL322" s="332">
        <f t="shared" si="109"/>
        <v>0</v>
      </c>
      <c r="AM322" s="351"/>
      <c r="AN322" s="351"/>
    </row>
    <row r="323" spans="1:40">
      <c r="A323" s="139">
        <v>21</v>
      </c>
      <c r="B323" s="139">
        <f>IFERROR(IF((INDEX(Työkonekanta!$F$3:$F$27,MATCH('S3 Tiekartta'!$A323,Työkonekanta!$A$3:$A$24,0),1))&lt;0,0,(INDEX(Työkonekanta!$F$3:$F$27,MATCH('S3 Tiekartta'!$A323,Työkonekanta!$A$3:$A$24,0),1))),0)</f>
        <v>35</v>
      </c>
      <c r="C323" s="140">
        <v>2029</v>
      </c>
      <c r="D323" s="141" t="str">
        <f>IFERROR(INDEX(Työkonekanta!$D$3:$D$27,MATCH('S3 Tiekartta'!$A323,Työkonekanta!$A$3:$A$24,0),1),"undefined")</f>
        <v>sähkö</v>
      </c>
      <c r="E323" s="145">
        <f>IFERROR(INDEX(Työkonekanta!$G$3:$G$27,MATCH($A323,Työkonekanta!$A$3:$A$24,0),1)*INDEX(Työkonekanta!$H$3:$H$27,MATCH($A323,Työkonekanta!$A$3:$A$24,0),1)*(1+s0b_kasvu*($C323-2019))*$B323,0)</f>
        <v>447918.98148148152</v>
      </c>
      <c r="F323" s="145">
        <f t="shared" ref="F323:F386" si="126">IF(D323="pom",$E323*hv_pom,0)</f>
        <v>0</v>
      </c>
      <c r="G323" s="151">
        <f t="shared" si="110"/>
        <v>0</v>
      </c>
      <c r="H323" s="145">
        <f t="shared" si="111"/>
        <v>0</v>
      </c>
      <c r="I323" s="145">
        <f t="shared" ref="I323:I386" si="127">$G323/hv_pom</f>
        <v>0</v>
      </c>
      <c r="J323" s="145">
        <f t="shared" ref="J323:J386" si="128">$H323/hv_biodies</f>
        <v>0</v>
      </c>
      <c r="K323" s="142" t="str">
        <f t="shared" si="112"/>
        <v>kWh</v>
      </c>
      <c r="L323" s="146">
        <f>IFERROR(INDEX(Työkonekanta!$I$3:$I$27,MATCH('S3 Tiekartta'!$A323,Työkonekanta!$A$3:$A$24,0),1)*(I323+J323)*f_adblue,0)</f>
        <v>0</v>
      </c>
      <c r="M323" s="146">
        <f t="shared" si="121"/>
        <v>1612508.3333333335</v>
      </c>
      <c r="N323" s="143" t="str">
        <f>IF(tuulisähkö_vuosi&lt;='S3 Tiekartta'!C323,"tuulisähkö",ostosähkö_nyt)</f>
        <v>jäännössähkö</v>
      </c>
      <c r="O323" s="147">
        <f>INDEX(Muuttujat!$J$5:$J$21,MATCH($C323,Muuttujat!$H$5:$H$21,0),1)</f>
        <v>62.625946521929137</v>
      </c>
      <c r="P323" s="148">
        <f t="shared" si="113"/>
        <v>0.80679798999999996</v>
      </c>
      <c r="Q323" s="148">
        <f t="shared" si="114"/>
        <v>0.19320200999999998</v>
      </c>
      <c r="R323" s="148">
        <f t="shared" si="115"/>
        <v>0.19320200999999998</v>
      </c>
      <c r="S323" s="149">
        <f t="shared" ref="S323:S386" si="129">wtt_ef_e_co2_dies*$G323/1000/1000</f>
        <v>0</v>
      </c>
      <c r="T323" s="150">
        <f t="shared" ref="T323:T386" si="130">wtt_ef_e_co2_biodies*$H323/1000/1000</f>
        <v>0</v>
      </c>
      <c r="U323" s="150">
        <f t="shared" ref="U323:U386" si="131">IF(N323="jäännössähkö",$O323,IF(N323="tuulisähkö",wtt_ef_e_co2_el_wind,0))*$M323/1000/1000</f>
        <v>100.98486064949843</v>
      </c>
      <c r="V323" s="150">
        <f>IFERROR(INDEX(Työkonekanta!$J$3:$J$27,MATCH($A323,Työkonekanta!$A$3:$A$24,0),1)*$B323*ef_li_ion_akku/1000/1000/INDEX(Työkonekanta!$K$3:$K$27,MATCH($A323,Työkonekanta!$A$3:$A$24,0)),0)</f>
        <v>43.121723076923082</v>
      </c>
      <c r="W323" s="149">
        <f t="shared" si="122"/>
        <v>0</v>
      </c>
      <c r="X323" s="150">
        <f t="shared" si="123"/>
        <v>0</v>
      </c>
      <c r="Y323" s="151">
        <f t="shared" si="124"/>
        <v>0</v>
      </c>
      <c r="Z323" s="152">
        <f t="shared" si="116"/>
        <v>144.10658372642152</v>
      </c>
      <c r="AA323" s="179">
        <f t="shared" si="117"/>
        <v>0</v>
      </c>
      <c r="AB323" s="179">
        <f t="shared" si="118"/>
        <v>0</v>
      </c>
      <c r="AC323" s="180">
        <f t="shared" si="125"/>
        <v>144.10658372642152</v>
      </c>
      <c r="AD323" s="156">
        <f t="shared" si="119"/>
        <v>144.10658372642152</v>
      </c>
      <c r="AE323" s="146">
        <f>IFERROR(INDEX(Työkonekanta!$L$3:$L$30,MATCH($A323,Työkonekanta!$A$3:$A$30,0),1),0)*AF323</f>
        <v>1820000</v>
      </c>
      <c r="AF323" s="146">
        <f>IFERROR(INDEX(Työkonekanta!$N$3:$N$32,MATCH($A323,Työkonekanta!$A$3:$A$32,0),1),0)</f>
        <v>7</v>
      </c>
      <c r="AG323" s="332">
        <f>I323*INDEX(Muuttujat!$U$5:$U$21,MATCH($C323,Muuttujat!$N$5:$N$21,0),1)</f>
        <v>0</v>
      </c>
      <c r="AH323" s="332">
        <f>J323*INDEX(Muuttujat!$T$5:$T$21,MATCH($C323,Muuttujat!$N$5:$N$21,0),1)</f>
        <v>0</v>
      </c>
      <c r="AI323" s="332">
        <f t="shared" ref="AI323:AI386" si="132">L323*hinta_adblue</f>
        <v>0</v>
      </c>
      <c r="AJ323" s="332">
        <f t="shared" ref="AJ323:AJ386" si="133">M323/conv_kwh_mj*hinta_sähkö3</f>
        <v>39640.829861111117</v>
      </c>
      <c r="AK323" s="333">
        <f t="shared" si="120"/>
        <v>39640.829861111117</v>
      </c>
      <c r="AL323" s="332">
        <f t="shared" ref="AL323:AL386" si="134">IFERROR(AK323/B323,0)</f>
        <v>1132.5951388888891</v>
      </c>
      <c r="AM323" s="351"/>
      <c r="AN323" s="351"/>
    </row>
    <row r="324" spans="1:40">
      <c r="A324" s="139">
        <v>22</v>
      </c>
      <c r="B324" s="139">
        <f>IFERROR(IF((INDEX(Työkonekanta!$F$3:$F$27,MATCH('S3 Tiekartta'!$A324,Työkonekanta!$A$3:$A$24,0),1))&lt;0,0,(INDEX(Työkonekanta!$F$3:$F$27,MATCH('S3 Tiekartta'!$A324,Työkonekanta!$A$3:$A$24,0),1))),0)</f>
        <v>0</v>
      </c>
      <c r="C324" s="140">
        <v>2029</v>
      </c>
      <c r="D324" s="141" t="str">
        <f>IFERROR(INDEX(Työkonekanta!$D$3:$D$27,MATCH('S3 Tiekartta'!$A324,Työkonekanta!$A$3:$A$24,0),1),"undefined")</f>
        <v>sähkö</v>
      </c>
      <c r="E324" s="145">
        <f>IFERROR(INDEX(Työkonekanta!$G$3:$G$27,MATCH($A324,Työkonekanta!$A$3:$A$24,0),1)*INDEX(Työkonekanta!$H$3:$H$27,MATCH($A324,Työkonekanta!$A$3:$A$24,0),1)*(1+s0b_kasvu*($C324-2019))*$B324,0)</f>
        <v>0</v>
      </c>
      <c r="F324" s="145">
        <f t="shared" si="126"/>
        <v>0</v>
      </c>
      <c r="G324" s="151">
        <f t="shared" ref="G324:G387" si="135">$F324*$P324</f>
        <v>0</v>
      </c>
      <c r="H324" s="145">
        <f t="shared" ref="H324:H387" si="136">$F324*$Q324</f>
        <v>0</v>
      </c>
      <c r="I324" s="145">
        <f t="shared" si="127"/>
        <v>0</v>
      </c>
      <c r="J324" s="145">
        <f t="shared" si="128"/>
        <v>0</v>
      </c>
      <c r="K324" s="142" t="str">
        <f t="shared" ref="K324:K387" si="137">IF($D324="sähkö","kWh",IF($D324="pom","l","undefined"))</f>
        <v>kWh</v>
      </c>
      <c r="L324" s="146">
        <f>IFERROR(INDEX(Työkonekanta!$I$3:$I$27,MATCH('S3 Tiekartta'!$A324,Työkonekanta!$A$3:$A$24,0),1)*(I324+J324)*f_adblue,0)</f>
        <v>0</v>
      </c>
      <c r="M324" s="146">
        <f t="shared" si="121"/>
        <v>0</v>
      </c>
      <c r="N324" s="143" t="str">
        <f>IF(tuulisähkö_vuosi&lt;='S3 Tiekartta'!C324,"tuulisähkö",ostosähkö_nyt)</f>
        <v>jäännössähkö</v>
      </c>
      <c r="O324" s="147">
        <f>INDEX(Muuttujat!$J$5:$J$21,MATCH($C324,Muuttujat!$H$5:$H$21,0),1)</f>
        <v>62.625946521929137</v>
      </c>
      <c r="P324" s="148">
        <f t="shared" ref="P324:P387" si="138">1-Q324</f>
        <v>0.80679798999999996</v>
      </c>
      <c r="Q324" s="148">
        <f t="shared" ref="Q324:Q387" si="139">INDEX($AP$4:$AP$20,MATCH($C324,$AO$4:$AO$20,0),1)</f>
        <v>0.19320200999999998</v>
      </c>
      <c r="R324" s="148">
        <f t="shared" ref="R324:R387" si="140">INDEX($AP$4:$AP$20,MATCH($C324,$AO$4:$AO$20,0),1)</f>
        <v>0.19320200999999998</v>
      </c>
      <c r="S324" s="149">
        <f t="shared" si="129"/>
        <v>0</v>
      </c>
      <c r="T324" s="150">
        <f t="shared" si="130"/>
        <v>0</v>
      </c>
      <c r="U324" s="150">
        <f t="shared" si="131"/>
        <v>0</v>
      </c>
      <c r="V324" s="150">
        <f>IFERROR(INDEX(Työkonekanta!$J$3:$J$27,MATCH($A324,Työkonekanta!$A$3:$A$24,0),1)*$B324*ef_li_ion_akku/1000/1000/INDEX(Työkonekanta!$K$3:$K$27,MATCH($A324,Työkonekanta!$A$3:$A$24,0)),0)</f>
        <v>0</v>
      </c>
      <c r="W324" s="149">
        <f t="shared" si="122"/>
        <v>0</v>
      </c>
      <c r="X324" s="150">
        <f t="shared" si="123"/>
        <v>0</v>
      </c>
      <c r="Y324" s="151">
        <f t="shared" si="124"/>
        <v>0</v>
      </c>
      <c r="Z324" s="152">
        <f t="shared" ref="Z324:Z387" si="141">SUM($S324:$V324)</f>
        <v>0</v>
      </c>
      <c r="AA324" s="179">
        <f t="shared" ref="AA324:AA387" si="142">$W324+$Y324</f>
        <v>0</v>
      </c>
      <c r="AB324" s="179">
        <f t="shared" ref="AB324:AB387" si="143">SUM($W324:$Y324)</f>
        <v>0</v>
      </c>
      <c r="AC324" s="180">
        <f t="shared" si="125"/>
        <v>0</v>
      </c>
      <c r="AD324" s="156">
        <f t="shared" ref="AD324:AD387" si="144">$Z324+$AB324</f>
        <v>0</v>
      </c>
      <c r="AE324" s="146">
        <f>IFERROR(INDEX(Työkonekanta!$L$3:$L$30,MATCH($A324,Työkonekanta!$A$3:$A$30,0),1),0)*AF324</f>
        <v>0</v>
      </c>
      <c r="AF324" s="146">
        <f>IFERROR(INDEX(Työkonekanta!$N$3:$N$32,MATCH($A324,Työkonekanta!$A$3:$A$32,0),1),0)</f>
        <v>0</v>
      </c>
      <c r="AG324" s="332">
        <f>I324*INDEX(Muuttujat!$U$5:$U$21,MATCH($C324,Muuttujat!$N$5:$N$21,0),1)</f>
        <v>0</v>
      </c>
      <c r="AH324" s="332">
        <f>J324*INDEX(Muuttujat!$T$5:$T$21,MATCH($C324,Muuttujat!$N$5:$N$21,0),1)</f>
        <v>0</v>
      </c>
      <c r="AI324" s="332">
        <f t="shared" si="132"/>
        <v>0</v>
      </c>
      <c r="AJ324" s="332">
        <f t="shared" si="133"/>
        <v>0</v>
      </c>
      <c r="AK324" s="333">
        <f t="shared" ref="AK324:AK387" si="145">SUM(AG324:AJ324)</f>
        <v>0</v>
      </c>
      <c r="AL324" s="332">
        <f t="shared" si="134"/>
        <v>0</v>
      </c>
      <c r="AM324" s="351"/>
      <c r="AN324" s="351"/>
    </row>
    <row r="325" spans="1:40">
      <c r="A325" s="139">
        <v>23</v>
      </c>
      <c r="B325" s="139">
        <f>IFERROR(IF((INDEX(Työkonekanta!$F$3:$F$27,MATCH('S3 Tiekartta'!$A325,Työkonekanta!$A$3:$A$24,0),1))&lt;0,0,(INDEX(Työkonekanta!$F$3:$F$27,MATCH('S3 Tiekartta'!$A325,Työkonekanta!$A$3:$A$24,0),1))),0)</f>
        <v>0</v>
      </c>
      <c r="C325" s="140">
        <v>2029</v>
      </c>
      <c r="D325" s="141" t="str">
        <f>IFERROR(INDEX(Työkonekanta!$D$3:$D$27,MATCH('S3 Tiekartta'!$A325,Työkonekanta!$A$3:$A$24,0),1),"undefined")</f>
        <v>undefined</v>
      </c>
      <c r="E325" s="145">
        <f>IFERROR(INDEX(Työkonekanta!$G$3:$G$27,MATCH($A325,Työkonekanta!$A$3:$A$24,0),1)*INDEX(Työkonekanta!$H$3:$H$27,MATCH($A325,Työkonekanta!$A$3:$A$24,0),1)*(1+s0b_kasvu*($C325-2019))*$B325,0)</f>
        <v>0</v>
      </c>
      <c r="F325" s="145">
        <f t="shared" si="126"/>
        <v>0</v>
      </c>
      <c r="G325" s="151">
        <f t="shared" si="135"/>
        <v>0</v>
      </c>
      <c r="H325" s="145">
        <f t="shared" si="136"/>
        <v>0</v>
      </c>
      <c r="I325" s="145">
        <f t="shared" si="127"/>
        <v>0</v>
      </c>
      <c r="J325" s="145">
        <f t="shared" si="128"/>
        <v>0</v>
      </c>
      <c r="K325" s="142" t="str">
        <f t="shared" si="137"/>
        <v>undefined</v>
      </c>
      <c r="L325" s="146">
        <f>IFERROR(INDEX(Työkonekanta!$I$3:$I$27,MATCH('S3 Tiekartta'!$A325,Työkonekanta!$A$3:$A$24,0),1)*(I325+J325)*f_adblue,0)</f>
        <v>0</v>
      </c>
      <c r="M325" s="146">
        <f t="shared" si="121"/>
        <v>0</v>
      </c>
      <c r="N325" s="143" t="str">
        <f>IF(tuulisähkö_vuosi&lt;='S3 Tiekartta'!C325,"tuulisähkö",ostosähkö_nyt)</f>
        <v>jäännössähkö</v>
      </c>
      <c r="O325" s="147">
        <f>INDEX(Muuttujat!$J$5:$J$21,MATCH($C325,Muuttujat!$H$5:$H$21,0),1)</f>
        <v>62.625946521929137</v>
      </c>
      <c r="P325" s="148">
        <f t="shared" si="138"/>
        <v>0.80679798999999996</v>
      </c>
      <c r="Q325" s="148">
        <f t="shared" si="139"/>
        <v>0.19320200999999998</v>
      </c>
      <c r="R325" s="148">
        <f t="shared" si="140"/>
        <v>0.19320200999999998</v>
      </c>
      <c r="S325" s="149">
        <f t="shared" si="129"/>
        <v>0</v>
      </c>
      <c r="T325" s="150">
        <f t="shared" si="130"/>
        <v>0</v>
      </c>
      <c r="U325" s="150">
        <f t="shared" si="131"/>
        <v>0</v>
      </c>
      <c r="V325" s="150">
        <f>IFERROR(INDEX(Työkonekanta!$J$3:$J$27,MATCH($A325,Työkonekanta!$A$3:$A$24,0),1)*$B325*ef_li_ion_akku/1000/1000/INDEX(Työkonekanta!$K$3:$K$27,MATCH($A325,Työkonekanta!$A$3:$A$24,0)),0)</f>
        <v>0</v>
      </c>
      <c r="W325" s="149">
        <f t="shared" si="122"/>
        <v>0</v>
      </c>
      <c r="X325" s="150">
        <f t="shared" si="123"/>
        <v>0</v>
      </c>
      <c r="Y325" s="151">
        <f t="shared" si="124"/>
        <v>0</v>
      </c>
      <c r="Z325" s="152">
        <f t="shared" si="141"/>
        <v>0</v>
      </c>
      <c r="AA325" s="179">
        <f t="shared" si="142"/>
        <v>0</v>
      </c>
      <c r="AB325" s="179">
        <f t="shared" si="143"/>
        <v>0</v>
      </c>
      <c r="AC325" s="180">
        <f t="shared" si="125"/>
        <v>0</v>
      </c>
      <c r="AD325" s="156">
        <f t="shared" si="144"/>
        <v>0</v>
      </c>
      <c r="AE325" s="146">
        <f>IFERROR(INDEX(Työkonekanta!$L$3:$L$30,MATCH($A325,Työkonekanta!$A$3:$A$30,0),1),0)*AF325</f>
        <v>0</v>
      </c>
      <c r="AF325" s="146">
        <f>IFERROR(INDEX(Työkonekanta!$N$3:$N$32,MATCH($A325,Työkonekanta!$A$3:$A$32,0),1),0)</f>
        <v>0</v>
      </c>
      <c r="AG325" s="332">
        <f>I325*INDEX(Muuttujat!$U$5:$U$21,MATCH($C325,Muuttujat!$N$5:$N$21,0),1)</f>
        <v>0</v>
      </c>
      <c r="AH325" s="332">
        <f>J325*INDEX(Muuttujat!$T$5:$T$21,MATCH($C325,Muuttujat!$N$5:$N$21,0),1)</f>
        <v>0</v>
      </c>
      <c r="AI325" s="332">
        <f t="shared" si="132"/>
        <v>0</v>
      </c>
      <c r="AJ325" s="332">
        <f t="shared" si="133"/>
        <v>0</v>
      </c>
      <c r="AK325" s="333">
        <f t="shared" si="145"/>
        <v>0</v>
      </c>
      <c r="AL325" s="332">
        <f t="shared" si="134"/>
        <v>0</v>
      </c>
      <c r="AM325" s="351"/>
      <c r="AN325" s="351"/>
    </row>
    <row r="326" spans="1:40">
      <c r="A326" s="139">
        <v>24</v>
      </c>
      <c r="B326" s="139">
        <f>IFERROR(IF((INDEX(Työkonekanta!$F$3:$F$27,MATCH('S3 Tiekartta'!$A326,Työkonekanta!$A$3:$A$24,0),1))&lt;0,0,(INDEX(Työkonekanta!$F$3:$F$27,MATCH('S3 Tiekartta'!$A326,Työkonekanta!$A$3:$A$24,0),1))),0)</f>
        <v>0</v>
      </c>
      <c r="C326" s="140">
        <v>2029</v>
      </c>
      <c r="D326" s="141" t="str">
        <f>IFERROR(INDEX(Työkonekanta!$D$3:$D$27,MATCH('S3 Tiekartta'!$A326,Työkonekanta!$A$3:$A$24,0),1),"undefined")</f>
        <v>undefined</v>
      </c>
      <c r="E326" s="145">
        <f>IFERROR(INDEX(Työkonekanta!$G$3:$G$27,MATCH($A326,Työkonekanta!$A$3:$A$24,0),1)*INDEX(Työkonekanta!$H$3:$H$27,MATCH($A326,Työkonekanta!$A$3:$A$24,0),1)*(1+s0b_kasvu*($C326-2019))*$B326,0)</f>
        <v>0</v>
      </c>
      <c r="F326" s="145">
        <f t="shared" si="126"/>
        <v>0</v>
      </c>
      <c r="G326" s="151">
        <f t="shared" si="135"/>
        <v>0</v>
      </c>
      <c r="H326" s="145">
        <f t="shared" si="136"/>
        <v>0</v>
      </c>
      <c r="I326" s="145">
        <f t="shared" si="127"/>
        <v>0</v>
      </c>
      <c r="J326" s="145">
        <f t="shared" si="128"/>
        <v>0</v>
      </c>
      <c r="K326" s="142" t="str">
        <f t="shared" si="137"/>
        <v>undefined</v>
      </c>
      <c r="L326" s="146">
        <f>IFERROR(INDEX(Työkonekanta!$I$3:$I$27,MATCH('S3 Tiekartta'!$A326,Työkonekanta!$A$3:$A$24,0),1)*(I326+J326)*f_adblue,0)</f>
        <v>0</v>
      </c>
      <c r="M326" s="146">
        <f t="shared" si="121"/>
        <v>0</v>
      </c>
      <c r="N326" s="143" t="str">
        <f>IF(tuulisähkö_vuosi&lt;='S3 Tiekartta'!C326,"tuulisähkö",ostosähkö_nyt)</f>
        <v>jäännössähkö</v>
      </c>
      <c r="O326" s="147">
        <f>INDEX(Muuttujat!$J$5:$J$21,MATCH($C326,Muuttujat!$H$5:$H$21,0),1)</f>
        <v>62.625946521929137</v>
      </c>
      <c r="P326" s="148">
        <f t="shared" si="138"/>
        <v>0.80679798999999996</v>
      </c>
      <c r="Q326" s="148">
        <f t="shared" si="139"/>
        <v>0.19320200999999998</v>
      </c>
      <c r="R326" s="148">
        <f t="shared" si="140"/>
        <v>0.19320200999999998</v>
      </c>
      <c r="S326" s="149">
        <f t="shared" si="129"/>
        <v>0</v>
      </c>
      <c r="T326" s="150">
        <f t="shared" si="130"/>
        <v>0</v>
      </c>
      <c r="U326" s="150">
        <f t="shared" si="131"/>
        <v>0</v>
      </c>
      <c r="V326" s="150">
        <f>IFERROR(INDEX(Työkonekanta!$J$3:$J$27,MATCH($A326,Työkonekanta!$A$3:$A$24,0),1)*$B326*ef_li_ion_akku/1000/1000/INDEX(Työkonekanta!$K$3:$K$27,MATCH($A326,Työkonekanta!$A$3:$A$24,0)),0)</f>
        <v>0</v>
      </c>
      <c r="W326" s="149">
        <f t="shared" si="122"/>
        <v>0</v>
      </c>
      <c r="X326" s="150">
        <f t="shared" si="123"/>
        <v>0</v>
      </c>
      <c r="Y326" s="151">
        <f t="shared" si="124"/>
        <v>0</v>
      </c>
      <c r="Z326" s="152">
        <f t="shared" si="141"/>
        <v>0</v>
      </c>
      <c r="AA326" s="179">
        <f t="shared" si="142"/>
        <v>0</v>
      </c>
      <c r="AB326" s="179">
        <f t="shared" si="143"/>
        <v>0</v>
      </c>
      <c r="AC326" s="180">
        <f t="shared" si="125"/>
        <v>0</v>
      </c>
      <c r="AD326" s="156">
        <f t="shared" si="144"/>
        <v>0</v>
      </c>
      <c r="AE326" s="146">
        <f>IFERROR(INDEX(Työkonekanta!$L$3:$L$30,MATCH($A326,Työkonekanta!$A$3:$A$30,0),1),0)*AF326</f>
        <v>0</v>
      </c>
      <c r="AF326" s="146">
        <f>IFERROR(INDEX(Työkonekanta!$N$3:$N$32,MATCH($A326,Työkonekanta!$A$3:$A$32,0),1),0)</f>
        <v>0</v>
      </c>
      <c r="AG326" s="332">
        <f>I326*INDEX(Muuttujat!$U$5:$U$21,MATCH($C326,Muuttujat!$N$5:$N$21,0),1)</f>
        <v>0</v>
      </c>
      <c r="AH326" s="332">
        <f>J326*INDEX(Muuttujat!$T$5:$T$21,MATCH($C326,Muuttujat!$N$5:$N$21,0),1)</f>
        <v>0</v>
      </c>
      <c r="AI326" s="332">
        <f t="shared" si="132"/>
        <v>0</v>
      </c>
      <c r="AJ326" s="332">
        <f t="shared" si="133"/>
        <v>0</v>
      </c>
      <c r="AK326" s="333">
        <f t="shared" si="145"/>
        <v>0</v>
      </c>
      <c r="AL326" s="332">
        <f t="shared" si="134"/>
        <v>0</v>
      </c>
      <c r="AM326" s="351"/>
      <c r="AN326" s="351"/>
    </row>
    <row r="327" spans="1:40">
      <c r="A327" s="139">
        <v>25</v>
      </c>
      <c r="B327" s="139">
        <f>IFERROR(IF((INDEX(Työkonekanta!$F$3:$F$27,MATCH('S3 Tiekartta'!$A327,Työkonekanta!$A$3:$A$24,0),1))&lt;0,0,(INDEX(Työkonekanta!$F$3:$F$27,MATCH('S3 Tiekartta'!$A327,Työkonekanta!$A$3:$A$24,0),1))),0)</f>
        <v>0</v>
      </c>
      <c r="C327" s="140">
        <v>2029</v>
      </c>
      <c r="D327" s="141" t="str">
        <f>IFERROR(INDEX(Työkonekanta!$D$3:$D$27,MATCH('S3 Tiekartta'!$A327,Työkonekanta!$A$3:$A$24,0),1),"undefined")</f>
        <v>undefined</v>
      </c>
      <c r="E327" s="145">
        <f>IFERROR(INDEX(Työkonekanta!$G$3:$G$27,MATCH($A327,Työkonekanta!$A$3:$A$24,0),1)*INDEX(Työkonekanta!$H$3:$H$27,MATCH($A327,Työkonekanta!$A$3:$A$24,0),1)*(1+s0b_kasvu*($C327-2019))*$B327,0)</f>
        <v>0</v>
      </c>
      <c r="F327" s="145">
        <f t="shared" si="126"/>
        <v>0</v>
      </c>
      <c r="G327" s="151">
        <f t="shared" si="135"/>
        <v>0</v>
      </c>
      <c r="H327" s="145">
        <f t="shared" si="136"/>
        <v>0</v>
      </c>
      <c r="I327" s="145">
        <f t="shared" si="127"/>
        <v>0</v>
      </c>
      <c r="J327" s="145">
        <f t="shared" si="128"/>
        <v>0</v>
      </c>
      <c r="K327" s="142" t="str">
        <f t="shared" si="137"/>
        <v>undefined</v>
      </c>
      <c r="L327" s="146">
        <f>IFERROR(INDEX(Työkonekanta!$I$3:$I$27,MATCH('S3 Tiekartta'!$A327,Työkonekanta!$A$3:$A$24,0),1)*(I327+J327)*f_adblue,0)</f>
        <v>0</v>
      </c>
      <c r="M327" s="146">
        <f t="shared" si="121"/>
        <v>0</v>
      </c>
      <c r="N327" s="143" t="str">
        <f>IF(tuulisähkö_vuosi&lt;='S3 Tiekartta'!C327,"tuulisähkö",ostosähkö_nyt)</f>
        <v>jäännössähkö</v>
      </c>
      <c r="O327" s="147">
        <f>INDEX(Muuttujat!$J$5:$J$21,MATCH($C327,Muuttujat!$H$5:$H$21,0),1)</f>
        <v>62.625946521929137</v>
      </c>
      <c r="P327" s="148">
        <f t="shared" si="138"/>
        <v>0.80679798999999996</v>
      </c>
      <c r="Q327" s="148">
        <f t="shared" si="139"/>
        <v>0.19320200999999998</v>
      </c>
      <c r="R327" s="148">
        <f t="shared" si="140"/>
        <v>0.19320200999999998</v>
      </c>
      <c r="S327" s="149">
        <f t="shared" si="129"/>
        <v>0</v>
      </c>
      <c r="T327" s="150">
        <f t="shared" si="130"/>
        <v>0</v>
      </c>
      <c r="U327" s="150">
        <f t="shared" si="131"/>
        <v>0</v>
      </c>
      <c r="V327" s="150">
        <f>IFERROR(INDEX(Työkonekanta!$J$3:$J$27,MATCH($A327,Työkonekanta!$A$3:$A$24,0),1)*$B327*ef_li_ion_akku/1000/1000/INDEX(Työkonekanta!$K$3:$K$27,MATCH($A327,Työkonekanta!$A$3:$A$24,0)),0)</f>
        <v>0</v>
      </c>
      <c r="W327" s="149">
        <f t="shared" si="122"/>
        <v>0</v>
      </c>
      <c r="X327" s="150">
        <f t="shared" si="123"/>
        <v>0</v>
      </c>
      <c r="Y327" s="151">
        <f t="shared" si="124"/>
        <v>0</v>
      </c>
      <c r="Z327" s="152">
        <f t="shared" si="141"/>
        <v>0</v>
      </c>
      <c r="AA327" s="179">
        <f t="shared" si="142"/>
        <v>0</v>
      </c>
      <c r="AB327" s="179">
        <f t="shared" si="143"/>
        <v>0</v>
      </c>
      <c r="AC327" s="180">
        <f t="shared" si="125"/>
        <v>0</v>
      </c>
      <c r="AD327" s="156">
        <f t="shared" si="144"/>
        <v>0</v>
      </c>
      <c r="AE327" s="146">
        <f>IFERROR(INDEX(Työkonekanta!$L$3:$L$30,MATCH($A327,Työkonekanta!$A$3:$A$30,0),1),0)*AF327</f>
        <v>0</v>
      </c>
      <c r="AF327" s="146">
        <f>IFERROR(INDEX(Työkonekanta!$N$3:$N$32,MATCH($A327,Työkonekanta!$A$3:$A$32,0),1),0)</f>
        <v>0</v>
      </c>
      <c r="AG327" s="332">
        <f>I327*INDEX(Muuttujat!$U$5:$U$21,MATCH($C327,Muuttujat!$N$5:$N$21,0),1)</f>
        <v>0</v>
      </c>
      <c r="AH327" s="332">
        <f>J327*INDEX(Muuttujat!$T$5:$T$21,MATCH($C327,Muuttujat!$N$5:$N$21,0),1)</f>
        <v>0</v>
      </c>
      <c r="AI327" s="332">
        <f t="shared" si="132"/>
        <v>0</v>
      </c>
      <c r="AJ327" s="332">
        <f t="shared" si="133"/>
        <v>0</v>
      </c>
      <c r="AK327" s="333">
        <f t="shared" si="145"/>
        <v>0</v>
      </c>
      <c r="AL327" s="332">
        <f t="shared" si="134"/>
        <v>0</v>
      </c>
      <c r="AM327" s="351"/>
      <c r="AN327" s="351"/>
    </row>
    <row r="328" spans="1:40">
      <c r="A328" s="139">
        <v>26</v>
      </c>
      <c r="B328" s="139">
        <f>IFERROR(IF((INDEX(Työkonekanta!$F$3:$F$27,MATCH('S3 Tiekartta'!$A328,Työkonekanta!$A$3:$A$24,0),1))&lt;0,0,(INDEX(Työkonekanta!$F$3:$F$27,MATCH('S3 Tiekartta'!$A328,Työkonekanta!$A$3:$A$24,0),1))),0)</f>
        <v>0</v>
      </c>
      <c r="C328" s="140">
        <v>2029</v>
      </c>
      <c r="D328" s="141" t="str">
        <f>IFERROR(INDEX(Työkonekanta!$D$3:$D$27,MATCH('S3 Tiekartta'!$A328,Työkonekanta!$A$3:$A$24,0),1),"undefined")</f>
        <v>undefined</v>
      </c>
      <c r="E328" s="145">
        <f>IFERROR(INDEX(Työkonekanta!$G$3:$G$27,MATCH($A328,Työkonekanta!$A$3:$A$24,0),1)*INDEX(Työkonekanta!$H$3:$H$27,MATCH($A328,Työkonekanta!$A$3:$A$24,0),1)*(1+s0b_kasvu*($C328-2019))*$B328,0)</f>
        <v>0</v>
      </c>
      <c r="F328" s="145">
        <f t="shared" si="126"/>
        <v>0</v>
      </c>
      <c r="G328" s="151">
        <f t="shared" si="135"/>
        <v>0</v>
      </c>
      <c r="H328" s="145">
        <f t="shared" si="136"/>
        <v>0</v>
      </c>
      <c r="I328" s="145">
        <f t="shared" si="127"/>
        <v>0</v>
      </c>
      <c r="J328" s="145">
        <f t="shared" si="128"/>
        <v>0</v>
      </c>
      <c r="K328" s="142" t="str">
        <f t="shared" si="137"/>
        <v>undefined</v>
      </c>
      <c r="L328" s="146">
        <f>IFERROR(INDEX(Työkonekanta!$I$3:$I$27,MATCH('S3 Tiekartta'!$A328,Työkonekanta!$A$3:$A$24,0),1)*(I328+J328)*f_adblue,0)</f>
        <v>0</v>
      </c>
      <c r="M328" s="146">
        <f t="shared" si="121"/>
        <v>0</v>
      </c>
      <c r="N328" s="143" t="str">
        <f>IF(tuulisähkö_vuosi&lt;='S3 Tiekartta'!C328,"tuulisähkö",ostosähkö_nyt)</f>
        <v>jäännössähkö</v>
      </c>
      <c r="O328" s="147">
        <f>INDEX(Muuttujat!$J$5:$J$21,MATCH($C328,Muuttujat!$H$5:$H$21,0),1)</f>
        <v>62.625946521929137</v>
      </c>
      <c r="P328" s="148">
        <f t="shared" si="138"/>
        <v>0.80679798999999996</v>
      </c>
      <c r="Q328" s="148">
        <f t="shared" si="139"/>
        <v>0.19320200999999998</v>
      </c>
      <c r="R328" s="148">
        <f t="shared" si="140"/>
        <v>0.19320200999999998</v>
      </c>
      <c r="S328" s="149">
        <f t="shared" si="129"/>
        <v>0</v>
      </c>
      <c r="T328" s="150">
        <f t="shared" si="130"/>
        <v>0</v>
      </c>
      <c r="U328" s="150">
        <f t="shared" si="131"/>
        <v>0</v>
      </c>
      <c r="V328" s="150">
        <f>IFERROR(INDEX(Työkonekanta!$J$3:$J$27,MATCH($A328,Työkonekanta!$A$3:$A$24,0),1)*$B328*ef_li_ion_akku/1000/1000/INDEX(Työkonekanta!$K$3:$K$27,MATCH($A328,Työkonekanta!$A$3:$A$24,0)),0)</f>
        <v>0</v>
      </c>
      <c r="W328" s="149">
        <f t="shared" si="122"/>
        <v>0</v>
      </c>
      <c r="X328" s="150">
        <f t="shared" si="123"/>
        <v>0</v>
      </c>
      <c r="Y328" s="151">
        <f t="shared" si="124"/>
        <v>0</v>
      </c>
      <c r="Z328" s="152">
        <f t="shared" si="141"/>
        <v>0</v>
      </c>
      <c r="AA328" s="179">
        <f t="shared" si="142"/>
        <v>0</v>
      </c>
      <c r="AB328" s="179">
        <f t="shared" si="143"/>
        <v>0</v>
      </c>
      <c r="AC328" s="180">
        <f t="shared" si="125"/>
        <v>0</v>
      </c>
      <c r="AD328" s="156">
        <f t="shared" si="144"/>
        <v>0</v>
      </c>
      <c r="AE328" s="146">
        <f>IFERROR(INDEX(Työkonekanta!$L$3:$L$30,MATCH($A328,Työkonekanta!$A$3:$A$30,0),1),0)*AF328</f>
        <v>0</v>
      </c>
      <c r="AF328" s="146">
        <f>IFERROR(INDEX(Työkonekanta!$N$3:$N$32,MATCH($A328,Työkonekanta!$A$3:$A$32,0),1),0)</f>
        <v>0</v>
      </c>
      <c r="AG328" s="332">
        <f>I328*INDEX(Muuttujat!$U$5:$U$21,MATCH($C328,Muuttujat!$N$5:$N$21,0),1)</f>
        <v>0</v>
      </c>
      <c r="AH328" s="332">
        <f>J328*INDEX(Muuttujat!$T$5:$T$21,MATCH($C328,Muuttujat!$N$5:$N$21,0),1)</f>
        <v>0</v>
      </c>
      <c r="AI328" s="332">
        <f t="shared" si="132"/>
        <v>0</v>
      </c>
      <c r="AJ328" s="332">
        <f t="shared" si="133"/>
        <v>0</v>
      </c>
      <c r="AK328" s="333">
        <f t="shared" si="145"/>
        <v>0</v>
      </c>
      <c r="AL328" s="332">
        <f t="shared" si="134"/>
        <v>0</v>
      </c>
      <c r="AM328" s="351"/>
      <c r="AN328" s="351"/>
    </row>
    <row r="329" spans="1:40">
      <c r="A329" s="139">
        <v>27</v>
      </c>
      <c r="B329" s="139">
        <f>IFERROR(IF((INDEX(Työkonekanta!$F$3:$F$27,MATCH('S3 Tiekartta'!$A329,Työkonekanta!$A$3:$A$24,0),1))&lt;0,0,(INDEX(Työkonekanta!$F$3:$F$27,MATCH('S3 Tiekartta'!$A329,Työkonekanta!$A$3:$A$24,0),1))),0)</f>
        <v>0</v>
      </c>
      <c r="C329" s="140">
        <v>2029</v>
      </c>
      <c r="D329" s="141" t="str">
        <f>IFERROR(INDEX(Työkonekanta!$D$3:$D$27,MATCH('S3 Tiekartta'!$A329,Työkonekanta!$A$3:$A$24,0),1),"undefined")</f>
        <v>undefined</v>
      </c>
      <c r="E329" s="145">
        <f>IFERROR(INDEX(Työkonekanta!$G$3:$G$27,MATCH($A329,Työkonekanta!$A$3:$A$24,0),1)*INDEX(Työkonekanta!$H$3:$H$27,MATCH($A329,Työkonekanta!$A$3:$A$24,0),1)*(1+s0b_kasvu*($C329-2019))*$B329,0)</f>
        <v>0</v>
      </c>
      <c r="F329" s="145">
        <f t="shared" si="126"/>
        <v>0</v>
      </c>
      <c r="G329" s="151">
        <f t="shared" si="135"/>
        <v>0</v>
      </c>
      <c r="H329" s="145">
        <f t="shared" si="136"/>
        <v>0</v>
      </c>
      <c r="I329" s="145">
        <f t="shared" si="127"/>
        <v>0</v>
      </c>
      <c r="J329" s="145">
        <f t="shared" si="128"/>
        <v>0</v>
      </c>
      <c r="K329" s="142" t="str">
        <f t="shared" si="137"/>
        <v>undefined</v>
      </c>
      <c r="L329" s="146">
        <f>IFERROR(INDEX(Työkonekanta!$I$3:$I$27,MATCH('S3 Tiekartta'!$A329,Työkonekanta!$A$3:$A$24,0),1)*(I329+J329)*f_adblue,0)</f>
        <v>0</v>
      </c>
      <c r="M329" s="146">
        <f t="shared" si="121"/>
        <v>0</v>
      </c>
      <c r="N329" s="143" t="str">
        <f>IF(tuulisähkö_vuosi&lt;='S3 Tiekartta'!C329,"tuulisähkö",ostosähkö_nyt)</f>
        <v>jäännössähkö</v>
      </c>
      <c r="O329" s="147">
        <f>INDEX(Muuttujat!$J$5:$J$21,MATCH($C329,Muuttujat!$H$5:$H$21,0),1)</f>
        <v>62.625946521929137</v>
      </c>
      <c r="P329" s="148">
        <f t="shared" si="138"/>
        <v>0.80679798999999996</v>
      </c>
      <c r="Q329" s="148">
        <f t="shared" si="139"/>
        <v>0.19320200999999998</v>
      </c>
      <c r="R329" s="148">
        <f t="shared" si="140"/>
        <v>0.19320200999999998</v>
      </c>
      <c r="S329" s="149">
        <f t="shared" si="129"/>
        <v>0</v>
      </c>
      <c r="T329" s="150">
        <f t="shared" si="130"/>
        <v>0</v>
      </c>
      <c r="U329" s="150">
        <f t="shared" si="131"/>
        <v>0</v>
      </c>
      <c r="V329" s="150">
        <f>IFERROR(INDEX(Työkonekanta!$J$3:$J$27,MATCH($A329,Työkonekanta!$A$3:$A$24,0),1)*$B329*ef_li_ion_akku/1000/1000/INDEX(Työkonekanta!$K$3:$K$27,MATCH($A329,Työkonekanta!$A$3:$A$24,0)),0)</f>
        <v>0</v>
      </c>
      <c r="W329" s="149">
        <f t="shared" si="122"/>
        <v>0</v>
      </c>
      <c r="X329" s="150">
        <f t="shared" si="123"/>
        <v>0</v>
      </c>
      <c r="Y329" s="151">
        <f t="shared" si="124"/>
        <v>0</v>
      </c>
      <c r="Z329" s="152">
        <f t="shared" si="141"/>
        <v>0</v>
      </c>
      <c r="AA329" s="179">
        <f t="shared" si="142"/>
        <v>0</v>
      </c>
      <c r="AB329" s="179">
        <f t="shared" si="143"/>
        <v>0</v>
      </c>
      <c r="AC329" s="180">
        <f t="shared" si="125"/>
        <v>0</v>
      </c>
      <c r="AD329" s="156">
        <f t="shared" si="144"/>
        <v>0</v>
      </c>
      <c r="AE329" s="146">
        <f>IFERROR(INDEX(Työkonekanta!$L$3:$L$30,MATCH($A329,Työkonekanta!$A$3:$A$30,0),1),0)*AF329</f>
        <v>0</v>
      </c>
      <c r="AF329" s="146">
        <f>IFERROR(INDEX(Työkonekanta!$N$3:$N$32,MATCH($A329,Työkonekanta!$A$3:$A$32,0),1),0)</f>
        <v>0</v>
      </c>
      <c r="AG329" s="332">
        <f>I329*INDEX(Muuttujat!$U$5:$U$21,MATCH($C329,Muuttujat!$N$5:$N$21,0),1)</f>
        <v>0</v>
      </c>
      <c r="AH329" s="332">
        <f>J329*INDEX(Muuttujat!$T$5:$T$21,MATCH($C329,Muuttujat!$N$5:$N$21,0),1)</f>
        <v>0</v>
      </c>
      <c r="AI329" s="332">
        <f t="shared" si="132"/>
        <v>0</v>
      </c>
      <c r="AJ329" s="332">
        <f t="shared" si="133"/>
        <v>0</v>
      </c>
      <c r="AK329" s="333">
        <f t="shared" si="145"/>
        <v>0</v>
      </c>
      <c r="AL329" s="332">
        <f t="shared" si="134"/>
        <v>0</v>
      </c>
      <c r="AM329" s="351"/>
      <c r="AN329" s="351"/>
    </row>
    <row r="330" spans="1:40">
      <c r="A330" s="139">
        <v>28</v>
      </c>
      <c r="B330" s="139">
        <f>IFERROR(IF((INDEX(Työkonekanta!$F$3:$F$27,MATCH('S3 Tiekartta'!$A330,Työkonekanta!$A$3:$A$24,0),1))&lt;0,0,(INDEX(Työkonekanta!$F$3:$F$27,MATCH('S3 Tiekartta'!$A330,Työkonekanta!$A$3:$A$24,0),1))),0)</f>
        <v>0</v>
      </c>
      <c r="C330" s="140">
        <v>2029</v>
      </c>
      <c r="D330" s="141" t="str">
        <f>IFERROR(INDEX(Työkonekanta!$D$3:$D$27,MATCH('S3 Tiekartta'!$A330,Työkonekanta!$A$3:$A$24,0),1),"undefined")</f>
        <v>undefined</v>
      </c>
      <c r="E330" s="145">
        <f>IFERROR(INDEX(Työkonekanta!$G$3:$G$27,MATCH($A330,Työkonekanta!$A$3:$A$24,0),1)*INDEX(Työkonekanta!$H$3:$H$27,MATCH($A330,Työkonekanta!$A$3:$A$24,0),1)*(1+s0b_kasvu*($C330-2019))*$B330,0)</f>
        <v>0</v>
      </c>
      <c r="F330" s="145">
        <f t="shared" si="126"/>
        <v>0</v>
      </c>
      <c r="G330" s="151">
        <f t="shared" si="135"/>
        <v>0</v>
      </c>
      <c r="H330" s="145">
        <f t="shared" si="136"/>
        <v>0</v>
      </c>
      <c r="I330" s="145">
        <f t="shared" si="127"/>
        <v>0</v>
      </c>
      <c r="J330" s="145">
        <f t="shared" si="128"/>
        <v>0</v>
      </c>
      <c r="K330" s="142" t="str">
        <f t="shared" si="137"/>
        <v>undefined</v>
      </c>
      <c r="L330" s="146">
        <f>IFERROR(INDEX(Työkonekanta!$I$3:$I$27,MATCH('S3 Tiekartta'!$A330,Työkonekanta!$A$3:$A$24,0),1)*(I330+J330)*f_adblue,0)</f>
        <v>0</v>
      </c>
      <c r="M330" s="146">
        <f t="shared" si="121"/>
        <v>0</v>
      </c>
      <c r="N330" s="143" t="str">
        <f>IF(tuulisähkö_vuosi&lt;='S3 Tiekartta'!C330,"tuulisähkö",ostosähkö_nyt)</f>
        <v>jäännössähkö</v>
      </c>
      <c r="O330" s="147">
        <f>INDEX(Muuttujat!$J$5:$J$21,MATCH($C330,Muuttujat!$H$5:$H$21,0),1)</f>
        <v>62.625946521929137</v>
      </c>
      <c r="P330" s="148">
        <f t="shared" si="138"/>
        <v>0.80679798999999996</v>
      </c>
      <c r="Q330" s="148">
        <f t="shared" si="139"/>
        <v>0.19320200999999998</v>
      </c>
      <c r="R330" s="148">
        <f t="shared" si="140"/>
        <v>0.19320200999999998</v>
      </c>
      <c r="S330" s="149">
        <f t="shared" si="129"/>
        <v>0</v>
      </c>
      <c r="T330" s="150">
        <f t="shared" si="130"/>
        <v>0</v>
      </c>
      <c r="U330" s="150">
        <f t="shared" si="131"/>
        <v>0</v>
      </c>
      <c r="V330" s="150">
        <f>IFERROR(INDEX(Työkonekanta!$J$3:$J$27,MATCH($A330,Työkonekanta!$A$3:$A$24,0),1)*$B330*ef_li_ion_akku/1000/1000/INDEX(Työkonekanta!$K$3:$K$27,MATCH($A330,Työkonekanta!$A$3:$A$24,0)),0)</f>
        <v>0</v>
      </c>
      <c r="W330" s="149">
        <f t="shared" si="122"/>
        <v>0</v>
      </c>
      <c r="X330" s="150">
        <f t="shared" si="123"/>
        <v>0</v>
      </c>
      <c r="Y330" s="151">
        <f t="shared" si="124"/>
        <v>0</v>
      </c>
      <c r="Z330" s="152">
        <f t="shared" si="141"/>
        <v>0</v>
      </c>
      <c r="AA330" s="179">
        <f t="shared" si="142"/>
        <v>0</v>
      </c>
      <c r="AB330" s="179">
        <f t="shared" si="143"/>
        <v>0</v>
      </c>
      <c r="AC330" s="180">
        <f t="shared" si="125"/>
        <v>0</v>
      </c>
      <c r="AD330" s="156">
        <f t="shared" si="144"/>
        <v>0</v>
      </c>
      <c r="AE330" s="146">
        <f>IFERROR(INDEX(Työkonekanta!$L$3:$L$30,MATCH($A330,Työkonekanta!$A$3:$A$30,0),1),0)*AF330</f>
        <v>0</v>
      </c>
      <c r="AF330" s="146">
        <f>IFERROR(INDEX(Työkonekanta!$N$3:$N$32,MATCH($A330,Työkonekanta!$A$3:$A$32,0),1),0)</f>
        <v>0</v>
      </c>
      <c r="AG330" s="332">
        <f>I330*INDEX(Muuttujat!$U$5:$U$21,MATCH($C330,Muuttujat!$N$5:$N$21,0),1)</f>
        <v>0</v>
      </c>
      <c r="AH330" s="332">
        <f>J330*INDEX(Muuttujat!$T$5:$T$21,MATCH($C330,Muuttujat!$N$5:$N$21,0),1)</f>
        <v>0</v>
      </c>
      <c r="AI330" s="332">
        <f t="shared" si="132"/>
        <v>0</v>
      </c>
      <c r="AJ330" s="332">
        <f t="shared" si="133"/>
        <v>0</v>
      </c>
      <c r="AK330" s="333">
        <f t="shared" si="145"/>
        <v>0</v>
      </c>
      <c r="AL330" s="332">
        <f t="shared" si="134"/>
        <v>0</v>
      </c>
      <c r="AM330" s="351"/>
      <c r="AN330" s="351"/>
    </row>
    <row r="331" spans="1:40">
      <c r="A331" s="139">
        <v>29</v>
      </c>
      <c r="B331" s="139">
        <f>IFERROR(IF((INDEX(Työkonekanta!$F$3:$F$27,MATCH('S3 Tiekartta'!$A331,Työkonekanta!$A$3:$A$24,0),1))&lt;0,0,(INDEX(Työkonekanta!$F$3:$F$27,MATCH('S3 Tiekartta'!$A331,Työkonekanta!$A$3:$A$24,0),1))),0)</f>
        <v>0</v>
      </c>
      <c r="C331" s="140">
        <v>2029</v>
      </c>
      <c r="D331" s="141" t="str">
        <f>IFERROR(INDEX(Työkonekanta!$D$3:$D$27,MATCH('S3 Tiekartta'!$A331,Työkonekanta!$A$3:$A$24,0),1),"undefined")</f>
        <v>undefined</v>
      </c>
      <c r="E331" s="145">
        <f>IFERROR(INDEX(Työkonekanta!$G$3:$G$27,MATCH($A331,Työkonekanta!$A$3:$A$24,0),1)*INDEX(Työkonekanta!$H$3:$H$27,MATCH($A331,Työkonekanta!$A$3:$A$24,0),1)*(1+s0b_kasvu*($C331-2019))*$B331,0)</f>
        <v>0</v>
      </c>
      <c r="F331" s="145">
        <f t="shared" si="126"/>
        <v>0</v>
      </c>
      <c r="G331" s="151">
        <f t="shared" si="135"/>
        <v>0</v>
      </c>
      <c r="H331" s="145">
        <f t="shared" si="136"/>
        <v>0</v>
      </c>
      <c r="I331" s="145">
        <f t="shared" si="127"/>
        <v>0</v>
      </c>
      <c r="J331" s="145">
        <f t="shared" si="128"/>
        <v>0</v>
      </c>
      <c r="K331" s="142" t="str">
        <f t="shared" si="137"/>
        <v>undefined</v>
      </c>
      <c r="L331" s="146">
        <f>IFERROR(INDEX(Työkonekanta!$I$3:$I$27,MATCH('S3 Tiekartta'!$A331,Työkonekanta!$A$3:$A$24,0),1)*(I331+J331)*f_adblue,0)</f>
        <v>0</v>
      </c>
      <c r="M331" s="146">
        <f t="shared" si="121"/>
        <v>0</v>
      </c>
      <c r="N331" s="143" t="str">
        <f>IF(tuulisähkö_vuosi&lt;='S3 Tiekartta'!C331,"tuulisähkö",ostosähkö_nyt)</f>
        <v>jäännössähkö</v>
      </c>
      <c r="O331" s="147">
        <f>INDEX(Muuttujat!$J$5:$J$21,MATCH($C331,Muuttujat!$H$5:$H$21,0),1)</f>
        <v>62.625946521929137</v>
      </c>
      <c r="P331" s="148">
        <f t="shared" si="138"/>
        <v>0.80679798999999996</v>
      </c>
      <c r="Q331" s="148">
        <f t="shared" si="139"/>
        <v>0.19320200999999998</v>
      </c>
      <c r="R331" s="148">
        <f t="shared" si="140"/>
        <v>0.19320200999999998</v>
      </c>
      <c r="S331" s="149">
        <f t="shared" si="129"/>
        <v>0</v>
      </c>
      <c r="T331" s="150">
        <f t="shared" si="130"/>
        <v>0</v>
      </c>
      <c r="U331" s="150">
        <f t="shared" si="131"/>
        <v>0</v>
      </c>
      <c r="V331" s="150">
        <f>IFERROR(INDEX(Työkonekanta!$J$3:$J$27,MATCH($A331,Työkonekanta!$A$3:$A$24,0),1)*$B331*ef_li_ion_akku/1000/1000/INDEX(Työkonekanta!$K$3:$K$27,MATCH($A331,Työkonekanta!$A$3:$A$24,0)),0)</f>
        <v>0</v>
      </c>
      <c r="W331" s="149">
        <f t="shared" si="122"/>
        <v>0</v>
      </c>
      <c r="X331" s="150">
        <f t="shared" si="123"/>
        <v>0</v>
      </c>
      <c r="Y331" s="151">
        <f t="shared" si="124"/>
        <v>0</v>
      </c>
      <c r="Z331" s="152">
        <f t="shared" si="141"/>
        <v>0</v>
      </c>
      <c r="AA331" s="179">
        <f t="shared" si="142"/>
        <v>0</v>
      </c>
      <c r="AB331" s="179">
        <f t="shared" si="143"/>
        <v>0</v>
      </c>
      <c r="AC331" s="180">
        <f t="shared" si="125"/>
        <v>0</v>
      </c>
      <c r="AD331" s="156">
        <f t="shared" si="144"/>
        <v>0</v>
      </c>
      <c r="AE331" s="146">
        <f>IFERROR(INDEX(Työkonekanta!$L$3:$L$30,MATCH($A331,Työkonekanta!$A$3:$A$30,0),1),0)*AF331</f>
        <v>0</v>
      </c>
      <c r="AF331" s="146">
        <f>IFERROR(INDEX(Työkonekanta!$N$3:$N$32,MATCH($A331,Työkonekanta!$A$3:$A$32,0),1),0)</f>
        <v>0</v>
      </c>
      <c r="AG331" s="332">
        <f>I331*INDEX(Muuttujat!$U$5:$U$21,MATCH($C331,Muuttujat!$N$5:$N$21,0),1)</f>
        <v>0</v>
      </c>
      <c r="AH331" s="332">
        <f>J331*INDEX(Muuttujat!$T$5:$T$21,MATCH($C331,Muuttujat!$N$5:$N$21,0),1)</f>
        <v>0</v>
      </c>
      <c r="AI331" s="332">
        <f t="shared" si="132"/>
        <v>0</v>
      </c>
      <c r="AJ331" s="332">
        <f t="shared" si="133"/>
        <v>0</v>
      </c>
      <c r="AK331" s="333">
        <f t="shared" si="145"/>
        <v>0</v>
      </c>
      <c r="AL331" s="332">
        <f t="shared" si="134"/>
        <v>0</v>
      </c>
      <c r="AM331" s="351"/>
      <c r="AN331" s="351"/>
    </row>
    <row r="332" spans="1:40">
      <c r="A332" s="139">
        <v>30</v>
      </c>
      <c r="B332" s="139">
        <f>IFERROR(IF((INDEX(Työkonekanta!$F$3:$F$27,MATCH('S3 Tiekartta'!$A332,Työkonekanta!$A$3:$A$24,0),1))&lt;0,0,(INDEX(Työkonekanta!$F$3:$F$27,MATCH('S3 Tiekartta'!$A332,Työkonekanta!$A$3:$A$24,0),1))),0)</f>
        <v>0</v>
      </c>
      <c r="C332" s="140">
        <v>2029</v>
      </c>
      <c r="D332" s="141" t="str">
        <f>IFERROR(INDEX(Työkonekanta!$D$3:$D$27,MATCH('S3 Tiekartta'!$A332,Työkonekanta!$A$3:$A$24,0),1),"undefined")</f>
        <v>undefined</v>
      </c>
      <c r="E332" s="145">
        <f>IFERROR(INDEX(Työkonekanta!$G$3:$G$27,MATCH($A332,Työkonekanta!$A$3:$A$24,0),1)*INDEX(Työkonekanta!$H$3:$H$27,MATCH($A332,Työkonekanta!$A$3:$A$24,0),1)*(1+s0b_kasvu*($C332-2019))*$B332,0)</f>
        <v>0</v>
      </c>
      <c r="F332" s="145">
        <f t="shared" si="126"/>
        <v>0</v>
      </c>
      <c r="G332" s="151">
        <f t="shared" si="135"/>
        <v>0</v>
      </c>
      <c r="H332" s="145">
        <f t="shared" si="136"/>
        <v>0</v>
      </c>
      <c r="I332" s="145">
        <f t="shared" si="127"/>
        <v>0</v>
      </c>
      <c r="J332" s="145">
        <f t="shared" si="128"/>
        <v>0</v>
      </c>
      <c r="K332" s="142" t="str">
        <f t="shared" si="137"/>
        <v>undefined</v>
      </c>
      <c r="L332" s="146">
        <f>IFERROR(INDEX(Työkonekanta!$I$3:$I$27,MATCH('S3 Tiekartta'!$A332,Työkonekanta!$A$3:$A$24,0),1)*(I332+J332)*f_adblue,0)</f>
        <v>0</v>
      </c>
      <c r="M332" s="146">
        <f t="shared" si="121"/>
        <v>0</v>
      </c>
      <c r="N332" s="143" t="str">
        <f>IF(tuulisähkö_vuosi&lt;='S3 Tiekartta'!C332,"tuulisähkö",ostosähkö_nyt)</f>
        <v>jäännössähkö</v>
      </c>
      <c r="O332" s="147">
        <f>INDEX(Muuttujat!$J$5:$J$21,MATCH($C332,Muuttujat!$H$5:$H$21,0),1)</f>
        <v>62.625946521929137</v>
      </c>
      <c r="P332" s="148">
        <f t="shared" si="138"/>
        <v>0.80679798999999996</v>
      </c>
      <c r="Q332" s="148">
        <f t="shared" si="139"/>
        <v>0.19320200999999998</v>
      </c>
      <c r="R332" s="148">
        <f t="shared" si="140"/>
        <v>0.19320200999999998</v>
      </c>
      <c r="S332" s="149">
        <f t="shared" si="129"/>
        <v>0</v>
      </c>
      <c r="T332" s="150">
        <f t="shared" si="130"/>
        <v>0</v>
      </c>
      <c r="U332" s="150">
        <f t="shared" si="131"/>
        <v>0</v>
      </c>
      <c r="V332" s="150">
        <f>IFERROR(INDEX(Työkonekanta!$J$3:$J$27,MATCH($A332,Työkonekanta!$A$3:$A$24,0),1)*$B332*ef_li_ion_akku/1000/1000/INDEX(Työkonekanta!$K$3:$K$27,MATCH($A332,Työkonekanta!$A$3:$A$24,0)),0)</f>
        <v>0</v>
      </c>
      <c r="W332" s="149">
        <f t="shared" si="122"/>
        <v>0</v>
      </c>
      <c r="X332" s="150">
        <f t="shared" si="123"/>
        <v>0</v>
      </c>
      <c r="Y332" s="151">
        <f t="shared" si="124"/>
        <v>0</v>
      </c>
      <c r="Z332" s="152">
        <f t="shared" si="141"/>
        <v>0</v>
      </c>
      <c r="AA332" s="179">
        <f t="shared" si="142"/>
        <v>0</v>
      </c>
      <c r="AB332" s="179">
        <f t="shared" si="143"/>
        <v>0</v>
      </c>
      <c r="AC332" s="180">
        <f t="shared" si="125"/>
        <v>0</v>
      </c>
      <c r="AD332" s="156">
        <f t="shared" si="144"/>
        <v>0</v>
      </c>
      <c r="AE332" s="146">
        <f>IFERROR(INDEX(Työkonekanta!$L$3:$L$30,MATCH($A332,Työkonekanta!$A$3:$A$30,0),1),0)*AF332</f>
        <v>0</v>
      </c>
      <c r="AF332" s="146">
        <f>IFERROR(INDEX(Työkonekanta!$N$3:$N$32,MATCH($A332,Työkonekanta!$A$3:$A$32,0),1),0)</f>
        <v>0</v>
      </c>
      <c r="AG332" s="332">
        <f>I332*INDEX(Muuttujat!$U$5:$U$21,MATCH($C332,Muuttujat!$N$5:$N$21,0),1)</f>
        <v>0</v>
      </c>
      <c r="AH332" s="332">
        <f>J332*INDEX(Muuttujat!$T$5:$T$21,MATCH($C332,Muuttujat!$N$5:$N$21,0),1)</f>
        <v>0</v>
      </c>
      <c r="AI332" s="332">
        <f t="shared" si="132"/>
        <v>0</v>
      </c>
      <c r="AJ332" s="332">
        <f t="shared" si="133"/>
        <v>0</v>
      </c>
      <c r="AK332" s="333">
        <f t="shared" si="145"/>
        <v>0</v>
      </c>
      <c r="AL332" s="332">
        <f t="shared" si="134"/>
        <v>0</v>
      </c>
      <c r="AM332" s="351"/>
      <c r="AN332" s="351"/>
    </row>
    <row r="333" spans="1:40">
      <c r="A333" s="139">
        <v>1</v>
      </c>
      <c r="B333" s="139">
        <f>IFERROR(IF((INDEX(Työkonekanta!$F$3:$F$27,MATCH('S3 Tiekartta'!$A333,Työkonekanta!$A$3:$A$24,0),1))&lt;0,0,(INDEX(Työkonekanta!$F$3:$F$27,MATCH('S3 Tiekartta'!$A333,Työkonekanta!$A$3:$A$24,0),1))),0)</f>
        <v>1</v>
      </c>
      <c r="C333" s="140">
        <v>2030</v>
      </c>
      <c r="D333" s="141" t="str">
        <f>IFERROR(INDEX(Työkonekanta!$D$3:$D$27,MATCH('S3 Tiekartta'!$A333,Työkonekanta!$A$3:$A$24,0),1),"undefined")</f>
        <v>pom</v>
      </c>
      <c r="E333" s="145">
        <f>IFERROR(INDEX(Työkonekanta!$G$3:$G$27,MATCH($A333,Työkonekanta!$A$3:$A$24,0),1)*INDEX(Työkonekanta!$H$3:$H$27,MATCH($A333,Työkonekanta!$A$3:$A$24,0),1)*(1+s0b_kasvu*($C333-2019))*$B333,0)</f>
        <v>11100.000000000002</v>
      </c>
      <c r="F333" s="145">
        <f t="shared" si="126"/>
        <v>398490.00000000006</v>
      </c>
      <c r="G333" s="151">
        <f t="shared" si="135"/>
        <v>299174.10103527905</v>
      </c>
      <c r="H333" s="145">
        <f t="shared" si="136"/>
        <v>99315.898964721011</v>
      </c>
      <c r="I333" s="145">
        <f t="shared" si="127"/>
        <v>8333.5404188100019</v>
      </c>
      <c r="J333" s="145">
        <f t="shared" si="128"/>
        <v>2895.507258446677</v>
      </c>
      <c r="K333" s="142" t="str">
        <f t="shared" si="137"/>
        <v>l</v>
      </c>
      <c r="L333" s="146">
        <f>IFERROR(INDEX(Työkonekanta!$I$3:$I$27,MATCH('S3 Tiekartta'!$A333,Työkonekanta!$A$3:$A$24,0),1)*(I333+J333)*f_adblue,0)</f>
        <v>561.45238386283404</v>
      </c>
      <c r="M333" s="146">
        <f t="shared" si="121"/>
        <v>0</v>
      </c>
      <c r="N333" s="143" t="str">
        <f>IF(tuulisähkö_vuosi&lt;='S3 Tiekartta'!C333,"tuulisähkö",ostosähkö_nyt)</f>
        <v>jäännössähkö</v>
      </c>
      <c r="O333" s="147">
        <f>INDEX(Muuttujat!$J$5:$J$21,MATCH($C333,Muuttujat!$H$5:$H$21,0),1)</f>
        <v>61.999687056709845</v>
      </c>
      <c r="P333" s="148">
        <f t="shared" si="138"/>
        <v>0.75076940709999995</v>
      </c>
      <c r="Q333" s="148">
        <f t="shared" si="139"/>
        <v>0.24923059289999999</v>
      </c>
      <c r="R333" s="148">
        <f t="shared" si="140"/>
        <v>0.24923059289999999</v>
      </c>
      <c r="S333" s="149">
        <f t="shared" si="129"/>
        <v>5.654390509566773</v>
      </c>
      <c r="T333" s="150">
        <f t="shared" si="130"/>
        <v>6.1973120953985905</v>
      </c>
      <c r="U333" s="150">
        <f t="shared" si="131"/>
        <v>0</v>
      </c>
      <c r="V333" s="150">
        <f>IFERROR(INDEX(Työkonekanta!$J$3:$J$27,MATCH($A333,Työkonekanta!$A$3:$A$24,0),1)*$B333*ef_li_ion_akku/1000/1000/INDEX(Työkonekanta!$K$3:$K$27,MATCH($A333,Työkonekanta!$A$3:$A$24,0)),0)</f>
        <v>0</v>
      </c>
      <c r="W333" s="149">
        <f t="shared" si="122"/>
        <v>22.081518122768948</v>
      </c>
      <c r="X333" s="150">
        <f t="shared" si="123"/>
        <v>0.35269768260000006</v>
      </c>
      <c r="Y333" s="151">
        <f t="shared" si="124"/>
        <v>0.14597761980433685</v>
      </c>
      <c r="Z333" s="152">
        <f t="shared" si="141"/>
        <v>11.851702604965364</v>
      </c>
      <c r="AA333" s="179">
        <f t="shared" si="142"/>
        <v>22.227495742573286</v>
      </c>
      <c r="AB333" s="179">
        <f t="shared" si="143"/>
        <v>22.580193425173285</v>
      </c>
      <c r="AC333" s="180">
        <f t="shared" si="125"/>
        <v>34.07919834753865</v>
      </c>
      <c r="AD333" s="156">
        <f t="shared" si="144"/>
        <v>34.431896030138645</v>
      </c>
      <c r="AE333" s="146">
        <f>IFERROR(INDEX(Työkonekanta!$L$3:$L$30,MATCH($A333,Työkonekanta!$A$3:$A$30,0),1),0)*AF333</f>
        <v>500000</v>
      </c>
      <c r="AF333" s="146">
        <f>IFERROR(INDEX(Työkonekanta!$N$3:$N$32,MATCH($A333,Työkonekanta!$A$3:$A$32,0),1),0)</f>
        <v>1</v>
      </c>
      <c r="AG333" s="332">
        <f>I333*INDEX(Muuttujat!$U$5:$U$21,MATCH($C333,Muuttujat!$N$5:$N$21,0),1)</f>
        <v>8750.2174397505023</v>
      </c>
      <c r="AH333" s="332">
        <f>J333*INDEX(Muuttujat!$T$5:$T$21,MATCH($C333,Muuttujat!$N$5:$N$21,0),1)</f>
        <v>4198.4855247476826</v>
      </c>
      <c r="AI333" s="332">
        <f t="shared" si="132"/>
        <v>280.72619193141702</v>
      </c>
      <c r="AJ333" s="332">
        <f t="shared" si="133"/>
        <v>0</v>
      </c>
      <c r="AK333" s="333">
        <f t="shared" si="145"/>
        <v>13229.429156429602</v>
      </c>
      <c r="AL333" s="332">
        <f t="shared" si="134"/>
        <v>13229.429156429602</v>
      </c>
      <c r="AM333" s="351"/>
      <c r="AN333" s="351"/>
    </row>
    <row r="334" spans="1:40">
      <c r="A334" s="139">
        <v>2</v>
      </c>
      <c r="B334" s="139">
        <f>IFERROR(IF((INDEX(Työkonekanta!$F$3:$F$27,MATCH('S3 Tiekartta'!$A334,Työkonekanta!$A$3:$A$24,0),1))&lt;0,0,(INDEX(Työkonekanta!$F$3:$F$27,MATCH('S3 Tiekartta'!$A334,Työkonekanta!$A$3:$A$24,0),1))),0)</f>
        <v>1</v>
      </c>
      <c r="C334" s="140">
        <v>2030</v>
      </c>
      <c r="D334" s="141" t="str">
        <f>IFERROR(INDEX(Työkonekanta!$D$3:$D$27,MATCH('S3 Tiekartta'!$A334,Työkonekanta!$A$3:$A$24,0),1),"undefined")</f>
        <v>pom</v>
      </c>
      <c r="E334" s="145">
        <f>IFERROR(INDEX(Työkonekanta!$G$3:$G$27,MATCH($A334,Työkonekanta!$A$3:$A$24,0),1)*INDEX(Työkonekanta!$H$3:$H$27,MATCH($A334,Työkonekanta!$A$3:$A$24,0),1)*(1+s0b_kasvu*($C334-2019))*$B334,0)</f>
        <v>11100.000000000002</v>
      </c>
      <c r="F334" s="145">
        <f t="shared" si="126"/>
        <v>398490.00000000006</v>
      </c>
      <c r="G334" s="151">
        <f t="shared" si="135"/>
        <v>299174.10103527905</v>
      </c>
      <c r="H334" s="145">
        <f t="shared" si="136"/>
        <v>99315.898964721011</v>
      </c>
      <c r="I334" s="145">
        <f t="shared" si="127"/>
        <v>8333.5404188100019</v>
      </c>
      <c r="J334" s="145">
        <f t="shared" si="128"/>
        <v>2895.507258446677</v>
      </c>
      <c r="K334" s="142" t="str">
        <f t="shared" si="137"/>
        <v>l</v>
      </c>
      <c r="L334" s="146">
        <f>IFERROR(INDEX(Työkonekanta!$I$3:$I$27,MATCH('S3 Tiekartta'!$A334,Työkonekanta!$A$3:$A$24,0),1)*(I334+J334)*f_adblue,0)</f>
        <v>561.45238386283404</v>
      </c>
      <c r="M334" s="146">
        <f t="shared" si="121"/>
        <v>0</v>
      </c>
      <c r="N334" s="143" t="str">
        <f>IF(tuulisähkö_vuosi&lt;='S3 Tiekartta'!C334,"tuulisähkö",ostosähkö_nyt)</f>
        <v>jäännössähkö</v>
      </c>
      <c r="O334" s="147">
        <f>INDEX(Muuttujat!$J$5:$J$21,MATCH($C334,Muuttujat!$H$5:$H$21,0),1)</f>
        <v>61.999687056709845</v>
      </c>
      <c r="P334" s="148">
        <f t="shared" si="138"/>
        <v>0.75076940709999995</v>
      </c>
      <c r="Q334" s="148">
        <f t="shared" si="139"/>
        <v>0.24923059289999999</v>
      </c>
      <c r="R334" s="148">
        <f t="shared" si="140"/>
        <v>0.24923059289999999</v>
      </c>
      <c r="S334" s="149">
        <f t="shared" si="129"/>
        <v>5.654390509566773</v>
      </c>
      <c r="T334" s="150">
        <f t="shared" si="130"/>
        <v>6.1973120953985905</v>
      </c>
      <c r="U334" s="150">
        <f t="shared" si="131"/>
        <v>0</v>
      </c>
      <c r="V334" s="150">
        <f>IFERROR(INDEX(Työkonekanta!$J$3:$J$27,MATCH($A334,Työkonekanta!$A$3:$A$24,0),1)*$B334*ef_li_ion_akku/1000/1000/INDEX(Työkonekanta!$K$3:$K$27,MATCH($A334,Työkonekanta!$A$3:$A$24,0)),0)</f>
        <v>0</v>
      </c>
      <c r="W334" s="149">
        <f t="shared" si="122"/>
        <v>22.081518122768948</v>
      </c>
      <c r="X334" s="150">
        <f t="shared" si="123"/>
        <v>0.35269768260000006</v>
      </c>
      <c r="Y334" s="151">
        <f t="shared" si="124"/>
        <v>0.14597761980433685</v>
      </c>
      <c r="Z334" s="152">
        <f t="shared" si="141"/>
        <v>11.851702604965364</v>
      </c>
      <c r="AA334" s="179">
        <f t="shared" si="142"/>
        <v>22.227495742573286</v>
      </c>
      <c r="AB334" s="179">
        <f t="shared" si="143"/>
        <v>22.580193425173285</v>
      </c>
      <c r="AC334" s="180">
        <f t="shared" si="125"/>
        <v>34.07919834753865</v>
      </c>
      <c r="AD334" s="156">
        <f t="shared" si="144"/>
        <v>34.431896030138645</v>
      </c>
      <c r="AE334" s="146">
        <f>IFERROR(INDEX(Työkonekanta!$L$3:$L$30,MATCH($A334,Työkonekanta!$A$3:$A$30,0),1),0)*AF334</f>
        <v>500000</v>
      </c>
      <c r="AF334" s="146">
        <f>IFERROR(INDEX(Työkonekanta!$N$3:$N$32,MATCH($A334,Työkonekanta!$A$3:$A$32,0),1),0)</f>
        <v>1</v>
      </c>
      <c r="AG334" s="332">
        <f>I334*INDEX(Muuttujat!$U$5:$U$21,MATCH($C334,Muuttujat!$N$5:$N$21,0),1)</f>
        <v>8750.2174397505023</v>
      </c>
      <c r="AH334" s="332">
        <f>J334*INDEX(Muuttujat!$T$5:$T$21,MATCH($C334,Muuttujat!$N$5:$N$21,0),1)</f>
        <v>4198.4855247476826</v>
      </c>
      <c r="AI334" s="332">
        <f t="shared" si="132"/>
        <v>280.72619193141702</v>
      </c>
      <c r="AJ334" s="332">
        <f t="shared" si="133"/>
        <v>0</v>
      </c>
      <c r="AK334" s="333">
        <f t="shared" si="145"/>
        <v>13229.429156429602</v>
      </c>
      <c r="AL334" s="332">
        <f t="shared" si="134"/>
        <v>13229.429156429602</v>
      </c>
      <c r="AM334" s="351"/>
      <c r="AN334" s="351"/>
    </row>
    <row r="335" spans="1:40">
      <c r="A335" s="139">
        <v>3</v>
      </c>
      <c r="B335" s="139">
        <f>IFERROR(IF((INDEX(Työkonekanta!$F$3:$F$27,MATCH('S3 Tiekartta'!$A335,Työkonekanta!$A$3:$A$24,0),1))&lt;0,0,(INDEX(Työkonekanta!$F$3:$F$27,MATCH('S3 Tiekartta'!$A335,Työkonekanta!$A$3:$A$24,0),1))),0)</f>
        <v>1</v>
      </c>
      <c r="C335" s="140">
        <v>2030</v>
      </c>
      <c r="D335" s="141" t="str">
        <f>IFERROR(INDEX(Työkonekanta!$D$3:$D$27,MATCH('S3 Tiekartta'!$A335,Työkonekanta!$A$3:$A$24,0),1),"undefined")</f>
        <v>pom</v>
      </c>
      <c r="E335" s="145">
        <f>IFERROR(INDEX(Työkonekanta!$G$3:$G$27,MATCH($A335,Työkonekanta!$A$3:$A$24,0),1)*INDEX(Työkonekanta!$H$3:$H$27,MATCH($A335,Työkonekanta!$A$3:$A$24,0),1)*(1+s0b_kasvu*($C335-2019))*$B335,0)</f>
        <v>11100.000000000002</v>
      </c>
      <c r="F335" s="145">
        <f t="shared" si="126"/>
        <v>398490.00000000006</v>
      </c>
      <c r="G335" s="151">
        <f t="shared" si="135"/>
        <v>299174.10103527905</v>
      </c>
      <c r="H335" s="145">
        <f t="shared" si="136"/>
        <v>99315.898964721011</v>
      </c>
      <c r="I335" s="145">
        <f t="shared" si="127"/>
        <v>8333.5404188100019</v>
      </c>
      <c r="J335" s="145">
        <f t="shared" si="128"/>
        <v>2895.507258446677</v>
      </c>
      <c r="K335" s="142" t="str">
        <f t="shared" si="137"/>
        <v>l</v>
      </c>
      <c r="L335" s="146">
        <f>IFERROR(INDEX(Työkonekanta!$I$3:$I$27,MATCH('S3 Tiekartta'!$A335,Työkonekanta!$A$3:$A$24,0),1)*(I335+J335)*f_adblue,0)</f>
        <v>561.45238386283404</v>
      </c>
      <c r="M335" s="146">
        <f t="shared" si="121"/>
        <v>0</v>
      </c>
      <c r="N335" s="143" t="str">
        <f>IF(tuulisähkö_vuosi&lt;='S3 Tiekartta'!C335,"tuulisähkö",ostosähkö_nyt)</f>
        <v>jäännössähkö</v>
      </c>
      <c r="O335" s="147">
        <f>INDEX(Muuttujat!$J$5:$J$21,MATCH($C335,Muuttujat!$H$5:$H$21,0),1)</f>
        <v>61.999687056709845</v>
      </c>
      <c r="P335" s="148">
        <f t="shared" si="138"/>
        <v>0.75076940709999995</v>
      </c>
      <c r="Q335" s="148">
        <f t="shared" si="139"/>
        <v>0.24923059289999999</v>
      </c>
      <c r="R335" s="148">
        <f t="shared" si="140"/>
        <v>0.24923059289999999</v>
      </c>
      <c r="S335" s="149">
        <f t="shared" si="129"/>
        <v>5.654390509566773</v>
      </c>
      <c r="T335" s="150">
        <f t="shared" si="130"/>
        <v>6.1973120953985905</v>
      </c>
      <c r="U335" s="150">
        <f t="shared" si="131"/>
        <v>0</v>
      </c>
      <c r="V335" s="150">
        <f>IFERROR(INDEX(Työkonekanta!$J$3:$J$27,MATCH($A335,Työkonekanta!$A$3:$A$24,0),1)*$B335*ef_li_ion_akku/1000/1000/INDEX(Työkonekanta!$K$3:$K$27,MATCH($A335,Työkonekanta!$A$3:$A$24,0)),0)</f>
        <v>0</v>
      </c>
      <c r="W335" s="149">
        <f t="shared" si="122"/>
        <v>22.081518122768948</v>
      </c>
      <c r="X335" s="150">
        <f t="shared" si="123"/>
        <v>0.35269768260000006</v>
      </c>
      <c r="Y335" s="151">
        <f t="shared" si="124"/>
        <v>0.14597761980433685</v>
      </c>
      <c r="Z335" s="152">
        <f t="shared" si="141"/>
        <v>11.851702604965364</v>
      </c>
      <c r="AA335" s="179">
        <f t="shared" si="142"/>
        <v>22.227495742573286</v>
      </c>
      <c r="AB335" s="179">
        <f t="shared" si="143"/>
        <v>22.580193425173285</v>
      </c>
      <c r="AC335" s="180">
        <f t="shared" si="125"/>
        <v>34.07919834753865</v>
      </c>
      <c r="AD335" s="156">
        <f t="shared" si="144"/>
        <v>34.431896030138645</v>
      </c>
      <c r="AE335" s="146">
        <f>IFERROR(INDEX(Työkonekanta!$L$3:$L$30,MATCH($A335,Työkonekanta!$A$3:$A$30,0),1),0)*AF335</f>
        <v>0</v>
      </c>
      <c r="AF335" s="146">
        <f>IFERROR(INDEX(Työkonekanta!$N$3:$N$32,MATCH($A335,Työkonekanta!$A$3:$A$32,0),1),0)</f>
        <v>0</v>
      </c>
      <c r="AG335" s="332">
        <f>I335*INDEX(Muuttujat!$U$5:$U$21,MATCH($C335,Muuttujat!$N$5:$N$21,0),1)</f>
        <v>8750.2174397505023</v>
      </c>
      <c r="AH335" s="332">
        <f>J335*INDEX(Muuttujat!$T$5:$T$21,MATCH($C335,Muuttujat!$N$5:$N$21,0),1)</f>
        <v>4198.4855247476826</v>
      </c>
      <c r="AI335" s="332">
        <f t="shared" si="132"/>
        <v>280.72619193141702</v>
      </c>
      <c r="AJ335" s="332">
        <f t="shared" si="133"/>
        <v>0</v>
      </c>
      <c r="AK335" s="333">
        <f t="shared" si="145"/>
        <v>13229.429156429602</v>
      </c>
      <c r="AL335" s="332">
        <f t="shared" si="134"/>
        <v>13229.429156429602</v>
      </c>
      <c r="AM335" s="351"/>
      <c r="AN335" s="351"/>
    </row>
    <row r="336" spans="1:40">
      <c r="A336" s="139">
        <v>4</v>
      </c>
      <c r="B336" s="139">
        <f>IFERROR(IF((INDEX(Työkonekanta!$F$3:$F$27,MATCH('S3 Tiekartta'!$A336,Työkonekanta!$A$3:$A$24,0),1))&lt;0,0,(INDEX(Työkonekanta!$F$3:$F$27,MATCH('S3 Tiekartta'!$A336,Työkonekanta!$A$3:$A$24,0),1))),0)</f>
        <v>1</v>
      </c>
      <c r="C336" s="140">
        <v>2030</v>
      </c>
      <c r="D336" s="141" t="str">
        <f>IFERROR(INDEX(Työkonekanta!$D$3:$D$27,MATCH('S3 Tiekartta'!$A336,Työkonekanta!$A$3:$A$24,0),1),"undefined")</f>
        <v>pom</v>
      </c>
      <c r="E336" s="145">
        <f>IFERROR(INDEX(Työkonekanta!$G$3:$G$27,MATCH($A336,Työkonekanta!$A$3:$A$24,0),1)*INDEX(Työkonekanta!$H$3:$H$27,MATCH($A336,Työkonekanta!$A$3:$A$24,0),1)*(1+s0b_kasvu*($C336-2019))*$B336,0)</f>
        <v>11100.000000000002</v>
      </c>
      <c r="F336" s="145">
        <f t="shared" si="126"/>
        <v>398490.00000000006</v>
      </c>
      <c r="G336" s="151">
        <f t="shared" si="135"/>
        <v>299174.10103527905</v>
      </c>
      <c r="H336" s="145">
        <f t="shared" si="136"/>
        <v>99315.898964721011</v>
      </c>
      <c r="I336" s="145">
        <f t="shared" si="127"/>
        <v>8333.5404188100019</v>
      </c>
      <c r="J336" s="145">
        <f t="shared" si="128"/>
        <v>2895.507258446677</v>
      </c>
      <c r="K336" s="142" t="str">
        <f t="shared" si="137"/>
        <v>l</v>
      </c>
      <c r="L336" s="146">
        <f>IFERROR(INDEX(Työkonekanta!$I$3:$I$27,MATCH('S3 Tiekartta'!$A336,Työkonekanta!$A$3:$A$24,0),1)*(I336+J336)*f_adblue,0)</f>
        <v>561.45238386283404</v>
      </c>
      <c r="M336" s="146">
        <f t="shared" si="121"/>
        <v>0</v>
      </c>
      <c r="N336" s="143" t="str">
        <f>IF(tuulisähkö_vuosi&lt;='S3 Tiekartta'!C336,"tuulisähkö",ostosähkö_nyt)</f>
        <v>jäännössähkö</v>
      </c>
      <c r="O336" s="147">
        <f>INDEX(Muuttujat!$J$5:$J$21,MATCH($C336,Muuttujat!$H$5:$H$21,0),1)</f>
        <v>61.999687056709845</v>
      </c>
      <c r="P336" s="148">
        <f t="shared" si="138"/>
        <v>0.75076940709999995</v>
      </c>
      <c r="Q336" s="148">
        <f t="shared" si="139"/>
        <v>0.24923059289999999</v>
      </c>
      <c r="R336" s="148">
        <f t="shared" si="140"/>
        <v>0.24923059289999999</v>
      </c>
      <c r="S336" s="149">
        <f t="shared" si="129"/>
        <v>5.654390509566773</v>
      </c>
      <c r="T336" s="150">
        <f t="shared" si="130"/>
        <v>6.1973120953985905</v>
      </c>
      <c r="U336" s="150">
        <f t="shared" si="131"/>
        <v>0</v>
      </c>
      <c r="V336" s="150">
        <f>IFERROR(INDEX(Työkonekanta!$J$3:$J$27,MATCH($A336,Työkonekanta!$A$3:$A$24,0),1)*$B336*ef_li_ion_akku/1000/1000/INDEX(Työkonekanta!$K$3:$K$27,MATCH($A336,Työkonekanta!$A$3:$A$24,0)),0)</f>
        <v>0</v>
      </c>
      <c r="W336" s="149">
        <f t="shared" si="122"/>
        <v>22.081518122768948</v>
      </c>
      <c r="X336" s="150">
        <f t="shared" si="123"/>
        <v>0.35269768260000006</v>
      </c>
      <c r="Y336" s="151">
        <f t="shared" si="124"/>
        <v>0.14597761980433685</v>
      </c>
      <c r="Z336" s="152">
        <f t="shared" si="141"/>
        <v>11.851702604965364</v>
      </c>
      <c r="AA336" s="179">
        <f t="shared" si="142"/>
        <v>22.227495742573286</v>
      </c>
      <c r="AB336" s="179">
        <f t="shared" si="143"/>
        <v>22.580193425173285</v>
      </c>
      <c r="AC336" s="180">
        <f t="shared" si="125"/>
        <v>34.07919834753865</v>
      </c>
      <c r="AD336" s="156">
        <f t="shared" si="144"/>
        <v>34.431896030138645</v>
      </c>
      <c r="AE336" s="146">
        <f>IFERROR(INDEX(Työkonekanta!$L$3:$L$30,MATCH($A336,Työkonekanta!$A$3:$A$30,0),1),0)*AF336</f>
        <v>0</v>
      </c>
      <c r="AF336" s="146">
        <f>IFERROR(INDEX(Työkonekanta!$N$3:$N$32,MATCH($A336,Työkonekanta!$A$3:$A$32,0),1),0)</f>
        <v>0</v>
      </c>
      <c r="AG336" s="332">
        <f>I336*INDEX(Muuttujat!$U$5:$U$21,MATCH($C336,Muuttujat!$N$5:$N$21,0),1)</f>
        <v>8750.2174397505023</v>
      </c>
      <c r="AH336" s="332">
        <f>J336*INDEX(Muuttujat!$T$5:$T$21,MATCH($C336,Muuttujat!$N$5:$N$21,0),1)</f>
        <v>4198.4855247476826</v>
      </c>
      <c r="AI336" s="332">
        <f t="shared" si="132"/>
        <v>280.72619193141702</v>
      </c>
      <c r="AJ336" s="332">
        <f t="shared" si="133"/>
        <v>0</v>
      </c>
      <c r="AK336" s="333">
        <f t="shared" si="145"/>
        <v>13229.429156429602</v>
      </c>
      <c r="AL336" s="332">
        <f t="shared" si="134"/>
        <v>13229.429156429602</v>
      </c>
      <c r="AM336" s="351"/>
      <c r="AN336" s="351"/>
    </row>
    <row r="337" spans="1:40">
      <c r="A337" s="139">
        <v>5</v>
      </c>
      <c r="B337" s="139">
        <f>IFERROR(IF((INDEX(Työkonekanta!$F$3:$F$27,MATCH('S3 Tiekartta'!$A337,Työkonekanta!$A$3:$A$24,0),1))&lt;0,0,(INDEX(Työkonekanta!$F$3:$F$27,MATCH('S3 Tiekartta'!$A337,Työkonekanta!$A$3:$A$24,0),1))),0)</f>
        <v>0</v>
      </c>
      <c r="C337" s="140">
        <v>2030</v>
      </c>
      <c r="D337" s="141" t="str">
        <f>IFERROR(INDEX(Työkonekanta!$D$3:$D$27,MATCH('S3 Tiekartta'!$A337,Työkonekanta!$A$3:$A$24,0),1),"undefined")</f>
        <v>sähkö</v>
      </c>
      <c r="E337" s="145">
        <f>IFERROR(INDEX(Työkonekanta!$G$3:$G$27,MATCH($A337,Työkonekanta!$A$3:$A$24,0),1)*INDEX(Työkonekanta!$H$3:$H$27,MATCH($A337,Työkonekanta!$A$3:$A$24,0),1)*(1+s0b_kasvu*($C337-2019))*$B337,0)</f>
        <v>0</v>
      </c>
      <c r="F337" s="145">
        <f t="shared" si="126"/>
        <v>0</v>
      </c>
      <c r="G337" s="151">
        <f t="shared" si="135"/>
        <v>0</v>
      </c>
      <c r="H337" s="145">
        <f t="shared" si="136"/>
        <v>0</v>
      </c>
      <c r="I337" s="145">
        <f t="shared" si="127"/>
        <v>0</v>
      </c>
      <c r="J337" s="145">
        <f t="shared" si="128"/>
        <v>0</v>
      </c>
      <c r="K337" s="142" t="str">
        <f t="shared" si="137"/>
        <v>kWh</v>
      </c>
      <c r="L337" s="146">
        <f>IFERROR(INDEX(Työkonekanta!$I$3:$I$27,MATCH('S3 Tiekartta'!$A337,Työkonekanta!$A$3:$A$24,0),1)*(I337+J337)*f_adblue,0)</f>
        <v>0</v>
      </c>
      <c r="M337" s="146">
        <f t="shared" si="121"/>
        <v>0</v>
      </c>
      <c r="N337" s="143" t="str">
        <f>IF(tuulisähkö_vuosi&lt;='S3 Tiekartta'!C337,"tuulisähkö",ostosähkö_nyt)</f>
        <v>jäännössähkö</v>
      </c>
      <c r="O337" s="147">
        <f>INDEX(Muuttujat!$J$5:$J$21,MATCH($C337,Muuttujat!$H$5:$H$21,0),1)</f>
        <v>61.999687056709845</v>
      </c>
      <c r="P337" s="148">
        <f t="shared" si="138"/>
        <v>0.75076940709999995</v>
      </c>
      <c r="Q337" s="148">
        <f t="shared" si="139"/>
        <v>0.24923059289999999</v>
      </c>
      <c r="R337" s="148">
        <f t="shared" si="140"/>
        <v>0.24923059289999999</v>
      </c>
      <c r="S337" s="149">
        <f t="shared" si="129"/>
        <v>0</v>
      </c>
      <c r="T337" s="150">
        <f t="shared" si="130"/>
        <v>0</v>
      </c>
      <c r="U337" s="150">
        <f t="shared" si="131"/>
        <v>0</v>
      </c>
      <c r="V337" s="150">
        <f>IFERROR(INDEX(Työkonekanta!$J$3:$J$27,MATCH($A337,Työkonekanta!$A$3:$A$24,0),1)*$B337*ef_li_ion_akku/1000/1000/INDEX(Työkonekanta!$K$3:$K$27,MATCH($A337,Työkonekanta!$A$3:$A$24,0)),0)</f>
        <v>0</v>
      </c>
      <c r="W337" s="149">
        <f t="shared" si="122"/>
        <v>0</v>
      </c>
      <c r="X337" s="150">
        <f t="shared" si="123"/>
        <v>0</v>
      </c>
      <c r="Y337" s="151">
        <f t="shared" si="124"/>
        <v>0</v>
      </c>
      <c r="Z337" s="152">
        <f t="shared" si="141"/>
        <v>0</v>
      </c>
      <c r="AA337" s="179">
        <f t="shared" si="142"/>
        <v>0</v>
      </c>
      <c r="AB337" s="179">
        <f t="shared" si="143"/>
        <v>0</v>
      </c>
      <c r="AC337" s="180">
        <f t="shared" si="125"/>
        <v>0</v>
      </c>
      <c r="AD337" s="156">
        <f t="shared" si="144"/>
        <v>0</v>
      </c>
      <c r="AE337" s="146">
        <f>IFERROR(INDEX(Työkonekanta!$L$3:$L$30,MATCH($A337,Työkonekanta!$A$3:$A$30,0),1),0)*AF337</f>
        <v>0</v>
      </c>
      <c r="AF337" s="146">
        <f>IFERROR(INDEX(Työkonekanta!$N$3:$N$32,MATCH($A337,Työkonekanta!$A$3:$A$32,0),1),0)</f>
        <v>0</v>
      </c>
      <c r="AG337" s="332">
        <f>I337*INDEX(Muuttujat!$U$5:$U$21,MATCH($C337,Muuttujat!$N$5:$N$21,0),1)</f>
        <v>0</v>
      </c>
      <c r="AH337" s="332">
        <f>J337*INDEX(Muuttujat!$T$5:$T$21,MATCH($C337,Muuttujat!$N$5:$N$21,0),1)</f>
        <v>0</v>
      </c>
      <c r="AI337" s="332">
        <f t="shared" si="132"/>
        <v>0</v>
      </c>
      <c r="AJ337" s="332">
        <f t="shared" si="133"/>
        <v>0</v>
      </c>
      <c r="AK337" s="333">
        <f t="shared" si="145"/>
        <v>0</v>
      </c>
      <c r="AL337" s="332">
        <f t="shared" si="134"/>
        <v>0</v>
      </c>
      <c r="AM337" s="351"/>
      <c r="AN337" s="351"/>
    </row>
    <row r="338" spans="1:40">
      <c r="A338" s="139">
        <v>6</v>
      </c>
      <c r="B338" s="139">
        <f>IFERROR(IF((INDEX(Työkonekanta!$F$3:$F$27,MATCH('S3 Tiekartta'!$A338,Työkonekanta!$A$3:$A$24,0),1))&lt;0,0,(INDEX(Työkonekanta!$F$3:$F$27,MATCH('S3 Tiekartta'!$A338,Työkonekanta!$A$3:$A$24,0),1))),0)</f>
        <v>0</v>
      </c>
      <c r="C338" s="140">
        <v>2030</v>
      </c>
      <c r="D338" s="141" t="str">
        <f>IFERROR(INDEX(Työkonekanta!$D$3:$D$27,MATCH('S3 Tiekartta'!$A338,Työkonekanta!$A$3:$A$24,0),1),"undefined")</f>
        <v>sähkö</v>
      </c>
      <c r="E338" s="145">
        <f>IFERROR(INDEX(Työkonekanta!$G$3:$G$27,MATCH($A338,Työkonekanta!$A$3:$A$24,0),1)*INDEX(Työkonekanta!$H$3:$H$27,MATCH($A338,Työkonekanta!$A$3:$A$24,0),1)*(1+s0b_kasvu*($C338-2019))*$B338,0)</f>
        <v>0</v>
      </c>
      <c r="F338" s="145">
        <f t="shared" si="126"/>
        <v>0</v>
      </c>
      <c r="G338" s="151">
        <f t="shared" si="135"/>
        <v>0</v>
      </c>
      <c r="H338" s="145">
        <f t="shared" si="136"/>
        <v>0</v>
      </c>
      <c r="I338" s="145">
        <f t="shared" si="127"/>
        <v>0</v>
      </c>
      <c r="J338" s="145">
        <f t="shared" si="128"/>
        <v>0</v>
      </c>
      <c r="K338" s="142" t="str">
        <f t="shared" si="137"/>
        <v>kWh</v>
      </c>
      <c r="L338" s="146">
        <f>IFERROR(INDEX(Työkonekanta!$I$3:$I$27,MATCH('S3 Tiekartta'!$A338,Työkonekanta!$A$3:$A$24,0),1)*(I338+J338)*f_adblue,0)</f>
        <v>0</v>
      </c>
      <c r="M338" s="146">
        <f t="shared" si="121"/>
        <v>0</v>
      </c>
      <c r="N338" s="143" t="str">
        <f>IF(tuulisähkö_vuosi&lt;='S3 Tiekartta'!C338,"tuulisähkö",ostosähkö_nyt)</f>
        <v>jäännössähkö</v>
      </c>
      <c r="O338" s="147">
        <f>INDEX(Muuttujat!$J$5:$J$21,MATCH($C338,Muuttujat!$H$5:$H$21,0),1)</f>
        <v>61.999687056709845</v>
      </c>
      <c r="P338" s="148">
        <f t="shared" si="138"/>
        <v>0.75076940709999995</v>
      </c>
      <c r="Q338" s="148">
        <f t="shared" si="139"/>
        <v>0.24923059289999999</v>
      </c>
      <c r="R338" s="148">
        <f t="shared" si="140"/>
        <v>0.24923059289999999</v>
      </c>
      <c r="S338" s="149">
        <f t="shared" si="129"/>
        <v>0</v>
      </c>
      <c r="T338" s="150">
        <f t="shared" si="130"/>
        <v>0</v>
      </c>
      <c r="U338" s="150">
        <f t="shared" si="131"/>
        <v>0</v>
      </c>
      <c r="V338" s="150">
        <f>IFERROR(INDEX(Työkonekanta!$J$3:$J$27,MATCH($A338,Työkonekanta!$A$3:$A$24,0),1)*$B338*ef_li_ion_akku/1000/1000/INDEX(Työkonekanta!$K$3:$K$27,MATCH($A338,Työkonekanta!$A$3:$A$24,0)),0)</f>
        <v>0</v>
      </c>
      <c r="W338" s="149">
        <f t="shared" si="122"/>
        <v>0</v>
      </c>
      <c r="X338" s="150">
        <f t="shared" si="123"/>
        <v>0</v>
      </c>
      <c r="Y338" s="151">
        <f t="shared" si="124"/>
        <v>0</v>
      </c>
      <c r="Z338" s="152">
        <f t="shared" si="141"/>
        <v>0</v>
      </c>
      <c r="AA338" s="179">
        <f t="shared" si="142"/>
        <v>0</v>
      </c>
      <c r="AB338" s="179">
        <f t="shared" si="143"/>
        <v>0</v>
      </c>
      <c r="AC338" s="180">
        <f t="shared" si="125"/>
        <v>0</v>
      </c>
      <c r="AD338" s="156">
        <f t="shared" si="144"/>
        <v>0</v>
      </c>
      <c r="AE338" s="146">
        <f>IFERROR(INDEX(Työkonekanta!$L$3:$L$30,MATCH($A338,Työkonekanta!$A$3:$A$30,0),1),0)*AF338</f>
        <v>0</v>
      </c>
      <c r="AF338" s="146">
        <f>IFERROR(INDEX(Työkonekanta!$N$3:$N$32,MATCH($A338,Työkonekanta!$A$3:$A$32,0),1),0)</f>
        <v>0</v>
      </c>
      <c r="AG338" s="332">
        <f>I338*INDEX(Muuttujat!$U$5:$U$21,MATCH($C338,Muuttujat!$N$5:$N$21,0),1)</f>
        <v>0</v>
      </c>
      <c r="AH338" s="332">
        <f>J338*INDEX(Muuttujat!$T$5:$T$21,MATCH($C338,Muuttujat!$N$5:$N$21,0),1)</f>
        <v>0</v>
      </c>
      <c r="AI338" s="332">
        <f t="shared" si="132"/>
        <v>0</v>
      </c>
      <c r="AJ338" s="332">
        <f t="shared" si="133"/>
        <v>0</v>
      </c>
      <c r="AK338" s="333">
        <f t="shared" si="145"/>
        <v>0</v>
      </c>
      <c r="AL338" s="332">
        <f t="shared" si="134"/>
        <v>0</v>
      </c>
      <c r="AM338" s="351"/>
      <c r="AN338" s="351"/>
    </row>
    <row r="339" spans="1:40">
      <c r="A339" s="139">
        <v>7</v>
      </c>
      <c r="B339" s="139">
        <f>IFERROR(IF((INDEX(Työkonekanta!$F$3:$F$27,MATCH('S3 Tiekartta'!$A339,Työkonekanta!$A$3:$A$24,0),1))&lt;0,0,(INDEX(Työkonekanta!$F$3:$F$27,MATCH('S3 Tiekartta'!$A339,Työkonekanta!$A$3:$A$24,0),1))),0)</f>
        <v>1</v>
      </c>
      <c r="C339" s="140">
        <v>2030</v>
      </c>
      <c r="D339" s="141" t="str">
        <f>IFERROR(INDEX(Työkonekanta!$D$3:$D$27,MATCH('S3 Tiekartta'!$A339,Työkonekanta!$A$3:$A$24,0),1),"undefined")</f>
        <v>pom</v>
      </c>
      <c r="E339" s="145">
        <f>IFERROR(INDEX(Työkonekanta!$G$3:$G$27,MATCH($A339,Työkonekanta!$A$3:$A$24,0),1)*INDEX(Työkonekanta!$H$3:$H$27,MATCH($A339,Työkonekanta!$A$3:$A$24,0),1)*(1+s0b_kasvu*($C339-2019))*$B339,0)</f>
        <v>11100.000000000002</v>
      </c>
      <c r="F339" s="145">
        <f t="shared" si="126"/>
        <v>398490.00000000006</v>
      </c>
      <c r="G339" s="151">
        <f t="shared" si="135"/>
        <v>299174.10103527905</v>
      </c>
      <c r="H339" s="145">
        <f t="shared" si="136"/>
        <v>99315.898964721011</v>
      </c>
      <c r="I339" s="145">
        <f t="shared" si="127"/>
        <v>8333.5404188100019</v>
      </c>
      <c r="J339" s="145">
        <f t="shared" si="128"/>
        <v>2895.507258446677</v>
      </c>
      <c r="K339" s="142" t="str">
        <f t="shared" si="137"/>
        <v>l</v>
      </c>
      <c r="L339" s="146">
        <f>IFERROR(INDEX(Työkonekanta!$I$3:$I$27,MATCH('S3 Tiekartta'!$A339,Työkonekanta!$A$3:$A$24,0),1)*(I339+J339)*f_adblue,0)</f>
        <v>0</v>
      </c>
      <c r="M339" s="146">
        <f t="shared" ref="M339:M402" si="146">IF($D339="sähkö",conv_kwh_mj*$E339,0)</f>
        <v>0</v>
      </c>
      <c r="N339" s="143" t="str">
        <f>IF(tuulisähkö_vuosi&lt;='S3 Tiekartta'!C339,"tuulisähkö",ostosähkö_nyt)</f>
        <v>jäännössähkö</v>
      </c>
      <c r="O339" s="147">
        <f>INDEX(Muuttujat!$J$5:$J$21,MATCH($C339,Muuttujat!$H$5:$H$21,0),1)</f>
        <v>61.999687056709845</v>
      </c>
      <c r="P339" s="148">
        <f t="shared" si="138"/>
        <v>0.75076940709999995</v>
      </c>
      <c r="Q339" s="148">
        <f t="shared" si="139"/>
        <v>0.24923059289999999</v>
      </c>
      <c r="R339" s="148">
        <f t="shared" si="140"/>
        <v>0.24923059289999999</v>
      </c>
      <c r="S339" s="149">
        <f t="shared" si="129"/>
        <v>5.654390509566773</v>
      </c>
      <c r="T339" s="150">
        <f t="shared" si="130"/>
        <v>6.1973120953985905</v>
      </c>
      <c r="U339" s="150">
        <f t="shared" si="131"/>
        <v>0</v>
      </c>
      <c r="V339" s="150">
        <f>IFERROR(INDEX(Työkonekanta!$J$3:$J$27,MATCH($A339,Työkonekanta!$A$3:$A$24,0),1)*$B339*ef_li_ion_akku/1000/1000/INDEX(Työkonekanta!$K$3:$K$27,MATCH($A339,Työkonekanta!$A$3:$A$24,0)),0)</f>
        <v>0</v>
      </c>
      <c r="W339" s="149">
        <f t="shared" ref="W339:W402" si="147">($I339*IF($D339="pom",ef_v_co2_pom,0))/1000/1000</f>
        <v>22.081518122768948</v>
      </c>
      <c r="X339" s="150">
        <f t="shared" ref="X339:X402" si="148">($E339*(IF($D339="pom",ef_v_ch4_pom,0)*gwp100_ch4+IF($D339="pom",ef_v_n2o_pom,0)*gwp100_n2o))/1000/1000</f>
        <v>0.35269768260000006</v>
      </c>
      <c r="Y339" s="151">
        <f t="shared" ref="Y339:Y402" si="149">$L339*ef_v_co2_adblue/1000/1000</f>
        <v>0</v>
      </c>
      <c r="Z339" s="152">
        <f t="shared" si="141"/>
        <v>11.851702604965364</v>
      </c>
      <c r="AA339" s="179">
        <f t="shared" si="142"/>
        <v>22.081518122768948</v>
      </c>
      <c r="AB339" s="179">
        <f t="shared" si="143"/>
        <v>22.434215805368947</v>
      </c>
      <c r="AC339" s="180">
        <f t="shared" ref="AC339:AC402" si="150">$Z339+$AA339</f>
        <v>33.933220727734309</v>
      </c>
      <c r="AD339" s="156">
        <f t="shared" si="144"/>
        <v>34.285918410334311</v>
      </c>
      <c r="AE339" s="146">
        <f>IFERROR(INDEX(Työkonekanta!$L$3:$L$30,MATCH($A339,Työkonekanta!$A$3:$A$30,0),1),0)*AF339</f>
        <v>500000</v>
      </c>
      <c r="AF339" s="146">
        <f>IFERROR(INDEX(Työkonekanta!$N$3:$N$32,MATCH($A339,Työkonekanta!$A$3:$A$32,0),1),0)</f>
        <v>1</v>
      </c>
      <c r="AG339" s="332">
        <f>I339*INDEX(Muuttujat!$U$5:$U$21,MATCH($C339,Muuttujat!$N$5:$N$21,0),1)</f>
        <v>8750.2174397505023</v>
      </c>
      <c r="AH339" s="332">
        <f>J339*INDEX(Muuttujat!$T$5:$T$21,MATCH($C339,Muuttujat!$N$5:$N$21,0),1)</f>
        <v>4198.4855247476826</v>
      </c>
      <c r="AI339" s="332">
        <f t="shared" si="132"/>
        <v>0</v>
      </c>
      <c r="AJ339" s="332">
        <f t="shared" si="133"/>
        <v>0</v>
      </c>
      <c r="AK339" s="333">
        <f t="shared" si="145"/>
        <v>12948.702964498185</v>
      </c>
      <c r="AL339" s="332">
        <f t="shared" si="134"/>
        <v>12948.702964498185</v>
      </c>
      <c r="AM339" s="351"/>
      <c r="AN339" s="351"/>
    </row>
    <row r="340" spans="1:40">
      <c r="A340" s="139">
        <v>8</v>
      </c>
      <c r="B340" s="139">
        <f>IFERROR(IF((INDEX(Työkonekanta!$F$3:$F$27,MATCH('S3 Tiekartta'!$A340,Työkonekanta!$A$3:$A$24,0),1))&lt;0,0,(INDEX(Työkonekanta!$F$3:$F$27,MATCH('S3 Tiekartta'!$A340,Työkonekanta!$A$3:$A$24,0),1))),0)</f>
        <v>1</v>
      </c>
      <c r="C340" s="140">
        <v>2030</v>
      </c>
      <c r="D340" s="141" t="str">
        <f>IFERROR(INDEX(Työkonekanta!$D$3:$D$27,MATCH('S3 Tiekartta'!$A340,Työkonekanta!$A$3:$A$24,0),1),"undefined")</f>
        <v>pom</v>
      </c>
      <c r="E340" s="145">
        <f>IFERROR(INDEX(Työkonekanta!$G$3:$G$27,MATCH($A340,Työkonekanta!$A$3:$A$24,0),1)*INDEX(Työkonekanta!$H$3:$H$27,MATCH($A340,Työkonekanta!$A$3:$A$24,0),1)*(1+s0b_kasvu*($C340-2019))*$B340,0)</f>
        <v>11100.000000000002</v>
      </c>
      <c r="F340" s="145">
        <f t="shared" si="126"/>
        <v>398490.00000000006</v>
      </c>
      <c r="G340" s="151">
        <f t="shared" si="135"/>
        <v>299174.10103527905</v>
      </c>
      <c r="H340" s="145">
        <f t="shared" si="136"/>
        <v>99315.898964721011</v>
      </c>
      <c r="I340" s="145">
        <f t="shared" si="127"/>
        <v>8333.5404188100019</v>
      </c>
      <c r="J340" s="145">
        <f t="shared" si="128"/>
        <v>2895.507258446677</v>
      </c>
      <c r="K340" s="142" t="str">
        <f t="shared" si="137"/>
        <v>l</v>
      </c>
      <c r="L340" s="146">
        <f>IFERROR(INDEX(Työkonekanta!$I$3:$I$27,MATCH('S3 Tiekartta'!$A340,Työkonekanta!$A$3:$A$24,0),1)*(I340+J340)*f_adblue,0)</f>
        <v>561.45238386283404</v>
      </c>
      <c r="M340" s="146">
        <f t="shared" si="146"/>
        <v>0</v>
      </c>
      <c r="N340" s="143" t="str">
        <f>IF(tuulisähkö_vuosi&lt;='S3 Tiekartta'!C340,"tuulisähkö",ostosähkö_nyt)</f>
        <v>jäännössähkö</v>
      </c>
      <c r="O340" s="147">
        <f>INDEX(Muuttujat!$J$5:$J$21,MATCH($C340,Muuttujat!$H$5:$H$21,0),1)</f>
        <v>61.999687056709845</v>
      </c>
      <c r="P340" s="148">
        <f t="shared" si="138"/>
        <v>0.75076940709999995</v>
      </c>
      <c r="Q340" s="148">
        <f t="shared" si="139"/>
        <v>0.24923059289999999</v>
      </c>
      <c r="R340" s="148">
        <f t="shared" si="140"/>
        <v>0.24923059289999999</v>
      </c>
      <c r="S340" s="149">
        <f t="shared" si="129"/>
        <v>5.654390509566773</v>
      </c>
      <c r="T340" s="150">
        <f t="shared" si="130"/>
        <v>6.1973120953985905</v>
      </c>
      <c r="U340" s="150">
        <f t="shared" si="131"/>
        <v>0</v>
      </c>
      <c r="V340" s="150">
        <f>IFERROR(INDEX(Työkonekanta!$J$3:$J$27,MATCH($A340,Työkonekanta!$A$3:$A$24,0),1)*$B340*ef_li_ion_akku/1000/1000/INDEX(Työkonekanta!$K$3:$K$27,MATCH($A340,Työkonekanta!$A$3:$A$24,0)),0)</f>
        <v>0</v>
      </c>
      <c r="W340" s="149">
        <f t="shared" si="147"/>
        <v>22.081518122768948</v>
      </c>
      <c r="X340" s="150">
        <f t="shared" si="148"/>
        <v>0.35269768260000006</v>
      </c>
      <c r="Y340" s="151">
        <f t="shared" si="149"/>
        <v>0.14597761980433685</v>
      </c>
      <c r="Z340" s="152">
        <f t="shared" si="141"/>
        <v>11.851702604965364</v>
      </c>
      <c r="AA340" s="179">
        <f t="shared" si="142"/>
        <v>22.227495742573286</v>
      </c>
      <c r="AB340" s="179">
        <f t="shared" si="143"/>
        <v>22.580193425173285</v>
      </c>
      <c r="AC340" s="180">
        <f t="shared" si="150"/>
        <v>34.07919834753865</v>
      </c>
      <c r="AD340" s="156">
        <f t="shared" si="144"/>
        <v>34.431896030138645</v>
      </c>
      <c r="AE340" s="146">
        <f>IFERROR(INDEX(Työkonekanta!$L$3:$L$30,MATCH($A340,Työkonekanta!$A$3:$A$30,0),1),0)*AF340</f>
        <v>500000</v>
      </c>
      <c r="AF340" s="146">
        <f>IFERROR(INDEX(Työkonekanta!$N$3:$N$32,MATCH($A340,Työkonekanta!$A$3:$A$32,0),1),0)</f>
        <v>1</v>
      </c>
      <c r="AG340" s="332">
        <f>I340*INDEX(Muuttujat!$U$5:$U$21,MATCH($C340,Muuttujat!$N$5:$N$21,0),1)</f>
        <v>8750.2174397505023</v>
      </c>
      <c r="AH340" s="332">
        <f>J340*INDEX(Muuttujat!$T$5:$T$21,MATCH($C340,Muuttujat!$N$5:$N$21,0),1)</f>
        <v>4198.4855247476826</v>
      </c>
      <c r="AI340" s="332">
        <f t="shared" si="132"/>
        <v>280.72619193141702</v>
      </c>
      <c r="AJ340" s="332">
        <f t="shared" si="133"/>
        <v>0</v>
      </c>
      <c r="AK340" s="333">
        <f t="shared" si="145"/>
        <v>13229.429156429602</v>
      </c>
      <c r="AL340" s="332">
        <f t="shared" si="134"/>
        <v>13229.429156429602</v>
      </c>
      <c r="AM340" s="351"/>
      <c r="AN340" s="351"/>
    </row>
    <row r="341" spans="1:40">
      <c r="A341" s="139">
        <v>9</v>
      </c>
      <c r="B341" s="139">
        <f>IFERROR(IF((INDEX(Työkonekanta!$F$3:$F$27,MATCH('S3 Tiekartta'!$A341,Työkonekanta!$A$3:$A$24,0),1))&lt;0,0,(INDEX(Työkonekanta!$F$3:$F$27,MATCH('S3 Tiekartta'!$A341,Työkonekanta!$A$3:$A$24,0),1))),0)</f>
        <v>0</v>
      </c>
      <c r="C341" s="140">
        <v>2030</v>
      </c>
      <c r="D341" s="141" t="str">
        <f>IFERROR(INDEX(Työkonekanta!$D$3:$D$27,MATCH('S3 Tiekartta'!$A341,Työkonekanta!$A$3:$A$24,0),1),"undefined")</f>
        <v>sähkö</v>
      </c>
      <c r="E341" s="145">
        <f>IFERROR(INDEX(Työkonekanta!$G$3:$G$27,MATCH($A341,Työkonekanta!$A$3:$A$24,0),1)*INDEX(Työkonekanta!$H$3:$H$27,MATCH($A341,Työkonekanta!$A$3:$A$24,0),1)*(1+s0b_kasvu*($C341-2019))*$B341,0)</f>
        <v>0</v>
      </c>
      <c r="F341" s="145">
        <f t="shared" si="126"/>
        <v>0</v>
      </c>
      <c r="G341" s="151">
        <f t="shared" si="135"/>
        <v>0</v>
      </c>
      <c r="H341" s="145">
        <f t="shared" si="136"/>
        <v>0</v>
      </c>
      <c r="I341" s="145">
        <f t="shared" si="127"/>
        <v>0</v>
      </c>
      <c r="J341" s="145">
        <f t="shared" si="128"/>
        <v>0</v>
      </c>
      <c r="K341" s="142" t="str">
        <f t="shared" si="137"/>
        <v>kWh</v>
      </c>
      <c r="L341" s="146">
        <f>IFERROR(INDEX(Työkonekanta!$I$3:$I$27,MATCH('S3 Tiekartta'!$A341,Työkonekanta!$A$3:$A$24,0),1)*(I341+J341)*f_adblue,0)</f>
        <v>0</v>
      </c>
      <c r="M341" s="146">
        <f t="shared" si="146"/>
        <v>0</v>
      </c>
      <c r="N341" s="143" t="str">
        <f>IF(tuulisähkö_vuosi&lt;='S3 Tiekartta'!C341,"tuulisähkö",ostosähkö_nyt)</f>
        <v>jäännössähkö</v>
      </c>
      <c r="O341" s="147">
        <f>INDEX(Muuttujat!$J$5:$J$21,MATCH($C341,Muuttujat!$H$5:$H$21,0),1)</f>
        <v>61.999687056709845</v>
      </c>
      <c r="P341" s="148">
        <f t="shared" si="138"/>
        <v>0.75076940709999995</v>
      </c>
      <c r="Q341" s="148">
        <f t="shared" si="139"/>
        <v>0.24923059289999999</v>
      </c>
      <c r="R341" s="148">
        <f t="shared" si="140"/>
        <v>0.24923059289999999</v>
      </c>
      <c r="S341" s="149">
        <f t="shared" si="129"/>
        <v>0</v>
      </c>
      <c r="T341" s="150">
        <f t="shared" si="130"/>
        <v>0</v>
      </c>
      <c r="U341" s="150">
        <f t="shared" si="131"/>
        <v>0</v>
      </c>
      <c r="V341" s="150">
        <f>IFERROR(INDEX(Työkonekanta!$J$3:$J$27,MATCH($A341,Työkonekanta!$A$3:$A$24,0),1)*$B341*ef_li_ion_akku/1000/1000/INDEX(Työkonekanta!$K$3:$K$27,MATCH($A341,Työkonekanta!$A$3:$A$24,0)),0)</f>
        <v>0</v>
      </c>
      <c r="W341" s="149">
        <f t="shared" si="147"/>
        <v>0</v>
      </c>
      <c r="X341" s="150">
        <f t="shared" si="148"/>
        <v>0</v>
      </c>
      <c r="Y341" s="151">
        <f t="shared" si="149"/>
        <v>0</v>
      </c>
      <c r="Z341" s="152">
        <f t="shared" si="141"/>
        <v>0</v>
      </c>
      <c r="AA341" s="179">
        <f t="shared" si="142"/>
        <v>0</v>
      </c>
      <c r="AB341" s="179">
        <f t="shared" si="143"/>
        <v>0</v>
      </c>
      <c r="AC341" s="180">
        <f t="shared" si="150"/>
        <v>0</v>
      </c>
      <c r="AD341" s="156">
        <f t="shared" si="144"/>
        <v>0</v>
      </c>
      <c r="AE341" s="146">
        <f>IFERROR(INDEX(Työkonekanta!$L$3:$L$30,MATCH($A341,Työkonekanta!$A$3:$A$30,0),1),0)*AF341</f>
        <v>0</v>
      </c>
      <c r="AF341" s="146">
        <f>IFERROR(INDEX(Työkonekanta!$N$3:$N$32,MATCH($A341,Työkonekanta!$A$3:$A$32,0),1),0)</f>
        <v>0</v>
      </c>
      <c r="AG341" s="332">
        <f>I341*INDEX(Muuttujat!$U$5:$U$21,MATCH($C341,Muuttujat!$N$5:$N$21,0),1)</f>
        <v>0</v>
      </c>
      <c r="AH341" s="332">
        <f>J341*INDEX(Muuttujat!$T$5:$T$21,MATCH($C341,Muuttujat!$N$5:$N$21,0),1)</f>
        <v>0</v>
      </c>
      <c r="AI341" s="332">
        <f t="shared" si="132"/>
        <v>0</v>
      </c>
      <c r="AJ341" s="332">
        <f t="shared" si="133"/>
        <v>0</v>
      </c>
      <c r="AK341" s="333">
        <f t="shared" si="145"/>
        <v>0</v>
      </c>
      <c r="AL341" s="332">
        <f t="shared" si="134"/>
        <v>0</v>
      </c>
      <c r="AM341" s="351"/>
      <c r="AN341" s="351"/>
    </row>
    <row r="342" spans="1:40">
      <c r="A342" s="139">
        <v>10</v>
      </c>
      <c r="B342" s="139">
        <f>IFERROR(IF((INDEX(Työkonekanta!$F$3:$F$27,MATCH('S3 Tiekartta'!$A342,Työkonekanta!$A$3:$A$24,0),1))&lt;0,0,(INDEX(Työkonekanta!$F$3:$F$27,MATCH('S3 Tiekartta'!$A342,Työkonekanta!$A$3:$A$24,0),1))),0)</f>
        <v>0</v>
      </c>
      <c r="C342" s="140">
        <v>2030</v>
      </c>
      <c r="D342" s="141" t="str">
        <f>IFERROR(INDEX(Työkonekanta!$D$3:$D$27,MATCH('S3 Tiekartta'!$A342,Työkonekanta!$A$3:$A$24,0),1),"undefined")</f>
        <v>sähkö</v>
      </c>
      <c r="E342" s="145">
        <f>IFERROR(INDEX(Työkonekanta!$G$3:$G$27,MATCH($A342,Työkonekanta!$A$3:$A$24,0),1)*INDEX(Työkonekanta!$H$3:$H$27,MATCH($A342,Työkonekanta!$A$3:$A$24,0),1)*(1+s0b_kasvu*($C342-2019))*$B342,0)</f>
        <v>0</v>
      </c>
      <c r="F342" s="145">
        <f t="shared" si="126"/>
        <v>0</v>
      </c>
      <c r="G342" s="151">
        <f t="shared" si="135"/>
        <v>0</v>
      </c>
      <c r="H342" s="145">
        <f t="shared" si="136"/>
        <v>0</v>
      </c>
      <c r="I342" s="145">
        <f t="shared" si="127"/>
        <v>0</v>
      </c>
      <c r="J342" s="145">
        <f t="shared" si="128"/>
        <v>0</v>
      </c>
      <c r="K342" s="142" t="str">
        <f t="shared" si="137"/>
        <v>kWh</v>
      </c>
      <c r="L342" s="146">
        <f>IFERROR(INDEX(Työkonekanta!$I$3:$I$27,MATCH('S3 Tiekartta'!$A342,Työkonekanta!$A$3:$A$24,0),1)*(I342+J342)*f_adblue,0)</f>
        <v>0</v>
      </c>
      <c r="M342" s="146">
        <f t="shared" si="146"/>
        <v>0</v>
      </c>
      <c r="N342" s="143" t="str">
        <f>IF(tuulisähkö_vuosi&lt;='S3 Tiekartta'!C342,"tuulisähkö",ostosähkö_nyt)</f>
        <v>jäännössähkö</v>
      </c>
      <c r="O342" s="147">
        <f>INDEX(Muuttujat!$J$5:$J$21,MATCH($C342,Muuttujat!$H$5:$H$21,0),1)</f>
        <v>61.999687056709845</v>
      </c>
      <c r="P342" s="148">
        <f t="shared" si="138"/>
        <v>0.75076940709999995</v>
      </c>
      <c r="Q342" s="148">
        <f t="shared" si="139"/>
        <v>0.24923059289999999</v>
      </c>
      <c r="R342" s="148">
        <f t="shared" si="140"/>
        <v>0.24923059289999999</v>
      </c>
      <c r="S342" s="149">
        <f t="shared" si="129"/>
        <v>0</v>
      </c>
      <c r="T342" s="150">
        <f t="shared" si="130"/>
        <v>0</v>
      </c>
      <c r="U342" s="150">
        <f t="shared" si="131"/>
        <v>0</v>
      </c>
      <c r="V342" s="150">
        <f>IFERROR(INDEX(Työkonekanta!$J$3:$J$27,MATCH($A342,Työkonekanta!$A$3:$A$24,0),1)*$B342*ef_li_ion_akku/1000/1000/INDEX(Työkonekanta!$K$3:$K$27,MATCH($A342,Työkonekanta!$A$3:$A$24,0)),0)</f>
        <v>0</v>
      </c>
      <c r="W342" s="149">
        <f t="shared" si="147"/>
        <v>0</v>
      </c>
      <c r="X342" s="150">
        <f t="shared" si="148"/>
        <v>0</v>
      </c>
      <c r="Y342" s="151">
        <f t="shared" si="149"/>
        <v>0</v>
      </c>
      <c r="Z342" s="152">
        <f t="shared" si="141"/>
        <v>0</v>
      </c>
      <c r="AA342" s="179">
        <f t="shared" si="142"/>
        <v>0</v>
      </c>
      <c r="AB342" s="179">
        <f t="shared" si="143"/>
        <v>0</v>
      </c>
      <c r="AC342" s="180">
        <f t="shared" si="150"/>
        <v>0</v>
      </c>
      <c r="AD342" s="156">
        <f t="shared" si="144"/>
        <v>0</v>
      </c>
      <c r="AE342" s="146">
        <f>IFERROR(INDEX(Työkonekanta!$L$3:$L$30,MATCH($A342,Työkonekanta!$A$3:$A$30,0),1),0)*AF342</f>
        <v>0</v>
      </c>
      <c r="AF342" s="146">
        <f>IFERROR(INDEX(Työkonekanta!$N$3:$N$32,MATCH($A342,Työkonekanta!$A$3:$A$32,0),1),0)</f>
        <v>0</v>
      </c>
      <c r="AG342" s="332">
        <f>I342*INDEX(Muuttujat!$U$5:$U$21,MATCH($C342,Muuttujat!$N$5:$N$21,0),1)</f>
        <v>0</v>
      </c>
      <c r="AH342" s="332">
        <f>J342*INDEX(Muuttujat!$T$5:$T$21,MATCH($C342,Muuttujat!$N$5:$N$21,0),1)</f>
        <v>0</v>
      </c>
      <c r="AI342" s="332">
        <f t="shared" si="132"/>
        <v>0</v>
      </c>
      <c r="AJ342" s="332">
        <f t="shared" si="133"/>
        <v>0</v>
      </c>
      <c r="AK342" s="333">
        <f t="shared" si="145"/>
        <v>0</v>
      </c>
      <c r="AL342" s="332">
        <f t="shared" si="134"/>
        <v>0</v>
      </c>
      <c r="AM342" s="351"/>
      <c r="AN342" s="351"/>
    </row>
    <row r="343" spans="1:40">
      <c r="A343" s="139">
        <v>11</v>
      </c>
      <c r="B343" s="139">
        <f>IFERROR(IF((INDEX(Työkonekanta!$F$3:$F$27,MATCH('S3 Tiekartta'!$A343,Työkonekanta!$A$3:$A$24,0),1))&lt;0,0,(INDEX(Työkonekanta!$F$3:$F$27,MATCH('S3 Tiekartta'!$A343,Työkonekanta!$A$3:$A$24,0),1))),0)</f>
        <v>1</v>
      </c>
      <c r="C343" s="140">
        <v>2030</v>
      </c>
      <c r="D343" s="141" t="str">
        <f>IFERROR(INDEX(Työkonekanta!$D$3:$D$27,MATCH('S3 Tiekartta'!$A343,Työkonekanta!$A$3:$A$24,0),1),"undefined")</f>
        <v>pom</v>
      </c>
      <c r="E343" s="145">
        <f>IFERROR(INDEX(Työkonekanta!$G$3:$G$27,MATCH($A343,Työkonekanta!$A$3:$A$24,0),1)*INDEX(Työkonekanta!$H$3:$H$27,MATCH($A343,Työkonekanta!$A$3:$A$24,0),1)*(1+s0b_kasvu*($C343-2019))*$B343,0)</f>
        <v>11100.000000000002</v>
      </c>
      <c r="F343" s="145">
        <f t="shared" si="126"/>
        <v>398490.00000000006</v>
      </c>
      <c r="G343" s="151">
        <f t="shared" si="135"/>
        <v>299174.10103527905</v>
      </c>
      <c r="H343" s="145">
        <f t="shared" si="136"/>
        <v>99315.898964721011</v>
      </c>
      <c r="I343" s="145">
        <f t="shared" si="127"/>
        <v>8333.5404188100019</v>
      </c>
      <c r="J343" s="145">
        <f t="shared" si="128"/>
        <v>2895.507258446677</v>
      </c>
      <c r="K343" s="142" t="str">
        <f t="shared" si="137"/>
        <v>l</v>
      </c>
      <c r="L343" s="146">
        <f>IFERROR(INDEX(Työkonekanta!$I$3:$I$27,MATCH('S3 Tiekartta'!$A343,Työkonekanta!$A$3:$A$24,0),1)*(I343+J343)*f_adblue,0)</f>
        <v>561.45238386283404</v>
      </c>
      <c r="M343" s="146">
        <f t="shared" si="146"/>
        <v>0</v>
      </c>
      <c r="N343" s="143" t="str">
        <f>IF(tuulisähkö_vuosi&lt;='S3 Tiekartta'!C343,"tuulisähkö",ostosähkö_nyt)</f>
        <v>jäännössähkö</v>
      </c>
      <c r="O343" s="147">
        <f>INDEX(Muuttujat!$J$5:$J$21,MATCH($C343,Muuttujat!$H$5:$H$21,0),1)</f>
        <v>61.999687056709845</v>
      </c>
      <c r="P343" s="148">
        <f t="shared" si="138"/>
        <v>0.75076940709999995</v>
      </c>
      <c r="Q343" s="148">
        <f t="shared" si="139"/>
        <v>0.24923059289999999</v>
      </c>
      <c r="R343" s="148">
        <f t="shared" si="140"/>
        <v>0.24923059289999999</v>
      </c>
      <c r="S343" s="149">
        <f t="shared" si="129"/>
        <v>5.654390509566773</v>
      </c>
      <c r="T343" s="150">
        <f t="shared" si="130"/>
        <v>6.1973120953985905</v>
      </c>
      <c r="U343" s="150">
        <f t="shared" si="131"/>
        <v>0</v>
      </c>
      <c r="V343" s="150">
        <f>IFERROR(INDEX(Työkonekanta!$J$3:$J$27,MATCH($A343,Työkonekanta!$A$3:$A$24,0),1)*$B343*ef_li_ion_akku/1000/1000/INDEX(Työkonekanta!$K$3:$K$27,MATCH($A343,Työkonekanta!$A$3:$A$24,0)),0)</f>
        <v>0</v>
      </c>
      <c r="W343" s="149">
        <f t="shared" si="147"/>
        <v>22.081518122768948</v>
      </c>
      <c r="X343" s="150">
        <f t="shared" si="148"/>
        <v>0.35269768260000006</v>
      </c>
      <c r="Y343" s="151">
        <f t="shared" si="149"/>
        <v>0.14597761980433685</v>
      </c>
      <c r="Z343" s="152">
        <f t="shared" si="141"/>
        <v>11.851702604965364</v>
      </c>
      <c r="AA343" s="179">
        <f t="shared" si="142"/>
        <v>22.227495742573286</v>
      </c>
      <c r="AB343" s="179">
        <f t="shared" si="143"/>
        <v>22.580193425173285</v>
      </c>
      <c r="AC343" s="180">
        <f t="shared" si="150"/>
        <v>34.07919834753865</v>
      </c>
      <c r="AD343" s="156">
        <f t="shared" si="144"/>
        <v>34.431896030138645</v>
      </c>
      <c r="AE343" s="146">
        <f>IFERROR(INDEX(Työkonekanta!$L$3:$L$30,MATCH($A343,Työkonekanta!$A$3:$A$30,0),1),0)*AF343</f>
        <v>500000</v>
      </c>
      <c r="AF343" s="146">
        <f>IFERROR(INDEX(Työkonekanta!$N$3:$N$32,MATCH($A343,Työkonekanta!$A$3:$A$32,0),1),0)</f>
        <v>1</v>
      </c>
      <c r="AG343" s="332">
        <f>I343*INDEX(Muuttujat!$U$5:$U$21,MATCH($C343,Muuttujat!$N$5:$N$21,0),1)</f>
        <v>8750.2174397505023</v>
      </c>
      <c r="AH343" s="332">
        <f>J343*INDEX(Muuttujat!$T$5:$T$21,MATCH($C343,Muuttujat!$N$5:$N$21,0),1)</f>
        <v>4198.4855247476826</v>
      </c>
      <c r="AI343" s="332">
        <f t="shared" si="132"/>
        <v>280.72619193141702</v>
      </c>
      <c r="AJ343" s="332">
        <f t="shared" si="133"/>
        <v>0</v>
      </c>
      <c r="AK343" s="333">
        <f t="shared" si="145"/>
        <v>13229.429156429602</v>
      </c>
      <c r="AL343" s="332">
        <f t="shared" si="134"/>
        <v>13229.429156429602</v>
      </c>
      <c r="AM343" s="351"/>
      <c r="AN343" s="351"/>
    </row>
    <row r="344" spans="1:40">
      <c r="A344" s="139">
        <v>12</v>
      </c>
      <c r="B344" s="139">
        <f>IFERROR(IF((INDEX(Työkonekanta!$F$3:$F$27,MATCH('S3 Tiekartta'!$A344,Työkonekanta!$A$3:$A$24,0),1))&lt;0,0,(INDEX(Työkonekanta!$F$3:$F$27,MATCH('S3 Tiekartta'!$A344,Työkonekanta!$A$3:$A$24,0),1))),0)</f>
        <v>1</v>
      </c>
      <c r="C344" s="140">
        <v>2030</v>
      </c>
      <c r="D344" s="141" t="str">
        <f>IFERROR(INDEX(Työkonekanta!$D$3:$D$27,MATCH('S3 Tiekartta'!$A344,Työkonekanta!$A$3:$A$24,0),1),"undefined")</f>
        <v>pom</v>
      </c>
      <c r="E344" s="145">
        <f>IFERROR(INDEX(Työkonekanta!$G$3:$G$27,MATCH($A344,Työkonekanta!$A$3:$A$24,0),1)*INDEX(Työkonekanta!$H$3:$H$27,MATCH($A344,Työkonekanta!$A$3:$A$24,0),1)*(1+s0b_kasvu*($C344-2019))*$B344,0)</f>
        <v>11100.000000000002</v>
      </c>
      <c r="F344" s="145">
        <f t="shared" si="126"/>
        <v>398490.00000000006</v>
      </c>
      <c r="G344" s="151">
        <f t="shared" si="135"/>
        <v>299174.10103527905</v>
      </c>
      <c r="H344" s="145">
        <f t="shared" si="136"/>
        <v>99315.898964721011</v>
      </c>
      <c r="I344" s="145">
        <f t="shared" si="127"/>
        <v>8333.5404188100019</v>
      </c>
      <c r="J344" s="145">
        <f t="shared" si="128"/>
        <v>2895.507258446677</v>
      </c>
      <c r="K344" s="142" t="str">
        <f t="shared" si="137"/>
        <v>l</v>
      </c>
      <c r="L344" s="146">
        <f>IFERROR(INDEX(Työkonekanta!$I$3:$I$27,MATCH('S3 Tiekartta'!$A344,Työkonekanta!$A$3:$A$24,0),1)*(I344+J344)*f_adblue,0)</f>
        <v>561.45238386283404</v>
      </c>
      <c r="M344" s="146">
        <f t="shared" si="146"/>
        <v>0</v>
      </c>
      <c r="N344" s="143" t="str">
        <f>IF(tuulisähkö_vuosi&lt;='S3 Tiekartta'!C344,"tuulisähkö",ostosähkö_nyt)</f>
        <v>jäännössähkö</v>
      </c>
      <c r="O344" s="147">
        <f>INDEX(Muuttujat!$J$5:$J$21,MATCH($C344,Muuttujat!$H$5:$H$21,0),1)</f>
        <v>61.999687056709845</v>
      </c>
      <c r="P344" s="148">
        <f t="shared" si="138"/>
        <v>0.75076940709999995</v>
      </c>
      <c r="Q344" s="148">
        <f t="shared" si="139"/>
        <v>0.24923059289999999</v>
      </c>
      <c r="R344" s="148">
        <f t="shared" si="140"/>
        <v>0.24923059289999999</v>
      </c>
      <c r="S344" s="149">
        <f t="shared" si="129"/>
        <v>5.654390509566773</v>
      </c>
      <c r="T344" s="150">
        <f t="shared" si="130"/>
        <v>6.1973120953985905</v>
      </c>
      <c r="U344" s="150">
        <f t="shared" si="131"/>
        <v>0</v>
      </c>
      <c r="V344" s="150">
        <f>IFERROR(INDEX(Työkonekanta!$J$3:$J$27,MATCH($A344,Työkonekanta!$A$3:$A$24,0),1)*$B344*ef_li_ion_akku/1000/1000/INDEX(Työkonekanta!$K$3:$K$27,MATCH($A344,Työkonekanta!$A$3:$A$24,0)),0)</f>
        <v>0</v>
      </c>
      <c r="W344" s="149">
        <f t="shared" si="147"/>
        <v>22.081518122768948</v>
      </c>
      <c r="X344" s="150">
        <f t="shared" si="148"/>
        <v>0.35269768260000006</v>
      </c>
      <c r="Y344" s="151">
        <f t="shared" si="149"/>
        <v>0.14597761980433685</v>
      </c>
      <c r="Z344" s="152">
        <f t="shared" si="141"/>
        <v>11.851702604965364</v>
      </c>
      <c r="AA344" s="179">
        <f t="shared" si="142"/>
        <v>22.227495742573286</v>
      </c>
      <c r="AB344" s="179">
        <f t="shared" si="143"/>
        <v>22.580193425173285</v>
      </c>
      <c r="AC344" s="180">
        <f t="shared" si="150"/>
        <v>34.07919834753865</v>
      </c>
      <c r="AD344" s="156">
        <f t="shared" si="144"/>
        <v>34.431896030138645</v>
      </c>
      <c r="AE344" s="146">
        <f>IFERROR(INDEX(Työkonekanta!$L$3:$L$30,MATCH($A344,Työkonekanta!$A$3:$A$30,0),1),0)*AF344</f>
        <v>500000</v>
      </c>
      <c r="AF344" s="146">
        <f>IFERROR(INDEX(Työkonekanta!$N$3:$N$32,MATCH($A344,Työkonekanta!$A$3:$A$32,0),1),0)</f>
        <v>1</v>
      </c>
      <c r="AG344" s="332">
        <f>I344*INDEX(Muuttujat!$U$5:$U$21,MATCH($C344,Muuttujat!$N$5:$N$21,0),1)</f>
        <v>8750.2174397505023</v>
      </c>
      <c r="AH344" s="332">
        <f>J344*INDEX(Muuttujat!$T$5:$T$21,MATCH($C344,Muuttujat!$N$5:$N$21,0),1)</f>
        <v>4198.4855247476826</v>
      </c>
      <c r="AI344" s="332">
        <f t="shared" si="132"/>
        <v>280.72619193141702</v>
      </c>
      <c r="AJ344" s="332">
        <f t="shared" si="133"/>
        <v>0</v>
      </c>
      <c r="AK344" s="333">
        <f t="shared" si="145"/>
        <v>13229.429156429602</v>
      </c>
      <c r="AL344" s="332">
        <f t="shared" si="134"/>
        <v>13229.429156429602</v>
      </c>
      <c r="AM344" s="351"/>
      <c r="AN344" s="351"/>
    </row>
    <row r="345" spans="1:40">
      <c r="A345" s="139">
        <v>13</v>
      </c>
      <c r="B345" s="139">
        <f>IFERROR(IF((INDEX(Työkonekanta!$F$3:$F$27,MATCH('S3 Tiekartta'!$A345,Työkonekanta!$A$3:$A$24,0),1))&lt;0,0,(INDEX(Työkonekanta!$F$3:$F$27,MATCH('S3 Tiekartta'!$A345,Työkonekanta!$A$3:$A$24,0),1))),0)</f>
        <v>0</v>
      </c>
      <c r="C345" s="140">
        <v>2030</v>
      </c>
      <c r="D345" s="141" t="str">
        <f>IFERROR(INDEX(Työkonekanta!$D$3:$D$27,MATCH('S3 Tiekartta'!$A345,Työkonekanta!$A$3:$A$24,0),1),"undefined")</f>
        <v>pom</v>
      </c>
      <c r="E345" s="145">
        <f>IFERROR(INDEX(Työkonekanta!$G$3:$G$27,MATCH($A345,Työkonekanta!$A$3:$A$24,0),1)*INDEX(Työkonekanta!$H$3:$H$27,MATCH($A345,Työkonekanta!$A$3:$A$24,0),1)*(1+s0b_kasvu*($C345-2019))*$B345,0)</f>
        <v>0</v>
      </c>
      <c r="F345" s="145">
        <f t="shared" si="126"/>
        <v>0</v>
      </c>
      <c r="G345" s="151">
        <f t="shared" si="135"/>
        <v>0</v>
      </c>
      <c r="H345" s="145">
        <f t="shared" si="136"/>
        <v>0</v>
      </c>
      <c r="I345" s="145">
        <f t="shared" si="127"/>
        <v>0</v>
      </c>
      <c r="J345" s="145">
        <f t="shared" si="128"/>
        <v>0</v>
      </c>
      <c r="K345" s="142" t="str">
        <f t="shared" si="137"/>
        <v>l</v>
      </c>
      <c r="L345" s="146">
        <f>IFERROR(INDEX(Työkonekanta!$I$3:$I$27,MATCH('S3 Tiekartta'!$A345,Työkonekanta!$A$3:$A$24,0),1)*(I345+J345)*f_adblue,0)</f>
        <v>0</v>
      </c>
      <c r="M345" s="146">
        <f t="shared" si="146"/>
        <v>0</v>
      </c>
      <c r="N345" s="143" t="str">
        <f>IF(tuulisähkö_vuosi&lt;='S3 Tiekartta'!C345,"tuulisähkö",ostosähkö_nyt)</f>
        <v>jäännössähkö</v>
      </c>
      <c r="O345" s="147">
        <f>INDEX(Muuttujat!$J$5:$J$21,MATCH($C345,Muuttujat!$H$5:$H$21,0),1)</f>
        <v>61.999687056709845</v>
      </c>
      <c r="P345" s="148">
        <f t="shared" si="138"/>
        <v>0.75076940709999995</v>
      </c>
      <c r="Q345" s="148">
        <f t="shared" si="139"/>
        <v>0.24923059289999999</v>
      </c>
      <c r="R345" s="148">
        <f t="shared" si="140"/>
        <v>0.24923059289999999</v>
      </c>
      <c r="S345" s="149">
        <f t="shared" si="129"/>
        <v>0</v>
      </c>
      <c r="T345" s="150">
        <f t="shared" si="130"/>
        <v>0</v>
      </c>
      <c r="U345" s="150">
        <f t="shared" si="131"/>
        <v>0</v>
      </c>
      <c r="V345" s="150">
        <f>IFERROR(INDEX(Työkonekanta!$J$3:$J$27,MATCH($A345,Työkonekanta!$A$3:$A$24,0),1)*$B345*ef_li_ion_akku/1000/1000/INDEX(Työkonekanta!$K$3:$K$27,MATCH($A345,Työkonekanta!$A$3:$A$24,0)),0)</f>
        <v>0</v>
      </c>
      <c r="W345" s="149">
        <f t="shared" si="147"/>
        <v>0</v>
      </c>
      <c r="X345" s="150">
        <f t="shared" si="148"/>
        <v>0</v>
      </c>
      <c r="Y345" s="151">
        <f t="shared" si="149"/>
        <v>0</v>
      </c>
      <c r="Z345" s="152">
        <f t="shared" si="141"/>
        <v>0</v>
      </c>
      <c r="AA345" s="179">
        <f t="shared" si="142"/>
        <v>0</v>
      </c>
      <c r="AB345" s="179">
        <f t="shared" si="143"/>
        <v>0</v>
      </c>
      <c r="AC345" s="180">
        <f t="shared" si="150"/>
        <v>0</v>
      </c>
      <c r="AD345" s="156">
        <f t="shared" si="144"/>
        <v>0</v>
      </c>
      <c r="AE345" s="146">
        <f>IFERROR(INDEX(Työkonekanta!$L$3:$L$30,MATCH($A345,Työkonekanta!$A$3:$A$30,0),1),0)*AF345</f>
        <v>0</v>
      </c>
      <c r="AF345" s="146">
        <f>IFERROR(INDEX(Työkonekanta!$N$3:$N$32,MATCH($A345,Työkonekanta!$A$3:$A$32,0),1),0)</f>
        <v>0</v>
      </c>
      <c r="AG345" s="332">
        <f>I345*INDEX(Muuttujat!$U$5:$U$21,MATCH($C345,Muuttujat!$N$5:$N$21,0),1)</f>
        <v>0</v>
      </c>
      <c r="AH345" s="332">
        <f>J345*INDEX(Muuttujat!$T$5:$T$21,MATCH($C345,Muuttujat!$N$5:$N$21,0),1)</f>
        <v>0</v>
      </c>
      <c r="AI345" s="332">
        <f t="shared" si="132"/>
        <v>0</v>
      </c>
      <c r="AJ345" s="332">
        <f t="shared" si="133"/>
        <v>0</v>
      </c>
      <c r="AK345" s="333">
        <f t="shared" si="145"/>
        <v>0</v>
      </c>
      <c r="AL345" s="332">
        <f t="shared" si="134"/>
        <v>0</v>
      </c>
      <c r="AM345" s="351"/>
      <c r="AN345" s="351"/>
    </row>
    <row r="346" spans="1:40">
      <c r="A346" s="139">
        <v>14</v>
      </c>
      <c r="B346" s="139">
        <f>IFERROR(IF((INDEX(Työkonekanta!$F$3:$F$27,MATCH('S3 Tiekartta'!$A346,Työkonekanta!$A$3:$A$24,0),1))&lt;0,0,(INDEX(Työkonekanta!$F$3:$F$27,MATCH('S3 Tiekartta'!$A346,Työkonekanta!$A$3:$A$24,0),1))),0)</f>
        <v>0</v>
      </c>
      <c r="C346" s="140">
        <v>2030</v>
      </c>
      <c r="D346" s="141" t="str">
        <f>IFERROR(INDEX(Työkonekanta!$D$3:$D$27,MATCH('S3 Tiekartta'!$A346,Työkonekanta!$A$3:$A$24,0),1),"undefined")</f>
        <v>pom</v>
      </c>
      <c r="E346" s="145">
        <f>IFERROR(INDEX(Työkonekanta!$G$3:$G$27,MATCH($A346,Työkonekanta!$A$3:$A$24,0),1)*INDEX(Työkonekanta!$H$3:$H$27,MATCH($A346,Työkonekanta!$A$3:$A$24,0),1)*(1+s0b_kasvu*($C346-2019))*$B346,0)</f>
        <v>0</v>
      </c>
      <c r="F346" s="145">
        <f t="shared" si="126"/>
        <v>0</v>
      </c>
      <c r="G346" s="151">
        <f t="shared" si="135"/>
        <v>0</v>
      </c>
      <c r="H346" s="145">
        <f t="shared" si="136"/>
        <v>0</v>
      </c>
      <c r="I346" s="145">
        <f t="shared" si="127"/>
        <v>0</v>
      </c>
      <c r="J346" s="145">
        <f t="shared" si="128"/>
        <v>0</v>
      </c>
      <c r="K346" s="142" t="str">
        <f t="shared" si="137"/>
        <v>l</v>
      </c>
      <c r="L346" s="146">
        <f>IFERROR(INDEX(Työkonekanta!$I$3:$I$27,MATCH('S3 Tiekartta'!$A346,Työkonekanta!$A$3:$A$24,0),1)*(I346+J346)*f_adblue,0)</f>
        <v>0</v>
      </c>
      <c r="M346" s="146">
        <f t="shared" si="146"/>
        <v>0</v>
      </c>
      <c r="N346" s="143" t="str">
        <f>IF(tuulisähkö_vuosi&lt;='S3 Tiekartta'!C346,"tuulisähkö",ostosähkö_nyt)</f>
        <v>jäännössähkö</v>
      </c>
      <c r="O346" s="147">
        <f>INDEX(Muuttujat!$J$5:$J$21,MATCH($C346,Muuttujat!$H$5:$H$21,0),1)</f>
        <v>61.999687056709845</v>
      </c>
      <c r="P346" s="148">
        <f t="shared" si="138"/>
        <v>0.75076940709999995</v>
      </c>
      <c r="Q346" s="148">
        <f t="shared" si="139"/>
        <v>0.24923059289999999</v>
      </c>
      <c r="R346" s="148">
        <f t="shared" si="140"/>
        <v>0.24923059289999999</v>
      </c>
      <c r="S346" s="149">
        <f t="shared" si="129"/>
        <v>0</v>
      </c>
      <c r="T346" s="150">
        <f t="shared" si="130"/>
        <v>0</v>
      </c>
      <c r="U346" s="150">
        <f t="shared" si="131"/>
        <v>0</v>
      </c>
      <c r="V346" s="150">
        <f>IFERROR(INDEX(Työkonekanta!$J$3:$J$27,MATCH($A346,Työkonekanta!$A$3:$A$24,0),1)*$B346*ef_li_ion_akku/1000/1000/INDEX(Työkonekanta!$K$3:$K$27,MATCH($A346,Työkonekanta!$A$3:$A$24,0)),0)</f>
        <v>0</v>
      </c>
      <c r="W346" s="149">
        <f t="shared" si="147"/>
        <v>0</v>
      </c>
      <c r="X346" s="150">
        <f t="shared" si="148"/>
        <v>0</v>
      </c>
      <c r="Y346" s="151">
        <f t="shared" si="149"/>
        <v>0</v>
      </c>
      <c r="Z346" s="152">
        <f t="shared" si="141"/>
        <v>0</v>
      </c>
      <c r="AA346" s="179">
        <f t="shared" si="142"/>
        <v>0</v>
      </c>
      <c r="AB346" s="179">
        <f t="shared" si="143"/>
        <v>0</v>
      </c>
      <c r="AC346" s="180">
        <f t="shared" si="150"/>
        <v>0</v>
      </c>
      <c r="AD346" s="156">
        <f t="shared" si="144"/>
        <v>0</v>
      </c>
      <c r="AE346" s="146">
        <f>IFERROR(INDEX(Työkonekanta!$L$3:$L$30,MATCH($A346,Työkonekanta!$A$3:$A$30,0),1),0)*AF346</f>
        <v>0</v>
      </c>
      <c r="AF346" s="146">
        <f>IFERROR(INDEX(Työkonekanta!$N$3:$N$32,MATCH($A346,Työkonekanta!$A$3:$A$32,0),1),0)</f>
        <v>0</v>
      </c>
      <c r="AG346" s="332">
        <f>I346*INDEX(Muuttujat!$U$5:$U$21,MATCH($C346,Muuttujat!$N$5:$N$21,0),1)</f>
        <v>0</v>
      </c>
      <c r="AH346" s="332">
        <f>J346*INDEX(Muuttujat!$T$5:$T$21,MATCH($C346,Muuttujat!$N$5:$N$21,0),1)</f>
        <v>0</v>
      </c>
      <c r="AI346" s="332">
        <f t="shared" si="132"/>
        <v>0</v>
      </c>
      <c r="AJ346" s="332">
        <f t="shared" si="133"/>
        <v>0</v>
      </c>
      <c r="AK346" s="333">
        <f t="shared" si="145"/>
        <v>0</v>
      </c>
      <c r="AL346" s="332">
        <f t="shared" si="134"/>
        <v>0</v>
      </c>
      <c r="AM346" s="351"/>
      <c r="AN346" s="351"/>
    </row>
    <row r="347" spans="1:40">
      <c r="A347" s="139">
        <v>15</v>
      </c>
      <c r="B347" s="139">
        <f>IFERROR(IF((INDEX(Työkonekanta!$F$3:$F$27,MATCH('S3 Tiekartta'!$A347,Työkonekanta!$A$3:$A$24,0),1))&lt;0,0,(INDEX(Työkonekanta!$F$3:$F$27,MATCH('S3 Tiekartta'!$A347,Työkonekanta!$A$3:$A$24,0),1))),0)</f>
        <v>0</v>
      </c>
      <c r="C347" s="140">
        <v>2030</v>
      </c>
      <c r="D347" s="141" t="str">
        <f>IFERROR(INDEX(Työkonekanta!$D$3:$D$27,MATCH('S3 Tiekartta'!$A347,Työkonekanta!$A$3:$A$24,0),1),"undefined")</f>
        <v>sähkö</v>
      </c>
      <c r="E347" s="145">
        <f>IFERROR(INDEX(Työkonekanta!$G$3:$G$27,MATCH($A347,Työkonekanta!$A$3:$A$24,0),1)*INDEX(Työkonekanta!$H$3:$H$27,MATCH($A347,Työkonekanta!$A$3:$A$24,0),1)*(1+s0b_kasvu*($C347-2019))*$B347,0)</f>
        <v>0</v>
      </c>
      <c r="F347" s="145">
        <f t="shared" si="126"/>
        <v>0</v>
      </c>
      <c r="G347" s="151">
        <f t="shared" si="135"/>
        <v>0</v>
      </c>
      <c r="H347" s="145">
        <f t="shared" si="136"/>
        <v>0</v>
      </c>
      <c r="I347" s="145">
        <f t="shared" si="127"/>
        <v>0</v>
      </c>
      <c r="J347" s="145">
        <f t="shared" si="128"/>
        <v>0</v>
      </c>
      <c r="K347" s="142" t="str">
        <f t="shared" si="137"/>
        <v>kWh</v>
      </c>
      <c r="L347" s="146">
        <f>IFERROR(INDEX(Työkonekanta!$I$3:$I$27,MATCH('S3 Tiekartta'!$A347,Työkonekanta!$A$3:$A$24,0),1)*(I347+J347)*f_adblue,0)</f>
        <v>0</v>
      </c>
      <c r="M347" s="146">
        <f t="shared" si="146"/>
        <v>0</v>
      </c>
      <c r="N347" s="143" t="str">
        <f>IF(tuulisähkö_vuosi&lt;='S3 Tiekartta'!C347,"tuulisähkö",ostosähkö_nyt)</f>
        <v>jäännössähkö</v>
      </c>
      <c r="O347" s="147">
        <f>INDEX(Muuttujat!$J$5:$J$21,MATCH($C347,Muuttujat!$H$5:$H$21,0),1)</f>
        <v>61.999687056709845</v>
      </c>
      <c r="P347" s="148">
        <f t="shared" si="138"/>
        <v>0.75076940709999995</v>
      </c>
      <c r="Q347" s="148">
        <f t="shared" si="139"/>
        <v>0.24923059289999999</v>
      </c>
      <c r="R347" s="148">
        <f t="shared" si="140"/>
        <v>0.24923059289999999</v>
      </c>
      <c r="S347" s="149">
        <f t="shared" si="129"/>
        <v>0</v>
      </c>
      <c r="T347" s="150">
        <f t="shared" si="130"/>
        <v>0</v>
      </c>
      <c r="U347" s="150">
        <f t="shared" si="131"/>
        <v>0</v>
      </c>
      <c r="V347" s="150">
        <f>IFERROR(INDEX(Työkonekanta!$J$3:$J$27,MATCH($A347,Työkonekanta!$A$3:$A$24,0),1)*$B347*ef_li_ion_akku/1000/1000/INDEX(Työkonekanta!$K$3:$K$27,MATCH($A347,Työkonekanta!$A$3:$A$24,0)),0)</f>
        <v>0</v>
      </c>
      <c r="W347" s="149">
        <f t="shared" si="147"/>
        <v>0</v>
      </c>
      <c r="X347" s="150">
        <f t="shared" si="148"/>
        <v>0</v>
      </c>
      <c r="Y347" s="151">
        <f t="shared" si="149"/>
        <v>0</v>
      </c>
      <c r="Z347" s="152">
        <f t="shared" si="141"/>
        <v>0</v>
      </c>
      <c r="AA347" s="179">
        <f t="shared" si="142"/>
        <v>0</v>
      </c>
      <c r="AB347" s="179">
        <f t="shared" si="143"/>
        <v>0</v>
      </c>
      <c r="AC347" s="180">
        <f t="shared" si="150"/>
        <v>0</v>
      </c>
      <c r="AD347" s="156">
        <f t="shared" si="144"/>
        <v>0</v>
      </c>
      <c r="AE347" s="146">
        <f>IFERROR(INDEX(Työkonekanta!$L$3:$L$30,MATCH($A347,Työkonekanta!$A$3:$A$30,0),1),0)*AF347</f>
        <v>0</v>
      </c>
      <c r="AF347" s="146">
        <f>IFERROR(INDEX(Työkonekanta!$N$3:$N$32,MATCH($A347,Työkonekanta!$A$3:$A$32,0),1),0)</f>
        <v>0</v>
      </c>
      <c r="AG347" s="332">
        <f>I347*INDEX(Muuttujat!$U$5:$U$21,MATCH($C347,Muuttujat!$N$5:$N$21,0),1)</f>
        <v>0</v>
      </c>
      <c r="AH347" s="332">
        <f>J347*INDEX(Muuttujat!$T$5:$T$21,MATCH($C347,Muuttujat!$N$5:$N$21,0),1)</f>
        <v>0</v>
      </c>
      <c r="AI347" s="332">
        <f t="shared" si="132"/>
        <v>0</v>
      </c>
      <c r="AJ347" s="332">
        <f t="shared" si="133"/>
        <v>0</v>
      </c>
      <c r="AK347" s="333">
        <f t="shared" si="145"/>
        <v>0</v>
      </c>
      <c r="AL347" s="332">
        <f t="shared" si="134"/>
        <v>0</v>
      </c>
      <c r="AM347" s="351"/>
      <c r="AN347" s="351"/>
    </row>
    <row r="348" spans="1:40">
      <c r="A348" s="139">
        <v>16</v>
      </c>
      <c r="B348" s="139">
        <f>IFERROR(IF((INDEX(Työkonekanta!$F$3:$F$27,MATCH('S3 Tiekartta'!$A348,Työkonekanta!$A$3:$A$24,0),1))&lt;0,0,(INDEX(Työkonekanta!$F$3:$F$27,MATCH('S3 Tiekartta'!$A348,Työkonekanta!$A$3:$A$24,0),1))),0)</f>
        <v>0</v>
      </c>
      <c r="C348" s="140">
        <v>2030</v>
      </c>
      <c r="D348" s="141" t="str">
        <f>IFERROR(INDEX(Työkonekanta!$D$3:$D$27,MATCH('S3 Tiekartta'!$A348,Työkonekanta!$A$3:$A$24,0),1),"undefined")</f>
        <v>sähkö</v>
      </c>
      <c r="E348" s="145">
        <f>IFERROR(INDEX(Työkonekanta!$G$3:$G$27,MATCH($A348,Työkonekanta!$A$3:$A$24,0),1)*INDEX(Työkonekanta!$H$3:$H$27,MATCH($A348,Työkonekanta!$A$3:$A$24,0),1)*(1+s0b_kasvu*($C348-2019))*$B348,0)</f>
        <v>0</v>
      </c>
      <c r="F348" s="145">
        <f t="shared" si="126"/>
        <v>0</v>
      </c>
      <c r="G348" s="151">
        <f t="shared" si="135"/>
        <v>0</v>
      </c>
      <c r="H348" s="145">
        <f t="shared" si="136"/>
        <v>0</v>
      </c>
      <c r="I348" s="145">
        <f t="shared" si="127"/>
        <v>0</v>
      </c>
      <c r="J348" s="145">
        <f t="shared" si="128"/>
        <v>0</v>
      </c>
      <c r="K348" s="142" t="str">
        <f t="shared" si="137"/>
        <v>kWh</v>
      </c>
      <c r="L348" s="146">
        <f>IFERROR(INDEX(Työkonekanta!$I$3:$I$27,MATCH('S3 Tiekartta'!$A348,Työkonekanta!$A$3:$A$24,0),1)*(I348+J348)*f_adblue,0)</f>
        <v>0</v>
      </c>
      <c r="M348" s="146">
        <f t="shared" si="146"/>
        <v>0</v>
      </c>
      <c r="N348" s="143" t="str">
        <f>IF(tuulisähkö_vuosi&lt;='S3 Tiekartta'!C348,"tuulisähkö",ostosähkö_nyt)</f>
        <v>jäännössähkö</v>
      </c>
      <c r="O348" s="147">
        <f>INDEX(Muuttujat!$J$5:$J$21,MATCH($C348,Muuttujat!$H$5:$H$21,0),1)</f>
        <v>61.999687056709845</v>
      </c>
      <c r="P348" s="148">
        <f t="shared" si="138"/>
        <v>0.75076940709999995</v>
      </c>
      <c r="Q348" s="148">
        <f t="shared" si="139"/>
        <v>0.24923059289999999</v>
      </c>
      <c r="R348" s="148">
        <f t="shared" si="140"/>
        <v>0.24923059289999999</v>
      </c>
      <c r="S348" s="149">
        <f t="shared" si="129"/>
        <v>0</v>
      </c>
      <c r="T348" s="150">
        <f t="shared" si="130"/>
        <v>0</v>
      </c>
      <c r="U348" s="150">
        <f t="shared" si="131"/>
        <v>0</v>
      </c>
      <c r="V348" s="150">
        <f>IFERROR(INDEX(Työkonekanta!$J$3:$J$27,MATCH($A348,Työkonekanta!$A$3:$A$24,0),1)*$B348*ef_li_ion_akku/1000/1000/INDEX(Työkonekanta!$K$3:$K$27,MATCH($A348,Työkonekanta!$A$3:$A$24,0)),0)</f>
        <v>0</v>
      </c>
      <c r="W348" s="149">
        <f t="shared" si="147"/>
        <v>0</v>
      </c>
      <c r="X348" s="150">
        <f t="shared" si="148"/>
        <v>0</v>
      </c>
      <c r="Y348" s="151">
        <f t="shared" si="149"/>
        <v>0</v>
      </c>
      <c r="Z348" s="152">
        <f t="shared" si="141"/>
        <v>0</v>
      </c>
      <c r="AA348" s="179">
        <f t="shared" si="142"/>
        <v>0</v>
      </c>
      <c r="AB348" s="179">
        <f t="shared" si="143"/>
        <v>0</v>
      </c>
      <c r="AC348" s="180">
        <f t="shared" si="150"/>
        <v>0</v>
      </c>
      <c r="AD348" s="156">
        <f t="shared" si="144"/>
        <v>0</v>
      </c>
      <c r="AE348" s="146">
        <f>IFERROR(INDEX(Työkonekanta!$L$3:$L$30,MATCH($A348,Työkonekanta!$A$3:$A$30,0),1),0)*AF348</f>
        <v>0</v>
      </c>
      <c r="AF348" s="146">
        <f>IFERROR(INDEX(Työkonekanta!$N$3:$N$32,MATCH($A348,Työkonekanta!$A$3:$A$32,0),1),0)</f>
        <v>0</v>
      </c>
      <c r="AG348" s="332">
        <f>I348*INDEX(Muuttujat!$U$5:$U$21,MATCH($C348,Muuttujat!$N$5:$N$21,0),1)</f>
        <v>0</v>
      </c>
      <c r="AH348" s="332">
        <f>J348*INDEX(Muuttujat!$T$5:$T$21,MATCH($C348,Muuttujat!$N$5:$N$21,0),1)</f>
        <v>0</v>
      </c>
      <c r="AI348" s="332">
        <f t="shared" si="132"/>
        <v>0</v>
      </c>
      <c r="AJ348" s="332">
        <f t="shared" si="133"/>
        <v>0</v>
      </c>
      <c r="AK348" s="333">
        <f t="shared" si="145"/>
        <v>0</v>
      </c>
      <c r="AL348" s="332">
        <f t="shared" si="134"/>
        <v>0</v>
      </c>
      <c r="AM348" s="351"/>
      <c r="AN348" s="351"/>
    </row>
    <row r="349" spans="1:40">
      <c r="A349" s="139">
        <v>17</v>
      </c>
      <c r="B349" s="139">
        <f>IFERROR(IF((INDEX(Työkonekanta!$F$3:$F$27,MATCH('S3 Tiekartta'!$A349,Työkonekanta!$A$3:$A$24,0),1))&lt;0,0,(INDEX(Työkonekanta!$F$3:$F$27,MATCH('S3 Tiekartta'!$A349,Työkonekanta!$A$3:$A$24,0),1))),0)</f>
        <v>1</v>
      </c>
      <c r="C349" s="140">
        <v>2030</v>
      </c>
      <c r="D349" s="141" t="str">
        <f>IFERROR(INDEX(Työkonekanta!$D$3:$D$27,MATCH('S3 Tiekartta'!$A349,Työkonekanta!$A$3:$A$24,0),1),"undefined")</f>
        <v>pom</v>
      </c>
      <c r="E349" s="145">
        <f>IFERROR(INDEX(Työkonekanta!$G$3:$G$27,MATCH($A349,Työkonekanta!$A$3:$A$24,0),1)*INDEX(Työkonekanta!$H$3:$H$27,MATCH($A349,Työkonekanta!$A$3:$A$24,0),1)*(1+s0b_kasvu*($C349-2019))*$B349,0)</f>
        <v>11100.000000000002</v>
      </c>
      <c r="F349" s="145">
        <f t="shared" si="126"/>
        <v>398490.00000000006</v>
      </c>
      <c r="G349" s="151">
        <f t="shared" si="135"/>
        <v>299174.10103527905</v>
      </c>
      <c r="H349" s="145">
        <f t="shared" si="136"/>
        <v>99315.898964721011</v>
      </c>
      <c r="I349" s="145">
        <f t="shared" si="127"/>
        <v>8333.5404188100019</v>
      </c>
      <c r="J349" s="145">
        <f t="shared" si="128"/>
        <v>2895.507258446677</v>
      </c>
      <c r="K349" s="142" t="str">
        <f t="shared" si="137"/>
        <v>l</v>
      </c>
      <c r="L349" s="146">
        <f>IFERROR(INDEX(Työkonekanta!$I$3:$I$27,MATCH('S3 Tiekartta'!$A349,Työkonekanta!$A$3:$A$24,0),1)*(I349+J349)*f_adblue,0)</f>
        <v>561.45238386283404</v>
      </c>
      <c r="M349" s="146">
        <f t="shared" si="146"/>
        <v>0</v>
      </c>
      <c r="N349" s="143" t="str">
        <f>IF(tuulisähkö_vuosi&lt;='S3 Tiekartta'!C349,"tuulisähkö",ostosähkö_nyt)</f>
        <v>jäännössähkö</v>
      </c>
      <c r="O349" s="147">
        <f>INDEX(Muuttujat!$J$5:$J$21,MATCH($C349,Muuttujat!$H$5:$H$21,0),1)</f>
        <v>61.999687056709845</v>
      </c>
      <c r="P349" s="148">
        <f t="shared" si="138"/>
        <v>0.75076940709999995</v>
      </c>
      <c r="Q349" s="148">
        <f t="shared" si="139"/>
        <v>0.24923059289999999</v>
      </c>
      <c r="R349" s="148">
        <f t="shared" si="140"/>
        <v>0.24923059289999999</v>
      </c>
      <c r="S349" s="149">
        <f t="shared" si="129"/>
        <v>5.654390509566773</v>
      </c>
      <c r="T349" s="150">
        <f t="shared" si="130"/>
        <v>6.1973120953985905</v>
      </c>
      <c r="U349" s="150">
        <f t="shared" si="131"/>
        <v>0</v>
      </c>
      <c r="V349" s="150">
        <f>IFERROR(INDEX(Työkonekanta!$J$3:$J$27,MATCH($A349,Työkonekanta!$A$3:$A$24,0),1)*$B349*ef_li_ion_akku/1000/1000/INDEX(Työkonekanta!$K$3:$K$27,MATCH($A349,Työkonekanta!$A$3:$A$24,0)),0)</f>
        <v>0</v>
      </c>
      <c r="W349" s="149">
        <f t="shared" si="147"/>
        <v>22.081518122768948</v>
      </c>
      <c r="X349" s="150">
        <f t="shared" si="148"/>
        <v>0.35269768260000006</v>
      </c>
      <c r="Y349" s="151">
        <f t="shared" si="149"/>
        <v>0.14597761980433685</v>
      </c>
      <c r="Z349" s="152">
        <f t="shared" si="141"/>
        <v>11.851702604965364</v>
      </c>
      <c r="AA349" s="179">
        <f t="shared" si="142"/>
        <v>22.227495742573286</v>
      </c>
      <c r="AB349" s="179">
        <f t="shared" si="143"/>
        <v>22.580193425173285</v>
      </c>
      <c r="AC349" s="180">
        <f t="shared" si="150"/>
        <v>34.07919834753865</v>
      </c>
      <c r="AD349" s="156">
        <f t="shared" si="144"/>
        <v>34.431896030138645</v>
      </c>
      <c r="AE349" s="146">
        <f>IFERROR(INDEX(Työkonekanta!$L$3:$L$30,MATCH($A349,Työkonekanta!$A$3:$A$30,0),1),0)*AF349</f>
        <v>500000</v>
      </c>
      <c r="AF349" s="146">
        <f>IFERROR(INDEX(Työkonekanta!$N$3:$N$32,MATCH($A349,Työkonekanta!$A$3:$A$32,0),1),0)</f>
        <v>1</v>
      </c>
      <c r="AG349" s="332">
        <f>I349*INDEX(Muuttujat!$U$5:$U$21,MATCH($C349,Muuttujat!$N$5:$N$21,0),1)</f>
        <v>8750.2174397505023</v>
      </c>
      <c r="AH349" s="332">
        <f>J349*INDEX(Muuttujat!$T$5:$T$21,MATCH($C349,Muuttujat!$N$5:$N$21,0),1)</f>
        <v>4198.4855247476826</v>
      </c>
      <c r="AI349" s="332">
        <f t="shared" si="132"/>
        <v>280.72619193141702</v>
      </c>
      <c r="AJ349" s="332">
        <f t="shared" si="133"/>
        <v>0</v>
      </c>
      <c r="AK349" s="333">
        <f t="shared" si="145"/>
        <v>13229.429156429602</v>
      </c>
      <c r="AL349" s="332">
        <f t="shared" si="134"/>
        <v>13229.429156429602</v>
      </c>
      <c r="AM349" s="351"/>
      <c r="AN349" s="351"/>
    </row>
    <row r="350" spans="1:40">
      <c r="A350" s="139">
        <v>18</v>
      </c>
      <c r="B350" s="139">
        <f>IFERROR(IF((INDEX(Työkonekanta!$F$3:$F$27,MATCH('S3 Tiekartta'!$A350,Työkonekanta!$A$3:$A$24,0),1))&lt;0,0,(INDEX(Työkonekanta!$F$3:$F$27,MATCH('S3 Tiekartta'!$A350,Työkonekanta!$A$3:$A$24,0),1))),0)</f>
        <v>1</v>
      </c>
      <c r="C350" s="140">
        <v>2030</v>
      </c>
      <c r="D350" s="141" t="str">
        <f>IFERROR(INDEX(Työkonekanta!$D$3:$D$27,MATCH('S3 Tiekartta'!$A350,Työkonekanta!$A$3:$A$24,0),1),"undefined")</f>
        <v>pom</v>
      </c>
      <c r="E350" s="145">
        <f>IFERROR(INDEX(Työkonekanta!$G$3:$G$27,MATCH($A350,Työkonekanta!$A$3:$A$24,0),1)*INDEX(Työkonekanta!$H$3:$H$27,MATCH($A350,Työkonekanta!$A$3:$A$24,0),1)*(1+s0b_kasvu*($C350-2019))*$B350,0)</f>
        <v>11100.000000000002</v>
      </c>
      <c r="F350" s="145">
        <f t="shared" si="126"/>
        <v>398490.00000000006</v>
      </c>
      <c r="G350" s="151">
        <f t="shared" si="135"/>
        <v>299174.10103527905</v>
      </c>
      <c r="H350" s="145">
        <f t="shared" si="136"/>
        <v>99315.898964721011</v>
      </c>
      <c r="I350" s="145">
        <f t="shared" si="127"/>
        <v>8333.5404188100019</v>
      </c>
      <c r="J350" s="145">
        <f t="shared" si="128"/>
        <v>2895.507258446677</v>
      </c>
      <c r="K350" s="142" t="str">
        <f t="shared" si="137"/>
        <v>l</v>
      </c>
      <c r="L350" s="146">
        <f>IFERROR(INDEX(Työkonekanta!$I$3:$I$27,MATCH('S3 Tiekartta'!$A350,Työkonekanta!$A$3:$A$24,0),1)*(I350+J350)*f_adblue,0)</f>
        <v>449.16190709026728</v>
      </c>
      <c r="M350" s="146">
        <f t="shared" si="146"/>
        <v>0</v>
      </c>
      <c r="N350" s="143" t="str">
        <f>IF(tuulisähkö_vuosi&lt;='S3 Tiekartta'!C350,"tuulisähkö",ostosähkö_nyt)</f>
        <v>jäännössähkö</v>
      </c>
      <c r="O350" s="147">
        <f>INDEX(Muuttujat!$J$5:$J$21,MATCH($C350,Muuttujat!$H$5:$H$21,0),1)</f>
        <v>61.999687056709845</v>
      </c>
      <c r="P350" s="148">
        <f t="shared" si="138"/>
        <v>0.75076940709999995</v>
      </c>
      <c r="Q350" s="148">
        <f t="shared" si="139"/>
        <v>0.24923059289999999</v>
      </c>
      <c r="R350" s="148">
        <f t="shared" si="140"/>
        <v>0.24923059289999999</v>
      </c>
      <c r="S350" s="149">
        <f t="shared" si="129"/>
        <v>5.654390509566773</v>
      </c>
      <c r="T350" s="150">
        <f t="shared" si="130"/>
        <v>6.1973120953985905</v>
      </c>
      <c r="U350" s="150">
        <f t="shared" si="131"/>
        <v>0</v>
      </c>
      <c r="V350" s="150">
        <f>IFERROR(INDEX(Työkonekanta!$J$3:$J$27,MATCH($A350,Työkonekanta!$A$3:$A$24,0),1)*$B350*ef_li_ion_akku/1000/1000/INDEX(Työkonekanta!$K$3:$K$27,MATCH($A350,Työkonekanta!$A$3:$A$24,0)),0)</f>
        <v>0</v>
      </c>
      <c r="W350" s="149">
        <f t="shared" si="147"/>
        <v>22.081518122768948</v>
      </c>
      <c r="X350" s="150">
        <f t="shared" si="148"/>
        <v>0.35269768260000006</v>
      </c>
      <c r="Y350" s="151">
        <f t="shared" si="149"/>
        <v>0.11678209584346949</v>
      </c>
      <c r="Z350" s="152">
        <f t="shared" si="141"/>
        <v>11.851702604965364</v>
      </c>
      <c r="AA350" s="179">
        <f t="shared" si="142"/>
        <v>22.198300218612417</v>
      </c>
      <c r="AB350" s="179">
        <f t="shared" si="143"/>
        <v>22.550997901212416</v>
      </c>
      <c r="AC350" s="180">
        <f t="shared" si="150"/>
        <v>34.050002823577785</v>
      </c>
      <c r="AD350" s="156">
        <f t="shared" si="144"/>
        <v>34.40270050617778</v>
      </c>
      <c r="AE350" s="146">
        <f>IFERROR(INDEX(Työkonekanta!$L$3:$L$30,MATCH($A350,Työkonekanta!$A$3:$A$30,0),1),0)*AF350</f>
        <v>500000</v>
      </c>
      <c r="AF350" s="146">
        <f>IFERROR(INDEX(Työkonekanta!$N$3:$N$32,MATCH($A350,Työkonekanta!$A$3:$A$32,0),1),0)</f>
        <v>1</v>
      </c>
      <c r="AG350" s="332">
        <f>I350*INDEX(Muuttujat!$U$5:$U$21,MATCH($C350,Muuttujat!$N$5:$N$21,0),1)</f>
        <v>8750.2174397505023</v>
      </c>
      <c r="AH350" s="332">
        <f>J350*INDEX(Muuttujat!$T$5:$T$21,MATCH($C350,Muuttujat!$N$5:$N$21,0),1)</f>
        <v>4198.4855247476826</v>
      </c>
      <c r="AI350" s="332">
        <f t="shared" si="132"/>
        <v>224.58095354513364</v>
      </c>
      <c r="AJ350" s="332">
        <f t="shared" si="133"/>
        <v>0</v>
      </c>
      <c r="AK350" s="333">
        <f t="shared" si="145"/>
        <v>13173.283918043318</v>
      </c>
      <c r="AL350" s="332">
        <f t="shared" si="134"/>
        <v>13173.283918043318</v>
      </c>
      <c r="AM350" s="351"/>
      <c r="AN350" s="351"/>
    </row>
    <row r="351" spans="1:40">
      <c r="A351" s="139">
        <v>19</v>
      </c>
      <c r="B351" s="139">
        <f>IFERROR(IF((INDEX(Työkonekanta!$F$3:$F$27,MATCH('S3 Tiekartta'!$A351,Työkonekanta!$A$3:$A$24,0),1))&lt;0,0,(INDEX(Työkonekanta!$F$3:$F$27,MATCH('S3 Tiekartta'!$A351,Työkonekanta!$A$3:$A$24,0),1))),0)</f>
        <v>0</v>
      </c>
      <c r="C351" s="140">
        <v>2030</v>
      </c>
      <c r="D351" s="141" t="str">
        <f>IFERROR(INDEX(Työkonekanta!$D$3:$D$27,MATCH('S3 Tiekartta'!$A351,Työkonekanta!$A$3:$A$24,0),1),"undefined")</f>
        <v>pom</v>
      </c>
      <c r="E351" s="145">
        <f>IFERROR(INDEX(Työkonekanta!$G$3:$G$27,MATCH($A351,Työkonekanta!$A$3:$A$24,0),1)*INDEX(Työkonekanta!$H$3:$H$27,MATCH($A351,Työkonekanta!$A$3:$A$24,0),1)*(1+s0b_kasvu*($C351-2019))*$B351,0)</f>
        <v>0</v>
      </c>
      <c r="F351" s="145">
        <f t="shared" si="126"/>
        <v>0</v>
      </c>
      <c r="G351" s="151">
        <f t="shared" si="135"/>
        <v>0</v>
      </c>
      <c r="H351" s="145">
        <f t="shared" si="136"/>
        <v>0</v>
      </c>
      <c r="I351" s="145">
        <f t="shared" si="127"/>
        <v>0</v>
      </c>
      <c r="J351" s="145">
        <f t="shared" si="128"/>
        <v>0</v>
      </c>
      <c r="K351" s="142" t="str">
        <f t="shared" si="137"/>
        <v>l</v>
      </c>
      <c r="L351" s="146">
        <f>IFERROR(INDEX(Työkonekanta!$I$3:$I$27,MATCH('S3 Tiekartta'!$A351,Työkonekanta!$A$3:$A$24,0),1)*(I351+J351)*f_adblue,0)</f>
        <v>0</v>
      </c>
      <c r="M351" s="146">
        <f t="shared" si="146"/>
        <v>0</v>
      </c>
      <c r="N351" s="143" t="str">
        <f>IF(tuulisähkö_vuosi&lt;='S3 Tiekartta'!C351,"tuulisähkö",ostosähkö_nyt)</f>
        <v>jäännössähkö</v>
      </c>
      <c r="O351" s="147">
        <f>INDEX(Muuttujat!$J$5:$J$21,MATCH($C351,Muuttujat!$H$5:$H$21,0),1)</f>
        <v>61.999687056709845</v>
      </c>
      <c r="P351" s="148">
        <f t="shared" si="138"/>
        <v>0.75076940709999995</v>
      </c>
      <c r="Q351" s="148">
        <f t="shared" si="139"/>
        <v>0.24923059289999999</v>
      </c>
      <c r="R351" s="148">
        <f t="shared" si="140"/>
        <v>0.24923059289999999</v>
      </c>
      <c r="S351" s="149">
        <f t="shared" si="129"/>
        <v>0</v>
      </c>
      <c r="T351" s="150">
        <f t="shared" si="130"/>
        <v>0</v>
      </c>
      <c r="U351" s="150">
        <f t="shared" si="131"/>
        <v>0</v>
      </c>
      <c r="V351" s="150">
        <f>IFERROR(INDEX(Työkonekanta!$J$3:$J$27,MATCH($A351,Työkonekanta!$A$3:$A$24,0),1)*$B351*ef_li_ion_akku/1000/1000/INDEX(Työkonekanta!$K$3:$K$27,MATCH($A351,Työkonekanta!$A$3:$A$24,0)),0)</f>
        <v>0</v>
      </c>
      <c r="W351" s="149">
        <f t="shared" si="147"/>
        <v>0</v>
      </c>
      <c r="X351" s="150">
        <f t="shared" si="148"/>
        <v>0</v>
      </c>
      <c r="Y351" s="151">
        <f t="shared" si="149"/>
        <v>0</v>
      </c>
      <c r="Z351" s="152">
        <f t="shared" si="141"/>
        <v>0</v>
      </c>
      <c r="AA351" s="179">
        <f t="shared" si="142"/>
        <v>0</v>
      </c>
      <c r="AB351" s="179">
        <f t="shared" si="143"/>
        <v>0</v>
      </c>
      <c r="AC351" s="180">
        <f t="shared" si="150"/>
        <v>0</v>
      </c>
      <c r="AD351" s="156">
        <f t="shared" si="144"/>
        <v>0</v>
      </c>
      <c r="AE351" s="146">
        <f>IFERROR(INDEX(Työkonekanta!$L$3:$L$30,MATCH($A351,Työkonekanta!$A$3:$A$30,0),1),0)*AF351</f>
        <v>0</v>
      </c>
      <c r="AF351" s="146">
        <f>IFERROR(INDEX(Työkonekanta!$N$3:$N$32,MATCH($A351,Työkonekanta!$A$3:$A$32,0),1),0)</f>
        <v>0</v>
      </c>
      <c r="AG351" s="332">
        <f>I351*INDEX(Muuttujat!$U$5:$U$21,MATCH($C351,Muuttujat!$N$5:$N$21,0),1)</f>
        <v>0</v>
      </c>
      <c r="AH351" s="332">
        <f>J351*INDEX(Muuttujat!$T$5:$T$21,MATCH($C351,Muuttujat!$N$5:$N$21,0),1)</f>
        <v>0</v>
      </c>
      <c r="AI351" s="332">
        <f t="shared" si="132"/>
        <v>0</v>
      </c>
      <c r="AJ351" s="332">
        <f t="shared" si="133"/>
        <v>0</v>
      </c>
      <c r="AK351" s="333">
        <f t="shared" si="145"/>
        <v>0</v>
      </c>
      <c r="AL351" s="332">
        <f t="shared" si="134"/>
        <v>0</v>
      </c>
      <c r="AM351" s="351"/>
      <c r="AN351" s="351"/>
    </row>
    <row r="352" spans="1:40">
      <c r="A352" s="139">
        <v>20</v>
      </c>
      <c r="B352" s="139">
        <f>IFERROR(IF((INDEX(Työkonekanta!$F$3:$F$27,MATCH('S3 Tiekartta'!$A352,Työkonekanta!$A$3:$A$24,0),1))&lt;0,0,(INDEX(Työkonekanta!$F$3:$F$27,MATCH('S3 Tiekartta'!$A352,Työkonekanta!$A$3:$A$24,0),1))),0)</f>
        <v>0</v>
      </c>
      <c r="C352" s="140">
        <v>2030</v>
      </c>
      <c r="D352" s="141" t="str">
        <f>IFERROR(INDEX(Työkonekanta!$D$3:$D$27,MATCH('S3 Tiekartta'!$A352,Työkonekanta!$A$3:$A$24,0),1),"undefined")</f>
        <v>pom</v>
      </c>
      <c r="E352" s="145">
        <f>IFERROR(INDEX(Työkonekanta!$G$3:$G$27,MATCH($A352,Työkonekanta!$A$3:$A$24,0),1)*INDEX(Työkonekanta!$H$3:$H$27,MATCH($A352,Työkonekanta!$A$3:$A$24,0),1)*(1+s0b_kasvu*($C352-2019))*$B352,0)</f>
        <v>0</v>
      </c>
      <c r="F352" s="145">
        <f t="shared" si="126"/>
        <v>0</v>
      </c>
      <c r="G352" s="151">
        <f t="shared" si="135"/>
        <v>0</v>
      </c>
      <c r="H352" s="145">
        <f t="shared" si="136"/>
        <v>0</v>
      </c>
      <c r="I352" s="145">
        <f t="shared" si="127"/>
        <v>0</v>
      </c>
      <c r="J352" s="145">
        <f t="shared" si="128"/>
        <v>0</v>
      </c>
      <c r="K352" s="142" t="str">
        <f t="shared" si="137"/>
        <v>l</v>
      </c>
      <c r="L352" s="146">
        <f>IFERROR(INDEX(Työkonekanta!$I$3:$I$27,MATCH('S3 Tiekartta'!$A352,Työkonekanta!$A$3:$A$24,0),1)*(I352+J352)*f_adblue,0)</f>
        <v>0</v>
      </c>
      <c r="M352" s="146">
        <f t="shared" si="146"/>
        <v>0</v>
      </c>
      <c r="N352" s="143" t="str">
        <f>IF(tuulisähkö_vuosi&lt;='S3 Tiekartta'!C352,"tuulisähkö",ostosähkö_nyt)</f>
        <v>jäännössähkö</v>
      </c>
      <c r="O352" s="147">
        <f>INDEX(Muuttujat!$J$5:$J$21,MATCH($C352,Muuttujat!$H$5:$H$21,0),1)</f>
        <v>61.999687056709845</v>
      </c>
      <c r="P352" s="148">
        <f t="shared" si="138"/>
        <v>0.75076940709999995</v>
      </c>
      <c r="Q352" s="148">
        <f t="shared" si="139"/>
        <v>0.24923059289999999</v>
      </c>
      <c r="R352" s="148">
        <f t="shared" si="140"/>
        <v>0.24923059289999999</v>
      </c>
      <c r="S352" s="149">
        <f t="shared" si="129"/>
        <v>0</v>
      </c>
      <c r="T352" s="150">
        <f t="shared" si="130"/>
        <v>0</v>
      </c>
      <c r="U352" s="150">
        <f t="shared" si="131"/>
        <v>0</v>
      </c>
      <c r="V352" s="150">
        <f>IFERROR(INDEX(Työkonekanta!$J$3:$J$27,MATCH($A352,Työkonekanta!$A$3:$A$24,0),1)*$B352*ef_li_ion_akku/1000/1000/INDEX(Työkonekanta!$K$3:$K$27,MATCH($A352,Työkonekanta!$A$3:$A$24,0)),0)</f>
        <v>0</v>
      </c>
      <c r="W352" s="149">
        <f t="shared" si="147"/>
        <v>0</v>
      </c>
      <c r="X352" s="150">
        <f t="shared" si="148"/>
        <v>0</v>
      </c>
      <c r="Y352" s="151">
        <f t="shared" si="149"/>
        <v>0</v>
      </c>
      <c r="Z352" s="152">
        <f t="shared" si="141"/>
        <v>0</v>
      </c>
      <c r="AA352" s="179">
        <f t="shared" si="142"/>
        <v>0</v>
      </c>
      <c r="AB352" s="179">
        <f t="shared" si="143"/>
        <v>0</v>
      </c>
      <c r="AC352" s="180">
        <f t="shared" si="150"/>
        <v>0</v>
      </c>
      <c r="AD352" s="156">
        <f t="shared" si="144"/>
        <v>0</v>
      </c>
      <c r="AE352" s="146">
        <f>IFERROR(INDEX(Työkonekanta!$L$3:$L$30,MATCH($A352,Työkonekanta!$A$3:$A$30,0),1),0)*AF352</f>
        <v>0</v>
      </c>
      <c r="AF352" s="146">
        <f>IFERROR(INDEX(Työkonekanta!$N$3:$N$32,MATCH($A352,Työkonekanta!$A$3:$A$32,0),1),0)</f>
        <v>0</v>
      </c>
      <c r="AG352" s="332">
        <f>I352*INDEX(Muuttujat!$U$5:$U$21,MATCH($C352,Muuttujat!$N$5:$N$21,0),1)</f>
        <v>0</v>
      </c>
      <c r="AH352" s="332">
        <f>J352*INDEX(Muuttujat!$T$5:$T$21,MATCH($C352,Muuttujat!$N$5:$N$21,0),1)</f>
        <v>0</v>
      </c>
      <c r="AI352" s="332">
        <f t="shared" si="132"/>
        <v>0</v>
      </c>
      <c r="AJ352" s="332">
        <f t="shared" si="133"/>
        <v>0</v>
      </c>
      <c r="AK352" s="333">
        <f t="shared" si="145"/>
        <v>0</v>
      </c>
      <c r="AL352" s="332">
        <f t="shared" si="134"/>
        <v>0</v>
      </c>
      <c r="AM352" s="351"/>
      <c r="AN352" s="351"/>
    </row>
    <row r="353" spans="1:40">
      <c r="A353" s="139">
        <v>21</v>
      </c>
      <c r="B353" s="139">
        <f>IFERROR(IF((INDEX(Työkonekanta!$F$3:$F$27,MATCH('S3 Tiekartta'!$A353,Työkonekanta!$A$3:$A$24,0),1))&lt;0,0,(INDEX(Työkonekanta!$F$3:$F$27,MATCH('S3 Tiekartta'!$A353,Työkonekanta!$A$3:$A$24,0),1))),0)</f>
        <v>35</v>
      </c>
      <c r="C353" s="140">
        <v>2030</v>
      </c>
      <c r="D353" s="141" t="str">
        <f>IFERROR(INDEX(Työkonekanta!$D$3:$D$27,MATCH('S3 Tiekartta'!$A353,Työkonekanta!$A$3:$A$24,0),1),"undefined")</f>
        <v>sähkö</v>
      </c>
      <c r="E353" s="145">
        <f>IFERROR(INDEX(Työkonekanta!$G$3:$G$27,MATCH($A353,Työkonekanta!$A$3:$A$24,0),1)*INDEX(Työkonekanta!$H$3:$H$27,MATCH($A353,Työkonekanta!$A$3:$A$24,0),1)*(1+s0b_kasvu*($C353-2019))*$B353,0)</f>
        <v>451990.97222222225</v>
      </c>
      <c r="F353" s="145">
        <f t="shared" si="126"/>
        <v>0</v>
      </c>
      <c r="G353" s="151">
        <f t="shared" si="135"/>
        <v>0</v>
      </c>
      <c r="H353" s="145">
        <f t="shared" si="136"/>
        <v>0</v>
      </c>
      <c r="I353" s="145">
        <f t="shared" si="127"/>
        <v>0</v>
      </c>
      <c r="J353" s="145">
        <f t="shared" si="128"/>
        <v>0</v>
      </c>
      <c r="K353" s="142" t="str">
        <f t="shared" si="137"/>
        <v>kWh</v>
      </c>
      <c r="L353" s="146">
        <f>IFERROR(INDEX(Työkonekanta!$I$3:$I$27,MATCH('S3 Tiekartta'!$A353,Työkonekanta!$A$3:$A$24,0),1)*(I353+J353)*f_adblue,0)</f>
        <v>0</v>
      </c>
      <c r="M353" s="146">
        <f t="shared" si="146"/>
        <v>1627167.5000000002</v>
      </c>
      <c r="N353" s="143" t="str">
        <f>IF(tuulisähkö_vuosi&lt;='S3 Tiekartta'!C353,"tuulisähkö",ostosähkö_nyt)</f>
        <v>jäännössähkö</v>
      </c>
      <c r="O353" s="147">
        <f>INDEX(Muuttujat!$J$5:$J$21,MATCH($C353,Muuttujat!$H$5:$H$21,0),1)</f>
        <v>61.999687056709845</v>
      </c>
      <c r="P353" s="148">
        <f t="shared" si="138"/>
        <v>0.75076940709999995</v>
      </c>
      <c r="Q353" s="148">
        <f t="shared" si="139"/>
        <v>0.24923059289999999</v>
      </c>
      <c r="R353" s="148">
        <f t="shared" si="140"/>
        <v>0.24923059289999999</v>
      </c>
      <c r="S353" s="149">
        <f t="shared" si="129"/>
        <v>0</v>
      </c>
      <c r="T353" s="150">
        <f t="shared" si="130"/>
        <v>0</v>
      </c>
      <c r="U353" s="150">
        <f t="shared" si="131"/>
        <v>100.88387578884894</v>
      </c>
      <c r="V353" s="150">
        <f>IFERROR(INDEX(Työkonekanta!$J$3:$J$27,MATCH($A353,Työkonekanta!$A$3:$A$24,0),1)*$B353*ef_li_ion_akku/1000/1000/INDEX(Työkonekanta!$K$3:$K$27,MATCH($A353,Työkonekanta!$A$3:$A$24,0)),0)</f>
        <v>43.121723076923082</v>
      </c>
      <c r="W353" s="149">
        <f t="shared" si="147"/>
        <v>0</v>
      </c>
      <c r="X353" s="150">
        <f t="shared" si="148"/>
        <v>0</v>
      </c>
      <c r="Y353" s="151">
        <f t="shared" si="149"/>
        <v>0</v>
      </c>
      <c r="Z353" s="152">
        <f t="shared" si="141"/>
        <v>144.00559886577201</v>
      </c>
      <c r="AA353" s="179">
        <f t="shared" si="142"/>
        <v>0</v>
      </c>
      <c r="AB353" s="179">
        <f t="shared" si="143"/>
        <v>0</v>
      </c>
      <c r="AC353" s="180">
        <f t="shared" si="150"/>
        <v>144.00559886577201</v>
      </c>
      <c r="AD353" s="156">
        <f t="shared" si="144"/>
        <v>144.00559886577201</v>
      </c>
      <c r="AE353" s="146">
        <f>IFERROR(INDEX(Työkonekanta!$L$3:$L$30,MATCH($A353,Työkonekanta!$A$3:$A$30,0),1),0)*AF353</f>
        <v>1820000</v>
      </c>
      <c r="AF353" s="146">
        <f>IFERROR(INDEX(Työkonekanta!$N$3:$N$32,MATCH($A353,Työkonekanta!$A$3:$A$32,0),1),0)</f>
        <v>7</v>
      </c>
      <c r="AG353" s="332">
        <f>I353*INDEX(Muuttujat!$U$5:$U$21,MATCH($C353,Muuttujat!$N$5:$N$21,0),1)</f>
        <v>0</v>
      </c>
      <c r="AH353" s="332">
        <f>J353*INDEX(Muuttujat!$T$5:$T$21,MATCH($C353,Muuttujat!$N$5:$N$21,0),1)</f>
        <v>0</v>
      </c>
      <c r="AI353" s="332">
        <f t="shared" si="132"/>
        <v>0</v>
      </c>
      <c r="AJ353" s="332">
        <f t="shared" si="133"/>
        <v>40001.201041666674</v>
      </c>
      <c r="AK353" s="333">
        <f t="shared" si="145"/>
        <v>40001.201041666674</v>
      </c>
      <c r="AL353" s="332">
        <f t="shared" si="134"/>
        <v>1142.8914583333335</v>
      </c>
      <c r="AM353" s="351"/>
      <c r="AN353" s="351"/>
    </row>
    <row r="354" spans="1:40">
      <c r="A354" s="139">
        <v>22</v>
      </c>
      <c r="B354" s="139">
        <f>IFERROR(IF((INDEX(Työkonekanta!$F$3:$F$27,MATCH('S3 Tiekartta'!$A354,Työkonekanta!$A$3:$A$24,0),1))&lt;0,0,(INDEX(Työkonekanta!$F$3:$F$27,MATCH('S3 Tiekartta'!$A354,Työkonekanta!$A$3:$A$24,0),1))),0)</f>
        <v>0</v>
      </c>
      <c r="C354" s="140">
        <v>2030</v>
      </c>
      <c r="D354" s="141" t="str">
        <f>IFERROR(INDEX(Työkonekanta!$D$3:$D$27,MATCH('S3 Tiekartta'!$A354,Työkonekanta!$A$3:$A$24,0),1),"undefined")</f>
        <v>sähkö</v>
      </c>
      <c r="E354" s="145">
        <f>IFERROR(INDEX(Työkonekanta!$G$3:$G$27,MATCH($A354,Työkonekanta!$A$3:$A$24,0),1)*INDEX(Työkonekanta!$H$3:$H$27,MATCH($A354,Työkonekanta!$A$3:$A$24,0),1)*(1+s0b_kasvu*($C354-2019))*$B354,0)</f>
        <v>0</v>
      </c>
      <c r="F354" s="145">
        <f t="shared" si="126"/>
        <v>0</v>
      </c>
      <c r="G354" s="151">
        <f t="shared" si="135"/>
        <v>0</v>
      </c>
      <c r="H354" s="145">
        <f t="shared" si="136"/>
        <v>0</v>
      </c>
      <c r="I354" s="145">
        <f t="shared" si="127"/>
        <v>0</v>
      </c>
      <c r="J354" s="145">
        <f t="shared" si="128"/>
        <v>0</v>
      </c>
      <c r="K354" s="142" t="str">
        <f t="shared" si="137"/>
        <v>kWh</v>
      </c>
      <c r="L354" s="146">
        <f>IFERROR(INDEX(Työkonekanta!$I$3:$I$27,MATCH('S3 Tiekartta'!$A354,Työkonekanta!$A$3:$A$24,0),1)*(I354+J354)*f_adblue,0)</f>
        <v>0</v>
      </c>
      <c r="M354" s="146">
        <f t="shared" si="146"/>
        <v>0</v>
      </c>
      <c r="N354" s="143" t="str">
        <f>IF(tuulisähkö_vuosi&lt;='S3 Tiekartta'!C354,"tuulisähkö",ostosähkö_nyt)</f>
        <v>jäännössähkö</v>
      </c>
      <c r="O354" s="147">
        <f>INDEX(Muuttujat!$J$5:$J$21,MATCH($C354,Muuttujat!$H$5:$H$21,0),1)</f>
        <v>61.999687056709845</v>
      </c>
      <c r="P354" s="148">
        <f t="shared" si="138"/>
        <v>0.75076940709999995</v>
      </c>
      <c r="Q354" s="148">
        <f t="shared" si="139"/>
        <v>0.24923059289999999</v>
      </c>
      <c r="R354" s="148">
        <f t="shared" si="140"/>
        <v>0.24923059289999999</v>
      </c>
      <c r="S354" s="149">
        <f t="shared" si="129"/>
        <v>0</v>
      </c>
      <c r="T354" s="150">
        <f t="shared" si="130"/>
        <v>0</v>
      </c>
      <c r="U354" s="150">
        <f t="shared" si="131"/>
        <v>0</v>
      </c>
      <c r="V354" s="150">
        <f>IFERROR(INDEX(Työkonekanta!$J$3:$J$27,MATCH($A354,Työkonekanta!$A$3:$A$24,0),1)*$B354*ef_li_ion_akku/1000/1000/INDEX(Työkonekanta!$K$3:$K$27,MATCH($A354,Työkonekanta!$A$3:$A$24,0)),0)</f>
        <v>0</v>
      </c>
      <c r="W354" s="149">
        <f t="shared" si="147"/>
        <v>0</v>
      </c>
      <c r="X354" s="150">
        <f t="shared" si="148"/>
        <v>0</v>
      </c>
      <c r="Y354" s="151">
        <f t="shared" si="149"/>
        <v>0</v>
      </c>
      <c r="Z354" s="152">
        <f t="shared" si="141"/>
        <v>0</v>
      </c>
      <c r="AA354" s="179">
        <f t="shared" si="142"/>
        <v>0</v>
      </c>
      <c r="AB354" s="179">
        <f t="shared" si="143"/>
        <v>0</v>
      </c>
      <c r="AC354" s="180">
        <f t="shared" si="150"/>
        <v>0</v>
      </c>
      <c r="AD354" s="156">
        <f t="shared" si="144"/>
        <v>0</v>
      </c>
      <c r="AE354" s="146">
        <f>IFERROR(INDEX(Työkonekanta!$L$3:$L$30,MATCH($A354,Työkonekanta!$A$3:$A$30,0),1),0)*AF354</f>
        <v>0</v>
      </c>
      <c r="AF354" s="146">
        <f>IFERROR(INDEX(Työkonekanta!$N$3:$N$32,MATCH($A354,Työkonekanta!$A$3:$A$32,0),1),0)</f>
        <v>0</v>
      </c>
      <c r="AG354" s="332">
        <f>I354*INDEX(Muuttujat!$U$5:$U$21,MATCH($C354,Muuttujat!$N$5:$N$21,0),1)</f>
        <v>0</v>
      </c>
      <c r="AH354" s="332">
        <f>J354*INDEX(Muuttujat!$T$5:$T$21,MATCH($C354,Muuttujat!$N$5:$N$21,0),1)</f>
        <v>0</v>
      </c>
      <c r="AI354" s="332">
        <f t="shared" si="132"/>
        <v>0</v>
      </c>
      <c r="AJ354" s="332">
        <f t="shared" si="133"/>
        <v>0</v>
      </c>
      <c r="AK354" s="333">
        <f t="shared" si="145"/>
        <v>0</v>
      </c>
      <c r="AL354" s="332">
        <f t="shared" si="134"/>
        <v>0</v>
      </c>
      <c r="AM354" s="351"/>
      <c r="AN354" s="351"/>
    </row>
    <row r="355" spans="1:40">
      <c r="A355" s="139">
        <v>23</v>
      </c>
      <c r="B355" s="139">
        <f>IFERROR(IF((INDEX(Työkonekanta!$F$3:$F$27,MATCH('S3 Tiekartta'!$A355,Työkonekanta!$A$3:$A$24,0),1))&lt;0,0,(INDEX(Työkonekanta!$F$3:$F$27,MATCH('S3 Tiekartta'!$A355,Työkonekanta!$A$3:$A$24,0),1))),0)</f>
        <v>0</v>
      </c>
      <c r="C355" s="140">
        <v>2030</v>
      </c>
      <c r="D355" s="141" t="str">
        <f>IFERROR(INDEX(Työkonekanta!$D$3:$D$27,MATCH('S3 Tiekartta'!$A355,Työkonekanta!$A$3:$A$24,0),1),"undefined")</f>
        <v>undefined</v>
      </c>
      <c r="E355" s="145">
        <f>IFERROR(INDEX(Työkonekanta!$G$3:$G$27,MATCH($A355,Työkonekanta!$A$3:$A$24,0),1)*INDEX(Työkonekanta!$H$3:$H$27,MATCH($A355,Työkonekanta!$A$3:$A$24,0),1)*(1+s0b_kasvu*($C355-2019))*$B355,0)</f>
        <v>0</v>
      </c>
      <c r="F355" s="145">
        <f t="shared" si="126"/>
        <v>0</v>
      </c>
      <c r="G355" s="151">
        <f t="shared" si="135"/>
        <v>0</v>
      </c>
      <c r="H355" s="145">
        <f t="shared" si="136"/>
        <v>0</v>
      </c>
      <c r="I355" s="145">
        <f t="shared" si="127"/>
        <v>0</v>
      </c>
      <c r="J355" s="145">
        <f t="shared" si="128"/>
        <v>0</v>
      </c>
      <c r="K355" s="142" t="str">
        <f t="shared" si="137"/>
        <v>undefined</v>
      </c>
      <c r="L355" s="146">
        <f>IFERROR(INDEX(Työkonekanta!$I$3:$I$27,MATCH('S3 Tiekartta'!$A355,Työkonekanta!$A$3:$A$24,0),1)*(I355+J355)*f_adblue,0)</f>
        <v>0</v>
      </c>
      <c r="M355" s="146">
        <f t="shared" si="146"/>
        <v>0</v>
      </c>
      <c r="N355" s="143" t="str">
        <f>IF(tuulisähkö_vuosi&lt;='S3 Tiekartta'!C355,"tuulisähkö",ostosähkö_nyt)</f>
        <v>jäännössähkö</v>
      </c>
      <c r="O355" s="147">
        <f>INDEX(Muuttujat!$J$5:$J$21,MATCH($C355,Muuttujat!$H$5:$H$21,0),1)</f>
        <v>61.999687056709845</v>
      </c>
      <c r="P355" s="148">
        <f t="shared" si="138"/>
        <v>0.75076940709999995</v>
      </c>
      <c r="Q355" s="148">
        <f t="shared" si="139"/>
        <v>0.24923059289999999</v>
      </c>
      <c r="R355" s="148">
        <f t="shared" si="140"/>
        <v>0.24923059289999999</v>
      </c>
      <c r="S355" s="149">
        <f t="shared" si="129"/>
        <v>0</v>
      </c>
      <c r="T355" s="150">
        <f t="shared" si="130"/>
        <v>0</v>
      </c>
      <c r="U355" s="150">
        <f t="shared" si="131"/>
        <v>0</v>
      </c>
      <c r="V355" s="150">
        <f>IFERROR(INDEX(Työkonekanta!$J$3:$J$27,MATCH($A355,Työkonekanta!$A$3:$A$24,0),1)*$B355*ef_li_ion_akku/1000/1000/INDEX(Työkonekanta!$K$3:$K$27,MATCH($A355,Työkonekanta!$A$3:$A$24,0)),0)</f>
        <v>0</v>
      </c>
      <c r="W355" s="149">
        <f t="shared" si="147"/>
        <v>0</v>
      </c>
      <c r="X355" s="150">
        <f t="shared" si="148"/>
        <v>0</v>
      </c>
      <c r="Y355" s="151">
        <f t="shared" si="149"/>
        <v>0</v>
      </c>
      <c r="Z355" s="152">
        <f t="shared" si="141"/>
        <v>0</v>
      </c>
      <c r="AA355" s="179">
        <f t="shared" si="142"/>
        <v>0</v>
      </c>
      <c r="AB355" s="179">
        <f t="shared" si="143"/>
        <v>0</v>
      </c>
      <c r="AC355" s="180">
        <f t="shared" si="150"/>
        <v>0</v>
      </c>
      <c r="AD355" s="156">
        <f t="shared" si="144"/>
        <v>0</v>
      </c>
      <c r="AE355" s="146">
        <f>IFERROR(INDEX(Työkonekanta!$L$3:$L$30,MATCH($A355,Työkonekanta!$A$3:$A$30,0),1),0)*AF355</f>
        <v>0</v>
      </c>
      <c r="AF355" s="146">
        <f>IFERROR(INDEX(Työkonekanta!$N$3:$N$32,MATCH($A355,Työkonekanta!$A$3:$A$32,0),1),0)</f>
        <v>0</v>
      </c>
      <c r="AG355" s="332">
        <f>I355*INDEX(Muuttujat!$U$5:$U$21,MATCH($C355,Muuttujat!$N$5:$N$21,0),1)</f>
        <v>0</v>
      </c>
      <c r="AH355" s="332">
        <f>J355*INDEX(Muuttujat!$T$5:$T$21,MATCH($C355,Muuttujat!$N$5:$N$21,0),1)</f>
        <v>0</v>
      </c>
      <c r="AI355" s="332">
        <f t="shared" si="132"/>
        <v>0</v>
      </c>
      <c r="AJ355" s="332">
        <f t="shared" si="133"/>
        <v>0</v>
      </c>
      <c r="AK355" s="333">
        <f t="shared" si="145"/>
        <v>0</v>
      </c>
      <c r="AL355" s="332">
        <f t="shared" si="134"/>
        <v>0</v>
      </c>
      <c r="AM355" s="351"/>
      <c r="AN355" s="351"/>
    </row>
    <row r="356" spans="1:40">
      <c r="A356" s="139">
        <v>24</v>
      </c>
      <c r="B356" s="139">
        <f>IFERROR(IF((INDEX(Työkonekanta!$F$3:$F$27,MATCH('S3 Tiekartta'!$A356,Työkonekanta!$A$3:$A$24,0),1))&lt;0,0,(INDEX(Työkonekanta!$F$3:$F$27,MATCH('S3 Tiekartta'!$A356,Työkonekanta!$A$3:$A$24,0),1))),0)</f>
        <v>0</v>
      </c>
      <c r="C356" s="140">
        <v>2030</v>
      </c>
      <c r="D356" s="141" t="str">
        <f>IFERROR(INDEX(Työkonekanta!$D$3:$D$27,MATCH('S3 Tiekartta'!$A356,Työkonekanta!$A$3:$A$24,0),1),"undefined")</f>
        <v>undefined</v>
      </c>
      <c r="E356" s="145">
        <f>IFERROR(INDEX(Työkonekanta!$G$3:$G$27,MATCH($A356,Työkonekanta!$A$3:$A$24,0),1)*INDEX(Työkonekanta!$H$3:$H$27,MATCH($A356,Työkonekanta!$A$3:$A$24,0),1)*(1+s0b_kasvu*($C356-2019))*$B356,0)</f>
        <v>0</v>
      </c>
      <c r="F356" s="145">
        <f t="shared" si="126"/>
        <v>0</v>
      </c>
      <c r="G356" s="151">
        <f t="shared" si="135"/>
        <v>0</v>
      </c>
      <c r="H356" s="145">
        <f t="shared" si="136"/>
        <v>0</v>
      </c>
      <c r="I356" s="145">
        <f t="shared" si="127"/>
        <v>0</v>
      </c>
      <c r="J356" s="145">
        <f t="shared" si="128"/>
        <v>0</v>
      </c>
      <c r="K356" s="142" t="str">
        <f t="shared" si="137"/>
        <v>undefined</v>
      </c>
      <c r="L356" s="146">
        <f>IFERROR(INDEX(Työkonekanta!$I$3:$I$27,MATCH('S3 Tiekartta'!$A356,Työkonekanta!$A$3:$A$24,0),1)*(I356+J356)*f_adblue,0)</f>
        <v>0</v>
      </c>
      <c r="M356" s="146">
        <f t="shared" si="146"/>
        <v>0</v>
      </c>
      <c r="N356" s="143" t="str">
        <f>IF(tuulisähkö_vuosi&lt;='S3 Tiekartta'!C356,"tuulisähkö",ostosähkö_nyt)</f>
        <v>jäännössähkö</v>
      </c>
      <c r="O356" s="147">
        <f>INDEX(Muuttujat!$J$5:$J$21,MATCH($C356,Muuttujat!$H$5:$H$21,0),1)</f>
        <v>61.999687056709845</v>
      </c>
      <c r="P356" s="148">
        <f t="shared" si="138"/>
        <v>0.75076940709999995</v>
      </c>
      <c r="Q356" s="148">
        <f t="shared" si="139"/>
        <v>0.24923059289999999</v>
      </c>
      <c r="R356" s="148">
        <f t="shared" si="140"/>
        <v>0.24923059289999999</v>
      </c>
      <c r="S356" s="149">
        <f t="shared" si="129"/>
        <v>0</v>
      </c>
      <c r="T356" s="150">
        <f t="shared" si="130"/>
        <v>0</v>
      </c>
      <c r="U356" s="150">
        <f t="shared" si="131"/>
        <v>0</v>
      </c>
      <c r="V356" s="150">
        <f>IFERROR(INDEX(Työkonekanta!$J$3:$J$27,MATCH($A356,Työkonekanta!$A$3:$A$24,0),1)*$B356*ef_li_ion_akku/1000/1000/INDEX(Työkonekanta!$K$3:$K$27,MATCH($A356,Työkonekanta!$A$3:$A$24,0)),0)</f>
        <v>0</v>
      </c>
      <c r="W356" s="149">
        <f t="shared" si="147"/>
        <v>0</v>
      </c>
      <c r="X356" s="150">
        <f t="shared" si="148"/>
        <v>0</v>
      </c>
      <c r="Y356" s="151">
        <f t="shared" si="149"/>
        <v>0</v>
      </c>
      <c r="Z356" s="152">
        <f t="shared" si="141"/>
        <v>0</v>
      </c>
      <c r="AA356" s="179">
        <f t="shared" si="142"/>
        <v>0</v>
      </c>
      <c r="AB356" s="179">
        <f t="shared" si="143"/>
        <v>0</v>
      </c>
      <c r="AC356" s="180">
        <f t="shared" si="150"/>
        <v>0</v>
      </c>
      <c r="AD356" s="156">
        <f t="shared" si="144"/>
        <v>0</v>
      </c>
      <c r="AE356" s="146">
        <f>IFERROR(INDEX(Työkonekanta!$L$3:$L$30,MATCH($A356,Työkonekanta!$A$3:$A$30,0),1),0)*AF356</f>
        <v>0</v>
      </c>
      <c r="AF356" s="146">
        <f>IFERROR(INDEX(Työkonekanta!$N$3:$N$32,MATCH($A356,Työkonekanta!$A$3:$A$32,0),1),0)</f>
        <v>0</v>
      </c>
      <c r="AG356" s="332">
        <f>I356*INDEX(Muuttujat!$U$5:$U$21,MATCH($C356,Muuttujat!$N$5:$N$21,0),1)</f>
        <v>0</v>
      </c>
      <c r="AH356" s="332">
        <f>J356*INDEX(Muuttujat!$T$5:$T$21,MATCH($C356,Muuttujat!$N$5:$N$21,0),1)</f>
        <v>0</v>
      </c>
      <c r="AI356" s="332">
        <f t="shared" si="132"/>
        <v>0</v>
      </c>
      <c r="AJ356" s="332">
        <f t="shared" si="133"/>
        <v>0</v>
      </c>
      <c r="AK356" s="333">
        <f t="shared" si="145"/>
        <v>0</v>
      </c>
      <c r="AL356" s="332">
        <f t="shared" si="134"/>
        <v>0</v>
      </c>
      <c r="AM356" s="351"/>
      <c r="AN356" s="351"/>
    </row>
    <row r="357" spans="1:40">
      <c r="A357" s="139">
        <v>25</v>
      </c>
      <c r="B357" s="139">
        <f>IFERROR(IF((INDEX(Työkonekanta!$F$3:$F$27,MATCH('S3 Tiekartta'!$A357,Työkonekanta!$A$3:$A$24,0),1))&lt;0,0,(INDEX(Työkonekanta!$F$3:$F$27,MATCH('S3 Tiekartta'!$A357,Työkonekanta!$A$3:$A$24,0),1))),0)</f>
        <v>0</v>
      </c>
      <c r="C357" s="140">
        <v>2030</v>
      </c>
      <c r="D357" s="141" t="str">
        <f>IFERROR(INDEX(Työkonekanta!$D$3:$D$27,MATCH('S3 Tiekartta'!$A357,Työkonekanta!$A$3:$A$24,0),1),"undefined")</f>
        <v>undefined</v>
      </c>
      <c r="E357" s="145">
        <f>IFERROR(INDEX(Työkonekanta!$G$3:$G$27,MATCH($A357,Työkonekanta!$A$3:$A$24,0),1)*INDEX(Työkonekanta!$H$3:$H$27,MATCH($A357,Työkonekanta!$A$3:$A$24,0),1)*(1+s0b_kasvu*($C357-2019))*$B357,0)</f>
        <v>0</v>
      </c>
      <c r="F357" s="145">
        <f t="shared" si="126"/>
        <v>0</v>
      </c>
      <c r="G357" s="151">
        <f t="shared" si="135"/>
        <v>0</v>
      </c>
      <c r="H357" s="145">
        <f t="shared" si="136"/>
        <v>0</v>
      </c>
      <c r="I357" s="145">
        <f t="shared" si="127"/>
        <v>0</v>
      </c>
      <c r="J357" s="145">
        <f t="shared" si="128"/>
        <v>0</v>
      </c>
      <c r="K357" s="142" t="str">
        <f t="shared" si="137"/>
        <v>undefined</v>
      </c>
      <c r="L357" s="146">
        <f>IFERROR(INDEX(Työkonekanta!$I$3:$I$27,MATCH('S3 Tiekartta'!$A357,Työkonekanta!$A$3:$A$24,0),1)*(I357+J357)*f_adblue,0)</f>
        <v>0</v>
      </c>
      <c r="M357" s="146">
        <f t="shared" si="146"/>
        <v>0</v>
      </c>
      <c r="N357" s="143" t="str">
        <f>IF(tuulisähkö_vuosi&lt;='S3 Tiekartta'!C357,"tuulisähkö",ostosähkö_nyt)</f>
        <v>jäännössähkö</v>
      </c>
      <c r="O357" s="147">
        <f>INDEX(Muuttujat!$J$5:$J$21,MATCH($C357,Muuttujat!$H$5:$H$21,0),1)</f>
        <v>61.999687056709845</v>
      </c>
      <c r="P357" s="148">
        <f t="shared" si="138"/>
        <v>0.75076940709999995</v>
      </c>
      <c r="Q357" s="148">
        <f t="shared" si="139"/>
        <v>0.24923059289999999</v>
      </c>
      <c r="R357" s="148">
        <f t="shared" si="140"/>
        <v>0.24923059289999999</v>
      </c>
      <c r="S357" s="149">
        <f t="shared" si="129"/>
        <v>0</v>
      </c>
      <c r="T357" s="150">
        <f t="shared" si="130"/>
        <v>0</v>
      </c>
      <c r="U357" s="150">
        <f t="shared" si="131"/>
        <v>0</v>
      </c>
      <c r="V357" s="150">
        <f>IFERROR(INDEX(Työkonekanta!$J$3:$J$27,MATCH($A357,Työkonekanta!$A$3:$A$24,0),1)*$B357*ef_li_ion_akku/1000/1000/INDEX(Työkonekanta!$K$3:$K$27,MATCH($A357,Työkonekanta!$A$3:$A$24,0)),0)</f>
        <v>0</v>
      </c>
      <c r="W357" s="149">
        <f t="shared" si="147"/>
        <v>0</v>
      </c>
      <c r="X357" s="150">
        <f t="shared" si="148"/>
        <v>0</v>
      </c>
      <c r="Y357" s="151">
        <f t="shared" si="149"/>
        <v>0</v>
      </c>
      <c r="Z357" s="152">
        <f t="shared" si="141"/>
        <v>0</v>
      </c>
      <c r="AA357" s="179">
        <f t="shared" si="142"/>
        <v>0</v>
      </c>
      <c r="AB357" s="179">
        <f t="shared" si="143"/>
        <v>0</v>
      </c>
      <c r="AC357" s="180">
        <f t="shared" si="150"/>
        <v>0</v>
      </c>
      <c r="AD357" s="156">
        <f t="shared" si="144"/>
        <v>0</v>
      </c>
      <c r="AE357" s="146">
        <f>IFERROR(INDEX(Työkonekanta!$L$3:$L$30,MATCH($A357,Työkonekanta!$A$3:$A$30,0),1),0)*AF357</f>
        <v>0</v>
      </c>
      <c r="AF357" s="146">
        <f>IFERROR(INDEX(Työkonekanta!$N$3:$N$32,MATCH($A357,Työkonekanta!$A$3:$A$32,0),1),0)</f>
        <v>0</v>
      </c>
      <c r="AG357" s="332">
        <f>I357*INDEX(Muuttujat!$U$5:$U$21,MATCH($C357,Muuttujat!$N$5:$N$21,0),1)</f>
        <v>0</v>
      </c>
      <c r="AH357" s="332">
        <f>J357*INDEX(Muuttujat!$T$5:$T$21,MATCH($C357,Muuttujat!$N$5:$N$21,0),1)</f>
        <v>0</v>
      </c>
      <c r="AI357" s="332">
        <f t="shared" si="132"/>
        <v>0</v>
      </c>
      <c r="AJ357" s="332">
        <f t="shared" si="133"/>
        <v>0</v>
      </c>
      <c r="AK357" s="333">
        <f t="shared" si="145"/>
        <v>0</v>
      </c>
      <c r="AL357" s="332">
        <f t="shared" si="134"/>
        <v>0</v>
      </c>
      <c r="AM357" s="351"/>
      <c r="AN357" s="351"/>
    </row>
    <row r="358" spans="1:40">
      <c r="A358" s="139">
        <v>26</v>
      </c>
      <c r="B358" s="139">
        <f>IFERROR(IF((INDEX(Työkonekanta!$F$3:$F$27,MATCH('S3 Tiekartta'!$A358,Työkonekanta!$A$3:$A$24,0),1))&lt;0,0,(INDEX(Työkonekanta!$F$3:$F$27,MATCH('S3 Tiekartta'!$A358,Työkonekanta!$A$3:$A$24,0),1))),0)</f>
        <v>0</v>
      </c>
      <c r="C358" s="140">
        <v>2030</v>
      </c>
      <c r="D358" s="141" t="str">
        <f>IFERROR(INDEX(Työkonekanta!$D$3:$D$27,MATCH('S3 Tiekartta'!$A358,Työkonekanta!$A$3:$A$24,0),1),"undefined")</f>
        <v>undefined</v>
      </c>
      <c r="E358" s="145">
        <f>IFERROR(INDEX(Työkonekanta!$G$3:$G$27,MATCH($A358,Työkonekanta!$A$3:$A$24,0),1)*INDEX(Työkonekanta!$H$3:$H$27,MATCH($A358,Työkonekanta!$A$3:$A$24,0),1)*(1+s0b_kasvu*($C358-2019))*$B358,0)</f>
        <v>0</v>
      </c>
      <c r="F358" s="145">
        <f t="shared" si="126"/>
        <v>0</v>
      </c>
      <c r="G358" s="151">
        <f t="shared" si="135"/>
        <v>0</v>
      </c>
      <c r="H358" s="145">
        <f t="shared" si="136"/>
        <v>0</v>
      </c>
      <c r="I358" s="145">
        <f t="shared" si="127"/>
        <v>0</v>
      </c>
      <c r="J358" s="145">
        <f t="shared" si="128"/>
        <v>0</v>
      </c>
      <c r="K358" s="142" t="str">
        <f t="shared" si="137"/>
        <v>undefined</v>
      </c>
      <c r="L358" s="146">
        <f>IFERROR(INDEX(Työkonekanta!$I$3:$I$27,MATCH('S3 Tiekartta'!$A358,Työkonekanta!$A$3:$A$24,0),1)*(I358+J358)*f_adblue,0)</f>
        <v>0</v>
      </c>
      <c r="M358" s="146">
        <f t="shared" si="146"/>
        <v>0</v>
      </c>
      <c r="N358" s="143" t="str">
        <f>IF(tuulisähkö_vuosi&lt;='S3 Tiekartta'!C358,"tuulisähkö",ostosähkö_nyt)</f>
        <v>jäännössähkö</v>
      </c>
      <c r="O358" s="147">
        <f>INDEX(Muuttujat!$J$5:$J$21,MATCH($C358,Muuttujat!$H$5:$H$21,0),1)</f>
        <v>61.999687056709845</v>
      </c>
      <c r="P358" s="148">
        <f t="shared" si="138"/>
        <v>0.75076940709999995</v>
      </c>
      <c r="Q358" s="148">
        <f t="shared" si="139"/>
        <v>0.24923059289999999</v>
      </c>
      <c r="R358" s="148">
        <f t="shared" si="140"/>
        <v>0.24923059289999999</v>
      </c>
      <c r="S358" s="149">
        <f t="shared" si="129"/>
        <v>0</v>
      </c>
      <c r="T358" s="150">
        <f t="shared" si="130"/>
        <v>0</v>
      </c>
      <c r="U358" s="150">
        <f t="shared" si="131"/>
        <v>0</v>
      </c>
      <c r="V358" s="150">
        <f>IFERROR(INDEX(Työkonekanta!$J$3:$J$27,MATCH($A358,Työkonekanta!$A$3:$A$24,0),1)*$B358*ef_li_ion_akku/1000/1000/INDEX(Työkonekanta!$K$3:$K$27,MATCH($A358,Työkonekanta!$A$3:$A$24,0)),0)</f>
        <v>0</v>
      </c>
      <c r="W358" s="149">
        <f t="shared" si="147"/>
        <v>0</v>
      </c>
      <c r="X358" s="150">
        <f t="shared" si="148"/>
        <v>0</v>
      </c>
      <c r="Y358" s="151">
        <f t="shared" si="149"/>
        <v>0</v>
      </c>
      <c r="Z358" s="152">
        <f t="shared" si="141"/>
        <v>0</v>
      </c>
      <c r="AA358" s="179">
        <f t="shared" si="142"/>
        <v>0</v>
      </c>
      <c r="AB358" s="179">
        <f t="shared" si="143"/>
        <v>0</v>
      </c>
      <c r="AC358" s="180">
        <f t="shared" si="150"/>
        <v>0</v>
      </c>
      <c r="AD358" s="156">
        <f t="shared" si="144"/>
        <v>0</v>
      </c>
      <c r="AE358" s="146">
        <f>IFERROR(INDEX(Työkonekanta!$L$3:$L$30,MATCH($A358,Työkonekanta!$A$3:$A$30,0),1),0)*AF358</f>
        <v>0</v>
      </c>
      <c r="AF358" s="146">
        <f>IFERROR(INDEX(Työkonekanta!$N$3:$N$32,MATCH($A358,Työkonekanta!$A$3:$A$32,0),1),0)</f>
        <v>0</v>
      </c>
      <c r="AG358" s="332">
        <f>I358*INDEX(Muuttujat!$U$5:$U$21,MATCH($C358,Muuttujat!$N$5:$N$21,0),1)</f>
        <v>0</v>
      </c>
      <c r="AH358" s="332">
        <f>J358*INDEX(Muuttujat!$T$5:$T$21,MATCH($C358,Muuttujat!$N$5:$N$21,0),1)</f>
        <v>0</v>
      </c>
      <c r="AI358" s="332">
        <f t="shared" si="132"/>
        <v>0</v>
      </c>
      <c r="AJ358" s="332">
        <f t="shared" si="133"/>
        <v>0</v>
      </c>
      <c r="AK358" s="333">
        <f t="shared" si="145"/>
        <v>0</v>
      </c>
      <c r="AL358" s="332">
        <f t="shared" si="134"/>
        <v>0</v>
      </c>
      <c r="AM358" s="351"/>
      <c r="AN358" s="351"/>
    </row>
    <row r="359" spans="1:40">
      <c r="A359" s="139">
        <v>27</v>
      </c>
      <c r="B359" s="139">
        <f>IFERROR(IF((INDEX(Työkonekanta!$F$3:$F$27,MATCH('S3 Tiekartta'!$A359,Työkonekanta!$A$3:$A$24,0),1))&lt;0,0,(INDEX(Työkonekanta!$F$3:$F$27,MATCH('S3 Tiekartta'!$A359,Työkonekanta!$A$3:$A$24,0),1))),0)</f>
        <v>0</v>
      </c>
      <c r="C359" s="140">
        <v>2030</v>
      </c>
      <c r="D359" s="141" t="str">
        <f>IFERROR(INDEX(Työkonekanta!$D$3:$D$27,MATCH('S3 Tiekartta'!$A359,Työkonekanta!$A$3:$A$24,0),1),"undefined")</f>
        <v>undefined</v>
      </c>
      <c r="E359" s="145">
        <f>IFERROR(INDEX(Työkonekanta!$G$3:$G$27,MATCH($A359,Työkonekanta!$A$3:$A$24,0),1)*INDEX(Työkonekanta!$H$3:$H$27,MATCH($A359,Työkonekanta!$A$3:$A$24,0),1)*(1+s0b_kasvu*($C359-2019))*$B359,0)</f>
        <v>0</v>
      </c>
      <c r="F359" s="145">
        <f t="shared" si="126"/>
        <v>0</v>
      </c>
      <c r="G359" s="151">
        <f t="shared" si="135"/>
        <v>0</v>
      </c>
      <c r="H359" s="145">
        <f t="shared" si="136"/>
        <v>0</v>
      </c>
      <c r="I359" s="145">
        <f t="shared" si="127"/>
        <v>0</v>
      </c>
      <c r="J359" s="145">
        <f t="shared" si="128"/>
        <v>0</v>
      </c>
      <c r="K359" s="142" t="str">
        <f t="shared" si="137"/>
        <v>undefined</v>
      </c>
      <c r="L359" s="146">
        <f>IFERROR(INDEX(Työkonekanta!$I$3:$I$27,MATCH('S3 Tiekartta'!$A359,Työkonekanta!$A$3:$A$24,0),1)*(I359+J359)*f_adblue,0)</f>
        <v>0</v>
      </c>
      <c r="M359" s="146">
        <f t="shared" si="146"/>
        <v>0</v>
      </c>
      <c r="N359" s="143" t="str">
        <f>IF(tuulisähkö_vuosi&lt;='S3 Tiekartta'!C359,"tuulisähkö",ostosähkö_nyt)</f>
        <v>jäännössähkö</v>
      </c>
      <c r="O359" s="147">
        <f>INDEX(Muuttujat!$J$5:$J$21,MATCH($C359,Muuttujat!$H$5:$H$21,0),1)</f>
        <v>61.999687056709845</v>
      </c>
      <c r="P359" s="148">
        <f t="shared" si="138"/>
        <v>0.75076940709999995</v>
      </c>
      <c r="Q359" s="148">
        <f t="shared" si="139"/>
        <v>0.24923059289999999</v>
      </c>
      <c r="R359" s="148">
        <f t="shared" si="140"/>
        <v>0.24923059289999999</v>
      </c>
      <c r="S359" s="149">
        <f t="shared" si="129"/>
        <v>0</v>
      </c>
      <c r="T359" s="150">
        <f t="shared" si="130"/>
        <v>0</v>
      </c>
      <c r="U359" s="150">
        <f t="shared" si="131"/>
        <v>0</v>
      </c>
      <c r="V359" s="150">
        <f>IFERROR(INDEX(Työkonekanta!$J$3:$J$27,MATCH($A359,Työkonekanta!$A$3:$A$24,0),1)*$B359*ef_li_ion_akku/1000/1000/INDEX(Työkonekanta!$K$3:$K$27,MATCH($A359,Työkonekanta!$A$3:$A$24,0)),0)</f>
        <v>0</v>
      </c>
      <c r="W359" s="149">
        <f t="shared" si="147"/>
        <v>0</v>
      </c>
      <c r="X359" s="150">
        <f t="shared" si="148"/>
        <v>0</v>
      </c>
      <c r="Y359" s="151">
        <f t="shared" si="149"/>
        <v>0</v>
      </c>
      <c r="Z359" s="152">
        <f t="shared" si="141"/>
        <v>0</v>
      </c>
      <c r="AA359" s="179">
        <f t="shared" si="142"/>
        <v>0</v>
      </c>
      <c r="AB359" s="179">
        <f t="shared" si="143"/>
        <v>0</v>
      </c>
      <c r="AC359" s="180">
        <f t="shared" si="150"/>
        <v>0</v>
      </c>
      <c r="AD359" s="156">
        <f t="shared" si="144"/>
        <v>0</v>
      </c>
      <c r="AE359" s="146">
        <f>IFERROR(INDEX(Työkonekanta!$L$3:$L$30,MATCH($A359,Työkonekanta!$A$3:$A$30,0),1),0)*AF359</f>
        <v>0</v>
      </c>
      <c r="AF359" s="146">
        <f>IFERROR(INDEX(Työkonekanta!$N$3:$N$32,MATCH($A359,Työkonekanta!$A$3:$A$32,0),1),0)</f>
        <v>0</v>
      </c>
      <c r="AG359" s="332">
        <f>I359*INDEX(Muuttujat!$U$5:$U$21,MATCH($C359,Muuttujat!$N$5:$N$21,0),1)</f>
        <v>0</v>
      </c>
      <c r="AH359" s="332">
        <f>J359*INDEX(Muuttujat!$T$5:$T$21,MATCH($C359,Muuttujat!$N$5:$N$21,0),1)</f>
        <v>0</v>
      </c>
      <c r="AI359" s="332">
        <f t="shared" si="132"/>
        <v>0</v>
      </c>
      <c r="AJ359" s="332">
        <f t="shared" si="133"/>
        <v>0</v>
      </c>
      <c r="AK359" s="333">
        <f t="shared" si="145"/>
        <v>0</v>
      </c>
      <c r="AL359" s="332">
        <f t="shared" si="134"/>
        <v>0</v>
      </c>
      <c r="AM359" s="351"/>
      <c r="AN359" s="351"/>
    </row>
    <row r="360" spans="1:40">
      <c r="A360" s="139">
        <v>28</v>
      </c>
      <c r="B360" s="139">
        <f>IFERROR(IF((INDEX(Työkonekanta!$F$3:$F$27,MATCH('S3 Tiekartta'!$A360,Työkonekanta!$A$3:$A$24,0),1))&lt;0,0,(INDEX(Työkonekanta!$F$3:$F$27,MATCH('S3 Tiekartta'!$A360,Työkonekanta!$A$3:$A$24,0),1))),0)</f>
        <v>0</v>
      </c>
      <c r="C360" s="140">
        <v>2030</v>
      </c>
      <c r="D360" s="141" t="str">
        <f>IFERROR(INDEX(Työkonekanta!$D$3:$D$27,MATCH('S3 Tiekartta'!$A360,Työkonekanta!$A$3:$A$24,0),1),"undefined")</f>
        <v>undefined</v>
      </c>
      <c r="E360" s="145">
        <f>IFERROR(INDEX(Työkonekanta!$G$3:$G$27,MATCH($A360,Työkonekanta!$A$3:$A$24,0),1)*INDEX(Työkonekanta!$H$3:$H$27,MATCH($A360,Työkonekanta!$A$3:$A$24,0),1)*(1+s0b_kasvu*($C360-2019))*$B360,0)</f>
        <v>0</v>
      </c>
      <c r="F360" s="145">
        <f t="shared" si="126"/>
        <v>0</v>
      </c>
      <c r="G360" s="151">
        <f t="shared" si="135"/>
        <v>0</v>
      </c>
      <c r="H360" s="145">
        <f t="shared" si="136"/>
        <v>0</v>
      </c>
      <c r="I360" s="145">
        <f t="shared" si="127"/>
        <v>0</v>
      </c>
      <c r="J360" s="145">
        <f t="shared" si="128"/>
        <v>0</v>
      </c>
      <c r="K360" s="142" t="str">
        <f t="shared" si="137"/>
        <v>undefined</v>
      </c>
      <c r="L360" s="146">
        <f>IFERROR(INDEX(Työkonekanta!$I$3:$I$27,MATCH('S3 Tiekartta'!$A360,Työkonekanta!$A$3:$A$24,0),1)*(I360+J360)*f_adblue,0)</f>
        <v>0</v>
      </c>
      <c r="M360" s="146">
        <f t="shared" si="146"/>
        <v>0</v>
      </c>
      <c r="N360" s="143" t="str">
        <f>IF(tuulisähkö_vuosi&lt;='S3 Tiekartta'!C360,"tuulisähkö",ostosähkö_nyt)</f>
        <v>jäännössähkö</v>
      </c>
      <c r="O360" s="147">
        <f>INDEX(Muuttujat!$J$5:$J$21,MATCH($C360,Muuttujat!$H$5:$H$21,0),1)</f>
        <v>61.999687056709845</v>
      </c>
      <c r="P360" s="148">
        <f t="shared" si="138"/>
        <v>0.75076940709999995</v>
      </c>
      <c r="Q360" s="148">
        <f t="shared" si="139"/>
        <v>0.24923059289999999</v>
      </c>
      <c r="R360" s="148">
        <f t="shared" si="140"/>
        <v>0.24923059289999999</v>
      </c>
      <c r="S360" s="149">
        <f t="shared" si="129"/>
        <v>0</v>
      </c>
      <c r="T360" s="150">
        <f t="shared" si="130"/>
        <v>0</v>
      </c>
      <c r="U360" s="150">
        <f t="shared" si="131"/>
        <v>0</v>
      </c>
      <c r="V360" s="150">
        <f>IFERROR(INDEX(Työkonekanta!$J$3:$J$27,MATCH($A360,Työkonekanta!$A$3:$A$24,0),1)*$B360*ef_li_ion_akku/1000/1000/INDEX(Työkonekanta!$K$3:$K$27,MATCH($A360,Työkonekanta!$A$3:$A$24,0)),0)</f>
        <v>0</v>
      </c>
      <c r="W360" s="149">
        <f t="shared" si="147"/>
        <v>0</v>
      </c>
      <c r="X360" s="150">
        <f t="shared" si="148"/>
        <v>0</v>
      </c>
      <c r="Y360" s="151">
        <f t="shared" si="149"/>
        <v>0</v>
      </c>
      <c r="Z360" s="152">
        <f t="shared" si="141"/>
        <v>0</v>
      </c>
      <c r="AA360" s="179">
        <f t="shared" si="142"/>
        <v>0</v>
      </c>
      <c r="AB360" s="179">
        <f t="shared" si="143"/>
        <v>0</v>
      </c>
      <c r="AC360" s="180">
        <f t="shared" si="150"/>
        <v>0</v>
      </c>
      <c r="AD360" s="156">
        <f t="shared" si="144"/>
        <v>0</v>
      </c>
      <c r="AE360" s="146">
        <f>IFERROR(INDEX(Työkonekanta!$L$3:$L$30,MATCH($A360,Työkonekanta!$A$3:$A$30,0),1),0)*AF360</f>
        <v>0</v>
      </c>
      <c r="AF360" s="146">
        <f>IFERROR(INDEX(Työkonekanta!$N$3:$N$32,MATCH($A360,Työkonekanta!$A$3:$A$32,0),1),0)</f>
        <v>0</v>
      </c>
      <c r="AG360" s="332">
        <f>I360*INDEX(Muuttujat!$U$5:$U$21,MATCH($C360,Muuttujat!$N$5:$N$21,0),1)</f>
        <v>0</v>
      </c>
      <c r="AH360" s="332">
        <f>J360*INDEX(Muuttujat!$T$5:$T$21,MATCH($C360,Muuttujat!$N$5:$N$21,0),1)</f>
        <v>0</v>
      </c>
      <c r="AI360" s="332">
        <f t="shared" si="132"/>
        <v>0</v>
      </c>
      <c r="AJ360" s="332">
        <f t="shared" si="133"/>
        <v>0</v>
      </c>
      <c r="AK360" s="333">
        <f t="shared" si="145"/>
        <v>0</v>
      </c>
      <c r="AL360" s="332">
        <f t="shared" si="134"/>
        <v>0</v>
      </c>
      <c r="AM360" s="351"/>
      <c r="AN360" s="351"/>
    </row>
    <row r="361" spans="1:40">
      <c r="A361" s="139">
        <v>29</v>
      </c>
      <c r="B361" s="139">
        <f>IFERROR(IF((INDEX(Työkonekanta!$F$3:$F$27,MATCH('S3 Tiekartta'!$A361,Työkonekanta!$A$3:$A$24,0),1))&lt;0,0,(INDEX(Työkonekanta!$F$3:$F$27,MATCH('S3 Tiekartta'!$A361,Työkonekanta!$A$3:$A$24,0),1))),0)</f>
        <v>0</v>
      </c>
      <c r="C361" s="140">
        <v>2030</v>
      </c>
      <c r="D361" s="141" t="str">
        <f>IFERROR(INDEX(Työkonekanta!$D$3:$D$27,MATCH('S3 Tiekartta'!$A361,Työkonekanta!$A$3:$A$24,0),1),"undefined")</f>
        <v>undefined</v>
      </c>
      <c r="E361" s="145">
        <f>IFERROR(INDEX(Työkonekanta!$G$3:$G$27,MATCH($A361,Työkonekanta!$A$3:$A$24,0),1)*INDEX(Työkonekanta!$H$3:$H$27,MATCH($A361,Työkonekanta!$A$3:$A$24,0),1)*(1+s0b_kasvu*($C361-2019))*$B361,0)</f>
        <v>0</v>
      </c>
      <c r="F361" s="145">
        <f t="shared" si="126"/>
        <v>0</v>
      </c>
      <c r="G361" s="151">
        <f t="shared" si="135"/>
        <v>0</v>
      </c>
      <c r="H361" s="145">
        <f t="shared" si="136"/>
        <v>0</v>
      </c>
      <c r="I361" s="145">
        <f t="shared" si="127"/>
        <v>0</v>
      </c>
      <c r="J361" s="145">
        <f t="shared" si="128"/>
        <v>0</v>
      </c>
      <c r="K361" s="142" t="str">
        <f t="shared" si="137"/>
        <v>undefined</v>
      </c>
      <c r="L361" s="146">
        <f>IFERROR(INDEX(Työkonekanta!$I$3:$I$27,MATCH('S3 Tiekartta'!$A361,Työkonekanta!$A$3:$A$24,0),1)*(I361+J361)*f_adblue,0)</f>
        <v>0</v>
      </c>
      <c r="M361" s="146">
        <f t="shared" si="146"/>
        <v>0</v>
      </c>
      <c r="N361" s="143" t="str">
        <f>IF(tuulisähkö_vuosi&lt;='S3 Tiekartta'!C361,"tuulisähkö",ostosähkö_nyt)</f>
        <v>jäännössähkö</v>
      </c>
      <c r="O361" s="147">
        <f>INDEX(Muuttujat!$J$5:$J$21,MATCH($C361,Muuttujat!$H$5:$H$21,0),1)</f>
        <v>61.999687056709845</v>
      </c>
      <c r="P361" s="148">
        <f t="shared" si="138"/>
        <v>0.75076940709999995</v>
      </c>
      <c r="Q361" s="148">
        <f t="shared" si="139"/>
        <v>0.24923059289999999</v>
      </c>
      <c r="R361" s="148">
        <f t="shared" si="140"/>
        <v>0.24923059289999999</v>
      </c>
      <c r="S361" s="149">
        <f t="shared" si="129"/>
        <v>0</v>
      </c>
      <c r="T361" s="150">
        <f t="shared" si="130"/>
        <v>0</v>
      </c>
      <c r="U361" s="150">
        <f t="shared" si="131"/>
        <v>0</v>
      </c>
      <c r="V361" s="150">
        <f>IFERROR(INDEX(Työkonekanta!$J$3:$J$27,MATCH($A361,Työkonekanta!$A$3:$A$24,0),1)*$B361*ef_li_ion_akku/1000/1000/INDEX(Työkonekanta!$K$3:$K$27,MATCH($A361,Työkonekanta!$A$3:$A$24,0)),0)</f>
        <v>0</v>
      </c>
      <c r="W361" s="149">
        <f t="shared" si="147"/>
        <v>0</v>
      </c>
      <c r="X361" s="150">
        <f t="shared" si="148"/>
        <v>0</v>
      </c>
      <c r="Y361" s="151">
        <f t="shared" si="149"/>
        <v>0</v>
      </c>
      <c r="Z361" s="152">
        <f t="shared" si="141"/>
        <v>0</v>
      </c>
      <c r="AA361" s="179">
        <f t="shared" si="142"/>
        <v>0</v>
      </c>
      <c r="AB361" s="179">
        <f t="shared" si="143"/>
        <v>0</v>
      </c>
      <c r="AC361" s="180">
        <f t="shared" si="150"/>
        <v>0</v>
      </c>
      <c r="AD361" s="156">
        <f t="shared" si="144"/>
        <v>0</v>
      </c>
      <c r="AE361" s="146">
        <f>IFERROR(INDEX(Työkonekanta!$L$3:$L$30,MATCH($A361,Työkonekanta!$A$3:$A$30,0),1),0)*AF361</f>
        <v>0</v>
      </c>
      <c r="AF361" s="146">
        <f>IFERROR(INDEX(Työkonekanta!$N$3:$N$32,MATCH($A361,Työkonekanta!$A$3:$A$32,0),1),0)</f>
        <v>0</v>
      </c>
      <c r="AG361" s="332">
        <f>I361*INDEX(Muuttujat!$U$5:$U$21,MATCH($C361,Muuttujat!$N$5:$N$21,0),1)</f>
        <v>0</v>
      </c>
      <c r="AH361" s="332">
        <f>J361*INDEX(Muuttujat!$T$5:$T$21,MATCH($C361,Muuttujat!$N$5:$N$21,0),1)</f>
        <v>0</v>
      </c>
      <c r="AI361" s="332">
        <f t="shared" si="132"/>
        <v>0</v>
      </c>
      <c r="AJ361" s="332">
        <f t="shared" si="133"/>
        <v>0</v>
      </c>
      <c r="AK361" s="333">
        <f t="shared" si="145"/>
        <v>0</v>
      </c>
      <c r="AL361" s="332">
        <f t="shared" si="134"/>
        <v>0</v>
      </c>
      <c r="AM361" s="351"/>
      <c r="AN361" s="351"/>
    </row>
    <row r="362" spans="1:40">
      <c r="A362" s="139">
        <v>30</v>
      </c>
      <c r="B362" s="139">
        <f>IFERROR(IF((INDEX(Työkonekanta!$F$3:$F$27,MATCH('S3 Tiekartta'!$A362,Työkonekanta!$A$3:$A$24,0),1))&lt;0,0,(INDEX(Työkonekanta!$F$3:$F$27,MATCH('S3 Tiekartta'!$A362,Työkonekanta!$A$3:$A$24,0),1))),0)</f>
        <v>0</v>
      </c>
      <c r="C362" s="140">
        <v>2030</v>
      </c>
      <c r="D362" s="141" t="str">
        <f>IFERROR(INDEX(Työkonekanta!$D$3:$D$27,MATCH('S3 Tiekartta'!$A362,Työkonekanta!$A$3:$A$24,0),1),"undefined")</f>
        <v>undefined</v>
      </c>
      <c r="E362" s="145">
        <f>IFERROR(INDEX(Työkonekanta!$G$3:$G$27,MATCH($A362,Työkonekanta!$A$3:$A$24,0),1)*INDEX(Työkonekanta!$H$3:$H$27,MATCH($A362,Työkonekanta!$A$3:$A$24,0),1)*(1+s0b_kasvu*($C362-2019))*$B362,0)</f>
        <v>0</v>
      </c>
      <c r="F362" s="145">
        <f t="shared" si="126"/>
        <v>0</v>
      </c>
      <c r="G362" s="151">
        <f t="shared" si="135"/>
        <v>0</v>
      </c>
      <c r="H362" s="145">
        <f t="shared" si="136"/>
        <v>0</v>
      </c>
      <c r="I362" s="145">
        <f t="shared" si="127"/>
        <v>0</v>
      </c>
      <c r="J362" s="145">
        <f t="shared" si="128"/>
        <v>0</v>
      </c>
      <c r="K362" s="142" t="str">
        <f t="shared" si="137"/>
        <v>undefined</v>
      </c>
      <c r="L362" s="146">
        <f>IFERROR(INDEX(Työkonekanta!$I$3:$I$27,MATCH('S3 Tiekartta'!$A362,Työkonekanta!$A$3:$A$24,0),1)*(I362+J362)*f_adblue,0)</f>
        <v>0</v>
      </c>
      <c r="M362" s="146">
        <f t="shared" si="146"/>
        <v>0</v>
      </c>
      <c r="N362" s="143" t="str">
        <f>IF(tuulisähkö_vuosi&lt;='S3 Tiekartta'!C362,"tuulisähkö",ostosähkö_nyt)</f>
        <v>jäännössähkö</v>
      </c>
      <c r="O362" s="147">
        <f>INDEX(Muuttujat!$J$5:$J$21,MATCH($C362,Muuttujat!$H$5:$H$21,0),1)</f>
        <v>61.999687056709845</v>
      </c>
      <c r="P362" s="148">
        <f t="shared" si="138"/>
        <v>0.75076940709999995</v>
      </c>
      <c r="Q362" s="148">
        <f t="shared" si="139"/>
        <v>0.24923059289999999</v>
      </c>
      <c r="R362" s="148">
        <f t="shared" si="140"/>
        <v>0.24923059289999999</v>
      </c>
      <c r="S362" s="149">
        <f t="shared" si="129"/>
        <v>0</v>
      </c>
      <c r="T362" s="150">
        <f t="shared" si="130"/>
        <v>0</v>
      </c>
      <c r="U362" s="150">
        <f t="shared" si="131"/>
        <v>0</v>
      </c>
      <c r="V362" s="150">
        <f>IFERROR(INDEX(Työkonekanta!$J$3:$J$27,MATCH($A362,Työkonekanta!$A$3:$A$24,0),1)*$B362*ef_li_ion_akku/1000/1000/INDEX(Työkonekanta!$K$3:$K$27,MATCH($A362,Työkonekanta!$A$3:$A$24,0)),0)</f>
        <v>0</v>
      </c>
      <c r="W362" s="149">
        <f t="shared" si="147"/>
        <v>0</v>
      </c>
      <c r="X362" s="150">
        <f t="shared" si="148"/>
        <v>0</v>
      </c>
      <c r="Y362" s="151">
        <f t="shared" si="149"/>
        <v>0</v>
      </c>
      <c r="Z362" s="152">
        <f t="shared" si="141"/>
        <v>0</v>
      </c>
      <c r="AA362" s="179">
        <f t="shared" si="142"/>
        <v>0</v>
      </c>
      <c r="AB362" s="179">
        <f t="shared" si="143"/>
        <v>0</v>
      </c>
      <c r="AC362" s="180">
        <f t="shared" si="150"/>
        <v>0</v>
      </c>
      <c r="AD362" s="156">
        <f t="shared" si="144"/>
        <v>0</v>
      </c>
      <c r="AE362" s="146">
        <f>IFERROR(INDEX(Työkonekanta!$L$3:$L$30,MATCH($A362,Työkonekanta!$A$3:$A$30,0),1),0)*AF362</f>
        <v>0</v>
      </c>
      <c r="AF362" s="146">
        <f>IFERROR(INDEX(Työkonekanta!$N$3:$N$32,MATCH($A362,Työkonekanta!$A$3:$A$32,0),1),0)</f>
        <v>0</v>
      </c>
      <c r="AG362" s="332">
        <f>I362*INDEX(Muuttujat!$U$5:$U$21,MATCH($C362,Muuttujat!$N$5:$N$21,0),1)</f>
        <v>0</v>
      </c>
      <c r="AH362" s="332">
        <f>J362*INDEX(Muuttujat!$T$5:$T$21,MATCH($C362,Muuttujat!$N$5:$N$21,0),1)</f>
        <v>0</v>
      </c>
      <c r="AI362" s="332">
        <f t="shared" si="132"/>
        <v>0</v>
      </c>
      <c r="AJ362" s="332">
        <f t="shared" si="133"/>
        <v>0</v>
      </c>
      <c r="AK362" s="333">
        <f t="shared" si="145"/>
        <v>0</v>
      </c>
      <c r="AL362" s="332">
        <f t="shared" si="134"/>
        <v>0</v>
      </c>
      <c r="AM362" s="351"/>
      <c r="AN362" s="351"/>
    </row>
    <row r="363" spans="1:40">
      <c r="A363" s="139">
        <v>1</v>
      </c>
      <c r="B363" s="139">
        <f>IFERROR(IF((INDEX(Työkonekanta!$F$3:$F$27,MATCH('S3 Tiekartta'!$A363,Työkonekanta!$A$3:$A$24,0),1))&lt;0,0,(INDEX(Työkonekanta!$F$3:$F$27,MATCH('S3 Tiekartta'!$A363,Työkonekanta!$A$3:$A$24,0),1))),0)</f>
        <v>1</v>
      </c>
      <c r="C363" s="140">
        <v>2031</v>
      </c>
      <c r="D363" s="141" t="str">
        <f>IFERROR(INDEX(Työkonekanta!$D$3:$D$27,MATCH('S3 Tiekartta'!$A363,Työkonekanta!$A$3:$A$24,0),1),"undefined")</f>
        <v>pom</v>
      </c>
      <c r="E363" s="145">
        <f>IFERROR(INDEX(Työkonekanta!$G$3:$G$27,MATCH($A363,Työkonekanta!$A$3:$A$24,0),1)*INDEX(Työkonekanta!$H$3:$H$27,MATCH($A363,Työkonekanta!$A$3:$A$24,0),1)*(1+s0b_kasvu*($C363-2019))*$B363,0)</f>
        <v>11200.000000000002</v>
      </c>
      <c r="F363" s="145">
        <f t="shared" si="126"/>
        <v>402080.00000000006</v>
      </c>
      <c r="G363" s="151">
        <f t="shared" si="135"/>
        <v>272808.27853673074</v>
      </c>
      <c r="H363" s="145">
        <f t="shared" si="136"/>
        <v>129271.72146326931</v>
      </c>
      <c r="I363" s="145">
        <f t="shared" si="127"/>
        <v>7599.1163937808005</v>
      </c>
      <c r="J363" s="145">
        <f t="shared" si="128"/>
        <v>3768.8548531565398</v>
      </c>
      <c r="K363" s="142" t="str">
        <f t="shared" si="137"/>
        <v>l</v>
      </c>
      <c r="L363" s="146">
        <f>IFERROR(INDEX(Työkonekanta!$I$3:$I$27,MATCH('S3 Tiekartta'!$A363,Työkonekanta!$A$3:$A$24,0),1)*(I363+J363)*f_adblue,0)</f>
        <v>568.39856234686704</v>
      </c>
      <c r="M363" s="146">
        <f t="shared" si="146"/>
        <v>0</v>
      </c>
      <c r="N363" s="143" t="str">
        <f>IF(tuulisähkö_vuosi&lt;='S3 Tiekartta'!C363,"tuulisähkö",ostosähkö_nyt)</f>
        <v>jäännössähkö</v>
      </c>
      <c r="O363" s="147">
        <f>INDEX(Muuttujat!$J$5:$J$21,MATCH($C363,Muuttujat!$H$5:$H$21,0),1)</f>
        <v>61.379690186142746</v>
      </c>
      <c r="P363" s="148">
        <f t="shared" si="138"/>
        <v>0.67849253515899999</v>
      </c>
      <c r="Q363" s="148">
        <f t="shared" si="139"/>
        <v>0.32150746484100001</v>
      </c>
      <c r="R363" s="148">
        <f t="shared" si="140"/>
        <v>0.32150746484100001</v>
      </c>
      <c r="S363" s="149">
        <f t="shared" si="129"/>
        <v>5.1560764643442107</v>
      </c>
      <c r="T363" s="150">
        <f t="shared" si="130"/>
        <v>8.0665554193080045</v>
      </c>
      <c r="U363" s="150">
        <f t="shared" si="131"/>
        <v>0</v>
      </c>
      <c r="V363" s="150">
        <f>IFERROR(INDEX(Työkonekanta!$J$3:$J$27,MATCH($A363,Työkonekanta!$A$3:$A$24,0),1)*$B363*ef_li_ion_akku/1000/1000/INDEX(Työkonekanta!$K$3:$K$27,MATCH($A363,Työkonekanta!$A$3:$A$24,0)),0)</f>
        <v>0</v>
      </c>
      <c r="W363" s="149">
        <f t="shared" si="147"/>
        <v>20.135502791532932</v>
      </c>
      <c r="X363" s="150">
        <f t="shared" si="148"/>
        <v>0.35587513920000002</v>
      </c>
      <c r="Y363" s="151">
        <f t="shared" si="149"/>
        <v>0.14778362621018545</v>
      </c>
      <c r="Z363" s="152">
        <f t="shared" si="141"/>
        <v>13.222631883652216</v>
      </c>
      <c r="AA363" s="179">
        <f t="shared" si="142"/>
        <v>20.283286417743117</v>
      </c>
      <c r="AB363" s="179">
        <f t="shared" si="143"/>
        <v>20.639161556943115</v>
      </c>
      <c r="AC363" s="180">
        <f t="shared" si="150"/>
        <v>33.505918301395333</v>
      </c>
      <c r="AD363" s="156">
        <f t="shared" si="144"/>
        <v>33.861793440595335</v>
      </c>
      <c r="AE363" s="146">
        <f>IFERROR(INDEX(Työkonekanta!$L$3:$L$30,MATCH($A363,Työkonekanta!$A$3:$A$30,0),1),0)*AF363</f>
        <v>500000</v>
      </c>
      <c r="AF363" s="146">
        <f>IFERROR(INDEX(Työkonekanta!$N$3:$N$32,MATCH($A363,Työkonekanta!$A$3:$A$32,0),1),0)</f>
        <v>1</v>
      </c>
      <c r="AG363" s="332">
        <f>I363*INDEX(Muuttujat!$U$5:$U$21,MATCH($C363,Muuttujat!$N$5:$N$21,0),1)</f>
        <v>7979.0722134698408</v>
      </c>
      <c r="AH363" s="332">
        <f>J363*INDEX(Muuttujat!$T$5:$T$21,MATCH($C363,Muuttujat!$N$5:$N$21,0),1)</f>
        <v>5464.8395370769831</v>
      </c>
      <c r="AI363" s="332">
        <f t="shared" si="132"/>
        <v>284.19928117343352</v>
      </c>
      <c r="AJ363" s="332">
        <f t="shared" si="133"/>
        <v>0</v>
      </c>
      <c r="AK363" s="333">
        <f t="shared" si="145"/>
        <v>13728.111031720258</v>
      </c>
      <c r="AL363" s="332">
        <f t="shared" si="134"/>
        <v>13728.111031720258</v>
      </c>
      <c r="AM363" s="351"/>
      <c r="AN363" s="351"/>
    </row>
    <row r="364" spans="1:40">
      <c r="A364" s="139">
        <v>2</v>
      </c>
      <c r="B364" s="139">
        <f>IFERROR(IF((INDEX(Työkonekanta!$F$3:$F$27,MATCH('S3 Tiekartta'!$A364,Työkonekanta!$A$3:$A$24,0),1))&lt;0,0,(INDEX(Työkonekanta!$F$3:$F$27,MATCH('S3 Tiekartta'!$A364,Työkonekanta!$A$3:$A$24,0),1))),0)</f>
        <v>1</v>
      </c>
      <c r="C364" s="140">
        <v>2031</v>
      </c>
      <c r="D364" s="141" t="str">
        <f>IFERROR(INDEX(Työkonekanta!$D$3:$D$27,MATCH('S3 Tiekartta'!$A364,Työkonekanta!$A$3:$A$24,0),1),"undefined")</f>
        <v>pom</v>
      </c>
      <c r="E364" s="145">
        <f>IFERROR(INDEX(Työkonekanta!$G$3:$G$27,MATCH($A364,Työkonekanta!$A$3:$A$24,0),1)*INDEX(Työkonekanta!$H$3:$H$27,MATCH($A364,Työkonekanta!$A$3:$A$24,0),1)*(1+s0b_kasvu*($C364-2019))*$B364,0)</f>
        <v>11200.000000000002</v>
      </c>
      <c r="F364" s="145">
        <f t="shared" si="126"/>
        <v>402080.00000000006</v>
      </c>
      <c r="G364" s="151">
        <f t="shared" si="135"/>
        <v>272808.27853673074</v>
      </c>
      <c r="H364" s="145">
        <f t="shared" si="136"/>
        <v>129271.72146326931</v>
      </c>
      <c r="I364" s="145">
        <f t="shared" si="127"/>
        <v>7599.1163937808005</v>
      </c>
      <c r="J364" s="145">
        <f t="shared" si="128"/>
        <v>3768.8548531565398</v>
      </c>
      <c r="K364" s="142" t="str">
        <f t="shared" si="137"/>
        <v>l</v>
      </c>
      <c r="L364" s="146">
        <f>IFERROR(INDEX(Työkonekanta!$I$3:$I$27,MATCH('S3 Tiekartta'!$A364,Työkonekanta!$A$3:$A$24,0),1)*(I364+J364)*f_adblue,0)</f>
        <v>568.39856234686704</v>
      </c>
      <c r="M364" s="146">
        <f t="shared" si="146"/>
        <v>0</v>
      </c>
      <c r="N364" s="143" t="str">
        <f>IF(tuulisähkö_vuosi&lt;='S3 Tiekartta'!C364,"tuulisähkö",ostosähkö_nyt)</f>
        <v>jäännössähkö</v>
      </c>
      <c r="O364" s="147">
        <f>INDEX(Muuttujat!$J$5:$J$21,MATCH($C364,Muuttujat!$H$5:$H$21,0),1)</f>
        <v>61.379690186142746</v>
      </c>
      <c r="P364" s="148">
        <f t="shared" si="138"/>
        <v>0.67849253515899999</v>
      </c>
      <c r="Q364" s="148">
        <f t="shared" si="139"/>
        <v>0.32150746484100001</v>
      </c>
      <c r="R364" s="148">
        <f t="shared" si="140"/>
        <v>0.32150746484100001</v>
      </c>
      <c r="S364" s="149">
        <f t="shared" si="129"/>
        <v>5.1560764643442107</v>
      </c>
      <c r="T364" s="150">
        <f t="shared" si="130"/>
        <v>8.0665554193080045</v>
      </c>
      <c r="U364" s="150">
        <f t="shared" si="131"/>
        <v>0</v>
      </c>
      <c r="V364" s="150">
        <f>IFERROR(INDEX(Työkonekanta!$J$3:$J$27,MATCH($A364,Työkonekanta!$A$3:$A$24,0),1)*$B364*ef_li_ion_akku/1000/1000/INDEX(Työkonekanta!$K$3:$K$27,MATCH($A364,Työkonekanta!$A$3:$A$24,0)),0)</f>
        <v>0</v>
      </c>
      <c r="W364" s="149">
        <f t="shared" si="147"/>
        <v>20.135502791532932</v>
      </c>
      <c r="X364" s="150">
        <f t="shared" si="148"/>
        <v>0.35587513920000002</v>
      </c>
      <c r="Y364" s="151">
        <f t="shared" si="149"/>
        <v>0.14778362621018545</v>
      </c>
      <c r="Z364" s="152">
        <f t="shared" si="141"/>
        <v>13.222631883652216</v>
      </c>
      <c r="AA364" s="179">
        <f t="shared" si="142"/>
        <v>20.283286417743117</v>
      </c>
      <c r="AB364" s="179">
        <f t="shared" si="143"/>
        <v>20.639161556943115</v>
      </c>
      <c r="AC364" s="180">
        <f t="shared" si="150"/>
        <v>33.505918301395333</v>
      </c>
      <c r="AD364" s="156">
        <f t="shared" si="144"/>
        <v>33.861793440595335</v>
      </c>
      <c r="AE364" s="146">
        <f>IFERROR(INDEX(Työkonekanta!$L$3:$L$30,MATCH($A364,Työkonekanta!$A$3:$A$30,0),1),0)*AF364</f>
        <v>500000</v>
      </c>
      <c r="AF364" s="146">
        <f>IFERROR(INDEX(Työkonekanta!$N$3:$N$32,MATCH($A364,Työkonekanta!$A$3:$A$32,0),1),0)</f>
        <v>1</v>
      </c>
      <c r="AG364" s="332">
        <f>I364*INDEX(Muuttujat!$U$5:$U$21,MATCH($C364,Muuttujat!$N$5:$N$21,0),1)</f>
        <v>7979.0722134698408</v>
      </c>
      <c r="AH364" s="332">
        <f>J364*INDEX(Muuttujat!$T$5:$T$21,MATCH($C364,Muuttujat!$N$5:$N$21,0),1)</f>
        <v>5464.8395370769831</v>
      </c>
      <c r="AI364" s="332">
        <f t="shared" si="132"/>
        <v>284.19928117343352</v>
      </c>
      <c r="AJ364" s="332">
        <f t="shared" si="133"/>
        <v>0</v>
      </c>
      <c r="AK364" s="333">
        <f t="shared" si="145"/>
        <v>13728.111031720258</v>
      </c>
      <c r="AL364" s="332">
        <f t="shared" si="134"/>
        <v>13728.111031720258</v>
      </c>
      <c r="AM364" s="351"/>
      <c r="AN364" s="351"/>
    </row>
    <row r="365" spans="1:40">
      <c r="A365" s="139">
        <v>3</v>
      </c>
      <c r="B365" s="139">
        <f>IFERROR(IF((INDEX(Työkonekanta!$F$3:$F$27,MATCH('S3 Tiekartta'!$A365,Työkonekanta!$A$3:$A$24,0),1))&lt;0,0,(INDEX(Työkonekanta!$F$3:$F$27,MATCH('S3 Tiekartta'!$A365,Työkonekanta!$A$3:$A$24,0),1))),0)</f>
        <v>1</v>
      </c>
      <c r="C365" s="140">
        <v>2031</v>
      </c>
      <c r="D365" s="141" t="str">
        <f>IFERROR(INDEX(Työkonekanta!$D$3:$D$27,MATCH('S3 Tiekartta'!$A365,Työkonekanta!$A$3:$A$24,0),1),"undefined")</f>
        <v>pom</v>
      </c>
      <c r="E365" s="145">
        <f>IFERROR(INDEX(Työkonekanta!$G$3:$G$27,MATCH($A365,Työkonekanta!$A$3:$A$24,0),1)*INDEX(Työkonekanta!$H$3:$H$27,MATCH($A365,Työkonekanta!$A$3:$A$24,0),1)*(1+s0b_kasvu*($C365-2019))*$B365,0)</f>
        <v>11200.000000000002</v>
      </c>
      <c r="F365" s="145">
        <f t="shared" si="126"/>
        <v>402080.00000000006</v>
      </c>
      <c r="G365" s="151">
        <f t="shared" si="135"/>
        <v>272808.27853673074</v>
      </c>
      <c r="H365" s="145">
        <f t="shared" si="136"/>
        <v>129271.72146326931</v>
      </c>
      <c r="I365" s="145">
        <f t="shared" si="127"/>
        <v>7599.1163937808005</v>
      </c>
      <c r="J365" s="145">
        <f t="shared" si="128"/>
        <v>3768.8548531565398</v>
      </c>
      <c r="K365" s="142" t="str">
        <f t="shared" si="137"/>
        <v>l</v>
      </c>
      <c r="L365" s="146">
        <f>IFERROR(INDEX(Työkonekanta!$I$3:$I$27,MATCH('S3 Tiekartta'!$A365,Työkonekanta!$A$3:$A$24,0),1)*(I365+J365)*f_adblue,0)</f>
        <v>568.39856234686704</v>
      </c>
      <c r="M365" s="146">
        <f t="shared" si="146"/>
        <v>0</v>
      </c>
      <c r="N365" s="143" t="str">
        <f>IF(tuulisähkö_vuosi&lt;='S3 Tiekartta'!C365,"tuulisähkö",ostosähkö_nyt)</f>
        <v>jäännössähkö</v>
      </c>
      <c r="O365" s="147">
        <f>INDEX(Muuttujat!$J$5:$J$21,MATCH($C365,Muuttujat!$H$5:$H$21,0),1)</f>
        <v>61.379690186142746</v>
      </c>
      <c r="P365" s="148">
        <f t="shared" si="138"/>
        <v>0.67849253515899999</v>
      </c>
      <c r="Q365" s="148">
        <f t="shared" si="139"/>
        <v>0.32150746484100001</v>
      </c>
      <c r="R365" s="148">
        <f t="shared" si="140"/>
        <v>0.32150746484100001</v>
      </c>
      <c r="S365" s="149">
        <f t="shared" si="129"/>
        <v>5.1560764643442107</v>
      </c>
      <c r="T365" s="150">
        <f t="shared" si="130"/>
        <v>8.0665554193080045</v>
      </c>
      <c r="U365" s="150">
        <f t="shared" si="131"/>
        <v>0</v>
      </c>
      <c r="V365" s="150">
        <f>IFERROR(INDEX(Työkonekanta!$J$3:$J$27,MATCH($A365,Työkonekanta!$A$3:$A$24,0),1)*$B365*ef_li_ion_akku/1000/1000/INDEX(Työkonekanta!$K$3:$K$27,MATCH($A365,Työkonekanta!$A$3:$A$24,0)),0)</f>
        <v>0</v>
      </c>
      <c r="W365" s="149">
        <f t="shared" si="147"/>
        <v>20.135502791532932</v>
      </c>
      <c r="X365" s="150">
        <f t="shared" si="148"/>
        <v>0.35587513920000002</v>
      </c>
      <c r="Y365" s="151">
        <f t="shared" si="149"/>
        <v>0.14778362621018545</v>
      </c>
      <c r="Z365" s="152">
        <f t="shared" si="141"/>
        <v>13.222631883652216</v>
      </c>
      <c r="AA365" s="179">
        <f t="shared" si="142"/>
        <v>20.283286417743117</v>
      </c>
      <c r="AB365" s="179">
        <f t="shared" si="143"/>
        <v>20.639161556943115</v>
      </c>
      <c r="AC365" s="180">
        <f t="shared" si="150"/>
        <v>33.505918301395333</v>
      </c>
      <c r="AD365" s="156">
        <f t="shared" si="144"/>
        <v>33.861793440595335</v>
      </c>
      <c r="AE365" s="146">
        <f>IFERROR(INDEX(Työkonekanta!$L$3:$L$30,MATCH($A365,Työkonekanta!$A$3:$A$30,0),1),0)*AF365</f>
        <v>0</v>
      </c>
      <c r="AF365" s="146">
        <f>IFERROR(INDEX(Työkonekanta!$N$3:$N$32,MATCH($A365,Työkonekanta!$A$3:$A$32,0),1),0)</f>
        <v>0</v>
      </c>
      <c r="AG365" s="332">
        <f>I365*INDEX(Muuttujat!$U$5:$U$21,MATCH($C365,Muuttujat!$N$5:$N$21,0),1)</f>
        <v>7979.0722134698408</v>
      </c>
      <c r="AH365" s="332">
        <f>J365*INDEX(Muuttujat!$T$5:$T$21,MATCH($C365,Muuttujat!$N$5:$N$21,0),1)</f>
        <v>5464.8395370769831</v>
      </c>
      <c r="AI365" s="332">
        <f t="shared" si="132"/>
        <v>284.19928117343352</v>
      </c>
      <c r="AJ365" s="332">
        <f t="shared" si="133"/>
        <v>0</v>
      </c>
      <c r="AK365" s="333">
        <f t="shared" si="145"/>
        <v>13728.111031720258</v>
      </c>
      <c r="AL365" s="332">
        <f t="shared" si="134"/>
        <v>13728.111031720258</v>
      </c>
      <c r="AM365" s="351"/>
      <c r="AN365" s="351"/>
    </row>
    <row r="366" spans="1:40">
      <c r="A366" s="139">
        <v>4</v>
      </c>
      <c r="B366" s="139">
        <f>IFERROR(IF((INDEX(Työkonekanta!$F$3:$F$27,MATCH('S3 Tiekartta'!$A366,Työkonekanta!$A$3:$A$24,0),1))&lt;0,0,(INDEX(Työkonekanta!$F$3:$F$27,MATCH('S3 Tiekartta'!$A366,Työkonekanta!$A$3:$A$24,0),1))),0)</f>
        <v>1</v>
      </c>
      <c r="C366" s="140">
        <v>2031</v>
      </c>
      <c r="D366" s="141" t="str">
        <f>IFERROR(INDEX(Työkonekanta!$D$3:$D$27,MATCH('S3 Tiekartta'!$A366,Työkonekanta!$A$3:$A$24,0),1),"undefined")</f>
        <v>pom</v>
      </c>
      <c r="E366" s="145">
        <f>IFERROR(INDEX(Työkonekanta!$G$3:$G$27,MATCH($A366,Työkonekanta!$A$3:$A$24,0),1)*INDEX(Työkonekanta!$H$3:$H$27,MATCH($A366,Työkonekanta!$A$3:$A$24,0),1)*(1+s0b_kasvu*($C366-2019))*$B366,0)</f>
        <v>11200.000000000002</v>
      </c>
      <c r="F366" s="145">
        <f t="shared" si="126"/>
        <v>402080.00000000006</v>
      </c>
      <c r="G366" s="151">
        <f t="shared" si="135"/>
        <v>272808.27853673074</v>
      </c>
      <c r="H366" s="145">
        <f t="shared" si="136"/>
        <v>129271.72146326931</v>
      </c>
      <c r="I366" s="145">
        <f t="shared" si="127"/>
        <v>7599.1163937808005</v>
      </c>
      <c r="J366" s="145">
        <f t="shared" si="128"/>
        <v>3768.8548531565398</v>
      </c>
      <c r="K366" s="142" t="str">
        <f t="shared" si="137"/>
        <v>l</v>
      </c>
      <c r="L366" s="146">
        <f>IFERROR(INDEX(Työkonekanta!$I$3:$I$27,MATCH('S3 Tiekartta'!$A366,Työkonekanta!$A$3:$A$24,0),1)*(I366+J366)*f_adblue,0)</f>
        <v>568.39856234686704</v>
      </c>
      <c r="M366" s="146">
        <f t="shared" si="146"/>
        <v>0</v>
      </c>
      <c r="N366" s="143" t="str">
        <f>IF(tuulisähkö_vuosi&lt;='S3 Tiekartta'!C366,"tuulisähkö",ostosähkö_nyt)</f>
        <v>jäännössähkö</v>
      </c>
      <c r="O366" s="147">
        <f>INDEX(Muuttujat!$J$5:$J$21,MATCH($C366,Muuttujat!$H$5:$H$21,0),1)</f>
        <v>61.379690186142746</v>
      </c>
      <c r="P366" s="148">
        <f t="shared" si="138"/>
        <v>0.67849253515899999</v>
      </c>
      <c r="Q366" s="148">
        <f t="shared" si="139"/>
        <v>0.32150746484100001</v>
      </c>
      <c r="R366" s="148">
        <f t="shared" si="140"/>
        <v>0.32150746484100001</v>
      </c>
      <c r="S366" s="149">
        <f t="shared" si="129"/>
        <v>5.1560764643442107</v>
      </c>
      <c r="T366" s="150">
        <f t="shared" si="130"/>
        <v>8.0665554193080045</v>
      </c>
      <c r="U366" s="150">
        <f t="shared" si="131"/>
        <v>0</v>
      </c>
      <c r="V366" s="150">
        <f>IFERROR(INDEX(Työkonekanta!$J$3:$J$27,MATCH($A366,Työkonekanta!$A$3:$A$24,0),1)*$B366*ef_li_ion_akku/1000/1000/INDEX(Työkonekanta!$K$3:$K$27,MATCH($A366,Työkonekanta!$A$3:$A$24,0)),0)</f>
        <v>0</v>
      </c>
      <c r="W366" s="149">
        <f t="shared" si="147"/>
        <v>20.135502791532932</v>
      </c>
      <c r="X366" s="150">
        <f t="shared" si="148"/>
        <v>0.35587513920000002</v>
      </c>
      <c r="Y366" s="151">
        <f t="shared" si="149"/>
        <v>0.14778362621018545</v>
      </c>
      <c r="Z366" s="152">
        <f t="shared" si="141"/>
        <v>13.222631883652216</v>
      </c>
      <c r="AA366" s="179">
        <f t="shared" si="142"/>
        <v>20.283286417743117</v>
      </c>
      <c r="AB366" s="179">
        <f t="shared" si="143"/>
        <v>20.639161556943115</v>
      </c>
      <c r="AC366" s="180">
        <f t="shared" si="150"/>
        <v>33.505918301395333</v>
      </c>
      <c r="AD366" s="156">
        <f t="shared" si="144"/>
        <v>33.861793440595335</v>
      </c>
      <c r="AE366" s="146">
        <f>IFERROR(INDEX(Työkonekanta!$L$3:$L$30,MATCH($A366,Työkonekanta!$A$3:$A$30,0),1),0)*AF366</f>
        <v>0</v>
      </c>
      <c r="AF366" s="146">
        <f>IFERROR(INDEX(Työkonekanta!$N$3:$N$32,MATCH($A366,Työkonekanta!$A$3:$A$32,0),1),0)</f>
        <v>0</v>
      </c>
      <c r="AG366" s="332">
        <f>I366*INDEX(Muuttujat!$U$5:$U$21,MATCH($C366,Muuttujat!$N$5:$N$21,0),1)</f>
        <v>7979.0722134698408</v>
      </c>
      <c r="AH366" s="332">
        <f>J366*INDEX(Muuttujat!$T$5:$T$21,MATCH($C366,Muuttujat!$N$5:$N$21,0),1)</f>
        <v>5464.8395370769831</v>
      </c>
      <c r="AI366" s="332">
        <f t="shared" si="132"/>
        <v>284.19928117343352</v>
      </c>
      <c r="AJ366" s="332">
        <f t="shared" si="133"/>
        <v>0</v>
      </c>
      <c r="AK366" s="333">
        <f t="shared" si="145"/>
        <v>13728.111031720258</v>
      </c>
      <c r="AL366" s="332">
        <f t="shared" si="134"/>
        <v>13728.111031720258</v>
      </c>
      <c r="AM366" s="351"/>
      <c r="AN366" s="351"/>
    </row>
    <row r="367" spans="1:40">
      <c r="A367" s="139">
        <v>5</v>
      </c>
      <c r="B367" s="139">
        <f>IFERROR(IF((INDEX(Työkonekanta!$F$3:$F$27,MATCH('S3 Tiekartta'!$A367,Työkonekanta!$A$3:$A$24,0),1))&lt;0,0,(INDEX(Työkonekanta!$F$3:$F$27,MATCH('S3 Tiekartta'!$A367,Työkonekanta!$A$3:$A$24,0),1))),0)</f>
        <v>0</v>
      </c>
      <c r="C367" s="140">
        <v>2031</v>
      </c>
      <c r="D367" s="141" t="str">
        <f>IFERROR(INDEX(Työkonekanta!$D$3:$D$27,MATCH('S3 Tiekartta'!$A367,Työkonekanta!$A$3:$A$24,0),1),"undefined")</f>
        <v>sähkö</v>
      </c>
      <c r="E367" s="145">
        <f>IFERROR(INDEX(Työkonekanta!$G$3:$G$27,MATCH($A367,Työkonekanta!$A$3:$A$24,0),1)*INDEX(Työkonekanta!$H$3:$H$27,MATCH($A367,Työkonekanta!$A$3:$A$24,0),1)*(1+s0b_kasvu*($C367-2019))*$B367,0)</f>
        <v>0</v>
      </c>
      <c r="F367" s="145">
        <f t="shared" si="126"/>
        <v>0</v>
      </c>
      <c r="G367" s="151">
        <f t="shared" si="135"/>
        <v>0</v>
      </c>
      <c r="H367" s="145">
        <f t="shared" si="136"/>
        <v>0</v>
      </c>
      <c r="I367" s="145">
        <f t="shared" si="127"/>
        <v>0</v>
      </c>
      <c r="J367" s="145">
        <f t="shared" si="128"/>
        <v>0</v>
      </c>
      <c r="K367" s="142" t="str">
        <f t="shared" si="137"/>
        <v>kWh</v>
      </c>
      <c r="L367" s="146">
        <f>IFERROR(INDEX(Työkonekanta!$I$3:$I$27,MATCH('S3 Tiekartta'!$A367,Työkonekanta!$A$3:$A$24,0),1)*(I367+J367)*f_adblue,0)</f>
        <v>0</v>
      </c>
      <c r="M367" s="146">
        <f t="shared" si="146"/>
        <v>0</v>
      </c>
      <c r="N367" s="143" t="str">
        <f>IF(tuulisähkö_vuosi&lt;='S3 Tiekartta'!C367,"tuulisähkö",ostosähkö_nyt)</f>
        <v>jäännössähkö</v>
      </c>
      <c r="O367" s="147">
        <f>INDEX(Muuttujat!$J$5:$J$21,MATCH($C367,Muuttujat!$H$5:$H$21,0),1)</f>
        <v>61.379690186142746</v>
      </c>
      <c r="P367" s="148">
        <f t="shared" si="138"/>
        <v>0.67849253515899999</v>
      </c>
      <c r="Q367" s="148">
        <f t="shared" si="139"/>
        <v>0.32150746484100001</v>
      </c>
      <c r="R367" s="148">
        <f t="shared" si="140"/>
        <v>0.32150746484100001</v>
      </c>
      <c r="S367" s="149">
        <f t="shared" si="129"/>
        <v>0</v>
      </c>
      <c r="T367" s="150">
        <f t="shared" si="130"/>
        <v>0</v>
      </c>
      <c r="U367" s="150">
        <f t="shared" si="131"/>
        <v>0</v>
      </c>
      <c r="V367" s="150">
        <f>IFERROR(INDEX(Työkonekanta!$J$3:$J$27,MATCH($A367,Työkonekanta!$A$3:$A$24,0),1)*$B367*ef_li_ion_akku/1000/1000/INDEX(Työkonekanta!$K$3:$K$27,MATCH($A367,Työkonekanta!$A$3:$A$24,0)),0)</f>
        <v>0</v>
      </c>
      <c r="W367" s="149">
        <f t="shared" si="147"/>
        <v>0</v>
      </c>
      <c r="X367" s="150">
        <f t="shared" si="148"/>
        <v>0</v>
      </c>
      <c r="Y367" s="151">
        <f t="shared" si="149"/>
        <v>0</v>
      </c>
      <c r="Z367" s="152">
        <f t="shared" si="141"/>
        <v>0</v>
      </c>
      <c r="AA367" s="179">
        <f t="shared" si="142"/>
        <v>0</v>
      </c>
      <c r="AB367" s="179">
        <f t="shared" si="143"/>
        <v>0</v>
      </c>
      <c r="AC367" s="180">
        <f t="shared" si="150"/>
        <v>0</v>
      </c>
      <c r="AD367" s="156">
        <f t="shared" si="144"/>
        <v>0</v>
      </c>
      <c r="AE367" s="146">
        <f>IFERROR(INDEX(Työkonekanta!$L$3:$L$30,MATCH($A367,Työkonekanta!$A$3:$A$30,0),1),0)*AF367</f>
        <v>0</v>
      </c>
      <c r="AF367" s="146">
        <f>IFERROR(INDEX(Työkonekanta!$N$3:$N$32,MATCH($A367,Työkonekanta!$A$3:$A$32,0),1),0)</f>
        <v>0</v>
      </c>
      <c r="AG367" s="332">
        <f>I367*INDEX(Muuttujat!$U$5:$U$21,MATCH($C367,Muuttujat!$N$5:$N$21,0),1)</f>
        <v>0</v>
      </c>
      <c r="AH367" s="332">
        <f>J367*INDEX(Muuttujat!$T$5:$T$21,MATCH($C367,Muuttujat!$N$5:$N$21,0),1)</f>
        <v>0</v>
      </c>
      <c r="AI367" s="332">
        <f t="shared" si="132"/>
        <v>0</v>
      </c>
      <c r="AJ367" s="332">
        <f t="shared" si="133"/>
        <v>0</v>
      </c>
      <c r="AK367" s="333">
        <f t="shared" si="145"/>
        <v>0</v>
      </c>
      <c r="AL367" s="332">
        <f t="shared" si="134"/>
        <v>0</v>
      </c>
      <c r="AM367" s="351"/>
      <c r="AN367" s="351"/>
    </row>
    <row r="368" spans="1:40">
      <c r="A368" s="139">
        <v>6</v>
      </c>
      <c r="B368" s="139">
        <f>IFERROR(IF((INDEX(Työkonekanta!$F$3:$F$27,MATCH('S3 Tiekartta'!$A368,Työkonekanta!$A$3:$A$24,0),1))&lt;0,0,(INDEX(Työkonekanta!$F$3:$F$27,MATCH('S3 Tiekartta'!$A368,Työkonekanta!$A$3:$A$24,0),1))),0)</f>
        <v>0</v>
      </c>
      <c r="C368" s="140">
        <v>2031</v>
      </c>
      <c r="D368" s="141" t="str">
        <f>IFERROR(INDEX(Työkonekanta!$D$3:$D$27,MATCH('S3 Tiekartta'!$A368,Työkonekanta!$A$3:$A$24,0),1),"undefined")</f>
        <v>sähkö</v>
      </c>
      <c r="E368" s="145">
        <f>IFERROR(INDEX(Työkonekanta!$G$3:$G$27,MATCH($A368,Työkonekanta!$A$3:$A$24,0),1)*INDEX(Työkonekanta!$H$3:$H$27,MATCH($A368,Työkonekanta!$A$3:$A$24,0),1)*(1+s0b_kasvu*($C368-2019))*$B368,0)</f>
        <v>0</v>
      </c>
      <c r="F368" s="145">
        <f t="shared" si="126"/>
        <v>0</v>
      </c>
      <c r="G368" s="151">
        <f t="shared" si="135"/>
        <v>0</v>
      </c>
      <c r="H368" s="145">
        <f t="shared" si="136"/>
        <v>0</v>
      </c>
      <c r="I368" s="145">
        <f t="shared" si="127"/>
        <v>0</v>
      </c>
      <c r="J368" s="145">
        <f t="shared" si="128"/>
        <v>0</v>
      </c>
      <c r="K368" s="142" t="str">
        <f t="shared" si="137"/>
        <v>kWh</v>
      </c>
      <c r="L368" s="146">
        <f>IFERROR(INDEX(Työkonekanta!$I$3:$I$27,MATCH('S3 Tiekartta'!$A368,Työkonekanta!$A$3:$A$24,0),1)*(I368+J368)*f_adblue,0)</f>
        <v>0</v>
      </c>
      <c r="M368" s="146">
        <f t="shared" si="146"/>
        <v>0</v>
      </c>
      <c r="N368" s="143" t="str">
        <f>IF(tuulisähkö_vuosi&lt;='S3 Tiekartta'!C368,"tuulisähkö",ostosähkö_nyt)</f>
        <v>jäännössähkö</v>
      </c>
      <c r="O368" s="147">
        <f>INDEX(Muuttujat!$J$5:$J$21,MATCH($C368,Muuttujat!$H$5:$H$21,0),1)</f>
        <v>61.379690186142746</v>
      </c>
      <c r="P368" s="148">
        <f t="shared" si="138"/>
        <v>0.67849253515899999</v>
      </c>
      <c r="Q368" s="148">
        <f t="shared" si="139"/>
        <v>0.32150746484100001</v>
      </c>
      <c r="R368" s="148">
        <f t="shared" si="140"/>
        <v>0.32150746484100001</v>
      </c>
      <c r="S368" s="149">
        <f t="shared" si="129"/>
        <v>0</v>
      </c>
      <c r="T368" s="150">
        <f t="shared" si="130"/>
        <v>0</v>
      </c>
      <c r="U368" s="150">
        <f t="shared" si="131"/>
        <v>0</v>
      </c>
      <c r="V368" s="150">
        <f>IFERROR(INDEX(Työkonekanta!$J$3:$J$27,MATCH($A368,Työkonekanta!$A$3:$A$24,0),1)*$B368*ef_li_ion_akku/1000/1000/INDEX(Työkonekanta!$K$3:$K$27,MATCH($A368,Työkonekanta!$A$3:$A$24,0)),0)</f>
        <v>0</v>
      </c>
      <c r="W368" s="149">
        <f t="shared" si="147"/>
        <v>0</v>
      </c>
      <c r="X368" s="150">
        <f t="shared" si="148"/>
        <v>0</v>
      </c>
      <c r="Y368" s="151">
        <f t="shared" si="149"/>
        <v>0</v>
      </c>
      <c r="Z368" s="152">
        <f t="shared" si="141"/>
        <v>0</v>
      </c>
      <c r="AA368" s="179">
        <f t="shared" si="142"/>
        <v>0</v>
      </c>
      <c r="AB368" s="179">
        <f t="shared" si="143"/>
        <v>0</v>
      </c>
      <c r="AC368" s="180">
        <f t="shared" si="150"/>
        <v>0</v>
      </c>
      <c r="AD368" s="156">
        <f t="shared" si="144"/>
        <v>0</v>
      </c>
      <c r="AE368" s="146">
        <f>IFERROR(INDEX(Työkonekanta!$L$3:$L$30,MATCH($A368,Työkonekanta!$A$3:$A$30,0),1),0)*AF368</f>
        <v>0</v>
      </c>
      <c r="AF368" s="146">
        <f>IFERROR(INDEX(Työkonekanta!$N$3:$N$32,MATCH($A368,Työkonekanta!$A$3:$A$32,0),1),0)</f>
        <v>0</v>
      </c>
      <c r="AG368" s="332">
        <f>I368*INDEX(Muuttujat!$U$5:$U$21,MATCH($C368,Muuttujat!$N$5:$N$21,0),1)</f>
        <v>0</v>
      </c>
      <c r="AH368" s="332">
        <f>J368*INDEX(Muuttujat!$T$5:$T$21,MATCH($C368,Muuttujat!$N$5:$N$21,0),1)</f>
        <v>0</v>
      </c>
      <c r="AI368" s="332">
        <f t="shared" si="132"/>
        <v>0</v>
      </c>
      <c r="AJ368" s="332">
        <f t="shared" si="133"/>
        <v>0</v>
      </c>
      <c r="AK368" s="333">
        <f t="shared" si="145"/>
        <v>0</v>
      </c>
      <c r="AL368" s="332">
        <f t="shared" si="134"/>
        <v>0</v>
      </c>
      <c r="AM368" s="351"/>
      <c r="AN368" s="351"/>
    </row>
    <row r="369" spans="1:40">
      <c r="A369" s="139">
        <v>7</v>
      </c>
      <c r="B369" s="139">
        <f>IFERROR(IF((INDEX(Työkonekanta!$F$3:$F$27,MATCH('S3 Tiekartta'!$A369,Työkonekanta!$A$3:$A$24,0),1))&lt;0,0,(INDEX(Työkonekanta!$F$3:$F$27,MATCH('S3 Tiekartta'!$A369,Työkonekanta!$A$3:$A$24,0),1))),0)</f>
        <v>1</v>
      </c>
      <c r="C369" s="140">
        <v>2031</v>
      </c>
      <c r="D369" s="141" t="str">
        <f>IFERROR(INDEX(Työkonekanta!$D$3:$D$27,MATCH('S3 Tiekartta'!$A369,Työkonekanta!$A$3:$A$24,0),1),"undefined")</f>
        <v>pom</v>
      </c>
      <c r="E369" s="145">
        <f>IFERROR(INDEX(Työkonekanta!$G$3:$G$27,MATCH($A369,Työkonekanta!$A$3:$A$24,0),1)*INDEX(Työkonekanta!$H$3:$H$27,MATCH($A369,Työkonekanta!$A$3:$A$24,0),1)*(1+s0b_kasvu*($C369-2019))*$B369,0)</f>
        <v>11200.000000000002</v>
      </c>
      <c r="F369" s="145">
        <f t="shared" si="126"/>
        <v>402080.00000000006</v>
      </c>
      <c r="G369" s="151">
        <f t="shared" si="135"/>
        <v>272808.27853673074</v>
      </c>
      <c r="H369" s="145">
        <f t="shared" si="136"/>
        <v>129271.72146326931</v>
      </c>
      <c r="I369" s="145">
        <f t="shared" si="127"/>
        <v>7599.1163937808005</v>
      </c>
      <c r="J369" s="145">
        <f t="shared" si="128"/>
        <v>3768.8548531565398</v>
      </c>
      <c r="K369" s="142" t="str">
        <f t="shared" si="137"/>
        <v>l</v>
      </c>
      <c r="L369" s="146">
        <f>IFERROR(INDEX(Työkonekanta!$I$3:$I$27,MATCH('S3 Tiekartta'!$A369,Työkonekanta!$A$3:$A$24,0),1)*(I369+J369)*f_adblue,0)</f>
        <v>0</v>
      </c>
      <c r="M369" s="146">
        <f t="shared" si="146"/>
        <v>0</v>
      </c>
      <c r="N369" s="143" t="str">
        <f>IF(tuulisähkö_vuosi&lt;='S3 Tiekartta'!C369,"tuulisähkö",ostosähkö_nyt)</f>
        <v>jäännössähkö</v>
      </c>
      <c r="O369" s="147">
        <f>INDEX(Muuttujat!$J$5:$J$21,MATCH($C369,Muuttujat!$H$5:$H$21,0),1)</f>
        <v>61.379690186142746</v>
      </c>
      <c r="P369" s="148">
        <f t="shared" si="138"/>
        <v>0.67849253515899999</v>
      </c>
      <c r="Q369" s="148">
        <f t="shared" si="139"/>
        <v>0.32150746484100001</v>
      </c>
      <c r="R369" s="148">
        <f t="shared" si="140"/>
        <v>0.32150746484100001</v>
      </c>
      <c r="S369" s="149">
        <f t="shared" si="129"/>
        <v>5.1560764643442107</v>
      </c>
      <c r="T369" s="150">
        <f t="shared" si="130"/>
        <v>8.0665554193080045</v>
      </c>
      <c r="U369" s="150">
        <f t="shared" si="131"/>
        <v>0</v>
      </c>
      <c r="V369" s="150">
        <f>IFERROR(INDEX(Työkonekanta!$J$3:$J$27,MATCH($A369,Työkonekanta!$A$3:$A$24,0),1)*$B369*ef_li_ion_akku/1000/1000/INDEX(Työkonekanta!$K$3:$K$27,MATCH($A369,Työkonekanta!$A$3:$A$24,0)),0)</f>
        <v>0</v>
      </c>
      <c r="W369" s="149">
        <f t="shared" si="147"/>
        <v>20.135502791532932</v>
      </c>
      <c r="X369" s="150">
        <f t="shared" si="148"/>
        <v>0.35587513920000002</v>
      </c>
      <c r="Y369" s="151">
        <f t="shared" si="149"/>
        <v>0</v>
      </c>
      <c r="Z369" s="152">
        <f t="shared" si="141"/>
        <v>13.222631883652216</v>
      </c>
      <c r="AA369" s="179">
        <f t="shared" si="142"/>
        <v>20.135502791532932</v>
      </c>
      <c r="AB369" s="179">
        <f t="shared" si="143"/>
        <v>20.491377930732931</v>
      </c>
      <c r="AC369" s="180">
        <f t="shared" si="150"/>
        <v>33.358134675185148</v>
      </c>
      <c r="AD369" s="156">
        <f t="shared" si="144"/>
        <v>33.71400981438515</v>
      </c>
      <c r="AE369" s="146">
        <f>IFERROR(INDEX(Työkonekanta!$L$3:$L$30,MATCH($A369,Työkonekanta!$A$3:$A$30,0),1),0)*AF369</f>
        <v>500000</v>
      </c>
      <c r="AF369" s="146">
        <f>IFERROR(INDEX(Työkonekanta!$N$3:$N$32,MATCH($A369,Työkonekanta!$A$3:$A$32,0),1),0)</f>
        <v>1</v>
      </c>
      <c r="AG369" s="332">
        <f>I369*INDEX(Muuttujat!$U$5:$U$21,MATCH($C369,Muuttujat!$N$5:$N$21,0),1)</f>
        <v>7979.0722134698408</v>
      </c>
      <c r="AH369" s="332">
        <f>J369*INDEX(Muuttujat!$T$5:$T$21,MATCH($C369,Muuttujat!$N$5:$N$21,0),1)</f>
        <v>5464.8395370769831</v>
      </c>
      <c r="AI369" s="332">
        <f t="shared" si="132"/>
        <v>0</v>
      </c>
      <c r="AJ369" s="332">
        <f t="shared" si="133"/>
        <v>0</v>
      </c>
      <c r="AK369" s="333">
        <f t="shared" si="145"/>
        <v>13443.911750546824</v>
      </c>
      <c r="AL369" s="332">
        <f t="shared" si="134"/>
        <v>13443.911750546824</v>
      </c>
      <c r="AM369" s="351"/>
      <c r="AN369" s="351"/>
    </row>
    <row r="370" spans="1:40">
      <c r="A370" s="139">
        <v>8</v>
      </c>
      <c r="B370" s="139">
        <f>IFERROR(IF((INDEX(Työkonekanta!$F$3:$F$27,MATCH('S3 Tiekartta'!$A370,Työkonekanta!$A$3:$A$24,0),1))&lt;0,0,(INDEX(Työkonekanta!$F$3:$F$27,MATCH('S3 Tiekartta'!$A370,Työkonekanta!$A$3:$A$24,0),1))),0)</f>
        <v>1</v>
      </c>
      <c r="C370" s="140">
        <v>2031</v>
      </c>
      <c r="D370" s="141" t="str">
        <f>IFERROR(INDEX(Työkonekanta!$D$3:$D$27,MATCH('S3 Tiekartta'!$A370,Työkonekanta!$A$3:$A$24,0),1),"undefined")</f>
        <v>pom</v>
      </c>
      <c r="E370" s="145">
        <f>IFERROR(INDEX(Työkonekanta!$G$3:$G$27,MATCH($A370,Työkonekanta!$A$3:$A$24,0),1)*INDEX(Työkonekanta!$H$3:$H$27,MATCH($A370,Työkonekanta!$A$3:$A$24,0),1)*(1+s0b_kasvu*($C370-2019))*$B370,0)</f>
        <v>11200.000000000002</v>
      </c>
      <c r="F370" s="145">
        <f t="shared" si="126"/>
        <v>402080.00000000006</v>
      </c>
      <c r="G370" s="151">
        <f t="shared" si="135"/>
        <v>272808.27853673074</v>
      </c>
      <c r="H370" s="145">
        <f t="shared" si="136"/>
        <v>129271.72146326931</v>
      </c>
      <c r="I370" s="145">
        <f t="shared" si="127"/>
        <v>7599.1163937808005</v>
      </c>
      <c r="J370" s="145">
        <f t="shared" si="128"/>
        <v>3768.8548531565398</v>
      </c>
      <c r="K370" s="142" t="str">
        <f t="shared" si="137"/>
        <v>l</v>
      </c>
      <c r="L370" s="146">
        <f>IFERROR(INDEX(Työkonekanta!$I$3:$I$27,MATCH('S3 Tiekartta'!$A370,Työkonekanta!$A$3:$A$24,0),1)*(I370+J370)*f_adblue,0)</f>
        <v>568.39856234686704</v>
      </c>
      <c r="M370" s="146">
        <f t="shared" si="146"/>
        <v>0</v>
      </c>
      <c r="N370" s="143" t="str">
        <f>IF(tuulisähkö_vuosi&lt;='S3 Tiekartta'!C370,"tuulisähkö",ostosähkö_nyt)</f>
        <v>jäännössähkö</v>
      </c>
      <c r="O370" s="147">
        <f>INDEX(Muuttujat!$J$5:$J$21,MATCH($C370,Muuttujat!$H$5:$H$21,0),1)</f>
        <v>61.379690186142746</v>
      </c>
      <c r="P370" s="148">
        <f t="shared" si="138"/>
        <v>0.67849253515899999</v>
      </c>
      <c r="Q370" s="148">
        <f t="shared" si="139"/>
        <v>0.32150746484100001</v>
      </c>
      <c r="R370" s="148">
        <f t="shared" si="140"/>
        <v>0.32150746484100001</v>
      </c>
      <c r="S370" s="149">
        <f t="shared" si="129"/>
        <v>5.1560764643442107</v>
      </c>
      <c r="T370" s="150">
        <f t="shared" si="130"/>
        <v>8.0665554193080045</v>
      </c>
      <c r="U370" s="150">
        <f t="shared" si="131"/>
        <v>0</v>
      </c>
      <c r="V370" s="150">
        <f>IFERROR(INDEX(Työkonekanta!$J$3:$J$27,MATCH($A370,Työkonekanta!$A$3:$A$24,0),1)*$B370*ef_li_ion_akku/1000/1000/INDEX(Työkonekanta!$K$3:$K$27,MATCH($A370,Työkonekanta!$A$3:$A$24,0)),0)</f>
        <v>0</v>
      </c>
      <c r="W370" s="149">
        <f t="shared" si="147"/>
        <v>20.135502791532932</v>
      </c>
      <c r="X370" s="150">
        <f t="shared" si="148"/>
        <v>0.35587513920000002</v>
      </c>
      <c r="Y370" s="151">
        <f t="shared" si="149"/>
        <v>0.14778362621018545</v>
      </c>
      <c r="Z370" s="152">
        <f t="shared" si="141"/>
        <v>13.222631883652216</v>
      </c>
      <c r="AA370" s="179">
        <f t="shared" si="142"/>
        <v>20.283286417743117</v>
      </c>
      <c r="AB370" s="179">
        <f t="shared" si="143"/>
        <v>20.639161556943115</v>
      </c>
      <c r="AC370" s="180">
        <f t="shared" si="150"/>
        <v>33.505918301395333</v>
      </c>
      <c r="AD370" s="156">
        <f t="shared" si="144"/>
        <v>33.861793440595335</v>
      </c>
      <c r="AE370" s="146">
        <f>IFERROR(INDEX(Työkonekanta!$L$3:$L$30,MATCH($A370,Työkonekanta!$A$3:$A$30,0),1),0)*AF370</f>
        <v>500000</v>
      </c>
      <c r="AF370" s="146">
        <f>IFERROR(INDEX(Työkonekanta!$N$3:$N$32,MATCH($A370,Työkonekanta!$A$3:$A$32,0),1),0)</f>
        <v>1</v>
      </c>
      <c r="AG370" s="332">
        <f>I370*INDEX(Muuttujat!$U$5:$U$21,MATCH($C370,Muuttujat!$N$5:$N$21,0),1)</f>
        <v>7979.0722134698408</v>
      </c>
      <c r="AH370" s="332">
        <f>J370*INDEX(Muuttujat!$T$5:$T$21,MATCH($C370,Muuttujat!$N$5:$N$21,0),1)</f>
        <v>5464.8395370769831</v>
      </c>
      <c r="AI370" s="332">
        <f t="shared" si="132"/>
        <v>284.19928117343352</v>
      </c>
      <c r="AJ370" s="332">
        <f t="shared" si="133"/>
        <v>0</v>
      </c>
      <c r="AK370" s="333">
        <f t="shared" si="145"/>
        <v>13728.111031720258</v>
      </c>
      <c r="AL370" s="332">
        <f t="shared" si="134"/>
        <v>13728.111031720258</v>
      </c>
      <c r="AM370" s="351"/>
      <c r="AN370" s="351"/>
    </row>
    <row r="371" spans="1:40">
      <c r="A371" s="139">
        <v>9</v>
      </c>
      <c r="B371" s="139">
        <f>IFERROR(IF((INDEX(Työkonekanta!$F$3:$F$27,MATCH('S3 Tiekartta'!$A371,Työkonekanta!$A$3:$A$24,0),1))&lt;0,0,(INDEX(Työkonekanta!$F$3:$F$27,MATCH('S3 Tiekartta'!$A371,Työkonekanta!$A$3:$A$24,0),1))),0)</f>
        <v>0</v>
      </c>
      <c r="C371" s="140">
        <v>2031</v>
      </c>
      <c r="D371" s="141" t="str">
        <f>IFERROR(INDEX(Työkonekanta!$D$3:$D$27,MATCH('S3 Tiekartta'!$A371,Työkonekanta!$A$3:$A$24,0),1),"undefined")</f>
        <v>sähkö</v>
      </c>
      <c r="E371" s="145">
        <f>IFERROR(INDEX(Työkonekanta!$G$3:$G$27,MATCH($A371,Työkonekanta!$A$3:$A$24,0),1)*INDEX(Työkonekanta!$H$3:$H$27,MATCH($A371,Työkonekanta!$A$3:$A$24,0),1)*(1+s0b_kasvu*($C371-2019))*$B371,0)</f>
        <v>0</v>
      </c>
      <c r="F371" s="145">
        <f t="shared" si="126"/>
        <v>0</v>
      </c>
      <c r="G371" s="151">
        <f t="shared" si="135"/>
        <v>0</v>
      </c>
      <c r="H371" s="145">
        <f t="shared" si="136"/>
        <v>0</v>
      </c>
      <c r="I371" s="145">
        <f t="shared" si="127"/>
        <v>0</v>
      </c>
      <c r="J371" s="145">
        <f t="shared" si="128"/>
        <v>0</v>
      </c>
      <c r="K371" s="142" t="str">
        <f t="shared" si="137"/>
        <v>kWh</v>
      </c>
      <c r="L371" s="146">
        <f>IFERROR(INDEX(Työkonekanta!$I$3:$I$27,MATCH('S3 Tiekartta'!$A371,Työkonekanta!$A$3:$A$24,0),1)*(I371+J371)*f_adblue,0)</f>
        <v>0</v>
      </c>
      <c r="M371" s="146">
        <f t="shared" si="146"/>
        <v>0</v>
      </c>
      <c r="N371" s="143" t="str">
        <f>IF(tuulisähkö_vuosi&lt;='S3 Tiekartta'!C371,"tuulisähkö",ostosähkö_nyt)</f>
        <v>jäännössähkö</v>
      </c>
      <c r="O371" s="147">
        <f>INDEX(Muuttujat!$J$5:$J$21,MATCH($C371,Muuttujat!$H$5:$H$21,0),1)</f>
        <v>61.379690186142746</v>
      </c>
      <c r="P371" s="148">
        <f t="shared" si="138"/>
        <v>0.67849253515899999</v>
      </c>
      <c r="Q371" s="148">
        <f t="shared" si="139"/>
        <v>0.32150746484100001</v>
      </c>
      <c r="R371" s="148">
        <f t="shared" si="140"/>
        <v>0.32150746484100001</v>
      </c>
      <c r="S371" s="149">
        <f t="shared" si="129"/>
        <v>0</v>
      </c>
      <c r="T371" s="150">
        <f t="shared" si="130"/>
        <v>0</v>
      </c>
      <c r="U371" s="150">
        <f t="shared" si="131"/>
        <v>0</v>
      </c>
      <c r="V371" s="150">
        <f>IFERROR(INDEX(Työkonekanta!$J$3:$J$27,MATCH($A371,Työkonekanta!$A$3:$A$24,0),1)*$B371*ef_li_ion_akku/1000/1000/INDEX(Työkonekanta!$K$3:$K$27,MATCH($A371,Työkonekanta!$A$3:$A$24,0)),0)</f>
        <v>0</v>
      </c>
      <c r="W371" s="149">
        <f t="shared" si="147"/>
        <v>0</v>
      </c>
      <c r="X371" s="150">
        <f t="shared" si="148"/>
        <v>0</v>
      </c>
      <c r="Y371" s="151">
        <f t="shared" si="149"/>
        <v>0</v>
      </c>
      <c r="Z371" s="152">
        <f t="shared" si="141"/>
        <v>0</v>
      </c>
      <c r="AA371" s="179">
        <f t="shared" si="142"/>
        <v>0</v>
      </c>
      <c r="AB371" s="179">
        <f t="shared" si="143"/>
        <v>0</v>
      </c>
      <c r="AC371" s="180">
        <f t="shared" si="150"/>
        <v>0</v>
      </c>
      <c r="AD371" s="156">
        <f t="shared" si="144"/>
        <v>0</v>
      </c>
      <c r="AE371" s="146">
        <f>IFERROR(INDEX(Työkonekanta!$L$3:$L$30,MATCH($A371,Työkonekanta!$A$3:$A$30,0),1),0)*AF371</f>
        <v>0</v>
      </c>
      <c r="AF371" s="146">
        <f>IFERROR(INDEX(Työkonekanta!$N$3:$N$32,MATCH($A371,Työkonekanta!$A$3:$A$32,0),1),0)</f>
        <v>0</v>
      </c>
      <c r="AG371" s="332">
        <f>I371*INDEX(Muuttujat!$U$5:$U$21,MATCH($C371,Muuttujat!$N$5:$N$21,0),1)</f>
        <v>0</v>
      </c>
      <c r="AH371" s="332">
        <f>J371*INDEX(Muuttujat!$T$5:$T$21,MATCH($C371,Muuttujat!$N$5:$N$21,0),1)</f>
        <v>0</v>
      </c>
      <c r="AI371" s="332">
        <f t="shared" si="132"/>
        <v>0</v>
      </c>
      <c r="AJ371" s="332">
        <f t="shared" si="133"/>
        <v>0</v>
      </c>
      <c r="AK371" s="333">
        <f t="shared" si="145"/>
        <v>0</v>
      </c>
      <c r="AL371" s="332">
        <f t="shared" si="134"/>
        <v>0</v>
      </c>
      <c r="AM371" s="351"/>
      <c r="AN371" s="351"/>
    </row>
    <row r="372" spans="1:40">
      <c r="A372" s="139">
        <v>10</v>
      </c>
      <c r="B372" s="139">
        <f>IFERROR(IF((INDEX(Työkonekanta!$F$3:$F$27,MATCH('S3 Tiekartta'!$A372,Työkonekanta!$A$3:$A$24,0),1))&lt;0,0,(INDEX(Työkonekanta!$F$3:$F$27,MATCH('S3 Tiekartta'!$A372,Työkonekanta!$A$3:$A$24,0),1))),0)</f>
        <v>0</v>
      </c>
      <c r="C372" s="140">
        <v>2031</v>
      </c>
      <c r="D372" s="141" t="str">
        <f>IFERROR(INDEX(Työkonekanta!$D$3:$D$27,MATCH('S3 Tiekartta'!$A372,Työkonekanta!$A$3:$A$24,0),1),"undefined")</f>
        <v>sähkö</v>
      </c>
      <c r="E372" s="145">
        <f>IFERROR(INDEX(Työkonekanta!$G$3:$G$27,MATCH($A372,Työkonekanta!$A$3:$A$24,0),1)*INDEX(Työkonekanta!$H$3:$H$27,MATCH($A372,Työkonekanta!$A$3:$A$24,0),1)*(1+s0b_kasvu*($C372-2019))*$B372,0)</f>
        <v>0</v>
      </c>
      <c r="F372" s="145">
        <f t="shared" si="126"/>
        <v>0</v>
      </c>
      <c r="G372" s="151">
        <f t="shared" si="135"/>
        <v>0</v>
      </c>
      <c r="H372" s="145">
        <f t="shared" si="136"/>
        <v>0</v>
      </c>
      <c r="I372" s="145">
        <f t="shared" si="127"/>
        <v>0</v>
      </c>
      <c r="J372" s="145">
        <f t="shared" si="128"/>
        <v>0</v>
      </c>
      <c r="K372" s="142" t="str">
        <f t="shared" si="137"/>
        <v>kWh</v>
      </c>
      <c r="L372" s="146">
        <f>IFERROR(INDEX(Työkonekanta!$I$3:$I$27,MATCH('S3 Tiekartta'!$A372,Työkonekanta!$A$3:$A$24,0),1)*(I372+J372)*f_adblue,0)</f>
        <v>0</v>
      </c>
      <c r="M372" s="146">
        <f t="shared" si="146"/>
        <v>0</v>
      </c>
      <c r="N372" s="143" t="str">
        <f>IF(tuulisähkö_vuosi&lt;='S3 Tiekartta'!C372,"tuulisähkö",ostosähkö_nyt)</f>
        <v>jäännössähkö</v>
      </c>
      <c r="O372" s="147">
        <f>INDEX(Muuttujat!$J$5:$J$21,MATCH($C372,Muuttujat!$H$5:$H$21,0),1)</f>
        <v>61.379690186142746</v>
      </c>
      <c r="P372" s="148">
        <f t="shared" si="138"/>
        <v>0.67849253515899999</v>
      </c>
      <c r="Q372" s="148">
        <f t="shared" si="139"/>
        <v>0.32150746484100001</v>
      </c>
      <c r="R372" s="148">
        <f t="shared" si="140"/>
        <v>0.32150746484100001</v>
      </c>
      <c r="S372" s="149">
        <f t="shared" si="129"/>
        <v>0</v>
      </c>
      <c r="T372" s="150">
        <f t="shared" si="130"/>
        <v>0</v>
      </c>
      <c r="U372" s="150">
        <f t="shared" si="131"/>
        <v>0</v>
      </c>
      <c r="V372" s="150">
        <f>IFERROR(INDEX(Työkonekanta!$J$3:$J$27,MATCH($A372,Työkonekanta!$A$3:$A$24,0),1)*$B372*ef_li_ion_akku/1000/1000/INDEX(Työkonekanta!$K$3:$K$27,MATCH($A372,Työkonekanta!$A$3:$A$24,0)),0)</f>
        <v>0</v>
      </c>
      <c r="W372" s="149">
        <f t="shared" si="147"/>
        <v>0</v>
      </c>
      <c r="X372" s="150">
        <f t="shared" si="148"/>
        <v>0</v>
      </c>
      <c r="Y372" s="151">
        <f t="shared" si="149"/>
        <v>0</v>
      </c>
      <c r="Z372" s="152">
        <f t="shared" si="141"/>
        <v>0</v>
      </c>
      <c r="AA372" s="179">
        <f t="shared" si="142"/>
        <v>0</v>
      </c>
      <c r="AB372" s="179">
        <f t="shared" si="143"/>
        <v>0</v>
      </c>
      <c r="AC372" s="180">
        <f t="shared" si="150"/>
        <v>0</v>
      </c>
      <c r="AD372" s="156">
        <f t="shared" si="144"/>
        <v>0</v>
      </c>
      <c r="AE372" s="146">
        <f>IFERROR(INDEX(Työkonekanta!$L$3:$L$30,MATCH($A372,Työkonekanta!$A$3:$A$30,0),1),0)*AF372</f>
        <v>0</v>
      </c>
      <c r="AF372" s="146">
        <f>IFERROR(INDEX(Työkonekanta!$N$3:$N$32,MATCH($A372,Työkonekanta!$A$3:$A$32,0),1),0)</f>
        <v>0</v>
      </c>
      <c r="AG372" s="332">
        <f>I372*INDEX(Muuttujat!$U$5:$U$21,MATCH($C372,Muuttujat!$N$5:$N$21,0),1)</f>
        <v>0</v>
      </c>
      <c r="AH372" s="332">
        <f>J372*INDEX(Muuttujat!$T$5:$T$21,MATCH($C372,Muuttujat!$N$5:$N$21,0),1)</f>
        <v>0</v>
      </c>
      <c r="AI372" s="332">
        <f t="shared" si="132"/>
        <v>0</v>
      </c>
      <c r="AJ372" s="332">
        <f t="shared" si="133"/>
        <v>0</v>
      </c>
      <c r="AK372" s="333">
        <f t="shared" si="145"/>
        <v>0</v>
      </c>
      <c r="AL372" s="332">
        <f t="shared" si="134"/>
        <v>0</v>
      </c>
      <c r="AM372" s="351"/>
      <c r="AN372" s="351"/>
    </row>
    <row r="373" spans="1:40">
      <c r="A373" s="139">
        <v>11</v>
      </c>
      <c r="B373" s="139">
        <f>IFERROR(IF((INDEX(Työkonekanta!$F$3:$F$27,MATCH('S3 Tiekartta'!$A373,Työkonekanta!$A$3:$A$24,0),1))&lt;0,0,(INDEX(Työkonekanta!$F$3:$F$27,MATCH('S3 Tiekartta'!$A373,Työkonekanta!$A$3:$A$24,0),1))),0)</f>
        <v>1</v>
      </c>
      <c r="C373" s="140">
        <v>2031</v>
      </c>
      <c r="D373" s="141" t="str">
        <f>IFERROR(INDEX(Työkonekanta!$D$3:$D$27,MATCH('S3 Tiekartta'!$A373,Työkonekanta!$A$3:$A$24,0),1),"undefined")</f>
        <v>pom</v>
      </c>
      <c r="E373" s="145">
        <f>IFERROR(INDEX(Työkonekanta!$G$3:$G$27,MATCH($A373,Työkonekanta!$A$3:$A$24,0),1)*INDEX(Työkonekanta!$H$3:$H$27,MATCH($A373,Työkonekanta!$A$3:$A$24,0),1)*(1+s0b_kasvu*($C373-2019))*$B373,0)</f>
        <v>11200.000000000002</v>
      </c>
      <c r="F373" s="145">
        <f t="shared" si="126"/>
        <v>402080.00000000006</v>
      </c>
      <c r="G373" s="151">
        <f t="shared" si="135"/>
        <v>272808.27853673074</v>
      </c>
      <c r="H373" s="145">
        <f t="shared" si="136"/>
        <v>129271.72146326931</v>
      </c>
      <c r="I373" s="145">
        <f t="shared" si="127"/>
        <v>7599.1163937808005</v>
      </c>
      <c r="J373" s="145">
        <f t="shared" si="128"/>
        <v>3768.8548531565398</v>
      </c>
      <c r="K373" s="142" t="str">
        <f t="shared" si="137"/>
        <v>l</v>
      </c>
      <c r="L373" s="146">
        <f>IFERROR(INDEX(Työkonekanta!$I$3:$I$27,MATCH('S3 Tiekartta'!$A373,Työkonekanta!$A$3:$A$24,0),1)*(I373+J373)*f_adblue,0)</f>
        <v>568.39856234686704</v>
      </c>
      <c r="M373" s="146">
        <f t="shared" si="146"/>
        <v>0</v>
      </c>
      <c r="N373" s="143" t="str">
        <f>IF(tuulisähkö_vuosi&lt;='S3 Tiekartta'!C373,"tuulisähkö",ostosähkö_nyt)</f>
        <v>jäännössähkö</v>
      </c>
      <c r="O373" s="147">
        <f>INDEX(Muuttujat!$J$5:$J$21,MATCH($C373,Muuttujat!$H$5:$H$21,0),1)</f>
        <v>61.379690186142746</v>
      </c>
      <c r="P373" s="148">
        <f t="shared" si="138"/>
        <v>0.67849253515899999</v>
      </c>
      <c r="Q373" s="148">
        <f t="shared" si="139"/>
        <v>0.32150746484100001</v>
      </c>
      <c r="R373" s="148">
        <f t="shared" si="140"/>
        <v>0.32150746484100001</v>
      </c>
      <c r="S373" s="149">
        <f t="shared" si="129"/>
        <v>5.1560764643442107</v>
      </c>
      <c r="T373" s="150">
        <f t="shared" si="130"/>
        <v>8.0665554193080045</v>
      </c>
      <c r="U373" s="150">
        <f t="shared" si="131"/>
        <v>0</v>
      </c>
      <c r="V373" s="150">
        <f>IFERROR(INDEX(Työkonekanta!$J$3:$J$27,MATCH($A373,Työkonekanta!$A$3:$A$24,0),1)*$B373*ef_li_ion_akku/1000/1000/INDEX(Työkonekanta!$K$3:$K$27,MATCH($A373,Työkonekanta!$A$3:$A$24,0)),0)</f>
        <v>0</v>
      </c>
      <c r="W373" s="149">
        <f t="shared" si="147"/>
        <v>20.135502791532932</v>
      </c>
      <c r="X373" s="150">
        <f t="shared" si="148"/>
        <v>0.35587513920000002</v>
      </c>
      <c r="Y373" s="151">
        <f t="shared" si="149"/>
        <v>0.14778362621018545</v>
      </c>
      <c r="Z373" s="152">
        <f t="shared" si="141"/>
        <v>13.222631883652216</v>
      </c>
      <c r="AA373" s="179">
        <f t="shared" si="142"/>
        <v>20.283286417743117</v>
      </c>
      <c r="AB373" s="179">
        <f t="shared" si="143"/>
        <v>20.639161556943115</v>
      </c>
      <c r="AC373" s="180">
        <f t="shared" si="150"/>
        <v>33.505918301395333</v>
      </c>
      <c r="AD373" s="156">
        <f t="shared" si="144"/>
        <v>33.861793440595335</v>
      </c>
      <c r="AE373" s="146">
        <f>IFERROR(INDEX(Työkonekanta!$L$3:$L$30,MATCH($A373,Työkonekanta!$A$3:$A$30,0),1),0)*AF373</f>
        <v>500000</v>
      </c>
      <c r="AF373" s="146">
        <f>IFERROR(INDEX(Työkonekanta!$N$3:$N$32,MATCH($A373,Työkonekanta!$A$3:$A$32,0),1),0)</f>
        <v>1</v>
      </c>
      <c r="AG373" s="332">
        <f>I373*INDEX(Muuttujat!$U$5:$U$21,MATCH($C373,Muuttujat!$N$5:$N$21,0),1)</f>
        <v>7979.0722134698408</v>
      </c>
      <c r="AH373" s="332">
        <f>J373*INDEX(Muuttujat!$T$5:$T$21,MATCH($C373,Muuttujat!$N$5:$N$21,0),1)</f>
        <v>5464.8395370769831</v>
      </c>
      <c r="AI373" s="332">
        <f t="shared" si="132"/>
        <v>284.19928117343352</v>
      </c>
      <c r="AJ373" s="332">
        <f t="shared" si="133"/>
        <v>0</v>
      </c>
      <c r="AK373" s="333">
        <f t="shared" si="145"/>
        <v>13728.111031720258</v>
      </c>
      <c r="AL373" s="332">
        <f t="shared" si="134"/>
        <v>13728.111031720258</v>
      </c>
      <c r="AM373" s="351"/>
      <c r="AN373" s="351"/>
    </row>
    <row r="374" spans="1:40">
      <c r="A374" s="139">
        <v>12</v>
      </c>
      <c r="B374" s="139">
        <f>IFERROR(IF((INDEX(Työkonekanta!$F$3:$F$27,MATCH('S3 Tiekartta'!$A374,Työkonekanta!$A$3:$A$24,0),1))&lt;0,0,(INDEX(Työkonekanta!$F$3:$F$27,MATCH('S3 Tiekartta'!$A374,Työkonekanta!$A$3:$A$24,0),1))),0)</f>
        <v>1</v>
      </c>
      <c r="C374" s="140">
        <v>2031</v>
      </c>
      <c r="D374" s="141" t="str">
        <f>IFERROR(INDEX(Työkonekanta!$D$3:$D$27,MATCH('S3 Tiekartta'!$A374,Työkonekanta!$A$3:$A$24,0),1),"undefined")</f>
        <v>pom</v>
      </c>
      <c r="E374" s="145">
        <f>IFERROR(INDEX(Työkonekanta!$G$3:$G$27,MATCH($A374,Työkonekanta!$A$3:$A$24,0),1)*INDEX(Työkonekanta!$H$3:$H$27,MATCH($A374,Työkonekanta!$A$3:$A$24,0),1)*(1+s0b_kasvu*($C374-2019))*$B374,0)</f>
        <v>11200.000000000002</v>
      </c>
      <c r="F374" s="145">
        <f t="shared" si="126"/>
        <v>402080.00000000006</v>
      </c>
      <c r="G374" s="151">
        <f t="shared" si="135"/>
        <v>272808.27853673074</v>
      </c>
      <c r="H374" s="145">
        <f t="shared" si="136"/>
        <v>129271.72146326931</v>
      </c>
      <c r="I374" s="145">
        <f t="shared" si="127"/>
        <v>7599.1163937808005</v>
      </c>
      <c r="J374" s="145">
        <f t="shared" si="128"/>
        <v>3768.8548531565398</v>
      </c>
      <c r="K374" s="142" t="str">
        <f t="shared" si="137"/>
        <v>l</v>
      </c>
      <c r="L374" s="146">
        <f>IFERROR(INDEX(Työkonekanta!$I$3:$I$27,MATCH('S3 Tiekartta'!$A374,Työkonekanta!$A$3:$A$24,0),1)*(I374+J374)*f_adblue,0)</f>
        <v>568.39856234686704</v>
      </c>
      <c r="M374" s="146">
        <f t="shared" si="146"/>
        <v>0</v>
      </c>
      <c r="N374" s="143" t="str">
        <f>IF(tuulisähkö_vuosi&lt;='S3 Tiekartta'!C374,"tuulisähkö",ostosähkö_nyt)</f>
        <v>jäännössähkö</v>
      </c>
      <c r="O374" s="147">
        <f>INDEX(Muuttujat!$J$5:$J$21,MATCH($C374,Muuttujat!$H$5:$H$21,0),1)</f>
        <v>61.379690186142746</v>
      </c>
      <c r="P374" s="148">
        <f t="shared" si="138"/>
        <v>0.67849253515899999</v>
      </c>
      <c r="Q374" s="148">
        <f t="shared" si="139"/>
        <v>0.32150746484100001</v>
      </c>
      <c r="R374" s="148">
        <f t="shared" si="140"/>
        <v>0.32150746484100001</v>
      </c>
      <c r="S374" s="149">
        <f t="shared" si="129"/>
        <v>5.1560764643442107</v>
      </c>
      <c r="T374" s="150">
        <f t="shared" si="130"/>
        <v>8.0665554193080045</v>
      </c>
      <c r="U374" s="150">
        <f t="shared" si="131"/>
        <v>0</v>
      </c>
      <c r="V374" s="150">
        <f>IFERROR(INDEX(Työkonekanta!$J$3:$J$27,MATCH($A374,Työkonekanta!$A$3:$A$24,0),1)*$B374*ef_li_ion_akku/1000/1000/INDEX(Työkonekanta!$K$3:$K$27,MATCH($A374,Työkonekanta!$A$3:$A$24,0)),0)</f>
        <v>0</v>
      </c>
      <c r="W374" s="149">
        <f t="shared" si="147"/>
        <v>20.135502791532932</v>
      </c>
      <c r="X374" s="150">
        <f t="shared" si="148"/>
        <v>0.35587513920000002</v>
      </c>
      <c r="Y374" s="151">
        <f t="shared" si="149"/>
        <v>0.14778362621018545</v>
      </c>
      <c r="Z374" s="152">
        <f t="shared" si="141"/>
        <v>13.222631883652216</v>
      </c>
      <c r="AA374" s="179">
        <f t="shared" si="142"/>
        <v>20.283286417743117</v>
      </c>
      <c r="AB374" s="179">
        <f t="shared" si="143"/>
        <v>20.639161556943115</v>
      </c>
      <c r="AC374" s="180">
        <f t="shared" si="150"/>
        <v>33.505918301395333</v>
      </c>
      <c r="AD374" s="156">
        <f t="shared" si="144"/>
        <v>33.861793440595335</v>
      </c>
      <c r="AE374" s="146">
        <f>IFERROR(INDEX(Työkonekanta!$L$3:$L$30,MATCH($A374,Työkonekanta!$A$3:$A$30,0),1),0)*AF374</f>
        <v>500000</v>
      </c>
      <c r="AF374" s="146">
        <f>IFERROR(INDEX(Työkonekanta!$N$3:$N$32,MATCH($A374,Työkonekanta!$A$3:$A$32,0),1),0)</f>
        <v>1</v>
      </c>
      <c r="AG374" s="332">
        <f>I374*INDEX(Muuttujat!$U$5:$U$21,MATCH($C374,Muuttujat!$N$5:$N$21,0),1)</f>
        <v>7979.0722134698408</v>
      </c>
      <c r="AH374" s="332">
        <f>J374*INDEX(Muuttujat!$T$5:$T$21,MATCH($C374,Muuttujat!$N$5:$N$21,0),1)</f>
        <v>5464.8395370769831</v>
      </c>
      <c r="AI374" s="332">
        <f t="shared" si="132"/>
        <v>284.19928117343352</v>
      </c>
      <c r="AJ374" s="332">
        <f t="shared" si="133"/>
        <v>0</v>
      </c>
      <c r="AK374" s="333">
        <f t="shared" si="145"/>
        <v>13728.111031720258</v>
      </c>
      <c r="AL374" s="332">
        <f t="shared" si="134"/>
        <v>13728.111031720258</v>
      </c>
      <c r="AM374" s="351"/>
      <c r="AN374" s="351"/>
    </row>
    <row r="375" spans="1:40">
      <c r="A375" s="139">
        <v>13</v>
      </c>
      <c r="B375" s="139">
        <f>IFERROR(IF((INDEX(Työkonekanta!$F$3:$F$27,MATCH('S3 Tiekartta'!$A375,Työkonekanta!$A$3:$A$24,0),1))&lt;0,0,(INDEX(Työkonekanta!$F$3:$F$27,MATCH('S3 Tiekartta'!$A375,Työkonekanta!$A$3:$A$24,0),1))),0)</f>
        <v>0</v>
      </c>
      <c r="C375" s="140">
        <v>2031</v>
      </c>
      <c r="D375" s="141" t="str">
        <f>IFERROR(INDEX(Työkonekanta!$D$3:$D$27,MATCH('S3 Tiekartta'!$A375,Työkonekanta!$A$3:$A$24,0),1),"undefined")</f>
        <v>pom</v>
      </c>
      <c r="E375" s="145">
        <f>IFERROR(INDEX(Työkonekanta!$G$3:$G$27,MATCH($A375,Työkonekanta!$A$3:$A$24,0),1)*INDEX(Työkonekanta!$H$3:$H$27,MATCH($A375,Työkonekanta!$A$3:$A$24,0),1)*(1+s0b_kasvu*($C375-2019))*$B375,0)</f>
        <v>0</v>
      </c>
      <c r="F375" s="145">
        <f t="shared" si="126"/>
        <v>0</v>
      </c>
      <c r="G375" s="151">
        <f t="shared" si="135"/>
        <v>0</v>
      </c>
      <c r="H375" s="145">
        <f t="shared" si="136"/>
        <v>0</v>
      </c>
      <c r="I375" s="145">
        <f t="shared" si="127"/>
        <v>0</v>
      </c>
      <c r="J375" s="145">
        <f t="shared" si="128"/>
        <v>0</v>
      </c>
      <c r="K375" s="142" t="str">
        <f t="shared" si="137"/>
        <v>l</v>
      </c>
      <c r="L375" s="146">
        <f>IFERROR(INDEX(Työkonekanta!$I$3:$I$27,MATCH('S3 Tiekartta'!$A375,Työkonekanta!$A$3:$A$24,0),1)*(I375+J375)*f_adblue,0)</f>
        <v>0</v>
      </c>
      <c r="M375" s="146">
        <f t="shared" si="146"/>
        <v>0</v>
      </c>
      <c r="N375" s="143" t="str">
        <f>IF(tuulisähkö_vuosi&lt;='S3 Tiekartta'!C375,"tuulisähkö",ostosähkö_nyt)</f>
        <v>jäännössähkö</v>
      </c>
      <c r="O375" s="147">
        <f>INDEX(Muuttujat!$J$5:$J$21,MATCH($C375,Muuttujat!$H$5:$H$21,0),1)</f>
        <v>61.379690186142746</v>
      </c>
      <c r="P375" s="148">
        <f t="shared" si="138"/>
        <v>0.67849253515899999</v>
      </c>
      <c r="Q375" s="148">
        <f t="shared" si="139"/>
        <v>0.32150746484100001</v>
      </c>
      <c r="R375" s="148">
        <f t="shared" si="140"/>
        <v>0.32150746484100001</v>
      </c>
      <c r="S375" s="149">
        <f t="shared" si="129"/>
        <v>0</v>
      </c>
      <c r="T375" s="150">
        <f t="shared" si="130"/>
        <v>0</v>
      </c>
      <c r="U375" s="150">
        <f t="shared" si="131"/>
        <v>0</v>
      </c>
      <c r="V375" s="150">
        <f>IFERROR(INDEX(Työkonekanta!$J$3:$J$27,MATCH($A375,Työkonekanta!$A$3:$A$24,0),1)*$B375*ef_li_ion_akku/1000/1000/INDEX(Työkonekanta!$K$3:$K$27,MATCH($A375,Työkonekanta!$A$3:$A$24,0)),0)</f>
        <v>0</v>
      </c>
      <c r="W375" s="149">
        <f t="shared" si="147"/>
        <v>0</v>
      </c>
      <c r="X375" s="150">
        <f t="shared" si="148"/>
        <v>0</v>
      </c>
      <c r="Y375" s="151">
        <f t="shared" si="149"/>
        <v>0</v>
      </c>
      <c r="Z375" s="152">
        <f t="shared" si="141"/>
        <v>0</v>
      </c>
      <c r="AA375" s="179">
        <f t="shared" si="142"/>
        <v>0</v>
      </c>
      <c r="AB375" s="179">
        <f t="shared" si="143"/>
        <v>0</v>
      </c>
      <c r="AC375" s="180">
        <f t="shared" si="150"/>
        <v>0</v>
      </c>
      <c r="AD375" s="156">
        <f t="shared" si="144"/>
        <v>0</v>
      </c>
      <c r="AE375" s="146">
        <f>IFERROR(INDEX(Työkonekanta!$L$3:$L$30,MATCH($A375,Työkonekanta!$A$3:$A$30,0),1),0)*AF375</f>
        <v>0</v>
      </c>
      <c r="AF375" s="146">
        <f>IFERROR(INDEX(Työkonekanta!$N$3:$N$32,MATCH($A375,Työkonekanta!$A$3:$A$32,0),1),0)</f>
        <v>0</v>
      </c>
      <c r="AG375" s="332">
        <f>I375*INDEX(Muuttujat!$U$5:$U$21,MATCH($C375,Muuttujat!$N$5:$N$21,0),1)</f>
        <v>0</v>
      </c>
      <c r="AH375" s="332">
        <f>J375*INDEX(Muuttujat!$T$5:$T$21,MATCH($C375,Muuttujat!$N$5:$N$21,0),1)</f>
        <v>0</v>
      </c>
      <c r="AI375" s="332">
        <f t="shared" si="132"/>
        <v>0</v>
      </c>
      <c r="AJ375" s="332">
        <f t="shared" si="133"/>
        <v>0</v>
      </c>
      <c r="AK375" s="333">
        <f t="shared" si="145"/>
        <v>0</v>
      </c>
      <c r="AL375" s="332">
        <f t="shared" si="134"/>
        <v>0</v>
      </c>
      <c r="AM375" s="351"/>
      <c r="AN375" s="351"/>
    </row>
    <row r="376" spans="1:40">
      <c r="A376" s="139">
        <v>14</v>
      </c>
      <c r="B376" s="139">
        <f>IFERROR(IF((INDEX(Työkonekanta!$F$3:$F$27,MATCH('S3 Tiekartta'!$A376,Työkonekanta!$A$3:$A$24,0),1))&lt;0,0,(INDEX(Työkonekanta!$F$3:$F$27,MATCH('S3 Tiekartta'!$A376,Työkonekanta!$A$3:$A$24,0),1))),0)</f>
        <v>0</v>
      </c>
      <c r="C376" s="140">
        <v>2031</v>
      </c>
      <c r="D376" s="141" t="str">
        <f>IFERROR(INDEX(Työkonekanta!$D$3:$D$27,MATCH('S3 Tiekartta'!$A376,Työkonekanta!$A$3:$A$24,0),1),"undefined")</f>
        <v>pom</v>
      </c>
      <c r="E376" s="145">
        <f>IFERROR(INDEX(Työkonekanta!$G$3:$G$27,MATCH($A376,Työkonekanta!$A$3:$A$24,0),1)*INDEX(Työkonekanta!$H$3:$H$27,MATCH($A376,Työkonekanta!$A$3:$A$24,0),1)*(1+s0b_kasvu*($C376-2019))*$B376,0)</f>
        <v>0</v>
      </c>
      <c r="F376" s="145">
        <f t="shared" si="126"/>
        <v>0</v>
      </c>
      <c r="G376" s="151">
        <f t="shared" si="135"/>
        <v>0</v>
      </c>
      <c r="H376" s="145">
        <f t="shared" si="136"/>
        <v>0</v>
      </c>
      <c r="I376" s="145">
        <f t="shared" si="127"/>
        <v>0</v>
      </c>
      <c r="J376" s="145">
        <f t="shared" si="128"/>
        <v>0</v>
      </c>
      <c r="K376" s="142" t="str">
        <f t="shared" si="137"/>
        <v>l</v>
      </c>
      <c r="L376" s="146">
        <f>IFERROR(INDEX(Työkonekanta!$I$3:$I$27,MATCH('S3 Tiekartta'!$A376,Työkonekanta!$A$3:$A$24,0),1)*(I376+J376)*f_adblue,0)</f>
        <v>0</v>
      </c>
      <c r="M376" s="146">
        <f t="shared" si="146"/>
        <v>0</v>
      </c>
      <c r="N376" s="143" t="str">
        <f>IF(tuulisähkö_vuosi&lt;='S3 Tiekartta'!C376,"tuulisähkö",ostosähkö_nyt)</f>
        <v>jäännössähkö</v>
      </c>
      <c r="O376" s="147">
        <f>INDEX(Muuttujat!$J$5:$J$21,MATCH($C376,Muuttujat!$H$5:$H$21,0),1)</f>
        <v>61.379690186142746</v>
      </c>
      <c r="P376" s="148">
        <f t="shared" si="138"/>
        <v>0.67849253515899999</v>
      </c>
      <c r="Q376" s="148">
        <f t="shared" si="139"/>
        <v>0.32150746484100001</v>
      </c>
      <c r="R376" s="148">
        <f t="shared" si="140"/>
        <v>0.32150746484100001</v>
      </c>
      <c r="S376" s="149">
        <f t="shared" si="129"/>
        <v>0</v>
      </c>
      <c r="T376" s="150">
        <f t="shared" si="130"/>
        <v>0</v>
      </c>
      <c r="U376" s="150">
        <f t="shared" si="131"/>
        <v>0</v>
      </c>
      <c r="V376" s="150">
        <f>IFERROR(INDEX(Työkonekanta!$J$3:$J$27,MATCH($A376,Työkonekanta!$A$3:$A$24,0),1)*$B376*ef_li_ion_akku/1000/1000/INDEX(Työkonekanta!$K$3:$K$27,MATCH($A376,Työkonekanta!$A$3:$A$24,0)),0)</f>
        <v>0</v>
      </c>
      <c r="W376" s="149">
        <f t="shared" si="147"/>
        <v>0</v>
      </c>
      <c r="X376" s="150">
        <f t="shared" si="148"/>
        <v>0</v>
      </c>
      <c r="Y376" s="151">
        <f t="shared" si="149"/>
        <v>0</v>
      </c>
      <c r="Z376" s="152">
        <f t="shared" si="141"/>
        <v>0</v>
      </c>
      <c r="AA376" s="179">
        <f t="shared" si="142"/>
        <v>0</v>
      </c>
      <c r="AB376" s="179">
        <f t="shared" si="143"/>
        <v>0</v>
      </c>
      <c r="AC376" s="180">
        <f t="shared" si="150"/>
        <v>0</v>
      </c>
      <c r="AD376" s="156">
        <f t="shared" si="144"/>
        <v>0</v>
      </c>
      <c r="AE376" s="146">
        <f>IFERROR(INDEX(Työkonekanta!$L$3:$L$30,MATCH($A376,Työkonekanta!$A$3:$A$30,0),1),0)*AF376</f>
        <v>0</v>
      </c>
      <c r="AF376" s="146">
        <f>IFERROR(INDEX(Työkonekanta!$N$3:$N$32,MATCH($A376,Työkonekanta!$A$3:$A$32,0),1),0)</f>
        <v>0</v>
      </c>
      <c r="AG376" s="332">
        <f>I376*INDEX(Muuttujat!$U$5:$U$21,MATCH($C376,Muuttujat!$N$5:$N$21,0),1)</f>
        <v>0</v>
      </c>
      <c r="AH376" s="332">
        <f>J376*INDEX(Muuttujat!$T$5:$T$21,MATCH($C376,Muuttujat!$N$5:$N$21,0),1)</f>
        <v>0</v>
      </c>
      <c r="AI376" s="332">
        <f t="shared" si="132"/>
        <v>0</v>
      </c>
      <c r="AJ376" s="332">
        <f t="shared" si="133"/>
        <v>0</v>
      </c>
      <c r="AK376" s="333">
        <f t="shared" si="145"/>
        <v>0</v>
      </c>
      <c r="AL376" s="332">
        <f t="shared" si="134"/>
        <v>0</v>
      </c>
      <c r="AM376" s="351"/>
      <c r="AN376" s="351"/>
    </row>
    <row r="377" spans="1:40">
      <c r="A377" s="139">
        <v>15</v>
      </c>
      <c r="B377" s="139">
        <f>IFERROR(IF((INDEX(Työkonekanta!$F$3:$F$27,MATCH('S3 Tiekartta'!$A377,Työkonekanta!$A$3:$A$24,0),1))&lt;0,0,(INDEX(Työkonekanta!$F$3:$F$27,MATCH('S3 Tiekartta'!$A377,Työkonekanta!$A$3:$A$24,0),1))),0)</f>
        <v>0</v>
      </c>
      <c r="C377" s="140">
        <v>2031</v>
      </c>
      <c r="D377" s="141" t="str">
        <f>IFERROR(INDEX(Työkonekanta!$D$3:$D$27,MATCH('S3 Tiekartta'!$A377,Työkonekanta!$A$3:$A$24,0),1),"undefined")</f>
        <v>sähkö</v>
      </c>
      <c r="E377" s="145">
        <f>IFERROR(INDEX(Työkonekanta!$G$3:$G$27,MATCH($A377,Työkonekanta!$A$3:$A$24,0),1)*INDEX(Työkonekanta!$H$3:$H$27,MATCH($A377,Työkonekanta!$A$3:$A$24,0),1)*(1+s0b_kasvu*($C377-2019))*$B377,0)</f>
        <v>0</v>
      </c>
      <c r="F377" s="145">
        <f t="shared" si="126"/>
        <v>0</v>
      </c>
      <c r="G377" s="151">
        <f t="shared" si="135"/>
        <v>0</v>
      </c>
      <c r="H377" s="145">
        <f t="shared" si="136"/>
        <v>0</v>
      </c>
      <c r="I377" s="145">
        <f t="shared" si="127"/>
        <v>0</v>
      </c>
      <c r="J377" s="145">
        <f t="shared" si="128"/>
        <v>0</v>
      </c>
      <c r="K377" s="142" t="str">
        <f t="shared" si="137"/>
        <v>kWh</v>
      </c>
      <c r="L377" s="146">
        <f>IFERROR(INDEX(Työkonekanta!$I$3:$I$27,MATCH('S3 Tiekartta'!$A377,Työkonekanta!$A$3:$A$24,0),1)*(I377+J377)*f_adblue,0)</f>
        <v>0</v>
      </c>
      <c r="M377" s="146">
        <f t="shared" si="146"/>
        <v>0</v>
      </c>
      <c r="N377" s="143" t="str">
        <f>IF(tuulisähkö_vuosi&lt;='S3 Tiekartta'!C377,"tuulisähkö",ostosähkö_nyt)</f>
        <v>jäännössähkö</v>
      </c>
      <c r="O377" s="147">
        <f>INDEX(Muuttujat!$J$5:$J$21,MATCH($C377,Muuttujat!$H$5:$H$21,0),1)</f>
        <v>61.379690186142746</v>
      </c>
      <c r="P377" s="148">
        <f t="shared" si="138"/>
        <v>0.67849253515899999</v>
      </c>
      <c r="Q377" s="148">
        <f t="shared" si="139"/>
        <v>0.32150746484100001</v>
      </c>
      <c r="R377" s="148">
        <f t="shared" si="140"/>
        <v>0.32150746484100001</v>
      </c>
      <c r="S377" s="149">
        <f t="shared" si="129"/>
        <v>0</v>
      </c>
      <c r="T377" s="150">
        <f t="shared" si="130"/>
        <v>0</v>
      </c>
      <c r="U377" s="150">
        <f t="shared" si="131"/>
        <v>0</v>
      </c>
      <c r="V377" s="150">
        <f>IFERROR(INDEX(Työkonekanta!$J$3:$J$27,MATCH($A377,Työkonekanta!$A$3:$A$24,0),1)*$B377*ef_li_ion_akku/1000/1000/INDEX(Työkonekanta!$K$3:$K$27,MATCH($A377,Työkonekanta!$A$3:$A$24,0)),0)</f>
        <v>0</v>
      </c>
      <c r="W377" s="149">
        <f t="shared" si="147"/>
        <v>0</v>
      </c>
      <c r="X377" s="150">
        <f t="shared" si="148"/>
        <v>0</v>
      </c>
      <c r="Y377" s="151">
        <f t="shared" si="149"/>
        <v>0</v>
      </c>
      <c r="Z377" s="152">
        <f t="shared" si="141"/>
        <v>0</v>
      </c>
      <c r="AA377" s="179">
        <f t="shared" si="142"/>
        <v>0</v>
      </c>
      <c r="AB377" s="179">
        <f t="shared" si="143"/>
        <v>0</v>
      </c>
      <c r="AC377" s="180">
        <f t="shared" si="150"/>
        <v>0</v>
      </c>
      <c r="AD377" s="156">
        <f t="shared" si="144"/>
        <v>0</v>
      </c>
      <c r="AE377" s="146">
        <f>IFERROR(INDEX(Työkonekanta!$L$3:$L$30,MATCH($A377,Työkonekanta!$A$3:$A$30,0),1),0)*AF377</f>
        <v>0</v>
      </c>
      <c r="AF377" s="146">
        <f>IFERROR(INDEX(Työkonekanta!$N$3:$N$32,MATCH($A377,Työkonekanta!$A$3:$A$32,0),1),0)</f>
        <v>0</v>
      </c>
      <c r="AG377" s="332">
        <f>I377*INDEX(Muuttujat!$U$5:$U$21,MATCH($C377,Muuttujat!$N$5:$N$21,0),1)</f>
        <v>0</v>
      </c>
      <c r="AH377" s="332">
        <f>J377*INDEX(Muuttujat!$T$5:$T$21,MATCH($C377,Muuttujat!$N$5:$N$21,0),1)</f>
        <v>0</v>
      </c>
      <c r="AI377" s="332">
        <f t="shared" si="132"/>
        <v>0</v>
      </c>
      <c r="AJ377" s="332">
        <f t="shared" si="133"/>
        <v>0</v>
      </c>
      <c r="AK377" s="333">
        <f t="shared" si="145"/>
        <v>0</v>
      </c>
      <c r="AL377" s="332">
        <f t="shared" si="134"/>
        <v>0</v>
      </c>
      <c r="AM377" s="351"/>
      <c r="AN377" s="351"/>
    </row>
    <row r="378" spans="1:40">
      <c r="A378" s="139">
        <v>16</v>
      </c>
      <c r="B378" s="139">
        <f>IFERROR(IF((INDEX(Työkonekanta!$F$3:$F$27,MATCH('S3 Tiekartta'!$A378,Työkonekanta!$A$3:$A$24,0),1))&lt;0,0,(INDEX(Työkonekanta!$F$3:$F$27,MATCH('S3 Tiekartta'!$A378,Työkonekanta!$A$3:$A$24,0),1))),0)</f>
        <v>0</v>
      </c>
      <c r="C378" s="140">
        <v>2031</v>
      </c>
      <c r="D378" s="141" t="str">
        <f>IFERROR(INDEX(Työkonekanta!$D$3:$D$27,MATCH('S3 Tiekartta'!$A378,Työkonekanta!$A$3:$A$24,0),1),"undefined")</f>
        <v>sähkö</v>
      </c>
      <c r="E378" s="145">
        <f>IFERROR(INDEX(Työkonekanta!$G$3:$G$27,MATCH($A378,Työkonekanta!$A$3:$A$24,0),1)*INDEX(Työkonekanta!$H$3:$H$27,MATCH($A378,Työkonekanta!$A$3:$A$24,0),1)*(1+s0b_kasvu*($C378-2019))*$B378,0)</f>
        <v>0</v>
      </c>
      <c r="F378" s="145">
        <f t="shared" si="126"/>
        <v>0</v>
      </c>
      <c r="G378" s="151">
        <f t="shared" si="135"/>
        <v>0</v>
      </c>
      <c r="H378" s="145">
        <f t="shared" si="136"/>
        <v>0</v>
      </c>
      <c r="I378" s="145">
        <f t="shared" si="127"/>
        <v>0</v>
      </c>
      <c r="J378" s="145">
        <f t="shared" si="128"/>
        <v>0</v>
      </c>
      <c r="K378" s="142" t="str">
        <f t="shared" si="137"/>
        <v>kWh</v>
      </c>
      <c r="L378" s="146">
        <f>IFERROR(INDEX(Työkonekanta!$I$3:$I$27,MATCH('S3 Tiekartta'!$A378,Työkonekanta!$A$3:$A$24,0),1)*(I378+J378)*f_adblue,0)</f>
        <v>0</v>
      </c>
      <c r="M378" s="146">
        <f t="shared" si="146"/>
        <v>0</v>
      </c>
      <c r="N378" s="143" t="str">
        <f>IF(tuulisähkö_vuosi&lt;='S3 Tiekartta'!C378,"tuulisähkö",ostosähkö_nyt)</f>
        <v>jäännössähkö</v>
      </c>
      <c r="O378" s="147">
        <f>INDEX(Muuttujat!$J$5:$J$21,MATCH($C378,Muuttujat!$H$5:$H$21,0),1)</f>
        <v>61.379690186142746</v>
      </c>
      <c r="P378" s="148">
        <f t="shared" si="138"/>
        <v>0.67849253515899999</v>
      </c>
      <c r="Q378" s="148">
        <f t="shared" si="139"/>
        <v>0.32150746484100001</v>
      </c>
      <c r="R378" s="148">
        <f t="shared" si="140"/>
        <v>0.32150746484100001</v>
      </c>
      <c r="S378" s="149">
        <f t="shared" si="129"/>
        <v>0</v>
      </c>
      <c r="T378" s="150">
        <f t="shared" si="130"/>
        <v>0</v>
      </c>
      <c r="U378" s="150">
        <f t="shared" si="131"/>
        <v>0</v>
      </c>
      <c r="V378" s="150">
        <f>IFERROR(INDEX(Työkonekanta!$J$3:$J$27,MATCH($A378,Työkonekanta!$A$3:$A$24,0),1)*$B378*ef_li_ion_akku/1000/1000/INDEX(Työkonekanta!$K$3:$K$27,MATCH($A378,Työkonekanta!$A$3:$A$24,0)),0)</f>
        <v>0</v>
      </c>
      <c r="W378" s="149">
        <f t="shared" si="147"/>
        <v>0</v>
      </c>
      <c r="X378" s="150">
        <f t="shared" si="148"/>
        <v>0</v>
      </c>
      <c r="Y378" s="151">
        <f t="shared" si="149"/>
        <v>0</v>
      </c>
      <c r="Z378" s="152">
        <f t="shared" si="141"/>
        <v>0</v>
      </c>
      <c r="AA378" s="179">
        <f t="shared" si="142"/>
        <v>0</v>
      </c>
      <c r="AB378" s="179">
        <f t="shared" si="143"/>
        <v>0</v>
      </c>
      <c r="AC378" s="180">
        <f t="shared" si="150"/>
        <v>0</v>
      </c>
      <c r="AD378" s="156">
        <f t="shared" si="144"/>
        <v>0</v>
      </c>
      <c r="AE378" s="146">
        <f>IFERROR(INDEX(Työkonekanta!$L$3:$L$30,MATCH($A378,Työkonekanta!$A$3:$A$30,0),1),0)*AF378</f>
        <v>0</v>
      </c>
      <c r="AF378" s="146">
        <f>IFERROR(INDEX(Työkonekanta!$N$3:$N$32,MATCH($A378,Työkonekanta!$A$3:$A$32,0),1),0)</f>
        <v>0</v>
      </c>
      <c r="AG378" s="332">
        <f>I378*INDEX(Muuttujat!$U$5:$U$21,MATCH($C378,Muuttujat!$N$5:$N$21,0),1)</f>
        <v>0</v>
      </c>
      <c r="AH378" s="332">
        <f>J378*INDEX(Muuttujat!$T$5:$T$21,MATCH($C378,Muuttujat!$N$5:$N$21,0),1)</f>
        <v>0</v>
      </c>
      <c r="AI378" s="332">
        <f t="shared" si="132"/>
        <v>0</v>
      </c>
      <c r="AJ378" s="332">
        <f t="shared" si="133"/>
        <v>0</v>
      </c>
      <c r="AK378" s="333">
        <f t="shared" si="145"/>
        <v>0</v>
      </c>
      <c r="AL378" s="332">
        <f t="shared" si="134"/>
        <v>0</v>
      </c>
      <c r="AM378" s="351"/>
      <c r="AN378" s="351"/>
    </row>
    <row r="379" spans="1:40">
      <c r="A379" s="139">
        <v>17</v>
      </c>
      <c r="B379" s="139">
        <f>IFERROR(IF((INDEX(Työkonekanta!$F$3:$F$27,MATCH('S3 Tiekartta'!$A379,Työkonekanta!$A$3:$A$24,0),1))&lt;0,0,(INDEX(Työkonekanta!$F$3:$F$27,MATCH('S3 Tiekartta'!$A379,Työkonekanta!$A$3:$A$24,0),1))),0)</f>
        <v>1</v>
      </c>
      <c r="C379" s="140">
        <v>2031</v>
      </c>
      <c r="D379" s="141" t="str">
        <f>IFERROR(INDEX(Työkonekanta!$D$3:$D$27,MATCH('S3 Tiekartta'!$A379,Työkonekanta!$A$3:$A$24,0),1),"undefined")</f>
        <v>pom</v>
      </c>
      <c r="E379" s="145">
        <f>IFERROR(INDEX(Työkonekanta!$G$3:$G$27,MATCH($A379,Työkonekanta!$A$3:$A$24,0),1)*INDEX(Työkonekanta!$H$3:$H$27,MATCH($A379,Työkonekanta!$A$3:$A$24,0),1)*(1+s0b_kasvu*($C379-2019))*$B379,0)</f>
        <v>11200.000000000002</v>
      </c>
      <c r="F379" s="145">
        <f t="shared" si="126"/>
        <v>402080.00000000006</v>
      </c>
      <c r="G379" s="151">
        <f t="shared" si="135"/>
        <v>272808.27853673074</v>
      </c>
      <c r="H379" s="145">
        <f t="shared" si="136"/>
        <v>129271.72146326931</v>
      </c>
      <c r="I379" s="145">
        <f t="shared" si="127"/>
        <v>7599.1163937808005</v>
      </c>
      <c r="J379" s="145">
        <f t="shared" si="128"/>
        <v>3768.8548531565398</v>
      </c>
      <c r="K379" s="142" t="str">
        <f t="shared" si="137"/>
        <v>l</v>
      </c>
      <c r="L379" s="146">
        <f>IFERROR(INDEX(Työkonekanta!$I$3:$I$27,MATCH('S3 Tiekartta'!$A379,Työkonekanta!$A$3:$A$24,0),1)*(I379+J379)*f_adblue,0)</f>
        <v>568.39856234686704</v>
      </c>
      <c r="M379" s="146">
        <f t="shared" si="146"/>
        <v>0</v>
      </c>
      <c r="N379" s="143" t="str">
        <f>IF(tuulisähkö_vuosi&lt;='S3 Tiekartta'!C379,"tuulisähkö",ostosähkö_nyt)</f>
        <v>jäännössähkö</v>
      </c>
      <c r="O379" s="147">
        <f>INDEX(Muuttujat!$J$5:$J$21,MATCH($C379,Muuttujat!$H$5:$H$21,0),1)</f>
        <v>61.379690186142746</v>
      </c>
      <c r="P379" s="148">
        <f t="shared" si="138"/>
        <v>0.67849253515899999</v>
      </c>
      <c r="Q379" s="148">
        <f t="shared" si="139"/>
        <v>0.32150746484100001</v>
      </c>
      <c r="R379" s="148">
        <f t="shared" si="140"/>
        <v>0.32150746484100001</v>
      </c>
      <c r="S379" s="149">
        <f t="shared" si="129"/>
        <v>5.1560764643442107</v>
      </c>
      <c r="T379" s="150">
        <f t="shared" si="130"/>
        <v>8.0665554193080045</v>
      </c>
      <c r="U379" s="150">
        <f t="shared" si="131"/>
        <v>0</v>
      </c>
      <c r="V379" s="150">
        <f>IFERROR(INDEX(Työkonekanta!$J$3:$J$27,MATCH($A379,Työkonekanta!$A$3:$A$24,0),1)*$B379*ef_li_ion_akku/1000/1000/INDEX(Työkonekanta!$K$3:$K$27,MATCH($A379,Työkonekanta!$A$3:$A$24,0)),0)</f>
        <v>0</v>
      </c>
      <c r="W379" s="149">
        <f t="shared" si="147"/>
        <v>20.135502791532932</v>
      </c>
      <c r="X379" s="150">
        <f t="shared" si="148"/>
        <v>0.35587513920000002</v>
      </c>
      <c r="Y379" s="151">
        <f t="shared" si="149"/>
        <v>0.14778362621018545</v>
      </c>
      <c r="Z379" s="152">
        <f t="shared" si="141"/>
        <v>13.222631883652216</v>
      </c>
      <c r="AA379" s="179">
        <f t="shared" si="142"/>
        <v>20.283286417743117</v>
      </c>
      <c r="AB379" s="179">
        <f t="shared" si="143"/>
        <v>20.639161556943115</v>
      </c>
      <c r="AC379" s="180">
        <f t="shared" si="150"/>
        <v>33.505918301395333</v>
      </c>
      <c r="AD379" s="156">
        <f t="shared" si="144"/>
        <v>33.861793440595335</v>
      </c>
      <c r="AE379" s="146">
        <f>IFERROR(INDEX(Työkonekanta!$L$3:$L$30,MATCH($A379,Työkonekanta!$A$3:$A$30,0),1),0)*AF379</f>
        <v>500000</v>
      </c>
      <c r="AF379" s="146">
        <f>IFERROR(INDEX(Työkonekanta!$N$3:$N$32,MATCH($A379,Työkonekanta!$A$3:$A$32,0),1),0)</f>
        <v>1</v>
      </c>
      <c r="AG379" s="332">
        <f>I379*INDEX(Muuttujat!$U$5:$U$21,MATCH($C379,Muuttujat!$N$5:$N$21,0),1)</f>
        <v>7979.0722134698408</v>
      </c>
      <c r="AH379" s="332">
        <f>J379*INDEX(Muuttujat!$T$5:$T$21,MATCH($C379,Muuttujat!$N$5:$N$21,0),1)</f>
        <v>5464.8395370769831</v>
      </c>
      <c r="AI379" s="332">
        <f t="shared" si="132"/>
        <v>284.19928117343352</v>
      </c>
      <c r="AJ379" s="332">
        <f t="shared" si="133"/>
        <v>0</v>
      </c>
      <c r="AK379" s="333">
        <f t="shared" si="145"/>
        <v>13728.111031720258</v>
      </c>
      <c r="AL379" s="332">
        <f t="shared" si="134"/>
        <v>13728.111031720258</v>
      </c>
      <c r="AM379" s="351"/>
      <c r="AN379" s="351"/>
    </row>
    <row r="380" spans="1:40">
      <c r="A380" s="139">
        <v>18</v>
      </c>
      <c r="B380" s="139">
        <f>IFERROR(IF((INDEX(Työkonekanta!$F$3:$F$27,MATCH('S3 Tiekartta'!$A380,Työkonekanta!$A$3:$A$24,0),1))&lt;0,0,(INDEX(Työkonekanta!$F$3:$F$27,MATCH('S3 Tiekartta'!$A380,Työkonekanta!$A$3:$A$24,0),1))),0)</f>
        <v>1</v>
      </c>
      <c r="C380" s="140">
        <v>2031</v>
      </c>
      <c r="D380" s="141" t="str">
        <f>IFERROR(INDEX(Työkonekanta!$D$3:$D$27,MATCH('S3 Tiekartta'!$A380,Työkonekanta!$A$3:$A$24,0),1),"undefined")</f>
        <v>pom</v>
      </c>
      <c r="E380" s="145">
        <f>IFERROR(INDEX(Työkonekanta!$G$3:$G$27,MATCH($A380,Työkonekanta!$A$3:$A$24,0),1)*INDEX(Työkonekanta!$H$3:$H$27,MATCH($A380,Työkonekanta!$A$3:$A$24,0),1)*(1+s0b_kasvu*($C380-2019))*$B380,0)</f>
        <v>11200.000000000002</v>
      </c>
      <c r="F380" s="145">
        <f t="shared" si="126"/>
        <v>402080.00000000006</v>
      </c>
      <c r="G380" s="151">
        <f t="shared" si="135"/>
        <v>272808.27853673074</v>
      </c>
      <c r="H380" s="145">
        <f t="shared" si="136"/>
        <v>129271.72146326931</v>
      </c>
      <c r="I380" s="145">
        <f t="shared" si="127"/>
        <v>7599.1163937808005</v>
      </c>
      <c r="J380" s="145">
        <f t="shared" si="128"/>
        <v>3768.8548531565398</v>
      </c>
      <c r="K380" s="142" t="str">
        <f t="shared" si="137"/>
        <v>l</v>
      </c>
      <c r="L380" s="146">
        <f>IFERROR(INDEX(Työkonekanta!$I$3:$I$27,MATCH('S3 Tiekartta'!$A380,Työkonekanta!$A$3:$A$24,0),1)*(I380+J380)*f_adblue,0)</f>
        <v>454.71884987749365</v>
      </c>
      <c r="M380" s="146">
        <f t="shared" si="146"/>
        <v>0</v>
      </c>
      <c r="N380" s="143" t="str">
        <f>IF(tuulisähkö_vuosi&lt;='S3 Tiekartta'!C380,"tuulisähkö",ostosähkö_nyt)</f>
        <v>jäännössähkö</v>
      </c>
      <c r="O380" s="147">
        <f>INDEX(Muuttujat!$J$5:$J$21,MATCH($C380,Muuttujat!$H$5:$H$21,0),1)</f>
        <v>61.379690186142746</v>
      </c>
      <c r="P380" s="148">
        <f t="shared" si="138"/>
        <v>0.67849253515899999</v>
      </c>
      <c r="Q380" s="148">
        <f t="shared" si="139"/>
        <v>0.32150746484100001</v>
      </c>
      <c r="R380" s="148">
        <f t="shared" si="140"/>
        <v>0.32150746484100001</v>
      </c>
      <c r="S380" s="149">
        <f t="shared" si="129"/>
        <v>5.1560764643442107</v>
      </c>
      <c r="T380" s="150">
        <f t="shared" si="130"/>
        <v>8.0665554193080045</v>
      </c>
      <c r="U380" s="150">
        <f t="shared" si="131"/>
        <v>0</v>
      </c>
      <c r="V380" s="150">
        <f>IFERROR(INDEX(Työkonekanta!$J$3:$J$27,MATCH($A380,Työkonekanta!$A$3:$A$24,0),1)*$B380*ef_li_ion_akku/1000/1000/INDEX(Työkonekanta!$K$3:$K$27,MATCH($A380,Työkonekanta!$A$3:$A$24,0)),0)</f>
        <v>0</v>
      </c>
      <c r="W380" s="149">
        <f t="shared" si="147"/>
        <v>20.135502791532932</v>
      </c>
      <c r="X380" s="150">
        <f t="shared" si="148"/>
        <v>0.35587513920000002</v>
      </c>
      <c r="Y380" s="151">
        <f t="shared" si="149"/>
        <v>0.11822690096814835</v>
      </c>
      <c r="Z380" s="152">
        <f t="shared" si="141"/>
        <v>13.222631883652216</v>
      </c>
      <c r="AA380" s="179">
        <f t="shared" si="142"/>
        <v>20.253729692501082</v>
      </c>
      <c r="AB380" s="179">
        <f t="shared" si="143"/>
        <v>20.60960483170108</v>
      </c>
      <c r="AC380" s="180">
        <f t="shared" si="150"/>
        <v>33.476361576153295</v>
      </c>
      <c r="AD380" s="156">
        <f t="shared" si="144"/>
        <v>33.832236715353297</v>
      </c>
      <c r="AE380" s="146">
        <f>IFERROR(INDEX(Työkonekanta!$L$3:$L$30,MATCH($A380,Työkonekanta!$A$3:$A$30,0),1),0)*AF380</f>
        <v>500000</v>
      </c>
      <c r="AF380" s="146">
        <f>IFERROR(INDEX(Työkonekanta!$N$3:$N$32,MATCH($A380,Työkonekanta!$A$3:$A$32,0),1),0)</f>
        <v>1</v>
      </c>
      <c r="AG380" s="332">
        <f>I380*INDEX(Muuttujat!$U$5:$U$21,MATCH($C380,Muuttujat!$N$5:$N$21,0),1)</f>
        <v>7979.0722134698408</v>
      </c>
      <c r="AH380" s="332">
        <f>J380*INDEX(Muuttujat!$T$5:$T$21,MATCH($C380,Muuttujat!$N$5:$N$21,0),1)</f>
        <v>5464.8395370769831</v>
      </c>
      <c r="AI380" s="332">
        <f t="shared" si="132"/>
        <v>227.35942493874683</v>
      </c>
      <c r="AJ380" s="332">
        <f t="shared" si="133"/>
        <v>0</v>
      </c>
      <c r="AK380" s="333">
        <f t="shared" si="145"/>
        <v>13671.27117548557</v>
      </c>
      <c r="AL380" s="332">
        <f t="shared" si="134"/>
        <v>13671.27117548557</v>
      </c>
      <c r="AM380" s="351"/>
      <c r="AN380" s="351"/>
    </row>
    <row r="381" spans="1:40">
      <c r="A381" s="139">
        <v>19</v>
      </c>
      <c r="B381" s="139">
        <f>IFERROR(IF((INDEX(Työkonekanta!$F$3:$F$27,MATCH('S3 Tiekartta'!$A381,Työkonekanta!$A$3:$A$24,0),1))&lt;0,0,(INDEX(Työkonekanta!$F$3:$F$27,MATCH('S3 Tiekartta'!$A381,Työkonekanta!$A$3:$A$24,0),1))),0)</f>
        <v>0</v>
      </c>
      <c r="C381" s="140">
        <v>2031</v>
      </c>
      <c r="D381" s="141" t="str">
        <f>IFERROR(INDEX(Työkonekanta!$D$3:$D$27,MATCH('S3 Tiekartta'!$A381,Työkonekanta!$A$3:$A$24,0),1),"undefined")</f>
        <v>pom</v>
      </c>
      <c r="E381" s="145">
        <f>IFERROR(INDEX(Työkonekanta!$G$3:$G$27,MATCH($A381,Työkonekanta!$A$3:$A$24,0),1)*INDEX(Työkonekanta!$H$3:$H$27,MATCH($A381,Työkonekanta!$A$3:$A$24,0),1)*(1+s0b_kasvu*($C381-2019))*$B381,0)</f>
        <v>0</v>
      </c>
      <c r="F381" s="145">
        <f t="shared" si="126"/>
        <v>0</v>
      </c>
      <c r="G381" s="151">
        <f t="shared" si="135"/>
        <v>0</v>
      </c>
      <c r="H381" s="145">
        <f t="shared" si="136"/>
        <v>0</v>
      </c>
      <c r="I381" s="145">
        <f t="shared" si="127"/>
        <v>0</v>
      </c>
      <c r="J381" s="145">
        <f t="shared" si="128"/>
        <v>0</v>
      </c>
      <c r="K381" s="142" t="str">
        <f t="shared" si="137"/>
        <v>l</v>
      </c>
      <c r="L381" s="146">
        <f>IFERROR(INDEX(Työkonekanta!$I$3:$I$27,MATCH('S3 Tiekartta'!$A381,Työkonekanta!$A$3:$A$24,0),1)*(I381+J381)*f_adblue,0)</f>
        <v>0</v>
      </c>
      <c r="M381" s="146">
        <f t="shared" si="146"/>
        <v>0</v>
      </c>
      <c r="N381" s="143" t="str">
        <f>IF(tuulisähkö_vuosi&lt;='S3 Tiekartta'!C381,"tuulisähkö",ostosähkö_nyt)</f>
        <v>jäännössähkö</v>
      </c>
      <c r="O381" s="147">
        <f>INDEX(Muuttujat!$J$5:$J$21,MATCH($C381,Muuttujat!$H$5:$H$21,0),1)</f>
        <v>61.379690186142746</v>
      </c>
      <c r="P381" s="148">
        <f t="shared" si="138"/>
        <v>0.67849253515899999</v>
      </c>
      <c r="Q381" s="148">
        <f t="shared" si="139"/>
        <v>0.32150746484100001</v>
      </c>
      <c r="R381" s="148">
        <f t="shared" si="140"/>
        <v>0.32150746484100001</v>
      </c>
      <c r="S381" s="149">
        <f t="shared" si="129"/>
        <v>0</v>
      </c>
      <c r="T381" s="150">
        <f t="shared" si="130"/>
        <v>0</v>
      </c>
      <c r="U381" s="150">
        <f t="shared" si="131"/>
        <v>0</v>
      </c>
      <c r="V381" s="150">
        <f>IFERROR(INDEX(Työkonekanta!$J$3:$J$27,MATCH($A381,Työkonekanta!$A$3:$A$24,0),1)*$B381*ef_li_ion_akku/1000/1000/INDEX(Työkonekanta!$K$3:$K$27,MATCH($A381,Työkonekanta!$A$3:$A$24,0)),0)</f>
        <v>0</v>
      </c>
      <c r="W381" s="149">
        <f t="shared" si="147"/>
        <v>0</v>
      </c>
      <c r="X381" s="150">
        <f t="shared" si="148"/>
        <v>0</v>
      </c>
      <c r="Y381" s="151">
        <f t="shared" si="149"/>
        <v>0</v>
      </c>
      <c r="Z381" s="152">
        <f t="shared" si="141"/>
        <v>0</v>
      </c>
      <c r="AA381" s="179">
        <f t="shared" si="142"/>
        <v>0</v>
      </c>
      <c r="AB381" s="179">
        <f t="shared" si="143"/>
        <v>0</v>
      </c>
      <c r="AC381" s="180">
        <f t="shared" si="150"/>
        <v>0</v>
      </c>
      <c r="AD381" s="156">
        <f t="shared" si="144"/>
        <v>0</v>
      </c>
      <c r="AE381" s="146">
        <f>IFERROR(INDEX(Työkonekanta!$L$3:$L$30,MATCH($A381,Työkonekanta!$A$3:$A$30,0),1),0)*AF381</f>
        <v>0</v>
      </c>
      <c r="AF381" s="146">
        <f>IFERROR(INDEX(Työkonekanta!$N$3:$N$32,MATCH($A381,Työkonekanta!$A$3:$A$32,0),1),0)</f>
        <v>0</v>
      </c>
      <c r="AG381" s="332">
        <f>I381*INDEX(Muuttujat!$U$5:$U$21,MATCH($C381,Muuttujat!$N$5:$N$21,0),1)</f>
        <v>0</v>
      </c>
      <c r="AH381" s="332">
        <f>J381*INDEX(Muuttujat!$T$5:$T$21,MATCH($C381,Muuttujat!$N$5:$N$21,0),1)</f>
        <v>0</v>
      </c>
      <c r="AI381" s="332">
        <f t="shared" si="132"/>
        <v>0</v>
      </c>
      <c r="AJ381" s="332">
        <f t="shared" si="133"/>
        <v>0</v>
      </c>
      <c r="AK381" s="333">
        <f t="shared" si="145"/>
        <v>0</v>
      </c>
      <c r="AL381" s="332">
        <f t="shared" si="134"/>
        <v>0</v>
      </c>
      <c r="AM381" s="351"/>
      <c r="AN381" s="351"/>
    </row>
    <row r="382" spans="1:40">
      <c r="A382" s="139">
        <v>20</v>
      </c>
      <c r="B382" s="139">
        <f>IFERROR(IF((INDEX(Työkonekanta!$F$3:$F$27,MATCH('S3 Tiekartta'!$A382,Työkonekanta!$A$3:$A$24,0),1))&lt;0,0,(INDEX(Työkonekanta!$F$3:$F$27,MATCH('S3 Tiekartta'!$A382,Työkonekanta!$A$3:$A$24,0),1))),0)</f>
        <v>0</v>
      </c>
      <c r="C382" s="140">
        <v>2031</v>
      </c>
      <c r="D382" s="141" t="str">
        <f>IFERROR(INDEX(Työkonekanta!$D$3:$D$27,MATCH('S3 Tiekartta'!$A382,Työkonekanta!$A$3:$A$24,0),1),"undefined")</f>
        <v>pom</v>
      </c>
      <c r="E382" s="145">
        <f>IFERROR(INDEX(Työkonekanta!$G$3:$G$27,MATCH($A382,Työkonekanta!$A$3:$A$24,0),1)*INDEX(Työkonekanta!$H$3:$H$27,MATCH($A382,Työkonekanta!$A$3:$A$24,0),1)*(1+s0b_kasvu*($C382-2019))*$B382,0)</f>
        <v>0</v>
      </c>
      <c r="F382" s="145">
        <f t="shared" si="126"/>
        <v>0</v>
      </c>
      <c r="G382" s="151">
        <f t="shared" si="135"/>
        <v>0</v>
      </c>
      <c r="H382" s="145">
        <f t="shared" si="136"/>
        <v>0</v>
      </c>
      <c r="I382" s="145">
        <f t="shared" si="127"/>
        <v>0</v>
      </c>
      <c r="J382" s="145">
        <f t="shared" si="128"/>
        <v>0</v>
      </c>
      <c r="K382" s="142" t="str">
        <f t="shared" si="137"/>
        <v>l</v>
      </c>
      <c r="L382" s="146">
        <f>IFERROR(INDEX(Työkonekanta!$I$3:$I$27,MATCH('S3 Tiekartta'!$A382,Työkonekanta!$A$3:$A$24,0),1)*(I382+J382)*f_adblue,0)</f>
        <v>0</v>
      </c>
      <c r="M382" s="146">
        <f t="shared" si="146"/>
        <v>0</v>
      </c>
      <c r="N382" s="143" t="str">
        <f>IF(tuulisähkö_vuosi&lt;='S3 Tiekartta'!C382,"tuulisähkö",ostosähkö_nyt)</f>
        <v>jäännössähkö</v>
      </c>
      <c r="O382" s="147">
        <f>INDEX(Muuttujat!$J$5:$J$21,MATCH($C382,Muuttujat!$H$5:$H$21,0),1)</f>
        <v>61.379690186142746</v>
      </c>
      <c r="P382" s="148">
        <f t="shared" si="138"/>
        <v>0.67849253515899999</v>
      </c>
      <c r="Q382" s="148">
        <f t="shared" si="139"/>
        <v>0.32150746484100001</v>
      </c>
      <c r="R382" s="148">
        <f t="shared" si="140"/>
        <v>0.32150746484100001</v>
      </c>
      <c r="S382" s="149">
        <f t="shared" si="129"/>
        <v>0</v>
      </c>
      <c r="T382" s="150">
        <f t="shared" si="130"/>
        <v>0</v>
      </c>
      <c r="U382" s="150">
        <f t="shared" si="131"/>
        <v>0</v>
      </c>
      <c r="V382" s="150">
        <f>IFERROR(INDEX(Työkonekanta!$J$3:$J$27,MATCH($A382,Työkonekanta!$A$3:$A$24,0),1)*$B382*ef_li_ion_akku/1000/1000/INDEX(Työkonekanta!$K$3:$K$27,MATCH($A382,Työkonekanta!$A$3:$A$24,0)),0)</f>
        <v>0</v>
      </c>
      <c r="W382" s="149">
        <f t="shared" si="147"/>
        <v>0</v>
      </c>
      <c r="X382" s="150">
        <f t="shared" si="148"/>
        <v>0</v>
      </c>
      <c r="Y382" s="151">
        <f t="shared" si="149"/>
        <v>0</v>
      </c>
      <c r="Z382" s="152">
        <f t="shared" si="141"/>
        <v>0</v>
      </c>
      <c r="AA382" s="179">
        <f t="shared" si="142"/>
        <v>0</v>
      </c>
      <c r="AB382" s="179">
        <f t="shared" si="143"/>
        <v>0</v>
      </c>
      <c r="AC382" s="180">
        <f t="shared" si="150"/>
        <v>0</v>
      </c>
      <c r="AD382" s="156">
        <f t="shared" si="144"/>
        <v>0</v>
      </c>
      <c r="AE382" s="146">
        <f>IFERROR(INDEX(Työkonekanta!$L$3:$L$30,MATCH($A382,Työkonekanta!$A$3:$A$30,0),1),0)*AF382</f>
        <v>0</v>
      </c>
      <c r="AF382" s="146">
        <f>IFERROR(INDEX(Työkonekanta!$N$3:$N$32,MATCH($A382,Työkonekanta!$A$3:$A$32,0),1),0)</f>
        <v>0</v>
      </c>
      <c r="AG382" s="332">
        <f>I382*INDEX(Muuttujat!$U$5:$U$21,MATCH($C382,Muuttujat!$N$5:$N$21,0),1)</f>
        <v>0</v>
      </c>
      <c r="AH382" s="332">
        <f>J382*INDEX(Muuttujat!$T$5:$T$21,MATCH($C382,Muuttujat!$N$5:$N$21,0),1)</f>
        <v>0</v>
      </c>
      <c r="AI382" s="332">
        <f t="shared" si="132"/>
        <v>0</v>
      </c>
      <c r="AJ382" s="332">
        <f t="shared" si="133"/>
        <v>0</v>
      </c>
      <c r="AK382" s="333">
        <f t="shared" si="145"/>
        <v>0</v>
      </c>
      <c r="AL382" s="332">
        <f t="shared" si="134"/>
        <v>0</v>
      </c>
      <c r="AM382" s="351"/>
      <c r="AN382" s="351"/>
    </row>
    <row r="383" spans="1:40">
      <c r="A383" s="139">
        <v>21</v>
      </c>
      <c r="B383" s="139">
        <f>IFERROR(IF((INDEX(Työkonekanta!$F$3:$F$27,MATCH('S3 Tiekartta'!$A383,Työkonekanta!$A$3:$A$24,0),1))&lt;0,0,(INDEX(Työkonekanta!$F$3:$F$27,MATCH('S3 Tiekartta'!$A383,Työkonekanta!$A$3:$A$24,0),1))),0)</f>
        <v>35</v>
      </c>
      <c r="C383" s="140">
        <v>2031</v>
      </c>
      <c r="D383" s="141" t="str">
        <f>IFERROR(INDEX(Työkonekanta!$D$3:$D$27,MATCH('S3 Tiekartta'!$A383,Työkonekanta!$A$3:$A$24,0),1),"undefined")</f>
        <v>sähkö</v>
      </c>
      <c r="E383" s="145">
        <f>IFERROR(INDEX(Työkonekanta!$G$3:$G$27,MATCH($A383,Työkonekanta!$A$3:$A$24,0),1)*INDEX(Työkonekanta!$H$3:$H$27,MATCH($A383,Työkonekanta!$A$3:$A$24,0),1)*(1+s0b_kasvu*($C383-2019))*$B383,0)</f>
        <v>456062.96296296304</v>
      </c>
      <c r="F383" s="145">
        <f t="shared" si="126"/>
        <v>0</v>
      </c>
      <c r="G383" s="151">
        <f t="shared" si="135"/>
        <v>0</v>
      </c>
      <c r="H383" s="145">
        <f t="shared" si="136"/>
        <v>0</v>
      </c>
      <c r="I383" s="145">
        <f t="shared" si="127"/>
        <v>0</v>
      </c>
      <c r="J383" s="145">
        <f t="shared" si="128"/>
        <v>0</v>
      </c>
      <c r="K383" s="142" t="str">
        <f t="shared" si="137"/>
        <v>kWh</v>
      </c>
      <c r="L383" s="146">
        <f>IFERROR(INDEX(Työkonekanta!$I$3:$I$27,MATCH('S3 Tiekartta'!$A383,Työkonekanta!$A$3:$A$24,0),1)*(I383+J383)*f_adblue,0)</f>
        <v>0</v>
      </c>
      <c r="M383" s="146">
        <f t="shared" si="146"/>
        <v>1641826.666666667</v>
      </c>
      <c r="N383" s="143" t="str">
        <f>IF(tuulisähkö_vuosi&lt;='S3 Tiekartta'!C383,"tuulisähkö",ostosähkö_nyt)</f>
        <v>jäännössähkö</v>
      </c>
      <c r="O383" s="147">
        <f>INDEX(Muuttujat!$J$5:$J$21,MATCH($C383,Muuttujat!$H$5:$H$21,0),1)</f>
        <v>61.379690186142746</v>
      </c>
      <c r="P383" s="148">
        <f t="shared" si="138"/>
        <v>0.67849253515899999</v>
      </c>
      <c r="Q383" s="148">
        <f t="shared" si="139"/>
        <v>0.32150746484100001</v>
      </c>
      <c r="R383" s="148">
        <f t="shared" si="140"/>
        <v>0.32150746484100001</v>
      </c>
      <c r="S383" s="149">
        <f t="shared" si="129"/>
        <v>0</v>
      </c>
      <c r="T383" s="150">
        <f t="shared" si="130"/>
        <v>0</v>
      </c>
      <c r="U383" s="150">
        <f t="shared" si="131"/>
        <v>100.77481213934747</v>
      </c>
      <c r="V383" s="150">
        <f>IFERROR(INDEX(Työkonekanta!$J$3:$J$27,MATCH($A383,Työkonekanta!$A$3:$A$24,0),1)*$B383*ef_li_ion_akku/1000/1000/INDEX(Työkonekanta!$K$3:$K$27,MATCH($A383,Työkonekanta!$A$3:$A$24,0)),0)</f>
        <v>43.121723076923082</v>
      </c>
      <c r="W383" s="149">
        <f t="shared" si="147"/>
        <v>0</v>
      </c>
      <c r="X383" s="150">
        <f t="shared" si="148"/>
        <v>0</v>
      </c>
      <c r="Y383" s="151">
        <f t="shared" si="149"/>
        <v>0</v>
      </c>
      <c r="Z383" s="152">
        <f t="shared" si="141"/>
        <v>143.89653521627056</v>
      </c>
      <c r="AA383" s="179">
        <f t="shared" si="142"/>
        <v>0</v>
      </c>
      <c r="AB383" s="179">
        <f t="shared" si="143"/>
        <v>0</v>
      </c>
      <c r="AC383" s="180">
        <f t="shared" si="150"/>
        <v>143.89653521627056</v>
      </c>
      <c r="AD383" s="156">
        <f t="shared" si="144"/>
        <v>143.89653521627056</v>
      </c>
      <c r="AE383" s="146">
        <f>IFERROR(INDEX(Työkonekanta!$L$3:$L$30,MATCH($A383,Työkonekanta!$A$3:$A$30,0),1),0)*AF383</f>
        <v>1820000</v>
      </c>
      <c r="AF383" s="146">
        <f>IFERROR(INDEX(Työkonekanta!$N$3:$N$32,MATCH($A383,Työkonekanta!$A$3:$A$32,0),1),0)</f>
        <v>7</v>
      </c>
      <c r="AG383" s="332">
        <f>I383*INDEX(Muuttujat!$U$5:$U$21,MATCH($C383,Muuttujat!$N$5:$N$21,0),1)</f>
        <v>0</v>
      </c>
      <c r="AH383" s="332">
        <f>J383*INDEX(Muuttujat!$T$5:$T$21,MATCH($C383,Muuttujat!$N$5:$N$21,0),1)</f>
        <v>0</v>
      </c>
      <c r="AI383" s="332">
        <f t="shared" si="132"/>
        <v>0</v>
      </c>
      <c r="AJ383" s="332">
        <f t="shared" si="133"/>
        <v>40361.572222222232</v>
      </c>
      <c r="AK383" s="333">
        <f t="shared" si="145"/>
        <v>40361.572222222232</v>
      </c>
      <c r="AL383" s="332">
        <f t="shared" si="134"/>
        <v>1153.1877777777781</v>
      </c>
      <c r="AM383" s="351"/>
      <c r="AN383" s="351"/>
    </row>
    <row r="384" spans="1:40">
      <c r="A384" s="139">
        <v>22</v>
      </c>
      <c r="B384" s="139">
        <f>IFERROR(IF((INDEX(Työkonekanta!$F$3:$F$27,MATCH('S3 Tiekartta'!$A384,Työkonekanta!$A$3:$A$24,0),1))&lt;0,0,(INDEX(Työkonekanta!$F$3:$F$27,MATCH('S3 Tiekartta'!$A384,Työkonekanta!$A$3:$A$24,0),1))),0)</f>
        <v>0</v>
      </c>
      <c r="C384" s="140">
        <v>2031</v>
      </c>
      <c r="D384" s="141" t="str">
        <f>IFERROR(INDEX(Työkonekanta!$D$3:$D$27,MATCH('S3 Tiekartta'!$A384,Työkonekanta!$A$3:$A$24,0),1),"undefined")</f>
        <v>sähkö</v>
      </c>
      <c r="E384" s="145">
        <f>IFERROR(INDEX(Työkonekanta!$G$3:$G$27,MATCH($A384,Työkonekanta!$A$3:$A$24,0),1)*INDEX(Työkonekanta!$H$3:$H$27,MATCH($A384,Työkonekanta!$A$3:$A$24,0),1)*(1+s0b_kasvu*($C384-2019))*$B384,0)</f>
        <v>0</v>
      </c>
      <c r="F384" s="145">
        <f t="shared" si="126"/>
        <v>0</v>
      </c>
      <c r="G384" s="151">
        <f t="shared" si="135"/>
        <v>0</v>
      </c>
      <c r="H384" s="145">
        <f t="shared" si="136"/>
        <v>0</v>
      </c>
      <c r="I384" s="145">
        <f t="shared" si="127"/>
        <v>0</v>
      </c>
      <c r="J384" s="145">
        <f t="shared" si="128"/>
        <v>0</v>
      </c>
      <c r="K384" s="142" t="str">
        <f t="shared" si="137"/>
        <v>kWh</v>
      </c>
      <c r="L384" s="146">
        <f>IFERROR(INDEX(Työkonekanta!$I$3:$I$27,MATCH('S3 Tiekartta'!$A384,Työkonekanta!$A$3:$A$24,0),1)*(I384+J384)*f_adblue,0)</f>
        <v>0</v>
      </c>
      <c r="M384" s="146">
        <f t="shared" si="146"/>
        <v>0</v>
      </c>
      <c r="N384" s="143" t="str">
        <f>IF(tuulisähkö_vuosi&lt;='S3 Tiekartta'!C384,"tuulisähkö",ostosähkö_nyt)</f>
        <v>jäännössähkö</v>
      </c>
      <c r="O384" s="147">
        <f>INDEX(Muuttujat!$J$5:$J$21,MATCH($C384,Muuttujat!$H$5:$H$21,0),1)</f>
        <v>61.379690186142746</v>
      </c>
      <c r="P384" s="148">
        <f t="shared" si="138"/>
        <v>0.67849253515899999</v>
      </c>
      <c r="Q384" s="148">
        <f t="shared" si="139"/>
        <v>0.32150746484100001</v>
      </c>
      <c r="R384" s="148">
        <f t="shared" si="140"/>
        <v>0.32150746484100001</v>
      </c>
      <c r="S384" s="149">
        <f t="shared" si="129"/>
        <v>0</v>
      </c>
      <c r="T384" s="150">
        <f t="shared" si="130"/>
        <v>0</v>
      </c>
      <c r="U384" s="150">
        <f t="shared" si="131"/>
        <v>0</v>
      </c>
      <c r="V384" s="150">
        <f>IFERROR(INDEX(Työkonekanta!$J$3:$J$27,MATCH($A384,Työkonekanta!$A$3:$A$24,0),1)*$B384*ef_li_ion_akku/1000/1000/INDEX(Työkonekanta!$K$3:$K$27,MATCH($A384,Työkonekanta!$A$3:$A$24,0)),0)</f>
        <v>0</v>
      </c>
      <c r="W384" s="149">
        <f t="shared" si="147"/>
        <v>0</v>
      </c>
      <c r="X384" s="150">
        <f t="shared" si="148"/>
        <v>0</v>
      </c>
      <c r="Y384" s="151">
        <f t="shared" si="149"/>
        <v>0</v>
      </c>
      <c r="Z384" s="152">
        <f t="shared" si="141"/>
        <v>0</v>
      </c>
      <c r="AA384" s="179">
        <f t="shared" si="142"/>
        <v>0</v>
      </c>
      <c r="AB384" s="179">
        <f t="shared" si="143"/>
        <v>0</v>
      </c>
      <c r="AC384" s="180">
        <f t="shared" si="150"/>
        <v>0</v>
      </c>
      <c r="AD384" s="156">
        <f t="shared" si="144"/>
        <v>0</v>
      </c>
      <c r="AE384" s="146">
        <f>IFERROR(INDEX(Työkonekanta!$L$3:$L$30,MATCH($A384,Työkonekanta!$A$3:$A$30,0),1),0)*AF384</f>
        <v>0</v>
      </c>
      <c r="AF384" s="146">
        <f>IFERROR(INDEX(Työkonekanta!$N$3:$N$32,MATCH($A384,Työkonekanta!$A$3:$A$32,0),1),0)</f>
        <v>0</v>
      </c>
      <c r="AG384" s="332">
        <f>I384*INDEX(Muuttujat!$U$5:$U$21,MATCH($C384,Muuttujat!$N$5:$N$21,0),1)</f>
        <v>0</v>
      </c>
      <c r="AH384" s="332">
        <f>J384*INDEX(Muuttujat!$T$5:$T$21,MATCH($C384,Muuttujat!$N$5:$N$21,0),1)</f>
        <v>0</v>
      </c>
      <c r="AI384" s="332">
        <f t="shared" si="132"/>
        <v>0</v>
      </c>
      <c r="AJ384" s="332">
        <f t="shared" si="133"/>
        <v>0</v>
      </c>
      <c r="AK384" s="333">
        <f t="shared" si="145"/>
        <v>0</v>
      </c>
      <c r="AL384" s="332">
        <f t="shared" si="134"/>
        <v>0</v>
      </c>
      <c r="AM384" s="351"/>
      <c r="AN384" s="351"/>
    </row>
    <row r="385" spans="1:40">
      <c r="A385" s="139">
        <v>23</v>
      </c>
      <c r="B385" s="139">
        <f>IFERROR(IF((INDEX(Työkonekanta!$F$3:$F$27,MATCH('S3 Tiekartta'!$A385,Työkonekanta!$A$3:$A$24,0),1))&lt;0,0,(INDEX(Työkonekanta!$F$3:$F$27,MATCH('S3 Tiekartta'!$A385,Työkonekanta!$A$3:$A$24,0),1))),0)</f>
        <v>0</v>
      </c>
      <c r="C385" s="140">
        <v>2031</v>
      </c>
      <c r="D385" s="141" t="str">
        <f>IFERROR(INDEX(Työkonekanta!$D$3:$D$27,MATCH('S3 Tiekartta'!$A385,Työkonekanta!$A$3:$A$24,0),1),"undefined")</f>
        <v>undefined</v>
      </c>
      <c r="E385" s="145">
        <f>IFERROR(INDEX(Työkonekanta!$G$3:$G$27,MATCH($A385,Työkonekanta!$A$3:$A$24,0),1)*INDEX(Työkonekanta!$H$3:$H$27,MATCH($A385,Työkonekanta!$A$3:$A$24,0),1)*(1+s0b_kasvu*($C385-2019))*$B385,0)</f>
        <v>0</v>
      </c>
      <c r="F385" s="145">
        <f t="shared" si="126"/>
        <v>0</v>
      </c>
      <c r="G385" s="151">
        <f t="shared" si="135"/>
        <v>0</v>
      </c>
      <c r="H385" s="145">
        <f t="shared" si="136"/>
        <v>0</v>
      </c>
      <c r="I385" s="145">
        <f t="shared" si="127"/>
        <v>0</v>
      </c>
      <c r="J385" s="145">
        <f t="shared" si="128"/>
        <v>0</v>
      </c>
      <c r="K385" s="142" t="str">
        <f t="shared" si="137"/>
        <v>undefined</v>
      </c>
      <c r="L385" s="146">
        <f>IFERROR(INDEX(Työkonekanta!$I$3:$I$27,MATCH('S3 Tiekartta'!$A385,Työkonekanta!$A$3:$A$24,0),1)*(I385+J385)*f_adblue,0)</f>
        <v>0</v>
      </c>
      <c r="M385" s="146">
        <f t="shared" si="146"/>
        <v>0</v>
      </c>
      <c r="N385" s="143" t="str">
        <f>IF(tuulisähkö_vuosi&lt;='S3 Tiekartta'!C385,"tuulisähkö",ostosähkö_nyt)</f>
        <v>jäännössähkö</v>
      </c>
      <c r="O385" s="147">
        <f>INDEX(Muuttujat!$J$5:$J$21,MATCH($C385,Muuttujat!$H$5:$H$21,0),1)</f>
        <v>61.379690186142746</v>
      </c>
      <c r="P385" s="148">
        <f t="shared" si="138"/>
        <v>0.67849253515899999</v>
      </c>
      <c r="Q385" s="148">
        <f t="shared" si="139"/>
        <v>0.32150746484100001</v>
      </c>
      <c r="R385" s="148">
        <f t="shared" si="140"/>
        <v>0.32150746484100001</v>
      </c>
      <c r="S385" s="149">
        <f t="shared" si="129"/>
        <v>0</v>
      </c>
      <c r="T385" s="150">
        <f t="shared" si="130"/>
        <v>0</v>
      </c>
      <c r="U385" s="150">
        <f t="shared" si="131"/>
        <v>0</v>
      </c>
      <c r="V385" s="150">
        <f>IFERROR(INDEX(Työkonekanta!$J$3:$J$27,MATCH($A385,Työkonekanta!$A$3:$A$24,0),1)*$B385*ef_li_ion_akku/1000/1000/INDEX(Työkonekanta!$K$3:$K$27,MATCH($A385,Työkonekanta!$A$3:$A$24,0)),0)</f>
        <v>0</v>
      </c>
      <c r="W385" s="149">
        <f t="shared" si="147"/>
        <v>0</v>
      </c>
      <c r="X385" s="150">
        <f t="shared" si="148"/>
        <v>0</v>
      </c>
      <c r="Y385" s="151">
        <f t="shared" si="149"/>
        <v>0</v>
      </c>
      <c r="Z385" s="152">
        <f t="shared" si="141"/>
        <v>0</v>
      </c>
      <c r="AA385" s="179">
        <f t="shared" si="142"/>
        <v>0</v>
      </c>
      <c r="AB385" s="179">
        <f t="shared" si="143"/>
        <v>0</v>
      </c>
      <c r="AC385" s="180">
        <f t="shared" si="150"/>
        <v>0</v>
      </c>
      <c r="AD385" s="156">
        <f t="shared" si="144"/>
        <v>0</v>
      </c>
      <c r="AE385" s="146">
        <f>IFERROR(INDEX(Työkonekanta!$L$3:$L$30,MATCH($A385,Työkonekanta!$A$3:$A$30,0),1),0)*AF385</f>
        <v>0</v>
      </c>
      <c r="AF385" s="146">
        <f>IFERROR(INDEX(Työkonekanta!$N$3:$N$32,MATCH($A385,Työkonekanta!$A$3:$A$32,0),1),0)</f>
        <v>0</v>
      </c>
      <c r="AG385" s="332">
        <f>I385*INDEX(Muuttujat!$U$5:$U$21,MATCH($C385,Muuttujat!$N$5:$N$21,0),1)</f>
        <v>0</v>
      </c>
      <c r="AH385" s="332">
        <f>J385*INDEX(Muuttujat!$T$5:$T$21,MATCH($C385,Muuttujat!$N$5:$N$21,0),1)</f>
        <v>0</v>
      </c>
      <c r="AI385" s="332">
        <f t="shared" si="132"/>
        <v>0</v>
      </c>
      <c r="AJ385" s="332">
        <f t="shared" si="133"/>
        <v>0</v>
      </c>
      <c r="AK385" s="333">
        <f t="shared" si="145"/>
        <v>0</v>
      </c>
      <c r="AL385" s="332">
        <f t="shared" si="134"/>
        <v>0</v>
      </c>
      <c r="AM385" s="351"/>
      <c r="AN385" s="351"/>
    </row>
    <row r="386" spans="1:40">
      <c r="A386" s="139">
        <v>24</v>
      </c>
      <c r="B386" s="139">
        <f>IFERROR(IF((INDEX(Työkonekanta!$F$3:$F$27,MATCH('S3 Tiekartta'!$A386,Työkonekanta!$A$3:$A$24,0),1))&lt;0,0,(INDEX(Työkonekanta!$F$3:$F$27,MATCH('S3 Tiekartta'!$A386,Työkonekanta!$A$3:$A$24,0),1))),0)</f>
        <v>0</v>
      </c>
      <c r="C386" s="140">
        <v>2031</v>
      </c>
      <c r="D386" s="141" t="str">
        <f>IFERROR(INDEX(Työkonekanta!$D$3:$D$27,MATCH('S3 Tiekartta'!$A386,Työkonekanta!$A$3:$A$24,0),1),"undefined")</f>
        <v>undefined</v>
      </c>
      <c r="E386" s="145">
        <f>IFERROR(INDEX(Työkonekanta!$G$3:$G$27,MATCH($A386,Työkonekanta!$A$3:$A$24,0),1)*INDEX(Työkonekanta!$H$3:$H$27,MATCH($A386,Työkonekanta!$A$3:$A$24,0),1)*(1+s0b_kasvu*($C386-2019))*$B386,0)</f>
        <v>0</v>
      </c>
      <c r="F386" s="145">
        <f t="shared" si="126"/>
        <v>0</v>
      </c>
      <c r="G386" s="151">
        <f t="shared" si="135"/>
        <v>0</v>
      </c>
      <c r="H386" s="145">
        <f t="shared" si="136"/>
        <v>0</v>
      </c>
      <c r="I386" s="145">
        <f t="shared" si="127"/>
        <v>0</v>
      </c>
      <c r="J386" s="145">
        <f t="shared" si="128"/>
        <v>0</v>
      </c>
      <c r="K386" s="142" t="str">
        <f t="shared" si="137"/>
        <v>undefined</v>
      </c>
      <c r="L386" s="146">
        <f>IFERROR(INDEX(Työkonekanta!$I$3:$I$27,MATCH('S3 Tiekartta'!$A386,Työkonekanta!$A$3:$A$24,0),1)*(I386+J386)*f_adblue,0)</f>
        <v>0</v>
      </c>
      <c r="M386" s="146">
        <f t="shared" si="146"/>
        <v>0</v>
      </c>
      <c r="N386" s="143" t="str">
        <f>IF(tuulisähkö_vuosi&lt;='S3 Tiekartta'!C386,"tuulisähkö",ostosähkö_nyt)</f>
        <v>jäännössähkö</v>
      </c>
      <c r="O386" s="147">
        <f>INDEX(Muuttujat!$J$5:$J$21,MATCH($C386,Muuttujat!$H$5:$H$21,0),1)</f>
        <v>61.379690186142746</v>
      </c>
      <c r="P386" s="148">
        <f t="shared" si="138"/>
        <v>0.67849253515899999</v>
      </c>
      <c r="Q386" s="148">
        <f t="shared" si="139"/>
        <v>0.32150746484100001</v>
      </c>
      <c r="R386" s="148">
        <f t="shared" si="140"/>
        <v>0.32150746484100001</v>
      </c>
      <c r="S386" s="149">
        <f t="shared" si="129"/>
        <v>0</v>
      </c>
      <c r="T386" s="150">
        <f t="shared" si="130"/>
        <v>0</v>
      </c>
      <c r="U386" s="150">
        <f t="shared" si="131"/>
        <v>0</v>
      </c>
      <c r="V386" s="150">
        <f>IFERROR(INDEX(Työkonekanta!$J$3:$J$27,MATCH($A386,Työkonekanta!$A$3:$A$24,0),1)*$B386*ef_li_ion_akku/1000/1000/INDEX(Työkonekanta!$K$3:$K$27,MATCH($A386,Työkonekanta!$A$3:$A$24,0)),0)</f>
        <v>0</v>
      </c>
      <c r="W386" s="149">
        <f t="shared" si="147"/>
        <v>0</v>
      </c>
      <c r="X386" s="150">
        <f t="shared" si="148"/>
        <v>0</v>
      </c>
      <c r="Y386" s="151">
        <f t="shared" si="149"/>
        <v>0</v>
      </c>
      <c r="Z386" s="152">
        <f t="shared" si="141"/>
        <v>0</v>
      </c>
      <c r="AA386" s="179">
        <f t="shared" si="142"/>
        <v>0</v>
      </c>
      <c r="AB386" s="179">
        <f t="shared" si="143"/>
        <v>0</v>
      </c>
      <c r="AC386" s="180">
        <f t="shared" si="150"/>
        <v>0</v>
      </c>
      <c r="AD386" s="156">
        <f t="shared" si="144"/>
        <v>0</v>
      </c>
      <c r="AE386" s="146">
        <f>IFERROR(INDEX(Työkonekanta!$L$3:$L$30,MATCH($A386,Työkonekanta!$A$3:$A$30,0),1),0)*AF386</f>
        <v>0</v>
      </c>
      <c r="AF386" s="146">
        <f>IFERROR(INDEX(Työkonekanta!$N$3:$N$32,MATCH($A386,Työkonekanta!$A$3:$A$32,0),1),0)</f>
        <v>0</v>
      </c>
      <c r="AG386" s="332">
        <f>I386*INDEX(Muuttujat!$U$5:$U$21,MATCH($C386,Muuttujat!$N$5:$N$21,0),1)</f>
        <v>0</v>
      </c>
      <c r="AH386" s="332">
        <f>J386*INDEX(Muuttujat!$T$5:$T$21,MATCH($C386,Muuttujat!$N$5:$N$21,0),1)</f>
        <v>0</v>
      </c>
      <c r="AI386" s="332">
        <f t="shared" si="132"/>
        <v>0</v>
      </c>
      <c r="AJ386" s="332">
        <f t="shared" si="133"/>
        <v>0</v>
      </c>
      <c r="AK386" s="333">
        <f t="shared" si="145"/>
        <v>0</v>
      </c>
      <c r="AL386" s="332">
        <f t="shared" si="134"/>
        <v>0</v>
      </c>
      <c r="AM386" s="351"/>
      <c r="AN386" s="351"/>
    </row>
    <row r="387" spans="1:40">
      <c r="A387" s="139">
        <v>25</v>
      </c>
      <c r="B387" s="139">
        <f>IFERROR(IF((INDEX(Työkonekanta!$F$3:$F$27,MATCH('S3 Tiekartta'!$A387,Työkonekanta!$A$3:$A$24,0),1))&lt;0,0,(INDEX(Työkonekanta!$F$3:$F$27,MATCH('S3 Tiekartta'!$A387,Työkonekanta!$A$3:$A$24,0),1))),0)</f>
        <v>0</v>
      </c>
      <c r="C387" s="140">
        <v>2031</v>
      </c>
      <c r="D387" s="141" t="str">
        <f>IFERROR(INDEX(Työkonekanta!$D$3:$D$27,MATCH('S3 Tiekartta'!$A387,Työkonekanta!$A$3:$A$24,0),1),"undefined")</f>
        <v>undefined</v>
      </c>
      <c r="E387" s="145">
        <f>IFERROR(INDEX(Työkonekanta!$G$3:$G$27,MATCH($A387,Työkonekanta!$A$3:$A$24,0),1)*INDEX(Työkonekanta!$H$3:$H$27,MATCH($A387,Työkonekanta!$A$3:$A$24,0),1)*(1+s0b_kasvu*($C387-2019))*$B387,0)</f>
        <v>0</v>
      </c>
      <c r="F387" s="145">
        <f t="shared" ref="F387:F450" si="151">IF(D387="pom",$E387*hv_pom,0)</f>
        <v>0</v>
      </c>
      <c r="G387" s="151">
        <f t="shared" si="135"/>
        <v>0</v>
      </c>
      <c r="H387" s="145">
        <f t="shared" si="136"/>
        <v>0</v>
      </c>
      <c r="I387" s="145">
        <f t="shared" ref="I387:I450" si="152">$G387/hv_pom</f>
        <v>0</v>
      </c>
      <c r="J387" s="145">
        <f t="shared" ref="J387:J450" si="153">$H387/hv_biodies</f>
        <v>0</v>
      </c>
      <c r="K387" s="142" t="str">
        <f t="shared" si="137"/>
        <v>undefined</v>
      </c>
      <c r="L387" s="146">
        <f>IFERROR(INDEX(Työkonekanta!$I$3:$I$27,MATCH('S3 Tiekartta'!$A387,Työkonekanta!$A$3:$A$24,0),1)*(I387+J387)*f_adblue,0)</f>
        <v>0</v>
      </c>
      <c r="M387" s="146">
        <f t="shared" si="146"/>
        <v>0</v>
      </c>
      <c r="N387" s="143" t="str">
        <f>IF(tuulisähkö_vuosi&lt;='S3 Tiekartta'!C387,"tuulisähkö",ostosähkö_nyt)</f>
        <v>jäännössähkö</v>
      </c>
      <c r="O387" s="147">
        <f>INDEX(Muuttujat!$J$5:$J$21,MATCH($C387,Muuttujat!$H$5:$H$21,0),1)</f>
        <v>61.379690186142746</v>
      </c>
      <c r="P387" s="148">
        <f t="shared" si="138"/>
        <v>0.67849253515899999</v>
      </c>
      <c r="Q387" s="148">
        <f t="shared" si="139"/>
        <v>0.32150746484100001</v>
      </c>
      <c r="R387" s="148">
        <f t="shared" si="140"/>
        <v>0.32150746484100001</v>
      </c>
      <c r="S387" s="149">
        <f t="shared" ref="S387:S450" si="154">wtt_ef_e_co2_dies*$G387/1000/1000</f>
        <v>0</v>
      </c>
      <c r="T387" s="150">
        <f t="shared" ref="T387:T450" si="155">wtt_ef_e_co2_biodies*$H387/1000/1000</f>
        <v>0</v>
      </c>
      <c r="U387" s="150">
        <f t="shared" ref="U387:U450" si="156">IF(N387="jäännössähkö",$O387,IF(N387="tuulisähkö",wtt_ef_e_co2_el_wind,0))*$M387/1000/1000</f>
        <v>0</v>
      </c>
      <c r="V387" s="150">
        <f>IFERROR(INDEX(Työkonekanta!$J$3:$J$27,MATCH($A387,Työkonekanta!$A$3:$A$24,0),1)*$B387*ef_li_ion_akku/1000/1000/INDEX(Työkonekanta!$K$3:$K$27,MATCH($A387,Työkonekanta!$A$3:$A$24,0)),0)</f>
        <v>0</v>
      </c>
      <c r="W387" s="149">
        <f t="shared" si="147"/>
        <v>0</v>
      </c>
      <c r="X387" s="150">
        <f t="shared" si="148"/>
        <v>0</v>
      </c>
      <c r="Y387" s="151">
        <f t="shared" si="149"/>
        <v>0</v>
      </c>
      <c r="Z387" s="152">
        <f t="shared" si="141"/>
        <v>0</v>
      </c>
      <c r="AA387" s="179">
        <f t="shared" si="142"/>
        <v>0</v>
      </c>
      <c r="AB387" s="179">
        <f t="shared" si="143"/>
        <v>0</v>
      </c>
      <c r="AC387" s="180">
        <f t="shared" si="150"/>
        <v>0</v>
      </c>
      <c r="AD387" s="156">
        <f t="shared" si="144"/>
        <v>0</v>
      </c>
      <c r="AE387" s="146">
        <f>IFERROR(INDEX(Työkonekanta!$L$3:$L$30,MATCH($A387,Työkonekanta!$A$3:$A$30,0),1),0)*AF387</f>
        <v>0</v>
      </c>
      <c r="AF387" s="146">
        <f>IFERROR(INDEX(Työkonekanta!$N$3:$N$32,MATCH($A387,Työkonekanta!$A$3:$A$32,0),1),0)</f>
        <v>0</v>
      </c>
      <c r="AG387" s="332">
        <f>I387*INDEX(Muuttujat!$U$5:$U$21,MATCH($C387,Muuttujat!$N$5:$N$21,0),1)</f>
        <v>0</v>
      </c>
      <c r="AH387" s="332">
        <f>J387*INDEX(Muuttujat!$T$5:$T$21,MATCH($C387,Muuttujat!$N$5:$N$21,0),1)</f>
        <v>0</v>
      </c>
      <c r="AI387" s="332">
        <f t="shared" ref="AI387:AI450" si="157">L387*hinta_adblue</f>
        <v>0</v>
      </c>
      <c r="AJ387" s="332">
        <f t="shared" ref="AJ387:AJ450" si="158">M387/conv_kwh_mj*hinta_sähkö3</f>
        <v>0</v>
      </c>
      <c r="AK387" s="333">
        <f t="shared" si="145"/>
        <v>0</v>
      </c>
      <c r="AL387" s="332">
        <f t="shared" ref="AL387:AL450" si="159">IFERROR(AK387/B387,0)</f>
        <v>0</v>
      </c>
      <c r="AM387" s="351"/>
      <c r="AN387" s="351"/>
    </row>
    <row r="388" spans="1:40">
      <c r="A388" s="139">
        <v>26</v>
      </c>
      <c r="B388" s="139">
        <f>IFERROR(IF((INDEX(Työkonekanta!$F$3:$F$27,MATCH('S3 Tiekartta'!$A388,Työkonekanta!$A$3:$A$24,0),1))&lt;0,0,(INDEX(Työkonekanta!$F$3:$F$27,MATCH('S3 Tiekartta'!$A388,Työkonekanta!$A$3:$A$24,0),1))),0)</f>
        <v>0</v>
      </c>
      <c r="C388" s="140">
        <v>2031</v>
      </c>
      <c r="D388" s="141" t="str">
        <f>IFERROR(INDEX(Työkonekanta!$D$3:$D$27,MATCH('S3 Tiekartta'!$A388,Työkonekanta!$A$3:$A$24,0),1),"undefined")</f>
        <v>undefined</v>
      </c>
      <c r="E388" s="145">
        <f>IFERROR(INDEX(Työkonekanta!$G$3:$G$27,MATCH($A388,Työkonekanta!$A$3:$A$24,0),1)*INDEX(Työkonekanta!$H$3:$H$27,MATCH($A388,Työkonekanta!$A$3:$A$24,0),1)*(1+s0b_kasvu*($C388-2019))*$B388,0)</f>
        <v>0</v>
      </c>
      <c r="F388" s="145">
        <f t="shared" si="151"/>
        <v>0</v>
      </c>
      <c r="G388" s="151">
        <f t="shared" ref="G388:G451" si="160">$F388*$P388</f>
        <v>0</v>
      </c>
      <c r="H388" s="145">
        <f t="shared" ref="H388:H451" si="161">$F388*$Q388</f>
        <v>0</v>
      </c>
      <c r="I388" s="145">
        <f t="shared" si="152"/>
        <v>0</v>
      </c>
      <c r="J388" s="145">
        <f t="shared" si="153"/>
        <v>0</v>
      </c>
      <c r="K388" s="142" t="str">
        <f t="shared" ref="K388:K451" si="162">IF($D388="sähkö","kWh",IF($D388="pom","l","undefined"))</f>
        <v>undefined</v>
      </c>
      <c r="L388" s="146">
        <f>IFERROR(INDEX(Työkonekanta!$I$3:$I$27,MATCH('S3 Tiekartta'!$A388,Työkonekanta!$A$3:$A$24,0),1)*(I388+J388)*f_adblue,0)</f>
        <v>0</v>
      </c>
      <c r="M388" s="146">
        <f t="shared" si="146"/>
        <v>0</v>
      </c>
      <c r="N388" s="143" t="str">
        <f>IF(tuulisähkö_vuosi&lt;='S3 Tiekartta'!C388,"tuulisähkö",ostosähkö_nyt)</f>
        <v>jäännössähkö</v>
      </c>
      <c r="O388" s="147">
        <f>INDEX(Muuttujat!$J$5:$J$21,MATCH($C388,Muuttujat!$H$5:$H$21,0),1)</f>
        <v>61.379690186142746</v>
      </c>
      <c r="P388" s="148">
        <f t="shared" ref="P388:P451" si="163">1-Q388</f>
        <v>0.67849253515899999</v>
      </c>
      <c r="Q388" s="148">
        <f t="shared" ref="Q388:Q451" si="164">INDEX($AP$4:$AP$20,MATCH($C388,$AO$4:$AO$20,0),1)</f>
        <v>0.32150746484100001</v>
      </c>
      <c r="R388" s="148">
        <f t="shared" ref="R388:R451" si="165">INDEX($AP$4:$AP$20,MATCH($C388,$AO$4:$AO$20,0),1)</f>
        <v>0.32150746484100001</v>
      </c>
      <c r="S388" s="149">
        <f t="shared" si="154"/>
        <v>0</v>
      </c>
      <c r="T388" s="150">
        <f t="shared" si="155"/>
        <v>0</v>
      </c>
      <c r="U388" s="150">
        <f t="shared" si="156"/>
        <v>0</v>
      </c>
      <c r="V388" s="150">
        <f>IFERROR(INDEX(Työkonekanta!$J$3:$J$27,MATCH($A388,Työkonekanta!$A$3:$A$24,0),1)*$B388*ef_li_ion_akku/1000/1000/INDEX(Työkonekanta!$K$3:$K$27,MATCH($A388,Työkonekanta!$A$3:$A$24,0)),0)</f>
        <v>0</v>
      </c>
      <c r="W388" s="149">
        <f t="shared" si="147"/>
        <v>0</v>
      </c>
      <c r="X388" s="150">
        <f t="shared" si="148"/>
        <v>0</v>
      </c>
      <c r="Y388" s="151">
        <f t="shared" si="149"/>
        <v>0</v>
      </c>
      <c r="Z388" s="152">
        <f t="shared" ref="Z388:Z451" si="166">SUM($S388:$V388)</f>
        <v>0</v>
      </c>
      <c r="AA388" s="179">
        <f t="shared" ref="AA388:AA451" si="167">$W388+$Y388</f>
        <v>0</v>
      </c>
      <c r="AB388" s="179">
        <f t="shared" ref="AB388:AB451" si="168">SUM($W388:$Y388)</f>
        <v>0</v>
      </c>
      <c r="AC388" s="180">
        <f t="shared" si="150"/>
        <v>0</v>
      </c>
      <c r="AD388" s="156">
        <f t="shared" ref="AD388:AD451" si="169">$Z388+$AB388</f>
        <v>0</v>
      </c>
      <c r="AE388" s="146">
        <f>IFERROR(INDEX(Työkonekanta!$L$3:$L$30,MATCH($A388,Työkonekanta!$A$3:$A$30,0),1),0)*AF388</f>
        <v>0</v>
      </c>
      <c r="AF388" s="146">
        <f>IFERROR(INDEX(Työkonekanta!$N$3:$N$32,MATCH($A388,Työkonekanta!$A$3:$A$32,0),1),0)</f>
        <v>0</v>
      </c>
      <c r="AG388" s="332">
        <f>I388*INDEX(Muuttujat!$U$5:$U$21,MATCH($C388,Muuttujat!$N$5:$N$21,0),1)</f>
        <v>0</v>
      </c>
      <c r="AH388" s="332">
        <f>J388*INDEX(Muuttujat!$T$5:$T$21,MATCH($C388,Muuttujat!$N$5:$N$21,0),1)</f>
        <v>0</v>
      </c>
      <c r="AI388" s="332">
        <f t="shared" si="157"/>
        <v>0</v>
      </c>
      <c r="AJ388" s="332">
        <f t="shared" si="158"/>
        <v>0</v>
      </c>
      <c r="AK388" s="333">
        <f t="shared" ref="AK388:AK451" si="170">SUM(AG388:AJ388)</f>
        <v>0</v>
      </c>
      <c r="AL388" s="332">
        <f t="shared" si="159"/>
        <v>0</v>
      </c>
      <c r="AM388" s="351"/>
      <c r="AN388" s="351"/>
    </row>
    <row r="389" spans="1:40">
      <c r="A389" s="139">
        <v>27</v>
      </c>
      <c r="B389" s="139">
        <f>IFERROR(IF((INDEX(Työkonekanta!$F$3:$F$27,MATCH('S3 Tiekartta'!$A389,Työkonekanta!$A$3:$A$24,0),1))&lt;0,0,(INDEX(Työkonekanta!$F$3:$F$27,MATCH('S3 Tiekartta'!$A389,Työkonekanta!$A$3:$A$24,0),1))),0)</f>
        <v>0</v>
      </c>
      <c r="C389" s="140">
        <v>2031</v>
      </c>
      <c r="D389" s="141" t="str">
        <f>IFERROR(INDEX(Työkonekanta!$D$3:$D$27,MATCH('S3 Tiekartta'!$A389,Työkonekanta!$A$3:$A$24,0),1),"undefined")</f>
        <v>undefined</v>
      </c>
      <c r="E389" s="145">
        <f>IFERROR(INDEX(Työkonekanta!$G$3:$G$27,MATCH($A389,Työkonekanta!$A$3:$A$24,0),1)*INDEX(Työkonekanta!$H$3:$H$27,MATCH($A389,Työkonekanta!$A$3:$A$24,0),1)*(1+s0b_kasvu*($C389-2019))*$B389,0)</f>
        <v>0</v>
      </c>
      <c r="F389" s="145">
        <f t="shared" si="151"/>
        <v>0</v>
      </c>
      <c r="G389" s="151">
        <f t="shared" si="160"/>
        <v>0</v>
      </c>
      <c r="H389" s="145">
        <f t="shared" si="161"/>
        <v>0</v>
      </c>
      <c r="I389" s="145">
        <f t="shared" si="152"/>
        <v>0</v>
      </c>
      <c r="J389" s="145">
        <f t="shared" si="153"/>
        <v>0</v>
      </c>
      <c r="K389" s="142" t="str">
        <f t="shared" si="162"/>
        <v>undefined</v>
      </c>
      <c r="L389" s="146">
        <f>IFERROR(INDEX(Työkonekanta!$I$3:$I$27,MATCH('S3 Tiekartta'!$A389,Työkonekanta!$A$3:$A$24,0),1)*(I389+J389)*f_adblue,0)</f>
        <v>0</v>
      </c>
      <c r="M389" s="146">
        <f t="shared" si="146"/>
        <v>0</v>
      </c>
      <c r="N389" s="143" t="str">
        <f>IF(tuulisähkö_vuosi&lt;='S3 Tiekartta'!C389,"tuulisähkö",ostosähkö_nyt)</f>
        <v>jäännössähkö</v>
      </c>
      <c r="O389" s="147">
        <f>INDEX(Muuttujat!$J$5:$J$21,MATCH($C389,Muuttujat!$H$5:$H$21,0),1)</f>
        <v>61.379690186142746</v>
      </c>
      <c r="P389" s="148">
        <f t="shared" si="163"/>
        <v>0.67849253515899999</v>
      </c>
      <c r="Q389" s="148">
        <f t="shared" si="164"/>
        <v>0.32150746484100001</v>
      </c>
      <c r="R389" s="148">
        <f t="shared" si="165"/>
        <v>0.32150746484100001</v>
      </c>
      <c r="S389" s="149">
        <f t="shared" si="154"/>
        <v>0</v>
      </c>
      <c r="T389" s="150">
        <f t="shared" si="155"/>
        <v>0</v>
      </c>
      <c r="U389" s="150">
        <f t="shared" si="156"/>
        <v>0</v>
      </c>
      <c r="V389" s="150">
        <f>IFERROR(INDEX(Työkonekanta!$J$3:$J$27,MATCH($A389,Työkonekanta!$A$3:$A$24,0),1)*$B389*ef_li_ion_akku/1000/1000/INDEX(Työkonekanta!$K$3:$K$27,MATCH($A389,Työkonekanta!$A$3:$A$24,0)),0)</f>
        <v>0</v>
      </c>
      <c r="W389" s="149">
        <f t="shared" si="147"/>
        <v>0</v>
      </c>
      <c r="X389" s="150">
        <f t="shared" si="148"/>
        <v>0</v>
      </c>
      <c r="Y389" s="151">
        <f t="shared" si="149"/>
        <v>0</v>
      </c>
      <c r="Z389" s="152">
        <f t="shared" si="166"/>
        <v>0</v>
      </c>
      <c r="AA389" s="179">
        <f t="shared" si="167"/>
        <v>0</v>
      </c>
      <c r="AB389" s="179">
        <f t="shared" si="168"/>
        <v>0</v>
      </c>
      <c r="AC389" s="180">
        <f t="shared" si="150"/>
        <v>0</v>
      </c>
      <c r="AD389" s="156">
        <f t="shared" si="169"/>
        <v>0</v>
      </c>
      <c r="AE389" s="146">
        <f>IFERROR(INDEX(Työkonekanta!$L$3:$L$30,MATCH($A389,Työkonekanta!$A$3:$A$30,0),1),0)*AF389</f>
        <v>0</v>
      </c>
      <c r="AF389" s="146">
        <f>IFERROR(INDEX(Työkonekanta!$N$3:$N$32,MATCH($A389,Työkonekanta!$A$3:$A$32,0),1),0)</f>
        <v>0</v>
      </c>
      <c r="AG389" s="332">
        <f>I389*INDEX(Muuttujat!$U$5:$U$21,MATCH($C389,Muuttujat!$N$5:$N$21,0),1)</f>
        <v>0</v>
      </c>
      <c r="AH389" s="332">
        <f>J389*INDEX(Muuttujat!$T$5:$T$21,MATCH($C389,Muuttujat!$N$5:$N$21,0),1)</f>
        <v>0</v>
      </c>
      <c r="AI389" s="332">
        <f t="shared" si="157"/>
        <v>0</v>
      </c>
      <c r="AJ389" s="332">
        <f t="shared" si="158"/>
        <v>0</v>
      </c>
      <c r="AK389" s="333">
        <f t="shared" si="170"/>
        <v>0</v>
      </c>
      <c r="AL389" s="332">
        <f t="shared" si="159"/>
        <v>0</v>
      </c>
      <c r="AM389" s="351"/>
      <c r="AN389" s="351"/>
    </row>
    <row r="390" spans="1:40">
      <c r="A390" s="139">
        <v>28</v>
      </c>
      <c r="B390" s="139">
        <f>IFERROR(IF((INDEX(Työkonekanta!$F$3:$F$27,MATCH('S3 Tiekartta'!$A390,Työkonekanta!$A$3:$A$24,0),1))&lt;0,0,(INDEX(Työkonekanta!$F$3:$F$27,MATCH('S3 Tiekartta'!$A390,Työkonekanta!$A$3:$A$24,0),1))),0)</f>
        <v>0</v>
      </c>
      <c r="C390" s="140">
        <v>2031</v>
      </c>
      <c r="D390" s="141" t="str">
        <f>IFERROR(INDEX(Työkonekanta!$D$3:$D$27,MATCH('S3 Tiekartta'!$A390,Työkonekanta!$A$3:$A$24,0),1),"undefined")</f>
        <v>undefined</v>
      </c>
      <c r="E390" s="145">
        <f>IFERROR(INDEX(Työkonekanta!$G$3:$G$27,MATCH($A390,Työkonekanta!$A$3:$A$24,0),1)*INDEX(Työkonekanta!$H$3:$H$27,MATCH($A390,Työkonekanta!$A$3:$A$24,0),1)*(1+s0b_kasvu*($C390-2019))*$B390,0)</f>
        <v>0</v>
      </c>
      <c r="F390" s="145">
        <f t="shared" si="151"/>
        <v>0</v>
      </c>
      <c r="G390" s="151">
        <f t="shared" si="160"/>
        <v>0</v>
      </c>
      <c r="H390" s="145">
        <f t="shared" si="161"/>
        <v>0</v>
      </c>
      <c r="I390" s="145">
        <f t="shared" si="152"/>
        <v>0</v>
      </c>
      <c r="J390" s="145">
        <f t="shared" si="153"/>
        <v>0</v>
      </c>
      <c r="K390" s="142" t="str">
        <f t="shared" si="162"/>
        <v>undefined</v>
      </c>
      <c r="L390" s="146">
        <f>IFERROR(INDEX(Työkonekanta!$I$3:$I$27,MATCH('S3 Tiekartta'!$A390,Työkonekanta!$A$3:$A$24,0),1)*(I390+J390)*f_adblue,0)</f>
        <v>0</v>
      </c>
      <c r="M390" s="146">
        <f t="shared" si="146"/>
        <v>0</v>
      </c>
      <c r="N390" s="143" t="str">
        <f>IF(tuulisähkö_vuosi&lt;='S3 Tiekartta'!C390,"tuulisähkö",ostosähkö_nyt)</f>
        <v>jäännössähkö</v>
      </c>
      <c r="O390" s="147">
        <f>INDEX(Muuttujat!$J$5:$J$21,MATCH($C390,Muuttujat!$H$5:$H$21,0),1)</f>
        <v>61.379690186142746</v>
      </c>
      <c r="P390" s="148">
        <f t="shared" si="163"/>
        <v>0.67849253515899999</v>
      </c>
      <c r="Q390" s="148">
        <f t="shared" si="164"/>
        <v>0.32150746484100001</v>
      </c>
      <c r="R390" s="148">
        <f t="shared" si="165"/>
        <v>0.32150746484100001</v>
      </c>
      <c r="S390" s="149">
        <f t="shared" si="154"/>
        <v>0</v>
      </c>
      <c r="T390" s="150">
        <f t="shared" si="155"/>
        <v>0</v>
      </c>
      <c r="U390" s="150">
        <f t="shared" si="156"/>
        <v>0</v>
      </c>
      <c r="V390" s="150">
        <f>IFERROR(INDEX(Työkonekanta!$J$3:$J$27,MATCH($A390,Työkonekanta!$A$3:$A$24,0),1)*$B390*ef_li_ion_akku/1000/1000/INDEX(Työkonekanta!$K$3:$K$27,MATCH($A390,Työkonekanta!$A$3:$A$24,0)),0)</f>
        <v>0</v>
      </c>
      <c r="W390" s="149">
        <f t="shared" si="147"/>
        <v>0</v>
      </c>
      <c r="X390" s="150">
        <f t="shared" si="148"/>
        <v>0</v>
      </c>
      <c r="Y390" s="151">
        <f t="shared" si="149"/>
        <v>0</v>
      </c>
      <c r="Z390" s="152">
        <f t="shared" si="166"/>
        <v>0</v>
      </c>
      <c r="AA390" s="179">
        <f t="shared" si="167"/>
        <v>0</v>
      </c>
      <c r="AB390" s="179">
        <f t="shared" si="168"/>
        <v>0</v>
      </c>
      <c r="AC390" s="180">
        <f t="shared" si="150"/>
        <v>0</v>
      </c>
      <c r="AD390" s="156">
        <f t="shared" si="169"/>
        <v>0</v>
      </c>
      <c r="AE390" s="146">
        <f>IFERROR(INDEX(Työkonekanta!$L$3:$L$30,MATCH($A390,Työkonekanta!$A$3:$A$30,0),1),0)*AF390</f>
        <v>0</v>
      </c>
      <c r="AF390" s="146">
        <f>IFERROR(INDEX(Työkonekanta!$N$3:$N$32,MATCH($A390,Työkonekanta!$A$3:$A$32,0),1),0)</f>
        <v>0</v>
      </c>
      <c r="AG390" s="332">
        <f>I390*INDEX(Muuttujat!$U$5:$U$21,MATCH($C390,Muuttujat!$N$5:$N$21,0),1)</f>
        <v>0</v>
      </c>
      <c r="AH390" s="332">
        <f>J390*INDEX(Muuttujat!$T$5:$T$21,MATCH($C390,Muuttujat!$N$5:$N$21,0),1)</f>
        <v>0</v>
      </c>
      <c r="AI390" s="332">
        <f t="shared" si="157"/>
        <v>0</v>
      </c>
      <c r="AJ390" s="332">
        <f t="shared" si="158"/>
        <v>0</v>
      </c>
      <c r="AK390" s="333">
        <f t="shared" si="170"/>
        <v>0</v>
      </c>
      <c r="AL390" s="332">
        <f t="shared" si="159"/>
        <v>0</v>
      </c>
      <c r="AM390" s="351"/>
      <c r="AN390" s="351"/>
    </row>
    <row r="391" spans="1:40">
      <c r="A391" s="139">
        <v>29</v>
      </c>
      <c r="B391" s="139">
        <f>IFERROR(IF((INDEX(Työkonekanta!$F$3:$F$27,MATCH('S3 Tiekartta'!$A391,Työkonekanta!$A$3:$A$24,0),1))&lt;0,0,(INDEX(Työkonekanta!$F$3:$F$27,MATCH('S3 Tiekartta'!$A391,Työkonekanta!$A$3:$A$24,0),1))),0)</f>
        <v>0</v>
      </c>
      <c r="C391" s="140">
        <v>2031</v>
      </c>
      <c r="D391" s="141" t="str">
        <f>IFERROR(INDEX(Työkonekanta!$D$3:$D$27,MATCH('S3 Tiekartta'!$A391,Työkonekanta!$A$3:$A$24,0),1),"undefined")</f>
        <v>undefined</v>
      </c>
      <c r="E391" s="145">
        <f>IFERROR(INDEX(Työkonekanta!$G$3:$G$27,MATCH($A391,Työkonekanta!$A$3:$A$24,0),1)*INDEX(Työkonekanta!$H$3:$H$27,MATCH($A391,Työkonekanta!$A$3:$A$24,0),1)*(1+s0b_kasvu*($C391-2019))*$B391,0)</f>
        <v>0</v>
      </c>
      <c r="F391" s="145">
        <f t="shared" si="151"/>
        <v>0</v>
      </c>
      <c r="G391" s="151">
        <f t="shared" si="160"/>
        <v>0</v>
      </c>
      <c r="H391" s="145">
        <f t="shared" si="161"/>
        <v>0</v>
      </c>
      <c r="I391" s="145">
        <f t="shared" si="152"/>
        <v>0</v>
      </c>
      <c r="J391" s="145">
        <f t="shared" si="153"/>
        <v>0</v>
      </c>
      <c r="K391" s="142" t="str">
        <f t="shared" si="162"/>
        <v>undefined</v>
      </c>
      <c r="L391" s="146">
        <f>IFERROR(INDEX(Työkonekanta!$I$3:$I$27,MATCH('S3 Tiekartta'!$A391,Työkonekanta!$A$3:$A$24,0),1)*(I391+J391)*f_adblue,0)</f>
        <v>0</v>
      </c>
      <c r="M391" s="146">
        <f t="shared" si="146"/>
        <v>0</v>
      </c>
      <c r="N391" s="143" t="str">
        <f>IF(tuulisähkö_vuosi&lt;='S3 Tiekartta'!C391,"tuulisähkö",ostosähkö_nyt)</f>
        <v>jäännössähkö</v>
      </c>
      <c r="O391" s="147">
        <f>INDEX(Muuttujat!$J$5:$J$21,MATCH($C391,Muuttujat!$H$5:$H$21,0),1)</f>
        <v>61.379690186142746</v>
      </c>
      <c r="P391" s="148">
        <f t="shared" si="163"/>
        <v>0.67849253515899999</v>
      </c>
      <c r="Q391" s="148">
        <f t="shared" si="164"/>
        <v>0.32150746484100001</v>
      </c>
      <c r="R391" s="148">
        <f t="shared" si="165"/>
        <v>0.32150746484100001</v>
      </c>
      <c r="S391" s="149">
        <f t="shared" si="154"/>
        <v>0</v>
      </c>
      <c r="T391" s="150">
        <f t="shared" si="155"/>
        <v>0</v>
      </c>
      <c r="U391" s="150">
        <f t="shared" si="156"/>
        <v>0</v>
      </c>
      <c r="V391" s="150">
        <f>IFERROR(INDEX(Työkonekanta!$J$3:$J$27,MATCH($A391,Työkonekanta!$A$3:$A$24,0),1)*$B391*ef_li_ion_akku/1000/1000/INDEX(Työkonekanta!$K$3:$K$27,MATCH($A391,Työkonekanta!$A$3:$A$24,0)),0)</f>
        <v>0</v>
      </c>
      <c r="W391" s="149">
        <f t="shared" si="147"/>
        <v>0</v>
      </c>
      <c r="X391" s="150">
        <f t="shared" si="148"/>
        <v>0</v>
      </c>
      <c r="Y391" s="151">
        <f t="shared" si="149"/>
        <v>0</v>
      </c>
      <c r="Z391" s="152">
        <f t="shared" si="166"/>
        <v>0</v>
      </c>
      <c r="AA391" s="179">
        <f t="shared" si="167"/>
        <v>0</v>
      </c>
      <c r="AB391" s="179">
        <f t="shared" si="168"/>
        <v>0</v>
      </c>
      <c r="AC391" s="180">
        <f t="shared" si="150"/>
        <v>0</v>
      </c>
      <c r="AD391" s="156">
        <f t="shared" si="169"/>
        <v>0</v>
      </c>
      <c r="AE391" s="146">
        <f>IFERROR(INDEX(Työkonekanta!$L$3:$L$30,MATCH($A391,Työkonekanta!$A$3:$A$30,0),1),0)*AF391</f>
        <v>0</v>
      </c>
      <c r="AF391" s="146">
        <f>IFERROR(INDEX(Työkonekanta!$N$3:$N$32,MATCH($A391,Työkonekanta!$A$3:$A$32,0),1),0)</f>
        <v>0</v>
      </c>
      <c r="AG391" s="332">
        <f>I391*INDEX(Muuttujat!$U$5:$U$21,MATCH($C391,Muuttujat!$N$5:$N$21,0),1)</f>
        <v>0</v>
      </c>
      <c r="AH391" s="332">
        <f>J391*INDEX(Muuttujat!$T$5:$T$21,MATCH($C391,Muuttujat!$N$5:$N$21,0),1)</f>
        <v>0</v>
      </c>
      <c r="AI391" s="332">
        <f t="shared" si="157"/>
        <v>0</v>
      </c>
      <c r="AJ391" s="332">
        <f t="shared" si="158"/>
        <v>0</v>
      </c>
      <c r="AK391" s="333">
        <f t="shared" si="170"/>
        <v>0</v>
      </c>
      <c r="AL391" s="332">
        <f t="shared" si="159"/>
        <v>0</v>
      </c>
      <c r="AM391" s="351"/>
      <c r="AN391" s="351"/>
    </row>
    <row r="392" spans="1:40">
      <c r="A392" s="139">
        <v>30</v>
      </c>
      <c r="B392" s="139">
        <f>IFERROR(IF((INDEX(Työkonekanta!$F$3:$F$27,MATCH('S3 Tiekartta'!$A392,Työkonekanta!$A$3:$A$24,0),1))&lt;0,0,(INDEX(Työkonekanta!$F$3:$F$27,MATCH('S3 Tiekartta'!$A392,Työkonekanta!$A$3:$A$24,0),1))),0)</f>
        <v>0</v>
      </c>
      <c r="C392" s="140">
        <v>2031</v>
      </c>
      <c r="D392" s="141" t="str">
        <f>IFERROR(INDEX(Työkonekanta!$D$3:$D$27,MATCH('S3 Tiekartta'!$A392,Työkonekanta!$A$3:$A$24,0),1),"undefined")</f>
        <v>undefined</v>
      </c>
      <c r="E392" s="145">
        <f>IFERROR(INDEX(Työkonekanta!$G$3:$G$27,MATCH($A392,Työkonekanta!$A$3:$A$24,0),1)*INDEX(Työkonekanta!$H$3:$H$27,MATCH($A392,Työkonekanta!$A$3:$A$24,0),1)*(1+s0b_kasvu*($C392-2019))*$B392,0)</f>
        <v>0</v>
      </c>
      <c r="F392" s="145">
        <f t="shared" si="151"/>
        <v>0</v>
      </c>
      <c r="G392" s="151">
        <f t="shared" si="160"/>
        <v>0</v>
      </c>
      <c r="H392" s="145">
        <f t="shared" si="161"/>
        <v>0</v>
      </c>
      <c r="I392" s="145">
        <f t="shared" si="152"/>
        <v>0</v>
      </c>
      <c r="J392" s="145">
        <f t="shared" si="153"/>
        <v>0</v>
      </c>
      <c r="K392" s="142" t="str">
        <f t="shared" si="162"/>
        <v>undefined</v>
      </c>
      <c r="L392" s="146">
        <f>IFERROR(INDEX(Työkonekanta!$I$3:$I$27,MATCH('S3 Tiekartta'!$A392,Työkonekanta!$A$3:$A$24,0),1)*(I392+J392)*f_adblue,0)</f>
        <v>0</v>
      </c>
      <c r="M392" s="146">
        <f t="shared" si="146"/>
        <v>0</v>
      </c>
      <c r="N392" s="143" t="str">
        <f>IF(tuulisähkö_vuosi&lt;='S3 Tiekartta'!C392,"tuulisähkö",ostosähkö_nyt)</f>
        <v>jäännössähkö</v>
      </c>
      <c r="O392" s="147">
        <f>INDEX(Muuttujat!$J$5:$J$21,MATCH($C392,Muuttujat!$H$5:$H$21,0),1)</f>
        <v>61.379690186142746</v>
      </c>
      <c r="P392" s="148">
        <f t="shared" si="163"/>
        <v>0.67849253515899999</v>
      </c>
      <c r="Q392" s="148">
        <f t="shared" si="164"/>
        <v>0.32150746484100001</v>
      </c>
      <c r="R392" s="148">
        <f t="shared" si="165"/>
        <v>0.32150746484100001</v>
      </c>
      <c r="S392" s="149">
        <f t="shared" si="154"/>
        <v>0</v>
      </c>
      <c r="T392" s="150">
        <f t="shared" si="155"/>
        <v>0</v>
      </c>
      <c r="U392" s="150">
        <f t="shared" si="156"/>
        <v>0</v>
      </c>
      <c r="V392" s="150">
        <f>IFERROR(INDEX(Työkonekanta!$J$3:$J$27,MATCH($A392,Työkonekanta!$A$3:$A$24,0),1)*$B392*ef_li_ion_akku/1000/1000/INDEX(Työkonekanta!$K$3:$K$27,MATCH($A392,Työkonekanta!$A$3:$A$24,0)),0)</f>
        <v>0</v>
      </c>
      <c r="W392" s="149">
        <f t="shared" si="147"/>
        <v>0</v>
      </c>
      <c r="X392" s="150">
        <f t="shared" si="148"/>
        <v>0</v>
      </c>
      <c r="Y392" s="151">
        <f t="shared" si="149"/>
        <v>0</v>
      </c>
      <c r="Z392" s="152">
        <f t="shared" si="166"/>
        <v>0</v>
      </c>
      <c r="AA392" s="179">
        <f t="shared" si="167"/>
        <v>0</v>
      </c>
      <c r="AB392" s="179">
        <f t="shared" si="168"/>
        <v>0</v>
      </c>
      <c r="AC392" s="180">
        <f t="shared" si="150"/>
        <v>0</v>
      </c>
      <c r="AD392" s="156">
        <f t="shared" si="169"/>
        <v>0</v>
      </c>
      <c r="AE392" s="146">
        <f>IFERROR(INDEX(Työkonekanta!$L$3:$L$30,MATCH($A392,Työkonekanta!$A$3:$A$30,0),1),0)*AF392</f>
        <v>0</v>
      </c>
      <c r="AF392" s="146">
        <f>IFERROR(INDEX(Työkonekanta!$N$3:$N$32,MATCH($A392,Työkonekanta!$A$3:$A$32,0),1),0)</f>
        <v>0</v>
      </c>
      <c r="AG392" s="332">
        <f>I392*INDEX(Muuttujat!$U$5:$U$21,MATCH($C392,Muuttujat!$N$5:$N$21,0),1)</f>
        <v>0</v>
      </c>
      <c r="AH392" s="332">
        <f>J392*INDEX(Muuttujat!$T$5:$T$21,MATCH($C392,Muuttujat!$N$5:$N$21,0),1)</f>
        <v>0</v>
      </c>
      <c r="AI392" s="332">
        <f t="shared" si="157"/>
        <v>0</v>
      </c>
      <c r="AJ392" s="332">
        <f t="shared" si="158"/>
        <v>0</v>
      </c>
      <c r="AK392" s="333">
        <f t="shared" si="170"/>
        <v>0</v>
      </c>
      <c r="AL392" s="332">
        <f t="shared" si="159"/>
        <v>0</v>
      </c>
      <c r="AM392" s="351"/>
      <c r="AN392" s="351"/>
    </row>
    <row r="393" spans="1:40">
      <c r="A393" s="139">
        <v>1</v>
      </c>
      <c r="B393" s="139">
        <f>IFERROR(IF((INDEX(Työkonekanta!$F$3:$F$27,MATCH('S3 Tiekartta'!$A393,Työkonekanta!$A$3:$A$24,0),1))&lt;0,0,(INDEX(Työkonekanta!$F$3:$F$27,MATCH('S3 Tiekartta'!$A393,Työkonekanta!$A$3:$A$24,0),1))),0)</f>
        <v>1</v>
      </c>
      <c r="C393" s="140">
        <v>2032</v>
      </c>
      <c r="D393" s="141" t="str">
        <f>IFERROR(INDEX(Työkonekanta!$D$3:$D$27,MATCH('S3 Tiekartta'!$A393,Työkonekanta!$A$3:$A$24,0),1),"undefined")</f>
        <v>pom</v>
      </c>
      <c r="E393" s="145">
        <f>IFERROR(INDEX(Työkonekanta!$G$3:$G$27,MATCH($A393,Työkonekanta!$A$3:$A$24,0),1)*INDEX(Työkonekanta!$H$3:$H$27,MATCH($A393,Työkonekanta!$A$3:$A$24,0),1)*(1+s0b_kasvu*($C393-2019))*$B393,0)</f>
        <v>11299.999999999998</v>
      </c>
      <c r="F393" s="145">
        <f t="shared" si="151"/>
        <v>405669.99999999994</v>
      </c>
      <c r="G393" s="151">
        <f t="shared" si="160"/>
        <v>237420.54609195743</v>
      </c>
      <c r="H393" s="145">
        <f t="shared" si="161"/>
        <v>168249.45390804252</v>
      </c>
      <c r="I393" s="145">
        <f t="shared" si="152"/>
        <v>6613.3856850127422</v>
      </c>
      <c r="J393" s="145">
        <f t="shared" si="153"/>
        <v>4905.2318923627563</v>
      </c>
      <c r="K393" s="142" t="str">
        <f t="shared" si="162"/>
        <v>l</v>
      </c>
      <c r="L393" s="146">
        <f>IFERROR(INDEX(Työkonekanta!$I$3:$I$27,MATCH('S3 Tiekartta'!$A393,Työkonekanta!$A$3:$A$24,0),1)*(I393+J393)*f_adblue,0)</f>
        <v>575.93087886877493</v>
      </c>
      <c r="M393" s="146">
        <f t="shared" si="146"/>
        <v>0</v>
      </c>
      <c r="N393" s="143" t="str">
        <f>IF(tuulisähkö_vuosi&lt;='S3 Tiekartta'!C393,"tuulisähkö",ostosähkö_nyt)</f>
        <v>jäännössähkö</v>
      </c>
      <c r="O393" s="147">
        <f>INDEX(Muuttujat!$J$5:$J$21,MATCH($C393,Muuttujat!$H$5:$H$21,0),1)</f>
        <v>60.765893284281319</v>
      </c>
      <c r="P393" s="148">
        <f t="shared" si="163"/>
        <v>0.58525537035510999</v>
      </c>
      <c r="Q393" s="148">
        <f t="shared" si="164"/>
        <v>0.41474462964489001</v>
      </c>
      <c r="R393" s="148">
        <f t="shared" si="165"/>
        <v>0.41474462964489001</v>
      </c>
      <c r="S393" s="149">
        <f t="shared" si="154"/>
        <v>4.4872483211379954</v>
      </c>
      <c r="T393" s="150">
        <f t="shared" si="155"/>
        <v>10.498765923861853</v>
      </c>
      <c r="U393" s="150">
        <f t="shared" si="156"/>
        <v>0</v>
      </c>
      <c r="V393" s="150">
        <f>IFERROR(INDEX(Työkonekanta!$J$3:$J$27,MATCH($A393,Työkonekanta!$A$3:$A$24,0),1)*$B393*ef_li_ion_akku/1000/1000/INDEX(Työkonekanta!$K$3:$K$27,MATCH($A393,Työkonekanta!$A$3:$A$24,0)),0)</f>
        <v>0</v>
      </c>
      <c r="W393" s="149">
        <f t="shared" si="147"/>
        <v>17.523596036907758</v>
      </c>
      <c r="X393" s="150">
        <f t="shared" si="148"/>
        <v>0.35905259579999993</v>
      </c>
      <c r="Y393" s="151">
        <f t="shared" si="149"/>
        <v>0.14974202850588147</v>
      </c>
      <c r="Z393" s="152">
        <f t="shared" si="166"/>
        <v>14.986014244999849</v>
      </c>
      <c r="AA393" s="179">
        <f t="shared" si="167"/>
        <v>17.673338065413638</v>
      </c>
      <c r="AB393" s="179">
        <f t="shared" si="168"/>
        <v>18.03239066121364</v>
      </c>
      <c r="AC393" s="180">
        <f t="shared" si="150"/>
        <v>32.659352310413489</v>
      </c>
      <c r="AD393" s="156">
        <f t="shared" si="169"/>
        <v>33.01840490621349</v>
      </c>
      <c r="AE393" s="146">
        <f>IFERROR(INDEX(Työkonekanta!$L$3:$L$30,MATCH($A393,Työkonekanta!$A$3:$A$30,0),1),0)*AF393</f>
        <v>500000</v>
      </c>
      <c r="AF393" s="146">
        <f>IFERROR(INDEX(Työkonekanta!$N$3:$N$32,MATCH($A393,Työkonekanta!$A$3:$A$32,0),1),0)</f>
        <v>1</v>
      </c>
      <c r="AG393" s="332">
        <f>I393*INDEX(Muuttujat!$U$5:$U$21,MATCH($C393,Muuttujat!$N$5:$N$21,0),1)</f>
        <v>6944.0549692633795</v>
      </c>
      <c r="AH393" s="332">
        <f>J393*INDEX(Muuttujat!$T$5:$T$21,MATCH($C393,Muuttujat!$N$5:$N$21,0),1)</f>
        <v>7112.5862439259972</v>
      </c>
      <c r="AI393" s="332">
        <f t="shared" si="157"/>
        <v>287.96543943438746</v>
      </c>
      <c r="AJ393" s="332">
        <f t="shared" si="158"/>
        <v>0</v>
      </c>
      <c r="AK393" s="333">
        <f t="shared" si="170"/>
        <v>14344.606652623765</v>
      </c>
      <c r="AL393" s="332">
        <f t="shared" si="159"/>
        <v>14344.606652623765</v>
      </c>
      <c r="AM393" s="351"/>
      <c r="AN393" s="351"/>
    </row>
    <row r="394" spans="1:40">
      <c r="A394" s="139">
        <v>2</v>
      </c>
      <c r="B394" s="139">
        <f>IFERROR(IF((INDEX(Työkonekanta!$F$3:$F$27,MATCH('S3 Tiekartta'!$A394,Työkonekanta!$A$3:$A$24,0),1))&lt;0,0,(INDEX(Työkonekanta!$F$3:$F$27,MATCH('S3 Tiekartta'!$A394,Työkonekanta!$A$3:$A$24,0),1))),0)</f>
        <v>1</v>
      </c>
      <c r="C394" s="140">
        <v>2032</v>
      </c>
      <c r="D394" s="141" t="str">
        <f>IFERROR(INDEX(Työkonekanta!$D$3:$D$27,MATCH('S3 Tiekartta'!$A394,Työkonekanta!$A$3:$A$24,0),1),"undefined")</f>
        <v>pom</v>
      </c>
      <c r="E394" s="145">
        <f>IFERROR(INDEX(Työkonekanta!$G$3:$G$27,MATCH($A394,Työkonekanta!$A$3:$A$24,0),1)*INDEX(Työkonekanta!$H$3:$H$27,MATCH($A394,Työkonekanta!$A$3:$A$24,0),1)*(1+s0b_kasvu*($C394-2019))*$B394,0)</f>
        <v>11299.999999999998</v>
      </c>
      <c r="F394" s="145">
        <f t="shared" si="151"/>
        <v>405669.99999999994</v>
      </c>
      <c r="G394" s="151">
        <f t="shared" si="160"/>
        <v>237420.54609195743</v>
      </c>
      <c r="H394" s="145">
        <f t="shared" si="161"/>
        <v>168249.45390804252</v>
      </c>
      <c r="I394" s="145">
        <f t="shared" si="152"/>
        <v>6613.3856850127422</v>
      </c>
      <c r="J394" s="145">
        <f t="shared" si="153"/>
        <v>4905.2318923627563</v>
      </c>
      <c r="K394" s="142" t="str">
        <f t="shared" si="162"/>
        <v>l</v>
      </c>
      <c r="L394" s="146">
        <f>IFERROR(INDEX(Työkonekanta!$I$3:$I$27,MATCH('S3 Tiekartta'!$A394,Työkonekanta!$A$3:$A$24,0),1)*(I394+J394)*f_adblue,0)</f>
        <v>575.93087886877493</v>
      </c>
      <c r="M394" s="146">
        <f t="shared" si="146"/>
        <v>0</v>
      </c>
      <c r="N394" s="143" t="str">
        <f>IF(tuulisähkö_vuosi&lt;='S3 Tiekartta'!C394,"tuulisähkö",ostosähkö_nyt)</f>
        <v>jäännössähkö</v>
      </c>
      <c r="O394" s="147">
        <f>INDEX(Muuttujat!$J$5:$J$21,MATCH($C394,Muuttujat!$H$5:$H$21,0),1)</f>
        <v>60.765893284281319</v>
      </c>
      <c r="P394" s="148">
        <f t="shared" si="163"/>
        <v>0.58525537035510999</v>
      </c>
      <c r="Q394" s="148">
        <f t="shared" si="164"/>
        <v>0.41474462964489001</v>
      </c>
      <c r="R394" s="148">
        <f t="shared" si="165"/>
        <v>0.41474462964489001</v>
      </c>
      <c r="S394" s="149">
        <f t="shared" si="154"/>
        <v>4.4872483211379954</v>
      </c>
      <c r="T394" s="150">
        <f t="shared" si="155"/>
        <v>10.498765923861853</v>
      </c>
      <c r="U394" s="150">
        <f t="shared" si="156"/>
        <v>0</v>
      </c>
      <c r="V394" s="150">
        <f>IFERROR(INDEX(Työkonekanta!$J$3:$J$27,MATCH($A394,Työkonekanta!$A$3:$A$24,0),1)*$B394*ef_li_ion_akku/1000/1000/INDEX(Työkonekanta!$K$3:$K$27,MATCH($A394,Työkonekanta!$A$3:$A$24,0)),0)</f>
        <v>0</v>
      </c>
      <c r="W394" s="149">
        <f t="shared" si="147"/>
        <v>17.523596036907758</v>
      </c>
      <c r="X394" s="150">
        <f t="shared" si="148"/>
        <v>0.35905259579999993</v>
      </c>
      <c r="Y394" s="151">
        <f t="shared" si="149"/>
        <v>0.14974202850588147</v>
      </c>
      <c r="Z394" s="152">
        <f t="shared" si="166"/>
        <v>14.986014244999849</v>
      </c>
      <c r="AA394" s="179">
        <f t="shared" si="167"/>
        <v>17.673338065413638</v>
      </c>
      <c r="AB394" s="179">
        <f t="shared" si="168"/>
        <v>18.03239066121364</v>
      </c>
      <c r="AC394" s="180">
        <f t="shared" si="150"/>
        <v>32.659352310413489</v>
      </c>
      <c r="AD394" s="156">
        <f t="shared" si="169"/>
        <v>33.01840490621349</v>
      </c>
      <c r="AE394" s="146">
        <f>IFERROR(INDEX(Työkonekanta!$L$3:$L$30,MATCH($A394,Työkonekanta!$A$3:$A$30,0),1),0)*AF394</f>
        <v>500000</v>
      </c>
      <c r="AF394" s="146">
        <f>IFERROR(INDEX(Työkonekanta!$N$3:$N$32,MATCH($A394,Työkonekanta!$A$3:$A$32,0),1),0)</f>
        <v>1</v>
      </c>
      <c r="AG394" s="332">
        <f>I394*INDEX(Muuttujat!$U$5:$U$21,MATCH($C394,Muuttujat!$N$5:$N$21,0),1)</f>
        <v>6944.0549692633795</v>
      </c>
      <c r="AH394" s="332">
        <f>J394*INDEX(Muuttujat!$T$5:$T$21,MATCH($C394,Muuttujat!$N$5:$N$21,0),1)</f>
        <v>7112.5862439259972</v>
      </c>
      <c r="AI394" s="332">
        <f t="shared" si="157"/>
        <v>287.96543943438746</v>
      </c>
      <c r="AJ394" s="332">
        <f t="shared" si="158"/>
        <v>0</v>
      </c>
      <c r="AK394" s="333">
        <f t="shared" si="170"/>
        <v>14344.606652623765</v>
      </c>
      <c r="AL394" s="332">
        <f t="shared" si="159"/>
        <v>14344.606652623765</v>
      </c>
      <c r="AM394" s="351"/>
      <c r="AN394" s="351"/>
    </row>
    <row r="395" spans="1:40">
      <c r="A395" s="139">
        <v>3</v>
      </c>
      <c r="B395" s="139">
        <f>IFERROR(IF((INDEX(Työkonekanta!$F$3:$F$27,MATCH('S3 Tiekartta'!$A395,Työkonekanta!$A$3:$A$24,0),1))&lt;0,0,(INDEX(Työkonekanta!$F$3:$F$27,MATCH('S3 Tiekartta'!$A395,Työkonekanta!$A$3:$A$24,0),1))),0)</f>
        <v>1</v>
      </c>
      <c r="C395" s="140">
        <v>2032</v>
      </c>
      <c r="D395" s="141" t="str">
        <f>IFERROR(INDEX(Työkonekanta!$D$3:$D$27,MATCH('S3 Tiekartta'!$A395,Työkonekanta!$A$3:$A$24,0),1),"undefined")</f>
        <v>pom</v>
      </c>
      <c r="E395" s="145">
        <f>IFERROR(INDEX(Työkonekanta!$G$3:$G$27,MATCH($A395,Työkonekanta!$A$3:$A$24,0),1)*INDEX(Työkonekanta!$H$3:$H$27,MATCH($A395,Työkonekanta!$A$3:$A$24,0),1)*(1+s0b_kasvu*($C395-2019))*$B395,0)</f>
        <v>11299.999999999998</v>
      </c>
      <c r="F395" s="145">
        <f t="shared" si="151"/>
        <v>405669.99999999994</v>
      </c>
      <c r="G395" s="151">
        <f t="shared" si="160"/>
        <v>237420.54609195743</v>
      </c>
      <c r="H395" s="145">
        <f t="shared" si="161"/>
        <v>168249.45390804252</v>
      </c>
      <c r="I395" s="145">
        <f t="shared" si="152"/>
        <v>6613.3856850127422</v>
      </c>
      <c r="J395" s="145">
        <f t="shared" si="153"/>
        <v>4905.2318923627563</v>
      </c>
      <c r="K395" s="142" t="str">
        <f t="shared" si="162"/>
        <v>l</v>
      </c>
      <c r="L395" s="146">
        <f>IFERROR(INDEX(Työkonekanta!$I$3:$I$27,MATCH('S3 Tiekartta'!$A395,Työkonekanta!$A$3:$A$24,0),1)*(I395+J395)*f_adblue,0)</f>
        <v>575.93087886877493</v>
      </c>
      <c r="M395" s="146">
        <f t="shared" si="146"/>
        <v>0</v>
      </c>
      <c r="N395" s="143" t="str">
        <f>IF(tuulisähkö_vuosi&lt;='S3 Tiekartta'!C395,"tuulisähkö",ostosähkö_nyt)</f>
        <v>jäännössähkö</v>
      </c>
      <c r="O395" s="147">
        <f>INDEX(Muuttujat!$J$5:$J$21,MATCH($C395,Muuttujat!$H$5:$H$21,0),1)</f>
        <v>60.765893284281319</v>
      </c>
      <c r="P395" s="148">
        <f t="shared" si="163"/>
        <v>0.58525537035510999</v>
      </c>
      <c r="Q395" s="148">
        <f t="shared" si="164"/>
        <v>0.41474462964489001</v>
      </c>
      <c r="R395" s="148">
        <f t="shared" si="165"/>
        <v>0.41474462964489001</v>
      </c>
      <c r="S395" s="149">
        <f t="shared" si="154"/>
        <v>4.4872483211379954</v>
      </c>
      <c r="T395" s="150">
        <f t="shared" si="155"/>
        <v>10.498765923861853</v>
      </c>
      <c r="U395" s="150">
        <f t="shared" si="156"/>
        <v>0</v>
      </c>
      <c r="V395" s="150">
        <f>IFERROR(INDEX(Työkonekanta!$J$3:$J$27,MATCH($A395,Työkonekanta!$A$3:$A$24,0),1)*$B395*ef_li_ion_akku/1000/1000/INDEX(Työkonekanta!$K$3:$K$27,MATCH($A395,Työkonekanta!$A$3:$A$24,0)),0)</f>
        <v>0</v>
      </c>
      <c r="W395" s="149">
        <f t="shared" si="147"/>
        <v>17.523596036907758</v>
      </c>
      <c r="X395" s="150">
        <f t="shared" si="148"/>
        <v>0.35905259579999993</v>
      </c>
      <c r="Y395" s="151">
        <f t="shared" si="149"/>
        <v>0.14974202850588147</v>
      </c>
      <c r="Z395" s="152">
        <f t="shared" si="166"/>
        <v>14.986014244999849</v>
      </c>
      <c r="AA395" s="179">
        <f t="shared" si="167"/>
        <v>17.673338065413638</v>
      </c>
      <c r="AB395" s="179">
        <f t="shared" si="168"/>
        <v>18.03239066121364</v>
      </c>
      <c r="AC395" s="180">
        <f t="shared" si="150"/>
        <v>32.659352310413489</v>
      </c>
      <c r="AD395" s="156">
        <f t="shared" si="169"/>
        <v>33.01840490621349</v>
      </c>
      <c r="AE395" s="146">
        <f>IFERROR(INDEX(Työkonekanta!$L$3:$L$30,MATCH($A395,Työkonekanta!$A$3:$A$30,0),1),0)*AF395</f>
        <v>0</v>
      </c>
      <c r="AF395" s="146">
        <f>IFERROR(INDEX(Työkonekanta!$N$3:$N$32,MATCH($A395,Työkonekanta!$A$3:$A$32,0),1),0)</f>
        <v>0</v>
      </c>
      <c r="AG395" s="332">
        <f>I395*INDEX(Muuttujat!$U$5:$U$21,MATCH($C395,Muuttujat!$N$5:$N$21,0),1)</f>
        <v>6944.0549692633795</v>
      </c>
      <c r="AH395" s="332">
        <f>J395*INDEX(Muuttujat!$T$5:$T$21,MATCH($C395,Muuttujat!$N$5:$N$21,0),1)</f>
        <v>7112.5862439259972</v>
      </c>
      <c r="AI395" s="332">
        <f t="shared" si="157"/>
        <v>287.96543943438746</v>
      </c>
      <c r="AJ395" s="332">
        <f t="shared" si="158"/>
        <v>0</v>
      </c>
      <c r="AK395" s="333">
        <f t="shared" si="170"/>
        <v>14344.606652623765</v>
      </c>
      <c r="AL395" s="332">
        <f t="shared" si="159"/>
        <v>14344.606652623765</v>
      </c>
      <c r="AM395" s="351"/>
      <c r="AN395" s="351"/>
    </row>
    <row r="396" spans="1:40">
      <c r="A396" s="139">
        <v>4</v>
      </c>
      <c r="B396" s="139">
        <f>IFERROR(IF((INDEX(Työkonekanta!$F$3:$F$27,MATCH('S3 Tiekartta'!$A396,Työkonekanta!$A$3:$A$24,0),1))&lt;0,0,(INDEX(Työkonekanta!$F$3:$F$27,MATCH('S3 Tiekartta'!$A396,Työkonekanta!$A$3:$A$24,0),1))),0)</f>
        <v>1</v>
      </c>
      <c r="C396" s="140">
        <v>2032</v>
      </c>
      <c r="D396" s="141" t="str">
        <f>IFERROR(INDEX(Työkonekanta!$D$3:$D$27,MATCH('S3 Tiekartta'!$A396,Työkonekanta!$A$3:$A$24,0),1),"undefined")</f>
        <v>pom</v>
      </c>
      <c r="E396" s="145">
        <f>IFERROR(INDEX(Työkonekanta!$G$3:$G$27,MATCH($A396,Työkonekanta!$A$3:$A$24,0),1)*INDEX(Työkonekanta!$H$3:$H$27,MATCH($A396,Työkonekanta!$A$3:$A$24,0),1)*(1+s0b_kasvu*($C396-2019))*$B396,0)</f>
        <v>11299.999999999998</v>
      </c>
      <c r="F396" s="145">
        <f t="shared" si="151"/>
        <v>405669.99999999994</v>
      </c>
      <c r="G396" s="151">
        <f t="shared" si="160"/>
        <v>237420.54609195743</v>
      </c>
      <c r="H396" s="145">
        <f t="shared" si="161"/>
        <v>168249.45390804252</v>
      </c>
      <c r="I396" s="145">
        <f t="shared" si="152"/>
        <v>6613.3856850127422</v>
      </c>
      <c r="J396" s="145">
        <f t="shared" si="153"/>
        <v>4905.2318923627563</v>
      </c>
      <c r="K396" s="142" t="str">
        <f t="shared" si="162"/>
        <v>l</v>
      </c>
      <c r="L396" s="146">
        <f>IFERROR(INDEX(Työkonekanta!$I$3:$I$27,MATCH('S3 Tiekartta'!$A396,Työkonekanta!$A$3:$A$24,0),1)*(I396+J396)*f_adblue,0)</f>
        <v>575.93087886877493</v>
      </c>
      <c r="M396" s="146">
        <f t="shared" si="146"/>
        <v>0</v>
      </c>
      <c r="N396" s="143" t="str">
        <f>IF(tuulisähkö_vuosi&lt;='S3 Tiekartta'!C396,"tuulisähkö",ostosähkö_nyt)</f>
        <v>jäännössähkö</v>
      </c>
      <c r="O396" s="147">
        <f>INDEX(Muuttujat!$J$5:$J$21,MATCH($C396,Muuttujat!$H$5:$H$21,0),1)</f>
        <v>60.765893284281319</v>
      </c>
      <c r="P396" s="148">
        <f t="shared" si="163"/>
        <v>0.58525537035510999</v>
      </c>
      <c r="Q396" s="148">
        <f t="shared" si="164"/>
        <v>0.41474462964489001</v>
      </c>
      <c r="R396" s="148">
        <f t="shared" si="165"/>
        <v>0.41474462964489001</v>
      </c>
      <c r="S396" s="149">
        <f t="shared" si="154"/>
        <v>4.4872483211379954</v>
      </c>
      <c r="T396" s="150">
        <f t="shared" si="155"/>
        <v>10.498765923861853</v>
      </c>
      <c r="U396" s="150">
        <f t="shared" si="156"/>
        <v>0</v>
      </c>
      <c r="V396" s="150">
        <f>IFERROR(INDEX(Työkonekanta!$J$3:$J$27,MATCH($A396,Työkonekanta!$A$3:$A$24,0),1)*$B396*ef_li_ion_akku/1000/1000/INDEX(Työkonekanta!$K$3:$K$27,MATCH($A396,Työkonekanta!$A$3:$A$24,0)),0)</f>
        <v>0</v>
      </c>
      <c r="W396" s="149">
        <f t="shared" si="147"/>
        <v>17.523596036907758</v>
      </c>
      <c r="X396" s="150">
        <f t="shared" si="148"/>
        <v>0.35905259579999993</v>
      </c>
      <c r="Y396" s="151">
        <f t="shared" si="149"/>
        <v>0.14974202850588147</v>
      </c>
      <c r="Z396" s="152">
        <f t="shared" si="166"/>
        <v>14.986014244999849</v>
      </c>
      <c r="AA396" s="179">
        <f t="shared" si="167"/>
        <v>17.673338065413638</v>
      </c>
      <c r="AB396" s="179">
        <f t="shared" si="168"/>
        <v>18.03239066121364</v>
      </c>
      <c r="AC396" s="180">
        <f t="shared" si="150"/>
        <v>32.659352310413489</v>
      </c>
      <c r="AD396" s="156">
        <f t="shared" si="169"/>
        <v>33.01840490621349</v>
      </c>
      <c r="AE396" s="146">
        <f>IFERROR(INDEX(Työkonekanta!$L$3:$L$30,MATCH($A396,Työkonekanta!$A$3:$A$30,0),1),0)*AF396</f>
        <v>0</v>
      </c>
      <c r="AF396" s="146">
        <f>IFERROR(INDEX(Työkonekanta!$N$3:$N$32,MATCH($A396,Työkonekanta!$A$3:$A$32,0),1),0)</f>
        <v>0</v>
      </c>
      <c r="AG396" s="332">
        <f>I396*INDEX(Muuttujat!$U$5:$U$21,MATCH($C396,Muuttujat!$N$5:$N$21,0),1)</f>
        <v>6944.0549692633795</v>
      </c>
      <c r="AH396" s="332">
        <f>J396*INDEX(Muuttujat!$T$5:$T$21,MATCH($C396,Muuttujat!$N$5:$N$21,0),1)</f>
        <v>7112.5862439259972</v>
      </c>
      <c r="AI396" s="332">
        <f t="shared" si="157"/>
        <v>287.96543943438746</v>
      </c>
      <c r="AJ396" s="332">
        <f t="shared" si="158"/>
        <v>0</v>
      </c>
      <c r="AK396" s="333">
        <f t="shared" si="170"/>
        <v>14344.606652623765</v>
      </c>
      <c r="AL396" s="332">
        <f t="shared" si="159"/>
        <v>14344.606652623765</v>
      </c>
      <c r="AM396" s="351"/>
      <c r="AN396" s="351"/>
    </row>
    <row r="397" spans="1:40">
      <c r="A397" s="139">
        <v>5</v>
      </c>
      <c r="B397" s="139">
        <f>IFERROR(IF((INDEX(Työkonekanta!$F$3:$F$27,MATCH('S3 Tiekartta'!$A397,Työkonekanta!$A$3:$A$24,0),1))&lt;0,0,(INDEX(Työkonekanta!$F$3:$F$27,MATCH('S3 Tiekartta'!$A397,Työkonekanta!$A$3:$A$24,0),1))),0)</f>
        <v>0</v>
      </c>
      <c r="C397" s="140">
        <v>2032</v>
      </c>
      <c r="D397" s="141" t="str">
        <f>IFERROR(INDEX(Työkonekanta!$D$3:$D$27,MATCH('S3 Tiekartta'!$A397,Työkonekanta!$A$3:$A$24,0),1),"undefined")</f>
        <v>sähkö</v>
      </c>
      <c r="E397" s="145">
        <f>IFERROR(INDEX(Työkonekanta!$G$3:$G$27,MATCH($A397,Työkonekanta!$A$3:$A$24,0),1)*INDEX(Työkonekanta!$H$3:$H$27,MATCH($A397,Työkonekanta!$A$3:$A$24,0),1)*(1+s0b_kasvu*($C397-2019))*$B397,0)</f>
        <v>0</v>
      </c>
      <c r="F397" s="145">
        <f t="shared" si="151"/>
        <v>0</v>
      </c>
      <c r="G397" s="151">
        <f t="shared" si="160"/>
        <v>0</v>
      </c>
      <c r="H397" s="145">
        <f t="shared" si="161"/>
        <v>0</v>
      </c>
      <c r="I397" s="145">
        <f t="shared" si="152"/>
        <v>0</v>
      </c>
      <c r="J397" s="145">
        <f t="shared" si="153"/>
        <v>0</v>
      </c>
      <c r="K397" s="142" t="str">
        <f t="shared" si="162"/>
        <v>kWh</v>
      </c>
      <c r="L397" s="146">
        <f>IFERROR(INDEX(Työkonekanta!$I$3:$I$27,MATCH('S3 Tiekartta'!$A397,Työkonekanta!$A$3:$A$24,0),1)*(I397+J397)*f_adblue,0)</f>
        <v>0</v>
      </c>
      <c r="M397" s="146">
        <f t="shared" si="146"/>
        <v>0</v>
      </c>
      <c r="N397" s="143" t="str">
        <f>IF(tuulisähkö_vuosi&lt;='S3 Tiekartta'!C397,"tuulisähkö",ostosähkö_nyt)</f>
        <v>jäännössähkö</v>
      </c>
      <c r="O397" s="147">
        <f>INDEX(Muuttujat!$J$5:$J$21,MATCH($C397,Muuttujat!$H$5:$H$21,0),1)</f>
        <v>60.765893284281319</v>
      </c>
      <c r="P397" s="148">
        <f t="shared" si="163"/>
        <v>0.58525537035510999</v>
      </c>
      <c r="Q397" s="148">
        <f t="shared" si="164"/>
        <v>0.41474462964489001</v>
      </c>
      <c r="R397" s="148">
        <f t="shared" si="165"/>
        <v>0.41474462964489001</v>
      </c>
      <c r="S397" s="149">
        <f t="shared" si="154"/>
        <v>0</v>
      </c>
      <c r="T397" s="150">
        <f t="shared" si="155"/>
        <v>0</v>
      </c>
      <c r="U397" s="150">
        <f t="shared" si="156"/>
        <v>0</v>
      </c>
      <c r="V397" s="150">
        <f>IFERROR(INDEX(Työkonekanta!$J$3:$J$27,MATCH($A397,Työkonekanta!$A$3:$A$24,0),1)*$B397*ef_li_ion_akku/1000/1000/INDEX(Työkonekanta!$K$3:$K$27,MATCH($A397,Työkonekanta!$A$3:$A$24,0)),0)</f>
        <v>0</v>
      </c>
      <c r="W397" s="149">
        <f t="shared" si="147"/>
        <v>0</v>
      </c>
      <c r="X397" s="150">
        <f t="shared" si="148"/>
        <v>0</v>
      </c>
      <c r="Y397" s="151">
        <f t="shared" si="149"/>
        <v>0</v>
      </c>
      <c r="Z397" s="152">
        <f t="shared" si="166"/>
        <v>0</v>
      </c>
      <c r="AA397" s="179">
        <f t="shared" si="167"/>
        <v>0</v>
      </c>
      <c r="AB397" s="179">
        <f t="shared" si="168"/>
        <v>0</v>
      </c>
      <c r="AC397" s="180">
        <f t="shared" si="150"/>
        <v>0</v>
      </c>
      <c r="AD397" s="156">
        <f t="shared" si="169"/>
        <v>0</v>
      </c>
      <c r="AE397" s="146">
        <f>IFERROR(INDEX(Työkonekanta!$L$3:$L$30,MATCH($A397,Työkonekanta!$A$3:$A$30,0),1),0)*AF397</f>
        <v>0</v>
      </c>
      <c r="AF397" s="146">
        <f>IFERROR(INDEX(Työkonekanta!$N$3:$N$32,MATCH($A397,Työkonekanta!$A$3:$A$32,0),1),0)</f>
        <v>0</v>
      </c>
      <c r="AG397" s="332">
        <f>I397*INDEX(Muuttujat!$U$5:$U$21,MATCH($C397,Muuttujat!$N$5:$N$21,0),1)</f>
        <v>0</v>
      </c>
      <c r="AH397" s="332">
        <f>J397*INDEX(Muuttujat!$T$5:$T$21,MATCH($C397,Muuttujat!$N$5:$N$21,0),1)</f>
        <v>0</v>
      </c>
      <c r="AI397" s="332">
        <f t="shared" si="157"/>
        <v>0</v>
      </c>
      <c r="AJ397" s="332">
        <f t="shared" si="158"/>
        <v>0</v>
      </c>
      <c r="AK397" s="333">
        <f t="shared" si="170"/>
        <v>0</v>
      </c>
      <c r="AL397" s="332">
        <f t="shared" si="159"/>
        <v>0</v>
      </c>
      <c r="AM397" s="351"/>
      <c r="AN397" s="351"/>
    </row>
    <row r="398" spans="1:40">
      <c r="A398" s="139">
        <v>6</v>
      </c>
      <c r="B398" s="139">
        <f>IFERROR(IF((INDEX(Työkonekanta!$F$3:$F$27,MATCH('S3 Tiekartta'!$A398,Työkonekanta!$A$3:$A$24,0),1))&lt;0,0,(INDEX(Työkonekanta!$F$3:$F$27,MATCH('S3 Tiekartta'!$A398,Työkonekanta!$A$3:$A$24,0),1))),0)</f>
        <v>0</v>
      </c>
      <c r="C398" s="140">
        <v>2032</v>
      </c>
      <c r="D398" s="141" t="str">
        <f>IFERROR(INDEX(Työkonekanta!$D$3:$D$27,MATCH('S3 Tiekartta'!$A398,Työkonekanta!$A$3:$A$24,0),1),"undefined")</f>
        <v>sähkö</v>
      </c>
      <c r="E398" s="145">
        <f>IFERROR(INDEX(Työkonekanta!$G$3:$G$27,MATCH($A398,Työkonekanta!$A$3:$A$24,0),1)*INDEX(Työkonekanta!$H$3:$H$27,MATCH($A398,Työkonekanta!$A$3:$A$24,0),1)*(1+s0b_kasvu*($C398-2019))*$B398,0)</f>
        <v>0</v>
      </c>
      <c r="F398" s="145">
        <f t="shared" si="151"/>
        <v>0</v>
      </c>
      <c r="G398" s="151">
        <f t="shared" si="160"/>
        <v>0</v>
      </c>
      <c r="H398" s="145">
        <f t="shared" si="161"/>
        <v>0</v>
      </c>
      <c r="I398" s="145">
        <f t="shared" si="152"/>
        <v>0</v>
      </c>
      <c r="J398" s="145">
        <f t="shared" si="153"/>
        <v>0</v>
      </c>
      <c r="K398" s="142" t="str">
        <f t="shared" si="162"/>
        <v>kWh</v>
      </c>
      <c r="L398" s="146">
        <f>IFERROR(INDEX(Työkonekanta!$I$3:$I$27,MATCH('S3 Tiekartta'!$A398,Työkonekanta!$A$3:$A$24,0),1)*(I398+J398)*f_adblue,0)</f>
        <v>0</v>
      </c>
      <c r="M398" s="146">
        <f t="shared" si="146"/>
        <v>0</v>
      </c>
      <c r="N398" s="143" t="str">
        <f>IF(tuulisähkö_vuosi&lt;='S3 Tiekartta'!C398,"tuulisähkö",ostosähkö_nyt)</f>
        <v>jäännössähkö</v>
      </c>
      <c r="O398" s="147">
        <f>INDEX(Muuttujat!$J$5:$J$21,MATCH($C398,Muuttujat!$H$5:$H$21,0),1)</f>
        <v>60.765893284281319</v>
      </c>
      <c r="P398" s="148">
        <f t="shared" si="163"/>
        <v>0.58525537035510999</v>
      </c>
      <c r="Q398" s="148">
        <f t="shared" si="164"/>
        <v>0.41474462964489001</v>
      </c>
      <c r="R398" s="148">
        <f t="shared" si="165"/>
        <v>0.41474462964489001</v>
      </c>
      <c r="S398" s="149">
        <f t="shared" si="154"/>
        <v>0</v>
      </c>
      <c r="T398" s="150">
        <f t="shared" si="155"/>
        <v>0</v>
      </c>
      <c r="U398" s="150">
        <f t="shared" si="156"/>
        <v>0</v>
      </c>
      <c r="V398" s="150">
        <f>IFERROR(INDEX(Työkonekanta!$J$3:$J$27,MATCH($A398,Työkonekanta!$A$3:$A$24,0),1)*$B398*ef_li_ion_akku/1000/1000/INDEX(Työkonekanta!$K$3:$K$27,MATCH($A398,Työkonekanta!$A$3:$A$24,0)),0)</f>
        <v>0</v>
      </c>
      <c r="W398" s="149">
        <f t="shared" si="147"/>
        <v>0</v>
      </c>
      <c r="X398" s="150">
        <f t="shared" si="148"/>
        <v>0</v>
      </c>
      <c r="Y398" s="151">
        <f t="shared" si="149"/>
        <v>0</v>
      </c>
      <c r="Z398" s="152">
        <f t="shared" si="166"/>
        <v>0</v>
      </c>
      <c r="AA398" s="179">
        <f t="shared" si="167"/>
        <v>0</v>
      </c>
      <c r="AB398" s="179">
        <f t="shared" si="168"/>
        <v>0</v>
      </c>
      <c r="AC398" s="180">
        <f t="shared" si="150"/>
        <v>0</v>
      </c>
      <c r="AD398" s="156">
        <f t="shared" si="169"/>
        <v>0</v>
      </c>
      <c r="AE398" s="146">
        <f>IFERROR(INDEX(Työkonekanta!$L$3:$L$30,MATCH($A398,Työkonekanta!$A$3:$A$30,0),1),0)*AF398</f>
        <v>0</v>
      </c>
      <c r="AF398" s="146">
        <f>IFERROR(INDEX(Työkonekanta!$N$3:$N$32,MATCH($A398,Työkonekanta!$A$3:$A$32,0),1),0)</f>
        <v>0</v>
      </c>
      <c r="AG398" s="332">
        <f>I398*INDEX(Muuttujat!$U$5:$U$21,MATCH($C398,Muuttujat!$N$5:$N$21,0),1)</f>
        <v>0</v>
      </c>
      <c r="AH398" s="332">
        <f>J398*INDEX(Muuttujat!$T$5:$T$21,MATCH($C398,Muuttujat!$N$5:$N$21,0),1)</f>
        <v>0</v>
      </c>
      <c r="AI398" s="332">
        <f t="shared" si="157"/>
        <v>0</v>
      </c>
      <c r="AJ398" s="332">
        <f t="shared" si="158"/>
        <v>0</v>
      </c>
      <c r="AK398" s="333">
        <f t="shared" si="170"/>
        <v>0</v>
      </c>
      <c r="AL398" s="332">
        <f t="shared" si="159"/>
        <v>0</v>
      </c>
      <c r="AM398" s="351"/>
      <c r="AN398" s="351"/>
    </row>
    <row r="399" spans="1:40">
      <c r="A399" s="139">
        <v>7</v>
      </c>
      <c r="B399" s="139">
        <f>IFERROR(IF((INDEX(Työkonekanta!$F$3:$F$27,MATCH('S3 Tiekartta'!$A399,Työkonekanta!$A$3:$A$24,0),1))&lt;0,0,(INDEX(Työkonekanta!$F$3:$F$27,MATCH('S3 Tiekartta'!$A399,Työkonekanta!$A$3:$A$24,0),1))),0)</f>
        <v>1</v>
      </c>
      <c r="C399" s="140">
        <v>2032</v>
      </c>
      <c r="D399" s="141" t="str">
        <f>IFERROR(INDEX(Työkonekanta!$D$3:$D$27,MATCH('S3 Tiekartta'!$A399,Työkonekanta!$A$3:$A$24,0),1),"undefined")</f>
        <v>pom</v>
      </c>
      <c r="E399" s="145">
        <f>IFERROR(INDEX(Työkonekanta!$G$3:$G$27,MATCH($A399,Työkonekanta!$A$3:$A$24,0),1)*INDEX(Työkonekanta!$H$3:$H$27,MATCH($A399,Työkonekanta!$A$3:$A$24,0),1)*(1+s0b_kasvu*($C399-2019))*$B399,0)</f>
        <v>11299.999999999998</v>
      </c>
      <c r="F399" s="145">
        <f t="shared" si="151"/>
        <v>405669.99999999994</v>
      </c>
      <c r="G399" s="151">
        <f t="shared" si="160"/>
        <v>237420.54609195743</v>
      </c>
      <c r="H399" s="145">
        <f t="shared" si="161"/>
        <v>168249.45390804252</v>
      </c>
      <c r="I399" s="145">
        <f t="shared" si="152"/>
        <v>6613.3856850127422</v>
      </c>
      <c r="J399" s="145">
        <f t="shared" si="153"/>
        <v>4905.2318923627563</v>
      </c>
      <c r="K399" s="142" t="str">
        <f t="shared" si="162"/>
        <v>l</v>
      </c>
      <c r="L399" s="146">
        <f>IFERROR(INDEX(Työkonekanta!$I$3:$I$27,MATCH('S3 Tiekartta'!$A399,Työkonekanta!$A$3:$A$24,0),1)*(I399+J399)*f_adblue,0)</f>
        <v>0</v>
      </c>
      <c r="M399" s="146">
        <f t="shared" si="146"/>
        <v>0</v>
      </c>
      <c r="N399" s="143" t="str">
        <f>IF(tuulisähkö_vuosi&lt;='S3 Tiekartta'!C399,"tuulisähkö",ostosähkö_nyt)</f>
        <v>jäännössähkö</v>
      </c>
      <c r="O399" s="147">
        <f>INDEX(Muuttujat!$J$5:$J$21,MATCH($C399,Muuttujat!$H$5:$H$21,0),1)</f>
        <v>60.765893284281319</v>
      </c>
      <c r="P399" s="148">
        <f t="shared" si="163"/>
        <v>0.58525537035510999</v>
      </c>
      <c r="Q399" s="148">
        <f t="shared" si="164"/>
        <v>0.41474462964489001</v>
      </c>
      <c r="R399" s="148">
        <f t="shared" si="165"/>
        <v>0.41474462964489001</v>
      </c>
      <c r="S399" s="149">
        <f t="shared" si="154"/>
        <v>4.4872483211379954</v>
      </c>
      <c r="T399" s="150">
        <f t="shared" si="155"/>
        <v>10.498765923861853</v>
      </c>
      <c r="U399" s="150">
        <f t="shared" si="156"/>
        <v>0</v>
      </c>
      <c r="V399" s="150">
        <f>IFERROR(INDEX(Työkonekanta!$J$3:$J$27,MATCH($A399,Työkonekanta!$A$3:$A$24,0),1)*$B399*ef_li_ion_akku/1000/1000/INDEX(Työkonekanta!$K$3:$K$27,MATCH($A399,Työkonekanta!$A$3:$A$24,0)),0)</f>
        <v>0</v>
      </c>
      <c r="W399" s="149">
        <f t="shared" si="147"/>
        <v>17.523596036907758</v>
      </c>
      <c r="X399" s="150">
        <f t="shared" si="148"/>
        <v>0.35905259579999993</v>
      </c>
      <c r="Y399" s="151">
        <f t="shared" si="149"/>
        <v>0</v>
      </c>
      <c r="Z399" s="152">
        <f t="shared" si="166"/>
        <v>14.986014244999849</v>
      </c>
      <c r="AA399" s="179">
        <f t="shared" si="167"/>
        <v>17.523596036907758</v>
      </c>
      <c r="AB399" s="179">
        <f t="shared" si="168"/>
        <v>17.88264863270776</v>
      </c>
      <c r="AC399" s="180">
        <f t="shared" si="150"/>
        <v>32.509610281907605</v>
      </c>
      <c r="AD399" s="156">
        <f t="shared" si="169"/>
        <v>32.868662877707607</v>
      </c>
      <c r="AE399" s="146">
        <f>IFERROR(INDEX(Työkonekanta!$L$3:$L$30,MATCH($A399,Työkonekanta!$A$3:$A$30,0),1),0)*AF399</f>
        <v>500000</v>
      </c>
      <c r="AF399" s="146">
        <f>IFERROR(INDEX(Työkonekanta!$N$3:$N$32,MATCH($A399,Työkonekanta!$A$3:$A$32,0),1),0)</f>
        <v>1</v>
      </c>
      <c r="AG399" s="332">
        <f>I399*INDEX(Muuttujat!$U$5:$U$21,MATCH($C399,Muuttujat!$N$5:$N$21,0),1)</f>
        <v>6944.0549692633795</v>
      </c>
      <c r="AH399" s="332">
        <f>J399*INDEX(Muuttujat!$T$5:$T$21,MATCH($C399,Muuttujat!$N$5:$N$21,0),1)</f>
        <v>7112.5862439259972</v>
      </c>
      <c r="AI399" s="332">
        <f t="shared" si="157"/>
        <v>0</v>
      </c>
      <c r="AJ399" s="332">
        <f t="shared" si="158"/>
        <v>0</v>
      </c>
      <c r="AK399" s="333">
        <f t="shared" si="170"/>
        <v>14056.641213189378</v>
      </c>
      <c r="AL399" s="332">
        <f t="shared" si="159"/>
        <v>14056.641213189378</v>
      </c>
      <c r="AM399" s="351"/>
      <c r="AN399" s="351"/>
    </row>
    <row r="400" spans="1:40">
      <c r="A400" s="139">
        <v>8</v>
      </c>
      <c r="B400" s="139">
        <f>IFERROR(IF((INDEX(Työkonekanta!$F$3:$F$27,MATCH('S3 Tiekartta'!$A400,Työkonekanta!$A$3:$A$24,0),1))&lt;0,0,(INDEX(Työkonekanta!$F$3:$F$27,MATCH('S3 Tiekartta'!$A400,Työkonekanta!$A$3:$A$24,0),1))),0)</f>
        <v>1</v>
      </c>
      <c r="C400" s="140">
        <v>2032</v>
      </c>
      <c r="D400" s="141" t="str">
        <f>IFERROR(INDEX(Työkonekanta!$D$3:$D$27,MATCH('S3 Tiekartta'!$A400,Työkonekanta!$A$3:$A$24,0),1),"undefined")</f>
        <v>pom</v>
      </c>
      <c r="E400" s="145">
        <f>IFERROR(INDEX(Työkonekanta!$G$3:$G$27,MATCH($A400,Työkonekanta!$A$3:$A$24,0),1)*INDEX(Työkonekanta!$H$3:$H$27,MATCH($A400,Työkonekanta!$A$3:$A$24,0),1)*(1+s0b_kasvu*($C400-2019))*$B400,0)</f>
        <v>11299.999999999998</v>
      </c>
      <c r="F400" s="145">
        <f t="shared" si="151"/>
        <v>405669.99999999994</v>
      </c>
      <c r="G400" s="151">
        <f t="shared" si="160"/>
        <v>237420.54609195743</v>
      </c>
      <c r="H400" s="145">
        <f t="shared" si="161"/>
        <v>168249.45390804252</v>
      </c>
      <c r="I400" s="145">
        <f t="shared" si="152"/>
        <v>6613.3856850127422</v>
      </c>
      <c r="J400" s="145">
        <f t="shared" si="153"/>
        <v>4905.2318923627563</v>
      </c>
      <c r="K400" s="142" t="str">
        <f t="shared" si="162"/>
        <v>l</v>
      </c>
      <c r="L400" s="146">
        <f>IFERROR(INDEX(Työkonekanta!$I$3:$I$27,MATCH('S3 Tiekartta'!$A400,Työkonekanta!$A$3:$A$24,0),1)*(I400+J400)*f_adblue,0)</f>
        <v>575.93087886877493</v>
      </c>
      <c r="M400" s="146">
        <f t="shared" si="146"/>
        <v>0</v>
      </c>
      <c r="N400" s="143" t="str">
        <f>IF(tuulisähkö_vuosi&lt;='S3 Tiekartta'!C400,"tuulisähkö",ostosähkö_nyt)</f>
        <v>jäännössähkö</v>
      </c>
      <c r="O400" s="147">
        <f>INDEX(Muuttujat!$J$5:$J$21,MATCH($C400,Muuttujat!$H$5:$H$21,0),1)</f>
        <v>60.765893284281319</v>
      </c>
      <c r="P400" s="148">
        <f t="shared" si="163"/>
        <v>0.58525537035510999</v>
      </c>
      <c r="Q400" s="148">
        <f t="shared" si="164"/>
        <v>0.41474462964489001</v>
      </c>
      <c r="R400" s="148">
        <f t="shared" si="165"/>
        <v>0.41474462964489001</v>
      </c>
      <c r="S400" s="149">
        <f t="shared" si="154"/>
        <v>4.4872483211379954</v>
      </c>
      <c r="T400" s="150">
        <f t="shared" si="155"/>
        <v>10.498765923861853</v>
      </c>
      <c r="U400" s="150">
        <f t="shared" si="156"/>
        <v>0</v>
      </c>
      <c r="V400" s="150">
        <f>IFERROR(INDEX(Työkonekanta!$J$3:$J$27,MATCH($A400,Työkonekanta!$A$3:$A$24,0),1)*$B400*ef_li_ion_akku/1000/1000/INDEX(Työkonekanta!$K$3:$K$27,MATCH($A400,Työkonekanta!$A$3:$A$24,0)),0)</f>
        <v>0</v>
      </c>
      <c r="W400" s="149">
        <f t="shared" si="147"/>
        <v>17.523596036907758</v>
      </c>
      <c r="X400" s="150">
        <f t="shared" si="148"/>
        <v>0.35905259579999993</v>
      </c>
      <c r="Y400" s="151">
        <f t="shared" si="149"/>
        <v>0.14974202850588147</v>
      </c>
      <c r="Z400" s="152">
        <f t="shared" si="166"/>
        <v>14.986014244999849</v>
      </c>
      <c r="AA400" s="179">
        <f t="shared" si="167"/>
        <v>17.673338065413638</v>
      </c>
      <c r="AB400" s="179">
        <f t="shared" si="168"/>
        <v>18.03239066121364</v>
      </c>
      <c r="AC400" s="180">
        <f t="shared" si="150"/>
        <v>32.659352310413489</v>
      </c>
      <c r="AD400" s="156">
        <f t="shared" si="169"/>
        <v>33.01840490621349</v>
      </c>
      <c r="AE400" s="146">
        <f>IFERROR(INDEX(Työkonekanta!$L$3:$L$30,MATCH($A400,Työkonekanta!$A$3:$A$30,0),1),0)*AF400</f>
        <v>500000</v>
      </c>
      <c r="AF400" s="146">
        <f>IFERROR(INDEX(Työkonekanta!$N$3:$N$32,MATCH($A400,Työkonekanta!$A$3:$A$32,0),1),0)</f>
        <v>1</v>
      </c>
      <c r="AG400" s="332">
        <f>I400*INDEX(Muuttujat!$U$5:$U$21,MATCH($C400,Muuttujat!$N$5:$N$21,0),1)</f>
        <v>6944.0549692633795</v>
      </c>
      <c r="AH400" s="332">
        <f>J400*INDEX(Muuttujat!$T$5:$T$21,MATCH($C400,Muuttujat!$N$5:$N$21,0),1)</f>
        <v>7112.5862439259972</v>
      </c>
      <c r="AI400" s="332">
        <f t="shared" si="157"/>
        <v>287.96543943438746</v>
      </c>
      <c r="AJ400" s="332">
        <f t="shared" si="158"/>
        <v>0</v>
      </c>
      <c r="AK400" s="333">
        <f t="shared" si="170"/>
        <v>14344.606652623765</v>
      </c>
      <c r="AL400" s="332">
        <f t="shared" si="159"/>
        <v>14344.606652623765</v>
      </c>
      <c r="AM400" s="351"/>
      <c r="AN400" s="351"/>
    </row>
    <row r="401" spans="1:40">
      <c r="A401" s="139">
        <v>9</v>
      </c>
      <c r="B401" s="139">
        <f>IFERROR(IF((INDEX(Työkonekanta!$F$3:$F$27,MATCH('S3 Tiekartta'!$A401,Työkonekanta!$A$3:$A$24,0),1))&lt;0,0,(INDEX(Työkonekanta!$F$3:$F$27,MATCH('S3 Tiekartta'!$A401,Työkonekanta!$A$3:$A$24,0),1))),0)</f>
        <v>0</v>
      </c>
      <c r="C401" s="140">
        <v>2032</v>
      </c>
      <c r="D401" s="141" t="str">
        <f>IFERROR(INDEX(Työkonekanta!$D$3:$D$27,MATCH('S3 Tiekartta'!$A401,Työkonekanta!$A$3:$A$24,0),1),"undefined")</f>
        <v>sähkö</v>
      </c>
      <c r="E401" s="145">
        <f>IFERROR(INDEX(Työkonekanta!$G$3:$G$27,MATCH($A401,Työkonekanta!$A$3:$A$24,0),1)*INDEX(Työkonekanta!$H$3:$H$27,MATCH($A401,Työkonekanta!$A$3:$A$24,0),1)*(1+s0b_kasvu*($C401-2019))*$B401,0)</f>
        <v>0</v>
      </c>
      <c r="F401" s="145">
        <f t="shared" si="151"/>
        <v>0</v>
      </c>
      <c r="G401" s="151">
        <f t="shared" si="160"/>
        <v>0</v>
      </c>
      <c r="H401" s="145">
        <f t="shared" si="161"/>
        <v>0</v>
      </c>
      <c r="I401" s="145">
        <f t="shared" si="152"/>
        <v>0</v>
      </c>
      <c r="J401" s="145">
        <f t="shared" si="153"/>
        <v>0</v>
      </c>
      <c r="K401" s="142" t="str">
        <f t="shared" si="162"/>
        <v>kWh</v>
      </c>
      <c r="L401" s="146">
        <f>IFERROR(INDEX(Työkonekanta!$I$3:$I$27,MATCH('S3 Tiekartta'!$A401,Työkonekanta!$A$3:$A$24,0),1)*(I401+J401)*f_adblue,0)</f>
        <v>0</v>
      </c>
      <c r="M401" s="146">
        <f t="shared" si="146"/>
        <v>0</v>
      </c>
      <c r="N401" s="143" t="str">
        <f>IF(tuulisähkö_vuosi&lt;='S3 Tiekartta'!C401,"tuulisähkö",ostosähkö_nyt)</f>
        <v>jäännössähkö</v>
      </c>
      <c r="O401" s="147">
        <f>INDEX(Muuttujat!$J$5:$J$21,MATCH($C401,Muuttujat!$H$5:$H$21,0),1)</f>
        <v>60.765893284281319</v>
      </c>
      <c r="P401" s="148">
        <f t="shared" si="163"/>
        <v>0.58525537035510999</v>
      </c>
      <c r="Q401" s="148">
        <f t="shared" si="164"/>
        <v>0.41474462964489001</v>
      </c>
      <c r="R401" s="148">
        <f t="shared" si="165"/>
        <v>0.41474462964489001</v>
      </c>
      <c r="S401" s="149">
        <f t="shared" si="154"/>
        <v>0</v>
      </c>
      <c r="T401" s="150">
        <f t="shared" si="155"/>
        <v>0</v>
      </c>
      <c r="U401" s="150">
        <f t="shared" si="156"/>
        <v>0</v>
      </c>
      <c r="V401" s="150">
        <f>IFERROR(INDEX(Työkonekanta!$J$3:$J$27,MATCH($A401,Työkonekanta!$A$3:$A$24,0),1)*$B401*ef_li_ion_akku/1000/1000/INDEX(Työkonekanta!$K$3:$K$27,MATCH($A401,Työkonekanta!$A$3:$A$24,0)),0)</f>
        <v>0</v>
      </c>
      <c r="W401" s="149">
        <f t="shared" si="147"/>
        <v>0</v>
      </c>
      <c r="X401" s="150">
        <f t="shared" si="148"/>
        <v>0</v>
      </c>
      <c r="Y401" s="151">
        <f t="shared" si="149"/>
        <v>0</v>
      </c>
      <c r="Z401" s="152">
        <f t="shared" si="166"/>
        <v>0</v>
      </c>
      <c r="AA401" s="179">
        <f t="shared" si="167"/>
        <v>0</v>
      </c>
      <c r="AB401" s="179">
        <f t="shared" si="168"/>
        <v>0</v>
      </c>
      <c r="AC401" s="180">
        <f t="shared" si="150"/>
        <v>0</v>
      </c>
      <c r="AD401" s="156">
        <f t="shared" si="169"/>
        <v>0</v>
      </c>
      <c r="AE401" s="146">
        <f>IFERROR(INDEX(Työkonekanta!$L$3:$L$30,MATCH($A401,Työkonekanta!$A$3:$A$30,0),1),0)*AF401</f>
        <v>0</v>
      </c>
      <c r="AF401" s="146">
        <f>IFERROR(INDEX(Työkonekanta!$N$3:$N$32,MATCH($A401,Työkonekanta!$A$3:$A$32,0),1),0)</f>
        <v>0</v>
      </c>
      <c r="AG401" s="332">
        <f>I401*INDEX(Muuttujat!$U$5:$U$21,MATCH($C401,Muuttujat!$N$5:$N$21,0),1)</f>
        <v>0</v>
      </c>
      <c r="AH401" s="332">
        <f>J401*INDEX(Muuttujat!$T$5:$T$21,MATCH($C401,Muuttujat!$N$5:$N$21,0),1)</f>
        <v>0</v>
      </c>
      <c r="AI401" s="332">
        <f t="shared" si="157"/>
        <v>0</v>
      </c>
      <c r="AJ401" s="332">
        <f t="shared" si="158"/>
        <v>0</v>
      </c>
      <c r="AK401" s="333">
        <f t="shared" si="170"/>
        <v>0</v>
      </c>
      <c r="AL401" s="332">
        <f t="shared" si="159"/>
        <v>0</v>
      </c>
      <c r="AM401" s="351"/>
      <c r="AN401" s="351"/>
    </row>
    <row r="402" spans="1:40">
      <c r="A402" s="139">
        <v>10</v>
      </c>
      <c r="B402" s="139">
        <f>IFERROR(IF((INDEX(Työkonekanta!$F$3:$F$27,MATCH('S3 Tiekartta'!$A402,Työkonekanta!$A$3:$A$24,0),1))&lt;0,0,(INDEX(Työkonekanta!$F$3:$F$27,MATCH('S3 Tiekartta'!$A402,Työkonekanta!$A$3:$A$24,0),1))),0)</f>
        <v>0</v>
      </c>
      <c r="C402" s="140">
        <v>2032</v>
      </c>
      <c r="D402" s="141" t="str">
        <f>IFERROR(INDEX(Työkonekanta!$D$3:$D$27,MATCH('S3 Tiekartta'!$A402,Työkonekanta!$A$3:$A$24,0),1),"undefined")</f>
        <v>sähkö</v>
      </c>
      <c r="E402" s="145">
        <f>IFERROR(INDEX(Työkonekanta!$G$3:$G$27,MATCH($A402,Työkonekanta!$A$3:$A$24,0),1)*INDEX(Työkonekanta!$H$3:$H$27,MATCH($A402,Työkonekanta!$A$3:$A$24,0),1)*(1+s0b_kasvu*($C402-2019))*$B402,0)</f>
        <v>0</v>
      </c>
      <c r="F402" s="145">
        <f t="shared" si="151"/>
        <v>0</v>
      </c>
      <c r="G402" s="151">
        <f t="shared" si="160"/>
        <v>0</v>
      </c>
      <c r="H402" s="145">
        <f t="shared" si="161"/>
        <v>0</v>
      </c>
      <c r="I402" s="145">
        <f t="shared" si="152"/>
        <v>0</v>
      </c>
      <c r="J402" s="145">
        <f t="shared" si="153"/>
        <v>0</v>
      </c>
      <c r="K402" s="142" t="str">
        <f t="shared" si="162"/>
        <v>kWh</v>
      </c>
      <c r="L402" s="146">
        <f>IFERROR(INDEX(Työkonekanta!$I$3:$I$27,MATCH('S3 Tiekartta'!$A402,Työkonekanta!$A$3:$A$24,0),1)*(I402+J402)*f_adblue,0)</f>
        <v>0</v>
      </c>
      <c r="M402" s="146">
        <f t="shared" si="146"/>
        <v>0</v>
      </c>
      <c r="N402" s="143" t="str">
        <f>IF(tuulisähkö_vuosi&lt;='S3 Tiekartta'!C402,"tuulisähkö",ostosähkö_nyt)</f>
        <v>jäännössähkö</v>
      </c>
      <c r="O402" s="147">
        <f>INDEX(Muuttujat!$J$5:$J$21,MATCH($C402,Muuttujat!$H$5:$H$21,0),1)</f>
        <v>60.765893284281319</v>
      </c>
      <c r="P402" s="148">
        <f t="shared" si="163"/>
        <v>0.58525537035510999</v>
      </c>
      <c r="Q402" s="148">
        <f t="shared" si="164"/>
        <v>0.41474462964489001</v>
      </c>
      <c r="R402" s="148">
        <f t="shared" si="165"/>
        <v>0.41474462964489001</v>
      </c>
      <c r="S402" s="149">
        <f t="shared" si="154"/>
        <v>0</v>
      </c>
      <c r="T402" s="150">
        <f t="shared" si="155"/>
        <v>0</v>
      </c>
      <c r="U402" s="150">
        <f t="shared" si="156"/>
        <v>0</v>
      </c>
      <c r="V402" s="150">
        <f>IFERROR(INDEX(Työkonekanta!$J$3:$J$27,MATCH($A402,Työkonekanta!$A$3:$A$24,0),1)*$B402*ef_li_ion_akku/1000/1000/INDEX(Työkonekanta!$K$3:$K$27,MATCH($A402,Työkonekanta!$A$3:$A$24,0)),0)</f>
        <v>0</v>
      </c>
      <c r="W402" s="149">
        <f t="shared" si="147"/>
        <v>0</v>
      </c>
      <c r="X402" s="150">
        <f t="shared" si="148"/>
        <v>0</v>
      </c>
      <c r="Y402" s="151">
        <f t="shared" si="149"/>
        <v>0</v>
      </c>
      <c r="Z402" s="152">
        <f t="shared" si="166"/>
        <v>0</v>
      </c>
      <c r="AA402" s="179">
        <f t="shared" si="167"/>
        <v>0</v>
      </c>
      <c r="AB402" s="179">
        <f t="shared" si="168"/>
        <v>0</v>
      </c>
      <c r="AC402" s="180">
        <f t="shared" si="150"/>
        <v>0</v>
      </c>
      <c r="AD402" s="156">
        <f t="shared" si="169"/>
        <v>0</v>
      </c>
      <c r="AE402" s="146">
        <f>IFERROR(INDEX(Työkonekanta!$L$3:$L$30,MATCH($A402,Työkonekanta!$A$3:$A$30,0),1),0)*AF402</f>
        <v>0</v>
      </c>
      <c r="AF402" s="146">
        <f>IFERROR(INDEX(Työkonekanta!$N$3:$N$32,MATCH($A402,Työkonekanta!$A$3:$A$32,0),1),0)</f>
        <v>0</v>
      </c>
      <c r="AG402" s="332">
        <f>I402*INDEX(Muuttujat!$U$5:$U$21,MATCH($C402,Muuttujat!$N$5:$N$21,0),1)</f>
        <v>0</v>
      </c>
      <c r="AH402" s="332">
        <f>J402*INDEX(Muuttujat!$T$5:$T$21,MATCH($C402,Muuttujat!$N$5:$N$21,0),1)</f>
        <v>0</v>
      </c>
      <c r="AI402" s="332">
        <f t="shared" si="157"/>
        <v>0</v>
      </c>
      <c r="AJ402" s="332">
        <f t="shared" si="158"/>
        <v>0</v>
      </c>
      <c r="AK402" s="333">
        <f t="shared" si="170"/>
        <v>0</v>
      </c>
      <c r="AL402" s="332">
        <f t="shared" si="159"/>
        <v>0</v>
      </c>
      <c r="AM402" s="351"/>
      <c r="AN402" s="351"/>
    </row>
    <row r="403" spans="1:40">
      <c r="A403" s="139">
        <v>11</v>
      </c>
      <c r="B403" s="139">
        <f>IFERROR(IF((INDEX(Työkonekanta!$F$3:$F$27,MATCH('S3 Tiekartta'!$A403,Työkonekanta!$A$3:$A$24,0),1))&lt;0,0,(INDEX(Työkonekanta!$F$3:$F$27,MATCH('S3 Tiekartta'!$A403,Työkonekanta!$A$3:$A$24,0),1))),0)</f>
        <v>1</v>
      </c>
      <c r="C403" s="140">
        <v>2032</v>
      </c>
      <c r="D403" s="141" t="str">
        <f>IFERROR(INDEX(Työkonekanta!$D$3:$D$27,MATCH('S3 Tiekartta'!$A403,Työkonekanta!$A$3:$A$24,0),1),"undefined")</f>
        <v>pom</v>
      </c>
      <c r="E403" s="145">
        <f>IFERROR(INDEX(Työkonekanta!$G$3:$G$27,MATCH($A403,Työkonekanta!$A$3:$A$24,0),1)*INDEX(Työkonekanta!$H$3:$H$27,MATCH($A403,Työkonekanta!$A$3:$A$24,0),1)*(1+s0b_kasvu*($C403-2019))*$B403,0)</f>
        <v>11299.999999999998</v>
      </c>
      <c r="F403" s="145">
        <f t="shared" si="151"/>
        <v>405669.99999999994</v>
      </c>
      <c r="G403" s="151">
        <f t="shared" si="160"/>
        <v>237420.54609195743</v>
      </c>
      <c r="H403" s="145">
        <f t="shared" si="161"/>
        <v>168249.45390804252</v>
      </c>
      <c r="I403" s="145">
        <f t="shared" si="152"/>
        <v>6613.3856850127422</v>
      </c>
      <c r="J403" s="145">
        <f t="shared" si="153"/>
        <v>4905.2318923627563</v>
      </c>
      <c r="K403" s="142" t="str">
        <f t="shared" si="162"/>
        <v>l</v>
      </c>
      <c r="L403" s="146">
        <f>IFERROR(INDEX(Työkonekanta!$I$3:$I$27,MATCH('S3 Tiekartta'!$A403,Työkonekanta!$A$3:$A$24,0),1)*(I403+J403)*f_adblue,0)</f>
        <v>575.93087886877493</v>
      </c>
      <c r="M403" s="146">
        <f t="shared" ref="M403:M466" si="171">IF($D403="sähkö",conv_kwh_mj*$E403,0)</f>
        <v>0</v>
      </c>
      <c r="N403" s="143" t="str">
        <f>IF(tuulisähkö_vuosi&lt;='S3 Tiekartta'!C403,"tuulisähkö",ostosähkö_nyt)</f>
        <v>jäännössähkö</v>
      </c>
      <c r="O403" s="147">
        <f>INDEX(Muuttujat!$J$5:$J$21,MATCH($C403,Muuttujat!$H$5:$H$21,0),1)</f>
        <v>60.765893284281319</v>
      </c>
      <c r="P403" s="148">
        <f t="shared" si="163"/>
        <v>0.58525537035510999</v>
      </c>
      <c r="Q403" s="148">
        <f t="shared" si="164"/>
        <v>0.41474462964489001</v>
      </c>
      <c r="R403" s="148">
        <f t="shared" si="165"/>
        <v>0.41474462964489001</v>
      </c>
      <c r="S403" s="149">
        <f t="shared" si="154"/>
        <v>4.4872483211379954</v>
      </c>
      <c r="T403" s="150">
        <f t="shared" si="155"/>
        <v>10.498765923861853</v>
      </c>
      <c r="U403" s="150">
        <f t="shared" si="156"/>
        <v>0</v>
      </c>
      <c r="V403" s="150">
        <f>IFERROR(INDEX(Työkonekanta!$J$3:$J$27,MATCH($A403,Työkonekanta!$A$3:$A$24,0),1)*$B403*ef_li_ion_akku/1000/1000/INDEX(Työkonekanta!$K$3:$K$27,MATCH($A403,Työkonekanta!$A$3:$A$24,0)),0)</f>
        <v>0</v>
      </c>
      <c r="W403" s="149">
        <f t="shared" ref="W403:W466" si="172">($I403*IF($D403="pom",ef_v_co2_pom,0))/1000/1000</f>
        <v>17.523596036907758</v>
      </c>
      <c r="X403" s="150">
        <f t="shared" ref="X403:X466" si="173">($E403*(IF($D403="pom",ef_v_ch4_pom,0)*gwp100_ch4+IF($D403="pom",ef_v_n2o_pom,0)*gwp100_n2o))/1000/1000</f>
        <v>0.35905259579999993</v>
      </c>
      <c r="Y403" s="151">
        <f t="shared" ref="Y403:Y466" si="174">$L403*ef_v_co2_adblue/1000/1000</f>
        <v>0.14974202850588147</v>
      </c>
      <c r="Z403" s="152">
        <f t="shared" si="166"/>
        <v>14.986014244999849</v>
      </c>
      <c r="AA403" s="179">
        <f t="shared" si="167"/>
        <v>17.673338065413638</v>
      </c>
      <c r="AB403" s="179">
        <f t="shared" si="168"/>
        <v>18.03239066121364</v>
      </c>
      <c r="AC403" s="180">
        <f t="shared" ref="AC403:AC466" si="175">$Z403+$AA403</f>
        <v>32.659352310413489</v>
      </c>
      <c r="AD403" s="156">
        <f t="shared" si="169"/>
        <v>33.01840490621349</v>
      </c>
      <c r="AE403" s="146">
        <f>IFERROR(INDEX(Työkonekanta!$L$3:$L$30,MATCH($A403,Työkonekanta!$A$3:$A$30,0),1),0)*AF403</f>
        <v>500000</v>
      </c>
      <c r="AF403" s="146">
        <f>IFERROR(INDEX(Työkonekanta!$N$3:$N$32,MATCH($A403,Työkonekanta!$A$3:$A$32,0),1),0)</f>
        <v>1</v>
      </c>
      <c r="AG403" s="332">
        <f>I403*INDEX(Muuttujat!$U$5:$U$21,MATCH($C403,Muuttujat!$N$5:$N$21,0),1)</f>
        <v>6944.0549692633795</v>
      </c>
      <c r="AH403" s="332">
        <f>J403*INDEX(Muuttujat!$T$5:$T$21,MATCH($C403,Muuttujat!$N$5:$N$21,0),1)</f>
        <v>7112.5862439259972</v>
      </c>
      <c r="AI403" s="332">
        <f t="shared" si="157"/>
        <v>287.96543943438746</v>
      </c>
      <c r="AJ403" s="332">
        <f t="shared" si="158"/>
        <v>0</v>
      </c>
      <c r="AK403" s="333">
        <f t="shared" si="170"/>
        <v>14344.606652623765</v>
      </c>
      <c r="AL403" s="332">
        <f t="shared" si="159"/>
        <v>14344.606652623765</v>
      </c>
      <c r="AM403" s="351"/>
      <c r="AN403" s="351"/>
    </row>
    <row r="404" spans="1:40">
      <c r="A404" s="139">
        <v>12</v>
      </c>
      <c r="B404" s="139">
        <f>IFERROR(IF((INDEX(Työkonekanta!$F$3:$F$27,MATCH('S3 Tiekartta'!$A404,Työkonekanta!$A$3:$A$24,0),1))&lt;0,0,(INDEX(Työkonekanta!$F$3:$F$27,MATCH('S3 Tiekartta'!$A404,Työkonekanta!$A$3:$A$24,0),1))),0)</f>
        <v>1</v>
      </c>
      <c r="C404" s="140">
        <v>2032</v>
      </c>
      <c r="D404" s="141" t="str">
        <f>IFERROR(INDEX(Työkonekanta!$D$3:$D$27,MATCH('S3 Tiekartta'!$A404,Työkonekanta!$A$3:$A$24,0),1),"undefined")</f>
        <v>pom</v>
      </c>
      <c r="E404" s="145">
        <f>IFERROR(INDEX(Työkonekanta!$G$3:$G$27,MATCH($A404,Työkonekanta!$A$3:$A$24,0),1)*INDEX(Työkonekanta!$H$3:$H$27,MATCH($A404,Työkonekanta!$A$3:$A$24,0),1)*(1+s0b_kasvu*($C404-2019))*$B404,0)</f>
        <v>11299.999999999998</v>
      </c>
      <c r="F404" s="145">
        <f t="shared" si="151"/>
        <v>405669.99999999994</v>
      </c>
      <c r="G404" s="151">
        <f t="shared" si="160"/>
        <v>237420.54609195743</v>
      </c>
      <c r="H404" s="145">
        <f t="shared" si="161"/>
        <v>168249.45390804252</v>
      </c>
      <c r="I404" s="145">
        <f t="shared" si="152"/>
        <v>6613.3856850127422</v>
      </c>
      <c r="J404" s="145">
        <f t="shared" si="153"/>
        <v>4905.2318923627563</v>
      </c>
      <c r="K404" s="142" t="str">
        <f t="shared" si="162"/>
        <v>l</v>
      </c>
      <c r="L404" s="146">
        <f>IFERROR(INDEX(Työkonekanta!$I$3:$I$27,MATCH('S3 Tiekartta'!$A404,Työkonekanta!$A$3:$A$24,0),1)*(I404+J404)*f_adblue,0)</f>
        <v>575.93087886877493</v>
      </c>
      <c r="M404" s="146">
        <f t="shared" si="171"/>
        <v>0</v>
      </c>
      <c r="N404" s="143" t="str">
        <f>IF(tuulisähkö_vuosi&lt;='S3 Tiekartta'!C404,"tuulisähkö",ostosähkö_nyt)</f>
        <v>jäännössähkö</v>
      </c>
      <c r="O404" s="147">
        <f>INDEX(Muuttujat!$J$5:$J$21,MATCH($C404,Muuttujat!$H$5:$H$21,0),1)</f>
        <v>60.765893284281319</v>
      </c>
      <c r="P404" s="148">
        <f t="shared" si="163"/>
        <v>0.58525537035510999</v>
      </c>
      <c r="Q404" s="148">
        <f t="shared" si="164"/>
        <v>0.41474462964489001</v>
      </c>
      <c r="R404" s="148">
        <f t="shared" si="165"/>
        <v>0.41474462964489001</v>
      </c>
      <c r="S404" s="149">
        <f t="shared" si="154"/>
        <v>4.4872483211379954</v>
      </c>
      <c r="T404" s="150">
        <f t="shared" si="155"/>
        <v>10.498765923861853</v>
      </c>
      <c r="U404" s="150">
        <f t="shared" si="156"/>
        <v>0</v>
      </c>
      <c r="V404" s="150">
        <f>IFERROR(INDEX(Työkonekanta!$J$3:$J$27,MATCH($A404,Työkonekanta!$A$3:$A$24,0),1)*$B404*ef_li_ion_akku/1000/1000/INDEX(Työkonekanta!$K$3:$K$27,MATCH($A404,Työkonekanta!$A$3:$A$24,0)),0)</f>
        <v>0</v>
      </c>
      <c r="W404" s="149">
        <f t="shared" si="172"/>
        <v>17.523596036907758</v>
      </c>
      <c r="X404" s="150">
        <f t="shared" si="173"/>
        <v>0.35905259579999993</v>
      </c>
      <c r="Y404" s="151">
        <f t="shared" si="174"/>
        <v>0.14974202850588147</v>
      </c>
      <c r="Z404" s="152">
        <f t="shared" si="166"/>
        <v>14.986014244999849</v>
      </c>
      <c r="AA404" s="179">
        <f t="shared" si="167"/>
        <v>17.673338065413638</v>
      </c>
      <c r="AB404" s="179">
        <f t="shared" si="168"/>
        <v>18.03239066121364</v>
      </c>
      <c r="AC404" s="180">
        <f t="shared" si="175"/>
        <v>32.659352310413489</v>
      </c>
      <c r="AD404" s="156">
        <f t="shared" si="169"/>
        <v>33.01840490621349</v>
      </c>
      <c r="AE404" s="146">
        <f>IFERROR(INDEX(Työkonekanta!$L$3:$L$30,MATCH($A404,Työkonekanta!$A$3:$A$30,0),1),0)*AF404</f>
        <v>500000</v>
      </c>
      <c r="AF404" s="146">
        <f>IFERROR(INDEX(Työkonekanta!$N$3:$N$32,MATCH($A404,Työkonekanta!$A$3:$A$32,0),1),0)</f>
        <v>1</v>
      </c>
      <c r="AG404" s="332">
        <f>I404*INDEX(Muuttujat!$U$5:$U$21,MATCH($C404,Muuttujat!$N$5:$N$21,0),1)</f>
        <v>6944.0549692633795</v>
      </c>
      <c r="AH404" s="332">
        <f>J404*INDEX(Muuttujat!$T$5:$T$21,MATCH($C404,Muuttujat!$N$5:$N$21,0),1)</f>
        <v>7112.5862439259972</v>
      </c>
      <c r="AI404" s="332">
        <f t="shared" si="157"/>
        <v>287.96543943438746</v>
      </c>
      <c r="AJ404" s="332">
        <f t="shared" si="158"/>
        <v>0</v>
      </c>
      <c r="AK404" s="333">
        <f t="shared" si="170"/>
        <v>14344.606652623765</v>
      </c>
      <c r="AL404" s="332">
        <f t="shared" si="159"/>
        <v>14344.606652623765</v>
      </c>
      <c r="AM404" s="351"/>
      <c r="AN404" s="351"/>
    </row>
    <row r="405" spans="1:40">
      <c r="A405" s="139">
        <v>13</v>
      </c>
      <c r="B405" s="139">
        <f>IFERROR(IF((INDEX(Työkonekanta!$F$3:$F$27,MATCH('S3 Tiekartta'!$A405,Työkonekanta!$A$3:$A$24,0),1))&lt;0,0,(INDEX(Työkonekanta!$F$3:$F$27,MATCH('S3 Tiekartta'!$A405,Työkonekanta!$A$3:$A$24,0),1))),0)</f>
        <v>0</v>
      </c>
      <c r="C405" s="140">
        <v>2032</v>
      </c>
      <c r="D405" s="141" t="str">
        <f>IFERROR(INDEX(Työkonekanta!$D$3:$D$27,MATCH('S3 Tiekartta'!$A405,Työkonekanta!$A$3:$A$24,0),1),"undefined")</f>
        <v>pom</v>
      </c>
      <c r="E405" s="145">
        <f>IFERROR(INDEX(Työkonekanta!$G$3:$G$27,MATCH($A405,Työkonekanta!$A$3:$A$24,0),1)*INDEX(Työkonekanta!$H$3:$H$27,MATCH($A405,Työkonekanta!$A$3:$A$24,0),1)*(1+s0b_kasvu*($C405-2019))*$B405,0)</f>
        <v>0</v>
      </c>
      <c r="F405" s="145">
        <f t="shared" si="151"/>
        <v>0</v>
      </c>
      <c r="G405" s="151">
        <f t="shared" si="160"/>
        <v>0</v>
      </c>
      <c r="H405" s="145">
        <f t="shared" si="161"/>
        <v>0</v>
      </c>
      <c r="I405" s="145">
        <f t="shared" si="152"/>
        <v>0</v>
      </c>
      <c r="J405" s="145">
        <f t="shared" si="153"/>
        <v>0</v>
      </c>
      <c r="K405" s="142" t="str">
        <f t="shared" si="162"/>
        <v>l</v>
      </c>
      <c r="L405" s="146">
        <f>IFERROR(INDEX(Työkonekanta!$I$3:$I$27,MATCH('S3 Tiekartta'!$A405,Työkonekanta!$A$3:$A$24,0),1)*(I405+J405)*f_adblue,0)</f>
        <v>0</v>
      </c>
      <c r="M405" s="146">
        <f t="shared" si="171"/>
        <v>0</v>
      </c>
      <c r="N405" s="143" t="str">
        <f>IF(tuulisähkö_vuosi&lt;='S3 Tiekartta'!C405,"tuulisähkö",ostosähkö_nyt)</f>
        <v>jäännössähkö</v>
      </c>
      <c r="O405" s="147">
        <f>INDEX(Muuttujat!$J$5:$J$21,MATCH($C405,Muuttujat!$H$5:$H$21,0),1)</f>
        <v>60.765893284281319</v>
      </c>
      <c r="P405" s="148">
        <f t="shared" si="163"/>
        <v>0.58525537035510999</v>
      </c>
      <c r="Q405" s="148">
        <f t="shared" si="164"/>
        <v>0.41474462964489001</v>
      </c>
      <c r="R405" s="148">
        <f t="shared" si="165"/>
        <v>0.41474462964489001</v>
      </c>
      <c r="S405" s="149">
        <f t="shared" si="154"/>
        <v>0</v>
      </c>
      <c r="T405" s="150">
        <f t="shared" si="155"/>
        <v>0</v>
      </c>
      <c r="U405" s="150">
        <f t="shared" si="156"/>
        <v>0</v>
      </c>
      <c r="V405" s="150">
        <f>IFERROR(INDEX(Työkonekanta!$J$3:$J$27,MATCH($A405,Työkonekanta!$A$3:$A$24,0),1)*$B405*ef_li_ion_akku/1000/1000/INDEX(Työkonekanta!$K$3:$K$27,MATCH($A405,Työkonekanta!$A$3:$A$24,0)),0)</f>
        <v>0</v>
      </c>
      <c r="W405" s="149">
        <f t="shared" si="172"/>
        <v>0</v>
      </c>
      <c r="X405" s="150">
        <f t="shared" si="173"/>
        <v>0</v>
      </c>
      <c r="Y405" s="151">
        <f t="shared" si="174"/>
        <v>0</v>
      </c>
      <c r="Z405" s="152">
        <f t="shared" si="166"/>
        <v>0</v>
      </c>
      <c r="AA405" s="179">
        <f t="shared" si="167"/>
        <v>0</v>
      </c>
      <c r="AB405" s="179">
        <f t="shared" si="168"/>
        <v>0</v>
      </c>
      <c r="AC405" s="180">
        <f t="shared" si="175"/>
        <v>0</v>
      </c>
      <c r="AD405" s="156">
        <f t="shared" si="169"/>
        <v>0</v>
      </c>
      <c r="AE405" s="146">
        <f>IFERROR(INDEX(Työkonekanta!$L$3:$L$30,MATCH($A405,Työkonekanta!$A$3:$A$30,0),1),0)*AF405</f>
        <v>0</v>
      </c>
      <c r="AF405" s="146">
        <f>IFERROR(INDEX(Työkonekanta!$N$3:$N$32,MATCH($A405,Työkonekanta!$A$3:$A$32,0),1),0)</f>
        <v>0</v>
      </c>
      <c r="AG405" s="332">
        <f>I405*INDEX(Muuttujat!$U$5:$U$21,MATCH($C405,Muuttujat!$N$5:$N$21,0),1)</f>
        <v>0</v>
      </c>
      <c r="AH405" s="332">
        <f>J405*INDEX(Muuttujat!$T$5:$T$21,MATCH($C405,Muuttujat!$N$5:$N$21,0),1)</f>
        <v>0</v>
      </c>
      <c r="AI405" s="332">
        <f t="shared" si="157"/>
        <v>0</v>
      </c>
      <c r="AJ405" s="332">
        <f t="shared" si="158"/>
        <v>0</v>
      </c>
      <c r="AK405" s="333">
        <f t="shared" si="170"/>
        <v>0</v>
      </c>
      <c r="AL405" s="332">
        <f t="shared" si="159"/>
        <v>0</v>
      </c>
      <c r="AM405" s="351"/>
      <c r="AN405" s="351"/>
    </row>
    <row r="406" spans="1:40">
      <c r="A406" s="139">
        <v>14</v>
      </c>
      <c r="B406" s="139">
        <f>IFERROR(IF((INDEX(Työkonekanta!$F$3:$F$27,MATCH('S3 Tiekartta'!$A406,Työkonekanta!$A$3:$A$24,0),1))&lt;0,0,(INDEX(Työkonekanta!$F$3:$F$27,MATCH('S3 Tiekartta'!$A406,Työkonekanta!$A$3:$A$24,0),1))),0)</f>
        <v>0</v>
      </c>
      <c r="C406" s="140">
        <v>2032</v>
      </c>
      <c r="D406" s="141" t="str">
        <f>IFERROR(INDEX(Työkonekanta!$D$3:$D$27,MATCH('S3 Tiekartta'!$A406,Työkonekanta!$A$3:$A$24,0),1),"undefined")</f>
        <v>pom</v>
      </c>
      <c r="E406" s="145">
        <f>IFERROR(INDEX(Työkonekanta!$G$3:$G$27,MATCH($A406,Työkonekanta!$A$3:$A$24,0),1)*INDEX(Työkonekanta!$H$3:$H$27,MATCH($A406,Työkonekanta!$A$3:$A$24,0),1)*(1+s0b_kasvu*($C406-2019))*$B406,0)</f>
        <v>0</v>
      </c>
      <c r="F406" s="145">
        <f t="shared" si="151"/>
        <v>0</v>
      </c>
      <c r="G406" s="151">
        <f t="shared" si="160"/>
        <v>0</v>
      </c>
      <c r="H406" s="145">
        <f t="shared" si="161"/>
        <v>0</v>
      </c>
      <c r="I406" s="145">
        <f t="shared" si="152"/>
        <v>0</v>
      </c>
      <c r="J406" s="145">
        <f t="shared" si="153"/>
        <v>0</v>
      </c>
      <c r="K406" s="142" t="str">
        <f t="shared" si="162"/>
        <v>l</v>
      </c>
      <c r="L406" s="146">
        <f>IFERROR(INDEX(Työkonekanta!$I$3:$I$27,MATCH('S3 Tiekartta'!$A406,Työkonekanta!$A$3:$A$24,0),1)*(I406+J406)*f_adblue,0)</f>
        <v>0</v>
      </c>
      <c r="M406" s="146">
        <f t="shared" si="171"/>
        <v>0</v>
      </c>
      <c r="N406" s="143" t="str">
        <f>IF(tuulisähkö_vuosi&lt;='S3 Tiekartta'!C406,"tuulisähkö",ostosähkö_nyt)</f>
        <v>jäännössähkö</v>
      </c>
      <c r="O406" s="147">
        <f>INDEX(Muuttujat!$J$5:$J$21,MATCH($C406,Muuttujat!$H$5:$H$21,0),1)</f>
        <v>60.765893284281319</v>
      </c>
      <c r="P406" s="148">
        <f t="shared" si="163"/>
        <v>0.58525537035510999</v>
      </c>
      <c r="Q406" s="148">
        <f t="shared" si="164"/>
        <v>0.41474462964489001</v>
      </c>
      <c r="R406" s="148">
        <f t="shared" si="165"/>
        <v>0.41474462964489001</v>
      </c>
      <c r="S406" s="149">
        <f t="shared" si="154"/>
        <v>0</v>
      </c>
      <c r="T406" s="150">
        <f t="shared" si="155"/>
        <v>0</v>
      </c>
      <c r="U406" s="150">
        <f t="shared" si="156"/>
        <v>0</v>
      </c>
      <c r="V406" s="150">
        <f>IFERROR(INDEX(Työkonekanta!$J$3:$J$27,MATCH($A406,Työkonekanta!$A$3:$A$24,0),1)*$B406*ef_li_ion_akku/1000/1000/INDEX(Työkonekanta!$K$3:$K$27,MATCH($A406,Työkonekanta!$A$3:$A$24,0)),0)</f>
        <v>0</v>
      </c>
      <c r="W406" s="149">
        <f t="shared" si="172"/>
        <v>0</v>
      </c>
      <c r="X406" s="150">
        <f t="shared" si="173"/>
        <v>0</v>
      </c>
      <c r="Y406" s="151">
        <f t="shared" si="174"/>
        <v>0</v>
      </c>
      <c r="Z406" s="152">
        <f t="shared" si="166"/>
        <v>0</v>
      </c>
      <c r="AA406" s="179">
        <f t="shared" si="167"/>
        <v>0</v>
      </c>
      <c r="AB406" s="179">
        <f t="shared" si="168"/>
        <v>0</v>
      </c>
      <c r="AC406" s="180">
        <f t="shared" si="175"/>
        <v>0</v>
      </c>
      <c r="AD406" s="156">
        <f t="shared" si="169"/>
        <v>0</v>
      </c>
      <c r="AE406" s="146">
        <f>IFERROR(INDEX(Työkonekanta!$L$3:$L$30,MATCH($A406,Työkonekanta!$A$3:$A$30,0),1),0)*AF406</f>
        <v>0</v>
      </c>
      <c r="AF406" s="146">
        <f>IFERROR(INDEX(Työkonekanta!$N$3:$N$32,MATCH($A406,Työkonekanta!$A$3:$A$32,0),1),0)</f>
        <v>0</v>
      </c>
      <c r="AG406" s="332">
        <f>I406*INDEX(Muuttujat!$U$5:$U$21,MATCH($C406,Muuttujat!$N$5:$N$21,0),1)</f>
        <v>0</v>
      </c>
      <c r="AH406" s="332">
        <f>J406*INDEX(Muuttujat!$T$5:$T$21,MATCH($C406,Muuttujat!$N$5:$N$21,0),1)</f>
        <v>0</v>
      </c>
      <c r="AI406" s="332">
        <f t="shared" si="157"/>
        <v>0</v>
      </c>
      <c r="AJ406" s="332">
        <f t="shared" si="158"/>
        <v>0</v>
      </c>
      <c r="AK406" s="333">
        <f t="shared" si="170"/>
        <v>0</v>
      </c>
      <c r="AL406" s="332">
        <f t="shared" si="159"/>
        <v>0</v>
      </c>
      <c r="AM406" s="351"/>
      <c r="AN406" s="351"/>
    </row>
    <row r="407" spans="1:40">
      <c r="A407" s="139">
        <v>15</v>
      </c>
      <c r="B407" s="139">
        <f>IFERROR(IF((INDEX(Työkonekanta!$F$3:$F$27,MATCH('S3 Tiekartta'!$A407,Työkonekanta!$A$3:$A$24,0),1))&lt;0,0,(INDEX(Työkonekanta!$F$3:$F$27,MATCH('S3 Tiekartta'!$A407,Työkonekanta!$A$3:$A$24,0),1))),0)</f>
        <v>0</v>
      </c>
      <c r="C407" s="140">
        <v>2032</v>
      </c>
      <c r="D407" s="141" t="str">
        <f>IFERROR(INDEX(Työkonekanta!$D$3:$D$27,MATCH('S3 Tiekartta'!$A407,Työkonekanta!$A$3:$A$24,0),1),"undefined")</f>
        <v>sähkö</v>
      </c>
      <c r="E407" s="145">
        <f>IFERROR(INDEX(Työkonekanta!$G$3:$G$27,MATCH($A407,Työkonekanta!$A$3:$A$24,0),1)*INDEX(Työkonekanta!$H$3:$H$27,MATCH($A407,Työkonekanta!$A$3:$A$24,0),1)*(1+s0b_kasvu*($C407-2019))*$B407,0)</f>
        <v>0</v>
      </c>
      <c r="F407" s="145">
        <f t="shared" si="151"/>
        <v>0</v>
      </c>
      <c r="G407" s="151">
        <f t="shared" si="160"/>
        <v>0</v>
      </c>
      <c r="H407" s="145">
        <f t="shared" si="161"/>
        <v>0</v>
      </c>
      <c r="I407" s="145">
        <f t="shared" si="152"/>
        <v>0</v>
      </c>
      <c r="J407" s="145">
        <f t="shared" si="153"/>
        <v>0</v>
      </c>
      <c r="K407" s="142" t="str">
        <f t="shared" si="162"/>
        <v>kWh</v>
      </c>
      <c r="L407" s="146">
        <f>IFERROR(INDEX(Työkonekanta!$I$3:$I$27,MATCH('S3 Tiekartta'!$A407,Työkonekanta!$A$3:$A$24,0),1)*(I407+J407)*f_adblue,0)</f>
        <v>0</v>
      </c>
      <c r="M407" s="146">
        <f t="shared" si="171"/>
        <v>0</v>
      </c>
      <c r="N407" s="143" t="str">
        <f>IF(tuulisähkö_vuosi&lt;='S3 Tiekartta'!C407,"tuulisähkö",ostosähkö_nyt)</f>
        <v>jäännössähkö</v>
      </c>
      <c r="O407" s="147">
        <f>INDEX(Muuttujat!$J$5:$J$21,MATCH($C407,Muuttujat!$H$5:$H$21,0),1)</f>
        <v>60.765893284281319</v>
      </c>
      <c r="P407" s="148">
        <f t="shared" si="163"/>
        <v>0.58525537035510999</v>
      </c>
      <c r="Q407" s="148">
        <f t="shared" si="164"/>
        <v>0.41474462964489001</v>
      </c>
      <c r="R407" s="148">
        <f t="shared" si="165"/>
        <v>0.41474462964489001</v>
      </c>
      <c r="S407" s="149">
        <f t="shared" si="154"/>
        <v>0</v>
      </c>
      <c r="T407" s="150">
        <f t="shared" si="155"/>
        <v>0</v>
      </c>
      <c r="U407" s="150">
        <f t="shared" si="156"/>
        <v>0</v>
      </c>
      <c r="V407" s="150">
        <f>IFERROR(INDEX(Työkonekanta!$J$3:$J$27,MATCH($A407,Työkonekanta!$A$3:$A$24,0),1)*$B407*ef_li_ion_akku/1000/1000/INDEX(Työkonekanta!$K$3:$K$27,MATCH($A407,Työkonekanta!$A$3:$A$24,0)),0)</f>
        <v>0</v>
      </c>
      <c r="W407" s="149">
        <f t="shared" si="172"/>
        <v>0</v>
      </c>
      <c r="X407" s="150">
        <f t="shared" si="173"/>
        <v>0</v>
      </c>
      <c r="Y407" s="151">
        <f t="shared" si="174"/>
        <v>0</v>
      </c>
      <c r="Z407" s="152">
        <f t="shared" si="166"/>
        <v>0</v>
      </c>
      <c r="AA407" s="179">
        <f t="shared" si="167"/>
        <v>0</v>
      </c>
      <c r="AB407" s="179">
        <f t="shared" si="168"/>
        <v>0</v>
      </c>
      <c r="AC407" s="180">
        <f t="shared" si="175"/>
        <v>0</v>
      </c>
      <c r="AD407" s="156">
        <f t="shared" si="169"/>
        <v>0</v>
      </c>
      <c r="AE407" s="146">
        <f>IFERROR(INDEX(Työkonekanta!$L$3:$L$30,MATCH($A407,Työkonekanta!$A$3:$A$30,0),1),0)*AF407</f>
        <v>0</v>
      </c>
      <c r="AF407" s="146">
        <f>IFERROR(INDEX(Työkonekanta!$N$3:$N$32,MATCH($A407,Työkonekanta!$A$3:$A$32,0),1),0)</f>
        <v>0</v>
      </c>
      <c r="AG407" s="332">
        <f>I407*INDEX(Muuttujat!$U$5:$U$21,MATCH($C407,Muuttujat!$N$5:$N$21,0),1)</f>
        <v>0</v>
      </c>
      <c r="AH407" s="332">
        <f>J407*INDEX(Muuttujat!$T$5:$T$21,MATCH($C407,Muuttujat!$N$5:$N$21,0),1)</f>
        <v>0</v>
      </c>
      <c r="AI407" s="332">
        <f t="shared" si="157"/>
        <v>0</v>
      </c>
      <c r="AJ407" s="332">
        <f t="shared" si="158"/>
        <v>0</v>
      </c>
      <c r="AK407" s="333">
        <f t="shared" si="170"/>
        <v>0</v>
      </c>
      <c r="AL407" s="332">
        <f t="shared" si="159"/>
        <v>0</v>
      </c>
      <c r="AM407" s="351"/>
      <c r="AN407" s="351"/>
    </row>
    <row r="408" spans="1:40">
      <c r="A408" s="139">
        <v>16</v>
      </c>
      <c r="B408" s="139">
        <f>IFERROR(IF((INDEX(Työkonekanta!$F$3:$F$27,MATCH('S3 Tiekartta'!$A408,Työkonekanta!$A$3:$A$24,0),1))&lt;0,0,(INDEX(Työkonekanta!$F$3:$F$27,MATCH('S3 Tiekartta'!$A408,Työkonekanta!$A$3:$A$24,0),1))),0)</f>
        <v>0</v>
      </c>
      <c r="C408" s="140">
        <v>2032</v>
      </c>
      <c r="D408" s="141" t="str">
        <f>IFERROR(INDEX(Työkonekanta!$D$3:$D$27,MATCH('S3 Tiekartta'!$A408,Työkonekanta!$A$3:$A$24,0),1),"undefined")</f>
        <v>sähkö</v>
      </c>
      <c r="E408" s="145">
        <f>IFERROR(INDEX(Työkonekanta!$G$3:$G$27,MATCH($A408,Työkonekanta!$A$3:$A$24,0),1)*INDEX(Työkonekanta!$H$3:$H$27,MATCH($A408,Työkonekanta!$A$3:$A$24,0),1)*(1+s0b_kasvu*($C408-2019))*$B408,0)</f>
        <v>0</v>
      </c>
      <c r="F408" s="145">
        <f t="shared" si="151"/>
        <v>0</v>
      </c>
      <c r="G408" s="151">
        <f t="shared" si="160"/>
        <v>0</v>
      </c>
      <c r="H408" s="145">
        <f t="shared" si="161"/>
        <v>0</v>
      </c>
      <c r="I408" s="145">
        <f t="shared" si="152"/>
        <v>0</v>
      </c>
      <c r="J408" s="145">
        <f t="shared" si="153"/>
        <v>0</v>
      </c>
      <c r="K408" s="142" t="str">
        <f t="shared" si="162"/>
        <v>kWh</v>
      </c>
      <c r="L408" s="146">
        <f>IFERROR(INDEX(Työkonekanta!$I$3:$I$27,MATCH('S3 Tiekartta'!$A408,Työkonekanta!$A$3:$A$24,0),1)*(I408+J408)*f_adblue,0)</f>
        <v>0</v>
      </c>
      <c r="M408" s="146">
        <f t="shared" si="171"/>
        <v>0</v>
      </c>
      <c r="N408" s="143" t="str">
        <f>IF(tuulisähkö_vuosi&lt;='S3 Tiekartta'!C408,"tuulisähkö",ostosähkö_nyt)</f>
        <v>jäännössähkö</v>
      </c>
      <c r="O408" s="147">
        <f>INDEX(Muuttujat!$J$5:$J$21,MATCH($C408,Muuttujat!$H$5:$H$21,0),1)</f>
        <v>60.765893284281319</v>
      </c>
      <c r="P408" s="148">
        <f t="shared" si="163"/>
        <v>0.58525537035510999</v>
      </c>
      <c r="Q408" s="148">
        <f t="shared" si="164"/>
        <v>0.41474462964489001</v>
      </c>
      <c r="R408" s="148">
        <f t="shared" si="165"/>
        <v>0.41474462964489001</v>
      </c>
      <c r="S408" s="149">
        <f t="shared" si="154"/>
        <v>0</v>
      </c>
      <c r="T408" s="150">
        <f t="shared" si="155"/>
        <v>0</v>
      </c>
      <c r="U408" s="150">
        <f t="shared" si="156"/>
        <v>0</v>
      </c>
      <c r="V408" s="150">
        <f>IFERROR(INDEX(Työkonekanta!$J$3:$J$27,MATCH($A408,Työkonekanta!$A$3:$A$24,0),1)*$B408*ef_li_ion_akku/1000/1000/INDEX(Työkonekanta!$K$3:$K$27,MATCH($A408,Työkonekanta!$A$3:$A$24,0)),0)</f>
        <v>0</v>
      </c>
      <c r="W408" s="149">
        <f t="shared" si="172"/>
        <v>0</v>
      </c>
      <c r="X408" s="150">
        <f t="shared" si="173"/>
        <v>0</v>
      </c>
      <c r="Y408" s="151">
        <f t="shared" si="174"/>
        <v>0</v>
      </c>
      <c r="Z408" s="152">
        <f t="shared" si="166"/>
        <v>0</v>
      </c>
      <c r="AA408" s="179">
        <f t="shared" si="167"/>
        <v>0</v>
      </c>
      <c r="AB408" s="179">
        <f t="shared" si="168"/>
        <v>0</v>
      </c>
      <c r="AC408" s="180">
        <f t="shared" si="175"/>
        <v>0</v>
      </c>
      <c r="AD408" s="156">
        <f t="shared" si="169"/>
        <v>0</v>
      </c>
      <c r="AE408" s="146">
        <f>IFERROR(INDEX(Työkonekanta!$L$3:$L$30,MATCH($A408,Työkonekanta!$A$3:$A$30,0),1),0)*AF408</f>
        <v>0</v>
      </c>
      <c r="AF408" s="146">
        <f>IFERROR(INDEX(Työkonekanta!$N$3:$N$32,MATCH($A408,Työkonekanta!$A$3:$A$32,0),1),0)</f>
        <v>0</v>
      </c>
      <c r="AG408" s="332">
        <f>I408*INDEX(Muuttujat!$U$5:$U$21,MATCH($C408,Muuttujat!$N$5:$N$21,0),1)</f>
        <v>0</v>
      </c>
      <c r="AH408" s="332">
        <f>J408*INDEX(Muuttujat!$T$5:$T$21,MATCH($C408,Muuttujat!$N$5:$N$21,0),1)</f>
        <v>0</v>
      </c>
      <c r="AI408" s="332">
        <f t="shared" si="157"/>
        <v>0</v>
      </c>
      <c r="AJ408" s="332">
        <f t="shared" si="158"/>
        <v>0</v>
      </c>
      <c r="AK408" s="333">
        <f t="shared" si="170"/>
        <v>0</v>
      </c>
      <c r="AL408" s="332">
        <f t="shared" si="159"/>
        <v>0</v>
      </c>
      <c r="AM408" s="351"/>
      <c r="AN408" s="351"/>
    </row>
    <row r="409" spans="1:40">
      <c r="A409" s="139">
        <v>17</v>
      </c>
      <c r="B409" s="139">
        <f>IFERROR(IF((INDEX(Työkonekanta!$F$3:$F$27,MATCH('S3 Tiekartta'!$A409,Työkonekanta!$A$3:$A$24,0),1))&lt;0,0,(INDEX(Työkonekanta!$F$3:$F$27,MATCH('S3 Tiekartta'!$A409,Työkonekanta!$A$3:$A$24,0),1))),0)</f>
        <v>1</v>
      </c>
      <c r="C409" s="140">
        <v>2032</v>
      </c>
      <c r="D409" s="141" t="str">
        <f>IFERROR(INDEX(Työkonekanta!$D$3:$D$27,MATCH('S3 Tiekartta'!$A409,Työkonekanta!$A$3:$A$24,0),1),"undefined")</f>
        <v>pom</v>
      </c>
      <c r="E409" s="145">
        <f>IFERROR(INDEX(Työkonekanta!$G$3:$G$27,MATCH($A409,Työkonekanta!$A$3:$A$24,0),1)*INDEX(Työkonekanta!$H$3:$H$27,MATCH($A409,Työkonekanta!$A$3:$A$24,0),1)*(1+s0b_kasvu*($C409-2019))*$B409,0)</f>
        <v>11299.999999999998</v>
      </c>
      <c r="F409" s="145">
        <f t="shared" si="151"/>
        <v>405669.99999999994</v>
      </c>
      <c r="G409" s="151">
        <f t="shared" si="160"/>
        <v>237420.54609195743</v>
      </c>
      <c r="H409" s="145">
        <f t="shared" si="161"/>
        <v>168249.45390804252</v>
      </c>
      <c r="I409" s="145">
        <f t="shared" si="152"/>
        <v>6613.3856850127422</v>
      </c>
      <c r="J409" s="145">
        <f t="shared" si="153"/>
        <v>4905.2318923627563</v>
      </c>
      <c r="K409" s="142" t="str">
        <f t="shared" si="162"/>
        <v>l</v>
      </c>
      <c r="L409" s="146">
        <f>IFERROR(INDEX(Työkonekanta!$I$3:$I$27,MATCH('S3 Tiekartta'!$A409,Työkonekanta!$A$3:$A$24,0),1)*(I409+J409)*f_adblue,0)</f>
        <v>575.93087886877493</v>
      </c>
      <c r="M409" s="146">
        <f t="shared" si="171"/>
        <v>0</v>
      </c>
      <c r="N409" s="143" t="str">
        <f>IF(tuulisähkö_vuosi&lt;='S3 Tiekartta'!C409,"tuulisähkö",ostosähkö_nyt)</f>
        <v>jäännössähkö</v>
      </c>
      <c r="O409" s="147">
        <f>INDEX(Muuttujat!$J$5:$J$21,MATCH($C409,Muuttujat!$H$5:$H$21,0),1)</f>
        <v>60.765893284281319</v>
      </c>
      <c r="P409" s="148">
        <f t="shared" si="163"/>
        <v>0.58525537035510999</v>
      </c>
      <c r="Q409" s="148">
        <f t="shared" si="164"/>
        <v>0.41474462964489001</v>
      </c>
      <c r="R409" s="148">
        <f t="shared" si="165"/>
        <v>0.41474462964489001</v>
      </c>
      <c r="S409" s="149">
        <f t="shared" si="154"/>
        <v>4.4872483211379954</v>
      </c>
      <c r="T409" s="150">
        <f t="shared" si="155"/>
        <v>10.498765923861853</v>
      </c>
      <c r="U409" s="150">
        <f t="shared" si="156"/>
        <v>0</v>
      </c>
      <c r="V409" s="150">
        <f>IFERROR(INDEX(Työkonekanta!$J$3:$J$27,MATCH($A409,Työkonekanta!$A$3:$A$24,0),1)*$B409*ef_li_ion_akku/1000/1000/INDEX(Työkonekanta!$K$3:$K$27,MATCH($A409,Työkonekanta!$A$3:$A$24,0)),0)</f>
        <v>0</v>
      </c>
      <c r="W409" s="149">
        <f t="shared" si="172"/>
        <v>17.523596036907758</v>
      </c>
      <c r="X409" s="150">
        <f t="shared" si="173"/>
        <v>0.35905259579999993</v>
      </c>
      <c r="Y409" s="151">
        <f t="shared" si="174"/>
        <v>0.14974202850588147</v>
      </c>
      <c r="Z409" s="152">
        <f t="shared" si="166"/>
        <v>14.986014244999849</v>
      </c>
      <c r="AA409" s="179">
        <f t="shared" si="167"/>
        <v>17.673338065413638</v>
      </c>
      <c r="AB409" s="179">
        <f t="shared" si="168"/>
        <v>18.03239066121364</v>
      </c>
      <c r="AC409" s="180">
        <f t="shared" si="175"/>
        <v>32.659352310413489</v>
      </c>
      <c r="AD409" s="156">
        <f t="shared" si="169"/>
        <v>33.01840490621349</v>
      </c>
      <c r="AE409" s="146">
        <f>IFERROR(INDEX(Työkonekanta!$L$3:$L$30,MATCH($A409,Työkonekanta!$A$3:$A$30,0),1),0)*AF409</f>
        <v>500000</v>
      </c>
      <c r="AF409" s="146">
        <f>IFERROR(INDEX(Työkonekanta!$N$3:$N$32,MATCH($A409,Työkonekanta!$A$3:$A$32,0),1),0)</f>
        <v>1</v>
      </c>
      <c r="AG409" s="332">
        <f>I409*INDEX(Muuttujat!$U$5:$U$21,MATCH($C409,Muuttujat!$N$5:$N$21,0),1)</f>
        <v>6944.0549692633795</v>
      </c>
      <c r="AH409" s="332">
        <f>J409*INDEX(Muuttujat!$T$5:$T$21,MATCH($C409,Muuttujat!$N$5:$N$21,0),1)</f>
        <v>7112.5862439259972</v>
      </c>
      <c r="AI409" s="332">
        <f t="shared" si="157"/>
        <v>287.96543943438746</v>
      </c>
      <c r="AJ409" s="332">
        <f t="shared" si="158"/>
        <v>0</v>
      </c>
      <c r="AK409" s="333">
        <f t="shared" si="170"/>
        <v>14344.606652623765</v>
      </c>
      <c r="AL409" s="332">
        <f t="shared" si="159"/>
        <v>14344.606652623765</v>
      </c>
      <c r="AM409" s="351"/>
      <c r="AN409" s="351"/>
    </row>
    <row r="410" spans="1:40">
      <c r="A410" s="139">
        <v>18</v>
      </c>
      <c r="B410" s="139">
        <f>IFERROR(IF((INDEX(Työkonekanta!$F$3:$F$27,MATCH('S3 Tiekartta'!$A410,Työkonekanta!$A$3:$A$24,0),1))&lt;0,0,(INDEX(Työkonekanta!$F$3:$F$27,MATCH('S3 Tiekartta'!$A410,Työkonekanta!$A$3:$A$24,0),1))),0)</f>
        <v>1</v>
      </c>
      <c r="C410" s="140">
        <v>2032</v>
      </c>
      <c r="D410" s="141" t="str">
        <f>IFERROR(INDEX(Työkonekanta!$D$3:$D$27,MATCH('S3 Tiekartta'!$A410,Työkonekanta!$A$3:$A$24,0),1),"undefined")</f>
        <v>pom</v>
      </c>
      <c r="E410" s="145">
        <f>IFERROR(INDEX(Työkonekanta!$G$3:$G$27,MATCH($A410,Työkonekanta!$A$3:$A$24,0),1)*INDEX(Työkonekanta!$H$3:$H$27,MATCH($A410,Työkonekanta!$A$3:$A$24,0),1)*(1+s0b_kasvu*($C410-2019))*$B410,0)</f>
        <v>11299.999999999998</v>
      </c>
      <c r="F410" s="145">
        <f t="shared" si="151"/>
        <v>405669.99999999994</v>
      </c>
      <c r="G410" s="151">
        <f t="shared" si="160"/>
        <v>237420.54609195743</v>
      </c>
      <c r="H410" s="145">
        <f t="shared" si="161"/>
        <v>168249.45390804252</v>
      </c>
      <c r="I410" s="145">
        <f t="shared" si="152"/>
        <v>6613.3856850127422</v>
      </c>
      <c r="J410" s="145">
        <f t="shared" si="153"/>
        <v>4905.2318923627563</v>
      </c>
      <c r="K410" s="142" t="str">
        <f t="shared" si="162"/>
        <v>l</v>
      </c>
      <c r="L410" s="146">
        <f>IFERROR(INDEX(Työkonekanta!$I$3:$I$27,MATCH('S3 Tiekartta'!$A410,Työkonekanta!$A$3:$A$24,0),1)*(I410+J410)*f_adblue,0)</f>
        <v>460.74470309501999</v>
      </c>
      <c r="M410" s="146">
        <f t="shared" si="171"/>
        <v>0</v>
      </c>
      <c r="N410" s="143" t="str">
        <f>IF(tuulisähkö_vuosi&lt;='S3 Tiekartta'!C410,"tuulisähkö",ostosähkö_nyt)</f>
        <v>jäännössähkö</v>
      </c>
      <c r="O410" s="147">
        <f>INDEX(Muuttujat!$J$5:$J$21,MATCH($C410,Muuttujat!$H$5:$H$21,0),1)</f>
        <v>60.765893284281319</v>
      </c>
      <c r="P410" s="148">
        <f t="shared" si="163"/>
        <v>0.58525537035510999</v>
      </c>
      <c r="Q410" s="148">
        <f t="shared" si="164"/>
        <v>0.41474462964489001</v>
      </c>
      <c r="R410" s="148">
        <f t="shared" si="165"/>
        <v>0.41474462964489001</v>
      </c>
      <c r="S410" s="149">
        <f t="shared" si="154"/>
        <v>4.4872483211379954</v>
      </c>
      <c r="T410" s="150">
        <f t="shared" si="155"/>
        <v>10.498765923861853</v>
      </c>
      <c r="U410" s="150">
        <f t="shared" si="156"/>
        <v>0</v>
      </c>
      <c r="V410" s="150">
        <f>IFERROR(INDEX(Työkonekanta!$J$3:$J$27,MATCH($A410,Työkonekanta!$A$3:$A$24,0),1)*$B410*ef_li_ion_akku/1000/1000/INDEX(Työkonekanta!$K$3:$K$27,MATCH($A410,Työkonekanta!$A$3:$A$24,0)),0)</f>
        <v>0</v>
      </c>
      <c r="W410" s="149">
        <f t="shared" si="172"/>
        <v>17.523596036907758</v>
      </c>
      <c r="X410" s="150">
        <f t="shared" si="173"/>
        <v>0.35905259579999993</v>
      </c>
      <c r="Y410" s="151">
        <f t="shared" si="174"/>
        <v>0.11979362280470519</v>
      </c>
      <c r="Z410" s="152">
        <f t="shared" si="166"/>
        <v>14.986014244999849</v>
      </c>
      <c r="AA410" s="179">
        <f t="shared" si="167"/>
        <v>17.643389659712465</v>
      </c>
      <c r="AB410" s="179">
        <f t="shared" si="168"/>
        <v>18.002442255512467</v>
      </c>
      <c r="AC410" s="180">
        <f t="shared" si="175"/>
        <v>32.629403904712312</v>
      </c>
      <c r="AD410" s="156">
        <f t="shared" si="169"/>
        <v>32.988456500512314</v>
      </c>
      <c r="AE410" s="146">
        <f>IFERROR(INDEX(Työkonekanta!$L$3:$L$30,MATCH($A410,Työkonekanta!$A$3:$A$30,0),1),0)*AF410</f>
        <v>500000</v>
      </c>
      <c r="AF410" s="146">
        <f>IFERROR(INDEX(Työkonekanta!$N$3:$N$32,MATCH($A410,Työkonekanta!$A$3:$A$32,0),1),0)</f>
        <v>1</v>
      </c>
      <c r="AG410" s="332">
        <f>I410*INDEX(Muuttujat!$U$5:$U$21,MATCH($C410,Muuttujat!$N$5:$N$21,0),1)</f>
        <v>6944.0549692633795</v>
      </c>
      <c r="AH410" s="332">
        <f>J410*INDEX(Muuttujat!$T$5:$T$21,MATCH($C410,Muuttujat!$N$5:$N$21,0),1)</f>
        <v>7112.5862439259972</v>
      </c>
      <c r="AI410" s="332">
        <f t="shared" si="157"/>
        <v>230.37235154750999</v>
      </c>
      <c r="AJ410" s="332">
        <f t="shared" si="158"/>
        <v>0</v>
      </c>
      <c r="AK410" s="333">
        <f t="shared" si="170"/>
        <v>14287.013564736888</v>
      </c>
      <c r="AL410" s="332">
        <f t="shared" si="159"/>
        <v>14287.013564736888</v>
      </c>
      <c r="AM410" s="351"/>
      <c r="AN410" s="351"/>
    </row>
    <row r="411" spans="1:40">
      <c r="A411" s="139">
        <v>19</v>
      </c>
      <c r="B411" s="139">
        <f>IFERROR(IF((INDEX(Työkonekanta!$F$3:$F$27,MATCH('S3 Tiekartta'!$A411,Työkonekanta!$A$3:$A$24,0),1))&lt;0,0,(INDEX(Työkonekanta!$F$3:$F$27,MATCH('S3 Tiekartta'!$A411,Työkonekanta!$A$3:$A$24,0),1))),0)</f>
        <v>0</v>
      </c>
      <c r="C411" s="140">
        <v>2032</v>
      </c>
      <c r="D411" s="141" t="str">
        <f>IFERROR(INDEX(Työkonekanta!$D$3:$D$27,MATCH('S3 Tiekartta'!$A411,Työkonekanta!$A$3:$A$24,0),1),"undefined")</f>
        <v>pom</v>
      </c>
      <c r="E411" s="145">
        <f>IFERROR(INDEX(Työkonekanta!$G$3:$G$27,MATCH($A411,Työkonekanta!$A$3:$A$24,0),1)*INDEX(Työkonekanta!$H$3:$H$27,MATCH($A411,Työkonekanta!$A$3:$A$24,0),1)*(1+s0b_kasvu*($C411-2019))*$B411,0)</f>
        <v>0</v>
      </c>
      <c r="F411" s="145">
        <f t="shared" si="151"/>
        <v>0</v>
      </c>
      <c r="G411" s="151">
        <f t="shared" si="160"/>
        <v>0</v>
      </c>
      <c r="H411" s="145">
        <f t="shared" si="161"/>
        <v>0</v>
      </c>
      <c r="I411" s="145">
        <f t="shared" si="152"/>
        <v>0</v>
      </c>
      <c r="J411" s="145">
        <f t="shared" si="153"/>
        <v>0</v>
      </c>
      <c r="K411" s="142" t="str">
        <f t="shared" si="162"/>
        <v>l</v>
      </c>
      <c r="L411" s="146">
        <f>IFERROR(INDEX(Työkonekanta!$I$3:$I$27,MATCH('S3 Tiekartta'!$A411,Työkonekanta!$A$3:$A$24,0),1)*(I411+J411)*f_adblue,0)</f>
        <v>0</v>
      </c>
      <c r="M411" s="146">
        <f t="shared" si="171"/>
        <v>0</v>
      </c>
      <c r="N411" s="143" t="str">
        <f>IF(tuulisähkö_vuosi&lt;='S3 Tiekartta'!C411,"tuulisähkö",ostosähkö_nyt)</f>
        <v>jäännössähkö</v>
      </c>
      <c r="O411" s="147">
        <f>INDEX(Muuttujat!$J$5:$J$21,MATCH($C411,Muuttujat!$H$5:$H$21,0),1)</f>
        <v>60.765893284281319</v>
      </c>
      <c r="P411" s="148">
        <f t="shared" si="163"/>
        <v>0.58525537035510999</v>
      </c>
      <c r="Q411" s="148">
        <f t="shared" si="164"/>
        <v>0.41474462964489001</v>
      </c>
      <c r="R411" s="148">
        <f t="shared" si="165"/>
        <v>0.41474462964489001</v>
      </c>
      <c r="S411" s="149">
        <f t="shared" si="154"/>
        <v>0</v>
      </c>
      <c r="T411" s="150">
        <f t="shared" si="155"/>
        <v>0</v>
      </c>
      <c r="U411" s="150">
        <f t="shared" si="156"/>
        <v>0</v>
      </c>
      <c r="V411" s="150">
        <f>IFERROR(INDEX(Työkonekanta!$J$3:$J$27,MATCH($A411,Työkonekanta!$A$3:$A$24,0),1)*$B411*ef_li_ion_akku/1000/1000/INDEX(Työkonekanta!$K$3:$K$27,MATCH($A411,Työkonekanta!$A$3:$A$24,0)),0)</f>
        <v>0</v>
      </c>
      <c r="W411" s="149">
        <f t="shared" si="172"/>
        <v>0</v>
      </c>
      <c r="X411" s="150">
        <f t="shared" si="173"/>
        <v>0</v>
      </c>
      <c r="Y411" s="151">
        <f t="shared" si="174"/>
        <v>0</v>
      </c>
      <c r="Z411" s="152">
        <f t="shared" si="166"/>
        <v>0</v>
      </c>
      <c r="AA411" s="179">
        <f t="shared" si="167"/>
        <v>0</v>
      </c>
      <c r="AB411" s="179">
        <f t="shared" si="168"/>
        <v>0</v>
      </c>
      <c r="AC411" s="180">
        <f t="shared" si="175"/>
        <v>0</v>
      </c>
      <c r="AD411" s="156">
        <f t="shared" si="169"/>
        <v>0</v>
      </c>
      <c r="AE411" s="146">
        <f>IFERROR(INDEX(Työkonekanta!$L$3:$L$30,MATCH($A411,Työkonekanta!$A$3:$A$30,0),1),0)*AF411</f>
        <v>0</v>
      </c>
      <c r="AF411" s="146">
        <f>IFERROR(INDEX(Työkonekanta!$N$3:$N$32,MATCH($A411,Työkonekanta!$A$3:$A$32,0),1),0)</f>
        <v>0</v>
      </c>
      <c r="AG411" s="332">
        <f>I411*INDEX(Muuttujat!$U$5:$U$21,MATCH($C411,Muuttujat!$N$5:$N$21,0),1)</f>
        <v>0</v>
      </c>
      <c r="AH411" s="332">
        <f>J411*INDEX(Muuttujat!$T$5:$T$21,MATCH($C411,Muuttujat!$N$5:$N$21,0),1)</f>
        <v>0</v>
      </c>
      <c r="AI411" s="332">
        <f t="shared" si="157"/>
        <v>0</v>
      </c>
      <c r="AJ411" s="332">
        <f t="shared" si="158"/>
        <v>0</v>
      </c>
      <c r="AK411" s="333">
        <f t="shared" si="170"/>
        <v>0</v>
      </c>
      <c r="AL411" s="332">
        <f t="shared" si="159"/>
        <v>0</v>
      </c>
      <c r="AM411" s="351"/>
      <c r="AN411" s="351"/>
    </row>
    <row r="412" spans="1:40">
      <c r="A412" s="139">
        <v>20</v>
      </c>
      <c r="B412" s="139">
        <f>IFERROR(IF((INDEX(Työkonekanta!$F$3:$F$27,MATCH('S3 Tiekartta'!$A412,Työkonekanta!$A$3:$A$24,0),1))&lt;0,0,(INDEX(Työkonekanta!$F$3:$F$27,MATCH('S3 Tiekartta'!$A412,Työkonekanta!$A$3:$A$24,0),1))),0)</f>
        <v>0</v>
      </c>
      <c r="C412" s="140">
        <v>2032</v>
      </c>
      <c r="D412" s="141" t="str">
        <f>IFERROR(INDEX(Työkonekanta!$D$3:$D$27,MATCH('S3 Tiekartta'!$A412,Työkonekanta!$A$3:$A$24,0),1),"undefined")</f>
        <v>pom</v>
      </c>
      <c r="E412" s="145">
        <f>IFERROR(INDEX(Työkonekanta!$G$3:$G$27,MATCH($A412,Työkonekanta!$A$3:$A$24,0),1)*INDEX(Työkonekanta!$H$3:$H$27,MATCH($A412,Työkonekanta!$A$3:$A$24,0),1)*(1+s0b_kasvu*($C412-2019))*$B412,0)</f>
        <v>0</v>
      </c>
      <c r="F412" s="145">
        <f t="shared" si="151"/>
        <v>0</v>
      </c>
      <c r="G412" s="151">
        <f t="shared" si="160"/>
        <v>0</v>
      </c>
      <c r="H412" s="145">
        <f t="shared" si="161"/>
        <v>0</v>
      </c>
      <c r="I412" s="145">
        <f t="shared" si="152"/>
        <v>0</v>
      </c>
      <c r="J412" s="145">
        <f t="shared" si="153"/>
        <v>0</v>
      </c>
      <c r="K412" s="142" t="str">
        <f t="shared" si="162"/>
        <v>l</v>
      </c>
      <c r="L412" s="146">
        <f>IFERROR(INDEX(Työkonekanta!$I$3:$I$27,MATCH('S3 Tiekartta'!$A412,Työkonekanta!$A$3:$A$24,0),1)*(I412+J412)*f_adblue,0)</f>
        <v>0</v>
      </c>
      <c r="M412" s="146">
        <f t="shared" si="171"/>
        <v>0</v>
      </c>
      <c r="N412" s="143" t="str">
        <f>IF(tuulisähkö_vuosi&lt;='S3 Tiekartta'!C412,"tuulisähkö",ostosähkö_nyt)</f>
        <v>jäännössähkö</v>
      </c>
      <c r="O412" s="147">
        <f>INDEX(Muuttujat!$J$5:$J$21,MATCH($C412,Muuttujat!$H$5:$H$21,0),1)</f>
        <v>60.765893284281319</v>
      </c>
      <c r="P412" s="148">
        <f t="shared" si="163"/>
        <v>0.58525537035510999</v>
      </c>
      <c r="Q412" s="148">
        <f t="shared" si="164"/>
        <v>0.41474462964489001</v>
      </c>
      <c r="R412" s="148">
        <f t="shared" si="165"/>
        <v>0.41474462964489001</v>
      </c>
      <c r="S412" s="149">
        <f t="shared" si="154"/>
        <v>0</v>
      </c>
      <c r="T412" s="150">
        <f t="shared" si="155"/>
        <v>0</v>
      </c>
      <c r="U412" s="150">
        <f t="shared" si="156"/>
        <v>0</v>
      </c>
      <c r="V412" s="150">
        <f>IFERROR(INDEX(Työkonekanta!$J$3:$J$27,MATCH($A412,Työkonekanta!$A$3:$A$24,0),1)*$B412*ef_li_ion_akku/1000/1000/INDEX(Työkonekanta!$K$3:$K$27,MATCH($A412,Työkonekanta!$A$3:$A$24,0)),0)</f>
        <v>0</v>
      </c>
      <c r="W412" s="149">
        <f t="shared" si="172"/>
        <v>0</v>
      </c>
      <c r="X412" s="150">
        <f t="shared" si="173"/>
        <v>0</v>
      </c>
      <c r="Y412" s="151">
        <f t="shared" si="174"/>
        <v>0</v>
      </c>
      <c r="Z412" s="152">
        <f t="shared" si="166"/>
        <v>0</v>
      </c>
      <c r="AA412" s="179">
        <f t="shared" si="167"/>
        <v>0</v>
      </c>
      <c r="AB412" s="179">
        <f t="shared" si="168"/>
        <v>0</v>
      </c>
      <c r="AC412" s="180">
        <f t="shared" si="175"/>
        <v>0</v>
      </c>
      <c r="AD412" s="156">
        <f t="shared" si="169"/>
        <v>0</v>
      </c>
      <c r="AE412" s="146">
        <f>IFERROR(INDEX(Työkonekanta!$L$3:$L$30,MATCH($A412,Työkonekanta!$A$3:$A$30,0),1),0)*AF412</f>
        <v>0</v>
      </c>
      <c r="AF412" s="146">
        <f>IFERROR(INDEX(Työkonekanta!$N$3:$N$32,MATCH($A412,Työkonekanta!$A$3:$A$32,0),1),0)</f>
        <v>0</v>
      </c>
      <c r="AG412" s="332">
        <f>I412*INDEX(Muuttujat!$U$5:$U$21,MATCH($C412,Muuttujat!$N$5:$N$21,0),1)</f>
        <v>0</v>
      </c>
      <c r="AH412" s="332">
        <f>J412*INDEX(Muuttujat!$T$5:$T$21,MATCH($C412,Muuttujat!$N$5:$N$21,0),1)</f>
        <v>0</v>
      </c>
      <c r="AI412" s="332">
        <f t="shared" si="157"/>
        <v>0</v>
      </c>
      <c r="AJ412" s="332">
        <f t="shared" si="158"/>
        <v>0</v>
      </c>
      <c r="AK412" s="333">
        <f t="shared" si="170"/>
        <v>0</v>
      </c>
      <c r="AL412" s="332">
        <f t="shared" si="159"/>
        <v>0</v>
      </c>
      <c r="AM412" s="351"/>
      <c r="AN412" s="351"/>
    </row>
    <row r="413" spans="1:40">
      <c r="A413" s="139">
        <v>21</v>
      </c>
      <c r="B413" s="139">
        <f>IFERROR(IF((INDEX(Työkonekanta!$F$3:$F$27,MATCH('S3 Tiekartta'!$A413,Työkonekanta!$A$3:$A$24,0),1))&lt;0,0,(INDEX(Työkonekanta!$F$3:$F$27,MATCH('S3 Tiekartta'!$A413,Työkonekanta!$A$3:$A$24,0),1))),0)</f>
        <v>35</v>
      </c>
      <c r="C413" s="140">
        <v>2032</v>
      </c>
      <c r="D413" s="141" t="str">
        <f>IFERROR(INDEX(Työkonekanta!$D$3:$D$27,MATCH('S3 Tiekartta'!$A413,Työkonekanta!$A$3:$A$24,0),1),"undefined")</f>
        <v>sähkö</v>
      </c>
      <c r="E413" s="145">
        <f>IFERROR(INDEX(Työkonekanta!$G$3:$G$27,MATCH($A413,Työkonekanta!$A$3:$A$24,0),1)*INDEX(Työkonekanta!$H$3:$H$27,MATCH($A413,Työkonekanta!$A$3:$A$24,0),1)*(1+s0b_kasvu*($C413-2019))*$B413,0)</f>
        <v>460134.95370370365</v>
      </c>
      <c r="F413" s="145">
        <f t="shared" si="151"/>
        <v>0</v>
      </c>
      <c r="G413" s="151">
        <f t="shared" si="160"/>
        <v>0</v>
      </c>
      <c r="H413" s="145">
        <f t="shared" si="161"/>
        <v>0</v>
      </c>
      <c r="I413" s="145">
        <f t="shared" si="152"/>
        <v>0</v>
      </c>
      <c r="J413" s="145">
        <f t="shared" si="153"/>
        <v>0</v>
      </c>
      <c r="K413" s="142" t="str">
        <f t="shared" si="162"/>
        <v>kWh</v>
      </c>
      <c r="L413" s="146">
        <f>IFERROR(INDEX(Työkonekanta!$I$3:$I$27,MATCH('S3 Tiekartta'!$A413,Työkonekanta!$A$3:$A$24,0),1)*(I413+J413)*f_adblue,0)</f>
        <v>0</v>
      </c>
      <c r="M413" s="146">
        <f t="shared" si="171"/>
        <v>1656485.8333333333</v>
      </c>
      <c r="N413" s="143" t="str">
        <f>IF(tuulisähkö_vuosi&lt;='S3 Tiekartta'!C413,"tuulisähkö",ostosähkö_nyt)</f>
        <v>jäännössähkö</v>
      </c>
      <c r="O413" s="147">
        <f>INDEX(Muuttujat!$J$5:$J$21,MATCH($C413,Muuttujat!$H$5:$H$21,0),1)</f>
        <v>60.765893284281319</v>
      </c>
      <c r="P413" s="148">
        <f t="shared" si="163"/>
        <v>0.58525537035510999</v>
      </c>
      <c r="Q413" s="148">
        <f t="shared" si="164"/>
        <v>0.41474462964489001</v>
      </c>
      <c r="R413" s="148">
        <f t="shared" si="165"/>
        <v>0.41474462964489001</v>
      </c>
      <c r="S413" s="149">
        <f t="shared" si="154"/>
        <v>0</v>
      </c>
      <c r="T413" s="150">
        <f t="shared" si="155"/>
        <v>0</v>
      </c>
      <c r="U413" s="150">
        <f t="shared" si="156"/>
        <v>100.65784137525714</v>
      </c>
      <c r="V413" s="150">
        <f>IFERROR(INDEX(Työkonekanta!$J$3:$J$27,MATCH($A413,Työkonekanta!$A$3:$A$24,0),1)*$B413*ef_li_ion_akku/1000/1000/INDEX(Työkonekanta!$K$3:$K$27,MATCH($A413,Työkonekanta!$A$3:$A$24,0)),0)</f>
        <v>43.121723076923082</v>
      </c>
      <c r="W413" s="149">
        <f t="shared" si="172"/>
        <v>0</v>
      </c>
      <c r="X413" s="150">
        <f t="shared" si="173"/>
        <v>0</v>
      </c>
      <c r="Y413" s="151">
        <f t="shared" si="174"/>
        <v>0</v>
      </c>
      <c r="Z413" s="152">
        <f t="shared" si="166"/>
        <v>143.77956445218021</v>
      </c>
      <c r="AA413" s="179">
        <f t="shared" si="167"/>
        <v>0</v>
      </c>
      <c r="AB413" s="179">
        <f t="shared" si="168"/>
        <v>0</v>
      </c>
      <c r="AC413" s="180">
        <f t="shared" si="175"/>
        <v>143.77956445218021</v>
      </c>
      <c r="AD413" s="156">
        <f t="shared" si="169"/>
        <v>143.77956445218021</v>
      </c>
      <c r="AE413" s="146">
        <f>IFERROR(INDEX(Työkonekanta!$L$3:$L$30,MATCH($A413,Työkonekanta!$A$3:$A$30,0),1),0)*AF413</f>
        <v>1820000</v>
      </c>
      <c r="AF413" s="146">
        <f>IFERROR(INDEX(Työkonekanta!$N$3:$N$32,MATCH($A413,Työkonekanta!$A$3:$A$32,0),1),0)</f>
        <v>7</v>
      </c>
      <c r="AG413" s="332">
        <f>I413*INDEX(Muuttujat!$U$5:$U$21,MATCH($C413,Muuttujat!$N$5:$N$21,0),1)</f>
        <v>0</v>
      </c>
      <c r="AH413" s="332">
        <f>J413*INDEX(Muuttujat!$T$5:$T$21,MATCH($C413,Muuttujat!$N$5:$N$21,0),1)</f>
        <v>0</v>
      </c>
      <c r="AI413" s="332">
        <f t="shared" si="157"/>
        <v>0</v>
      </c>
      <c r="AJ413" s="332">
        <f t="shared" si="158"/>
        <v>40721.943402777775</v>
      </c>
      <c r="AK413" s="333">
        <f t="shared" si="170"/>
        <v>40721.943402777775</v>
      </c>
      <c r="AL413" s="332">
        <f t="shared" si="159"/>
        <v>1163.4840972222221</v>
      </c>
      <c r="AM413" s="351"/>
      <c r="AN413" s="351"/>
    </row>
    <row r="414" spans="1:40">
      <c r="A414" s="139">
        <v>22</v>
      </c>
      <c r="B414" s="139">
        <f>IFERROR(IF((INDEX(Työkonekanta!$F$3:$F$27,MATCH('S3 Tiekartta'!$A414,Työkonekanta!$A$3:$A$24,0),1))&lt;0,0,(INDEX(Työkonekanta!$F$3:$F$27,MATCH('S3 Tiekartta'!$A414,Työkonekanta!$A$3:$A$24,0),1))),0)</f>
        <v>0</v>
      </c>
      <c r="C414" s="140">
        <v>2032</v>
      </c>
      <c r="D414" s="141" t="str">
        <f>IFERROR(INDEX(Työkonekanta!$D$3:$D$27,MATCH('S3 Tiekartta'!$A414,Työkonekanta!$A$3:$A$24,0),1),"undefined")</f>
        <v>sähkö</v>
      </c>
      <c r="E414" s="145">
        <f>IFERROR(INDEX(Työkonekanta!$G$3:$G$27,MATCH($A414,Työkonekanta!$A$3:$A$24,0),1)*INDEX(Työkonekanta!$H$3:$H$27,MATCH($A414,Työkonekanta!$A$3:$A$24,0),1)*(1+s0b_kasvu*($C414-2019))*$B414,0)</f>
        <v>0</v>
      </c>
      <c r="F414" s="145">
        <f t="shared" si="151"/>
        <v>0</v>
      </c>
      <c r="G414" s="151">
        <f t="shared" si="160"/>
        <v>0</v>
      </c>
      <c r="H414" s="145">
        <f t="shared" si="161"/>
        <v>0</v>
      </c>
      <c r="I414" s="145">
        <f t="shared" si="152"/>
        <v>0</v>
      </c>
      <c r="J414" s="145">
        <f t="shared" si="153"/>
        <v>0</v>
      </c>
      <c r="K414" s="142" t="str">
        <f t="shared" si="162"/>
        <v>kWh</v>
      </c>
      <c r="L414" s="146">
        <f>IFERROR(INDEX(Työkonekanta!$I$3:$I$27,MATCH('S3 Tiekartta'!$A414,Työkonekanta!$A$3:$A$24,0),1)*(I414+J414)*f_adblue,0)</f>
        <v>0</v>
      </c>
      <c r="M414" s="146">
        <f t="shared" si="171"/>
        <v>0</v>
      </c>
      <c r="N414" s="143" t="str">
        <f>IF(tuulisähkö_vuosi&lt;='S3 Tiekartta'!C414,"tuulisähkö",ostosähkö_nyt)</f>
        <v>jäännössähkö</v>
      </c>
      <c r="O414" s="147">
        <f>INDEX(Muuttujat!$J$5:$J$21,MATCH($C414,Muuttujat!$H$5:$H$21,0),1)</f>
        <v>60.765893284281319</v>
      </c>
      <c r="P414" s="148">
        <f t="shared" si="163"/>
        <v>0.58525537035510999</v>
      </c>
      <c r="Q414" s="148">
        <f t="shared" si="164"/>
        <v>0.41474462964489001</v>
      </c>
      <c r="R414" s="148">
        <f t="shared" si="165"/>
        <v>0.41474462964489001</v>
      </c>
      <c r="S414" s="149">
        <f t="shared" si="154"/>
        <v>0</v>
      </c>
      <c r="T414" s="150">
        <f t="shared" si="155"/>
        <v>0</v>
      </c>
      <c r="U414" s="150">
        <f t="shared" si="156"/>
        <v>0</v>
      </c>
      <c r="V414" s="150">
        <f>IFERROR(INDEX(Työkonekanta!$J$3:$J$27,MATCH($A414,Työkonekanta!$A$3:$A$24,0),1)*$B414*ef_li_ion_akku/1000/1000/INDEX(Työkonekanta!$K$3:$K$27,MATCH($A414,Työkonekanta!$A$3:$A$24,0)),0)</f>
        <v>0</v>
      </c>
      <c r="W414" s="149">
        <f t="shared" si="172"/>
        <v>0</v>
      </c>
      <c r="X414" s="150">
        <f t="shared" si="173"/>
        <v>0</v>
      </c>
      <c r="Y414" s="151">
        <f t="shared" si="174"/>
        <v>0</v>
      </c>
      <c r="Z414" s="152">
        <f t="shared" si="166"/>
        <v>0</v>
      </c>
      <c r="AA414" s="179">
        <f t="shared" si="167"/>
        <v>0</v>
      </c>
      <c r="AB414" s="179">
        <f t="shared" si="168"/>
        <v>0</v>
      </c>
      <c r="AC414" s="180">
        <f t="shared" si="175"/>
        <v>0</v>
      </c>
      <c r="AD414" s="156">
        <f t="shared" si="169"/>
        <v>0</v>
      </c>
      <c r="AE414" s="146">
        <f>IFERROR(INDEX(Työkonekanta!$L$3:$L$30,MATCH($A414,Työkonekanta!$A$3:$A$30,0),1),0)*AF414</f>
        <v>0</v>
      </c>
      <c r="AF414" s="146">
        <f>IFERROR(INDEX(Työkonekanta!$N$3:$N$32,MATCH($A414,Työkonekanta!$A$3:$A$32,0),1),0)</f>
        <v>0</v>
      </c>
      <c r="AG414" s="332">
        <f>I414*INDEX(Muuttujat!$U$5:$U$21,MATCH($C414,Muuttujat!$N$5:$N$21,0),1)</f>
        <v>0</v>
      </c>
      <c r="AH414" s="332">
        <f>J414*INDEX(Muuttujat!$T$5:$T$21,MATCH($C414,Muuttujat!$N$5:$N$21,0),1)</f>
        <v>0</v>
      </c>
      <c r="AI414" s="332">
        <f t="shared" si="157"/>
        <v>0</v>
      </c>
      <c r="AJ414" s="332">
        <f t="shared" si="158"/>
        <v>0</v>
      </c>
      <c r="AK414" s="333">
        <f t="shared" si="170"/>
        <v>0</v>
      </c>
      <c r="AL414" s="332">
        <f t="shared" si="159"/>
        <v>0</v>
      </c>
      <c r="AM414" s="351"/>
      <c r="AN414" s="351"/>
    </row>
    <row r="415" spans="1:40">
      <c r="A415" s="139">
        <v>23</v>
      </c>
      <c r="B415" s="139">
        <f>IFERROR(IF((INDEX(Työkonekanta!$F$3:$F$27,MATCH('S3 Tiekartta'!$A415,Työkonekanta!$A$3:$A$24,0),1))&lt;0,0,(INDEX(Työkonekanta!$F$3:$F$27,MATCH('S3 Tiekartta'!$A415,Työkonekanta!$A$3:$A$24,0),1))),0)</f>
        <v>0</v>
      </c>
      <c r="C415" s="140">
        <v>2032</v>
      </c>
      <c r="D415" s="141" t="str">
        <f>IFERROR(INDEX(Työkonekanta!$D$3:$D$27,MATCH('S3 Tiekartta'!$A415,Työkonekanta!$A$3:$A$24,0),1),"undefined")</f>
        <v>undefined</v>
      </c>
      <c r="E415" s="145">
        <f>IFERROR(INDEX(Työkonekanta!$G$3:$G$27,MATCH($A415,Työkonekanta!$A$3:$A$24,0),1)*INDEX(Työkonekanta!$H$3:$H$27,MATCH($A415,Työkonekanta!$A$3:$A$24,0),1)*(1+s0b_kasvu*($C415-2019))*$B415,0)</f>
        <v>0</v>
      </c>
      <c r="F415" s="145">
        <f t="shared" si="151"/>
        <v>0</v>
      </c>
      <c r="G415" s="151">
        <f t="shared" si="160"/>
        <v>0</v>
      </c>
      <c r="H415" s="145">
        <f t="shared" si="161"/>
        <v>0</v>
      </c>
      <c r="I415" s="145">
        <f t="shared" si="152"/>
        <v>0</v>
      </c>
      <c r="J415" s="145">
        <f t="shared" si="153"/>
        <v>0</v>
      </c>
      <c r="K415" s="142" t="str">
        <f t="shared" si="162"/>
        <v>undefined</v>
      </c>
      <c r="L415" s="146">
        <f>IFERROR(INDEX(Työkonekanta!$I$3:$I$27,MATCH('S3 Tiekartta'!$A415,Työkonekanta!$A$3:$A$24,0),1)*(I415+J415)*f_adblue,0)</f>
        <v>0</v>
      </c>
      <c r="M415" s="146">
        <f t="shared" si="171"/>
        <v>0</v>
      </c>
      <c r="N415" s="143" t="str">
        <f>IF(tuulisähkö_vuosi&lt;='S3 Tiekartta'!C415,"tuulisähkö",ostosähkö_nyt)</f>
        <v>jäännössähkö</v>
      </c>
      <c r="O415" s="147">
        <f>INDEX(Muuttujat!$J$5:$J$21,MATCH($C415,Muuttujat!$H$5:$H$21,0),1)</f>
        <v>60.765893284281319</v>
      </c>
      <c r="P415" s="148">
        <f t="shared" si="163"/>
        <v>0.58525537035510999</v>
      </c>
      <c r="Q415" s="148">
        <f t="shared" si="164"/>
        <v>0.41474462964489001</v>
      </c>
      <c r="R415" s="148">
        <f t="shared" si="165"/>
        <v>0.41474462964489001</v>
      </c>
      <c r="S415" s="149">
        <f t="shared" si="154"/>
        <v>0</v>
      </c>
      <c r="T415" s="150">
        <f t="shared" si="155"/>
        <v>0</v>
      </c>
      <c r="U415" s="150">
        <f t="shared" si="156"/>
        <v>0</v>
      </c>
      <c r="V415" s="150">
        <f>IFERROR(INDEX(Työkonekanta!$J$3:$J$27,MATCH($A415,Työkonekanta!$A$3:$A$24,0),1)*$B415*ef_li_ion_akku/1000/1000/INDEX(Työkonekanta!$K$3:$K$27,MATCH($A415,Työkonekanta!$A$3:$A$24,0)),0)</f>
        <v>0</v>
      </c>
      <c r="W415" s="149">
        <f t="shared" si="172"/>
        <v>0</v>
      </c>
      <c r="X415" s="150">
        <f t="shared" si="173"/>
        <v>0</v>
      </c>
      <c r="Y415" s="151">
        <f t="shared" si="174"/>
        <v>0</v>
      </c>
      <c r="Z415" s="152">
        <f t="shared" si="166"/>
        <v>0</v>
      </c>
      <c r="AA415" s="179">
        <f t="shared" si="167"/>
        <v>0</v>
      </c>
      <c r="AB415" s="179">
        <f t="shared" si="168"/>
        <v>0</v>
      </c>
      <c r="AC415" s="180">
        <f t="shared" si="175"/>
        <v>0</v>
      </c>
      <c r="AD415" s="156">
        <f t="shared" si="169"/>
        <v>0</v>
      </c>
      <c r="AE415" s="146">
        <f>IFERROR(INDEX(Työkonekanta!$L$3:$L$30,MATCH($A415,Työkonekanta!$A$3:$A$30,0),1),0)*AF415</f>
        <v>0</v>
      </c>
      <c r="AF415" s="146">
        <f>IFERROR(INDEX(Työkonekanta!$N$3:$N$32,MATCH($A415,Työkonekanta!$A$3:$A$32,0),1),0)</f>
        <v>0</v>
      </c>
      <c r="AG415" s="332">
        <f>I415*INDEX(Muuttujat!$U$5:$U$21,MATCH($C415,Muuttujat!$N$5:$N$21,0),1)</f>
        <v>0</v>
      </c>
      <c r="AH415" s="332">
        <f>J415*INDEX(Muuttujat!$T$5:$T$21,MATCH($C415,Muuttujat!$N$5:$N$21,0),1)</f>
        <v>0</v>
      </c>
      <c r="AI415" s="332">
        <f t="shared" si="157"/>
        <v>0</v>
      </c>
      <c r="AJ415" s="332">
        <f t="shared" si="158"/>
        <v>0</v>
      </c>
      <c r="AK415" s="333">
        <f t="shared" si="170"/>
        <v>0</v>
      </c>
      <c r="AL415" s="332">
        <f t="shared" si="159"/>
        <v>0</v>
      </c>
      <c r="AM415" s="351"/>
      <c r="AN415" s="351"/>
    </row>
    <row r="416" spans="1:40">
      <c r="A416" s="139">
        <v>24</v>
      </c>
      <c r="B416" s="139">
        <f>IFERROR(IF((INDEX(Työkonekanta!$F$3:$F$27,MATCH('S3 Tiekartta'!$A416,Työkonekanta!$A$3:$A$24,0),1))&lt;0,0,(INDEX(Työkonekanta!$F$3:$F$27,MATCH('S3 Tiekartta'!$A416,Työkonekanta!$A$3:$A$24,0),1))),0)</f>
        <v>0</v>
      </c>
      <c r="C416" s="140">
        <v>2032</v>
      </c>
      <c r="D416" s="141" t="str">
        <f>IFERROR(INDEX(Työkonekanta!$D$3:$D$27,MATCH('S3 Tiekartta'!$A416,Työkonekanta!$A$3:$A$24,0),1),"undefined")</f>
        <v>undefined</v>
      </c>
      <c r="E416" s="145">
        <f>IFERROR(INDEX(Työkonekanta!$G$3:$G$27,MATCH($A416,Työkonekanta!$A$3:$A$24,0),1)*INDEX(Työkonekanta!$H$3:$H$27,MATCH($A416,Työkonekanta!$A$3:$A$24,0),1)*(1+s0b_kasvu*($C416-2019))*$B416,0)</f>
        <v>0</v>
      </c>
      <c r="F416" s="145">
        <f t="shared" si="151"/>
        <v>0</v>
      </c>
      <c r="G416" s="151">
        <f t="shared" si="160"/>
        <v>0</v>
      </c>
      <c r="H416" s="145">
        <f t="shared" si="161"/>
        <v>0</v>
      </c>
      <c r="I416" s="145">
        <f t="shared" si="152"/>
        <v>0</v>
      </c>
      <c r="J416" s="145">
        <f t="shared" si="153"/>
        <v>0</v>
      </c>
      <c r="K416" s="142" t="str">
        <f t="shared" si="162"/>
        <v>undefined</v>
      </c>
      <c r="L416" s="146">
        <f>IFERROR(INDEX(Työkonekanta!$I$3:$I$27,MATCH('S3 Tiekartta'!$A416,Työkonekanta!$A$3:$A$24,0),1)*(I416+J416)*f_adblue,0)</f>
        <v>0</v>
      </c>
      <c r="M416" s="146">
        <f t="shared" si="171"/>
        <v>0</v>
      </c>
      <c r="N416" s="143" t="str">
        <f>IF(tuulisähkö_vuosi&lt;='S3 Tiekartta'!C416,"tuulisähkö",ostosähkö_nyt)</f>
        <v>jäännössähkö</v>
      </c>
      <c r="O416" s="147">
        <f>INDEX(Muuttujat!$J$5:$J$21,MATCH($C416,Muuttujat!$H$5:$H$21,0),1)</f>
        <v>60.765893284281319</v>
      </c>
      <c r="P416" s="148">
        <f t="shared" si="163"/>
        <v>0.58525537035510999</v>
      </c>
      <c r="Q416" s="148">
        <f t="shared" si="164"/>
        <v>0.41474462964489001</v>
      </c>
      <c r="R416" s="148">
        <f t="shared" si="165"/>
        <v>0.41474462964489001</v>
      </c>
      <c r="S416" s="149">
        <f t="shared" si="154"/>
        <v>0</v>
      </c>
      <c r="T416" s="150">
        <f t="shared" si="155"/>
        <v>0</v>
      </c>
      <c r="U416" s="150">
        <f t="shared" si="156"/>
        <v>0</v>
      </c>
      <c r="V416" s="150">
        <f>IFERROR(INDEX(Työkonekanta!$J$3:$J$27,MATCH($A416,Työkonekanta!$A$3:$A$24,0),1)*$B416*ef_li_ion_akku/1000/1000/INDEX(Työkonekanta!$K$3:$K$27,MATCH($A416,Työkonekanta!$A$3:$A$24,0)),0)</f>
        <v>0</v>
      </c>
      <c r="W416" s="149">
        <f t="shared" si="172"/>
        <v>0</v>
      </c>
      <c r="X416" s="150">
        <f t="shared" si="173"/>
        <v>0</v>
      </c>
      <c r="Y416" s="151">
        <f t="shared" si="174"/>
        <v>0</v>
      </c>
      <c r="Z416" s="152">
        <f t="shared" si="166"/>
        <v>0</v>
      </c>
      <c r="AA416" s="179">
        <f t="shared" si="167"/>
        <v>0</v>
      </c>
      <c r="AB416" s="179">
        <f t="shared" si="168"/>
        <v>0</v>
      </c>
      <c r="AC416" s="180">
        <f t="shared" si="175"/>
        <v>0</v>
      </c>
      <c r="AD416" s="156">
        <f t="shared" si="169"/>
        <v>0</v>
      </c>
      <c r="AE416" s="146">
        <f>IFERROR(INDEX(Työkonekanta!$L$3:$L$30,MATCH($A416,Työkonekanta!$A$3:$A$30,0),1),0)*AF416</f>
        <v>0</v>
      </c>
      <c r="AF416" s="146">
        <f>IFERROR(INDEX(Työkonekanta!$N$3:$N$32,MATCH($A416,Työkonekanta!$A$3:$A$32,0),1),0)</f>
        <v>0</v>
      </c>
      <c r="AG416" s="332">
        <f>I416*INDEX(Muuttujat!$U$5:$U$21,MATCH($C416,Muuttujat!$N$5:$N$21,0),1)</f>
        <v>0</v>
      </c>
      <c r="AH416" s="332">
        <f>J416*INDEX(Muuttujat!$T$5:$T$21,MATCH($C416,Muuttujat!$N$5:$N$21,0),1)</f>
        <v>0</v>
      </c>
      <c r="AI416" s="332">
        <f t="shared" si="157"/>
        <v>0</v>
      </c>
      <c r="AJ416" s="332">
        <f t="shared" si="158"/>
        <v>0</v>
      </c>
      <c r="AK416" s="333">
        <f t="shared" si="170"/>
        <v>0</v>
      </c>
      <c r="AL416" s="332">
        <f t="shared" si="159"/>
        <v>0</v>
      </c>
      <c r="AM416" s="351"/>
      <c r="AN416" s="351"/>
    </row>
    <row r="417" spans="1:40">
      <c r="A417" s="139">
        <v>25</v>
      </c>
      <c r="B417" s="139">
        <f>IFERROR(IF((INDEX(Työkonekanta!$F$3:$F$27,MATCH('S3 Tiekartta'!$A417,Työkonekanta!$A$3:$A$24,0),1))&lt;0,0,(INDEX(Työkonekanta!$F$3:$F$27,MATCH('S3 Tiekartta'!$A417,Työkonekanta!$A$3:$A$24,0),1))),0)</f>
        <v>0</v>
      </c>
      <c r="C417" s="140">
        <v>2032</v>
      </c>
      <c r="D417" s="141" t="str">
        <f>IFERROR(INDEX(Työkonekanta!$D$3:$D$27,MATCH('S3 Tiekartta'!$A417,Työkonekanta!$A$3:$A$24,0),1),"undefined")</f>
        <v>undefined</v>
      </c>
      <c r="E417" s="145">
        <f>IFERROR(INDEX(Työkonekanta!$G$3:$G$27,MATCH($A417,Työkonekanta!$A$3:$A$24,0),1)*INDEX(Työkonekanta!$H$3:$H$27,MATCH($A417,Työkonekanta!$A$3:$A$24,0),1)*(1+s0b_kasvu*($C417-2019))*$B417,0)</f>
        <v>0</v>
      </c>
      <c r="F417" s="145">
        <f t="shared" si="151"/>
        <v>0</v>
      </c>
      <c r="G417" s="151">
        <f t="shared" si="160"/>
        <v>0</v>
      </c>
      <c r="H417" s="145">
        <f t="shared" si="161"/>
        <v>0</v>
      </c>
      <c r="I417" s="145">
        <f t="shared" si="152"/>
        <v>0</v>
      </c>
      <c r="J417" s="145">
        <f t="shared" si="153"/>
        <v>0</v>
      </c>
      <c r="K417" s="142" t="str">
        <f t="shared" si="162"/>
        <v>undefined</v>
      </c>
      <c r="L417" s="146">
        <f>IFERROR(INDEX(Työkonekanta!$I$3:$I$27,MATCH('S3 Tiekartta'!$A417,Työkonekanta!$A$3:$A$24,0),1)*(I417+J417)*f_adblue,0)</f>
        <v>0</v>
      </c>
      <c r="M417" s="146">
        <f t="shared" si="171"/>
        <v>0</v>
      </c>
      <c r="N417" s="143" t="str">
        <f>IF(tuulisähkö_vuosi&lt;='S3 Tiekartta'!C417,"tuulisähkö",ostosähkö_nyt)</f>
        <v>jäännössähkö</v>
      </c>
      <c r="O417" s="147">
        <f>INDEX(Muuttujat!$J$5:$J$21,MATCH($C417,Muuttujat!$H$5:$H$21,0),1)</f>
        <v>60.765893284281319</v>
      </c>
      <c r="P417" s="148">
        <f t="shared" si="163"/>
        <v>0.58525537035510999</v>
      </c>
      <c r="Q417" s="148">
        <f t="shared" si="164"/>
        <v>0.41474462964489001</v>
      </c>
      <c r="R417" s="148">
        <f t="shared" si="165"/>
        <v>0.41474462964489001</v>
      </c>
      <c r="S417" s="149">
        <f t="shared" si="154"/>
        <v>0</v>
      </c>
      <c r="T417" s="150">
        <f t="shared" si="155"/>
        <v>0</v>
      </c>
      <c r="U417" s="150">
        <f t="shared" si="156"/>
        <v>0</v>
      </c>
      <c r="V417" s="150">
        <f>IFERROR(INDEX(Työkonekanta!$J$3:$J$27,MATCH($A417,Työkonekanta!$A$3:$A$24,0),1)*$B417*ef_li_ion_akku/1000/1000/INDEX(Työkonekanta!$K$3:$K$27,MATCH($A417,Työkonekanta!$A$3:$A$24,0)),0)</f>
        <v>0</v>
      </c>
      <c r="W417" s="149">
        <f t="shared" si="172"/>
        <v>0</v>
      </c>
      <c r="X417" s="150">
        <f t="shared" si="173"/>
        <v>0</v>
      </c>
      <c r="Y417" s="151">
        <f t="shared" si="174"/>
        <v>0</v>
      </c>
      <c r="Z417" s="152">
        <f t="shared" si="166"/>
        <v>0</v>
      </c>
      <c r="AA417" s="179">
        <f t="shared" si="167"/>
        <v>0</v>
      </c>
      <c r="AB417" s="179">
        <f t="shared" si="168"/>
        <v>0</v>
      </c>
      <c r="AC417" s="180">
        <f t="shared" si="175"/>
        <v>0</v>
      </c>
      <c r="AD417" s="156">
        <f t="shared" si="169"/>
        <v>0</v>
      </c>
      <c r="AE417" s="146">
        <f>IFERROR(INDEX(Työkonekanta!$L$3:$L$30,MATCH($A417,Työkonekanta!$A$3:$A$30,0),1),0)*AF417</f>
        <v>0</v>
      </c>
      <c r="AF417" s="146">
        <f>IFERROR(INDEX(Työkonekanta!$N$3:$N$32,MATCH($A417,Työkonekanta!$A$3:$A$32,0),1),0)</f>
        <v>0</v>
      </c>
      <c r="AG417" s="332">
        <f>I417*INDEX(Muuttujat!$U$5:$U$21,MATCH($C417,Muuttujat!$N$5:$N$21,0),1)</f>
        <v>0</v>
      </c>
      <c r="AH417" s="332">
        <f>J417*INDEX(Muuttujat!$T$5:$T$21,MATCH($C417,Muuttujat!$N$5:$N$21,0),1)</f>
        <v>0</v>
      </c>
      <c r="AI417" s="332">
        <f t="shared" si="157"/>
        <v>0</v>
      </c>
      <c r="AJ417" s="332">
        <f t="shared" si="158"/>
        <v>0</v>
      </c>
      <c r="AK417" s="333">
        <f t="shared" si="170"/>
        <v>0</v>
      </c>
      <c r="AL417" s="332">
        <f t="shared" si="159"/>
        <v>0</v>
      </c>
      <c r="AM417" s="351"/>
      <c r="AN417" s="351"/>
    </row>
    <row r="418" spans="1:40">
      <c r="A418" s="139">
        <v>26</v>
      </c>
      <c r="B418" s="139">
        <f>IFERROR(IF((INDEX(Työkonekanta!$F$3:$F$27,MATCH('S3 Tiekartta'!$A418,Työkonekanta!$A$3:$A$24,0),1))&lt;0,0,(INDEX(Työkonekanta!$F$3:$F$27,MATCH('S3 Tiekartta'!$A418,Työkonekanta!$A$3:$A$24,0),1))),0)</f>
        <v>0</v>
      </c>
      <c r="C418" s="140">
        <v>2032</v>
      </c>
      <c r="D418" s="141" t="str">
        <f>IFERROR(INDEX(Työkonekanta!$D$3:$D$27,MATCH('S3 Tiekartta'!$A418,Työkonekanta!$A$3:$A$24,0),1),"undefined")</f>
        <v>undefined</v>
      </c>
      <c r="E418" s="145">
        <f>IFERROR(INDEX(Työkonekanta!$G$3:$G$27,MATCH($A418,Työkonekanta!$A$3:$A$24,0),1)*INDEX(Työkonekanta!$H$3:$H$27,MATCH($A418,Työkonekanta!$A$3:$A$24,0),1)*(1+s0b_kasvu*($C418-2019))*$B418,0)</f>
        <v>0</v>
      </c>
      <c r="F418" s="145">
        <f t="shared" si="151"/>
        <v>0</v>
      </c>
      <c r="G418" s="151">
        <f t="shared" si="160"/>
        <v>0</v>
      </c>
      <c r="H418" s="145">
        <f t="shared" si="161"/>
        <v>0</v>
      </c>
      <c r="I418" s="145">
        <f t="shared" si="152"/>
        <v>0</v>
      </c>
      <c r="J418" s="145">
        <f t="shared" si="153"/>
        <v>0</v>
      </c>
      <c r="K418" s="142" t="str">
        <f t="shared" si="162"/>
        <v>undefined</v>
      </c>
      <c r="L418" s="146">
        <f>IFERROR(INDEX(Työkonekanta!$I$3:$I$27,MATCH('S3 Tiekartta'!$A418,Työkonekanta!$A$3:$A$24,0),1)*(I418+J418)*f_adblue,0)</f>
        <v>0</v>
      </c>
      <c r="M418" s="146">
        <f t="shared" si="171"/>
        <v>0</v>
      </c>
      <c r="N418" s="143" t="str">
        <f>IF(tuulisähkö_vuosi&lt;='S3 Tiekartta'!C418,"tuulisähkö",ostosähkö_nyt)</f>
        <v>jäännössähkö</v>
      </c>
      <c r="O418" s="147">
        <f>INDEX(Muuttujat!$J$5:$J$21,MATCH($C418,Muuttujat!$H$5:$H$21,0),1)</f>
        <v>60.765893284281319</v>
      </c>
      <c r="P418" s="148">
        <f t="shared" si="163"/>
        <v>0.58525537035510999</v>
      </c>
      <c r="Q418" s="148">
        <f t="shared" si="164"/>
        <v>0.41474462964489001</v>
      </c>
      <c r="R418" s="148">
        <f t="shared" si="165"/>
        <v>0.41474462964489001</v>
      </c>
      <c r="S418" s="149">
        <f t="shared" si="154"/>
        <v>0</v>
      </c>
      <c r="T418" s="150">
        <f t="shared" si="155"/>
        <v>0</v>
      </c>
      <c r="U418" s="150">
        <f t="shared" si="156"/>
        <v>0</v>
      </c>
      <c r="V418" s="150">
        <f>IFERROR(INDEX(Työkonekanta!$J$3:$J$27,MATCH($A418,Työkonekanta!$A$3:$A$24,0),1)*$B418*ef_li_ion_akku/1000/1000/INDEX(Työkonekanta!$K$3:$K$27,MATCH($A418,Työkonekanta!$A$3:$A$24,0)),0)</f>
        <v>0</v>
      </c>
      <c r="W418" s="149">
        <f t="shared" si="172"/>
        <v>0</v>
      </c>
      <c r="X418" s="150">
        <f t="shared" si="173"/>
        <v>0</v>
      </c>
      <c r="Y418" s="151">
        <f t="shared" si="174"/>
        <v>0</v>
      </c>
      <c r="Z418" s="152">
        <f t="shared" si="166"/>
        <v>0</v>
      </c>
      <c r="AA418" s="179">
        <f t="shared" si="167"/>
        <v>0</v>
      </c>
      <c r="AB418" s="179">
        <f t="shared" si="168"/>
        <v>0</v>
      </c>
      <c r="AC418" s="180">
        <f t="shared" si="175"/>
        <v>0</v>
      </c>
      <c r="AD418" s="156">
        <f t="shared" si="169"/>
        <v>0</v>
      </c>
      <c r="AE418" s="146">
        <f>IFERROR(INDEX(Työkonekanta!$L$3:$L$30,MATCH($A418,Työkonekanta!$A$3:$A$30,0),1),0)*AF418</f>
        <v>0</v>
      </c>
      <c r="AF418" s="146">
        <f>IFERROR(INDEX(Työkonekanta!$N$3:$N$32,MATCH($A418,Työkonekanta!$A$3:$A$32,0),1),0)</f>
        <v>0</v>
      </c>
      <c r="AG418" s="332">
        <f>I418*INDEX(Muuttujat!$U$5:$U$21,MATCH($C418,Muuttujat!$N$5:$N$21,0),1)</f>
        <v>0</v>
      </c>
      <c r="AH418" s="332">
        <f>J418*INDEX(Muuttujat!$T$5:$T$21,MATCH($C418,Muuttujat!$N$5:$N$21,0),1)</f>
        <v>0</v>
      </c>
      <c r="AI418" s="332">
        <f t="shared" si="157"/>
        <v>0</v>
      </c>
      <c r="AJ418" s="332">
        <f t="shared" si="158"/>
        <v>0</v>
      </c>
      <c r="AK418" s="333">
        <f t="shared" si="170"/>
        <v>0</v>
      </c>
      <c r="AL418" s="332">
        <f t="shared" si="159"/>
        <v>0</v>
      </c>
      <c r="AM418" s="351"/>
      <c r="AN418" s="351"/>
    </row>
    <row r="419" spans="1:40">
      <c r="A419" s="139">
        <v>27</v>
      </c>
      <c r="B419" s="139">
        <f>IFERROR(IF((INDEX(Työkonekanta!$F$3:$F$27,MATCH('S3 Tiekartta'!$A419,Työkonekanta!$A$3:$A$24,0),1))&lt;0,0,(INDEX(Työkonekanta!$F$3:$F$27,MATCH('S3 Tiekartta'!$A419,Työkonekanta!$A$3:$A$24,0),1))),0)</f>
        <v>0</v>
      </c>
      <c r="C419" s="140">
        <v>2032</v>
      </c>
      <c r="D419" s="141" t="str">
        <f>IFERROR(INDEX(Työkonekanta!$D$3:$D$27,MATCH('S3 Tiekartta'!$A419,Työkonekanta!$A$3:$A$24,0),1),"undefined")</f>
        <v>undefined</v>
      </c>
      <c r="E419" s="145">
        <f>IFERROR(INDEX(Työkonekanta!$G$3:$G$27,MATCH($A419,Työkonekanta!$A$3:$A$24,0),1)*INDEX(Työkonekanta!$H$3:$H$27,MATCH($A419,Työkonekanta!$A$3:$A$24,0),1)*(1+s0b_kasvu*($C419-2019))*$B419,0)</f>
        <v>0</v>
      </c>
      <c r="F419" s="145">
        <f t="shared" si="151"/>
        <v>0</v>
      </c>
      <c r="G419" s="151">
        <f t="shared" si="160"/>
        <v>0</v>
      </c>
      <c r="H419" s="145">
        <f t="shared" si="161"/>
        <v>0</v>
      </c>
      <c r="I419" s="145">
        <f t="shared" si="152"/>
        <v>0</v>
      </c>
      <c r="J419" s="145">
        <f t="shared" si="153"/>
        <v>0</v>
      </c>
      <c r="K419" s="142" t="str">
        <f t="shared" si="162"/>
        <v>undefined</v>
      </c>
      <c r="L419" s="146">
        <f>IFERROR(INDEX(Työkonekanta!$I$3:$I$27,MATCH('S3 Tiekartta'!$A419,Työkonekanta!$A$3:$A$24,0),1)*(I419+J419)*f_adblue,0)</f>
        <v>0</v>
      </c>
      <c r="M419" s="146">
        <f t="shared" si="171"/>
        <v>0</v>
      </c>
      <c r="N419" s="143" t="str">
        <f>IF(tuulisähkö_vuosi&lt;='S3 Tiekartta'!C419,"tuulisähkö",ostosähkö_nyt)</f>
        <v>jäännössähkö</v>
      </c>
      <c r="O419" s="147">
        <f>INDEX(Muuttujat!$J$5:$J$21,MATCH($C419,Muuttujat!$H$5:$H$21,0),1)</f>
        <v>60.765893284281319</v>
      </c>
      <c r="P419" s="148">
        <f t="shared" si="163"/>
        <v>0.58525537035510999</v>
      </c>
      <c r="Q419" s="148">
        <f t="shared" si="164"/>
        <v>0.41474462964489001</v>
      </c>
      <c r="R419" s="148">
        <f t="shared" si="165"/>
        <v>0.41474462964489001</v>
      </c>
      <c r="S419" s="149">
        <f t="shared" si="154"/>
        <v>0</v>
      </c>
      <c r="T419" s="150">
        <f t="shared" si="155"/>
        <v>0</v>
      </c>
      <c r="U419" s="150">
        <f t="shared" si="156"/>
        <v>0</v>
      </c>
      <c r="V419" s="150">
        <f>IFERROR(INDEX(Työkonekanta!$J$3:$J$27,MATCH($A419,Työkonekanta!$A$3:$A$24,0),1)*$B419*ef_li_ion_akku/1000/1000/INDEX(Työkonekanta!$K$3:$K$27,MATCH($A419,Työkonekanta!$A$3:$A$24,0)),0)</f>
        <v>0</v>
      </c>
      <c r="W419" s="149">
        <f t="shared" si="172"/>
        <v>0</v>
      </c>
      <c r="X419" s="150">
        <f t="shared" si="173"/>
        <v>0</v>
      </c>
      <c r="Y419" s="151">
        <f t="shared" si="174"/>
        <v>0</v>
      </c>
      <c r="Z419" s="152">
        <f t="shared" si="166"/>
        <v>0</v>
      </c>
      <c r="AA419" s="179">
        <f t="shared" si="167"/>
        <v>0</v>
      </c>
      <c r="AB419" s="179">
        <f t="shared" si="168"/>
        <v>0</v>
      </c>
      <c r="AC419" s="180">
        <f t="shared" si="175"/>
        <v>0</v>
      </c>
      <c r="AD419" s="156">
        <f t="shared" si="169"/>
        <v>0</v>
      </c>
      <c r="AE419" s="146">
        <f>IFERROR(INDEX(Työkonekanta!$L$3:$L$30,MATCH($A419,Työkonekanta!$A$3:$A$30,0),1),0)*AF419</f>
        <v>0</v>
      </c>
      <c r="AF419" s="146">
        <f>IFERROR(INDEX(Työkonekanta!$N$3:$N$32,MATCH($A419,Työkonekanta!$A$3:$A$32,0),1),0)</f>
        <v>0</v>
      </c>
      <c r="AG419" s="332">
        <f>I419*INDEX(Muuttujat!$U$5:$U$21,MATCH($C419,Muuttujat!$N$5:$N$21,0),1)</f>
        <v>0</v>
      </c>
      <c r="AH419" s="332">
        <f>J419*INDEX(Muuttujat!$T$5:$T$21,MATCH($C419,Muuttujat!$N$5:$N$21,0),1)</f>
        <v>0</v>
      </c>
      <c r="AI419" s="332">
        <f t="shared" si="157"/>
        <v>0</v>
      </c>
      <c r="AJ419" s="332">
        <f t="shared" si="158"/>
        <v>0</v>
      </c>
      <c r="AK419" s="333">
        <f t="shared" si="170"/>
        <v>0</v>
      </c>
      <c r="AL419" s="332">
        <f t="shared" si="159"/>
        <v>0</v>
      </c>
      <c r="AM419" s="351"/>
      <c r="AN419" s="351"/>
    </row>
    <row r="420" spans="1:40">
      <c r="A420" s="139">
        <v>28</v>
      </c>
      <c r="B420" s="139">
        <f>IFERROR(IF((INDEX(Työkonekanta!$F$3:$F$27,MATCH('S3 Tiekartta'!$A420,Työkonekanta!$A$3:$A$24,0),1))&lt;0,0,(INDEX(Työkonekanta!$F$3:$F$27,MATCH('S3 Tiekartta'!$A420,Työkonekanta!$A$3:$A$24,0),1))),0)</f>
        <v>0</v>
      </c>
      <c r="C420" s="140">
        <v>2032</v>
      </c>
      <c r="D420" s="141" t="str">
        <f>IFERROR(INDEX(Työkonekanta!$D$3:$D$27,MATCH('S3 Tiekartta'!$A420,Työkonekanta!$A$3:$A$24,0),1),"undefined")</f>
        <v>undefined</v>
      </c>
      <c r="E420" s="145">
        <f>IFERROR(INDEX(Työkonekanta!$G$3:$G$27,MATCH($A420,Työkonekanta!$A$3:$A$24,0),1)*INDEX(Työkonekanta!$H$3:$H$27,MATCH($A420,Työkonekanta!$A$3:$A$24,0),1)*(1+s0b_kasvu*($C420-2019))*$B420,0)</f>
        <v>0</v>
      </c>
      <c r="F420" s="145">
        <f t="shared" si="151"/>
        <v>0</v>
      </c>
      <c r="G420" s="151">
        <f t="shared" si="160"/>
        <v>0</v>
      </c>
      <c r="H420" s="145">
        <f t="shared" si="161"/>
        <v>0</v>
      </c>
      <c r="I420" s="145">
        <f t="shared" si="152"/>
        <v>0</v>
      </c>
      <c r="J420" s="145">
        <f t="shared" si="153"/>
        <v>0</v>
      </c>
      <c r="K420" s="142" t="str">
        <f t="shared" si="162"/>
        <v>undefined</v>
      </c>
      <c r="L420" s="146">
        <f>IFERROR(INDEX(Työkonekanta!$I$3:$I$27,MATCH('S3 Tiekartta'!$A420,Työkonekanta!$A$3:$A$24,0),1)*(I420+J420)*f_adblue,0)</f>
        <v>0</v>
      </c>
      <c r="M420" s="146">
        <f t="shared" si="171"/>
        <v>0</v>
      </c>
      <c r="N420" s="143" t="str">
        <f>IF(tuulisähkö_vuosi&lt;='S3 Tiekartta'!C420,"tuulisähkö",ostosähkö_nyt)</f>
        <v>jäännössähkö</v>
      </c>
      <c r="O420" s="147">
        <f>INDEX(Muuttujat!$J$5:$J$21,MATCH($C420,Muuttujat!$H$5:$H$21,0),1)</f>
        <v>60.765893284281319</v>
      </c>
      <c r="P420" s="148">
        <f t="shared" si="163"/>
        <v>0.58525537035510999</v>
      </c>
      <c r="Q420" s="148">
        <f t="shared" si="164"/>
        <v>0.41474462964489001</v>
      </c>
      <c r="R420" s="148">
        <f t="shared" si="165"/>
        <v>0.41474462964489001</v>
      </c>
      <c r="S420" s="149">
        <f t="shared" si="154"/>
        <v>0</v>
      </c>
      <c r="T420" s="150">
        <f t="shared" si="155"/>
        <v>0</v>
      </c>
      <c r="U420" s="150">
        <f t="shared" si="156"/>
        <v>0</v>
      </c>
      <c r="V420" s="150">
        <f>IFERROR(INDEX(Työkonekanta!$J$3:$J$27,MATCH($A420,Työkonekanta!$A$3:$A$24,0),1)*$B420*ef_li_ion_akku/1000/1000/INDEX(Työkonekanta!$K$3:$K$27,MATCH($A420,Työkonekanta!$A$3:$A$24,0)),0)</f>
        <v>0</v>
      </c>
      <c r="W420" s="149">
        <f t="shared" si="172"/>
        <v>0</v>
      </c>
      <c r="X420" s="150">
        <f t="shared" si="173"/>
        <v>0</v>
      </c>
      <c r="Y420" s="151">
        <f t="shared" si="174"/>
        <v>0</v>
      </c>
      <c r="Z420" s="152">
        <f t="shared" si="166"/>
        <v>0</v>
      </c>
      <c r="AA420" s="179">
        <f t="shared" si="167"/>
        <v>0</v>
      </c>
      <c r="AB420" s="179">
        <f t="shared" si="168"/>
        <v>0</v>
      </c>
      <c r="AC420" s="180">
        <f t="shared" si="175"/>
        <v>0</v>
      </c>
      <c r="AD420" s="156">
        <f t="shared" si="169"/>
        <v>0</v>
      </c>
      <c r="AE420" s="146">
        <f>IFERROR(INDEX(Työkonekanta!$L$3:$L$30,MATCH($A420,Työkonekanta!$A$3:$A$30,0),1),0)*AF420</f>
        <v>0</v>
      </c>
      <c r="AF420" s="146">
        <f>IFERROR(INDEX(Työkonekanta!$N$3:$N$32,MATCH($A420,Työkonekanta!$A$3:$A$32,0),1),0)</f>
        <v>0</v>
      </c>
      <c r="AG420" s="332">
        <f>I420*INDEX(Muuttujat!$U$5:$U$21,MATCH($C420,Muuttujat!$N$5:$N$21,0),1)</f>
        <v>0</v>
      </c>
      <c r="AH420" s="332">
        <f>J420*INDEX(Muuttujat!$T$5:$T$21,MATCH($C420,Muuttujat!$N$5:$N$21,0),1)</f>
        <v>0</v>
      </c>
      <c r="AI420" s="332">
        <f t="shared" si="157"/>
        <v>0</v>
      </c>
      <c r="AJ420" s="332">
        <f t="shared" si="158"/>
        <v>0</v>
      </c>
      <c r="AK420" s="333">
        <f t="shared" si="170"/>
        <v>0</v>
      </c>
      <c r="AL420" s="332">
        <f t="shared" si="159"/>
        <v>0</v>
      </c>
      <c r="AM420" s="351"/>
      <c r="AN420" s="351"/>
    </row>
    <row r="421" spans="1:40">
      <c r="A421" s="139">
        <v>29</v>
      </c>
      <c r="B421" s="139">
        <f>IFERROR(IF((INDEX(Työkonekanta!$F$3:$F$27,MATCH('S3 Tiekartta'!$A421,Työkonekanta!$A$3:$A$24,0),1))&lt;0,0,(INDEX(Työkonekanta!$F$3:$F$27,MATCH('S3 Tiekartta'!$A421,Työkonekanta!$A$3:$A$24,0),1))),0)</f>
        <v>0</v>
      </c>
      <c r="C421" s="140">
        <v>2032</v>
      </c>
      <c r="D421" s="141" t="str">
        <f>IFERROR(INDEX(Työkonekanta!$D$3:$D$27,MATCH('S3 Tiekartta'!$A421,Työkonekanta!$A$3:$A$24,0),1),"undefined")</f>
        <v>undefined</v>
      </c>
      <c r="E421" s="145">
        <f>IFERROR(INDEX(Työkonekanta!$G$3:$G$27,MATCH($A421,Työkonekanta!$A$3:$A$24,0),1)*INDEX(Työkonekanta!$H$3:$H$27,MATCH($A421,Työkonekanta!$A$3:$A$24,0),1)*(1+s0b_kasvu*($C421-2019))*$B421,0)</f>
        <v>0</v>
      </c>
      <c r="F421" s="145">
        <f t="shared" si="151"/>
        <v>0</v>
      </c>
      <c r="G421" s="151">
        <f t="shared" si="160"/>
        <v>0</v>
      </c>
      <c r="H421" s="145">
        <f t="shared" si="161"/>
        <v>0</v>
      </c>
      <c r="I421" s="145">
        <f t="shared" si="152"/>
        <v>0</v>
      </c>
      <c r="J421" s="145">
        <f t="shared" si="153"/>
        <v>0</v>
      </c>
      <c r="K421" s="142" t="str">
        <f t="shared" si="162"/>
        <v>undefined</v>
      </c>
      <c r="L421" s="146">
        <f>IFERROR(INDEX(Työkonekanta!$I$3:$I$27,MATCH('S3 Tiekartta'!$A421,Työkonekanta!$A$3:$A$24,0),1)*(I421+J421)*f_adblue,0)</f>
        <v>0</v>
      </c>
      <c r="M421" s="146">
        <f t="shared" si="171"/>
        <v>0</v>
      </c>
      <c r="N421" s="143" t="str">
        <f>IF(tuulisähkö_vuosi&lt;='S3 Tiekartta'!C421,"tuulisähkö",ostosähkö_nyt)</f>
        <v>jäännössähkö</v>
      </c>
      <c r="O421" s="147">
        <f>INDEX(Muuttujat!$J$5:$J$21,MATCH($C421,Muuttujat!$H$5:$H$21,0),1)</f>
        <v>60.765893284281319</v>
      </c>
      <c r="P421" s="148">
        <f t="shared" si="163"/>
        <v>0.58525537035510999</v>
      </c>
      <c r="Q421" s="148">
        <f t="shared" si="164"/>
        <v>0.41474462964489001</v>
      </c>
      <c r="R421" s="148">
        <f t="shared" si="165"/>
        <v>0.41474462964489001</v>
      </c>
      <c r="S421" s="149">
        <f t="shared" si="154"/>
        <v>0</v>
      </c>
      <c r="T421" s="150">
        <f t="shared" si="155"/>
        <v>0</v>
      </c>
      <c r="U421" s="150">
        <f t="shared" si="156"/>
        <v>0</v>
      </c>
      <c r="V421" s="150">
        <f>IFERROR(INDEX(Työkonekanta!$J$3:$J$27,MATCH($A421,Työkonekanta!$A$3:$A$24,0),1)*$B421*ef_li_ion_akku/1000/1000/INDEX(Työkonekanta!$K$3:$K$27,MATCH($A421,Työkonekanta!$A$3:$A$24,0)),0)</f>
        <v>0</v>
      </c>
      <c r="W421" s="149">
        <f t="shared" si="172"/>
        <v>0</v>
      </c>
      <c r="X421" s="150">
        <f t="shared" si="173"/>
        <v>0</v>
      </c>
      <c r="Y421" s="151">
        <f t="shared" si="174"/>
        <v>0</v>
      </c>
      <c r="Z421" s="152">
        <f t="shared" si="166"/>
        <v>0</v>
      </c>
      <c r="AA421" s="179">
        <f t="shared" si="167"/>
        <v>0</v>
      </c>
      <c r="AB421" s="179">
        <f t="shared" si="168"/>
        <v>0</v>
      </c>
      <c r="AC421" s="180">
        <f t="shared" si="175"/>
        <v>0</v>
      </c>
      <c r="AD421" s="156">
        <f t="shared" si="169"/>
        <v>0</v>
      </c>
      <c r="AE421" s="146">
        <f>IFERROR(INDEX(Työkonekanta!$L$3:$L$30,MATCH($A421,Työkonekanta!$A$3:$A$30,0),1),0)*AF421</f>
        <v>0</v>
      </c>
      <c r="AF421" s="146">
        <f>IFERROR(INDEX(Työkonekanta!$N$3:$N$32,MATCH($A421,Työkonekanta!$A$3:$A$32,0),1),0)</f>
        <v>0</v>
      </c>
      <c r="AG421" s="332">
        <f>I421*INDEX(Muuttujat!$U$5:$U$21,MATCH($C421,Muuttujat!$N$5:$N$21,0),1)</f>
        <v>0</v>
      </c>
      <c r="AH421" s="332">
        <f>J421*INDEX(Muuttujat!$T$5:$T$21,MATCH($C421,Muuttujat!$N$5:$N$21,0),1)</f>
        <v>0</v>
      </c>
      <c r="AI421" s="332">
        <f t="shared" si="157"/>
        <v>0</v>
      </c>
      <c r="AJ421" s="332">
        <f t="shared" si="158"/>
        <v>0</v>
      </c>
      <c r="AK421" s="333">
        <f t="shared" si="170"/>
        <v>0</v>
      </c>
      <c r="AL421" s="332">
        <f t="shared" si="159"/>
        <v>0</v>
      </c>
      <c r="AM421" s="351"/>
      <c r="AN421" s="351"/>
    </row>
    <row r="422" spans="1:40">
      <c r="A422" s="139">
        <v>30</v>
      </c>
      <c r="B422" s="139">
        <f>IFERROR(IF((INDEX(Työkonekanta!$F$3:$F$27,MATCH('S3 Tiekartta'!$A422,Työkonekanta!$A$3:$A$24,0),1))&lt;0,0,(INDEX(Työkonekanta!$F$3:$F$27,MATCH('S3 Tiekartta'!$A422,Työkonekanta!$A$3:$A$24,0),1))),0)</f>
        <v>0</v>
      </c>
      <c r="C422" s="140">
        <v>2032</v>
      </c>
      <c r="D422" s="141" t="str">
        <f>IFERROR(INDEX(Työkonekanta!$D$3:$D$27,MATCH('S3 Tiekartta'!$A422,Työkonekanta!$A$3:$A$24,0),1),"undefined")</f>
        <v>undefined</v>
      </c>
      <c r="E422" s="145">
        <f>IFERROR(INDEX(Työkonekanta!$G$3:$G$27,MATCH($A422,Työkonekanta!$A$3:$A$24,0),1)*INDEX(Työkonekanta!$H$3:$H$27,MATCH($A422,Työkonekanta!$A$3:$A$24,0),1)*(1+s0b_kasvu*($C422-2019))*$B422,0)</f>
        <v>0</v>
      </c>
      <c r="F422" s="145">
        <f t="shared" si="151"/>
        <v>0</v>
      </c>
      <c r="G422" s="151">
        <f t="shared" si="160"/>
        <v>0</v>
      </c>
      <c r="H422" s="145">
        <f t="shared" si="161"/>
        <v>0</v>
      </c>
      <c r="I422" s="145">
        <f t="shared" si="152"/>
        <v>0</v>
      </c>
      <c r="J422" s="145">
        <f t="shared" si="153"/>
        <v>0</v>
      </c>
      <c r="K422" s="142" t="str">
        <f t="shared" si="162"/>
        <v>undefined</v>
      </c>
      <c r="L422" s="146">
        <f>IFERROR(INDEX(Työkonekanta!$I$3:$I$27,MATCH('S3 Tiekartta'!$A422,Työkonekanta!$A$3:$A$24,0),1)*(I422+J422)*f_adblue,0)</f>
        <v>0</v>
      </c>
      <c r="M422" s="146">
        <f t="shared" si="171"/>
        <v>0</v>
      </c>
      <c r="N422" s="143" t="str">
        <f>IF(tuulisähkö_vuosi&lt;='S3 Tiekartta'!C422,"tuulisähkö",ostosähkö_nyt)</f>
        <v>jäännössähkö</v>
      </c>
      <c r="O422" s="147">
        <f>INDEX(Muuttujat!$J$5:$J$21,MATCH($C422,Muuttujat!$H$5:$H$21,0),1)</f>
        <v>60.765893284281319</v>
      </c>
      <c r="P422" s="148">
        <f t="shared" si="163"/>
        <v>0.58525537035510999</v>
      </c>
      <c r="Q422" s="148">
        <f t="shared" si="164"/>
        <v>0.41474462964489001</v>
      </c>
      <c r="R422" s="148">
        <f t="shared" si="165"/>
        <v>0.41474462964489001</v>
      </c>
      <c r="S422" s="149">
        <f t="shared" si="154"/>
        <v>0</v>
      </c>
      <c r="T422" s="150">
        <f t="shared" si="155"/>
        <v>0</v>
      </c>
      <c r="U422" s="150">
        <f t="shared" si="156"/>
        <v>0</v>
      </c>
      <c r="V422" s="150">
        <f>IFERROR(INDEX(Työkonekanta!$J$3:$J$27,MATCH($A422,Työkonekanta!$A$3:$A$24,0),1)*$B422*ef_li_ion_akku/1000/1000/INDEX(Työkonekanta!$K$3:$K$27,MATCH($A422,Työkonekanta!$A$3:$A$24,0)),0)</f>
        <v>0</v>
      </c>
      <c r="W422" s="149">
        <f t="shared" si="172"/>
        <v>0</v>
      </c>
      <c r="X422" s="150">
        <f t="shared" si="173"/>
        <v>0</v>
      </c>
      <c r="Y422" s="151">
        <f t="shared" si="174"/>
        <v>0</v>
      </c>
      <c r="Z422" s="152">
        <f t="shared" si="166"/>
        <v>0</v>
      </c>
      <c r="AA422" s="179">
        <f t="shared" si="167"/>
        <v>0</v>
      </c>
      <c r="AB422" s="179">
        <f t="shared" si="168"/>
        <v>0</v>
      </c>
      <c r="AC422" s="180">
        <f t="shared" si="175"/>
        <v>0</v>
      </c>
      <c r="AD422" s="156">
        <f t="shared" si="169"/>
        <v>0</v>
      </c>
      <c r="AE422" s="146">
        <f>IFERROR(INDEX(Työkonekanta!$L$3:$L$30,MATCH($A422,Työkonekanta!$A$3:$A$30,0),1),0)*AF422</f>
        <v>0</v>
      </c>
      <c r="AF422" s="146">
        <f>IFERROR(INDEX(Työkonekanta!$N$3:$N$32,MATCH($A422,Työkonekanta!$A$3:$A$32,0),1),0)</f>
        <v>0</v>
      </c>
      <c r="AG422" s="332">
        <f>I422*INDEX(Muuttujat!$U$5:$U$21,MATCH($C422,Muuttujat!$N$5:$N$21,0),1)</f>
        <v>0</v>
      </c>
      <c r="AH422" s="332">
        <f>J422*INDEX(Muuttujat!$T$5:$T$21,MATCH($C422,Muuttujat!$N$5:$N$21,0),1)</f>
        <v>0</v>
      </c>
      <c r="AI422" s="332">
        <f t="shared" si="157"/>
        <v>0</v>
      </c>
      <c r="AJ422" s="332">
        <f t="shared" si="158"/>
        <v>0</v>
      </c>
      <c r="AK422" s="333">
        <f t="shared" si="170"/>
        <v>0</v>
      </c>
      <c r="AL422" s="332">
        <f t="shared" si="159"/>
        <v>0</v>
      </c>
      <c r="AM422" s="351"/>
      <c r="AN422" s="351"/>
    </row>
    <row r="423" spans="1:40">
      <c r="A423" s="139">
        <v>1</v>
      </c>
      <c r="B423" s="139">
        <f>IFERROR(IF((INDEX(Työkonekanta!$F$3:$F$27,MATCH('S3 Tiekartta'!$A423,Työkonekanta!$A$3:$A$24,0),1))&lt;0,0,(INDEX(Työkonekanta!$F$3:$F$27,MATCH('S3 Tiekartta'!$A423,Työkonekanta!$A$3:$A$24,0),1))),0)</f>
        <v>1</v>
      </c>
      <c r="C423" s="140">
        <v>2033</v>
      </c>
      <c r="D423" s="141" t="str">
        <f>IFERROR(INDEX(Työkonekanta!$D$3:$D$27,MATCH('S3 Tiekartta'!$A423,Työkonekanta!$A$3:$A$24,0),1),"undefined")</f>
        <v>pom</v>
      </c>
      <c r="E423" s="145">
        <f>IFERROR(INDEX(Työkonekanta!$G$3:$G$27,MATCH($A423,Työkonekanta!$A$3:$A$24,0),1)*INDEX(Työkonekanta!$H$3:$H$27,MATCH($A423,Työkonekanta!$A$3:$A$24,0),1)*(1+s0b_kasvu*($C423-2019))*$B423,0)</f>
        <v>11400.000000000002</v>
      </c>
      <c r="F423" s="145">
        <f t="shared" si="151"/>
        <v>409260.00000000006</v>
      </c>
      <c r="G423" s="151">
        <f t="shared" si="160"/>
        <v>190297.4806042767</v>
      </c>
      <c r="H423" s="145">
        <f t="shared" si="161"/>
        <v>218962.51939572336</v>
      </c>
      <c r="I423" s="145">
        <f t="shared" si="152"/>
        <v>5300.7654764422477</v>
      </c>
      <c r="J423" s="145">
        <f t="shared" si="153"/>
        <v>6383.7469211581156</v>
      </c>
      <c r="K423" s="142" t="str">
        <f t="shared" si="162"/>
        <v>l</v>
      </c>
      <c r="L423" s="146">
        <f>IFERROR(INDEX(Työkonekanta!$I$3:$I$27,MATCH('S3 Tiekartta'!$A423,Työkonekanta!$A$3:$A$24,0),1)*(I423+J423)*f_adblue,0)</f>
        <v>584.22561988001814</v>
      </c>
      <c r="M423" s="146">
        <f t="shared" si="171"/>
        <v>0</v>
      </c>
      <c r="N423" s="143" t="str">
        <f>IF(tuulisähkö_vuosi&lt;='S3 Tiekartta'!C423,"tuulisähkö",ostosähkö_nyt)</f>
        <v>jäännössähkö</v>
      </c>
      <c r="O423" s="147">
        <f>INDEX(Muuttujat!$J$5:$J$21,MATCH($C423,Muuttujat!$H$5:$H$21,0),1)</f>
        <v>60.158234351438509</v>
      </c>
      <c r="P423" s="148">
        <f t="shared" si="163"/>
        <v>0.46497942775809187</v>
      </c>
      <c r="Q423" s="148">
        <f t="shared" si="164"/>
        <v>0.53502057224190813</v>
      </c>
      <c r="R423" s="148">
        <f t="shared" si="165"/>
        <v>0.53502057224190813</v>
      </c>
      <c r="S423" s="149">
        <f t="shared" si="154"/>
        <v>3.5966223834208289</v>
      </c>
      <c r="T423" s="150">
        <f t="shared" si="155"/>
        <v>13.663261210293136</v>
      </c>
      <c r="U423" s="150">
        <f t="shared" si="156"/>
        <v>0</v>
      </c>
      <c r="V423" s="150">
        <f>IFERROR(INDEX(Työkonekanta!$J$3:$J$27,MATCH($A423,Työkonekanta!$A$3:$A$24,0),1)*$B423*ef_li_ion_akku/1000/1000/INDEX(Työkonekanta!$K$3:$K$27,MATCH($A423,Työkonekanta!$A$3:$A$24,0)),0)</f>
        <v>0</v>
      </c>
      <c r="W423" s="149">
        <f t="shared" si="172"/>
        <v>14.045524837008182</v>
      </c>
      <c r="X423" s="150">
        <f t="shared" si="173"/>
        <v>0.36223005240000006</v>
      </c>
      <c r="Y423" s="151">
        <f t="shared" si="174"/>
        <v>0.15189866116880471</v>
      </c>
      <c r="Z423" s="152">
        <f t="shared" si="166"/>
        <v>17.259883593713965</v>
      </c>
      <c r="AA423" s="179">
        <f t="shared" si="167"/>
        <v>14.197423498176986</v>
      </c>
      <c r="AB423" s="179">
        <f t="shared" si="168"/>
        <v>14.559653550576986</v>
      </c>
      <c r="AC423" s="180">
        <f t="shared" si="175"/>
        <v>31.457307091890954</v>
      </c>
      <c r="AD423" s="156">
        <f t="shared" si="169"/>
        <v>31.819537144290951</v>
      </c>
      <c r="AE423" s="146">
        <f>IFERROR(INDEX(Työkonekanta!$L$3:$L$30,MATCH($A423,Työkonekanta!$A$3:$A$30,0),1),0)*AF423</f>
        <v>500000</v>
      </c>
      <c r="AF423" s="146">
        <f>IFERROR(INDEX(Työkonekanta!$N$3:$N$32,MATCH($A423,Työkonekanta!$A$3:$A$32,0),1),0)</f>
        <v>1</v>
      </c>
      <c r="AG423" s="332">
        <f>I423*INDEX(Muuttujat!$U$5:$U$21,MATCH($C423,Muuttujat!$N$5:$N$21,0),1)</f>
        <v>5565.8037502643601</v>
      </c>
      <c r="AH423" s="332">
        <f>J423*INDEX(Muuttujat!$T$5:$T$21,MATCH($C423,Muuttujat!$N$5:$N$21,0),1)</f>
        <v>9256.4330356792689</v>
      </c>
      <c r="AI423" s="332">
        <f t="shared" si="157"/>
        <v>292.11280994000907</v>
      </c>
      <c r="AJ423" s="332">
        <f t="shared" si="158"/>
        <v>0</v>
      </c>
      <c r="AK423" s="333">
        <f t="shared" si="170"/>
        <v>15114.349595883637</v>
      </c>
      <c r="AL423" s="332">
        <f t="shared" si="159"/>
        <v>15114.349595883637</v>
      </c>
      <c r="AM423" s="351"/>
      <c r="AN423" s="351"/>
    </row>
    <row r="424" spans="1:40">
      <c r="A424" s="139">
        <v>2</v>
      </c>
      <c r="B424" s="139">
        <f>IFERROR(IF((INDEX(Työkonekanta!$F$3:$F$27,MATCH('S3 Tiekartta'!$A424,Työkonekanta!$A$3:$A$24,0),1))&lt;0,0,(INDEX(Työkonekanta!$F$3:$F$27,MATCH('S3 Tiekartta'!$A424,Työkonekanta!$A$3:$A$24,0),1))),0)</f>
        <v>1</v>
      </c>
      <c r="C424" s="140">
        <v>2033</v>
      </c>
      <c r="D424" s="141" t="str">
        <f>IFERROR(INDEX(Työkonekanta!$D$3:$D$27,MATCH('S3 Tiekartta'!$A424,Työkonekanta!$A$3:$A$24,0),1),"undefined")</f>
        <v>pom</v>
      </c>
      <c r="E424" s="145">
        <f>IFERROR(INDEX(Työkonekanta!$G$3:$G$27,MATCH($A424,Työkonekanta!$A$3:$A$24,0),1)*INDEX(Työkonekanta!$H$3:$H$27,MATCH($A424,Työkonekanta!$A$3:$A$24,0),1)*(1+s0b_kasvu*($C424-2019))*$B424,0)</f>
        <v>11400.000000000002</v>
      </c>
      <c r="F424" s="145">
        <f t="shared" si="151"/>
        <v>409260.00000000006</v>
      </c>
      <c r="G424" s="151">
        <f t="shared" si="160"/>
        <v>190297.4806042767</v>
      </c>
      <c r="H424" s="145">
        <f t="shared" si="161"/>
        <v>218962.51939572336</v>
      </c>
      <c r="I424" s="145">
        <f t="shared" si="152"/>
        <v>5300.7654764422477</v>
      </c>
      <c r="J424" s="145">
        <f t="shared" si="153"/>
        <v>6383.7469211581156</v>
      </c>
      <c r="K424" s="142" t="str">
        <f t="shared" si="162"/>
        <v>l</v>
      </c>
      <c r="L424" s="146">
        <f>IFERROR(INDEX(Työkonekanta!$I$3:$I$27,MATCH('S3 Tiekartta'!$A424,Työkonekanta!$A$3:$A$24,0),1)*(I424+J424)*f_adblue,0)</f>
        <v>584.22561988001814</v>
      </c>
      <c r="M424" s="146">
        <f t="shared" si="171"/>
        <v>0</v>
      </c>
      <c r="N424" s="143" t="str">
        <f>IF(tuulisähkö_vuosi&lt;='S3 Tiekartta'!C424,"tuulisähkö",ostosähkö_nyt)</f>
        <v>jäännössähkö</v>
      </c>
      <c r="O424" s="147">
        <f>INDEX(Muuttujat!$J$5:$J$21,MATCH($C424,Muuttujat!$H$5:$H$21,0),1)</f>
        <v>60.158234351438509</v>
      </c>
      <c r="P424" s="148">
        <f t="shared" si="163"/>
        <v>0.46497942775809187</v>
      </c>
      <c r="Q424" s="148">
        <f t="shared" si="164"/>
        <v>0.53502057224190813</v>
      </c>
      <c r="R424" s="148">
        <f t="shared" si="165"/>
        <v>0.53502057224190813</v>
      </c>
      <c r="S424" s="149">
        <f t="shared" si="154"/>
        <v>3.5966223834208289</v>
      </c>
      <c r="T424" s="150">
        <f t="shared" si="155"/>
        <v>13.663261210293136</v>
      </c>
      <c r="U424" s="150">
        <f t="shared" si="156"/>
        <v>0</v>
      </c>
      <c r="V424" s="150">
        <f>IFERROR(INDEX(Työkonekanta!$J$3:$J$27,MATCH($A424,Työkonekanta!$A$3:$A$24,0),1)*$B424*ef_li_ion_akku/1000/1000/INDEX(Työkonekanta!$K$3:$K$27,MATCH($A424,Työkonekanta!$A$3:$A$24,0)),0)</f>
        <v>0</v>
      </c>
      <c r="W424" s="149">
        <f t="shared" si="172"/>
        <v>14.045524837008182</v>
      </c>
      <c r="X424" s="150">
        <f t="shared" si="173"/>
        <v>0.36223005240000006</v>
      </c>
      <c r="Y424" s="151">
        <f t="shared" si="174"/>
        <v>0.15189866116880471</v>
      </c>
      <c r="Z424" s="152">
        <f t="shared" si="166"/>
        <v>17.259883593713965</v>
      </c>
      <c r="AA424" s="179">
        <f t="shared" si="167"/>
        <v>14.197423498176986</v>
      </c>
      <c r="AB424" s="179">
        <f t="shared" si="168"/>
        <v>14.559653550576986</v>
      </c>
      <c r="AC424" s="180">
        <f t="shared" si="175"/>
        <v>31.457307091890954</v>
      </c>
      <c r="AD424" s="156">
        <f t="shared" si="169"/>
        <v>31.819537144290951</v>
      </c>
      <c r="AE424" s="146">
        <f>IFERROR(INDEX(Työkonekanta!$L$3:$L$30,MATCH($A424,Työkonekanta!$A$3:$A$30,0),1),0)*AF424</f>
        <v>500000</v>
      </c>
      <c r="AF424" s="146">
        <f>IFERROR(INDEX(Työkonekanta!$N$3:$N$32,MATCH($A424,Työkonekanta!$A$3:$A$32,0),1),0)</f>
        <v>1</v>
      </c>
      <c r="AG424" s="332">
        <f>I424*INDEX(Muuttujat!$U$5:$U$21,MATCH($C424,Muuttujat!$N$5:$N$21,0),1)</f>
        <v>5565.8037502643601</v>
      </c>
      <c r="AH424" s="332">
        <f>J424*INDEX(Muuttujat!$T$5:$T$21,MATCH($C424,Muuttujat!$N$5:$N$21,0),1)</f>
        <v>9256.4330356792689</v>
      </c>
      <c r="AI424" s="332">
        <f t="shared" si="157"/>
        <v>292.11280994000907</v>
      </c>
      <c r="AJ424" s="332">
        <f t="shared" si="158"/>
        <v>0</v>
      </c>
      <c r="AK424" s="333">
        <f t="shared" si="170"/>
        <v>15114.349595883637</v>
      </c>
      <c r="AL424" s="332">
        <f t="shared" si="159"/>
        <v>15114.349595883637</v>
      </c>
      <c r="AM424" s="351"/>
      <c r="AN424" s="351"/>
    </row>
    <row r="425" spans="1:40">
      <c r="A425" s="139">
        <v>3</v>
      </c>
      <c r="B425" s="139">
        <f>IFERROR(IF((INDEX(Työkonekanta!$F$3:$F$27,MATCH('S3 Tiekartta'!$A425,Työkonekanta!$A$3:$A$24,0),1))&lt;0,0,(INDEX(Työkonekanta!$F$3:$F$27,MATCH('S3 Tiekartta'!$A425,Työkonekanta!$A$3:$A$24,0),1))),0)</f>
        <v>1</v>
      </c>
      <c r="C425" s="140">
        <v>2033</v>
      </c>
      <c r="D425" s="141" t="str">
        <f>IFERROR(INDEX(Työkonekanta!$D$3:$D$27,MATCH('S3 Tiekartta'!$A425,Työkonekanta!$A$3:$A$24,0),1),"undefined")</f>
        <v>pom</v>
      </c>
      <c r="E425" s="145">
        <f>IFERROR(INDEX(Työkonekanta!$G$3:$G$27,MATCH($A425,Työkonekanta!$A$3:$A$24,0),1)*INDEX(Työkonekanta!$H$3:$H$27,MATCH($A425,Työkonekanta!$A$3:$A$24,0),1)*(1+s0b_kasvu*($C425-2019))*$B425,0)</f>
        <v>11400.000000000002</v>
      </c>
      <c r="F425" s="145">
        <f t="shared" si="151"/>
        <v>409260.00000000006</v>
      </c>
      <c r="G425" s="151">
        <f t="shared" si="160"/>
        <v>190297.4806042767</v>
      </c>
      <c r="H425" s="145">
        <f t="shared" si="161"/>
        <v>218962.51939572336</v>
      </c>
      <c r="I425" s="145">
        <f t="shared" si="152"/>
        <v>5300.7654764422477</v>
      </c>
      <c r="J425" s="145">
        <f t="shared" si="153"/>
        <v>6383.7469211581156</v>
      </c>
      <c r="K425" s="142" t="str">
        <f t="shared" si="162"/>
        <v>l</v>
      </c>
      <c r="L425" s="146">
        <f>IFERROR(INDEX(Työkonekanta!$I$3:$I$27,MATCH('S3 Tiekartta'!$A425,Työkonekanta!$A$3:$A$24,0),1)*(I425+J425)*f_adblue,0)</f>
        <v>584.22561988001814</v>
      </c>
      <c r="M425" s="146">
        <f t="shared" si="171"/>
        <v>0</v>
      </c>
      <c r="N425" s="143" t="str">
        <f>IF(tuulisähkö_vuosi&lt;='S3 Tiekartta'!C425,"tuulisähkö",ostosähkö_nyt)</f>
        <v>jäännössähkö</v>
      </c>
      <c r="O425" s="147">
        <f>INDEX(Muuttujat!$J$5:$J$21,MATCH($C425,Muuttujat!$H$5:$H$21,0),1)</f>
        <v>60.158234351438509</v>
      </c>
      <c r="P425" s="148">
        <f t="shared" si="163"/>
        <v>0.46497942775809187</v>
      </c>
      <c r="Q425" s="148">
        <f t="shared" si="164"/>
        <v>0.53502057224190813</v>
      </c>
      <c r="R425" s="148">
        <f t="shared" si="165"/>
        <v>0.53502057224190813</v>
      </c>
      <c r="S425" s="149">
        <f t="shared" si="154"/>
        <v>3.5966223834208289</v>
      </c>
      <c r="T425" s="150">
        <f t="shared" si="155"/>
        <v>13.663261210293136</v>
      </c>
      <c r="U425" s="150">
        <f t="shared" si="156"/>
        <v>0</v>
      </c>
      <c r="V425" s="150">
        <f>IFERROR(INDEX(Työkonekanta!$J$3:$J$27,MATCH($A425,Työkonekanta!$A$3:$A$24,0),1)*$B425*ef_li_ion_akku/1000/1000/INDEX(Työkonekanta!$K$3:$K$27,MATCH($A425,Työkonekanta!$A$3:$A$24,0)),0)</f>
        <v>0</v>
      </c>
      <c r="W425" s="149">
        <f t="shared" si="172"/>
        <v>14.045524837008182</v>
      </c>
      <c r="X425" s="150">
        <f t="shared" si="173"/>
        <v>0.36223005240000006</v>
      </c>
      <c r="Y425" s="151">
        <f t="shared" si="174"/>
        <v>0.15189866116880471</v>
      </c>
      <c r="Z425" s="152">
        <f t="shared" si="166"/>
        <v>17.259883593713965</v>
      </c>
      <c r="AA425" s="179">
        <f t="shared" si="167"/>
        <v>14.197423498176986</v>
      </c>
      <c r="AB425" s="179">
        <f t="shared" si="168"/>
        <v>14.559653550576986</v>
      </c>
      <c r="AC425" s="180">
        <f t="shared" si="175"/>
        <v>31.457307091890954</v>
      </c>
      <c r="AD425" s="156">
        <f t="shared" si="169"/>
        <v>31.819537144290951</v>
      </c>
      <c r="AE425" s="146">
        <f>IFERROR(INDEX(Työkonekanta!$L$3:$L$30,MATCH($A425,Työkonekanta!$A$3:$A$30,0),1),0)*AF425</f>
        <v>0</v>
      </c>
      <c r="AF425" s="146">
        <f>IFERROR(INDEX(Työkonekanta!$N$3:$N$32,MATCH($A425,Työkonekanta!$A$3:$A$32,0),1),0)</f>
        <v>0</v>
      </c>
      <c r="AG425" s="332">
        <f>I425*INDEX(Muuttujat!$U$5:$U$21,MATCH($C425,Muuttujat!$N$5:$N$21,0),1)</f>
        <v>5565.8037502643601</v>
      </c>
      <c r="AH425" s="332">
        <f>J425*INDEX(Muuttujat!$T$5:$T$21,MATCH($C425,Muuttujat!$N$5:$N$21,0),1)</f>
        <v>9256.4330356792689</v>
      </c>
      <c r="AI425" s="332">
        <f t="shared" si="157"/>
        <v>292.11280994000907</v>
      </c>
      <c r="AJ425" s="332">
        <f t="shared" si="158"/>
        <v>0</v>
      </c>
      <c r="AK425" s="333">
        <f t="shared" si="170"/>
        <v>15114.349595883637</v>
      </c>
      <c r="AL425" s="332">
        <f t="shared" si="159"/>
        <v>15114.349595883637</v>
      </c>
      <c r="AM425" s="351"/>
      <c r="AN425" s="351"/>
    </row>
    <row r="426" spans="1:40">
      <c r="A426" s="139">
        <v>4</v>
      </c>
      <c r="B426" s="139">
        <f>IFERROR(IF((INDEX(Työkonekanta!$F$3:$F$27,MATCH('S3 Tiekartta'!$A426,Työkonekanta!$A$3:$A$24,0),1))&lt;0,0,(INDEX(Työkonekanta!$F$3:$F$27,MATCH('S3 Tiekartta'!$A426,Työkonekanta!$A$3:$A$24,0),1))),0)</f>
        <v>1</v>
      </c>
      <c r="C426" s="140">
        <v>2033</v>
      </c>
      <c r="D426" s="141" t="str">
        <f>IFERROR(INDEX(Työkonekanta!$D$3:$D$27,MATCH('S3 Tiekartta'!$A426,Työkonekanta!$A$3:$A$24,0),1),"undefined")</f>
        <v>pom</v>
      </c>
      <c r="E426" s="145">
        <f>IFERROR(INDEX(Työkonekanta!$G$3:$G$27,MATCH($A426,Työkonekanta!$A$3:$A$24,0),1)*INDEX(Työkonekanta!$H$3:$H$27,MATCH($A426,Työkonekanta!$A$3:$A$24,0),1)*(1+s0b_kasvu*($C426-2019))*$B426,0)</f>
        <v>11400.000000000002</v>
      </c>
      <c r="F426" s="145">
        <f t="shared" si="151"/>
        <v>409260.00000000006</v>
      </c>
      <c r="G426" s="151">
        <f t="shared" si="160"/>
        <v>190297.4806042767</v>
      </c>
      <c r="H426" s="145">
        <f t="shared" si="161"/>
        <v>218962.51939572336</v>
      </c>
      <c r="I426" s="145">
        <f t="shared" si="152"/>
        <v>5300.7654764422477</v>
      </c>
      <c r="J426" s="145">
        <f t="shared" si="153"/>
        <v>6383.7469211581156</v>
      </c>
      <c r="K426" s="142" t="str">
        <f t="shared" si="162"/>
        <v>l</v>
      </c>
      <c r="L426" s="146">
        <f>IFERROR(INDEX(Työkonekanta!$I$3:$I$27,MATCH('S3 Tiekartta'!$A426,Työkonekanta!$A$3:$A$24,0),1)*(I426+J426)*f_adblue,0)</f>
        <v>584.22561988001814</v>
      </c>
      <c r="M426" s="146">
        <f t="shared" si="171"/>
        <v>0</v>
      </c>
      <c r="N426" s="143" t="str">
        <f>IF(tuulisähkö_vuosi&lt;='S3 Tiekartta'!C426,"tuulisähkö",ostosähkö_nyt)</f>
        <v>jäännössähkö</v>
      </c>
      <c r="O426" s="147">
        <f>INDEX(Muuttujat!$J$5:$J$21,MATCH($C426,Muuttujat!$H$5:$H$21,0),1)</f>
        <v>60.158234351438509</v>
      </c>
      <c r="P426" s="148">
        <f t="shared" si="163"/>
        <v>0.46497942775809187</v>
      </c>
      <c r="Q426" s="148">
        <f t="shared" si="164"/>
        <v>0.53502057224190813</v>
      </c>
      <c r="R426" s="148">
        <f t="shared" si="165"/>
        <v>0.53502057224190813</v>
      </c>
      <c r="S426" s="149">
        <f t="shared" si="154"/>
        <v>3.5966223834208289</v>
      </c>
      <c r="T426" s="150">
        <f t="shared" si="155"/>
        <v>13.663261210293136</v>
      </c>
      <c r="U426" s="150">
        <f t="shared" si="156"/>
        <v>0</v>
      </c>
      <c r="V426" s="150">
        <f>IFERROR(INDEX(Työkonekanta!$J$3:$J$27,MATCH($A426,Työkonekanta!$A$3:$A$24,0),1)*$B426*ef_li_ion_akku/1000/1000/INDEX(Työkonekanta!$K$3:$K$27,MATCH($A426,Työkonekanta!$A$3:$A$24,0)),0)</f>
        <v>0</v>
      </c>
      <c r="W426" s="149">
        <f t="shared" si="172"/>
        <v>14.045524837008182</v>
      </c>
      <c r="X426" s="150">
        <f t="shared" si="173"/>
        <v>0.36223005240000006</v>
      </c>
      <c r="Y426" s="151">
        <f t="shared" si="174"/>
        <v>0.15189866116880471</v>
      </c>
      <c r="Z426" s="152">
        <f t="shared" si="166"/>
        <v>17.259883593713965</v>
      </c>
      <c r="AA426" s="179">
        <f t="shared" si="167"/>
        <v>14.197423498176986</v>
      </c>
      <c r="AB426" s="179">
        <f t="shared" si="168"/>
        <v>14.559653550576986</v>
      </c>
      <c r="AC426" s="180">
        <f t="shared" si="175"/>
        <v>31.457307091890954</v>
      </c>
      <c r="AD426" s="156">
        <f t="shared" si="169"/>
        <v>31.819537144290951</v>
      </c>
      <c r="AE426" s="146">
        <f>IFERROR(INDEX(Työkonekanta!$L$3:$L$30,MATCH($A426,Työkonekanta!$A$3:$A$30,0),1),0)*AF426</f>
        <v>0</v>
      </c>
      <c r="AF426" s="146">
        <f>IFERROR(INDEX(Työkonekanta!$N$3:$N$32,MATCH($A426,Työkonekanta!$A$3:$A$32,0),1),0)</f>
        <v>0</v>
      </c>
      <c r="AG426" s="332">
        <f>I426*INDEX(Muuttujat!$U$5:$U$21,MATCH($C426,Muuttujat!$N$5:$N$21,0),1)</f>
        <v>5565.8037502643601</v>
      </c>
      <c r="AH426" s="332">
        <f>J426*INDEX(Muuttujat!$T$5:$T$21,MATCH($C426,Muuttujat!$N$5:$N$21,0),1)</f>
        <v>9256.4330356792689</v>
      </c>
      <c r="AI426" s="332">
        <f t="shared" si="157"/>
        <v>292.11280994000907</v>
      </c>
      <c r="AJ426" s="332">
        <f t="shared" si="158"/>
        <v>0</v>
      </c>
      <c r="AK426" s="333">
        <f t="shared" si="170"/>
        <v>15114.349595883637</v>
      </c>
      <c r="AL426" s="332">
        <f t="shared" si="159"/>
        <v>15114.349595883637</v>
      </c>
      <c r="AM426" s="351"/>
      <c r="AN426" s="351"/>
    </row>
    <row r="427" spans="1:40">
      <c r="A427" s="139">
        <v>5</v>
      </c>
      <c r="B427" s="139">
        <f>IFERROR(IF((INDEX(Työkonekanta!$F$3:$F$27,MATCH('S3 Tiekartta'!$A427,Työkonekanta!$A$3:$A$24,0),1))&lt;0,0,(INDEX(Työkonekanta!$F$3:$F$27,MATCH('S3 Tiekartta'!$A427,Työkonekanta!$A$3:$A$24,0),1))),0)</f>
        <v>0</v>
      </c>
      <c r="C427" s="140">
        <v>2033</v>
      </c>
      <c r="D427" s="141" t="str">
        <f>IFERROR(INDEX(Työkonekanta!$D$3:$D$27,MATCH('S3 Tiekartta'!$A427,Työkonekanta!$A$3:$A$24,0),1),"undefined")</f>
        <v>sähkö</v>
      </c>
      <c r="E427" s="145">
        <f>IFERROR(INDEX(Työkonekanta!$G$3:$G$27,MATCH($A427,Työkonekanta!$A$3:$A$24,0),1)*INDEX(Työkonekanta!$H$3:$H$27,MATCH($A427,Työkonekanta!$A$3:$A$24,0),1)*(1+s0b_kasvu*($C427-2019))*$B427,0)</f>
        <v>0</v>
      </c>
      <c r="F427" s="145">
        <f t="shared" si="151"/>
        <v>0</v>
      </c>
      <c r="G427" s="151">
        <f t="shared" si="160"/>
        <v>0</v>
      </c>
      <c r="H427" s="145">
        <f t="shared" si="161"/>
        <v>0</v>
      </c>
      <c r="I427" s="145">
        <f t="shared" si="152"/>
        <v>0</v>
      </c>
      <c r="J427" s="145">
        <f t="shared" si="153"/>
        <v>0</v>
      </c>
      <c r="K427" s="142" t="str">
        <f t="shared" si="162"/>
        <v>kWh</v>
      </c>
      <c r="L427" s="146">
        <f>IFERROR(INDEX(Työkonekanta!$I$3:$I$27,MATCH('S3 Tiekartta'!$A427,Työkonekanta!$A$3:$A$24,0),1)*(I427+J427)*f_adblue,0)</f>
        <v>0</v>
      </c>
      <c r="M427" s="146">
        <f t="shared" si="171"/>
        <v>0</v>
      </c>
      <c r="N427" s="143" t="str">
        <f>IF(tuulisähkö_vuosi&lt;='S3 Tiekartta'!C427,"tuulisähkö",ostosähkö_nyt)</f>
        <v>jäännössähkö</v>
      </c>
      <c r="O427" s="147">
        <f>INDEX(Muuttujat!$J$5:$J$21,MATCH($C427,Muuttujat!$H$5:$H$21,0),1)</f>
        <v>60.158234351438509</v>
      </c>
      <c r="P427" s="148">
        <f t="shared" si="163"/>
        <v>0.46497942775809187</v>
      </c>
      <c r="Q427" s="148">
        <f t="shared" si="164"/>
        <v>0.53502057224190813</v>
      </c>
      <c r="R427" s="148">
        <f t="shared" si="165"/>
        <v>0.53502057224190813</v>
      </c>
      <c r="S427" s="149">
        <f t="shared" si="154"/>
        <v>0</v>
      </c>
      <c r="T427" s="150">
        <f t="shared" si="155"/>
        <v>0</v>
      </c>
      <c r="U427" s="150">
        <f t="shared" si="156"/>
        <v>0</v>
      </c>
      <c r="V427" s="150">
        <f>IFERROR(INDEX(Työkonekanta!$J$3:$J$27,MATCH($A427,Työkonekanta!$A$3:$A$24,0),1)*$B427*ef_li_ion_akku/1000/1000/INDEX(Työkonekanta!$K$3:$K$27,MATCH($A427,Työkonekanta!$A$3:$A$24,0)),0)</f>
        <v>0</v>
      </c>
      <c r="W427" s="149">
        <f t="shared" si="172"/>
        <v>0</v>
      </c>
      <c r="X427" s="150">
        <f t="shared" si="173"/>
        <v>0</v>
      </c>
      <c r="Y427" s="151">
        <f t="shared" si="174"/>
        <v>0</v>
      </c>
      <c r="Z427" s="152">
        <f t="shared" si="166"/>
        <v>0</v>
      </c>
      <c r="AA427" s="179">
        <f t="shared" si="167"/>
        <v>0</v>
      </c>
      <c r="AB427" s="179">
        <f t="shared" si="168"/>
        <v>0</v>
      </c>
      <c r="AC427" s="180">
        <f t="shared" si="175"/>
        <v>0</v>
      </c>
      <c r="AD427" s="156">
        <f t="shared" si="169"/>
        <v>0</v>
      </c>
      <c r="AE427" s="146">
        <f>IFERROR(INDEX(Työkonekanta!$L$3:$L$30,MATCH($A427,Työkonekanta!$A$3:$A$30,0),1),0)*AF427</f>
        <v>0</v>
      </c>
      <c r="AF427" s="146">
        <f>IFERROR(INDEX(Työkonekanta!$N$3:$N$32,MATCH($A427,Työkonekanta!$A$3:$A$32,0),1),0)</f>
        <v>0</v>
      </c>
      <c r="AG427" s="332">
        <f>I427*INDEX(Muuttujat!$U$5:$U$21,MATCH($C427,Muuttujat!$N$5:$N$21,0),1)</f>
        <v>0</v>
      </c>
      <c r="AH427" s="332">
        <f>J427*INDEX(Muuttujat!$T$5:$T$21,MATCH($C427,Muuttujat!$N$5:$N$21,0),1)</f>
        <v>0</v>
      </c>
      <c r="AI427" s="332">
        <f t="shared" si="157"/>
        <v>0</v>
      </c>
      <c r="AJ427" s="332">
        <f t="shared" si="158"/>
        <v>0</v>
      </c>
      <c r="AK427" s="333">
        <f t="shared" si="170"/>
        <v>0</v>
      </c>
      <c r="AL427" s="332">
        <f t="shared" si="159"/>
        <v>0</v>
      </c>
      <c r="AM427" s="351"/>
      <c r="AN427" s="351"/>
    </row>
    <row r="428" spans="1:40">
      <c r="A428" s="139">
        <v>6</v>
      </c>
      <c r="B428" s="139">
        <f>IFERROR(IF((INDEX(Työkonekanta!$F$3:$F$27,MATCH('S3 Tiekartta'!$A428,Työkonekanta!$A$3:$A$24,0),1))&lt;0,0,(INDEX(Työkonekanta!$F$3:$F$27,MATCH('S3 Tiekartta'!$A428,Työkonekanta!$A$3:$A$24,0),1))),0)</f>
        <v>0</v>
      </c>
      <c r="C428" s="140">
        <v>2033</v>
      </c>
      <c r="D428" s="141" t="str">
        <f>IFERROR(INDEX(Työkonekanta!$D$3:$D$27,MATCH('S3 Tiekartta'!$A428,Työkonekanta!$A$3:$A$24,0),1),"undefined")</f>
        <v>sähkö</v>
      </c>
      <c r="E428" s="145">
        <f>IFERROR(INDEX(Työkonekanta!$G$3:$G$27,MATCH($A428,Työkonekanta!$A$3:$A$24,0),1)*INDEX(Työkonekanta!$H$3:$H$27,MATCH($A428,Työkonekanta!$A$3:$A$24,0),1)*(1+s0b_kasvu*($C428-2019))*$B428,0)</f>
        <v>0</v>
      </c>
      <c r="F428" s="145">
        <f t="shared" si="151"/>
        <v>0</v>
      </c>
      <c r="G428" s="151">
        <f t="shared" si="160"/>
        <v>0</v>
      </c>
      <c r="H428" s="145">
        <f t="shared" si="161"/>
        <v>0</v>
      </c>
      <c r="I428" s="145">
        <f t="shared" si="152"/>
        <v>0</v>
      </c>
      <c r="J428" s="145">
        <f t="shared" si="153"/>
        <v>0</v>
      </c>
      <c r="K428" s="142" t="str">
        <f t="shared" si="162"/>
        <v>kWh</v>
      </c>
      <c r="L428" s="146">
        <f>IFERROR(INDEX(Työkonekanta!$I$3:$I$27,MATCH('S3 Tiekartta'!$A428,Työkonekanta!$A$3:$A$24,0),1)*(I428+J428)*f_adblue,0)</f>
        <v>0</v>
      </c>
      <c r="M428" s="146">
        <f t="shared" si="171"/>
        <v>0</v>
      </c>
      <c r="N428" s="143" t="str">
        <f>IF(tuulisähkö_vuosi&lt;='S3 Tiekartta'!C428,"tuulisähkö",ostosähkö_nyt)</f>
        <v>jäännössähkö</v>
      </c>
      <c r="O428" s="147">
        <f>INDEX(Muuttujat!$J$5:$J$21,MATCH($C428,Muuttujat!$H$5:$H$21,0),1)</f>
        <v>60.158234351438509</v>
      </c>
      <c r="P428" s="148">
        <f t="shared" si="163"/>
        <v>0.46497942775809187</v>
      </c>
      <c r="Q428" s="148">
        <f t="shared" si="164"/>
        <v>0.53502057224190813</v>
      </c>
      <c r="R428" s="148">
        <f t="shared" si="165"/>
        <v>0.53502057224190813</v>
      </c>
      <c r="S428" s="149">
        <f t="shared" si="154"/>
        <v>0</v>
      </c>
      <c r="T428" s="150">
        <f t="shared" si="155"/>
        <v>0</v>
      </c>
      <c r="U428" s="150">
        <f t="shared" si="156"/>
        <v>0</v>
      </c>
      <c r="V428" s="150">
        <f>IFERROR(INDEX(Työkonekanta!$J$3:$J$27,MATCH($A428,Työkonekanta!$A$3:$A$24,0),1)*$B428*ef_li_ion_akku/1000/1000/INDEX(Työkonekanta!$K$3:$K$27,MATCH($A428,Työkonekanta!$A$3:$A$24,0)),0)</f>
        <v>0</v>
      </c>
      <c r="W428" s="149">
        <f t="shared" si="172"/>
        <v>0</v>
      </c>
      <c r="X428" s="150">
        <f t="shared" si="173"/>
        <v>0</v>
      </c>
      <c r="Y428" s="151">
        <f t="shared" si="174"/>
        <v>0</v>
      </c>
      <c r="Z428" s="152">
        <f t="shared" si="166"/>
        <v>0</v>
      </c>
      <c r="AA428" s="179">
        <f t="shared" si="167"/>
        <v>0</v>
      </c>
      <c r="AB428" s="179">
        <f t="shared" si="168"/>
        <v>0</v>
      </c>
      <c r="AC428" s="180">
        <f t="shared" si="175"/>
        <v>0</v>
      </c>
      <c r="AD428" s="156">
        <f t="shared" si="169"/>
        <v>0</v>
      </c>
      <c r="AE428" s="146">
        <f>IFERROR(INDEX(Työkonekanta!$L$3:$L$30,MATCH($A428,Työkonekanta!$A$3:$A$30,0),1),0)*AF428</f>
        <v>0</v>
      </c>
      <c r="AF428" s="146">
        <f>IFERROR(INDEX(Työkonekanta!$N$3:$N$32,MATCH($A428,Työkonekanta!$A$3:$A$32,0),1),0)</f>
        <v>0</v>
      </c>
      <c r="AG428" s="332">
        <f>I428*INDEX(Muuttujat!$U$5:$U$21,MATCH($C428,Muuttujat!$N$5:$N$21,0),1)</f>
        <v>0</v>
      </c>
      <c r="AH428" s="332">
        <f>J428*INDEX(Muuttujat!$T$5:$T$21,MATCH($C428,Muuttujat!$N$5:$N$21,0),1)</f>
        <v>0</v>
      </c>
      <c r="AI428" s="332">
        <f t="shared" si="157"/>
        <v>0</v>
      </c>
      <c r="AJ428" s="332">
        <f t="shared" si="158"/>
        <v>0</v>
      </c>
      <c r="AK428" s="333">
        <f t="shared" si="170"/>
        <v>0</v>
      </c>
      <c r="AL428" s="332">
        <f t="shared" si="159"/>
        <v>0</v>
      </c>
      <c r="AM428" s="351"/>
      <c r="AN428" s="351"/>
    </row>
    <row r="429" spans="1:40">
      <c r="A429" s="139">
        <v>7</v>
      </c>
      <c r="B429" s="139">
        <f>IFERROR(IF((INDEX(Työkonekanta!$F$3:$F$27,MATCH('S3 Tiekartta'!$A429,Työkonekanta!$A$3:$A$24,0),1))&lt;0,0,(INDEX(Työkonekanta!$F$3:$F$27,MATCH('S3 Tiekartta'!$A429,Työkonekanta!$A$3:$A$24,0),1))),0)</f>
        <v>1</v>
      </c>
      <c r="C429" s="140">
        <v>2033</v>
      </c>
      <c r="D429" s="141" t="str">
        <f>IFERROR(INDEX(Työkonekanta!$D$3:$D$27,MATCH('S3 Tiekartta'!$A429,Työkonekanta!$A$3:$A$24,0),1),"undefined")</f>
        <v>pom</v>
      </c>
      <c r="E429" s="145">
        <f>IFERROR(INDEX(Työkonekanta!$G$3:$G$27,MATCH($A429,Työkonekanta!$A$3:$A$24,0),1)*INDEX(Työkonekanta!$H$3:$H$27,MATCH($A429,Työkonekanta!$A$3:$A$24,0),1)*(1+s0b_kasvu*($C429-2019))*$B429,0)</f>
        <v>11400.000000000002</v>
      </c>
      <c r="F429" s="145">
        <f t="shared" si="151"/>
        <v>409260.00000000006</v>
      </c>
      <c r="G429" s="151">
        <f t="shared" si="160"/>
        <v>190297.4806042767</v>
      </c>
      <c r="H429" s="145">
        <f t="shared" si="161"/>
        <v>218962.51939572336</v>
      </c>
      <c r="I429" s="145">
        <f t="shared" si="152"/>
        <v>5300.7654764422477</v>
      </c>
      <c r="J429" s="145">
        <f t="shared" si="153"/>
        <v>6383.7469211581156</v>
      </c>
      <c r="K429" s="142" t="str">
        <f t="shared" si="162"/>
        <v>l</v>
      </c>
      <c r="L429" s="146">
        <f>IFERROR(INDEX(Työkonekanta!$I$3:$I$27,MATCH('S3 Tiekartta'!$A429,Työkonekanta!$A$3:$A$24,0),1)*(I429+J429)*f_adblue,0)</f>
        <v>0</v>
      </c>
      <c r="M429" s="146">
        <f t="shared" si="171"/>
        <v>0</v>
      </c>
      <c r="N429" s="143" t="str">
        <f>IF(tuulisähkö_vuosi&lt;='S3 Tiekartta'!C429,"tuulisähkö",ostosähkö_nyt)</f>
        <v>jäännössähkö</v>
      </c>
      <c r="O429" s="147">
        <f>INDEX(Muuttujat!$J$5:$J$21,MATCH($C429,Muuttujat!$H$5:$H$21,0),1)</f>
        <v>60.158234351438509</v>
      </c>
      <c r="P429" s="148">
        <f t="shared" si="163"/>
        <v>0.46497942775809187</v>
      </c>
      <c r="Q429" s="148">
        <f t="shared" si="164"/>
        <v>0.53502057224190813</v>
      </c>
      <c r="R429" s="148">
        <f t="shared" si="165"/>
        <v>0.53502057224190813</v>
      </c>
      <c r="S429" s="149">
        <f t="shared" si="154"/>
        <v>3.5966223834208289</v>
      </c>
      <c r="T429" s="150">
        <f t="shared" si="155"/>
        <v>13.663261210293136</v>
      </c>
      <c r="U429" s="150">
        <f t="shared" si="156"/>
        <v>0</v>
      </c>
      <c r="V429" s="150">
        <f>IFERROR(INDEX(Työkonekanta!$J$3:$J$27,MATCH($A429,Työkonekanta!$A$3:$A$24,0),1)*$B429*ef_li_ion_akku/1000/1000/INDEX(Työkonekanta!$K$3:$K$27,MATCH($A429,Työkonekanta!$A$3:$A$24,0)),0)</f>
        <v>0</v>
      </c>
      <c r="W429" s="149">
        <f t="shared" si="172"/>
        <v>14.045524837008182</v>
      </c>
      <c r="X429" s="150">
        <f t="shared" si="173"/>
        <v>0.36223005240000006</v>
      </c>
      <c r="Y429" s="151">
        <f t="shared" si="174"/>
        <v>0</v>
      </c>
      <c r="Z429" s="152">
        <f t="shared" si="166"/>
        <v>17.259883593713965</v>
      </c>
      <c r="AA429" s="179">
        <f t="shared" si="167"/>
        <v>14.045524837008182</v>
      </c>
      <c r="AB429" s="179">
        <f t="shared" si="168"/>
        <v>14.407754889408181</v>
      </c>
      <c r="AC429" s="180">
        <f t="shared" si="175"/>
        <v>31.305408430722146</v>
      </c>
      <c r="AD429" s="156">
        <f t="shared" si="169"/>
        <v>31.667638483122147</v>
      </c>
      <c r="AE429" s="146">
        <f>IFERROR(INDEX(Työkonekanta!$L$3:$L$30,MATCH($A429,Työkonekanta!$A$3:$A$30,0),1),0)*AF429</f>
        <v>500000</v>
      </c>
      <c r="AF429" s="146">
        <f>IFERROR(INDEX(Työkonekanta!$N$3:$N$32,MATCH($A429,Työkonekanta!$A$3:$A$32,0),1),0)</f>
        <v>1</v>
      </c>
      <c r="AG429" s="332">
        <f>I429*INDEX(Muuttujat!$U$5:$U$21,MATCH($C429,Muuttujat!$N$5:$N$21,0),1)</f>
        <v>5565.8037502643601</v>
      </c>
      <c r="AH429" s="332">
        <f>J429*INDEX(Muuttujat!$T$5:$T$21,MATCH($C429,Muuttujat!$N$5:$N$21,0),1)</f>
        <v>9256.4330356792689</v>
      </c>
      <c r="AI429" s="332">
        <f t="shared" si="157"/>
        <v>0</v>
      </c>
      <c r="AJ429" s="332">
        <f t="shared" si="158"/>
        <v>0</v>
      </c>
      <c r="AK429" s="333">
        <f t="shared" si="170"/>
        <v>14822.236785943629</v>
      </c>
      <c r="AL429" s="332">
        <f t="shared" si="159"/>
        <v>14822.236785943629</v>
      </c>
      <c r="AM429" s="351"/>
      <c r="AN429" s="351"/>
    </row>
    <row r="430" spans="1:40">
      <c r="A430" s="139">
        <v>8</v>
      </c>
      <c r="B430" s="139">
        <f>IFERROR(IF((INDEX(Työkonekanta!$F$3:$F$27,MATCH('S3 Tiekartta'!$A430,Työkonekanta!$A$3:$A$24,0),1))&lt;0,0,(INDEX(Työkonekanta!$F$3:$F$27,MATCH('S3 Tiekartta'!$A430,Työkonekanta!$A$3:$A$24,0),1))),0)</f>
        <v>1</v>
      </c>
      <c r="C430" s="140">
        <v>2033</v>
      </c>
      <c r="D430" s="141" t="str">
        <f>IFERROR(INDEX(Työkonekanta!$D$3:$D$27,MATCH('S3 Tiekartta'!$A430,Työkonekanta!$A$3:$A$24,0),1),"undefined")</f>
        <v>pom</v>
      </c>
      <c r="E430" s="145">
        <f>IFERROR(INDEX(Työkonekanta!$G$3:$G$27,MATCH($A430,Työkonekanta!$A$3:$A$24,0),1)*INDEX(Työkonekanta!$H$3:$H$27,MATCH($A430,Työkonekanta!$A$3:$A$24,0),1)*(1+s0b_kasvu*($C430-2019))*$B430,0)</f>
        <v>11400.000000000002</v>
      </c>
      <c r="F430" s="145">
        <f t="shared" si="151"/>
        <v>409260.00000000006</v>
      </c>
      <c r="G430" s="151">
        <f t="shared" si="160"/>
        <v>190297.4806042767</v>
      </c>
      <c r="H430" s="145">
        <f t="shared" si="161"/>
        <v>218962.51939572336</v>
      </c>
      <c r="I430" s="145">
        <f t="shared" si="152"/>
        <v>5300.7654764422477</v>
      </c>
      <c r="J430" s="145">
        <f t="shared" si="153"/>
        <v>6383.7469211581156</v>
      </c>
      <c r="K430" s="142" t="str">
        <f t="shared" si="162"/>
        <v>l</v>
      </c>
      <c r="L430" s="146">
        <f>IFERROR(INDEX(Työkonekanta!$I$3:$I$27,MATCH('S3 Tiekartta'!$A430,Työkonekanta!$A$3:$A$24,0),1)*(I430+J430)*f_adblue,0)</f>
        <v>584.22561988001814</v>
      </c>
      <c r="M430" s="146">
        <f t="shared" si="171"/>
        <v>0</v>
      </c>
      <c r="N430" s="143" t="str">
        <f>IF(tuulisähkö_vuosi&lt;='S3 Tiekartta'!C430,"tuulisähkö",ostosähkö_nyt)</f>
        <v>jäännössähkö</v>
      </c>
      <c r="O430" s="147">
        <f>INDEX(Muuttujat!$J$5:$J$21,MATCH($C430,Muuttujat!$H$5:$H$21,0),1)</f>
        <v>60.158234351438509</v>
      </c>
      <c r="P430" s="148">
        <f t="shared" si="163"/>
        <v>0.46497942775809187</v>
      </c>
      <c r="Q430" s="148">
        <f t="shared" si="164"/>
        <v>0.53502057224190813</v>
      </c>
      <c r="R430" s="148">
        <f t="shared" si="165"/>
        <v>0.53502057224190813</v>
      </c>
      <c r="S430" s="149">
        <f t="shared" si="154"/>
        <v>3.5966223834208289</v>
      </c>
      <c r="T430" s="150">
        <f t="shared" si="155"/>
        <v>13.663261210293136</v>
      </c>
      <c r="U430" s="150">
        <f t="shared" si="156"/>
        <v>0</v>
      </c>
      <c r="V430" s="150">
        <f>IFERROR(INDEX(Työkonekanta!$J$3:$J$27,MATCH($A430,Työkonekanta!$A$3:$A$24,0),1)*$B430*ef_li_ion_akku/1000/1000/INDEX(Työkonekanta!$K$3:$K$27,MATCH($A430,Työkonekanta!$A$3:$A$24,0)),0)</f>
        <v>0</v>
      </c>
      <c r="W430" s="149">
        <f t="shared" si="172"/>
        <v>14.045524837008182</v>
      </c>
      <c r="X430" s="150">
        <f t="shared" si="173"/>
        <v>0.36223005240000006</v>
      </c>
      <c r="Y430" s="151">
        <f t="shared" si="174"/>
        <v>0.15189866116880471</v>
      </c>
      <c r="Z430" s="152">
        <f t="shared" si="166"/>
        <v>17.259883593713965</v>
      </c>
      <c r="AA430" s="179">
        <f t="shared" si="167"/>
        <v>14.197423498176986</v>
      </c>
      <c r="AB430" s="179">
        <f t="shared" si="168"/>
        <v>14.559653550576986</v>
      </c>
      <c r="AC430" s="180">
        <f t="shared" si="175"/>
        <v>31.457307091890954</v>
      </c>
      <c r="AD430" s="156">
        <f t="shared" si="169"/>
        <v>31.819537144290951</v>
      </c>
      <c r="AE430" s="146">
        <f>IFERROR(INDEX(Työkonekanta!$L$3:$L$30,MATCH($A430,Työkonekanta!$A$3:$A$30,0),1),0)*AF430</f>
        <v>500000</v>
      </c>
      <c r="AF430" s="146">
        <f>IFERROR(INDEX(Työkonekanta!$N$3:$N$32,MATCH($A430,Työkonekanta!$A$3:$A$32,0),1),0)</f>
        <v>1</v>
      </c>
      <c r="AG430" s="332">
        <f>I430*INDEX(Muuttujat!$U$5:$U$21,MATCH($C430,Muuttujat!$N$5:$N$21,0),1)</f>
        <v>5565.8037502643601</v>
      </c>
      <c r="AH430" s="332">
        <f>J430*INDEX(Muuttujat!$T$5:$T$21,MATCH($C430,Muuttujat!$N$5:$N$21,0),1)</f>
        <v>9256.4330356792689</v>
      </c>
      <c r="AI430" s="332">
        <f t="shared" si="157"/>
        <v>292.11280994000907</v>
      </c>
      <c r="AJ430" s="332">
        <f t="shared" si="158"/>
        <v>0</v>
      </c>
      <c r="AK430" s="333">
        <f t="shared" si="170"/>
        <v>15114.349595883637</v>
      </c>
      <c r="AL430" s="332">
        <f t="shared" si="159"/>
        <v>15114.349595883637</v>
      </c>
      <c r="AM430" s="351"/>
      <c r="AN430" s="351"/>
    </row>
    <row r="431" spans="1:40">
      <c r="A431" s="139">
        <v>9</v>
      </c>
      <c r="B431" s="139">
        <f>IFERROR(IF((INDEX(Työkonekanta!$F$3:$F$27,MATCH('S3 Tiekartta'!$A431,Työkonekanta!$A$3:$A$24,0),1))&lt;0,0,(INDEX(Työkonekanta!$F$3:$F$27,MATCH('S3 Tiekartta'!$A431,Työkonekanta!$A$3:$A$24,0),1))),0)</f>
        <v>0</v>
      </c>
      <c r="C431" s="140">
        <v>2033</v>
      </c>
      <c r="D431" s="141" t="str">
        <f>IFERROR(INDEX(Työkonekanta!$D$3:$D$27,MATCH('S3 Tiekartta'!$A431,Työkonekanta!$A$3:$A$24,0),1),"undefined")</f>
        <v>sähkö</v>
      </c>
      <c r="E431" s="145">
        <f>IFERROR(INDEX(Työkonekanta!$G$3:$G$27,MATCH($A431,Työkonekanta!$A$3:$A$24,0),1)*INDEX(Työkonekanta!$H$3:$H$27,MATCH($A431,Työkonekanta!$A$3:$A$24,0),1)*(1+s0b_kasvu*($C431-2019))*$B431,0)</f>
        <v>0</v>
      </c>
      <c r="F431" s="145">
        <f t="shared" si="151"/>
        <v>0</v>
      </c>
      <c r="G431" s="151">
        <f t="shared" si="160"/>
        <v>0</v>
      </c>
      <c r="H431" s="145">
        <f t="shared" si="161"/>
        <v>0</v>
      </c>
      <c r="I431" s="145">
        <f t="shared" si="152"/>
        <v>0</v>
      </c>
      <c r="J431" s="145">
        <f t="shared" si="153"/>
        <v>0</v>
      </c>
      <c r="K431" s="142" t="str">
        <f t="shared" si="162"/>
        <v>kWh</v>
      </c>
      <c r="L431" s="146">
        <f>IFERROR(INDEX(Työkonekanta!$I$3:$I$27,MATCH('S3 Tiekartta'!$A431,Työkonekanta!$A$3:$A$24,0),1)*(I431+J431)*f_adblue,0)</f>
        <v>0</v>
      </c>
      <c r="M431" s="146">
        <f t="shared" si="171"/>
        <v>0</v>
      </c>
      <c r="N431" s="143" t="str">
        <f>IF(tuulisähkö_vuosi&lt;='S3 Tiekartta'!C431,"tuulisähkö",ostosähkö_nyt)</f>
        <v>jäännössähkö</v>
      </c>
      <c r="O431" s="147">
        <f>INDEX(Muuttujat!$J$5:$J$21,MATCH($C431,Muuttujat!$H$5:$H$21,0),1)</f>
        <v>60.158234351438509</v>
      </c>
      <c r="P431" s="148">
        <f t="shared" si="163"/>
        <v>0.46497942775809187</v>
      </c>
      <c r="Q431" s="148">
        <f t="shared" si="164"/>
        <v>0.53502057224190813</v>
      </c>
      <c r="R431" s="148">
        <f t="shared" si="165"/>
        <v>0.53502057224190813</v>
      </c>
      <c r="S431" s="149">
        <f t="shared" si="154"/>
        <v>0</v>
      </c>
      <c r="T431" s="150">
        <f t="shared" si="155"/>
        <v>0</v>
      </c>
      <c r="U431" s="150">
        <f t="shared" si="156"/>
        <v>0</v>
      </c>
      <c r="V431" s="150">
        <f>IFERROR(INDEX(Työkonekanta!$J$3:$J$27,MATCH($A431,Työkonekanta!$A$3:$A$24,0),1)*$B431*ef_li_ion_akku/1000/1000/INDEX(Työkonekanta!$K$3:$K$27,MATCH($A431,Työkonekanta!$A$3:$A$24,0)),0)</f>
        <v>0</v>
      </c>
      <c r="W431" s="149">
        <f t="shared" si="172"/>
        <v>0</v>
      </c>
      <c r="X431" s="150">
        <f t="shared" si="173"/>
        <v>0</v>
      </c>
      <c r="Y431" s="151">
        <f t="shared" si="174"/>
        <v>0</v>
      </c>
      <c r="Z431" s="152">
        <f t="shared" si="166"/>
        <v>0</v>
      </c>
      <c r="AA431" s="179">
        <f t="shared" si="167"/>
        <v>0</v>
      </c>
      <c r="AB431" s="179">
        <f t="shared" si="168"/>
        <v>0</v>
      </c>
      <c r="AC431" s="180">
        <f t="shared" si="175"/>
        <v>0</v>
      </c>
      <c r="AD431" s="156">
        <f t="shared" si="169"/>
        <v>0</v>
      </c>
      <c r="AE431" s="146">
        <f>IFERROR(INDEX(Työkonekanta!$L$3:$L$30,MATCH($A431,Työkonekanta!$A$3:$A$30,0),1),0)*AF431</f>
        <v>0</v>
      </c>
      <c r="AF431" s="146">
        <f>IFERROR(INDEX(Työkonekanta!$N$3:$N$32,MATCH($A431,Työkonekanta!$A$3:$A$32,0),1),0)</f>
        <v>0</v>
      </c>
      <c r="AG431" s="332">
        <f>I431*INDEX(Muuttujat!$U$5:$U$21,MATCH($C431,Muuttujat!$N$5:$N$21,0),1)</f>
        <v>0</v>
      </c>
      <c r="AH431" s="332">
        <f>J431*INDEX(Muuttujat!$T$5:$T$21,MATCH($C431,Muuttujat!$N$5:$N$21,0),1)</f>
        <v>0</v>
      </c>
      <c r="AI431" s="332">
        <f t="shared" si="157"/>
        <v>0</v>
      </c>
      <c r="AJ431" s="332">
        <f t="shared" si="158"/>
        <v>0</v>
      </c>
      <c r="AK431" s="333">
        <f t="shared" si="170"/>
        <v>0</v>
      </c>
      <c r="AL431" s="332">
        <f t="shared" si="159"/>
        <v>0</v>
      </c>
      <c r="AM431" s="351"/>
      <c r="AN431" s="351"/>
    </row>
    <row r="432" spans="1:40">
      <c r="A432" s="139">
        <v>10</v>
      </c>
      <c r="B432" s="139">
        <f>IFERROR(IF((INDEX(Työkonekanta!$F$3:$F$27,MATCH('S3 Tiekartta'!$A432,Työkonekanta!$A$3:$A$24,0),1))&lt;0,0,(INDEX(Työkonekanta!$F$3:$F$27,MATCH('S3 Tiekartta'!$A432,Työkonekanta!$A$3:$A$24,0),1))),0)</f>
        <v>0</v>
      </c>
      <c r="C432" s="140">
        <v>2033</v>
      </c>
      <c r="D432" s="141" t="str">
        <f>IFERROR(INDEX(Työkonekanta!$D$3:$D$27,MATCH('S3 Tiekartta'!$A432,Työkonekanta!$A$3:$A$24,0),1),"undefined")</f>
        <v>sähkö</v>
      </c>
      <c r="E432" s="145">
        <f>IFERROR(INDEX(Työkonekanta!$G$3:$G$27,MATCH($A432,Työkonekanta!$A$3:$A$24,0),1)*INDEX(Työkonekanta!$H$3:$H$27,MATCH($A432,Työkonekanta!$A$3:$A$24,0),1)*(1+s0b_kasvu*($C432-2019))*$B432,0)</f>
        <v>0</v>
      </c>
      <c r="F432" s="145">
        <f t="shared" si="151"/>
        <v>0</v>
      </c>
      <c r="G432" s="151">
        <f t="shared" si="160"/>
        <v>0</v>
      </c>
      <c r="H432" s="145">
        <f t="shared" si="161"/>
        <v>0</v>
      </c>
      <c r="I432" s="145">
        <f t="shared" si="152"/>
        <v>0</v>
      </c>
      <c r="J432" s="145">
        <f t="shared" si="153"/>
        <v>0</v>
      </c>
      <c r="K432" s="142" t="str">
        <f t="shared" si="162"/>
        <v>kWh</v>
      </c>
      <c r="L432" s="146">
        <f>IFERROR(INDEX(Työkonekanta!$I$3:$I$27,MATCH('S3 Tiekartta'!$A432,Työkonekanta!$A$3:$A$24,0),1)*(I432+J432)*f_adblue,0)</f>
        <v>0</v>
      </c>
      <c r="M432" s="146">
        <f t="shared" si="171"/>
        <v>0</v>
      </c>
      <c r="N432" s="143" t="str">
        <f>IF(tuulisähkö_vuosi&lt;='S3 Tiekartta'!C432,"tuulisähkö",ostosähkö_nyt)</f>
        <v>jäännössähkö</v>
      </c>
      <c r="O432" s="147">
        <f>INDEX(Muuttujat!$J$5:$J$21,MATCH($C432,Muuttujat!$H$5:$H$21,0),1)</f>
        <v>60.158234351438509</v>
      </c>
      <c r="P432" s="148">
        <f t="shared" si="163"/>
        <v>0.46497942775809187</v>
      </c>
      <c r="Q432" s="148">
        <f t="shared" si="164"/>
        <v>0.53502057224190813</v>
      </c>
      <c r="R432" s="148">
        <f t="shared" si="165"/>
        <v>0.53502057224190813</v>
      </c>
      <c r="S432" s="149">
        <f t="shared" si="154"/>
        <v>0</v>
      </c>
      <c r="T432" s="150">
        <f t="shared" si="155"/>
        <v>0</v>
      </c>
      <c r="U432" s="150">
        <f t="shared" si="156"/>
        <v>0</v>
      </c>
      <c r="V432" s="150">
        <f>IFERROR(INDEX(Työkonekanta!$J$3:$J$27,MATCH($A432,Työkonekanta!$A$3:$A$24,0),1)*$B432*ef_li_ion_akku/1000/1000/INDEX(Työkonekanta!$K$3:$K$27,MATCH($A432,Työkonekanta!$A$3:$A$24,0)),0)</f>
        <v>0</v>
      </c>
      <c r="W432" s="149">
        <f t="shared" si="172"/>
        <v>0</v>
      </c>
      <c r="X432" s="150">
        <f t="shared" si="173"/>
        <v>0</v>
      </c>
      <c r="Y432" s="151">
        <f t="shared" si="174"/>
        <v>0</v>
      </c>
      <c r="Z432" s="152">
        <f t="shared" si="166"/>
        <v>0</v>
      </c>
      <c r="AA432" s="179">
        <f t="shared" si="167"/>
        <v>0</v>
      </c>
      <c r="AB432" s="179">
        <f t="shared" si="168"/>
        <v>0</v>
      </c>
      <c r="AC432" s="180">
        <f t="shared" si="175"/>
        <v>0</v>
      </c>
      <c r="AD432" s="156">
        <f t="shared" si="169"/>
        <v>0</v>
      </c>
      <c r="AE432" s="146">
        <f>IFERROR(INDEX(Työkonekanta!$L$3:$L$30,MATCH($A432,Työkonekanta!$A$3:$A$30,0),1),0)*AF432</f>
        <v>0</v>
      </c>
      <c r="AF432" s="146">
        <f>IFERROR(INDEX(Työkonekanta!$N$3:$N$32,MATCH($A432,Työkonekanta!$A$3:$A$32,0),1),0)</f>
        <v>0</v>
      </c>
      <c r="AG432" s="332">
        <f>I432*INDEX(Muuttujat!$U$5:$U$21,MATCH($C432,Muuttujat!$N$5:$N$21,0),1)</f>
        <v>0</v>
      </c>
      <c r="AH432" s="332">
        <f>J432*INDEX(Muuttujat!$T$5:$T$21,MATCH($C432,Muuttujat!$N$5:$N$21,0),1)</f>
        <v>0</v>
      </c>
      <c r="AI432" s="332">
        <f t="shared" si="157"/>
        <v>0</v>
      </c>
      <c r="AJ432" s="332">
        <f t="shared" si="158"/>
        <v>0</v>
      </c>
      <c r="AK432" s="333">
        <f t="shared" si="170"/>
        <v>0</v>
      </c>
      <c r="AL432" s="332">
        <f t="shared" si="159"/>
        <v>0</v>
      </c>
      <c r="AM432" s="351"/>
      <c r="AN432" s="351"/>
    </row>
    <row r="433" spans="1:40">
      <c r="A433" s="139">
        <v>11</v>
      </c>
      <c r="B433" s="139">
        <f>IFERROR(IF((INDEX(Työkonekanta!$F$3:$F$27,MATCH('S3 Tiekartta'!$A433,Työkonekanta!$A$3:$A$24,0),1))&lt;0,0,(INDEX(Työkonekanta!$F$3:$F$27,MATCH('S3 Tiekartta'!$A433,Työkonekanta!$A$3:$A$24,0),1))),0)</f>
        <v>1</v>
      </c>
      <c r="C433" s="140">
        <v>2033</v>
      </c>
      <c r="D433" s="141" t="str">
        <f>IFERROR(INDEX(Työkonekanta!$D$3:$D$27,MATCH('S3 Tiekartta'!$A433,Työkonekanta!$A$3:$A$24,0),1),"undefined")</f>
        <v>pom</v>
      </c>
      <c r="E433" s="145">
        <f>IFERROR(INDEX(Työkonekanta!$G$3:$G$27,MATCH($A433,Työkonekanta!$A$3:$A$24,0),1)*INDEX(Työkonekanta!$H$3:$H$27,MATCH($A433,Työkonekanta!$A$3:$A$24,0),1)*(1+s0b_kasvu*($C433-2019))*$B433,0)</f>
        <v>11400.000000000002</v>
      </c>
      <c r="F433" s="145">
        <f t="shared" si="151"/>
        <v>409260.00000000006</v>
      </c>
      <c r="G433" s="151">
        <f t="shared" si="160"/>
        <v>190297.4806042767</v>
      </c>
      <c r="H433" s="145">
        <f t="shared" si="161"/>
        <v>218962.51939572336</v>
      </c>
      <c r="I433" s="145">
        <f t="shared" si="152"/>
        <v>5300.7654764422477</v>
      </c>
      <c r="J433" s="145">
        <f t="shared" si="153"/>
        <v>6383.7469211581156</v>
      </c>
      <c r="K433" s="142" t="str">
        <f t="shared" si="162"/>
        <v>l</v>
      </c>
      <c r="L433" s="146">
        <f>IFERROR(INDEX(Työkonekanta!$I$3:$I$27,MATCH('S3 Tiekartta'!$A433,Työkonekanta!$A$3:$A$24,0),1)*(I433+J433)*f_adblue,0)</f>
        <v>584.22561988001814</v>
      </c>
      <c r="M433" s="146">
        <f t="shared" si="171"/>
        <v>0</v>
      </c>
      <c r="N433" s="143" t="str">
        <f>IF(tuulisähkö_vuosi&lt;='S3 Tiekartta'!C433,"tuulisähkö",ostosähkö_nyt)</f>
        <v>jäännössähkö</v>
      </c>
      <c r="O433" s="147">
        <f>INDEX(Muuttujat!$J$5:$J$21,MATCH($C433,Muuttujat!$H$5:$H$21,0),1)</f>
        <v>60.158234351438509</v>
      </c>
      <c r="P433" s="148">
        <f t="shared" si="163"/>
        <v>0.46497942775809187</v>
      </c>
      <c r="Q433" s="148">
        <f t="shared" si="164"/>
        <v>0.53502057224190813</v>
      </c>
      <c r="R433" s="148">
        <f t="shared" si="165"/>
        <v>0.53502057224190813</v>
      </c>
      <c r="S433" s="149">
        <f t="shared" si="154"/>
        <v>3.5966223834208289</v>
      </c>
      <c r="T433" s="150">
        <f t="shared" si="155"/>
        <v>13.663261210293136</v>
      </c>
      <c r="U433" s="150">
        <f t="shared" si="156"/>
        <v>0</v>
      </c>
      <c r="V433" s="150">
        <f>IFERROR(INDEX(Työkonekanta!$J$3:$J$27,MATCH($A433,Työkonekanta!$A$3:$A$24,0),1)*$B433*ef_li_ion_akku/1000/1000/INDEX(Työkonekanta!$K$3:$K$27,MATCH($A433,Työkonekanta!$A$3:$A$24,0)),0)</f>
        <v>0</v>
      </c>
      <c r="W433" s="149">
        <f t="shared" si="172"/>
        <v>14.045524837008182</v>
      </c>
      <c r="X433" s="150">
        <f t="shared" si="173"/>
        <v>0.36223005240000006</v>
      </c>
      <c r="Y433" s="151">
        <f t="shared" si="174"/>
        <v>0.15189866116880471</v>
      </c>
      <c r="Z433" s="152">
        <f t="shared" si="166"/>
        <v>17.259883593713965</v>
      </c>
      <c r="AA433" s="179">
        <f t="shared" si="167"/>
        <v>14.197423498176986</v>
      </c>
      <c r="AB433" s="179">
        <f t="shared" si="168"/>
        <v>14.559653550576986</v>
      </c>
      <c r="AC433" s="180">
        <f t="shared" si="175"/>
        <v>31.457307091890954</v>
      </c>
      <c r="AD433" s="156">
        <f t="shared" si="169"/>
        <v>31.819537144290951</v>
      </c>
      <c r="AE433" s="146">
        <f>IFERROR(INDEX(Työkonekanta!$L$3:$L$30,MATCH($A433,Työkonekanta!$A$3:$A$30,0),1),0)*AF433</f>
        <v>500000</v>
      </c>
      <c r="AF433" s="146">
        <f>IFERROR(INDEX(Työkonekanta!$N$3:$N$32,MATCH($A433,Työkonekanta!$A$3:$A$32,0),1),0)</f>
        <v>1</v>
      </c>
      <c r="AG433" s="332">
        <f>I433*INDEX(Muuttujat!$U$5:$U$21,MATCH($C433,Muuttujat!$N$5:$N$21,0),1)</f>
        <v>5565.8037502643601</v>
      </c>
      <c r="AH433" s="332">
        <f>J433*INDEX(Muuttujat!$T$5:$T$21,MATCH($C433,Muuttujat!$N$5:$N$21,0),1)</f>
        <v>9256.4330356792689</v>
      </c>
      <c r="AI433" s="332">
        <f t="shared" si="157"/>
        <v>292.11280994000907</v>
      </c>
      <c r="AJ433" s="332">
        <f t="shared" si="158"/>
        <v>0</v>
      </c>
      <c r="AK433" s="333">
        <f t="shared" si="170"/>
        <v>15114.349595883637</v>
      </c>
      <c r="AL433" s="332">
        <f t="shared" si="159"/>
        <v>15114.349595883637</v>
      </c>
      <c r="AM433" s="351"/>
      <c r="AN433" s="351"/>
    </row>
    <row r="434" spans="1:40">
      <c r="A434" s="139">
        <v>12</v>
      </c>
      <c r="B434" s="139">
        <f>IFERROR(IF((INDEX(Työkonekanta!$F$3:$F$27,MATCH('S3 Tiekartta'!$A434,Työkonekanta!$A$3:$A$24,0),1))&lt;0,0,(INDEX(Työkonekanta!$F$3:$F$27,MATCH('S3 Tiekartta'!$A434,Työkonekanta!$A$3:$A$24,0),1))),0)</f>
        <v>1</v>
      </c>
      <c r="C434" s="140">
        <v>2033</v>
      </c>
      <c r="D434" s="141" t="str">
        <f>IFERROR(INDEX(Työkonekanta!$D$3:$D$27,MATCH('S3 Tiekartta'!$A434,Työkonekanta!$A$3:$A$24,0),1),"undefined")</f>
        <v>pom</v>
      </c>
      <c r="E434" s="145">
        <f>IFERROR(INDEX(Työkonekanta!$G$3:$G$27,MATCH($A434,Työkonekanta!$A$3:$A$24,0),1)*INDEX(Työkonekanta!$H$3:$H$27,MATCH($A434,Työkonekanta!$A$3:$A$24,0),1)*(1+s0b_kasvu*($C434-2019))*$B434,0)</f>
        <v>11400.000000000002</v>
      </c>
      <c r="F434" s="145">
        <f t="shared" si="151"/>
        <v>409260.00000000006</v>
      </c>
      <c r="G434" s="151">
        <f t="shared" si="160"/>
        <v>190297.4806042767</v>
      </c>
      <c r="H434" s="145">
        <f t="shared" si="161"/>
        <v>218962.51939572336</v>
      </c>
      <c r="I434" s="145">
        <f t="shared" si="152"/>
        <v>5300.7654764422477</v>
      </c>
      <c r="J434" s="145">
        <f t="shared" si="153"/>
        <v>6383.7469211581156</v>
      </c>
      <c r="K434" s="142" t="str">
        <f t="shared" si="162"/>
        <v>l</v>
      </c>
      <c r="L434" s="146">
        <f>IFERROR(INDEX(Työkonekanta!$I$3:$I$27,MATCH('S3 Tiekartta'!$A434,Työkonekanta!$A$3:$A$24,0),1)*(I434+J434)*f_adblue,0)</f>
        <v>584.22561988001814</v>
      </c>
      <c r="M434" s="146">
        <f t="shared" si="171"/>
        <v>0</v>
      </c>
      <c r="N434" s="143" t="str">
        <f>IF(tuulisähkö_vuosi&lt;='S3 Tiekartta'!C434,"tuulisähkö",ostosähkö_nyt)</f>
        <v>jäännössähkö</v>
      </c>
      <c r="O434" s="147">
        <f>INDEX(Muuttujat!$J$5:$J$21,MATCH($C434,Muuttujat!$H$5:$H$21,0),1)</f>
        <v>60.158234351438509</v>
      </c>
      <c r="P434" s="148">
        <f t="shared" si="163"/>
        <v>0.46497942775809187</v>
      </c>
      <c r="Q434" s="148">
        <f t="shared" si="164"/>
        <v>0.53502057224190813</v>
      </c>
      <c r="R434" s="148">
        <f t="shared" si="165"/>
        <v>0.53502057224190813</v>
      </c>
      <c r="S434" s="149">
        <f t="shared" si="154"/>
        <v>3.5966223834208289</v>
      </c>
      <c r="T434" s="150">
        <f t="shared" si="155"/>
        <v>13.663261210293136</v>
      </c>
      <c r="U434" s="150">
        <f t="shared" si="156"/>
        <v>0</v>
      </c>
      <c r="V434" s="150">
        <f>IFERROR(INDEX(Työkonekanta!$J$3:$J$27,MATCH($A434,Työkonekanta!$A$3:$A$24,0),1)*$B434*ef_li_ion_akku/1000/1000/INDEX(Työkonekanta!$K$3:$K$27,MATCH($A434,Työkonekanta!$A$3:$A$24,0)),0)</f>
        <v>0</v>
      </c>
      <c r="W434" s="149">
        <f t="shared" si="172"/>
        <v>14.045524837008182</v>
      </c>
      <c r="X434" s="150">
        <f t="shared" si="173"/>
        <v>0.36223005240000006</v>
      </c>
      <c r="Y434" s="151">
        <f t="shared" si="174"/>
        <v>0.15189866116880471</v>
      </c>
      <c r="Z434" s="152">
        <f t="shared" si="166"/>
        <v>17.259883593713965</v>
      </c>
      <c r="AA434" s="179">
        <f t="shared" si="167"/>
        <v>14.197423498176986</v>
      </c>
      <c r="AB434" s="179">
        <f t="shared" si="168"/>
        <v>14.559653550576986</v>
      </c>
      <c r="AC434" s="180">
        <f t="shared" si="175"/>
        <v>31.457307091890954</v>
      </c>
      <c r="AD434" s="156">
        <f t="shared" si="169"/>
        <v>31.819537144290951</v>
      </c>
      <c r="AE434" s="146">
        <f>IFERROR(INDEX(Työkonekanta!$L$3:$L$30,MATCH($A434,Työkonekanta!$A$3:$A$30,0),1),0)*AF434</f>
        <v>500000</v>
      </c>
      <c r="AF434" s="146">
        <f>IFERROR(INDEX(Työkonekanta!$N$3:$N$32,MATCH($A434,Työkonekanta!$A$3:$A$32,0),1),0)</f>
        <v>1</v>
      </c>
      <c r="AG434" s="332">
        <f>I434*INDEX(Muuttujat!$U$5:$U$21,MATCH($C434,Muuttujat!$N$5:$N$21,0),1)</f>
        <v>5565.8037502643601</v>
      </c>
      <c r="AH434" s="332">
        <f>J434*INDEX(Muuttujat!$T$5:$T$21,MATCH($C434,Muuttujat!$N$5:$N$21,0),1)</f>
        <v>9256.4330356792689</v>
      </c>
      <c r="AI434" s="332">
        <f t="shared" si="157"/>
        <v>292.11280994000907</v>
      </c>
      <c r="AJ434" s="332">
        <f t="shared" si="158"/>
        <v>0</v>
      </c>
      <c r="AK434" s="333">
        <f t="shared" si="170"/>
        <v>15114.349595883637</v>
      </c>
      <c r="AL434" s="332">
        <f t="shared" si="159"/>
        <v>15114.349595883637</v>
      </c>
      <c r="AM434" s="351"/>
      <c r="AN434" s="351"/>
    </row>
    <row r="435" spans="1:40">
      <c r="A435" s="139">
        <v>13</v>
      </c>
      <c r="B435" s="139">
        <f>IFERROR(IF((INDEX(Työkonekanta!$F$3:$F$27,MATCH('S3 Tiekartta'!$A435,Työkonekanta!$A$3:$A$24,0),1))&lt;0,0,(INDEX(Työkonekanta!$F$3:$F$27,MATCH('S3 Tiekartta'!$A435,Työkonekanta!$A$3:$A$24,0),1))),0)</f>
        <v>0</v>
      </c>
      <c r="C435" s="140">
        <v>2033</v>
      </c>
      <c r="D435" s="141" t="str">
        <f>IFERROR(INDEX(Työkonekanta!$D$3:$D$27,MATCH('S3 Tiekartta'!$A435,Työkonekanta!$A$3:$A$24,0),1),"undefined")</f>
        <v>pom</v>
      </c>
      <c r="E435" s="145">
        <f>IFERROR(INDEX(Työkonekanta!$G$3:$G$27,MATCH($A435,Työkonekanta!$A$3:$A$24,0),1)*INDEX(Työkonekanta!$H$3:$H$27,MATCH($A435,Työkonekanta!$A$3:$A$24,0),1)*(1+s0b_kasvu*($C435-2019))*$B435,0)</f>
        <v>0</v>
      </c>
      <c r="F435" s="145">
        <f t="shared" si="151"/>
        <v>0</v>
      </c>
      <c r="G435" s="151">
        <f t="shared" si="160"/>
        <v>0</v>
      </c>
      <c r="H435" s="145">
        <f t="shared" si="161"/>
        <v>0</v>
      </c>
      <c r="I435" s="145">
        <f t="shared" si="152"/>
        <v>0</v>
      </c>
      <c r="J435" s="145">
        <f t="shared" si="153"/>
        <v>0</v>
      </c>
      <c r="K435" s="142" t="str">
        <f t="shared" si="162"/>
        <v>l</v>
      </c>
      <c r="L435" s="146">
        <f>IFERROR(INDEX(Työkonekanta!$I$3:$I$27,MATCH('S3 Tiekartta'!$A435,Työkonekanta!$A$3:$A$24,0),1)*(I435+J435)*f_adblue,0)</f>
        <v>0</v>
      </c>
      <c r="M435" s="146">
        <f t="shared" si="171"/>
        <v>0</v>
      </c>
      <c r="N435" s="143" t="str">
        <f>IF(tuulisähkö_vuosi&lt;='S3 Tiekartta'!C435,"tuulisähkö",ostosähkö_nyt)</f>
        <v>jäännössähkö</v>
      </c>
      <c r="O435" s="147">
        <f>INDEX(Muuttujat!$J$5:$J$21,MATCH($C435,Muuttujat!$H$5:$H$21,0),1)</f>
        <v>60.158234351438509</v>
      </c>
      <c r="P435" s="148">
        <f t="shared" si="163"/>
        <v>0.46497942775809187</v>
      </c>
      <c r="Q435" s="148">
        <f t="shared" si="164"/>
        <v>0.53502057224190813</v>
      </c>
      <c r="R435" s="148">
        <f t="shared" si="165"/>
        <v>0.53502057224190813</v>
      </c>
      <c r="S435" s="149">
        <f t="shared" si="154"/>
        <v>0</v>
      </c>
      <c r="T435" s="150">
        <f t="shared" si="155"/>
        <v>0</v>
      </c>
      <c r="U435" s="150">
        <f t="shared" si="156"/>
        <v>0</v>
      </c>
      <c r="V435" s="150">
        <f>IFERROR(INDEX(Työkonekanta!$J$3:$J$27,MATCH($A435,Työkonekanta!$A$3:$A$24,0),1)*$B435*ef_li_ion_akku/1000/1000/INDEX(Työkonekanta!$K$3:$K$27,MATCH($A435,Työkonekanta!$A$3:$A$24,0)),0)</f>
        <v>0</v>
      </c>
      <c r="W435" s="149">
        <f t="shared" si="172"/>
        <v>0</v>
      </c>
      <c r="X435" s="150">
        <f t="shared" si="173"/>
        <v>0</v>
      </c>
      <c r="Y435" s="151">
        <f t="shared" si="174"/>
        <v>0</v>
      </c>
      <c r="Z435" s="152">
        <f t="shared" si="166"/>
        <v>0</v>
      </c>
      <c r="AA435" s="179">
        <f t="shared" si="167"/>
        <v>0</v>
      </c>
      <c r="AB435" s="179">
        <f t="shared" si="168"/>
        <v>0</v>
      </c>
      <c r="AC435" s="180">
        <f t="shared" si="175"/>
        <v>0</v>
      </c>
      <c r="AD435" s="156">
        <f t="shared" si="169"/>
        <v>0</v>
      </c>
      <c r="AE435" s="146">
        <f>IFERROR(INDEX(Työkonekanta!$L$3:$L$30,MATCH($A435,Työkonekanta!$A$3:$A$30,0),1),0)*AF435</f>
        <v>0</v>
      </c>
      <c r="AF435" s="146">
        <f>IFERROR(INDEX(Työkonekanta!$N$3:$N$32,MATCH($A435,Työkonekanta!$A$3:$A$32,0),1),0)</f>
        <v>0</v>
      </c>
      <c r="AG435" s="332">
        <f>I435*INDEX(Muuttujat!$U$5:$U$21,MATCH($C435,Muuttujat!$N$5:$N$21,0),1)</f>
        <v>0</v>
      </c>
      <c r="AH435" s="332">
        <f>J435*INDEX(Muuttujat!$T$5:$T$21,MATCH($C435,Muuttujat!$N$5:$N$21,0),1)</f>
        <v>0</v>
      </c>
      <c r="AI435" s="332">
        <f t="shared" si="157"/>
        <v>0</v>
      </c>
      <c r="AJ435" s="332">
        <f t="shared" si="158"/>
        <v>0</v>
      </c>
      <c r="AK435" s="333">
        <f t="shared" si="170"/>
        <v>0</v>
      </c>
      <c r="AL435" s="332">
        <f t="shared" si="159"/>
        <v>0</v>
      </c>
      <c r="AM435" s="351"/>
      <c r="AN435" s="351"/>
    </row>
    <row r="436" spans="1:40">
      <c r="A436" s="139">
        <v>14</v>
      </c>
      <c r="B436" s="139">
        <f>IFERROR(IF((INDEX(Työkonekanta!$F$3:$F$27,MATCH('S3 Tiekartta'!$A436,Työkonekanta!$A$3:$A$24,0),1))&lt;0,0,(INDEX(Työkonekanta!$F$3:$F$27,MATCH('S3 Tiekartta'!$A436,Työkonekanta!$A$3:$A$24,0),1))),0)</f>
        <v>0</v>
      </c>
      <c r="C436" s="140">
        <v>2033</v>
      </c>
      <c r="D436" s="141" t="str">
        <f>IFERROR(INDEX(Työkonekanta!$D$3:$D$27,MATCH('S3 Tiekartta'!$A436,Työkonekanta!$A$3:$A$24,0),1),"undefined")</f>
        <v>pom</v>
      </c>
      <c r="E436" s="145">
        <f>IFERROR(INDEX(Työkonekanta!$G$3:$G$27,MATCH($A436,Työkonekanta!$A$3:$A$24,0),1)*INDEX(Työkonekanta!$H$3:$H$27,MATCH($A436,Työkonekanta!$A$3:$A$24,0),1)*(1+s0b_kasvu*($C436-2019))*$B436,0)</f>
        <v>0</v>
      </c>
      <c r="F436" s="145">
        <f t="shared" si="151"/>
        <v>0</v>
      </c>
      <c r="G436" s="151">
        <f t="shared" si="160"/>
        <v>0</v>
      </c>
      <c r="H436" s="145">
        <f t="shared" si="161"/>
        <v>0</v>
      </c>
      <c r="I436" s="145">
        <f t="shared" si="152"/>
        <v>0</v>
      </c>
      <c r="J436" s="145">
        <f t="shared" si="153"/>
        <v>0</v>
      </c>
      <c r="K436" s="142" t="str">
        <f t="shared" si="162"/>
        <v>l</v>
      </c>
      <c r="L436" s="146">
        <f>IFERROR(INDEX(Työkonekanta!$I$3:$I$27,MATCH('S3 Tiekartta'!$A436,Työkonekanta!$A$3:$A$24,0),1)*(I436+J436)*f_adblue,0)</f>
        <v>0</v>
      </c>
      <c r="M436" s="146">
        <f t="shared" si="171"/>
        <v>0</v>
      </c>
      <c r="N436" s="143" t="str">
        <f>IF(tuulisähkö_vuosi&lt;='S3 Tiekartta'!C436,"tuulisähkö",ostosähkö_nyt)</f>
        <v>jäännössähkö</v>
      </c>
      <c r="O436" s="147">
        <f>INDEX(Muuttujat!$J$5:$J$21,MATCH($C436,Muuttujat!$H$5:$H$21,0),1)</f>
        <v>60.158234351438509</v>
      </c>
      <c r="P436" s="148">
        <f t="shared" si="163"/>
        <v>0.46497942775809187</v>
      </c>
      <c r="Q436" s="148">
        <f t="shared" si="164"/>
        <v>0.53502057224190813</v>
      </c>
      <c r="R436" s="148">
        <f t="shared" si="165"/>
        <v>0.53502057224190813</v>
      </c>
      <c r="S436" s="149">
        <f t="shared" si="154"/>
        <v>0</v>
      </c>
      <c r="T436" s="150">
        <f t="shared" si="155"/>
        <v>0</v>
      </c>
      <c r="U436" s="150">
        <f t="shared" si="156"/>
        <v>0</v>
      </c>
      <c r="V436" s="150">
        <f>IFERROR(INDEX(Työkonekanta!$J$3:$J$27,MATCH($A436,Työkonekanta!$A$3:$A$24,0),1)*$B436*ef_li_ion_akku/1000/1000/INDEX(Työkonekanta!$K$3:$K$27,MATCH($A436,Työkonekanta!$A$3:$A$24,0)),0)</f>
        <v>0</v>
      </c>
      <c r="W436" s="149">
        <f t="shared" si="172"/>
        <v>0</v>
      </c>
      <c r="X436" s="150">
        <f t="shared" si="173"/>
        <v>0</v>
      </c>
      <c r="Y436" s="151">
        <f t="shared" si="174"/>
        <v>0</v>
      </c>
      <c r="Z436" s="152">
        <f t="shared" si="166"/>
        <v>0</v>
      </c>
      <c r="AA436" s="179">
        <f t="shared" si="167"/>
        <v>0</v>
      </c>
      <c r="AB436" s="179">
        <f t="shared" si="168"/>
        <v>0</v>
      </c>
      <c r="AC436" s="180">
        <f t="shared" si="175"/>
        <v>0</v>
      </c>
      <c r="AD436" s="156">
        <f t="shared" si="169"/>
        <v>0</v>
      </c>
      <c r="AE436" s="146">
        <f>IFERROR(INDEX(Työkonekanta!$L$3:$L$30,MATCH($A436,Työkonekanta!$A$3:$A$30,0),1),0)*AF436</f>
        <v>0</v>
      </c>
      <c r="AF436" s="146">
        <f>IFERROR(INDEX(Työkonekanta!$N$3:$N$32,MATCH($A436,Työkonekanta!$A$3:$A$32,0),1),0)</f>
        <v>0</v>
      </c>
      <c r="AG436" s="332">
        <f>I436*INDEX(Muuttujat!$U$5:$U$21,MATCH($C436,Muuttujat!$N$5:$N$21,0),1)</f>
        <v>0</v>
      </c>
      <c r="AH436" s="332">
        <f>J436*INDEX(Muuttujat!$T$5:$T$21,MATCH($C436,Muuttujat!$N$5:$N$21,0),1)</f>
        <v>0</v>
      </c>
      <c r="AI436" s="332">
        <f t="shared" si="157"/>
        <v>0</v>
      </c>
      <c r="AJ436" s="332">
        <f t="shared" si="158"/>
        <v>0</v>
      </c>
      <c r="AK436" s="333">
        <f t="shared" si="170"/>
        <v>0</v>
      </c>
      <c r="AL436" s="332">
        <f t="shared" si="159"/>
        <v>0</v>
      </c>
      <c r="AM436" s="351"/>
      <c r="AN436" s="351"/>
    </row>
    <row r="437" spans="1:40">
      <c r="A437" s="139">
        <v>15</v>
      </c>
      <c r="B437" s="139">
        <f>IFERROR(IF((INDEX(Työkonekanta!$F$3:$F$27,MATCH('S3 Tiekartta'!$A437,Työkonekanta!$A$3:$A$24,0),1))&lt;0,0,(INDEX(Työkonekanta!$F$3:$F$27,MATCH('S3 Tiekartta'!$A437,Työkonekanta!$A$3:$A$24,0),1))),0)</f>
        <v>0</v>
      </c>
      <c r="C437" s="140">
        <v>2033</v>
      </c>
      <c r="D437" s="141" t="str">
        <f>IFERROR(INDEX(Työkonekanta!$D$3:$D$27,MATCH('S3 Tiekartta'!$A437,Työkonekanta!$A$3:$A$24,0),1),"undefined")</f>
        <v>sähkö</v>
      </c>
      <c r="E437" s="145">
        <f>IFERROR(INDEX(Työkonekanta!$G$3:$G$27,MATCH($A437,Työkonekanta!$A$3:$A$24,0),1)*INDEX(Työkonekanta!$H$3:$H$27,MATCH($A437,Työkonekanta!$A$3:$A$24,0),1)*(1+s0b_kasvu*($C437-2019))*$B437,0)</f>
        <v>0</v>
      </c>
      <c r="F437" s="145">
        <f t="shared" si="151"/>
        <v>0</v>
      </c>
      <c r="G437" s="151">
        <f t="shared" si="160"/>
        <v>0</v>
      </c>
      <c r="H437" s="145">
        <f t="shared" si="161"/>
        <v>0</v>
      </c>
      <c r="I437" s="145">
        <f t="shared" si="152"/>
        <v>0</v>
      </c>
      <c r="J437" s="145">
        <f t="shared" si="153"/>
        <v>0</v>
      </c>
      <c r="K437" s="142" t="str">
        <f t="shared" si="162"/>
        <v>kWh</v>
      </c>
      <c r="L437" s="146">
        <f>IFERROR(INDEX(Työkonekanta!$I$3:$I$27,MATCH('S3 Tiekartta'!$A437,Työkonekanta!$A$3:$A$24,0),1)*(I437+J437)*f_adblue,0)</f>
        <v>0</v>
      </c>
      <c r="M437" s="146">
        <f t="shared" si="171"/>
        <v>0</v>
      </c>
      <c r="N437" s="143" t="str">
        <f>IF(tuulisähkö_vuosi&lt;='S3 Tiekartta'!C437,"tuulisähkö",ostosähkö_nyt)</f>
        <v>jäännössähkö</v>
      </c>
      <c r="O437" s="147">
        <f>INDEX(Muuttujat!$J$5:$J$21,MATCH($C437,Muuttujat!$H$5:$H$21,0),1)</f>
        <v>60.158234351438509</v>
      </c>
      <c r="P437" s="148">
        <f t="shared" si="163"/>
        <v>0.46497942775809187</v>
      </c>
      <c r="Q437" s="148">
        <f t="shared" si="164"/>
        <v>0.53502057224190813</v>
      </c>
      <c r="R437" s="148">
        <f t="shared" si="165"/>
        <v>0.53502057224190813</v>
      </c>
      <c r="S437" s="149">
        <f t="shared" si="154"/>
        <v>0</v>
      </c>
      <c r="T437" s="150">
        <f t="shared" si="155"/>
        <v>0</v>
      </c>
      <c r="U437" s="150">
        <f t="shared" si="156"/>
        <v>0</v>
      </c>
      <c r="V437" s="150">
        <f>IFERROR(INDEX(Työkonekanta!$J$3:$J$27,MATCH($A437,Työkonekanta!$A$3:$A$24,0),1)*$B437*ef_li_ion_akku/1000/1000/INDEX(Työkonekanta!$K$3:$K$27,MATCH($A437,Työkonekanta!$A$3:$A$24,0)),0)</f>
        <v>0</v>
      </c>
      <c r="W437" s="149">
        <f t="shared" si="172"/>
        <v>0</v>
      </c>
      <c r="X437" s="150">
        <f t="shared" si="173"/>
        <v>0</v>
      </c>
      <c r="Y437" s="151">
        <f t="shared" si="174"/>
        <v>0</v>
      </c>
      <c r="Z437" s="152">
        <f t="shared" si="166"/>
        <v>0</v>
      </c>
      <c r="AA437" s="179">
        <f t="shared" si="167"/>
        <v>0</v>
      </c>
      <c r="AB437" s="179">
        <f t="shared" si="168"/>
        <v>0</v>
      </c>
      <c r="AC437" s="180">
        <f t="shared" si="175"/>
        <v>0</v>
      </c>
      <c r="AD437" s="156">
        <f t="shared" si="169"/>
        <v>0</v>
      </c>
      <c r="AE437" s="146">
        <f>IFERROR(INDEX(Työkonekanta!$L$3:$L$30,MATCH($A437,Työkonekanta!$A$3:$A$30,0),1),0)*AF437</f>
        <v>0</v>
      </c>
      <c r="AF437" s="146">
        <f>IFERROR(INDEX(Työkonekanta!$N$3:$N$32,MATCH($A437,Työkonekanta!$A$3:$A$32,0),1),0)</f>
        <v>0</v>
      </c>
      <c r="AG437" s="332">
        <f>I437*INDEX(Muuttujat!$U$5:$U$21,MATCH($C437,Muuttujat!$N$5:$N$21,0),1)</f>
        <v>0</v>
      </c>
      <c r="AH437" s="332">
        <f>J437*INDEX(Muuttujat!$T$5:$T$21,MATCH($C437,Muuttujat!$N$5:$N$21,0),1)</f>
        <v>0</v>
      </c>
      <c r="AI437" s="332">
        <f t="shared" si="157"/>
        <v>0</v>
      </c>
      <c r="AJ437" s="332">
        <f t="shared" si="158"/>
        <v>0</v>
      </c>
      <c r="AK437" s="333">
        <f t="shared" si="170"/>
        <v>0</v>
      </c>
      <c r="AL437" s="332">
        <f t="shared" si="159"/>
        <v>0</v>
      </c>
      <c r="AM437" s="351"/>
      <c r="AN437" s="351"/>
    </row>
    <row r="438" spans="1:40">
      <c r="A438" s="139">
        <v>16</v>
      </c>
      <c r="B438" s="139">
        <f>IFERROR(IF((INDEX(Työkonekanta!$F$3:$F$27,MATCH('S3 Tiekartta'!$A438,Työkonekanta!$A$3:$A$24,0),1))&lt;0,0,(INDEX(Työkonekanta!$F$3:$F$27,MATCH('S3 Tiekartta'!$A438,Työkonekanta!$A$3:$A$24,0),1))),0)</f>
        <v>0</v>
      </c>
      <c r="C438" s="140">
        <v>2033</v>
      </c>
      <c r="D438" s="141" t="str">
        <f>IFERROR(INDEX(Työkonekanta!$D$3:$D$27,MATCH('S3 Tiekartta'!$A438,Työkonekanta!$A$3:$A$24,0),1),"undefined")</f>
        <v>sähkö</v>
      </c>
      <c r="E438" s="145">
        <f>IFERROR(INDEX(Työkonekanta!$G$3:$G$27,MATCH($A438,Työkonekanta!$A$3:$A$24,0),1)*INDEX(Työkonekanta!$H$3:$H$27,MATCH($A438,Työkonekanta!$A$3:$A$24,0),1)*(1+s0b_kasvu*($C438-2019))*$B438,0)</f>
        <v>0</v>
      </c>
      <c r="F438" s="145">
        <f t="shared" si="151"/>
        <v>0</v>
      </c>
      <c r="G438" s="151">
        <f t="shared" si="160"/>
        <v>0</v>
      </c>
      <c r="H438" s="145">
        <f t="shared" si="161"/>
        <v>0</v>
      </c>
      <c r="I438" s="145">
        <f t="shared" si="152"/>
        <v>0</v>
      </c>
      <c r="J438" s="145">
        <f t="shared" si="153"/>
        <v>0</v>
      </c>
      <c r="K438" s="142" t="str">
        <f t="shared" si="162"/>
        <v>kWh</v>
      </c>
      <c r="L438" s="146">
        <f>IFERROR(INDEX(Työkonekanta!$I$3:$I$27,MATCH('S3 Tiekartta'!$A438,Työkonekanta!$A$3:$A$24,0),1)*(I438+J438)*f_adblue,0)</f>
        <v>0</v>
      </c>
      <c r="M438" s="146">
        <f t="shared" si="171"/>
        <v>0</v>
      </c>
      <c r="N438" s="143" t="str">
        <f>IF(tuulisähkö_vuosi&lt;='S3 Tiekartta'!C438,"tuulisähkö",ostosähkö_nyt)</f>
        <v>jäännössähkö</v>
      </c>
      <c r="O438" s="147">
        <f>INDEX(Muuttujat!$J$5:$J$21,MATCH($C438,Muuttujat!$H$5:$H$21,0),1)</f>
        <v>60.158234351438509</v>
      </c>
      <c r="P438" s="148">
        <f t="shared" si="163"/>
        <v>0.46497942775809187</v>
      </c>
      <c r="Q438" s="148">
        <f t="shared" si="164"/>
        <v>0.53502057224190813</v>
      </c>
      <c r="R438" s="148">
        <f t="shared" si="165"/>
        <v>0.53502057224190813</v>
      </c>
      <c r="S438" s="149">
        <f t="shared" si="154"/>
        <v>0</v>
      </c>
      <c r="T438" s="150">
        <f t="shared" si="155"/>
        <v>0</v>
      </c>
      <c r="U438" s="150">
        <f t="shared" si="156"/>
        <v>0</v>
      </c>
      <c r="V438" s="150">
        <f>IFERROR(INDEX(Työkonekanta!$J$3:$J$27,MATCH($A438,Työkonekanta!$A$3:$A$24,0),1)*$B438*ef_li_ion_akku/1000/1000/INDEX(Työkonekanta!$K$3:$K$27,MATCH($A438,Työkonekanta!$A$3:$A$24,0)),0)</f>
        <v>0</v>
      </c>
      <c r="W438" s="149">
        <f t="shared" si="172"/>
        <v>0</v>
      </c>
      <c r="X438" s="150">
        <f t="shared" si="173"/>
        <v>0</v>
      </c>
      <c r="Y438" s="151">
        <f t="shared" si="174"/>
        <v>0</v>
      </c>
      <c r="Z438" s="152">
        <f t="shared" si="166"/>
        <v>0</v>
      </c>
      <c r="AA438" s="179">
        <f t="shared" si="167"/>
        <v>0</v>
      </c>
      <c r="AB438" s="179">
        <f t="shared" si="168"/>
        <v>0</v>
      </c>
      <c r="AC438" s="180">
        <f t="shared" si="175"/>
        <v>0</v>
      </c>
      <c r="AD438" s="156">
        <f t="shared" si="169"/>
        <v>0</v>
      </c>
      <c r="AE438" s="146">
        <f>IFERROR(INDEX(Työkonekanta!$L$3:$L$30,MATCH($A438,Työkonekanta!$A$3:$A$30,0),1),0)*AF438</f>
        <v>0</v>
      </c>
      <c r="AF438" s="146">
        <f>IFERROR(INDEX(Työkonekanta!$N$3:$N$32,MATCH($A438,Työkonekanta!$A$3:$A$32,0),1),0)</f>
        <v>0</v>
      </c>
      <c r="AG438" s="332">
        <f>I438*INDEX(Muuttujat!$U$5:$U$21,MATCH($C438,Muuttujat!$N$5:$N$21,0),1)</f>
        <v>0</v>
      </c>
      <c r="AH438" s="332">
        <f>J438*INDEX(Muuttujat!$T$5:$T$21,MATCH($C438,Muuttujat!$N$5:$N$21,0),1)</f>
        <v>0</v>
      </c>
      <c r="AI438" s="332">
        <f t="shared" si="157"/>
        <v>0</v>
      </c>
      <c r="AJ438" s="332">
        <f t="shared" si="158"/>
        <v>0</v>
      </c>
      <c r="AK438" s="333">
        <f t="shared" si="170"/>
        <v>0</v>
      </c>
      <c r="AL438" s="332">
        <f t="shared" si="159"/>
        <v>0</v>
      </c>
      <c r="AM438" s="351"/>
      <c r="AN438" s="351"/>
    </row>
    <row r="439" spans="1:40">
      <c r="A439" s="139">
        <v>17</v>
      </c>
      <c r="B439" s="139">
        <f>IFERROR(IF((INDEX(Työkonekanta!$F$3:$F$27,MATCH('S3 Tiekartta'!$A439,Työkonekanta!$A$3:$A$24,0),1))&lt;0,0,(INDEX(Työkonekanta!$F$3:$F$27,MATCH('S3 Tiekartta'!$A439,Työkonekanta!$A$3:$A$24,0),1))),0)</f>
        <v>1</v>
      </c>
      <c r="C439" s="140">
        <v>2033</v>
      </c>
      <c r="D439" s="141" t="str">
        <f>IFERROR(INDEX(Työkonekanta!$D$3:$D$27,MATCH('S3 Tiekartta'!$A439,Työkonekanta!$A$3:$A$24,0),1),"undefined")</f>
        <v>pom</v>
      </c>
      <c r="E439" s="145">
        <f>IFERROR(INDEX(Työkonekanta!$G$3:$G$27,MATCH($A439,Työkonekanta!$A$3:$A$24,0),1)*INDEX(Työkonekanta!$H$3:$H$27,MATCH($A439,Työkonekanta!$A$3:$A$24,0),1)*(1+s0b_kasvu*($C439-2019))*$B439,0)</f>
        <v>11400.000000000002</v>
      </c>
      <c r="F439" s="145">
        <f t="shared" si="151"/>
        <v>409260.00000000006</v>
      </c>
      <c r="G439" s="151">
        <f t="shared" si="160"/>
        <v>190297.4806042767</v>
      </c>
      <c r="H439" s="145">
        <f t="shared" si="161"/>
        <v>218962.51939572336</v>
      </c>
      <c r="I439" s="145">
        <f t="shared" si="152"/>
        <v>5300.7654764422477</v>
      </c>
      <c r="J439" s="145">
        <f t="shared" si="153"/>
        <v>6383.7469211581156</v>
      </c>
      <c r="K439" s="142" t="str">
        <f t="shared" si="162"/>
        <v>l</v>
      </c>
      <c r="L439" s="146">
        <f>IFERROR(INDEX(Työkonekanta!$I$3:$I$27,MATCH('S3 Tiekartta'!$A439,Työkonekanta!$A$3:$A$24,0),1)*(I439+J439)*f_adblue,0)</f>
        <v>584.22561988001814</v>
      </c>
      <c r="M439" s="146">
        <f t="shared" si="171"/>
        <v>0</v>
      </c>
      <c r="N439" s="143" t="str">
        <f>IF(tuulisähkö_vuosi&lt;='S3 Tiekartta'!C439,"tuulisähkö",ostosähkö_nyt)</f>
        <v>jäännössähkö</v>
      </c>
      <c r="O439" s="147">
        <f>INDEX(Muuttujat!$J$5:$J$21,MATCH($C439,Muuttujat!$H$5:$H$21,0),1)</f>
        <v>60.158234351438509</v>
      </c>
      <c r="P439" s="148">
        <f t="shared" si="163"/>
        <v>0.46497942775809187</v>
      </c>
      <c r="Q439" s="148">
        <f t="shared" si="164"/>
        <v>0.53502057224190813</v>
      </c>
      <c r="R439" s="148">
        <f t="shared" si="165"/>
        <v>0.53502057224190813</v>
      </c>
      <c r="S439" s="149">
        <f t="shared" si="154"/>
        <v>3.5966223834208289</v>
      </c>
      <c r="T439" s="150">
        <f t="shared" si="155"/>
        <v>13.663261210293136</v>
      </c>
      <c r="U439" s="150">
        <f t="shared" si="156"/>
        <v>0</v>
      </c>
      <c r="V439" s="150">
        <f>IFERROR(INDEX(Työkonekanta!$J$3:$J$27,MATCH($A439,Työkonekanta!$A$3:$A$24,0),1)*$B439*ef_li_ion_akku/1000/1000/INDEX(Työkonekanta!$K$3:$K$27,MATCH($A439,Työkonekanta!$A$3:$A$24,0)),0)</f>
        <v>0</v>
      </c>
      <c r="W439" s="149">
        <f t="shared" si="172"/>
        <v>14.045524837008182</v>
      </c>
      <c r="X439" s="150">
        <f t="shared" si="173"/>
        <v>0.36223005240000006</v>
      </c>
      <c r="Y439" s="151">
        <f t="shared" si="174"/>
        <v>0.15189866116880471</v>
      </c>
      <c r="Z439" s="152">
        <f t="shared" si="166"/>
        <v>17.259883593713965</v>
      </c>
      <c r="AA439" s="179">
        <f t="shared" si="167"/>
        <v>14.197423498176986</v>
      </c>
      <c r="AB439" s="179">
        <f t="shared" si="168"/>
        <v>14.559653550576986</v>
      </c>
      <c r="AC439" s="180">
        <f t="shared" si="175"/>
        <v>31.457307091890954</v>
      </c>
      <c r="AD439" s="156">
        <f t="shared" si="169"/>
        <v>31.819537144290951</v>
      </c>
      <c r="AE439" s="146">
        <f>IFERROR(INDEX(Työkonekanta!$L$3:$L$30,MATCH($A439,Työkonekanta!$A$3:$A$30,0),1),0)*AF439</f>
        <v>500000</v>
      </c>
      <c r="AF439" s="146">
        <f>IFERROR(INDEX(Työkonekanta!$N$3:$N$32,MATCH($A439,Työkonekanta!$A$3:$A$32,0),1),0)</f>
        <v>1</v>
      </c>
      <c r="AG439" s="332">
        <f>I439*INDEX(Muuttujat!$U$5:$U$21,MATCH($C439,Muuttujat!$N$5:$N$21,0),1)</f>
        <v>5565.8037502643601</v>
      </c>
      <c r="AH439" s="332">
        <f>J439*INDEX(Muuttujat!$T$5:$T$21,MATCH($C439,Muuttujat!$N$5:$N$21,0),1)</f>
        <v>9256.4330356792689</v>
      </c>
      <c r="AI439" s="332">
        <f t="shared" si="157"/>
        <v>292.11280994000907</v>
      </c>
      <c r="AJ439" s="332">
        <f t="shared" si="158"/>
        <v>0</v>
      </c>
      <c r="AK439" s="333">
        <f t="shared" si="170"/>
        <v>15114.349595883637</v>
      </c>
      <c r="AL439" s="332">
        <f t="shared" si="159"/>
        <v>15114.349595883637</v>
      </c>
      <c r="AM439" s="351"/>
      <c r="AN439" s="351"/>
    </row>
    <row r="440" spans="1:40">
      <c r="A440" s="139">
        <v>18</v>
      </c>
      <c r="B440" s="139">
        <f>IFERROR(IF((INDEX(Työkonekanta!$F$3:$F$27,MATCH('S3 Tiekartta'!$A440,Työkonekanta!$A$3:$A$24,0),1))&lt;0,0,(INDEX(Työkonekanta!$F$3:$F$27,MATCH('S3 Tiekartta'!$A440,Työkonekanta!$A$3:$A$24,0),1))),0)</f>
        <v>1</v>
      </c>
      <c r="C440" s="140">
        <v>2033</v>
      </c>
      <c r="D440" s="141" t="str">
        <f>IFERROR(INDEX(Työkonekanta!$D$3:$D$27,MATCH('S3 Tiekartta'!$A440,Työkonekanta!$A$3:$A$24,0),1),"undefined")</f>
        <v>pom</v>
      </c>
      <c r="E440" s="145">
        <f>IFERROR(INDEX(Työkonekanta!$G$3:$G$27,MATCH($A440,Työkonekanta!$A$3:$A$24,0),1)*INDEX(Työkonekanta!$H$3:$H$27,MATCH($A440,Työkonekanta!$A$3:$A$24,0),1)*(1+s0b_kasvu*($C440-2019))*$B440,0)</f>
        <v>11400.000000000002</v>
      </c>
      <c r="F440" s="145">
        <f t="shared" si="151"/>
        <v>409260.00000000006</v>
      </c>
      <c r="G440" s="151">
        <f t="shared" si="160"/>
        <v>190297.4806042767</v>
      </c>
      <c r="H440" s="145">
        <f t="shared" si="161"/>
        <v>218962.51939572336</v>
      </c>
      <c r="I440" s="145">
        <f t="shared" si="152"/>
        <v>5300.7654764422477</v>
      </c>
      <c r="J440" s="145">
        <f t="shared" si="153"/>
        <v>6383.7469211581156</v>
      </c>
      <c r="K440" s="142" t="str">
        <f t="shared" si="162"/>
        <v>l</v>
      </c>
      <c r="L440" s="146">
        <f>IFERROR(INDEX(Työkonekanta!$I$3:$I$27,MATCH('S3 Tiekartta'!$A440,Työkonekanta!$A$3:$A$24,0),1)*(I440+J440)*f_adblue,0)</f>
        <v>467.38049590401454</v>
      </c>
      <c r="M440" s="146">
        <f t="shared" si="171"/>
        <v>0</v>
      </c>
      <c r="N440" s="143" t="str">
        <f>IF(tuulisähkö_vuosi&lt;='S3 Tiekartta'!C440,"tuulisähkö",ostosähkö_nyt)</f>
        <v>jäännössähkö</v>
      </c>
      <c r="O440" s="147">
        <f>INDEX(Muuttujat!$J$5:$J$21,MATCH($C440,Muuttujat!$H$5:$H$21,0),1)</f>
        <v>60.158234351438509</v>
      </c>
      <c r="P440" s="148">
        <f t="shared" si="163"/>
        <v>0.46497942775809187</v>
      </c>
      <c r="Q440" s="148">
        <f t="shared" si="164"/>
        <v>0.53502057224190813</v>
      </c>
      <c r="R440" s="148">
        <f t="shared" si="165"/>
        <v>0.53502057224190813</v>
      </c>
      <c r="S440" s="149">
        <f t="shared" si="154"/>
        <v>3.5966223834208289</v>
      </c>
      <c r="T440" s="150">
        <f t="shared" si="155"/>
        <v>13.663261210293136</v>
      </c>
      <c r="U440" s="150">
        <f t="shared" si="156"/>
        <v>0</v>
      </c>
      <c r="V440" s="150">
        <f>IFERROR(INDEX(Työkonekanta!$J$3:$J$27,MATCH($A440,Työkonekanta!$A$3:$A$24,0),1)*$B440*ef_li_ion_akku/1000/1000/INDEX(Työkonekanta!$K$3:$K$27,MATCH($A440,Työkonekanta!$A$3:$A$24,0)),0)</f>
        <v>0</v>
      </c>
      <c r="W440" s="149">
        <f t="shared" si="172"/>
        <v>14.045524837008182</v>
      </c>
      <c r="X440" s="150">
        <f t="shared" si="173"/>
        <v>0.36223005240000006</v>
      </c>
      <c r="Y440" s="151">
        <f t="shared" si="174"/>
        <v>0.12151892893504378</v>
      </c>
      <c r="Z440" s="152">
        <f t="shared" si="166"/>
        <v>17.259883593713965</v>
      </c>
      <c r="AA440" s="179">
        <f t="shared" si="167"/>
        <v>14.167043765943227</v>
      </c>
      <c r="AB440" s="179">
        <f t="shared" si="168"/>
        <v>14.529273818343226</v>
      </c>
      <c r="AC440" s="180">
        <f t="shared" si="175"/>
        <v>31.426927359657192</v>
      </c>
      <c r="AD440" s="156">
        <f t="shared" si="169"/>
        <v>31.789157412057193</v>
      </c>
      <c r="AE440" s="146">
        <f>IFERROR(INDEX(Työkonekanta!$L$3:$L$30,MATCH($A440,Työkonekanta!$A$3:$A$30,0),1),0)*AF440</f>
        <v>500000</v>
      </c>
      <c r="AF440" s="146">
        <f>IFERROR(INDEX(Työkonekanta!$N$3:$N$32,MATCH($A440,Työkonekanta!$A$3:$A$32,0),1),0)</f>
        <v>1</v>
      </c>
      <c r="AG440" s="332">
        <f>I440*INDEX(Muuttujat!$U$5:$U$21,MATCH($C440,Muuttujat!$N$5:$N$21,0),1)</f>
        <v>5565.8037502643601</v>
      </c>
      <c r="AH440" s="332">
        <f>J440*INDEX(Muuttujat!$T$5:$T$21,MATCH($C440,Muuttujat!$N$5:$N$21,0),1)</f>
        <v>9256.4330356792689</v>
      </c>
      <c r="AI440" s="332">
        <f t="shared" si="157"/>
        <v>233.69024795200727</v>
      </c>
      <c r="AJ440" s="332">
        <f t="shared" si="158"/>
        <v>0</v>
      </c>
      <c r="AK440" s="333">
        <f t="shared" si="170"/>
        <v>15055.927033895636</v>
      </c>
      <c r="AL440" s="332">
        <f t="shared" si="159"/>
        <v>15055.927033895636</v>
      </c>
      <c r="AM440" s="351"/>
      <c r="AN440" s="351"/>
    </row>
    <row r="441" spans="1:40">
      <c r="A441" s="139">
        <v>19</v>
      </c>
      <c r="B441" s="139">
        <f>IFERROR(IF((INDEX(Työkonekanta!$F$3:$F$27,MATCH('S3 Tiekartta'!$A441,Työkonekanta!$A$3:$A$24,0),1))&lt;0,0,(INDEX(Työkonekanta!$F$3:$F$27,MATCH('S3 Tiekartta'!$A441,Työkonekanta!$A$3:$A$24,0),1))),0)</f>
        <v>0</v>
      </c>
      <c r="C441" s="140">
        <v>2033</v>
      </c>
      <c r="D441" s="141" t="str">
        <f>IFERROR(INDEX(Työkonekanta!$D$3:$D$27,MATCH('S3 Tiekartta'!$A441,Työkonekanta!$A$3:$A$24,0),1),"undefined")</f>
        <v>pom</v>
      </c>
      <c r="E441" s="145">
        <f>IFERROR(INDEX(Työkonekanta!$G$3:$G$27,MATCH($A441,Työkonekanta!$A$3:$A$24,0),1)*INDEX(Työkonekanta!$H$3:$H$27,MATCH($A441,Työkonekanta!$A$3:$A$24,0),1)*(1+s0b_kasvu*($C441-2019))*$B441,0)</f>
        <v>0</v>
      </c>
      <c r="F441" s="145">
        <f t="shared" si="151"/>
        <v>0</v>
      </c>
      <c r="G441" s="151">
        <f t="shared" si="160"/>
        <v>0</v>
      </c>
      <c r="H441" s="145">
        <f t="shared" si="161"/>
        <v>0</v>
      </c>
      <c r="I441" s="145">
        <f t="shared" si="152"/>
        <v>0</v>
      </c>
      <c r="J441" s="145">
        <f t="shared" si="153"/>
        <v>0</v>
      </c>
      <c r="K441" s="142" t="str">
        <f t="shared" si="162"/>
        <v>l</v>
      </c>
      <c r="L441" s="146">
        <f>IFERROR(INDEX(Työkonekanta!$I$3:$I$27,MATCH('S3 Tiekartta'!$A441,Työkonekanta!$A$3:$A$24,0),1)*(I441+J441)*f_adblue,0)</f>
        <v>0</v>
      </c>
      <c r="M441" s="146">
        <f t="shared" si="171"/>
        <v>0</v>
      </c>
      <c r="N441" s="143" t="str">
        <f>IF(tuulisähkö_vuosi&lt;='S3 Tiekartta'!C441,"tuulisähkö",ostosähkö_nyt)</f>
        <v>jäännössähkö</v>
      </c>
      <c r="O441" s="147">
        <f>INDEX(Muuttujat!$J$5:$J$21,MATCH($C441,Muuttujat!$H$5:$H$21,0),1)</f>
        <v>60.158234351438509</v>
      </c>
      <c r="P441" s="148">
        <f t="shared" si="163"/>
        <v>0.46497942775809187</v>
      </c>
      <c r="Q441" s="148">
        <f t="shared" si="164"/>
        <v>0.53502057224190813</v>
      </c>
      <c r="R441" s="148">
        <f t="shared" si="165"/>
        <v>0.53502057224190813</v>
      </c>
      <c r="S441" s="149">
        <f t="shared" si="154"/>
        <v>0</v>
      </c>
      <c r="T441" s="150">
        <f t="shared" si="155"/>
        <v>0</v>
      </c>
      <c r="U441" s="150">
        <f t="shared" si="156"/>
        <v>0</v>
      </c>
      <c r="V441" s="150">
        <f>IFERROR(INDEX(Työkonekanta!$J$3:$J$27,MATCH($A441,Työkonekanta!$A$3:$A$24,0),1)*$B441*ef_li_ion_akku/1000/1000/INDEX(Työkonekanta!$K$3:$K$27,MATCH($A441,Työkonekanta!$A$3:$A$24,0)),0)</f>
        <v>0</v>
      </c>
      <c r="W441" s="149">
        <f t="shared" si="172"/>
        <v>0</v>
      </c>
      <c r="X441" s="150">
        <f t="shared" si="173"/>
        <v>0</v>
      </c>
      <c r="Y441" s="151">
        <f t="shared" si="174"/>
        <v>0</v>
      </c>
      <c r="Z441" s="152">
        <f t="shared" si="166"/>
        <v>0</v>
      </c>
      <c r="AA441" s="179">
        <f t="shared" si="167"/>
        <v>0</v>
      </c>
      <c r="AB441" s="179">
        <f t="shared" si="168"/>
        <v>0</v>
      </c>
      <c r="AC441" s="180">
        <f t="shared" si="175"/>
        <v>0</v>
      </c>
      <c r="AD441" s="156">
        <f t="shared" si="169"/>
        <v>0</v>
      </c>
      <c r="AE441" s="146">
        <f>IFERROR(INDEX(Työkonekanta!$L$3:$L$30,MATCH($A441,Työkonekanta!$A$3:$A$30,0),1),0)*AF441</f>
        <v>0</v>
      </c>
      <c r="AF441" s="146">
        <f>IFERROR(INDEX(Työkonekanta!$N$3:$N$32,MATCH($A441,Työkonekanta!$A$3:$A$32,0),1),0)</f>
        <v>0</v>
      </c>
      <c r="AG441" s="332">
        <f>I441*INDEX(Muuttujat!$U$5:$U$21,MATCH($C441,Muuttujat!$N$5:$N$21,0),1)</f>
        <v>0</v>
      </c>
      <c r="AH441" s="332">
        <f>J441*INDEX(Muuttujat!$T$5:$T$21,MATCH($C441,Muuttujat!$N$5:$N$21,0),1)</f>
        <v>0</v>
      </c>
      <c r="AI441" s="332">
        <f t="shared" si="157"/>
        <v>0</v>
      </c>
      <c r="AJ441" s="332">
        <f t="shared" si="158"/>
        <v>0</v>
      </c>
      <c r="AK441" s="333">
        <f t="shared" si="170"/>
        <v>0</v>
      </c>
      <c r="AL441" s="332">
        <f t="shared" si="159"/>
        <v>0</v>
      </c>
      <c r="AM441" s="351"/>
      <c r="AN441" s="351"/>
    </row>
    <row r="442" spans="1:40">
      <c r="A442" s="139">
        <v>20</v>
      </c>
      <c r="B442" s="139">
        <f>IFERROR(IF((INDEX(Työkonekanta!$F$3:$F$27,MATCH('S3 Tiekartta'!$A442,Työkonekanta!$A$3:$A$24,0),1))&lt;0,0,(INDEX(Työkonekanta!$F$3:$F$27,MATCH('S3 Tiekartta'!$A442,Työkonekanta!$A$3:$A$24,0),1))),0)</f>
        <v>0</v>
      </c>
      <c r="C442" s="140">
        <v>2033</v>
      </c>
      <c r="D442" s="141" t="str">
        <f>IFERROR(INDEX(Työkonekanta!$D$3:$D$27,MATCH('S3 Tiekartta'!$A442,Työkonekanta!$A$3:$A$24,0),1),"undefined")</f>
        <v>pom</v>
      </c>
      <c r="E442" s="145">
        <f>IFERROR(INDEX(Työkonekanta!$G$3:$G$27,MATCH($A442,Työkonekanta!$A$3:$A$24,0),1)*INDEX(Työkonekanta!$H$3:$H$27,MATCH($A442,Työkonekanta!$A$3:$A$24,0),1)*(1+s0b_kasvu*($C442-2019))*$B442,0)</f>
        <v>0</v>
      </c>
      <c r="F442" s="145">
        <f t="shared" si="151"/>
        <v>0</v>
      </c>
      <c r="G442" s="151">
        <f t="shared" si="160"/>
        <v>0</v>
      </c>
      <c r="H442" s="145">
        <f t="shared" si="161"/>
        <v>0</v>
      </c>
      <c r="I442" s="145">
        <f t="shared" si="152"/>
        <v>0</v>
      </c>
      <c r="J442" s="145">
        <f t="shared" si="153"/>
        <v>0</v>
      </c>
      <c r="K442" s="142" t="str">
        <f t="shared" si="162"/>
        <v>l</v>
      </c>
      <c r="L442" s="146">
        <f>IFERROR(INDEX(Työkonekanta!$I$3:$I$27,MATCH('S3 Tiekartta'!$A442,Työkonekanta!$A$3:$A$24,0),1)*(I442+J442)*f_adblue,0)</f>
        <v>0</v>
      </c>
      <c r="M442" s="146">
        <f t="shared" si="171"/>
        <v>0</v>
      </c>
      <c r="N442" s="143" t="str">
        <f>IF(tuulisähkö_vuosi&lt;='S3 Tiekartta'!C442,"tuulisähkö",ostosähkö_nyt)</f>
        <v>jäännössähkö</v>
      </c>
      <c r="O442" s="147">
        <f>INDEX(Muuttujat!$J$5:$J$21,MATCH($C442,Muuttujat!$H$5:$H$21,0),1)</f>
        <v>60.158234351438509</v>
      </c>
      <c r="P442" s="148">
        <f t="shared" si="163"/>
        <v>0.46497942775809187</v>
      </c>
      <c r="Q442" s="148">
        <f t="shared" si="164"/>
        <v>0.53502057224190813</v>
      </c>
      <c r="R442" s="148">
        <f t="shared" si="165"/>
        <v>0.53502057224190813</v>
      </c>
      <c r="S442" s="149">
        <f t="shared" si="154"/>
        <v>0</v>
      </c>
      <c r="T442" s="150">
        <f t="shared" si="155"/>
        <v>0</v>
      </c>
      <c r="U442" s="150">
        <f t="shared" si="156"/>
        <v>0</v>
      </c>
      <c r="V442" s="150">
        <f>IFERROR(INDEX(Työkonekanta!$J$3:$J$27,MATCH($A442,Työkonekanta!$A$3:$A$24,0),1)*$B442*ef_li_ion_akku/1000/1000/INDEX(Työkonekanta!$K$3:$K$27,MATCH($A442,Työkonekanta!$A$3:$A$24,0)),0)</f>
        <v>0</v>
      </c>
      <c r="W442" s="149">
        <f t="shared" si="172"/>
        <v>0</v>
      </c>
      <c r="X442" s="150">
        <f t="shared" si="173"/>
        <v>0</v>
      </c>
      <c r="Y442" s="151">
        <f t="shared" si="174"/>
        <v>0</v>
      </c>
      <c r="Z442" s="152">
        <f t="shared" si="166"/>
        <v>0</v>
      </c>
      <c r="AA442" s="179">
        <f t="shared" si="167"/>
        <v>0</v>
      </c>
      <c r="AB442" s="179">
        <f t="shared" si="168"/>
        <v>0</v>
      </c>
      <c r="AC442" s="180">
        <f t="shared" si="175"/>
        <v>0</v>
      </c>
      <c r="AD442" s="156">
        <f t="shared" si="169"/>
        <v>0</v>
      </c>
      <c r="AE442" s="146">
        <f>IFERROR(INDEX(Työkonekanta!$L$3:$L$30,MATCH($A442,Työkonekanta!$A$3:$A$30,0),1),0)*AF442</f>
        <v>0</v>
      </c>
      <c r="AF442" s="146">
        <f>IFERROR(INDEX(Työkonekanta!$N$3:$N$32,MATCH($A442,Työkonekanta!$A$3:$A$32,0),1),0)</f>
        <v>0</v>
      </c>
      <c r="AG442" s="332">
        <f>I442*INDEX(Muuttujat!$U$5:$U$21,MATCH($C442,Muuttujat!$N$5:$N$21,0),1)</f>
        <v>0</v>
      </c>
      <c r="AH442" s="332">
        <f>J442*INDEX(Muuttujat!$T$5:$T$21,MATCH($C442,Muuttujat!$N$5:$N$21,0),1)</f>
        <v>0</v>
      </c>
      <c r="AI442" s="332">
        <f t="shared" si="157"/>
        <v>0</v>
      </c>
      <c r="AJ442" s="332">
        <f t="shared" si="158"/>
        <v>0</v>
      </c>
      <c r="AK442" s="333">
        <f t="shared" si="170"/>
        <v>0</v>
      </c>
      <c r="AL442" s="332">
        <f t="shared" si="159"/>
        <v>0</v>
      </c>
      <c r="AM442" s="351"/>
      <c r="AN442" s="351"/>
    </row>
    <row r="443" spans="1:40">
      <c r="A443" s="139">
        <v>21</v>
      </c>
      <c r="B443" s="139">
        <f>IFERROR(IF((INDEX(Työkonekanta!$F$3:$F$27,MATCH('S3 Tiekartta'!$A443,Työkonekanta!$A$3:$A$24,0),1))&lt;0,0,(INDEX(Työkonekanta!$F$3:$F$27,MATCH('S3 Tiekartta'!$A443,Työkonekanta!$A$3:$A$24,0),1))),0)</f>
        <v>35</v>
      </c>
      <c r="C443" s="140">
        <v>2033</v>
      </c>
      <c r="D443" s="141" t="str">
        <f>IFERROR(INDEX(Työkonekanta!$D$3:$D$27,MATCH('S3 Tiekartta'!$A443,Työkonekanta!$A$3:$A$24,0),1),"undefined")</f>
        <v>sähkö</v>
      </c>
      <c r="E443" s="145">
        <f>IFERROR(INDEX(Työkonekanta!$G$3:$G$27,MATCH($A443,Työkonekanta!$A$3:$A$24,0),1)*INDEX(Työkonekanta!$H$3:$H$27,MATCH($A443,Työkonekanta!$A$3:$A$24,0),1)*(1+s0b_kasvu*($C443-2019))*$B443,0)</f>
        <v>464206.9444444445</v>
      </c>
      <c r="F443" s="145">
        <f t="shared" si="151"/>
        <v>0</v>
      </c>
      <c r="G443" s="151">
        <f t="shared" si="160"/>
        <v>0</v>
      </c>
      <c r="H443" s="145">
        <f t="shared" si="161"/>
        <v>0</v>
      </c>
      <c r="I443" s="145">
        <f t="shared" si="152"/>
        <v>0</v>
      </c>
      <c r="J443" s="145">
        <f t="shared" si="153"/>
        <v>0</v>
      </c>
      <c r="K443" s="142" t="str">
        <f t="shared" si="162"/>
        <v>kWh</v>
      </c>
      <c r="L443" s="146">
        <f>IFERROR(INDEX(Työkonekanta!$I$3:$I$27,MATCH('S3 Tiekartta'!$A443,Työkonekanta!$A$3:$A$24,0),1)*(I443+J443)*f_adblue,0)</f>
        <v>0</v>
      </c>
      <c r="M443" s="146">
        <f t="shared" si="171"/>
        <v>1671145.0000000002</v>
      </c>
      <c r="N443" s="143" t="str">
        <f>IF(tuulisähkö_vuosi&lt;='S3 Tiekartta'!C443,"tuulisähkö",ostosähkö_nyt)</f>
        <v>jäännössähkö</v>
      </c>
      <c r="O443" s="147">
        <f>INDEX(Muuttujat!$J$5:$J$21,MATCH($C443,Muuttujat!$H$5:$H$21,0),1)</f>
        <v>60.158234351438509</v>
      </c>
      <c r="P443" s="148">
        <f t="shared" si="163"/>
        <v>0.46497942775809187</v>
      </c>
      <c r="Q443" s="148">
        <f t="shared" si="164"/>
        <v>0.53502057224190813</v>
      </c>
      <c r="R443" s="148">
        <f t="shared" si="165"/>
        <v>0.53502057224190813</v>
      </c>
      <c r="S443" s="149">
        <f t="shared" si="154"/>
        <v>0</v>
      </c>
      <c r="T443" s="150">
        <f t="shared" si="155"/>
        <v>0</v>
      </c>
      <c r="U443" s="150">
        <f t="shared" si="156"/>
        <v>100.53313254523472</v>
      </c>
      <c r="V443" s="150">
        <f>IFERROR(INDEX(Työkonekanta!$J$3:$J$27,MATCH($A443,Työkonekanta!$A$3:$A$24,0),1)*$B443*ef_li_ion_akku/1000/1000/INDEX(Työkonekanta!$K$3:$K$27,MATCH($A443,Työkonekanta!$A$3:$A$24,0)),0)</f>
        <v>43.121723076923082</v>
      </c>
      <c r="W443" s="149">
        <f t="shared" si="172"/>
        <v>0</v>
      </c>
      <c r="X443" s="150">
        <f t="shared" si="173"/>
        <v>0</v>
      </c>
      <c r="Y443" s="151">
        <f t="shared" si="174"/>
        <v>0</v>
      </c>
      <c r="Z443" s="152">
        <f t="shared" si="166"/>
        <v>143.65485562215781</v>
      </c>
      <c r="AA443" s="179">
        <f t="shared" si="167"/>
        <v>0</v>
      </c>
      <c r="AB443" s="179">
        <f t="shared" si="168"/>
        <v>0</v>
      </c>
      <c r="AC443" s="180">
        <f t="shared" si="175"/>
        <v>143.65485562215781</v>
      </c>
      <c r="AD443" s="156">
        <f t="shared" si="169"/>
        <v>143.65485562215781</v>
      </c>
      <c r="AE443" s="146">
        <f>IFERROR(INDEX(Työkonekanta!$L$3:$L$30,MATCH($A443,Työkonekanta!$A$3:$A$30,0),1),0)*AF443</f>
        <v>1820000</v>
      </c>
      <c r="AF443" s="146">
        <f>IFERROR(INDEX(Työkonekanta!$N$3:$N$32,MATCH($A443,Työkonekanta!$A$3:$A$32,0),1),0)</f>
        <v>7</v>
      </c>
      <c r="AG443" s="332">
        <f>I443*INDEX(Muuttujat!$U$5:$U$21,MATCH($C443,Muuttujat!$N$5:$N$21,0),1)</f>
        <v>0</v>
      </c>
      <c r="AH443" s="332">
        <f>J443*INDEX(Muuttujat!$T$5:$T$21,MATCH($C443,Muuttujat!$N$5:$N$21,0),1)</f>
        <v>0</v>
      </c>
      <c r="AI443" s="332">
        <f t="shared" si="157"/>
        <v>0</v>
      </c>
      <c r="AJ443" s="332">
        <f t="shared" si="158"/>
        <v>41082.31458333334</v>
      </c>
      <c r="AK443" s="333">
        <f t="shared" si="170"/>
        <v>41082.31458333334</v>
      </c>
      <c r="AL443" s="332">
        <f t="shared" si="159"/>
        <v>1173.780416666667</v>
      </c>
      <c r="AM443" s="351"/>
      <c r="AN443" s="351"/>
    </row>
    <row r="444" spans="1:40">
      <c r="A444" s="139">
        <v>22</v>
      </c>
      <c r="B444" s="139">
        <f>IFERROR(IF((INDEX(Työkonekanta!$F$3:$F$27,MATCH('S3 Tiekartta'!$A444,Työkonekanta!$A$3:$A$24,0),1))&lt;0,0,(INDEX(Työkonekanta!$F$3:$F$27,MATCH('S3 Tiekartta'!$A444,Työkonekanta!$A$3:$A$24,0),1))),0)</f>
        <v>0</v>
      </c>
      <c r="C444" s="140">
        <v>2033</v>
      </c>
      <c r="D444" s="141" t="str">
        <f>IFERROR(INDEX(Työkonekanta!$D$3:$D$27,MATCH('S3 Tiekartta'!$A444,Työkonekanta!$A$3:$A$24,0),1),"undefined")</f>
        <v>sähkö</v>
      </c>
      <c r="E444" s="145">
        <f>IFERROR(INDEX(Työkonekanta!$G$3:$G$27,MATCH($A444,Työkonekanta!$A$3:$A$24,0),1)*INDEX(Työkonekanta!$H$3:$H$27,MATCH($A444,Työkonekanta!$A$3:$A$24,0),1)*(1+s0b_kasvu*($C444-2019))*$B444,0)</f>
        <v>0</v>
      </c>
      <c r="F444" s="145">
        <f t="shared" si="151"/>
        <v>0</v>
      </c>
      <c r="G444" s="151">
        <f t="shared" si="160"/>
        <v>0</v>
      </c>
      <c r="H444" s="145">
        <f t="shared" si="161"/>
        <v>0</v>
      </c>
      <c r="I444" s="145">
        <f t="shared" si="152"/>
        <v>0</v>
      </c>
      <c r="J444" s="145">
        <f t="shared" si="153"/>
        <v>0</v>
      </c>
      <c r="K444" s="142" t="str">
        <f t="shared" si="162"/>
        <v>kWh</v>
      </c>
      <c r="L444" s="146">
        <f>IFERROR(INDEX(Työkonekanta!$I$3:$I$27,MATCH('S3 Tiekartta'!$A444,Työkonekanta!$A$3:$A$24,0),1)*(I444+J444)*f_adblue,0)</f>
        <v>0</v>
      </c>
      <c r="M444" s="146">
        <f t="shared" si="171"/>
        <v>0</v>
      </c>
      <c r="N444" s="143" t="str">
        <f>IF(tuulisähkö_vuosi&lt;='S3 Tiekartta'!C444,"tuulisähkö",ostosähkö_nyt)</f>
        <v>jäännössähkö</v>
      </c>
      <c r="O444" s="147">
        <f>INDEX(Muuttujat!$J$5:$J$21,MATCH($C444,Muuttujat!$H$5:$H$21,0),1)</f>
        <v>60.158234351438509</v>
      </c>
      <c r="P444" s="148">
        <f t="shared" si="163"/>
        <v>0.46497942775809187</v>
      </c>
      <c r="Q444" s="148">
        <f t="shared" si="164"/>
        <v>0.53502057224190813</v>
      </c>
      <c r="R444" s="148">
        <f t="shared" si="165"/>
        <v>0.53502057224190813</v>
      </c>
      <c r="S444" s="149">
        <f t="shared" si="154"/>
        <v>0</v>
      </c>
      <c r="T444" s="150">
        <f t="shared" si="155"/>
        <v>0</v>
      </c>
      <c r="U444" s="150">
        <f t="shared" si="156"/>
        <v>0</v>
      </c>
      <c r="V444" s="150">
        <f>IFERROR(INDEX(Työkonekanta!$J$3:$J$27,MATCH($A444,Työkonekanta!$A$3:$A$24,0),1)*$B444*ef_li_ion_akku/1000/1000/INDEX(Työkonekanta!$K$3:$K$27,MATCH($A444,Työkonekanta!$A$3:$A$24,0)),0)</f>
        <v>0</v>
      </c>
      <c r="W444" s="149">
        <f t="shared" si="172"/>
        <v>0</v>
      </c>
      <c r="X444" s="150">
        <f t="shared" si="173"/>
        <v>0</v>
      </c>
      <c r="Y444" s="151">
        <f t="shared" si="174"/>
        <v>0</v>
      </c>
      <c r="Z444" s="152">
        <f t="shared" si="166"/>
        <v>0</v>
      </c>
      <c r="AA444" s="179">
        <f t="shared" si="167"/>
        <v>0</v>
      </c>
      <c r="AB444" s="179">
        <f t="shared" si="168"/>
        <v>0</v>
      </c>
      <c r="AC444" s="180">
        <f t="shared" si="175"/>
        <v>0</v>
      </c>
      <c r="AD444" s="156">
        <f t="shared" si="169"/>
        <v>0</v>
      </c>
      <c r="AE444" s="146">
        <f>IFERROR(INDEX(Työkonekanta!$L$3:$L$30,MATCH($A444,Työkonekanta!$A$3:$A$30,0),1),0)*AF444</f>
        <v>0</v>
      </c>
      <c r="AF444" s="146">
        <f>IFERROR(INDEX(Työkonekanta!$N$3:$N$32,MATCH($A444,Työkonekanta!$A$3:$A$32,0),1),0)</f>
        <v>0</v>
      </c>
      <c r="AG444" s="332">
        <f>I444*INDEX(Muuttujat!$U$5:$U$21,MATCH($C444,Muuttujat!$N$5:$N$21,0),1)</f>
        <v>0</v>
      </c>
      <c r="AH444" s="332">
        <f>J444*INDEX(Muuttujat!$T$5:$T$21,MATCH($C444,Muuttujat!$N$5:$N$21,0),1)</f>
        <v>0</v>
      </c>
      <c r="AI444" s="332">
        <f t="shared" si="157"/>
        <v>0</v>
      </c>
      <c r="AJ444" s="332">
        <f t="shared" si="158"/>
        <v>0</v>
      </c>
      <c r="AK444" s="333">
        <f t="shared" si="170"/>
        <v>0</v>
      </c>
      <c r="AL444" s="332">
        <f t="shared" si="159"/>
        <v>0</v>
      </c>
      <c r="AM444" s="351"/>
      <c r="AN444" s="351"/>
    </row>
    <row r="445" spans="1:40">
      <c r="A445" s="139">
        <v>23</v>
      </c>
      <c r="B445" s="139">
        <f>IFERROR(IF((INDEX(Työkonekanta!$F$3:$F$27,MATCH('S3 Tiekartta'!$A445,Työkonekanta!$A$3:$A$24,0),1))&lt;0,0,(INDEX(Työkonekanta!$F$3:$F$27,MATCH('S3 Tiekartta'!$A445,Työkonekanta!$A$3:$A$24,0),1))),0)</f>
        <v>0</v>
      </c>
      <c r="C445" s="140">
        <v>2033</v>
      </c>
      <c r="D445" s="141" t="str">
        <f>IFERROR(INDEX(Työkonekanta!$D$3:$D$27,MATCH('S3 Tiekartta'!$A445,Työkonekanta!$A$3:$A$24,0),1),"undefined")</f>
        <v>undefined</v>
      </c>
      <c r="E445" s="145">
        <f>IFERROR(INDEX(Työkonekanta!$G$3:$G$27,MATCH($A445,Työkonekanta!$A$3:$A$24,0),1)*INDEX(Työkonekanta!$H$3:$H$27,MATCH($A445,Työkonekanta!$A$3:$A$24,0),1)*(1+s0b_kasvu*($C445-2019))*$B445,0)</f>
        <v>0</v>
      </c>
      <c r="F445" s="145">
        <f t="shared" si="151"/>
        <v>0</v>
      </c>
      <c r="G445" s="151">
        <f t="shared" si="160"/>
        <v>0</v>
      </c>
      <c r="H445" s="145">
        <f t="shared" si="161"/>
        <v>0</v>
      </c>
      <c r="I445" s="145">
        <f t="shared" si="152"/>
        <v>0</v>
      </c>
      <c r="J445" s="145">
        <f t="shared" si="153"/>
        <v>0</v>
      </c>
      <c r="K445" s="142" t="str">
        <f t="shared" si="162"/>
        <v>undefined</v>
      </c>
      <c r="L445" s="146">
        <f>IFERROR(INDEX(Työkonekanta!$I$3:$I$27,MATCH('S3 Tiekartta'!$A445,Työkonekanta!$A$3:$A$24,0),1)*(I445+J445)*f_adblue,0)</f>
        <v>0</v>
      </c>
      <c r="M445" s="146">
        <f t="shared" si="171"/>
        <v>0</v>
      </c>
      <c r="N445" s="143" t="str">
        <f>IF(tuulisähkö_vuosi&lt;='S3 Tiekartta'!C445,"tuulisähkö",ostosähkö_nyt)</f>
        <v>jäännössähkö</v>
      </c>
      <c r="O445" s="147">
        <f>INDEX(Muuttujat!$J$5:$J$21,MATCH($C445,Muuttujat!$H$5:$H$21,0),1)</f>
        <v>60.158234351438509</v>
      </c>
      <c r="P445" s="148">
        <f t="shared" si="163"/>
        <v>0.46497942775809187</v>
      </c>
      <c r="Q445" s="148">
        <f t="shared" si="164"/>
        <v>0.53502057224190813</v>
      </c>
      <c r="R445" s="148">
        <f t="shared" si="165"/>
        <v>0.53502057224190813</v>
      </c>
      <c r="S445" s="149">
        <f t="shared" si="154"/>
        <v>0</v>
      </c>
      <c r="T445" s="150">
        <f t="shared" si="155"/>
        <v>0</v>
      </c>
      <c r="U445" s="150">
        <f t="shared" si="156"/>
        <v>0</v>
      </c>
      <c r="V445" s="150">
        <f>IFERROR(INDEX(Työkonekanta!$J$3:$J$27,MATCH($A445,Työkonekanta!$A$3:$A$24,0),1)*$B445*ef_li_ion_akku/1000/1000/INDEX(Työkonekanta!$K$3:$K$27,MATCH($A445,Työkonekanta!$A$3:$A$24,0)),0)</f>
        <v>0</v>
      </c>
      <c r="W445" s="149">
        <f t="shared" si="172"/>
        <v>0</v>
      </c>
      <c r="X445" s="150">
        <f t="shared" si="173"/>
        <v>0</v>
      </c>
      <c r="Y445" s="151">
        <f t="shared" si="174"/>
        <v>0</v>
      </c>
      <c r="Z445" s="152">
        <f t="shared" si="166"/>
        <v>0</v>
      </c>
      <c r="AA445" s="179">
        <f t="shared" si="167"/>
        <v>0</v>
      </c>
      <c r="AB445" s="179">
        <f t="shared" si="168"/>
        <v>0</v>
      </c>
      <c r="AC445" s="180">
        <f t="shared" si="175"/>
        <v>0</v>
      </c>
      <c r="AD445" s="156">
        <f t="shared" si="169"/>
        <v>0</v>
      </c>
      <c r="AE445" s="146">
        <f>IFERROR(INDEX(Työkonekanta!$L$3:$L$30,MATCH($A445,Työkonekanta!$A$3:$A$30,0),1),0)*AF445</f>
        <v>0</v>
      </c>
      <c r="AF445" s="146">
        <f>IFERROR(INDEX(Työkonekanta!$N$3:$N$32,MATCH($A445,Työkonekanta!$A$3:$A$32,0),1),0)</f>
        <v>0</v>
      </c>
      <c r="AG445" s="332">
        <f>I445*INDEX(Muuttujat!$U$5:$U$21,MATCH($C445,Muuttujat!$N$5:$N$21,0),1)</f>
        <v>0</v>
      </c>
      <c r="AH445" s="332">
        <f>J445*INDEX(Muuttujat!$T$5:$T$21,MATCH($C445,Muuttujat!$N$5:$N$21,0),1)</f>
        <v>0</v>
      </c>
      <c r="AI445" s="332">
        <f t="shared" si="157"/>
        <v>0</v>
      </c>
      <c r="AJ445" s="332">
        <f t="shared" si="158"/>
        <v>0</v>
      </c>
      <c r="AK445" s="333">
        <f t="shared" si="170"/>
        <v>0</v>
      </c>
      <c r="AL445" s="332">
        <f t="shared" si="159"/>
        <v>0</v>
      </c>
      <c r="AM445" s="351"/>
      <c r="AN445" s="351"/>
    </row>
    <row r="446" spans="1:40">
      <c r="A446" s="139">
        <v>24</v>
      </c>
      <c r="B446" s="139">
        <f>IFERROR(IF((INDEX(Työkonekanta!$F$3:$F$27,MATCH('S3 Tiekartta'!$A446,Työkonekanta!$A$3:$A$24,0),1))&lt;0,0,(INDEX(Työkonekanta!$F$3:$F$27,MATCH('S3 Tiekartta'!$A446,Työkonekanta!$A$3:$A$24,0),1))),0)</f>
        <v>0</v>
      </c>
      <c r="C446" s="140">
        <v>2033</v>
      </c>
      <c r="D446" s="141" t="str">
        <f>IFERROR(INDEX(Työkonekanta!$D$3:$D$27,MATCH('S3 Tiekartta'!$A446,Työkonekanta!$A$3:$A$24,0),1),"undefined")</f>
        <v>undefined</v>
      </c>
      <c r="E446" s="145">
        <f>IFERROR(INDEX(Työkonekanta!$G$3:$G$27,MATCH($A446,Työkonekanta!$A$3:$A$24,0),1)*INDEX(Työkonekanta!$H$3:$H$27,MATCH($A446,Työkonekanta!$A$3:$A$24,0),1)*(1+s0b_kasvu*($C446-2019))*$B446,0)</f>
        <v>0</v>
      </c>
      <c r="F446" s="145">
        <f t="shared" si="151"/>
        <v>0</v>
      </c>
      <c r="G446" s="151">
        <f t="shared" si="160"/>
        <v>0</v>
      </c>
      <c r="H446" s="145">
        <f t="shared" si="161"/>
        <v>0</v>
      </c>
      <c r="I446" s="145">
        <f t="shared" si="152"/>
        <v>0</v>
      </c>
      <c r="J446" s="145">
        <f t="shared" si="153"/>
        <v>0</v>
      </c>
      <c r="K446" s="142" t="str">
        <f t="shared" si="162"/>
        <v>undefined</v>
      </c>
      <c r="L446" s="146">
        <f>IFERROR(INDEX(Työkonekanta!$I$3:$I$27,MATCH('S3 Tiekartta'!$A446,Työkonekanta!$A$3:$A$24,0),1)*(I446+J446)*f_adblue,0)</f>
        <v>0</v>
      </c>
      <c r="M446" s="146">
        <f t="shared" si="171"/>
        <v>0</v>
      </c>
      <c r="N446" s="143" t="str">
        <f>IF(tuulisähkö_vuosi&lt;='S3 Tiekartta'!C446,"tuulisähkö",ostosähkö_nyt)</f>
        <v>jäännössähkö</v>
      </c>
      <c r="O446" s="147">
        <f>INDEX(Muuttujat!$J$5:$J$21,MATCH($C446,Muuttujat!$H$5:$H$21,0),1)</f>
        <v>60.158234351438509</v>
      </c>
      <c r="P446" s="148">
        <f t="shared" si="163"/>
        <v>0.46497942775809187</v>
      </c>
      <c r="Q446" s="148">
        <f t="shared" si="164"/>
        <v>0.53502057224190813</v>
      </c>
      <c r="R446" s="148">
        <f t="shared" si="165"/>
        <v>0.53502057224190813</v>
      </c>
      <c r="S446" s="149">
        <f t="shared" si="154"/>
        <v>0</v>
      </c>
      <c r="T446" s="150">
        <f t="shared" si="155"/>
        <v>0</v>
      </c>
      <c r="U446" s="150">
        <f t="shared" si="156"/>
        <v>0</v>
      </c>
      <c r="V446" s="150">
        <f>IFERROR(INDEX(Työkonekanta!$J$3:$J$27,MATCH($A446,Työkonekanta!$A$3:$A$24,0),1)*$B446*ef_li_ion_akku/1000/1000/INDEX(Työkonekanta!$K$3:$K$27,MATCH($A446,Työkonekanta!$A$3:$A$24,0)),0)</f>
        <v>0</v>
      </c>
      <c r="W446" s="149">
        <f t="shared" si="172"/>
        <v>0</v>
      </c>
      <c r="X446" s="150">
        <f t="shared" si="173"/>
        <v>0</v>
      </c>
      <c r="Y446" s="151">
        <f t="shared" si="174"/>
        <v>0</v>
      </c>
      <c r="Z446" s="152">
        <f t="shared" si="166"/>
        <v>0</v>
      </c>
      <c r="AA446" s="179">
        <f t="shared" si="167"/>
        <v>0</v>
      </c>
      <c r="AB446" s="179">
        <f t="shared" si="168"/>
        <v>0</v>
      </c>
      <c r="AC446" s="180">
        <f t="shared" si="175"/>
        <v>0</v>
      </c>
      <c r="AD446" s="156">
        <f t="shared" si="169"/>
        <v>0</v>
      </c>
      <c r="AE446" s="146">
        <f>IFERROR(INDEX(Työkonekanta!$L$3:$L$30,MATCH($A446,Työkonekanta!$A$3:$A$30,0),1),0)*AF446</f>
        <v>0</v>
      </c>
      <c r="AF446" s="146">
        <f>IFERROR(INDEX(Työkonekanta!$N$3:$N$32,MATCH($A446,Työkonekanta!$A$3:$A$32,0),1),0)</f>
        <v>0</v>
      </c>
      <c r="AG446" s="332">
        <f>I446*INDEX(Muuttujat!$U$5:$U$21,MATCH($C446,Muuttujat!$N$5:$N$21,0),1)</f>
        <v>0</v>
      </c>
      <c r="AH446" s="332">
        <f>J446*INDEX(Muuttujat!$T$5:$T$21,MATCH($C446,Muuttujat!$N$5:$N$21,0),1)</f>
        <v>0</v>
      </c>
      <c r="AI446" s="332">
        <f t="shared" si="157"/>
        <v>0</v>
      </c>
      <c r="AJ446" s="332">
        <f t="shared" si="158"/>
        <v>0</v>
      </c>
      <c r="AK446" s="333">
        <f t="shared" si="170"/>
        <v>0</v>
      </c>
      <c r="AL446" s="332">
        <f t="shared" si="159"/>
        <v>0</v>
      </c>
      <c r="AM446" s="351"/>
      <c r="AN446" s="351"/>
    </row>
    <row r="447" spans="1:40">
      <c r="A447" s="139">
        <v>25</v>
      </c>
      <c r="B447" s="139">
        <f>IFERROR(IF((INDEX(Työkonekanta!$F$3:$F$27,MATCH('S3 Tiekartta'!$A447,Työkonekanta!$A$3:$A$24,0),1))&lt;0,0,(INDEX(Työkonekanta!$F$3:$F$27,MATCH('S3 Tiekartta'!$A447,Työkonekanta!$A$3:$A$24,0),1))),0)</f>
        <v>0</v>
      </c>
      <c r="C447" s="140">
        <v>2033</v>
      </c>
      <c r="D447" s="141" t="str">
        <f>IFERROR(INDEX(Työkonekanta!$D$3:$D$27,MATCH('S3 Tiekartta'!$A447,Työkonekanta!$A$3:$A$24,0),1),"undefined")</f>
        <v>undefined</v>
      </c>
      <c r="E447" s="145">
        <f>IFERROR(INDEX(Työkonekanta!$G$3:$G$27,MATCH($A447,Työkonekanta!$A$3:$A$24,0),1)*INDEX(Työkonekanta!$H$3:$H$27,MATCH($A447,Työkonekanta!$A$3:$A$24,0),1)*(1+s0b_kasvu*($C447-2019))*$B447,0)</f>
        <v>0</v>
      </c>
      <c r="F447" s="145">
        <f t="shared" si="151"/>
        <v>0</v>
      </c>
      <c r="G447" s="151">
        <f t="shared" si="160"/>
        <v>0</v>
      </c>
      <c r="H447" s="145">
        <f t="shared" si="161"/>
        <v>0</v>
      </c>
      <c r="I447" s="145">
        <f t="shared" si="152"/>
        <v>0</v>
      </c>
      <c r="J447" s="145">
        <f t="shared" si="153"/>
        <v>0</v>
      </c>
      <c r="K447" s="142" t="str">
        <f t="shared" si="162"/>
        <v>undefined</v>
      </c>
      <c r="L447" s="146">
        <f>IFERROR(INDEX(Työkonekanta!$I$3:$I$27,MATCH('S3 Tiekartta'!$A447,Työkonekanta!$A$3:$A$24,0),1)*(I447+J447)*f_adblue,0)</f>
        <v>0</v>
      </c>
      <c r="M447" s="146">
        <f t="shared" si="171"/>
        <v>0</v>
      </c>
      <c r="N447" s="143" t="str">
        <f>IF(tuulisähkö_vuosi&lt;='S3 Tiekartta'!C447,"tuulisähkö",ostosähkö_nyt)</f>
        <v>jäännössähkö</v>
      </c>
      <c r="O447" s="147">
        <f>INDEX(Muuttujat!$J$5:$J$21,MATCH($C447,Muuttujat!$H$5:$H$21,0),1)</f>
        <v>60.158234351438509</v>
      </c>
      <c r="P447" s="148">
        <f t="shared" si="163"/>
        <v>0.46497942775809187</v>
      </c>
      <c r="Q447" s="148">
        <f t="shared" si="164"/>
        <v>0.53502057224190813</v>
      </c>
      <c r="R447" s="148">
        <f t="shared" si="165"/>
        <v>0.53502057224190813</v>
      </c>
      <c r="S447" s="149">
        <f t="shared" si="154"/>
        <v>0</v>
      </c>
      <c r="T447" s="150">
        <f t="shared" si="155"/>
        <v>0</v>
      </c>
      <c r="U447" s="150">
        <f t="shared" si="156"/>
        <v>0</v>
      </c>
      <c r="V447" s="150">
        <f>IFERROR(INDEX(Työkonekanta!$J$3:$J$27,MATCH($A447,Työkonekanta!$A$3:$A$24,0),1)*$B447*ef_li_ion_akku/1000/1000/INDEX(Työkonekanta!$K$3:$K$27,MATCH($A447,Työkonekanta!$A$3:$A$24,0)),0)</f>
        <v>0</v>
      </c>
      <c r="W447" s="149">
        <f t="shared" si="172"/>
        <v>0</v>
      </c>
      <c r="X447" s="150">
        <f t="shared" si="173"/>
        <v>0</v>
      </c>
      <c r="Y447" s="151">
        <f t="shared" si="174"/>
        <v>0</v>
      </c>
      <c r="Z447" s="152">
        <f t="shared" si="166"/>
        <v>0</v>
      </c>
      <c r="AA447" s="179">
        <f t="shared" si="167"/>
        <v>0</v>
      </c>
      <c r="AB447" s="179">
        <f t="shared" si="168"/>
        <v>0</v>
      </c>
      <c r="AC447" s="180">
        <f t="shared" si="175"/>
        <v>0</v>
      </c>
      <c r="AD447" s="156">
        <f t="shared" si="169"/>
        <v>0</v>
      </c>
      <c r="AE447" s="146">
        <f>IFERROR(INDEX(Työkonekanta!$L$3:$L$30,MATCH($A447,Työkonekanta!$A$3:$A$30,0),1),0)*AF447</f>
        <v>0</v>
      </c>
      <c r="AF447" s="146">
        <f>IFERROR(INDEX(Työkonekanta!$N$3:$N$32,MATCH($A447,Työkonekanta!$A$3:$A$32,0),1),0)</f>
        <v>0</v>
      </c>
      <c r="AG447" s="332">
        <f>I447*INDEX(Muuttujat!$U$5:$U$21,MATCH($C447,Muuttujat!$N$5:$N$21,0),1)</f>
        <v>0</v>
      </c>
      <c r="AH447" s="332">
        <f>J447*INDEX(Muuttujat!$T$5:$T$21,MATCH($C447,Muuttujat!$N$5:$N$21,0),1)</f>
        <v>0</v>
      </c>
      <c r="AI447" s="332">
        <f t="shared" si="157"/>
        <v>0</v>
      </c>
      <c r="AJ447" s="332">
        <f t="shared" si="158"/>
        <v>0</v>
      </c>
      <c r="AK447" s="333">
        <f t="shared" si="170"/>
        <v>0</v>
      </c>
      <c r="AL447" s="332">
        <f t="shared" si="159"/>
        <v>0</v>
      </c>
      <c r="AM447" s="351"/>
      <c r="AN447" s="351"/>
    </row>
    <row r="448" spans="1:40">
      <c r="A448" s="139">
        <v>26</v>
      </c>
      <c r="B448" s="139">
        <f>IFERROR(IF((INDEX(Työkonekanta!$F$3:$F$27,MATCH('S3 Tiekartta'!$A448,Työkonekanta!$A$3:$A$24,0),1))&lt;0,0,(INDEX(Työkonekanta!$F$3:$F$27,MATCH('S3 Tiekartta'!$A448,Työkonekanta!$A$3:$A$24,0),1))),0)</f>
        <v>0</v>
      </c>
      <c r="C448" s="140">
        <v>2033</v>
      </c>
      <c r="D448" s="141" t="str">
        <f>IFERROR(INDEX(Työkonekanta!$D$3:$D$27,MATCH('S3 Tiekartta'!$A448,Työkonekanta!$A$3:$A$24,0),1),"undefined")</f>
        <v>undefined</v>
      </c>
      <c r="E448" s="145">
        <f>IFERROR(INDEX(Työkonekanta!$G$3:$G$27,MATCH($A448,Työkonekanta!$A$3:$A$24,0),1)*INDEX(Työkonekanta!$H$3:$H$27,MATCH($A448,Työkonekanta!$A$3:$A$24,0),1)*(1+s0b_kasvu*($C448-2019))*$B448,0)</f>
        <v>0</v>
      </c>
      <c r="F448" s="145">
        <f t="shared" si="151"/>
        <v>0</v>
      </c>
      <c r="G448" s="151">
        <f t="shared" si="160"/>
        <v>0</v>
      </c>
      <c r="H448" s="145">
        <f t="shared" si="161"/>
        <v>0</v>
      </c>
      <c r="I448" s="145">
        <f t="shared" si="152"/>
        <v>0</v>
      </c>
      <c r="J448" s="145">
        <f t="shared" si="153"/>
        <v>0</v>
      </c>
      <c r="K448" s="142" t="str">
        <f t="shared" si="162"/>
        <v>undefined</v>
      </c>
      <c r="L448" s="146">
        <f>IFERROR(INDEX(Työkonekanta!$I$3:$I$27,MATCH('S3 Tiekartta'!$A448,Työkonekanta!$A$3:$A$24,0),1)*(I448+J448)*f_adblue,0)</f>
        <v>0</v>
      </c>
      <c r="M448" s="146">
        <f t="shared" si="171"/>
        <v>0</v>
      </c>
      <c r="N448" s="143" t="str">
        <f>IF(tuulisähkö_vuosi&lt;='S3 Tiekartta'!C448,"tuulisähkö",ostosähkö_nyt)</f>
        <v>jäännössähkö</v>
      </c>
      <c r="O448" s="147">
        <f>INDEX(Muuttujat!$J$5:$J$21,MATCH($C448,Muuttujat!$H$5:$H$21,0),1)</f>
        <v>60.158234351438509</v>
      </c>
      <c r="P448" s="148">
        <f t="shared" si="163"/>
        <v>0.46497942775809187</v>
      </c>
      <c r="Q448" s="148">
        <f t="shared" si="164"/>
        <v>0.53502057224190813</v>
      </c>
      <c r="R448" s="148">
        <f t="shared" si="165"/>
        <v>0.53502057224190813</v>
      </c>
      <c r="S448" s="149">
        <f t="shared" si="154"/>
        <v>0</v>
      </c>
      <c r="T448" s="150">
        <f t="shared" si="155"/>
        <v>0</v>
      </c>
      <c r="U448" s="150">
        <f t="shared" si="156"/>
        <v>0</v>
      </c>
      <c r="V448" s="150">
        <f>IFERROR(INDEX(Työkonekanta!$J$3:$J$27,MATCH($A448,Työkonekanta!$A$3:$A$24,0),1)*$B448*ef_li_ion_akku/1000/1000/INDEX(Työkonekanta!$K$3:$K$27,MATCH($A448,Työkonekanta!$A$3:$A$24,0)),0)</f>
        <v>0</v>
      </c>
      <c r="W448" s="149">
        <f t="shared" si="172"/>
        <v>0</v>
      </c>
      <c r="X448" s="150">
        <f t="shared" si="173"/>
        <v>0</v>
      </c>
      <c r="Y448" s="151">
        <f t="shared" si="174"/>
        <v>0</v>
      </c>
      <c r="Z448" s="152">
        <f t="shared" si="166"/>
        <v>0</v>
      </c>
      <c r="AA448" s="179">
        <f t="shared" si="167"/>
        <v>0</v>
      </c>
      <c r="AB448" s="179">
        <f t="shared" si="168"/>
        <v>0</v>
      </c>
      <c r="AC448" s="180">
        <f t="shared" si="175"/>
        <v>0</v>
      </c>
      <c r="AD448" s="156">
        <f t="shared" si="169"/>
        <v>0</v>
      </c>
      <c r="AE448" s="146">
        <f>IFERROR(INDEX(Työkonekanta!$L$3:$L$30,MATCH($A448,Työkonekanta!$A$3:$A$30,0),1),0)*AF448</f>
        <v>0</v>
      </c>
      <c r="AF448" s="146">
        <f>IFERROR(INDEX(Työkonekanta!$N$3:$N$32,MATCH($A448,Työkonekanta!$A$3:$A$32,0),1),0)</f>
        <v>0</v>
      </c>
      <c r="AG448" s="332">
        <f>I448*INDEX(Muuttujat!$U$5:$U$21,MATCH($C448,Muuttujat!$N$5:$N$21,0),1)</f>
        <v>0</v>
      </c>
      <c r="AH448" s="332">
        <f>J448*INDEX(Muuttujat!$T$5:$T$21,MATCH($C448,Muuttujat!$N$5:$N$21,0),1)</f>
        <v>0</v>
      </c>
      <c r="AI448" s="332">
        <f t="shared" si="157"/>
        <v>0</v>
      </c>
      <c r="AJ448" s="332">
        <f t="shared" si="158"/>
        <v>0</v>
      </c>
      <c r="AK448" s="333">
        <f t="shared" si="170"/>
        <v>0</v>
      </c>
      <c r="AL448" s="332">
        <f t="shared" si="159"/>
        <v>0</v>
      </c>
      <c r="AM448" s="351"/>
      <c r="AN448" s="351"/>
    </row>
    <row r="449" spans="1:40">
      <c r="A449" s="139">
        <v>27</v>
      </c>
      <c r="B449" s="139">
        <f>IFERROR(IF((INDEX(Työkonekanta!$F$3:$F$27,MATCH('S3 Tiekartta'!$A449,Työkonekanta!$A$3:$A$24,0),1))&lt;0,0,(INDEX(Työkonekanta!$F$3:$F$27,MATCH('S3 Tiekartta'!$A449,Työkonekanta!$A$3:$A$24,0),1))),0)</f>
        <v>0</v>
      </c>
      <c r="C449" s="140">
        <v>2033</v>
      </c>
      <c r="D449" s="141" t="str">
        <f>IFERROR(INDEX(Työkonekanta!$D$3:$D$27,MATCH('S3 Tiekartta'!$A449,Työkonekanta!$A$3:$A$24,0),1),"undefined")</f>
        <v>undefined</v>
      </c>
      <c r="E449" s="145">
        <f>IFERROR(INDEX(Työkonekanta!$G$3:$G$27,MATCH($A449,Työkonekanta!$A$3:$A$24,0),1)*INDEX(Työkonekanta!$H$3:$H$27,MATCH($A449,Työkonekanta!$A$3:$A$24,0),1)*(1+s0b_kasvu*($C449-2019))*$B449,0)</f>
        <v>0</v>
      </c>
      <c r="F449" s="145">
        <f t="shared" si="151"/>
        <v>0</v>
      </c>
      <c r="G449" s="151">
        <f t="shared" si="160"/>
        <v>0</v>
      </c>
      <c r="H449" s="145">
        <f t="shared" si="161"/>
        <v>0</v>
      </c>
      <c r="I449" s="145">
        <f t="shared" si="152"/>
        <v>0</v>
      </c>
      <c r="J449" s="145">
        <f t="shared" si="153"/>
        <v>0</v>
      </c>
      <c r="K449" s="142" t="str">
        <f t="shared" si="162"/>
        <v>undefined</v>
      </c>
      <c r="L449" s="146">
        <f>IFERROR(INDEX(Työkonekanta!$I$3:$I$27,MATCH('S3 Tiekartta'!$A449,Työkonekanta!$A$3:$A$24,0),1)*(I449+J449)*f_adblue,0)</f>
        <v>0</v>
      </c>
      <c r="M449" s="146">
        <f t="shared" si="171"/>
        <v>0</v>
      </c>
      <c r="N449" s="143" t="str">
        <f>IF(tuulisähkö_vuosi&lt;='S3 Tiekartta'!C449,"tuulisähkö",ostosähkö_nyt)</f>
        <v>jäännössähkö</v>
      </c>
      <c r="O449" s="147">
        <f>INDEX(Muuttujat!$J$5:$J$21,MATCH($C449,Muuttujat!$H$5:$H$21,0),1)</f>
        <v>60.158234351438509</v>
      </c>
      <c r="P449" s="148">
        <f t="shared" si="163"/>
        <v>0.46497942775809187</v>
      </c>
      <c r="Q449" s="148">
        <f t="shared" si="164"/>
        <v>0.53502057224190813</v>
      </c>
      <c r="R449" s="148">
        <f t="shared" si="165"/>
        <v>0.53502057224190813</v>
      </c>
      <c r="S449" s="149">
        <f t="shared" si="154"/>
        <v>0</v>
      </c>
      <c r="T449" s="150">
        <f t="shared" si="155"/>
        <v>0</v>
      </c>
      <c r="U449" s="150">
        <f t="shared" si="156"/>
        <v>0</v>
      </c>
      <c r="V449" s="150">
        <f>IFERROR(INDEX(Työkonekanta!$J$3:$J$27,MATCH($A449,Työkonekanta!$A$3:$A$24,0),1)*$B449*ef_li_ion_akku/1000/1000/INDEX(Työkonekanta!$K$3:$K$27,MATCH($A449,Työkonekanta!$A$3:$A$24,0)),0)</f>
        <v>0</v>
      </c>
      <c r="W449" s="149">
        <f t="shared" si="172"/>
        <v>0</v>
      </c>
      <c r="X449" s="150">
        <f t="shared" si="173"/>
        <v>0</v>
      </c>
      <c r="Y449" s="151">
        <f t="shared" si="174"/>
        <v>0</v>
      </c>
      <c r="Z449" s="152">
        <f t="shared" si="166"/>
        <v>0</v>
      </c>
      <c r="AA449" s="179">
        <f t="shared" si="167"/>
        <v>0</v>
      </c>
      <c r="AB449" s="179">
        <f t="shared" si="168"/>
        <v>0</v>
      </c>
      <c r="AC449" s="180">
        <f t="shared" si="175"/>
        <v>0</v>
      </c>
      <c r="AD449" s="156">
        <f t="shared" si="169"/>
        <v>0</v>
      </c>
      <c r="AE449" s="146">
        <f>IFERROR(INDEX(Työkonekanta!$L$3:$L$30,MATCH($A449,Työkonekanta!$A$3:$A$30,0),1),0)*AF449</f>
        <v>0</v>
      </c>
      <c r="AF449" s="146">
        <f>IFERROR(INDEX(Työkonekanta!$N$3:$N$32,MATCH($A449,Työkonekanta!$A$3:$A$32,0),1),0)</f>
        <v>0</v>
      </c>
      <c r="AG449" s="332">
        <f>I449*INDEX(Muuttujat!$U$5:$U$21,MATCH($C449,Muuttujat!$N$5:$N$21,0),1)</f>
        <v>0</v>
      </c>
      <c r="AH449" s="332">
        <f>J449*INDEX(Muuttujat!$T$5:$T$21,MATCH($C449,Muuttujat!$N$5:$N$21,0),1)</f>
        <v>0</v>
      </c>
      <c r="AI449" s="332">
        <f t="shared" si="157"/>
        <v>0</v>
      </c>
      <c r="AJ449" s="332">
        <f t="shared" si="158"/>
        <v>0</v>
      </c>
      <c r="AK449" s="333">
        <f t="shared" si="170"/>
        <v>0</v>
      </c>
      <c r="AL449" s="332">
        <f t="shared" si="159"/>
        <v>0</v>
      </c>
      <c r="AM449" s="351"/>
      <c r="AN449" s="351"/>
    </row>
    <row r="450" spans="1:40">
      <c r="A450" s="139">
        <v>28</v>
      </c>
      <c r="B450" s="139">
        <f>IFERROR(IF((INDEX(Työkonekanta!$F$3:$F$27,MATCH('S3 Tiekartta'!$A450,Työkonekanta!$A$3:$A$24,0),1))&lt;0,0,(INDEX(Työkonekanta!$F$3:$F$27,MATCH('S3 Tiekartta'!$A450,Työkonekanta!$A$3:$A$24,0),1))),0)</f>
        <v>0</v>
      </c>
      <c r="C450" s="140">
        <v>2033</v>
      </c>
      <c r="D450" s="141" t="str">
        <f>IFERROR(INDEX(Työkonekanta!$D$3:$D$27,MATCH('S3 Tiekartta'!$A450,Työkonekanta!$A$3:$A$24,0),1),"undefined")</f>
        <v>undefined</v>
      </c>
      <c r="E450" s="145">
        <f>IFERROR(INDEX(Työkonekanta!$G$3:$G$27,MATCH($A450,Työkonekanta!$A$3:$A$24,0),1)*INDEX(Työkonekanta!$H$3:$H$27,MATCH($A450,Työkonekanta!$A$3:$A$24,0),1)*(1+s0b_kasvu*($C450-2019))*$B450,0)</f>
        <v>0</v>
      </c>
      <c r="F450" s="145">
        <f t="shared" si="151"/>
        <v>0</v>
      </c>
      <c r="G450" s="151">
        <f t="shared" si="160"/>
        <v>0</v>
      </c>
      <c r="H450" s="145">
        <f t="shared" si="161"/>
        <v>0</v>
      </c>
      <c r="I450" s="145">
        <f t="shared" si="152"/>
        <v>0</v>
      </c>
      <c r="J450" s="145">
        <f t="shared" si="153"/>
        <v>0</v>
      </c>
      <c r="K450" s="142" t="str">
        <f t="shared" si="162"/>
        <v>undefined</v>
      </c>
      <c r="L450" s="146">
        <f>IFERROR(INDEX(Työkonekanta!$I$3:$I$27,MATCH('S3 Tiekartta'!$A450,Työkonekanta!$A$3:$A$24,0),1)*(I450+J450)*f_adblue,0)</f>
        <v>0</v>
      </c>
      <c r="M450" s="146">
        <f t="shared" si="171"/>
        <v>0</v>
      </c>
      <c r="N450" s="143" t="str">
        <f>IF(tuulisähkö_vuosi&lt;='S3 Tiekartta'!C450,"tuulisähkö",ostosähkö_nyt)</f>
        <v>jäännössähkö</v>
      </c>
      <c r="O450" s="147">
        <f>INDEX(Muuttujat!$J$5:$J$21,MATCH($C450,Muuttujat!$H$5:$H$21,0),1)</f>
        <v>60.158234351438509</v>
      </c>
      <c r="P450" s="148">
        <f t="shared" si="163"/>
        <v>0.46497942775809187</v>
      </c>
      <c r="Q450" s="148">
        <f t="shared" si="164"/>
        <v>0.53502057224190813</v>
      </c>
      <c r="R450" s="148">
        <f t="shared" si="165"/>
        <v>0.53502057224190813</v>
      </c>
      <c r="S450" s="149">
        <f t="shared" si="154"/>
        <v>0</v>
      </c>
      <c r="T450" s="150">
        <f t="shared" si="155"/>
        <v>0</v>
      </c>
      <c r="U450" s="150">
        <f t="shared" si="156"/>
        <v>0</v>
      </c>
      <c r="V450" s="150">
        <f>IFERROR(INDEX(Työkonekanta!$J$3:$J$27,MATCH($A450,Työkonekanta!$A$3:$A$24,0),1)*$B450*ef_li_ion_akku/1000/1000/INDEX(Työkonekanta!$K$3:$K$27,MATCH($A450,Työkonekanta!$A$3:$A$24,0)),0)</f>
        <v>0</v>
      </c>
      <c r="W450" s="149">
        <f t="shared" si="172"/>
        <v>0</v>
      </c>
      <c r="X450" s="150">
        <f t="shared" si="173"/>
        <v>0</v>
      </c>
      <c r="Y450" s="151">
        <f t="shared" si="174"/>
        <v>0</v>
      </c>
      <c r="Z450" s="152">
        <f t="shared" si="166"/>
        <v>0</v>
      </c>
      <c r="AA450" s="179">
        <f t="shared" si="167"/>
        <v>0</v>
      </c>
      <c r="AB450" s="179">
        <f t="shared" si="168"/>
        <v>0</v>
      </c>
      <c r="AC450" s="180">
        <f t="shared" si="175"/>
        <v>0</v>
      </c>
      <c r="AD450" s="156">
        <f t="shared" si="169"/>
        <v>0</v>
      </c>
      <c r="AE450" s="146">
        <f>IFERROR(INDEX(Työkonekanta!$L$3:$L$30,MATCH($A450,Työkonekanta!$A$3:$A$30,0),1),0)*AF450</f>
        <v>0</v>
      </c>
      <c r="AF450" s="146">
        <f>IFERROR(INDEX(Työkonekanta!$N$3:$N$32,MATCH($A450,Työkonekanta!$A$3:$A$32,0),1),0)</f>
        <v>0</v>
      </c>
      <c r="AG450" s="332">
        <f>I450*INDEX(Muuttujat!$U$5:$U$21,MATCH($C450,Muuttujat!$N$5:$N$21,0),1)</f>
        <v>0</v>
      </c>
      <c r="AH450" s="332">
        <f>J450*INDEX(Muuttujat!$T$5:$T$21,MATCH($C450,Muuttujat!$N$5:$N$21,0),1)</f>
        <v>0</v>
      </c>
      <c r="AI450" s="332">
        <f t="shared" si="157"/>
        <v>0</v>
      </c>
      <c r="AJ450" s="332">
        <f t="shared" si="158"/>
        <v>0</v>
      </c>
      <c r="AK450" s="333">
        <f t="shared" si="170"/>
        <v>0</v>
      </c>
      <c r="AL450" s="332">
        <f t="shared" si="159"/>
        <v>0</v>
      </c>
      <c r="AM450" s="351"/>
      <c r="AN450" s="351"/>
    </row>
    <row r="451" spans="1:40">
      <c r="A451" s="139">
        <v>29</v>
      </c>
      <c r="B451" s="139">
        <f>IFERROR(IF((INDEX(Työkonekanta!$F$3:$F$27,MATCH('S3 Tiekartta'!$A451,Työkonekanta!$A$3:$A$24,0),1))&lt;0,0,(INDEX(Työkonekanta!$F$3:$F$27,MATCH('S3 Tiekartta'!$A451,Työkonekanta!$A$3:$A$24,0),1))),0)</f>
        <v>0</v>
      </c>
      <c r="C451" s="140">
        <v>2033</v>
      </c>
      <c r="D451" s="141" t="str">
        <f>IFERROR(INDEX(Työkonekanta!$D$3:$D$27,MATCH('S3 Tiekartta'!$A451,Työkonekanta!$A$3:$A$24,0),1),"undefined")</f>
        <v>undefined</v>
      </c>
      <c r="E451" s="145">
        <f>IFERROR(INDEX(Työkonekanta!$G$3:$G$27,MATCH($A451,Työkonekanta!$A$3:$A$24,0),1)*INDEX(Työkonekanta!$H$3:$H$27,MATCH($A451,Työkonekanta!$A$3:$A$24,0),1)*(1+s0b_kasvu*($C451-2019))*$B451,0)</f>
        <v>0</v>
      </c>
      <c r="F451" s="145">
        <f t="shared" ref="F451:F512" si="176">IF(D451="pom",$E451*hv_pom,0)</f>
        <v>0</v>
      </c>
      <c r="G451" s="151">
        <f t="shared" si="160"/>
        <v>0</v>
      </c>
      <c r="H451" s="145">
        <f t="shared" si="161"/>
        <v>0</v>
      </c>
      <c r="I451" s="145">
        <f t="shared" ref="I451:I512" si="177">$G451/hv_pom</f>
        <v>0</v>
      </c>
      <c r="J451" s="145">
        <f t="shared" ref="J451:J512" si="178">$H451/hv_biodies</f>
        <v>0</v>
      </c>
      <c r="K451" s="142" t="str">
        <f t="shared" si="162"/>
        <v>undefined</v>
      </c>
      <c r="L451" s="146">
        <f>IFERROR(INDEX(Työkonekanta!$I$3:$I$27,MATCH('S3 Tiekartta'!$A451,Työkonekanta!$A$3:$A$24,0),1)*(I451+J451)*f_adblue,0)</f>
        <v>0</v>
      </c>
      <c r="M451" s="146">
        <f t="shared" si="171"/>
        <v>0</v>
      </c>
      <c r="N451" s="143" t="str">
        <f>IF(tuulisähkö_vuosi&lt;='S3 Tiekartta'!C451,"tuulisähkö",ostosähkö_nyt)</f>
        <v>jäännössähkö</v>
      </c>
      <c r="O451" s="147">
        <f>INDEX(Muuttujat!$J$5:$J$21,MATCH($C451,Muuttujat!$H$5:$H$21,0),1)</f>
        <v>60.158234351438509</v>
      </c>
      <c r="P451" s="148">
        <f t="shared" si="163"/>
        <v>0.46497942775809187</v>
      </c>
      <c r="Q451" s="148">
        <f t="shared" si="164"/>
        <v>0.53502057224190813</v>
      </c>
      <c r="R451" s="148">
        <f t="shared" si="165"/>
        <v>0.53502057224190813</v>
      </c>
      <c r="S451" s="149">
        <f t="shared" ref="S451:S512" si="179">wtt_ef_e_co2_dies*$G451/1000/1000</f>
        <v>0</v>
      </c>
      <c r="T451" s="150">
        <f t="shared" ref="T451:T512" si="180">wtt_ef_e_co2_biodies*$H451/1000/1000</f>
        <v>0</v>
      </c>
      <c r="U451" s="150">
        <f t="shared" ref="U451:U512" si="181">IF(N451="jäännössähkö",$O451,IF(N451="tuulisähkö",wtt_ef_e_co2_el_wind,0))*$M451/1000/1000</f>
        <v>0</v>
      </c>
      <c r="V451" s="150">
        <f>IFERROR(INDEX(Työkonekanta!$J$3:$J$27,MATCH($A451,Työkonekanta!$A$3:$A$24,0),1)*$B451*ef_li_ion_akku/1000/1000/INDEX(Työkonekanta!$K$3:$K$27,MATCH($A451,Työkonekanta!$A$3:$A$24,0)),0)</f>
        <v>0</v>
      </c>
      <c r="W451" s="149">
        <f t="shared" si="172"/>
        <v>0</v>
      </c>
      <c r="X451" s="150">
        <f t="shared" si="173"/>
        <v>0</v>
      </c>
      <c r="Y451" s="151">
        <f t="shared" si="174"/>
        <v>0</v>
      </c>
      <c r="Z451" s="152">
        <f t="shared" si="166"/>
        <v>0</v>
      </c>
      <c r="AA451" s="179">
        <f t="shared" si="167"/>
        <v>0</v>
      </c>
      <c r="AB451" s="179">
        <f t="shared" si="168"/>
        <v>0</v>
      </c>
      <c r="AC451" s="180">
        <f t="shared" si="175"/>
        <v>0</v>
      </c>
      <c r="AD451" s="156">
        <f t="shared" si="169"/>
        <v>0</v>
      </c>
      <c r="AE451" s="146">
        <f>IFERROR(INDEX(Työkonekanta!$L$3:$L$30,MATCH($A451,Työkonekanta!$A$3:$A$30,0),1),0)*AF451</f>
        <v>0</v>
      </c>
      <c r="AF451" s="146">
        <f>IFERROR(INDEX(Työkonekanta!$N$3:$N$32,MATCH($A451,Työkonekanta!$A$3:$A$32,0),1),0)</f>
        <v>0</v>
      </c>
      <c r="AG451" s="332">
        <f>I451*INDEX(Muuttujat!$U$5:$U$21,MATCH($C451,Muuttujat!$N$5:$N$21,0),1)</f>
        <v>0</v>
      </c>
      <c r="AH451" s="332">
        <f>J451*INDEX(Muuttujat!$T$5:$T$21,MATCH($C451,Muuttujat!$N$5:$N$21,0),1)</f>
        <v>0</v>
      </c>
      <c r="AI451" s="332">
        <f t="shared" ref="AI451:AI512" si="182">L451*hinta_adblue</f>
        <v>0</v>
      </c>
      <c r="AJ451" s="332">
        <f t="shared" ref="AJ451:AJ512" si="183">M451/conv_kwh_mj*hinta_sähkö3</f>
        <v>0</v>
      </c>
      <c r="AK451" s="333">
        <f t="shared" si="170"/>
        <v>0</v>
      </c>
      <c r="AL451" s="332">
        <f t="shared" ref="AL451:AL512" si="184">IFERROR(AK451/B451,0)</f>
        <v>0</v>
      </c>
      <c r="AM451" s="351"/>
      <c r="AN451" s="351"/>
    </row>
    <row r="452" spans="1:40">
      <c r="A452" s="139">
        <v>30</v>
      </c>
      <c r="B452" s="139">
        <f>IFERROR(IF((INDEX(Työkonekanta!$F$3:$F$27,MATCH('S3 Tiekartta'!$A452,Työkonekanta!$A$3:$A$24,0),1))&lt;0,0,(INDEX(Työkonekanta!$F$3:$F$27,MATCH('S3 Tiekartta'!$A452,Työkonekanta!$A$3:$A$24,0),1))),0)</f>
        <v>0</v>
      </c>
      <c r="C452" s="140">
        <v>2033</v>
      </c>
      <c r="D452" s="141" t="str">
        <f>IFERROR(INDEX(Työkonekanta!$D$3:$D$27,MATCH('S3 Tiekartta'!$A452,Työkonekanta!$A$3:$A$24,0),1),"undefined")</f>
        <v>undefined</v>
      </c>
      <c r="E452" s="145">
        <f>IFERROR(INDEX(Työkonekanta!$G$3:$G$27,MATCH($A452,Työkonekanta!$A$3:$A$24,0),1)*INDEX(Työkonekanta!$H$3:$H$27,MATCH($A452,Työkonekanta!$A$3:$A$24,0),1)*(1+s0b_kasvu*($C452-2019))*$B452,0)</f>
        <v>0</v>
      </c>
      <c r="F452" s="145">
        <f t="shared" si="176"/>
        <v>0</v>
      </c>
      <c r="G452" s="151">
        <f t="shared" ref="G452:G512" si="185">$F452*$P452</f>
        <v>0</v>
      </c>
      <c r="H452" s="145">
        <f t="shared" ref="H452:H512" si="186">$F452*$Q452</f>
        <v>0</v>
      </c>
      <c r="I452" s="145">
        <f t="shared" si="177"/>
        <v>0</v>
      </c>
      <c r="J452" s="145">
        <f t="shared" si="178"/>
        <v>0</v>
      </c>
      <c r="K452" s="142" t="str">
        <f t="shared" ref="K452:K512" si="187">IF($D452="sähkö","kWh",IF($D452="pom","l","undefined"))</f>
        <v>undefined</v>
      </c>
      <c r="L452" s="146">
        <f>IFERROR(INDEX(Työkonekanta!$I$3:$I$27,MATCH('S3 Tiekartta'!$A452,Työkonekanta!$A$3:$A$24,0),1)*(I452+J452)*f_adblue,0)</f>
        <v>0</v>
      </c>
      <c r="M452" s="146">
        <f t="shared" si="171"/>
        <v>0</v>
      </c>
      <c r="N452" s="143" t="str">
        <f>IF(tuulisähkö_vuosi&lt;='S3 Tiekartta'!C452,"tuulisähkö",ostosähkö_nyt)</f>
        <v>jäännössähkö</v>
      </c>
      <c r="O452" s="147">
        <f>INDEX(Muuttujat!$J$5:$J$21,MATCH($C452,Muuttujat!$H$5:$H$21,0),1)</f>
        <v>60.158234351438509</v>
      </c>
      <c r="P452" s="148">
        <f t="shared" ref="P452:P512" si="188">1-Q452</f>
        <v>0.46497942775809187</v>
      </c>
      <c r="Q452" s="148">
        <f t="shared" ref="Q452:Q483" si="189">INDEX($AP$4:$AP$20,MATCH($C452,$AO$4:$AO$20,0),1)</f>
        <v>0.53502057224190813</v>
      </c>
      <c r="R452" s="148">
        <f t="shared" ref="R452:R512" si="190">INDEX($AP$4:$AP$20,MATCH($C452,$AO$4:$AO$20,0),1)</f>
        <v>0.53502057224190813</v>
      </c>
      <c r="S452" s="149">
        <f t="shared" si="179"/>
        <v>0</v>
      </c>
      <c r="T452" s="150">
        <f t="shared" si="180"/>
        <v>0</v>
      </c>
      <c r="U452" s="150">
        <f t="shared" si="181"/>
        <v>0</v>
      </c>
      <c r="V452" s="150">
        <f>IFERROR(INDEX(Työkonekanta!$J$3:$J$27,MATCH($A452,Työkonekanta!$A$3:$A$24,0),1)*$B452*ef_li_ion_akku/1000/1000/INDEX(Työkonekanta!$K$3:$K$27,MATCH($A452,Työkonekanta!$A$3:$A$24,0)),0)</f>
        <v>0</v>
      </c>
      <c r="W452" s="149">
        <f t="shared" si="172"/>
        <v>0</v>
      </c>
      <c r="X452" s="150">
        <f t="shared" si="173"/>
        <v>0</v>
      </c>
      <c r="Y452" s="151">
        <f t="shared" si="174"/>
        <v>0</v>
      </c>
      <c r="Z452" s="152">
        <f t="shared" ref="Z452:Z512" si="191">SUM($S452:$V452)</f>
        <v>0</v>
      </c>
      <c r="AA452" s="179">
        <f t="shared" ref="AA452:AA512" si="192">$W452+$Y452</f>
        <v>0</v>
      </c>
      <c r="AB452" s="179">
        <f t="shared" ref="AB452:AB512" si="193">SUM($W452:$Y452)</f>
        <v>0</v>
      </c>
      <c r="AC452" s="180">
        <f t="shared" si="175"/>
        <v>0</v>
      </c>
      <c r="AD452" s="156">
        <f t="shared" ref="AD452:AD512" si="194">$Z452+$AB452</f>
        <v>0</v>
      </c>
      <c r="AE452" s="146">
        <f>IFERROR(INDEX(Työkonekanta!$L$3:$L$30,MATCH($A452,Työkonekanta!$A$3:$A$30,0),1),0)*AF452</f>
        <v>0</v>
      </c>
      <c r="AF452" s="146">
        <f>IFERROR(INDEX(Työkonekanta!$N$3:$N$32,MATCH($A452,Työkonekanta!$A$3:$A$32,0),1),0)</f>
        <v>0</v>
      </c>
      <c r="AG452" s="332">
        <f>I452*INDEX(Muuttujat!$U$5:$U$21,MATCH($C452,Muuttujat!$N$5:$N$21,0),1)</f>
        <v>0</v>
      </c>
      <c r="AH452" s="332">
        <f>J452*INDEX(Muuttujat!$T$5:$T$21,MATCH($C452,Muuttujat!$N$5:$N$21,0),1)</f>
        <v>0</v>
      </c>
      <c r="AI452" s="332">
        <f t="shared" si="182"/>
        <v>0</v>
      </c>
      <c r="AJ452" s="332">
        <f t="shared" si="183"/>
        <v>0</v>
      </c>
      <c r="AK452" s="333">
        <f t="shared" ref="AK452:AK512" si="195">SUM(AG452:AJ452)</f>
        <v>0</v>
      </c>
      <c r="AL452" s="332">
        <f t="shared" si="184"/>
        <v>0</v>
      </c>
      <c r="AM452" s="351"/>
      <c r="AN452" s="351"/>
    </row>
    <row r="453" spans="1:40">
      <c r="A453" s="139">
        <v>1</v>
      </c>
      <c r="B453" s="139">
        <f>IFERROR(IF((INDEX(Työkonekanta!$F$3:$F$27,MATCH('S3 Tiekartta'!$A453,Työkonekanta!$A$3:$A$24,0),1))&lt;0,0,(INDEX(Työkonekanta!$F$3:$F$27,MATCH('S3 Tiekartta'!$A453,Työkonekanta!$A$3:$A$24,0),1))),0)</f>
        <v>1</v>
      </c>
      <c r="C453" s="140">
        <v>2034</v>
      </c>
      <c r="D453" s="141" t="str">
        <f>IFERROR(INDEX(Työkonekanta!$D$3:$D$27,MATCH('S3 Tiekartta'!$A453,Työkonekanta!$A$3:$A$24,0),1),"undefined")</f>
        <v>pom</v>
      </c>
      <c r="E453" s="145">
        <f>IFERROR(INDEX(Työkonekanta!$G$3:$G$27,MATCH($A453,Työkonekanta!$A$3:$A$24,0),1)*INDEX(Työkonekanta!$H$3:$H$27,MATCH($A453,Työkonekanta!$A$3:$A$24,0),1)*(1+s0b_kasvu*($C453-2019))*$B453,0)</f>
        <v>11500</v>
      </c>
      <c r="F453" s="145">
        <f t="shared" si="176"/>
        <v>412850</v>
      </c>
      <c r="G453" s="151">
        <f t="shared" si="185"/>
        <v>127910.61620740741</v>
      </c>
      <c r="H453" s="145">
        <f t="shared" si="186"/>
        <v>284939.38379259256</v>
      </c>
      <c r="I453" s="145">
        <f t="shared" si="177"/>
        <v>3562.9698107912927</v>
      </c>
      <c r="J453" s="145">
        <f t="shared" si="178"/>
        <v>8307.2706645070721</v>
      </c>
      <c r="K453" s="142" t="str">
        <f t="shared" si="187"/>
        <v>l</v>
      </c>
      <c r="L453" s="146">
        <f>IFERROR(INDEX(Työkonekanta!$I$3:$I$27,MATCH('S3 Tiekartta'!$A453,Työkonekanta!$A$3:$A$24,0),1)*(I453+J453)*f_adblue,0)</f>
        <v>593.51202376491824</v>
      </c>
      <c r="M453" s="146">
        <f t="shared" si="171"/>
        <v>0</v>
      </c>
      <c r="N453" s="143" t="str">
        <f>IF(tuulisähkö_vuosi&lt;='S3 Tiekartta'!C453,"tuulisähkö",ostosähkö_nyt)</f>
        <v>jäännössähkö</v>
      </c>
      <c r="O453" s="147">
        <f>INDEX(Muuttujat!$J$5:$J$21,MATCH($C453,Muuttujat!$H$5:$H$21,0),1)</f>
        <v>59.556652007924122</v>
      </c>
      <c r="P453" s="148">
        <f t="shared" si="188"/>
        <v>0.30982346180793852</v>
      </c>
      <c r="Q453" s="148">
        <f t="shared" si="189"/>
        <v>0.69017653819206148</v>
      </c>
      <c r="R453" s="148">
        <f t="shared" si="190"/>
        <v>0.69017653819206148</v>
      </c>
      <c r="S453" s="149">
        <f t="shared" si="179"/>
        <v>2.4175106463199998</v>
      </c>
      <c r="T453" s="150">
        <f t="shared" si="180"/>
        <v>17.780217548657777</v>
      </c>
      <c r="U453" s="150">
        <f t="shared" si="181"/>
        <v>0</v>
      </c>
      <c r="V453" s="150">
        <f>IFERROR(INDEX(Työkonekanta!$J$3:$J$27,MATCH($A453,Työkonekanta!$A$3:$A$24,0),1)*$B453*ef_li_ion_akku/1000/1000/INDEX(Työkonekanta!$K$3:$K$27,MATCH($A453,Työkonekanta!$A$3:$A$24,0)),0)</f>
        <v>0</v>
      </c>
      <c r="W453" s="149">
        <f t="shared" si="172"/>
        <v>9.4408592859625404</v>
      </c>
      <c r="X453" s="150">
        <f t="shared" si="173"/>
        <v>0.36540750900000002</v>
      </c>
      <c r="Y453" s="151">
        <f t="shared" si="174"/>
        <v>0.15431312617887874</v>
      </c>
      <c r="Z453" s="152">
        <f t="shared" si="191"/>
        <v>20.197728194977778</v>
      </c>
      <c r="AA453" s="179">
        <f t="shared" si="192"/>
        <v>9.5951724121414195</v>
      </c>
      <c r="AB453" s="179">
        <f t="shared" si="193"/>
        <v>9.9605799211414201</v>
      </c>
      <c r="AC453" s="180">
        <f t="shared" si="175"/>
        <v>29.792900607119197</v>
      </c>
      <c r="AD453" s="156">
        <f t="shared" si="194"/>
        <v>30.158308116119198</v>
      </c>
      <c r="AE453" s="146">
        <f>IFERROR(INDEX(Työkonekanta!$L$3:$L$30,MATCH($A453,Työkonekanta!$A$3:$A$30,0),1),0)*AF453</f>
        <v>500000</v>
      </c>
      <c r="AF453" s="146">
        <f>IFERROR(INDEX(Työkonekanta!$N$3:$N$32,MATCH($A453,Työkonekanta!$A$3:$A$32,0),1),0)</f>
        <v>1</v>
      </c>
      <c r="AG453" s="332">
        <f>I453*INDEX(Muuttujat!$U$5:$U$21,MATCH($C453,Muuttujat!$N$5:$N$21,0),1)</f>
        <v>3741.1183013308573</v>
      </c>
      <c r="AH453" s="332">
        <f>J453*INDEX(Muuttujat!$T$5:$T$21,MATCH($C453,Muuttujat!$N$5:$N$21,0),1)</f>
        <v>12045.542463535256</v>
      </c>
      <c r="AI453" s="332">
        <f t="shared" si="182"/>
        <v>296.75601188245912</v>
      </c>
      <c r="AJ453" s="332">
        <f t="shared" si="183"/>
        <v>0</v>
      </c>
      <c r="AK453" s="333">
        <f t="shared" si="195"/>
        <v>16083.416776748571</v>
      </c>
      <c r="AL453" s="332">
        <f t="shared" si="184"/>
        <v>16083.416776748571</v>
      </c>
      <c r="AM453" s="351"/>
      <c r="AN453" s="351"/>
    </row>
    <row r="454" spans="1:40">
      <c r="A454" s="139">
        <v>2</v>
      </c>
      <c r="B454" s="139">
        <f>IFERROR(IF((INDEX(Työkonekanta!$F$3:$F$27,MATCH('S3 Tiekartta'!$A454,Työkonekanta!$A$3:$A$24,0),1))&lt;0,0,(INDEX(Työkonekanta!$F$3:$F$27,MATCH('S3 Tiekartta'!$A454,Työkonekanta!$A$3:$A$24,0),1))),0)</f>
        <v>1</v>
      </c>
      <c r="C454" s="140">
        <v>2034</v>
      </c>
      <c r="D454" s="141" t="str">
        <f>IFERROR(INDEX(Työkonekanta!$D$3:$D$27,MATCH('S3 Tiekartta'!$A454,Työkonekanta!$A$3:$A$24,0),1),"undefined")</f>
        <v>pom</v>
      </c>
      <c r="E454" s="145">
        <f>IFERROR(INDEX(Työkonekanta!$G$3:$G$27,MATCH($A454,Työkonekanta!$A$3:$A$24,0),1)*INDEX(Työkonekanta!$H$3:$H$27,MATCH($A454,Työkonekanta!$A$3:$A$24,0),1)*(1+s0b_kasvu*($C454-2019))*$B454,0)</f>
        <v>11500</v>
      </c>
      <c r="F454" s="145">
        <f t="shared" si="176"/>
        <v>412850</v>
      </c>
      <c r="G454" s="151">
        <f t="shared" si="185"/>
        <v>127910.61620740741</v>
      </c>
      <c r="H454" s="145">
        <f t="shared" si="186"/>
        <v>284939.38379259256</v>
      </c>
      <c r="I454" s="145">
        <f t="shared" si="177"/>
        <v>3562.9698107912927</v>
      </c>
      <c r="J454" s="145">
        <f t="shared" si="178"/>
        <v>8307.2706645070721</v>
      </c>
      <c r="K454" s="142" t="str">
        <f t="shared" si="187"/>
        <v>l</v>
      </c>
      <c r="L454" s="146">
        <f>IFERROR(INDEX(Työkonekanta!$I$3:$I$27,MATCH('S3 Tiekartta'!$A454,Työkonekanta!$A$3:$A$24,0),1)*(I454+J454)*f_adblue,0)</f>
        <v>593.51202376491824</v>
      </c>
      <c r="M454" s="146">
        <f t="shared" si="171"/>
        <v>0</v>
      </c>
      <c r="N454" s="143" t="str">
        <f>IF(tuulisähkö_vuosi&lt;='S3 Tiekartta'!C454,"tuulisähkö",ostosähkö_nyt)</f>
        <v>jäännössähkö</v>
      </c>
      <c r="O454" s="147">
        <f>INDEX(Muuttujat!$J$5:$J$21,MATCH($C454,Muuttujat!$H$5:$H$21,0),1)</f>
        <v>59.556652007924122</v>
      </c>
      <c r="P454" s="148">
        <f t="shared" si="188"/>
        <v>0.30982346180793852</v>
      </c>
      <c r="Q454" s="148">
        <f t="shared" si="189"/>
        <v>0.69017653819206148</v>
      </c>
      <c r="R454" s="148">
        <f t="shared" si="190"/>
        <v>0.69017653819206148</v>
      </c>
      <c r="S454" s="149">
        <f t="shared" si="179"/>
        <v>2.4175106463199998</v>
      </c>
      <c r="T454" s="150">
        <f t="shared" si="180"/>
        <v>17.780217548657777</v>
      </c>
      <c r="U454" s="150">
        <f t="shared" si="181"/>
        <v>0</v>
      </c>
      <c r="V454" s="150">
        <f>IFERROR(INDEX(Työkonekanta!$J$3:$J$27,MATCH($A454,Työkonekanta!$A$3:$A$24,0),1)*$B454*ef_li_ion_akku/1000/1000/INDEX(Työkonekanta!$K$3:$K$27,MATCH($A454,Työkonekanta!$A$3:$A$24,0)),0)</f>
        <v>0</v>
      </c>
      <c r="W454" s="149">
        <f t="shared" si="172"/>
        <v>9.4408592859625404</v>
      </c>
      <c r="X454" s="150">
        <f t="shared" si="173"/>
        <v>0.36540750900000002</v>
      </c>
      <c r="Y454" s="151">
        <f t="shared" si="174"/>
        <v>0.15431312617887874</v>
      </c>
      <c r="Z454" s="152">
        <f t="shared" si="191"/>
        <v>20.197728194977778</v>
      </c>
      <c r="AA454" s="179">
        <f t="shared" si="192"/>
        <v>9.5951724121414195</v>
      </c>
      <c r="AB454" s="179">
        <f t="shared" si="193"/>
        <v>9.9605799211414201</v>
      </c>
      <c r="AC454" s="180">
        <f t="shared" si="175"/>
        <v>29.792900607119197</v>
      </c>
      <c r="AD454" s="156">
        <f t="shared" si="194"/>
        <v>30.158308116119198</v>
      </c>
      <c r="AE454" s="146">
        <f>IFERROR(INDEX(Työkonekanta!$L$3:$L$30,MATCH($A454,Työkonekanta!$A$3:$A$30,0),1),0)*AF454</f>
        <v>500000</v>
      </c>
      <c r="AF454" s="146">
        <f>IFERROR(INDEX(Työkonekanta!$N$3:$N$32,MATCH($A454,Työkonekanta!$A$3:$A$32,0),1),0)</f>
        <v>1</v>
      </c>
      <c r="AG454" s="332">
        <f>I454*INDEX(Muuttujat!$U$5:$U$21,MATCH($C454,Muuttujat!$N$5:$N$21,0),1)</f>
        <v>3741.1183013308573</v>
      </c>
      <c r="AH454" s="332">
        <f>J454*INDEX(Muuttujat!$T$5:$T$21,MATCH($C454,Muuttujat!$N$5:$N$21,0),1)</f>
        <v>12045.542463535256</v>
      </c>
      <c r="AI454" s="332">
        <f t="shared" si="182"/>
        <v>296.75601188245912</v>
      </c>
      <c r="AJ454" s="332">
        <f t="shared" si="183"/>
        <v>0</v>
      </c>
      <c r="AK454" s="333">
        <f t="shared" si="195"/>
        <v>16083.416776748571</v>
      </c>
      <c r="AL454" s="332">
        <f t="shared" si="184"/>
        <v>16083.416776748571</v>
      </c>
      <c r="AM454" s="351"/>
      <c r="AN454" s="351"/>
    </row>
    <row r="455" spans="1:40">
      <c r="A455" s="139">
        <v>3</v>
      </c>
      <c r="B455" s="139">
        <f>IFERROR(IF((INDEX(Työkonekanta!$F$3:$F$27,MATCH('S3 Tiekartta'!$A455,Työkonekanta!$A$3:$A$24,0),1))&lt;0,0,(INDEX(Työkonekanta!$F$3:$F$27,MATCH('S3 Tiekartta'!$A455,Työkonekanta!$A$3:$A$24,0),1))),0)</f>
        <v>1</v>
      </c>
      <c r="C455" s="140">
        <v>2034</v>
      </c>
      <c r="D455" s="141" t="str">
        <f>IFERROR(INDEX(Työkonekanta!$D$3:$D$27,MATCH('S3 Tiekartta'!$A455,Työkonekanta!$A$3:$A$24,0),1),"undefined")</f>
        <v>pom</v>
      </c>
      <c r="E455" s="145">
        <f>IFERROR(INDEX(Työkonekanta!$G$3:$G$27,MATCH($A455,Työkonekanta!$A$3:$A$24,0),1)*INDEX(Työkonekanta!$H$3:$H$27,MATCH($A455,Työkonekanta!$A$3:$A$24,0),1)*(1+s0b_kasvu*($C455-2019))*$B455,0)</f>
        <v>11500</v>
      </c>
      <c r="F455" s="145">
        <f t="shared" si="176"/>
        <v>412850</v>
      </c>
      <c r="G455" s="151">
        <f t="shared" si="185"/>
        <v>127910.61620740741</v>
      </c>
      <c r="H455" s="145">
        <f t="shared" si="186"/>
        <v>284939.38379259256</v>
      </c>
      <c r="I455" s="145">
        <f t="shared" si="177"/>
        <v>3562.9698107912927</v>
      </c>
      <c r="J455" s="145">
        <f t="shared" si="178"/>
        <v>8307.2706645070721</v>
      </c>
      <c r="K455" s="142" t="str">
        <f t="shared" si="187"/>
        <v>l</v>
      </c>
      <c r="L455" s="146">
        <f>IFERROR(INDEX(Työkonekanta!$I$3:$I$27,MATCH('S3 Tiekartta'!$A455,Työkonekanta!$A$3:$A$24,0),1)*(I455+J455)*f_adblue,0)</f>
        <v>593.51202376491824</v>
      </c>
      <c r="M455" s="146">
        <f t="shared" si="171"/>
        <v>0</v>
      </c>
      <c r="N455" s="143" t="str">
        <f>IF(tuulisähkö_vuosi&lt;='S3 Tiekartta'!C455,"tuulisähkö",ostosähkö_nyt)</f>
        <v>jäännössähkö</v>
      </c>
      <c r="O455" s="147">
        <f>INDEX(Muuttujat!$J$5:$J$21,MATCH($C455,Muuttujat!$H$5:$H$21,0),1)</f>
        <v>59.556652007924122</v>
      </c>
      <c r="P455" s="148">
        <f t="shared" si="188"/>
        <v>0.30982346180793852</v>
      </c>
      <c r="Q455" s="148">
        <f t="shared" si="189"/>
        <v>0.69017653819206148</v>
      </c>
      <c r="R455" s="148">
        <f t="shared" si="190"/>
        <v>0.69017653819206148</v>
      </c>
      <c r="S455" s="149">
        <f t="shared" si="179"/>
        <v>2.4175106463199998</v>
      </c>
      <c r="T455" s="150">
        <f t="shared" si="180"/>
        <v>17.780217548657777</v>
      </c>
      <c r="U455" s="150">
        <f t="shared" si="181"/>
        <v>0</v>
      </c>
      <c r="V455" s="150">
        <f>IFERROR(INDEX(Työkonekanta!$J$3:$J$27,MATCH($A455,Työkonekanta!$A$3:$A$24,0),1)*$B455*ef_li_ion_akku/1000/1000/INDEX(Työkonekanta!$K$3:$K$27,MATCH($A455,Työkonekanta!$A$3:$A$24,0)),0)</f>
        <v>0</v>
      </c>
      <c r="W455" s="149">
        <f t="shared" si="172"/>
        <v>9.4408592859625404</v>
      </c>
      <c r="X455" s="150">
        <f t="shared" si="173"/>
        <v>0.36540750900000002</v>
      </c>
      <c r="Y455" s="151">
        <f t="shared" si="174"/>
        <v>0.15431312617887874</v>
      </c>
      <c r="Z455" s="152">
        <f t="shared" si="191"/>
        <v>20.197728194977778</v>
      </c>
      <c r="AA455" s="179">
        <f t="shared" si="192"/>
        <v>9.5951724121414195</v>
      </c>
      <c r="AB455" s="179">
        <f t="shared" si="193"/>
        <v>9.9605799211414201</v>
      </c>
      <c r="AC455" s="180">
        <f t="shared" si="175"/>
        <v>29.792900607119197</v>
      </c>
      <c r="AD455" s="156">
        <f t="shared" si="194"/>
        <v>30.158308116119198</v>
      </c>
      <c r="AE455" s="146">
        <f>IFERROR(INDEX(Työkonekanta!$L$3:$L$30,MATCH($A455,Työkonekanta!$A$3:$A$30,0),1),0)*AF455</f>
        <v>0</v>
      </c>
      <c r="AF455" s="146">
        <f>IFERROR(INDEX(Työkonekanta!$N$3:$N$32,MATCH($A455,Työkonekanta!$A$3:$A$32,0),1),0)</f>
        <v>0</v>
      </c>
      <c r="AG455" s="332">
        <f>I455*INDEX(Muuttujat!$U$5:$U$21,MATCH($C455,Muuttujat!$N$5:$N$21,0),1)</f>
        <v>3741.1183013308573</v>
      </c>
      <c r="AH455" s="332">
        <f>J455*INDEX(Muuttujat!$T$5:$T$21,MATCH($C455,Muuttujat!$N$5:$N$21,0),1)</f>
        <v>12045.542463535256</v>
      </c>
      <c r="AI455" s="332">
        <f t="shared" si="182"/>
        <v>296.75601188245912</v>
      </c>
      <c r="AJ455" s="332">
        <f t="shared" si="183"/>
        <v>0</v>
      </c>
      <c r="AK455" s="333">
        <f t="shared" si="195"/>
        <v>16083.416776748571</v>
      </c>
      <c r="AL455" s="332">
        <f t="shared" si="184"/>
        <v>16083.416776748571</v>
      </c>
      <c r="AM455" s="351"/>
      <c r="AN455" s="351"/>
    </row>
    <row r="456" spans="1:40">
      <c r="A456" s="139">
        <v>4</v>
      </c>
      <c r="B456" s="139">
        <f>IFERROR(IF((INDEX(Työkonekanta!$F$3:$F$27,MATCH('S3 Tiekartta'!$A456,Työkonekanta!$A$3:$A$24,0),1))&lt;0,0,(INDEX(Työkonekanta!$F$3:$F$27,MATCH('S3 Tiekartta'!$A456,Työkonekanta!$A$3:$A$24,0),1))),0)</f>
        <v>1</v>
      </c>
      <c r="C456" s="140">
        <v>2034</v>
      </c>
      <c r="D456" s="141" t="str">
        <f>IFERROR(INDEX(Työkonekanta!$D$3:$D$27,MATCH('S3 Tiekartta'!$A456,Työkonekanta!$A$3:$A$24,0),1),"undefined")</f>
        <v>pom</v>
      </c>
      <c r="E456" s="145">
        <f>IFERROR(INDEX(Työkonekanta!$G$3:$G$27,MATCH($A456,Työkonekanta!$A$3:$A$24,0),1)*INDEX(Työkonekanta!$H$3:$H$27,MATCH($A456,Työkonekanta!$A$3:$A$24,0),1)*(1+s0b_kasvu*($C456-2019))*$B456,0)</f>
        <v>11500</v>
      </c>
      <c r="F456" s="145">
        <f t="shared" si="176"/>
        <v>412850</v>
      </c>
      <c r="G456" s="151">
        <f t="shared" si="185"/>
        <v>127910.61620740741</v>
      </c>
      <c r="H456" s="145">
        <f t="shared" si="186"/>
        <v>284939.38379259256</v>
      </c>
      <c r="I456" s="145">
        <f t="shared" si="177"/>
        <v>3562.9698107912927</v>
      </c>
      <c r="J456" s="145">
        <f t="shared" si="178"/>
        <v>8307.2706645070721</v>
      </c>
      <c r="K456" s="142" t="str">
        <f t="shared" si="187"/>
        <v>l</v>
      </c>
      <c r="L456" s="146">
        <f>IFERROR(INDEX(Työkonekanta!$I$3:$I$27,MATCH('S3 Tiekartta'!$A456,Työkonekanta!$A$3:$A$24,0),1)*(I456+J456)*f_adblue,0)</f>
        <v>593.51202376491824</v>
      </c>
      <c r="M456" s="146">
        <f t="shared" si="171"/>
        <v>0</v>
      </c>
      <c r="N456" s="143" t="str">
        <f>IF(tuulisähkö_vuosi&lt;='S3 Tiekartta'!C456,"tuulisähkö",ostosähkö_nyt)</f>
        <v>jäännössähkö</v>
      </c>
      <c r="O456" s="147">
        <f>INDEX(Muuttujat!$J$5:$J$21,MATCH($C456,Muuttujat!$H$5:$H$21,0),1)</f>
        <v>59.556652007924122</v>
      </c>
      <c r="P456" s="148">
        <f t="shared" si="188"/>
        <v>0.30982346180793852</v>
      </c>
      <c r="Q456" s="148">
        <f t="shared" si="189"/>
        <v>0.69017653819206148</v>
      </c>
      <c r="R456" s="148">
        <f t="shared" si="190"/>
        <v>0.69017653819206148</v>
      </c>
      <c r="S456" s="149">
        <f t="shared" si="179"/>
        <v>2.4175106463199998</v>
      </c>
      <c r="T456" s="150">
        <f t="shared" si="180"/>
        <v>17.780217548657777</v>
      </c>
      <c r="U456" s="150">
        <f t="shared" si="181"/>
        <v>0</v>
      </c>
      <c r="V456" s="150">
        <f>IFERROR(INDEX(Työkonekanta!$J$3:$J$27,MATCH($A456,Työkonekanta!$A$3:$A$24,0),1)*$B456*ef_li_ion_akku/1000/1000/INDEX(Työkonekanta!$K$3:$K$27,MATCH($A456,Työkonekanta!$A$3:$A$24,0)),0)</f>
        <v>0</v>
      </c>
      <c r="W456" s="149">
        <f t="shared" si="172"/>
        <v>9.4408592859625404</v>
      </c>
      <c r="X456" s="150">
        <f t="shared" si="173"/>
        <v>0.36540750900000002</v>
      </c>
      <c r="Y456" s="151">
        <f t="shared" si="174"/>
        <v>0.15431312617887874</v>
      </c>
      <c r="Z456" s="152">
        <f t="shared" si="191"/>
        <v>20.197728194977778</v>
      </c>
      <c r="AA456" s="179">
        <f t="shared" si="192"/>
        <v>9.5951724121414195</v>
      </c>
      <c r="AB456" s="179">
        <f t="shared" si="193"/>
        <v>9.9605799211414201</v>
      </c>
      <c r="AC456" s="180">
        <f t="shared" si="175"/>
        <v>29.792900607119197</v>
      </c>
      <c r="AD456" s="156">
        <f t="shared" si="194"/>
        <v>30.158308116119198</v>
      </c>
      <c r="AE456" s="146">
        <f>IFERROR(INDEX(Työkonekanta!$L$3:$L$30,MATCH($A456,Työkonekanta!$A$3:$A$30,0),1),0)*AF456</f>
        <v>0</v>
      </c>
      <c r="AF456" s="146">
        <f>IFERROR(INDEX(Työkonekanta!$N$3:$N$32,MATCH($A456,Työkonekanta!$A$3:$A$32,0),1),0)</f>
        <v>0</v>
      </c>
      <c r="AG456" s="332">
        <f>I456*INDEX(Muuttujat!$U$5:$U$21,MATCH($C456,Muuttujat!$N$5:$N$21,0),1)</f>
        <v>3741.1183013308573</v>
      </c>
      <c r="AH456" s="332">
        <f>J456*INDEX(Muuttujat!$T$5:$T$21,MATCH($C456,Muuttujat!$N$5:$N$21,0),1)</f>
        <v>12045.542463535256</v>
      </c>
      <c r="AI456" s="332">
        <f t="shared" si="182"/>
        <v>296.75601188245912</v>
      </c>
      <c r="AJ456" s="332">
        <f t="shared" si="183"/>
        <v>0</v>
      </c>
      <c r="AK456" s="333">
        <f t="shared" si="195"/>
        <v>16083.416776748571</v>
      </c>
      <c r="AL456" s="332">
        <f t="shared" si="184"/>
        <v>16083.416776748571</v>
      </c>
      <c r="AM456" s="351"/>
      <c r="AN456" s="351"/>
    </row>
    <row r="457" spans="1:40">
      <c r="A457" s="139">
        <v>5</v>
      </c>
      <c r="B457" s="139">
        <f>IFERROR(IF((INDEX(Työkonekanta!$F$3:$F$27,MATCH('S3 Tiekartta'!$A457,Työkonekanta!$A$3:$A$24,0),1))&lt;0,0,(INDEX(Työkonekanta!$F$3:$F$27,MATCH('S3 Tiekartta'!$A457,Työkonekanta!$A$3:$A$24,0),1))),0)</f>
        <v>0</v>
      </c>
      <c r="C457" s="140">
        <v>2034</v>
      </c>
      <c r="D457" s="141" t="str">
        <f>IFERROR(INDEX(Työkonekanta!$D$3:$D$27,MATCH('S3 Tiekartta'!$A457,Työkonekanta!$A$3:$A$24,0),1),"undefined")</f>
        <v>sähkö</v>
      </c>
      <c r="E457" s="145">
        <f>IFERROR(INDEX(Työkonekanta!$G$3:$G$27,MATCH($A457,Työkonekanta!$A$3:$A$24,0),1)*INDEX(Työkonekanta!$H$3:$H$27,MATCH($A457,Työkonekanta!$A$3:$A$24,0),1)*(1+s0b_kasvu*($C457-2019))*$B457,0)</f>
        <v>0</v>
      </c>
      <c r="F457" s="145">
        <f t="shared" si="176"/>
        <v>0</v>
      </c>
      <c r="G457" s="151">
        <f t="shared" si="185"/>
        <v>0</v>
      </c>
      <c r="H457" s="145">
        <f t="shared" si="186"/>
        <v>0</v>
      </c>
      <c r="I457" s="145">
        <f t="shared" si="177"/>
        <v>0</v>
      </c>
      <c r="J457" s="145">
        <f t="shared" si="178"/>
        <v>0</v>
      </c>
      <c r="K457" s="142" t="str">
        <f t="shared" si="187"/>
        <v>kWh</v>
      </c>
      <c r="L457" s="146">
        <f>IFERROR(INDEX(Työkonekanta!$I$3:$I$27,MATCH('S3 Tiekartta'!$A457,Työkonekanta!$A$3:$A$24,0),1)*(I457+J457)*f_adblue,0)</f>
        <v>0</v>
      </c>
      <c r="M457" s="146">
        <f t="shared" si="171"/>
        <v>0</v>
      </c>
      <c r="N457" s="143" t="str">
        <f>IF(tuulisähkö_vuosi&lt;='S3 Tiekartta'!C457,"tuulisähkö",ostosähkö_nyt)</f>
        <v>jäännössähkö</v>
      </c>
      <c r="O457" s="147">
        <f>INDEX(Muuttujat!$J$5:$J$21,MATCH($C457,Muuttujat!$H$5:$H$21,0),1)</f>
        <v>59.556652007924122</v>
      </c>
      <c r="P457" s="148">
        <f t="shared" si="188"/>
        <v>0.30982346180793852</v>
      </c>
      <c r="Q457" s="148">
        <f t="shared" si="189"/>
        <v>0.69017653819206148</v>
      </c>
      <c r="R457" s="148">
        <f t="shared" si="190"/>
        <v>0.69017653819206148</v>
      </c>
      <c r="S457" s="149">
        <f t="shared" si="179"/>
        <v>0</v>
      </c>
      <c r="T457" s="150">
        <f t="shared" si="180"/>
        <v>0</v>
      </c>
      <c r="U457" s="150">
        <f t="shared" si="181"/>
        <v>0</v>
      </c>
      <c r="V457" s="150">
        <f>IFERROR(INDEX(Työkonekanta!$J$3:$J$27,MATCH($A457,Työkonekanta!$A$3:$A$24,0),1)*$B457*ef_li_ion_akku/1000/1000/INDEX(Työkonekanta!$K$3:$K$27,MATCH($A457,Työkonekanta!$A$3:$A$24,0)),0)</f>
        <v>0</v>
      </c>
      <c r="W457" s="149">
        <f t="shared" si="172"/>
        <v>0</v>
      </c>
      <c r="X457" s="150">
        <f t="shared" si="173"/>
        <v>0</v>
      </c>
      <c r="Y457" s="151">
        <f t="shared" si="174"/>
        <v>0</v>
      </c>
      <c r="Z457" s="152">
        <f t="shared" si="191"/>
        <v>0</v>
      </c>
      <c r="AA457" s="179">
        <f t="shared" si="192"/>
        <v>0</v>
      </c>
      <c r="AB457" s="179">
        <f t="shared" si="193"/>
        <v>0</v>
      </c>
      <c r="AC457" s="180">
        <f t="shared" si="175"/>
        <v>0</v>
      </c>
      <c r="AD457" s="156">
        <f t="shared" si="194"/>
        <v>0</v>
      </c>
      <c r="AE457" s="146">
        <f>IFERROR(INDEX(Työkonekanta!$L$3:$L$30,MATCH($A457,Työkonekanta!$A$3:$A$30,0),1),0)*AF457</f>
        <v>0</v>
      </c>
      <c r="AF457" s="146">
        <f>IFERROR(INDEX(Työkonekanta!$N$3:$N$32,MATCH($A457,Työkonekanta!$A$3:$A$32,0),1),0)</f>
        <v>0</v>
      </c>
      <c r="AG457" s="332">
        <f>I457*INDEX(Muuttujat!$U$5:$U$21,MATCH($C457,Muuttujat!$N$5:$N$21,0),1)</f>
        <v>0</v>
      </c>
      <c r="AH457" s="332">
        <f>J457*INDEX(Muuttujat!$T$5:$T$21,MATCH($C457,Muuttujat!$N$5:$N$21,0),1)</f>
        <v>0</v>
      </c>
      <c r="AI457" s="332">
        <f t="shared" si="182"/>
        <v>0</v>
      </c>
      <c r="AJ457" s="332">
        <f t="shared" si="183"/>
        <v>0</v>
      </c>
      <c r="AK457" s="333">
        <f t="shared" si="195"/>
        <v>0</v>
      </c>
      <c r="AL457" s="332">
        <f t="shared" si="184"/>
        <v>0</v>
      </c>
      <c r="AM457" s="351"/>
      <c r="AN457" s="351"/>
    </row>
    <row r="458" spans="1:40">
      <c r="A458" s="139">
        <v>6</v>
      </c>
      <c r="B458" s="139">
        <f>IFERROR(IF((INDEX(Työkonekanta!$F$3:$F$27,MATCH('S3 Tiekartta'!$A458,Työkonekanta!$A$3:$A$24,0),1))&lt;0,0,(INDEX(Työkonekanta!$F$3:$F$27,MATCH('S3 Tiekartta'!$A458,Työkonekanta!$A$3:$A$24,0),1))),0)</f>
        <v>0</v>
      </c>
      <c r="C458" s="140">
        <v>2034</v>
      </c>
      <c r="D458" s="141" t="str">
        <f>IFERROR(INDEX(Työkonekanta!$D$3:$D$27,MATCH('S3 Tiekartta'!$A458,Työkonekanta!$A$3:$A$24,0),1),"undefined")</f>
        <v>sähkö</v>
      </c>
      <c r="E458" s="145">
        <f>IFERROR(INDEX(Työkonekanta!$G$3:$G$27,MATCH($A458,Työkonekanta!$A$3:$A$24,0),1)*INDEX(Työkonekanta!$H$3:$H$27,MATCH($A458,Työkonekanta!$A$3:$A$24,0),1)*(1+s0b_kasvu*($C458-2019))*$B458,0)</f>
        <v>0</v>
      </c>
      <c r="F458" s="145">
        <f t="shared" si="176"/>
        <v>0</v>
      </c>
      <c r="G458" s="151">
        <f t="shared" si="185"/>
        <v>0</v>
      </c>
      <c r="H458" s="145">
        <f t="shared" si="186"/>
        <v>0</v>
      </c>
      <c r="I458" s="145">
        <f t="shared" si="177"/>
        <v>0</v>
      </c>
      <c r="J458" s="145">
        <f t="shared" si="178"/>
        <v>0</v>
      </c>
      <c r="K458" s="142" t="str">
        <f t="shared" si="187"/>
        <v>kWh</v>
      </c>
      <c r="L458" s="146">
        <f>IFERROR(INDEX(Työkonekanta!$I$3:$I$27,MATCH('S3 Tiekartta'!$A458,Työkonekanta!$A$3:$A$24,0),1)*(I458+J458)*f_adblue,0)</f>
        <v>0</v>
      </c>
      <c r="M458" s="146">
        <f t="shared" si="171"/>
        <v>0</v>
      </c>
      <c r="N458" s="143" t="str">
        <f>IF(tuulisähkö_vuosi&lt;='S3 Tiekartta'!C458,"tuulisähkö",ostosähkö_nyt)</f>
        <v>jäännössähkö</v>
      </c>
      <c r="O458" s="147">
        <f>INDEX(Muuttujat!$J$5:$J$21,MATCH($C458,Muuttujat!$H$5:$H$21,0),1)</f>
        <v>59.556652007924122</v>
      </c>
      <c r="P458" s="148">
        <f t="shared" si="188"/>
        <v>0.30982346180793852</v>
      </c>
      <c r="Q458" s="148">
        <f t="shared" si="189"/>
        <v>0.69017653819206148</v>
      </c>
      <c r="R458" s="148">
        <f t="shared" si="190"/>
        <v>0.69017653819206148</v>
      </c>
      <c r="S458" s="149">
        <f t="shared" si="179"/>
        <v>0</v>
      </c>
      <c r="T458" s="150">
        <f t="shared" si="180"/>
        <v>0</v>
      </c>
      <c r="U458" s="150">
        <f t="shared" si="181"/>
        <v>0</v>
      </c>
      <c r="V458" s="150">
        <f>IFERROR(INDEX(Työkonekanta!$J$3:$J$27,MATCH($A458,Työkonekanta!$A$3:$A$24,0),1)*$B458*ef_li_ion_akku/1000/1000/INDEX(Työkonekanta!$K$3:$K$27,MATCH($A458,Työkonekanta!$A$3:$A$24,0)),0)</f>
        <v>0</v>
      </c>
      <c r="W458" s="149">
        <f t="shared" si="172"/>
        <v>0</v>
      </c>
      <c r="X458" s="150">
        <f t="shared" si="173"/>
        <v>0</v>
      </c>
      <c r="Y458" s="151">
        <f t="shared" si="174"/>
        <v>0</v>
      </c>
      <c r="Z458" s="152">
        <f t="shared" si="191"/>
        <v>0</v>
      </c>
      <c r="AA458" s="179">
        <f t="shared" si="192"/>
        <v>0</v>
      </c>
      <c r="AB458" s="179">
        <f t="shared" si="193"/>
        <v>0</v>
      </c>
      <c r="AC458" s="180">
        <f t="shared" si="175"/>
        <v>0</v>
      </c>
      <c r="AD458" s="156">
        <f t="shared" si="194"/>
        <v>0</v>
      </c>
      <c r="AE458" s="146">
        <f>IFERROR(INDEX(Työkonekanta!$L$3:$L$30,MATCH($A458,Työkonekanta!$A$3:$A$30,0),1),0)*AF458</f>
        <v>0</v>
      </c>
      <c r="AF458" s="146">
        <f>IFERROR(INDEX(Työkonekanta!$N$3:$N$32,MATCH($A458,Työkonekanta!$A$3:$A$32,0),1),0)</f>
        <v>0</v>
      </c>
      <c r="AG458" s="332">
        <f>I458*INDEX(Muuttujat!$U$5:$U$21,MATCH($C458,Muuttujat!$N$5:$N$21,0),1)</f>
        <v>0</v>
      </c>
      <c r="AH458" s="332">
        <f>J458*INDEX(Muuttujat!$T$5:$T$21,MATCH($C458,Muuttujat!$N$5:$N$21,0),1)</f>
        <v>0</v>
      </c>
      <c r="AI458" s="332">
        <f t="shared" si="182"/>
        <v>0</v>
      </c>
      <c r="AJ458" s="332">
        <f t="shared" si="183"/>
        <v>0</v>
      </c>
      <c r="AK458" s="333">
        <f t="shared" si="195"/>
        <v>0</v>
      </c>
      <c r="AL458" s="332">
        <f t="shared" si="184"/>
        <v>0</v>
      </c>
      <c r="AM458" s="351"/>
      <c r="AN458" s="351"/>
    </row>
    <row r="459" spans="1:40">
      <c r="A459" s="139">
        <v>7</v>
      </c>
      <c r="B459" s="139">
        <f>IFERROR(IF((INDEX(Työkonekanta!$F$3:$F$27,MATCH('S3 Tiekartta'!$A459,Työkonekanta!$A$3:$A$24,0),1))&lt;0,0,(INDEX(Työkonekanta!$F$3:$F$27,MATCH('S3 Tiekartta'!$A459,Työkonekanta!$A$3:$A$24,0),1))),0)</f>
        <v>1</v>
      </c>
      <c r="C459" s="140">
        <v>2034</v>
      </c>
      <c r="D459" s="141" t="str">
        <f>IFERROR(INDEX(Työkonekanta!$D$3:$D$27,MATCH('S3 Tiekartta'!$A459,Työkonekanta!$A$3:$A$24,0),1),"undefined")</f>
        <v>pom</v>
      </c>
      <c r="E459" s="145">
        <f>IFERROR(INDEX(Työkonekanta!$G$3:$G$27,MATCH($A459,Työkonekanta!$A$3:$A$24,0),1)*INDEX(Työkonekanta!$H$3:$H$27,MATCH($A459,Työkonekanta!$A$3:$A$24,0),1)*(1+s0b_kasvu*($C459-2019))*$B459,0)</f>
        <v>11500</v>
      </c>
      <c r="F459" s="145">
        <f t="shared" si="176"/>
        <v>412850</v>
      </c>
      <c r="G459" s="151">
        <f t="shared" si="185"/>
        <v>127910.61620740741</v>
      </c>
      <c r="H459" s="145">
        <f t="shared" si="186"/>
        <v>284939.38379259256</v>
      </c>
      <c r="I459" s="145">
        <f t="shared" si="177"/>
        <v>3562.9698107912927</v>
      </c>
      <c r="J459" s="145">
        <f t="shared" si="178"/>
        <v>8307.2706645070721</v>
      </c>
      <c r="K459" s="142" t="str">
        <f t="shared" si="187"/>
        <v>l</v>
      </c>
      <c r="L459" s="146">
        <f>IFERROR(INDEX(Työkonekanta!$I$3:$I$27,MATCH('S3 Tiekartta'!$A459,Työkonekanta!$A$3:$A$24,0),1)*(I459+J459)*f_adblue,0)</f>
        <v>0</v>
      </c>
      <c r="M459" s="146">
        <f t="shared" si="171"/>
        <v>0</v>
      </c>
      <c r="N459" s="143" t="str">
        <f>IF(tuulisähkö_vuosi&lt;='S3 Tiekartta'!C459,"tuulisähkö",ostosähkö_nyt)</f>
        <v>jäännössähkö</v>
      </c>
      <c r="O459" s="147">
        <f>INDEX(Muuttujat!$J$5:$J$21,MATCH($C459,Muuttujat!$H$5:$H$21,0),1)</f>
        <v>59.556652007924122</v>
      </c>
      <c r="P459" s="148">
        <f t="shared" si="188"/>
        <v>0.30982346180793852</v>
      </c>
      <c r="Q459" s="148">
        <f t="shared" si="189"/>
        <v>0.69017653819206148</v>
      </c>
      <c r="R459" s="148">
        <f t="shared" si="190"/>
        <v>0.69017653819206148</v>
      </c>
      <c r="S459" s="149">
        <f t="shared" si="179"/>
        <v>2.4175106463199998</v>
      </c>
      <c r="T459" s="150">
        <f t="shared" si="180"/>
        <v>17.780217548657777</v>
      </c>
      <c r="U459" s="150">
        <f t="shared" si="181"/>
        <v>0</v>
      </c>
      <c r="V459" s="150">
        <f>IFERROR(INDEX(Työkonekanta!$J$3:$J$27,MATCH($A459,Työkonekanta!$A$3:$A$24,0),1)*$B459*ef_li_ion_akku/1000/1000/INDEX(Työkonekanta!$K$3:$K$27,MATCH($A459,Työkonekanta!$A$3:$A$24,0)),0)</f>
        <v>0</v>
      </c>
      <c r="W459" s="149">
        <f t="shared" si="172"/>
        <v>9.4408592859625404</v>
      </c>
      <c r="X459" s="150">
        <f t="shared" si="173"/>
        <v>0.36540750900000002</v>
      </c>
      <c r="Y459" s="151">
        <f t="shared" si="174"/>
        <v>0</v>
      </c>
      <c r="Z459" s="152">
        <f t="shared" si="191"/>
        <v>20.197728194977778</v>
      </c>
      <c r="AA459" s="179">
        <f t="shared" si="192"/>
        <v>9.4408592859625404</v>
      </c>
      <c r="AB459" s="179">
        <f t="shared" si="193"/>
        <v>9.8062667949625411</v>
      </c>
      <c r="AC459" s="180">
        <f t="shared" si="175"/>
        <v>29.638587480940316</v>
      </c>
      <c r="AD459" s="156">
        <f t="shared" si="194"/>
        <v>30.003994989940317</v>
      </c>
      <c r="AE459" s="146">
        <f>IFERROR(INDEX(Työkonekanta!$L$3:$L$30,MATCH($A459,Työkonekanta!$A$3:$A$30,0),1),0)*AF459</f>
        <v>500000</v>
      </c>
      <c r="AF459" s="146">
        <f>IFERROR(INDEX(Työkonekanta!$N$3:$N$32,MATCH($A459,Työkonekanta!$A$3:$A$32,0),1),0)</f>
        <v>1</v>
      </c>
      <c r="AG459" s="332">
        <f>I459*INDEX(Muuttujat!$U$5:$U$21,MATCH($C459,Muuttujat!$N$5:$N$21,0),1)</f>
        <v>3741.1183013308573</v>
      </c>
      <c r="AH459" s="332">
        <f>J459*INDEX(Muuttujat!$T$5:$T$21,MATCH($C459,Muuttujat!$N$5:$N$21,0),1)</f>
        <v>12045.542463535256</v>
      </c>
      <c r="AI459" s="332">
        <f t="shared" si="182"/>
        <v>0</v>
      </c>
      <c r="AJ459" s="332">
        <f t="shared" si="183"/>
        <v>0</v>
      </c>
      <c r="AK459" s="333">
        <f t="shared" si="195"/>
        <v>15786.660764866112</v>
      </c>
      <c r="AL459" s="332">
        <f t="shared" si="184"/>
        <v>15786.660764866112</v>
      </c>
      <c r="AM459" s="351"/>
      <c r="AN459" s="351"/>
    </row>
    <row r="460" spans="1:40">
      <c r="A460" s="139">
        <v>8</v>
      </c>
      <c r="B460" s="139">
        <f>IFERROR(IF((INDEX(Työkonekanta!$F$3:$F$27,MATCH('S3 Tiekartta'!$A460,Työkonekanta!$A$3:$A$24,0),1))&lt;0,0,(INDEX(Työkonekanta!$F$3:$F$27,MATCH('S3 Tiekartta'!$A460,Työkonekanta!$A$3:$A$24,0),1))),0)</f>
        <v>1</v>
      </c>
      <c r="C460" s="140">
        <v>2034</v>
      </c>
      <c r="D460" s="141" t="str">
        <f>IFERROR(INDEX(Työkonekanta!$D$3:$D$27,MATCH('S3 Tiekartta'!$A460,Työkonekanta!$A$3:$A$24,0),1),"undefined")</f>
        <v>pom</v>
      </c>
      <c r="E460" s="145">
        <f>IFERROR(INDEX(Työkonekanta!$G$3:$G$27,MATCH($A460,Työkonekanta!$A$3:$A$24,0),1)*INDEX(Työkonekanta!$H$3:$H$27,MATCH($A460,Työkonekanta!$A$3:$A$24,0),1)*(1+s0b_kasvu*($C460-2019))*$B460,0)</f>
        <v>11500</v>
      </c>
      <c r="F460" s="145">
        <f t="shared" si="176"/>
        <v>412850</v>
      </c>
      <c r="G460" s="151">
        <f t="shared" si="185"/>
        <v>127910.61620740741</v>
      </c>
      <c r="H460" s="145">
        <f t="shared" si="186"/>
        <v>284939.38379259256</v>
      </c>
      <c r="I460" s="145">
        <f t="shared" si="177"/>
        <v>3562.9698107912927</v>
      </c>
      <c r="J460" s="145">
        <f t="shared" si="178"/>
        <v>8307.2706645070721</v>
      </c>
      <c r="K460" s="142" t="str">
        <f t="shared" si="187"/>
        <v>l</v>
      </c>
      <c r="L460" s="146">
        <f>IFERROR(INDEX(Työkonekanta!$I$3:$I$27,MATCH('S3 Tiekartta'!$A460,Työkonekanta!$A$3:$A$24,0),1)*(I460+J460)*f_adblue,0)</f>
        <v>593.51202376491824</v>
      </c>
      <c r="M460" s="146">
        <f t="shared" si="171"/>
        <v>0</v>
      </c>
      <c r="N460" s="143" t="str">
        <f>IF(tuulisähkö_vuosi&lt;='S3 Tiekartta'!C460,"tuulisähkö",ostosähkö_nyt)</f>
        <v>jäännössähkö</v>
      </c>
      <c r="O460" s="147">
        <f>INDEX(Muuttujat!$J$5:$J$21,MATCH($C460,Muuttujat!$H$5:$H$21,0),1)</f>
        <v>59.556652007924122</v>
      </c>
      <c r="P460" s="148">
        <f t="shared" si="188"/>
        <v>0.30982346180793852</v>
      </c>
      <c r="Q460" s="148">
        <f t="shared" si="189"/>
        <v>0.69017653819206148</v>
      </c>
      <c r="R460" s="148">
        <f t="shared" si="190"/>
        <v>0.69017653819206148</v>
      </c>
      <c r="S460" s="149">
        <f t="shared" si="179"/>
        <v>2.4175106463199998</v>
      </c>
      <c r="T460" s="150">
        <f t="shared" si="180"/>
        <v>17.780217548657777</v>
      </c>
      <c r="U460" s="150">
        <f t="shared" si="181"/>
        <v>0</v>
      </c>
      <c r="V460" s="150">
        <f>IFERROR(INDEX(Työkonekanta!$J$3:$J$27,MATCH($A460,Työkonekanta!$A$3:$A$24,0),1)*$B460*ef_li_ion_akku/1000/1000/INDEX(Työkonekanta!$K$3:$K$27,MATCH($A460,Työkonekanta!$A$3:$A$24,0)),0)</f>
        <v>0</v>
      </c>
      <c r="W460" s="149">
        <f t="shared" si="172"/>
        <v>9.4408592859625404</v>
      </c>
      <c r="X460" s="150">
        <f t="shared" si="173"/>
        <v>0.36540750900000002</v>
      </c>
      <c r="Y460" s="151">
        <f t="shared" si="174"/>
        <v>0.15431312617887874</v>
      </c>
      <c r="Z460" s="152">
        <f t="shared" si="191"/>
        <v>20.197728194977778</v>
      </c>
      <c r="AA460" s="179">
        <f t="shared" si="192"/>
        <v>9.5951724121414195</v>
      </c>
      <c r="AB460" s="179">
        <f t="shared" si="193"/>
        <v>9.9605799211414201</v>
      </c>
      <c r="AC460" s="180">
        <f t="shared" si="175"/>
        <v>29.792900607119197</v>
      </c>
      <c r="AD460" s="156">
        <f t="shared" si="194"/>
        <v>30.158308116119198</v>
      </c>
      <c r="AE460" s="146">
        <f>IFERROR(INDEX(Työkonekanta!$L$3:$L$30,MATCH($A460,Työkonekanta!$A$3:$A$30,0),1),0)*AF460</f>
        <v>500000</v>
      </c>
      <c r="AF460" s="146">
        <f>IFERROR(INDEX(Työkonekanta!$N$3:$N$32,MATCH($A460,Työkonekanta!$A$3:$A$32,0),1),0)</f>
        <v>1</v>
      </c>
      <c r="AG460" s="332">
        <f>I460*INDEX(Muuttujat!$U$5:$U$21,MATCH($C460,Muuttujat!$N$5:$N$21,0),1)</f>
        <v>3741.1183013308573</v>
      </c>
      <c r="AH460" s="332">
        <f>J460*INDEX(Muuttujat!$T$5:$T$21,MATCH($C460,Muuttujat!$N$5:$N$21,0),1)</f>
        <v>12045.542463535256</v>
      </c>
      <c r="AI460" s="332">
        <f t="shared" si="182"/>
        <v>296.75601188245912</v>
      </c>
      <c r="AJ460" s="332">
        <f t="shared" si="183"/>
        <v>0</v>
      </c>
      <c r="AK460" s="333">
        <f t="shared" si="195"/>
        <v>16083.416776748571</v>
      </c>
      <c r="AL460" s="332">
        <f t="shared" si="184"/>
        <v>16083.416776748571</v>
      </c>
      <c r="AM460" s="351"/>
      <c r="AN460" s="351"/>
    </row>
    <row r="461" spans="1:40">
      <c r="A461" s="139">
        <v>9</v>
      </c>
      <c r="B461" s="139">
        <f>IFERROR(IF((INDEX(Työkonekanta!$F$3:$F$27,MATCH('S3 Tiekartta'!$A461,Työkonekanta!$A$3:$A$24,0),1))&lt;0,0,(INDEX(Työkonekanta!$F$3:$F$27,MATCH('S3 Tiekartta'!$A461,Työkonekanta!$A$3:$A$24,0),1))),0)</f>
        <v>0</v>
      </c>
      <c r="C461" s="140">
        <v>2034</v>
      </c>
      <c r="D461" s="141" t="str">
        <f>IFERROR(INDEX(Työkonekanta!$D$3:$D$27,MATCH('S3 Tiekartta'!$A461,Työkonekanta!$A$3:$A$24,0),1),"undefined")</f>
        <v>sähkö</v>
      </c>
      <c r="E461" s="145">
        <f>IFERROR(INDEX(Työkonekanta!$G$3:$G$27,MATCH($A461,Työkonekanta!$A$3:$A$24,0),1)*INDEX(Työkonekanta!$H$3:$H$27,MATCH($A461,Työkonekanta!$A$3:$A$24,0),1)*(1+s0b_kasvu*($C461-2019))*$B461,0)</f>
        <v>0</v>
      </c>
      <c r="F461" s="145">
        <f t="shared" si="176"/>
        <v>0</v>
      </c>
      <c r="G461" s="151">
        <f t="shared" si="185"/>
        <v>0</v>
      </c>
      <c r="H461" s="145">
        <f t="shared" si="186"/>
        <v>0</v>
      </c>
      <c r="I461" s="145">
        <f t="shared" si="177"/>
        <v>0</v>
      </c>
      <c r="J461" s="145">
        <f t="shared" si="178"/>
        <v>0</v>
      </c>
      <c r="K461" s="142" t="str">
        <f t="shared" si="187"/>
        <v>kWh</v>
      </c>
      <c r="L461" s="146">
        <f>IFERROR(INDEX(Työkonekanta!$I$3:$I$27,MATCH('S3 Tiekartta'!$A461,Työkonekanta!$A$3:$A$24,0),1)*(I461+J461)*f_adblue,0)</f>
        <v>0</v>
      </c>
      <c r="M461" s="146">
        <f t="shared" si="171"/>
        <v>0</v>
      </c>
      <c r="N461" s="143" t="str">
        <f>IF(tuulisähkö_vuosi&lt;='S3 Tiekartta'!C461,"tuulisähkö",ostosähkö_nyt)</f>
        <v>jäännössähkö</v>
      </c>
      <c r="O461" s="147">
        <f>INDEX(Muuttujat!$J$5:$J$21,MATCH($C461,Muuttujat!$H$5:$H$21,0),1)</f>
        <v>59.556652007924122</v>
      </c>
      <c r="P461" s="148">
        <f t="shared" si="188"/>
        <v>0.30982346180793852</v>
      </c>
      <c r="Q461" s="148">
        <f t="shared" si="189"/>
        <v>0.69017653819206148</v>
      </c>
      <c r="R461" s="148">
        <f t="shared" si="190"/>
        <v>0.69017653819206148</v>
      </c>
      <c r="S461" s="149">
        <f t="shared" si="179"/>
        <v>0</v>
      </c>
      <c r="T461" s="150">
        <f t="shared" si="180"/>
        <v>0</v>
      </c>
      <c r="U461" s="150">
        <f t="shared" si="181"/>
        <v>0</v>
      </c>
      <c r="V461" s="150">
        <f>IFERROR(INDEX(Työkonekanta!$J$3:$J$27,MATCH($A461,Työkonekanta!$A$3:$A$24,0),1)*$B461*ef_li_ion_akku/1000/1000/INDEX(Työkonekanta!$K$3:$K$27,MATCH($A461,Työkonekanta!$A$3:$A$24,0)),0)</f>
        <v>0</v>
      </c>
      <c r="W461" s="149">
        <f t="shared" si="172"/>
        <v>0</v>
      </c>
      <c r="X461" s="150">
        <f t="shared" si="173"/>
        <v>0</v>
      </c>
      <c r="Y461" s="151">
        <f t="shared" si="174"/>
        <v>0</v>
      </c>
      <c r="Z461" s="152">
        <f t="shared" si="191"/>
        <v>0</v>
      </c>
      <c r="AA461" s="179">
        <f t="shared" si="192"/>
        <v>0</v>
      </c>
      <c r="AB461" s="179">
        <f t="shared" si="193"/>
        <v>0</v>
      </c>
      <c r="AC461" s="180">
        <f t="shared" si="175"/>
        <v>0</v>
      </c>
      <c r="AD461" s="156">
        <f t="shared" si="194"/>
        <v>0</v>
      </c>
      <c r="AE461" s="146">
        <f>IFERROR(INDEX(Työkonekanta!$L$3:$L$30,MATCH($A461,Työkonekanta!$A$3:$A$30,0),1),0)*AF461</f>
        <v>0</v>
      </c>
      <c r="AF461" s="146">
        <f>IFERROR(INDEX(Työkonekanta!$N$3:$N$32,MATCH($A461,Työkonekanta!$A$3:$A$32,0),1),0)</f>
        <v>0</v>
      </c>
      <c r="AG461" s="332">
        <f>I461*INDEX(Muuttujat!$U$5:$U$21,MATCH($C461,Muuttujat!$N$5:$N$21,0),1)</f>
        <v>0</v>
      </c>
      <c r="AH461" s="332">
        <f>J461*INDEX(Muuttujat!$T$5:$T$21,MATCH($C461,Muuttujat!$N$5:$N$21,0),1)</f>
        <v>0</v>
      </c>
      <c r="AI461" s="332">
        <f t="shared" si="182"/>
        <v>0</v>
      </c>
      <c r="AJ461" s="332">
        <f t="shared" si="183"/>
        <v>0</v>
      </c>
      <c r="AK461" s="333">
        <f t="shared" si="195"/>
        <v>0</v>
      </c>
      <c r="AL461" s="332">
        <f t="shared" si="184"/>
        <v>0</v>
      </c>
      <c r="AM461" s="351"/>
      <c r="AN461" s="351"/>
    </row>
    <row r="462" spans="1:40">
      <c r="A462" s="139">
        <v>10</v>
      </c>
      <c r="B462" s="139">
        <f>IFERROR(IF((INDEX(Työkonekanta!$F$3:$F$27,MATCH('S3 Tiekartta'!$A462,Työkonekanta!$A$3:$A$24,0),1))&lt;0,0,(INDEX(Työkonekanta!$F$3:$F$27,MATCH('S3 Tiekartta'!$A462,Työkonekanta!$A$3:$A$24,0),1))),0)</f>
        <v>0</v>
      </c>
      <c r="C462" s="140">
        <v>2034</v>
      </c>
      <c r="D462" s="141" t="str">
        <f>IFERROR(INDEX(Työkonekanta!$D$3:$D$27,MATCH('S3 Tiekartta'!$A462,Työkonekanta!$A$3:$A$24,0),1),"undefined")</f>
        <v>sähkö</v>
      </c>
      <c r="E462" s="145">
        <f>IFERROR(INDEX(Työkonekanta!$G$3:$G$27,MATCH($A462,Työkonekanta!$A$3:$A$24,0),1)*INDEX(Työkonekanta!$H$3:$H$27,MATCH($A462,Työkonekanta!$A$3:$A$24,0),1)*(1+s0b_kasvu*($C462-2019))*$B462,0)</f>
        <v>0</v>
      </c>
      <c r="F462" s="145">
        <f t="shared" si="176"/>
        <v>0</v>
      </c>
      <c r="G462" s="151">
        <f t="shared" si="185"/>
        <v>0</v>
      </c>
      <c r="H462" s="145">
        <f t="shared" si="186"/>
        <v>0</v>
      </c>
      <c r="I462" s="145">
        <f t="shared" si="177"/>
        <v>0</v>
      </c>
      <c r="J462" s="145">
        <f t="shared" si="178"/>
        <v>0</v>
      </c>
      <c r="K462" s="142" t="str">
        <f t="shared" si="187"/>
        <v>kWh</v>
      </c>
      <c r="L462" s="146">
        <f>IFERROR(INDEX(Työkonekanta!$I$3:$I$27,MATCH('S3 Tiekartta'!$A462,Työkonekanta!$A$3:$A$24,0),1)*(I462+J462)*f_adblue,0)</f>
        <v>0</v>
      </c>
      <c r="M462" s="146">
        <f t="shared" si="171"/>
        <v>0</v>
      </c>
      <c r="N462" s="143" t="str">
        <f>IF(tuulisähkö_vuosi&lt;='S3 Tiekartta'!C462,"tuulisähkö",ostosähkö_nyt)</f>
        <v>jäännössähkö</v>
      </c>
      <c r="O462" s="147">
        <f>INDEX(Muuttujat!$J$5:$J$21,MATCH($C462,Muuttujat!$H$5:$H$21,0),1)</f>
        <v>59.556652007924122</v>
      </c>
      <c r="P462" s="148">
        <f t="shared" si="188"/>
        <v>0.30982346180793852</v>
      </c>
      <c r="Q462" s="148">
        <f t="shared" si="189"/>
        <v>0.69017653819206148</v>
      </c>
      <c r="R462" s="148">
        <f t="shared" si="190"/>
        <v>0.69017653819206148</v>
      </c>
      <c r="S462" s="149">
        <f t="shared" si="179"/>
        <v>0</v>
      </c>
      <c r="T462" s="150">
        <f t="shared" si="180"/>
        <v>0</v>
      </c>
      <c r="U462" s="150">
        <f t="shared" si="181"/>
        <v>0</v>
      </c>
      <c r="V462" s="150">
        <f>IFERROR(INDEX(Työkonekanta!$J$3:$J$27,MATCH($A462,Työkonekanta!$A$3:$A$24,0),1)*$B462*ef_li_ion_akku/1000/1000/INDEX(Työkonekanta!$K$3:$K$27,MATCH($A462,Työkonekanta!$A$3:$A$24,0)),0)</f>
        <v>0</v>
      </c>
      <c r="W462" s="149">
        <f t="shared" si="172"/>
        <v>0</v>
      </c>
      <c r="X462" s="150">
        <f t="shared" si="173"/>
        <v>0</v>
      </c>
      <c r="Y462" s="151">
        <f t="shared" si="174"/>
        <v>0</v>
      </c>
      <c r="Z462" s="152">
        <f t="shared" si="191"/>
        <v>0</v>
      </c>
      <c r="AA462" s="179">
        <f t="shared" si="192"/>
        <v>0</v>
      </c>
      <c r="AB462" s="179">
        <f t="shared" si="193"/>
        <v>0</v>
      </c>
      <c r="AC462" s="180">
        <f t="shared" si="175"/>
        <v>0</v>
      </c>
      <c r="AD462" s="156">
        <f t="shared" si="194"/>
        <v>0</v>
      </c>
      <c r="AE462" s="146">
        <f>IFERROR(INDEX(Työkonekanta!$L$3:$L$30,MATCH($A462,Työkonekanta!$A$3:$A$30,0),1),0)*AF462</f>
        <v>0</v>
      </c>
      <c r="AF462" s="146">
        <f>IFERROR(INDEX(Työkonekanta!$N$3:$N$32,MATCH($A462,Työkonekanta!$A$3:$A$32,0),1),0)</f>
        <v>0</v>
      </c>
      <c r="AG462" s="332">
        <f>I462*INDEX(Muuttujat!$U$5:$U$21,MATCH($C462,Muuttujat!$N$5:$N$21,0),1)</f>
        <v>0</v>
      </c>
      <c r="AH462" s="332">
        <f>J462*INDEX(Muuttujat!$T$5:$T$21,MATCH($C462,Muuttujat!$N$5:$N$21,0),1)</f>
        <v>0</v>
      </c>
      <c r="AI462" s="332">
        <f t="shared" si="182"/>
        <v>0</v>
      </c>
      <c r="AJ462" s="332">
        <f t="shared" si="183"/>
        <v>0</v>
      </c>
      <c r="AK462" s="333">
        <f t="shared" si="195"/>
        <v>0</v>
      </c>
      <c r="AL462" s="332">
        <f t="shared" si="184"/>
        <v>0</v>
      </c>
      <c r="AM462" s="351"/>
      <c r="AN462" s="351"/>
    </row>
    <row r="463" spans="1:40">
      <c r="A463" s="139">
        <v>11</v>
      </c>
      <c r="B463" s="139">
        <f>IFERROR(IF((INDEX(Työkonekanta!$F$3:$F$27,MATCH('S3 Tiekartta'!$A463,Työkonekanta!$A$3:$A$24,0),1))&lt;0,0,(INDEX(Työkonekanta!$F$3:$F$27,MATCH('S3 Tiekartta'!$A463,Työkonekanta!$A$3:$A$24,0),1))),0)</f>
        <v>1</v>
      </c>
      <c r="C463" s="140">
        <v>2034</v>
      </c>
      <c r="D463" s="141" t="str">
        <f>IFERROR(INDEX(Työkonekanta!$D$3:$D$27,MATCH('S3 Tiekartta'!$A463,Työkonekanta!$A$3:$A$24,0),1),"undefined")</f>
        <v>pom</v>
      </c>
      <c r="E463" s="145">
        <f>IFERROR(INDEX(Työkonekanta!$G$3:$G$27,MATCH($A463,Työkonekanta!$A$3:$A$24,0),1)*INDEX(Työkonekanta!$H$3:$H$27,MATCH($A463,Työkonekanta!$A$3:$A$24,0),1)*(1+s0b_kasvu*($C463-2019))*$B463,0)</f>
        <v>11500</v>
      </c>
      <c r="F463" s="145">
        <f t="shared" si="176"/>
        <v>412850</v>
      </c>
      <c r="G463" s="151">
        <f t="shared" si="185"/>
        <v>127910.61620740741</v>
      </c>
      <c r="H463" s="145">
        <f t="shared" si="186"/>
        <v>284939.38379259256</v>
      </c>
      <c r="I463" s="145">
        <f t="shared" si="177"/>
        <v>3562.9698107912927</v>
      </c>
      <c r="J463" s="145">
        <f t="shared" si="178"/>
        <v>8307.2706645070721</v>
      </c>
      <c r="K463" s="142" t="str">
        <f t="shared" si="187"/>
        <v>l</v>
      </c>
      <c r="L463" s="146">
        <f>IFERROR(INDEX(Työkonekanta!$I$3:$I$27,MATCH('S3 Tiekartta'!$A463,Työkonekanta!$A$3:$A$24,0),1)*(I463+J463)*f_adblue,0)</f>
        <v>593.51202376491824</v>
      </c>
      <c r="M463" s="146">
        <f t="shared" si="171"/>
        <v>0</v>
      </c>
      <c r="N463" s="143" t="str">
        <f>IF(tuulisähkö_vuosi&lt;='S3 Tiekartta'!C463,"tuulisähkö",ostosähkö_nyt)</f>
        <v>jäännössähkö</v>
      </c>
      <c r="O463" s="147">
        <f>INDEX(Muuttujat!$J$5:$J$21,MATCH($C463,Muuttujat!$H$5:$H$21,0),1)</f>
        <v>59.556652007924122</v>
      </c>
      <c r="P463" s="148">
        <f t="shared" si="188"/>
        <v>0.30982346180793852</v>
      </c>
      <c r="Q463" s="148">
        <f t="shared" si="189"/>
        <v>0.69017653819206148</v>
      </c>
      <c r="R463" s="148">
        <f t="shared" si="190"/>
        <v>0.69017653819206148</v>
      </c>
      <c r="S463" s="149">
        <f t="shared" si="179"/>
        <v>2.4175106463199998</v>
      </c>
      <c r="T463" s="150">
        <f t="shared" si="180"/>
        <v>17.780217548657777</v>
      </c>
      <c r="U463" s="150">
        <f t="shared" si="181"/>
        <v>0</v>
      </c>
      <c r="V463" s="150">
        <f>IFERROR(INDEX(Työkonekanta!$J$3:$J$27,MATCH($A463,Työkonekanta!$A$3:$A$24,0),1)*$B463*ef_li_ion_akku/1000/1000/INDEX(Työkonekanta!$K$3:$K$27,MATCH($A463,Työkonekanta!$A$3:$A$24,0)),0)</f>
        <v>0</v>
      </c>
      <c r="W463" s="149">
        <f t="shared" si="172"/>
        <v>9.4408592859625404</v>
      </c>
      <c r="X463" s="150">
        <f t="shared" si="173"/>
        <v>0.36540750900000002</v>
      </c>
      <c r="Y463" s="151">
        <f t="shared" si="174"/>
        <v>0.15431312617887874</v>
      </c>
      <c r="Z463" s="152">
        <f t="shared" si="191"/>
        <v>20.197728194977778</v>
      </c>
      <c r="AA463" s="179">
        <f t="shared" si="192"/>
        <v>9.5951724121414195</v>
      </c>
      <c r="AB463" s="179">
        <f t="shared" si="193"/>
        <v>9.9605799211414201</v>
      </c>
      <c r="AC463" s="180">
        <f t="shared" si="175"/>
        <v>29.792900607119197</v>
      </c>
      <c r="AD463" s="156">
        <f t="shared" si="194"/>
        <v>30.158308116119198</v>
      </c>
      <c r="AE463" s="146">
        <f>IFERROR(INDEX(Työkonekanta!$L$3:$L$30,MATCH($A463,Työkonekanta!$A$3:$A$30,0),1),0)*AF463</f>
        <v>500000</v>
      </c>
      <c r="AF463" s="146">
        <f>IFERROR(INDEX(Työkonekanta!$N$3:$N$32,MATCH($A463,Työkonekanta!$A$3:$A$32,0),1),0)</f>
        <v>1</v>
      </c>
      <c r="AG463" s="332">
        <f>I463*INDEX(Muuttujat!$U$5:$U$21,MATCH($C463,Muuttujat!$N$5:$N$21,0),1)</f>
        <v>3741.1183013308573</v>
      </c>
      <c r="AH463" s="332">
        <f>J463*INDEX(Muuttujat!$T$5:$T$21,MATCH($C463,Muuttujat!$N$5:$N$21,0),1)</f>
        <v>12045.542463535256</v>
      </c>
      <c r="AI463" s="332">
        <f t="shared" si="182"/>
        <v>296.75601188245912</v>
      </c>
      <c r="AJ463" s="332">
        <f t="shared" si="183"/>
        <v>0</v>
      </c>
      <c r="AK463" s="333">
        <f t="shared" si="195"/>
        <v>16083.416776748571</v>
      </c>
      <c r="AL463" s="332">
        <f t="shared" si="184"/>
        <v>16083.416776748571</v>
      </c>
      <c r="AM463" s="351"/>
      <c r="AN463" s="351"/>
    </row>
    <row r="464" spans="1:40">
      <c r="A464" s="139">
        <v>12</v>
      </c>
      <c r="B464" s="139">
        <f>IFERROR(IF((INDEX(Työkonekanta!$F$3:$F$27,MATCH('S3 Tiekartta'!$A464,Työkonekanta!$A$3:$A$24,0),1))&lt;0,0,(INDEX(Työkonekanta!$F$3:$F$27,MATCH('S3 Tiekartta'!$A464,Työkonekanta!$A$3:$A$24,0),1))),0)</f>
        <v>1</v>
      </c>
      <c r="C464" s="140">
        <v>2034</v>
      </c>
      <c r="D464" s="141" t="str">
        <f>IFERROR(INDEX(Työkonekanta!$D$3:$D$27,MATCH('S3 Tiekartta'!$A464,Työkonekanta!$A$3:$A$24,0),1),"undefined")</f>
        <v>pom</v>
      </c>
      <c r="E464" s="145">
        <f>IFERROR(INDEX(Työkonekanta!$G$3:$G$27,MATCH($A464,Työkonekanta!$A$3:$A$24,0),1)*INDEX(Työkonekanta!$H$3:$H$27,MATCH($A464,Työkonekanta!$A$3:$A$24,0),1)*(1+s0b_kasvu*($C464-2019))*$B464,0)</f>
        <v>11500</v>
      </c>
      <c r="F464" s="145">
        <f t="shared" si="176"/>
        <v>412850</v>
      </c>
      <c r="G464" s="151">
        <f t="shared" si="185"/>
        <v>127910.61620740741</v>
      </c>
      <c r="H464" s="145">
        <f t="shared" si="186"/>
        <v>284939.38379259256</v>
      </c>
      <c r="I464" s="145">
        <f t="shared" si="177"/>
        <v>3562.9698107912927</v>
      </c>
      <c r="J464" s="145">
        <f t="shared" si="178"/>
        <v>8307.2706645070721</v>
      </c>
      <c r="K464" s="142" t="str">
        <f t="shared" si="187"/>
        <v>l</v>
      </c>
      <c r="L464" s="146">
        <f>IFERROR(INDEX(Työkonekanta!$I$3:$I$27,MATCH('S3 Tiekartta'!$A464,Työkonekanta!$A$3:$A$24,0),1)*(I464+J464)*f_adblue,0)</f>
        <v>593.51202376491824</v>
      </c>
      <c r="M464" s="146">
        <f t="shared" si="171"/>
        <v>0</v>
      </c>
      <c r="N464" s="143" t="str">
        <f>IF(tuulisähkö_vuosi&lt;='S3 Tiekartta'!C464,"tuulisähkö",ostosähkö_nyt)</f>
        <v>jäännössähkö</v>
      </c>
      <c r="O464" s="147">
        <f>INDEX(Muuttujat!$J$5:$J$21,MATCH($C464,Muuttujat!$H$5:$H$21,0),1)</f>
        <v>59.556652007924122</v>
      </c>
      <c r="P464" s="148">
        <f t="shared" si="188"/>
        <v>0.30982346180793852</v>
      </c>
      <c r="Q464" s="148">
        <f t="shared" si="189"/>
        <v>0.69017653819206148</v>
      </c>
      <c r="R464" s="148">
        <f t="shared" si="190"/>
        <v>0.69017653819206148</v>
      </c>
      <c r="S464" s="149">
        <f t="shared" si="179"/>
        <v>2.4175106463199998</v>
      </c>
      <c r="T464" s="150">
        <f t="shared" si="180"/>
        <v>17.780217548657777</v>
      </c>
      <c r="U464" s="150">
        <f t="shared" si="181"/>
        <v>0</v>
      </c>
      <c r="V464" s="150">
        <f>IFERROR(INDEX(Työkonekanta!$J$3:$J$27,MATCH($A464,Työkonekanta!$A$3:$A$24,0),1)*$B464*ef_li_ion_akku/1000/1000/INDEX(Työkonekanta!$K$3:$K$27,MATCH($A464,Työkonekanta!$A$3:$A$24,0)),0)</f>
        <v>0</v>
      </c>
      <c r="W464" s="149">
        <f t="shared" si="172"/>
        <v>9.4408592859625404</v>
      </c>
      <c r="X464" s="150">
        <f t="shared" si="173"/>
        <v>0.36540750900000002</v>
      </c>
      <c r="Y464" s="151">
        <f t="shared" si="174"/>
        <v>0.15431312617887874</v>
      </c>
      <c r="Z464" s="152">
        <f t="shared" si="191"/>
        <v>20.197728194977778</v>
      </c>
      <c r="AA464" s="179">
        <f t="shared" si="192"/>
        <v>9.5951724121414195</v>
      </c>
      <c r="AB464" s="179">
        <f t="shared" si="193"/>
        <v>9.9605799211414201</v>
      </c>
      <c r="AC464" s="180">
        <f t="shared" si="175"/>
        <v>29.792900607119197</v>
      </c>
      <c r="AD464" s="156">
        <f t="shared" si="194"/>
        <v>30.158308116119198</v>
      </c>
      <c r="AE464" s="146">
        <f>IFERROR(INDEX(Työkonekanta!$L$3:$L$30,MATCH($A464,Työkonekanta!$A$3:$A$30,0),1),0)*AF464</f>
        <v>500000</v>
      </c>
      <c r="AF464" s="146">
        <f>IFERROR(INDEX(Työkonekanta!$N$3:$N$32,MATCH($A464,Työkonekanta!$A$3:$A$32,0),1),0)</f>
        <v>1</v>
      </c>
      <c r="AG464" s="332">
        <f>I464*INDEX(Muuttujat!$U$5:$U$21,MATCH($C464,Muuttujat!$N$5:$N$21,0),1)</f>
        <v>3741.1183013308573</v>
      </c>
      <c r="AH464" s="332">
        <f>J464*INDEX(Muuttujat!$T$5:$T$21,MATCH($C464,Muuttujat!$N$5:$N$21,0),1)</f>
        <v>12045.542463535256</v>
      </c>
      <c r="AI464" s="332">
        <f t="shared" si="182"/>
        <v>296.75601188245912</v>
      </c>
      <c r="AJ464" s="332">
        <f t="shared" si="183"/>
        <v>0</v>
      </c>
      <c r="AK464" s="333">
        <f t="shared" si="195"/>
        <v>16083.416776748571</v>
      </c>
      <c r="AL464" s="332">
        <f t="shared" si="184"/>
        <v>16083.416776748571</v>
      </c>
      <c r="AM464" s="351"/>
      <c r="AN464" s="351"/>
    </row>
    <row r="465" spans="1:40">
      <c r="A465" s="139">
        <v>13</v>
      </c>
      <c r="B465" s="139">
        <f>IFERROR(IF((INDEX(Työkonekanta!$F$3:$F$27,MATCH('S3 Tiekartta'!$A465,Työkonekanta!$A$3:$A$24,0),1))&lt;0,0,(INDEX(Työkonekanta!$F$3:$F$27,MATCH('S3 Tiekartta'!$A465,Työkonekanta!$A$3:$A$24,0),1))),0)</f>
        <v>0</v>
      </c>
      <c r="C465" s="140">
        <v>2034</v>
      </c>
      <c r="D465" s="141" t="str">
        <f>IFERROR(INDEX(Työkonekanta!$D$3:$D$27,MATCH('S3 Tiekartta'!$A465,Työkonekanta!$A$3:$A$24,0),1),"undefined")</f>
        <v>pom</v>
      </c>
      <c r="E465" s="145">
        <f>IFERROR(INDEX(Työkonekanta!$G$3:$G$27,MATCH($A465,Työkonekanta!$A$3:$A$24,0),1)*INDEX(Työkonekanta!$H$3:$H$27,MATCH($A465,Työkonekanta!$A$3:$A$24,0),1)*(1+s0b_kasvu*($C465-2019))*$B465,0)</f>
        <v>0</v>
      </c>
      <c r="F465" s="145">
        <f t="shared" si="176"/>
        <v>0</v>
      </c>
      <c r="G465" s="151">
        <f t="shared" si="185"/>
        <v>0</v>
      </c>
      <c r="H465" s="145">
        <f t="shared" si="186"/>
        <v>0</v>
      </c>
      <c r="I465" s="145">
        <f t="shared" si="177"/>
        <v>0</v>
      </c>
      <c r="J465" s="145">
        <f t="shared" si="178"/>
        <v>0</v>
      </c>
      <c r="K465" s="142" t="str">
        <f t="shared" si="187"/>
        <v>l</v>
      </c>
      <c r="L465" s="146">
        <f>IFERROR(INDEX(Työkonekanta!$I$3:$I$27,MATCH('S3 Tiekartta'!$A465,Työkonekanta!$A$3:$A$24,0),1)*(I465+J465)*f_adblue,0)</f>
        <v>0</v>
      </c>
      <c r="M465" s="146">
        <f t="shared" si="171"/>
        <v>0</v>
      </c>
      <c r="N465" s="143" t="str">
        <f>IF(tuulisähkö_vuosi&lt;='S3 Tiekartta'!C465,"tuulisähkö",ostosähkö_nyt)</f>
        <v>jäännössähkö</v>
      </c>
      <c r="O465" s="147">
        <f>INDEX(Muuttujat!$J$5:$J$21,MATCH($C465,Muuttujat!$H$5:$H$21,0),1)</f>
        <v>59.556652007924122</v>
      </c>
      <c r="P465" s="148">
        <f t="shared" si="188"/>
        <v>0.30982346180793852</v>
      </c>
      <c r="Q465" s="148">
        <f t="shared" si="189"/>
        <v>0.69017653819206148</v>
      </c>
      <c r="R465" s="148">
        <f t="shared" si="190"/>
        <v>0.69017653819206148</v>
      </c>
      <c r="S465" s="149">
        <f t="shared" si="179"/>
        <v>0</v>
      </c>
      <c r="T465" s="150">
        <f t="shared" si="180"/>
        <v>0</v>
      </c>
      <c r="U465" s="150">
        <f t="shared" si="181"/>
        <v>0</v>
      </c>
      <c r="V465" s="150">
        <f>IFERROR(INDEX(Työkonekanta!$J$3:$J$27,MATCH($A465,Työkonekanta!$A$3:$A$24,0),1)*$B465*ef_li_ion_akku/1000/1000/INDEX(Työkonekanta!$K$3:$K$27,MATCH($A465,Työkonekanta!$A$3:$A$24,0)),0)</f>
        <v>0</v>
      </c>
      <c r="W465" s="149">
        <f t="shared" si="172"/>
        <v>0</v>
      </c>
      <c r="X465" s="150">
        <f t="shared" si="173"/>
        <v>0</v>
      </c>
      <c r="Y465" s="151">
        <f t="shared" si="174"/>
        <v>0</v>
      </c>
      <c r="Z465" s="152">
        <f t="shared" si="191"/>
        <v>0</v>
      </c>
      <c r="AA465" s="179">
        <f t="shared" si="192"/>
        <v>0</v>
      </c>
      <c r="AB465" s="179">
        <f t="shared" si="193"/>
        <v>0</v>
      </c>
      <c r="AC465" s="180">
        <f t="shared" si="175"/>
        <v>0</v>
      </c>
      <c r="AD465" s="156">
        <f t="shared" si="194"/>
        <v>0</v>
      </c>
      <c r="AE465" s="146">
        <f>IFERROR(INDEX(Työkonekanta!$L$3:$L$30,MATCH($A465,Työkonekanta!$A$3:$A$30,0),1),0)*AF465</f>
        <v>0</v>
      </c>
      <c r="AF465" s="146">
        <f>IFERROR(INDEX(Työkonekanta!$N$3:$N$32,MATCH($A465,Työkonekanta!$A$3:$A$32,0),1),0)</f>
        <v>0</v>
      </c>
      <c r="AG465" s="332">
        <f>I465*INDEX(Muuttujat!$U$5:$U$21,MATCH($C465,Muuttujat!$N$5:$N$21,0),1)</f>
        <v>0</v>
      </c>
      <c r="AH465" s="332">
        <f>J465*INDEX(Muuttujat!$T$5:$T$21,MATCH($C465,Muuttujat!$N$5:$N$21,0),1)</f>
        <v>0</v>
      </c>
      <c r="AI465" s="332">
        <f t="shared" si="182"/>
        <v>0</v>
      </c>
      <c r="AJ465" s="332">
        <f t="shared" si="183"/>
        <v>0</v>
      </c>
      <c r="AK465" s="333">
        <f t="shared" si="195"/>
        <v>0</v>
      </c>
      <c r="AL465" s="332">
        <f t="shared" si="184"/>
        <v>0</v>
      </c>
      <c r="AM465" s="351"/>
      <c r="AN465" s="351"/>
    </row>
    <row r="466" spans="1:40">
      <c r="A466" s="139">
        <v>14</v>
      </c>
      <c r="B466" s="139">
        <f>IFERROR(IF((INDEX(Työkonekanta!$F$3:$F$27,MATCH('S3 Tiekartta'!$A466,Työkonekanta!$A$3:$A$24,0),1))&lt;0,0,(INDEX(Työkonekanta!$F$3:$F$27,MATCH('S3 Tiekartta'!$A466,Työkonekanta!$A$3:$A$24,0),1))),0)</f>
        <v>0</v>
      </c>
      <c r="C466" s="140">
        <v>2034</v>
      </c>
      <c r="D466" s="141" t="str">
        <f>IFERROR(INDEX(Työkonekanta!$D$3:$D$27,MATCH('S3 Tiekartta'!$A466,Työkonekanta!$A$3:$A$24,0),1),"undefined")</f>
        <v>pom</v>
      </c>
      <c r="E466" s="145">
        <f>IFERROR(INDEX(Työkonekanta!$G$3:$G$27,MATCH($A466,Työkonekanta!$A$3:$A$24,0),1)*INDEX(Työkonekanta!$H$3:$H$27,MATCH($A466,Työkonekanta!$A$3:$A$24,0),1)*(1+s0b_kasvu*($C466-2019))*$B466,0)</f>
        <v>0</v>
      </c>
      <c r="F466" s="145">
        <f t="shared" si="176"/>
        <v>0</v>
      </c>
      <c r="G466" s="151">
        <f t="shared" si="185"/>
        <v>0</v>
      </c>
      <c r="H466" s="145">
        <f t="shared" si="186"/>
        <v>0</v>
      </c>
      <c r="I466" s="145">
        <f t="shared" si="177"/>
        <v>0</v>
      </c>
      <c r="J466" s="145">
        <f t="shared" si="178"/>
        <v>0</v>
      </c>
      <c r="K466" s="142" t="str">
        <f t="shared" si="187"/>
        <v>l</v>
      </c>
      <c r="L466" s="146">
        <f>IFERROR(INDEX(Työkonekanta!$I$3:$I$27,MATCH('S3 Tiekartta'!$A466,Työkonekanta!$A$3:$A$24,0),1)*(I466+J466)*f_adblue,0)</f>
        <v>0</v>
      </c>
      <c r="M466" s="146">
        <f t="shared" si="171"/>
        <v>0</v>
      </c>
      <c r="N466" s="143" t="str">
        <f>IF(tuulisähkö_vuosi&lt;='S3 Tiekartta'!C466,"tuulisähkö",ostosähkö_nyt)</f>
        <v>jäännössähkö</v>
      </c>
      <c r="O466" s="147">
        <f>INDEX(Muuttujat!$J$5:$J$21,MATCH($C466,Muuttujat!$H$5:$H$21,0),1)</f>
        <v>59.556652007924122</v>
      </c>
      <c r="P466" s="148">
        <f t="shared" si="188"/>
        <v>0.30982346180793852</v>
      </c>
      <c r="Q466" s="148">
        <f t="shared" si="189"/>
        <v>0.69017653819206148</v>
      </c>
      <c r="R466" s="148">
        <f t="shared" si="190"/>
        <v>0.69017653819206148</v>
      </c>
      <c r="S466" s="149">
        <f t="shared" si="179"/>
        <v>0</v>
      </c>
      <c r="T466" s="150">
        <f t="shared" si="180"/>
        <v>0</v>
      </c>
      <c r="U466" s="150">
        <f t="shared" si="181"/>
        <v>0</v>
      </c>
      <c r="V466" s="150">
        <f>IFERROR(INDEX(Työkonekanta!$J$3:$J$27,MATCH($A466,Työkonekanta!$A$3:$A$24,0),1)*$B466*ef_li_ion_akku/1000/1000/INDEX(Työkonekanta!$K$3:$K$27,MATCH($A466,Työkonekanta!$A$3:$A$24,0)),0)</f>
        <v>0</v>
      </c>
      <c r="W466" s="149">
        <f t="shared" si="172"/>
        <v>0</v>
      </c>
      <c r="X466" s="150">
        <f t="shared" si="173"/>
        <v>0</v>
      </c>
      <c r="Y466" s="151">
        <f t="shared" si="174"/>
        <v>0</v>
      </c>
      <c r="Z466" s="152">
        <f t="shared" si="191"/>
        <v>0</v>
      </c>
      <c r="AA466" s="179">
        <f t="shared" si="192"/>
        <v>0</v>
      </c>
      <c r="AB466" s="179">
        <f t="shared" si="193"/>
        <v>0</v>
      </c>
      <c r="AC466" s="180">
        <f t="shared" si="175"/>
        <v>0</v>
      </c>
      <c r="AD466" s="156">
        <f t="shared" si="194"/>
        <v>0</v>
      </c>
      <c r="AE466" s="146">
        <f>IFERROR(INDEX(Työkonekanta!$L$3:$L$30,MATCH($A466,Työkonekanta!$A$3:$A$30,0),1),0)*AF466</f>
        <v>0</v>
      </c>
      <c r="AF466" s="146">
        <f>IFERROR(INDEX(Työkonekanta!$N$3:$N$32,MATCH($A466,Työkonekanta!$A$3:$A$32,0),1),0)</f>
        <v>0</v>
      </c>
      <c r="AG466" s="332">
        <f>I466*INDEX(Muuttujat!$U$5:$U$21,MATCH($C466,Muuttujat!$N$5:$N$21,0),1)</f>
        <v>0</v>
      </c>
      <c r="AH466" s="332">
        <f>J466*INDEX(Muuttujat!$T$5:$T$21,MATCH($C466,Muuttujat!$N$5:$N$21,0),1)</f>
        <v>0</v>
      </c>
      <c r="AI466" s="332">
        <f t="shared" si="182"/>
        <v>0</v>
      </c>
      <c r="AJ466" s="332">
        <f t="shared" si="183"/>
        <v>0</v>
      </c>
      <c r="AK466" s="333">
        <f t="shared" si="195"/>
        <v>0</v>
      </c>
      <c r="AL466" s="332">
        <f t="shared" si="184"/>
        <v>0</v>
      </c>
      <c r="AM466" s="351"/>
      <c r="AN466" s="351"/>
    </row>
    <row r="467" spans="1:40">
      <c r="A467" s="139">
        <v>15</v>
      </c>
      <c r="B467" s="139">
        <f>IFERROR(IF((INDEX(Työkonekanta!$F$3:$F$27,MATCH('S3 Tiekartta'!$A467,Työkonekanta!$A$3:$A$24,0),1))&lt;0,0,(INDEX(Työkonekanta!$F$3:$F$27,MATCH('S3 Tiekartta'!$A467,Työkonekanta!$A$3:$A$24,0),1))),0)</f>
        <v>0</v>
      </c>
      <c r="C467" s="140">
        <v>2034</v>
      </c>
      <c r="D467" s="141" t="str">
        <f>IFERROR(INDEX(Työkonekanta!$D$3:$D$27,MATCH('S3 Tiekartta'!$A467,Työkonekanta!$A$3:$A$24,0),1),"undefined")</f>
        <v>sähkö</v>
      </c>
      <c r="E467" s="145">
        <f>IFERROR(INDEX(Työkonekanta!$G$3:$G$27,MATCH($A467,Työkonekanta!$A$3:$A$24,0),1)*INDEX(Työkonekanta!$H$3:$H$27,MATCH($A467,Työkonekanta!$A$3:$A$24,0),1)*(1+s0b_kasvu*($C467-2019))*$B467,0)</f>
        <v>0</v>
      </c>
      <c r="F467" s="145">
        <f t="shared" si="176"/>
        <v>0</v>
      </c>
      <c r="G467" s="151">
        <f t="shared" si="185"/>
        <v>0</v>
      </c>
      <c r="H467" s="145">
        <f t="shared" si="186"/>
        <v>0</v>
      </c>
      <c r="I467" s="145">
        <f t="shared" si="177"/>
        <v>0</v>
      </c>
      <c r="J467" s="145">
        <f t="shared" si="178"/>
        <v>0</v>
      </c>
      <c r="K467" s="142" t="str">
        <f t="shared" si="187"/>
        <v>kWh</v>
      </c>
      <c r="L467" s="146">
        <f>IFERROR(INDEX(Työkonekanta!$I$3:$I$27,MATCH('S3 Tiekartta'!$A467,Työkonekanta!$A$3:$A$24,0),1)*(I467+J467)*f_adblue,0)</f>
        <v>0</v>
      </c>
      <c r="M467" s="146">
        <f t="shared" ref="M467:M512" si="196">IF($D467="sähkö",conv_kwh_mj*$E467,0)</f>
        <v>0</v>
      </c>
      <c r="N467" s="143" t="str">
        <f>IF(tuulisähkö_vuosi&lt;='S3 Tiekartta'!C467,"tuulisähkö",ostosähkö_nyt)</f>
        <v>jäännössähkö</v>
      </c>
      <c r="O467" s="147">
        <f>INDEX(Muuttujat!$J$5:$J$21,MATCH($C467,Muuttujat!$H$5:$H$21,0),1)</f>
        <v>59.556652007924122</v>
      </c>
      <c r="P467" s="148">
        <f t="shared" si="188"/>
        <v>0.30982346180793852</v>
      </c>
      <c r="Q467" s="148">
        <f t="shared" si="189"/>
        <v>0.69017653819206148</v>
      </c>
      <c r="R467" s="148">
        <f t="shared" si="190"/>
        <v>0.69017653819206148</v>
      </c>
      <c r="S467" s="149">
        <f t="shared" si="179"/>
        <v>0</v>
      </c>
      <c r="T467" s="150">
        <f t="shared" si="180"/>
        <v>0</v>
      </c>
      <c r="U467" s="150">
        <f t="shared" si="181"/>
        <v>0</v>
      </c>
      <c r="V467" s="150">
        <f>IFERROR(INDEX(Työkonekanta!$J$3:$J$27,MATCH($A467,Työkonekanta!$A$3:$A$24,0),1)*$B467*ef_li_ion_akku/1000/1000/INDEX(Työkonekanta!$K$3:$K$27,MATCH($A467,Työkonekanta!$A$3:$A$24,0)),0)</f>
        <v>0</v>
      </c>
      <c r="W467" s="149">
        <f t="shared" ref="W467:W512" si="197">($I467*IF($D467="pom",ef_v_co2_pom,0))/1000/1000</f>
        <v>0</v>
      </c>
      <c r="X467" s="150">
        <f t="shared" ref="X467:X512" si="198">($E467*(IF($D467="pom",ef_v_ch4_pom,0)*gwp100_ch4+IF($D467="pom",ef_v_n2o_pom,0)*gwp100_n2o))/1000/1000</f>
        <v>0</v>
      </c>
      <c r="Y467" s="151">
        <f t="shared" ref="Y467:Y512" si="199">$L467*ef_v_co2_adblue/1000/1000</f>
        <v>0</v>
      </c>
      <c r="Z467" s="152">
        <f t="shared" si="191"/>
        <v>0</v>
      </c>
      <c r="AA467" s="179">
        <f t="shared" si="192"/>
        <v>0</v>
      </c>
      <c r="AB467" s="179">
        <f t="shared" si="193"/>
        <v>0</v>
      </c>
      <c r="AC467" s="180">
        <f t="shared" ref="AC467:AC512" si="200">$Z467+$AA467</f>
        <v>0</v>
      </c>
      <c r="AD467" s="156">
        <f t="shared" si="194"/>
        <v>0</v>
      </c>
      <c r="AE467" s="146">
        <f>IFERROR(INDEX(Työkonekanta!$L$3:$L$30,MATCH($A467,Työkonekanta!$A$3:$A$30,0),1),0)*AF467</f>
        <v>0</v>
      </c>
      <c r="AF467" s="146">
        <f>IFERROR(INDEX(Työkonekanta!$N$3:$N$32,MATCH($A467,Työkonekanta!$A$3:$A$32,0),1),0)</f>
        <v>0</v>
      </c>
      <c r="AG467" s="332">
        <f>I467*INDEX(Muuttujat!$U$5:$U$21,MATCH($C467,Muuttujat!$N$5:$N$21,0),1)</f>
        <v>0</v>
      </c>
      <c r="AH467" s="332">
        <f>J467*INDEX(Muuttujat!$T$5:$T$21,MATCH($C467,Muuttujat!$N$5:$N$21,0),1)</f>
        <v>0</v>
      </c>
      <c r="AI467" s="332">
        <f t="shared" si="182"/>
        <v>0</v>
      </c>
      <c r="AJ467" s="332">
        <f t="shared" si="183"/>
        <v>0</v>
      </c>
      <c r="AK467" s="333">
        <f t="shared" si="195"/>
        <v>0</v>
      </c>
      <c r="AL467" s="332">
        <f t="shared" si="184"/>
        <v>0</v>
      </c>
      <c r="AM467" s="351"/>
      <c r="AN467" s="351"/>
    </row>
    <row r="468" spans="1:40">
      <c r="A468" s="139">
        <v>16</v>
      </c>
      <c r="B468" s="139">
        <f>IFERROR(IF((INDEX(Työkonekanta!$F$3:$F$27,MATCH('S3 Tiekartta'!$A468,Työkonekanta!$A$3:$A$24,0),1))&lt;0,0,(INDEX(Työkonekanta!$F$3:$F$27,MATCH('S3 Tiekartta'!$A468,Työkonekanta!$A$3:$A$24,0),1))),0)</f>
        <v>0</v>
      </c>
      <c r="C468" s="140">
        <v>2034</v>
      </c>
      <c r="D468" s="141" t="str">
        <f>IFERROR(INDEX(Työkonekanta!$D$3:$D$27,MATCH('S3 Tiekartta'!$A468,Työkonekanta!$A$3:$A$24,0),1),"undefined")</f>
        <v>sähkö</v>
      </c>
      <c r="E468" s="145">
        <f>IFERROR(INDEX(Työkonekanta!$G$3:$G$27,MATCH($A468,Työkonekanta!$A$3:$A$24,0),1)*INDEX(Työkonekanta!$H$3:$H$27,MATCH($A468,Työkonekanta!$A$3:$A$24,0),1)*(1+s0b_kasvu*($C468-2019))*$B468,0)</f>
        <v>0</v>
      </c>
      <c r="F468" s="145">
        <f t="shared" si="176"/>
        <v>0</v>
      </c>
      <c r="G468" s="151">
        <f t="shared" si="185"/>
        <v>0</v>
      </c>
      <c r="H468" s="145">
        <f t="shared" si="186"/>
        <v>0</v>
      </c>
      <c r="I468" s="145">
        <f t="shared" si="177"/>
        <v>0</v>
      </c>
      <c r="J468" s="145">
        <f t="shared" si="178"/>
        <v>0</v>
      </c>
      <c r="K468" s="142" t="str">
        <f t="shared" si="187"/>
        <v>kWh</v>
      </c>
      <c r="L468" s="146">
        <f>IFERROR(INDEX(Työkonekanta!$I$3:$I$27,MATCH('S3 Tiekartta'!$A468,Työkonekanta!$A$3:$A$24,0),1)*(I468+J468)*f_adblue,0)</f>
        <v>0</v>
      </c>
      <c r="M468" s="146">
        <f t="shared" si="196"/>
        <v>0</v>
      </c>
      <c r="N468" s="143" t="str">
        <f>IF(tuulisähkö_vuosi&lt;='S3 Tiekartta'!C468,"tuulisähkö",ostosähkö_nyt)</f>
        <v>jäännössähkö</v>
      </c>
      <c r="O468" s="147">
        <f>INDEX(Muuttujat!$J$5:$J$21,MATCH($C468,Muuttujat!$H$5:$H$21,0),1)</f>
        <v>59.556652007924122</v>
      </c>
      <c r="P468" s="148">
        <f t="shared" si="188"/>
        <v>0.30982346180793852</v>
      </c>
      <c r="Q468" s="148">
        <f t="shared" si="189"/>
        <v>0.69017653819206148</v>
      </c>
      <c r="R468" s="148">
        <f t="shared" si="190"/>
        <v>0.69017653819206148</v>
      </c>
      <c r="S468" s="149">
        <f t="shared" si="179"/>
        <v>0</v>
      </c>
      <c r="T468" s="150">
        <f t="shared" si="180"/>
        <v>0</v>
      </c>
      <c r="U468" s="150">
        <f t="shared" si="181"/>
        <v>0</v>
      </c>
      <c r="V468" s="150">
        <f>IFERROR(INDEX(Työkonekanta!$J$3:$J$27,MATCH($A468,Työkonekanta!$A$3:$A$24,0),1)*$B468*ef_li_ion_akku/1000/1000/INDEX(Työkonekanta!$K$3:$K$27,MATCH($A468,Työkonekanta!$A$3:$A$24,0)),0)</f>
        <v>0</v>
      </c>
      <c r="W468" s="149">
        <f t="shared" si="197"/>
        <v>0</v>
      </c>
      <c r="X468" s="150">
        <f t="shared" si="198"/>
        <v>0</v>
      </c>
      <c r="Y468" s="151">
        <f t="shared" si="199"/>
        <v>0</v>
      </c>
      <c r="Z468" s="152">
        <f t="shared" si="191"/>
        <v>0</v>
      </c>
      <c r="AA468" s="179">
        <f t="shared" si="192"/>
        <v>0</v>
      </c>
      <c r="AB468" s="179">
        <f t="shared" si="193"/>
        <v>0</v>
      </c>
      <c r="AC468" s="180">
        <f t="shared" si="200"/>
        <v>0</v>
      </c>
      <c r="AD468" s="156">
        <f t="shared" si="194"/>
        <v>0</v>
      </c>
      <c r="AE468" s="146">
        <f>IFERROR(INDEX(Työkonekanta!$L$3:$L$30,MATCH($A468,Työkonekanta!$A$3:$A$30,0),1),0)*AF468</f>
        <v>0</v>
      </c>
      <c r="AF468" s="146">
        <f>IFERROR(INDEX(Työkonekanta!$N$3:$N$32,MATCH($A468,Työkonekanta!$A$3:$A$32,0),1),0)</f>
        <v>0</v>
      </c>
      <c r="AG468" s="332">
        <f>I468*INDEX(Muuttujat!$U$5:$U$21,MATCH($C468,Muuttujat!$N$5:$N$21,0),1)</f>
        <v>0</v>
      </c>
      <c r="AH468" s="332">
        <f>J468*INDEX(Muuttujat!$T$5:$T$21,MATCH($C468,Muuttujat!$N$5:$N$21,0),1)</f>
        <v>0</v>
      </c>
      <c r="AI468" s="332">
        <f t="shared" si="182"/>
        <v>0</v>
      </c>
      <c r="AJ468" s="332">
        <f t="shared" si="183"/>
        <v>0</v>
      </c>
      <c r="AK468" s="333">
        <f t="shared" si="195"/>
        <v>0</v>
      </c>
      <c r="AL468" s="332">
        <f t="shared" si="184"/>
        <v>0</v>
      </c>
      <c r="AM468" s="351"/>
      <c r="AN468" s="351"/>
    </row>
    <row r="469" spans="1:40">
      <c r="A469" s="139">
        <v>17</v>
      </c>
      <c r="B469" s="139">
        <f>IFERROR(IF((INDEX(Työkonekanta!$F$3:$F$27,MATCH('S3 Tiekartta'!$A469,Työkonekanta!$A$3:$A$24,0),1))&lt;0,0,(INDEX(Työkonekanta!$F$3:$F$27,MATCH('S3 Tiekartta'!$A469,Työkonekanta!$A$3:$A$24,0),1))),0)</f>
        <v>1</v>
      </c>
      <c r="C469" s="140">
        <v>2034</v>
      </c>
      <c r="D469" s="141" t="str">
        <f>IFERROR(INDEX(Työkonekanta!$D$3:$D$27,MATCH('S3 Tiekartta'!$A469,Työkonekanta!$A$3:$A$24,0),1),"undefined")</f>
        <v>pom</v>
      </c>
      <c r="E469" s="145">
        <f>IFERROR(INDEX(Työkonekanta!$G$3:$G$27,MATCH($A469,Työkonekanta!$A$3:$A$24,0),1)*INDEX(Työkonekanta!$H$3:$H$27,MATCH($A469,Työkonekanta!$A$3:$A$24,0),1)*(1+s0b_kasvu*($C469-2019))*$B469,0)</f>
        <v>11500</v>
      </c>
      <c r="F469" s="145">
        <f t="shared" si="176"/>
        <v>412850</v>
      </c>
      <c r="G469" s="151">
        <f t="shared" si="185"/>
        <v>127910.61620740741</v>
      </c>
      <c r="H469" s="145">
        <f t="shared" si="186"/>
        <v>284939.38379259256</v>
      </c>
      <c r="I469" s="145">
        <f t="shared" si="177"/>
        <v>3562.9698107912927</v>
      </c>
      <c r="J469" s="145">
        <f t="shared" si="178"/>
        <v>8307.2706645070721</v>
      </c>
      <c r="K469" s="142" t="str">
        <f t="shared" si="187"/>
        <v>l</v>
      </c>
      <c r="L469" s="146">
        <f>IFERROR(INDEX(Työkonekanta!$I$3:$I$27,MATCH('S3 Tiekartta'!$A469,Työkonekanta!$A$3:$A$24,0),1)*(I469+J469)*f_adblue,0)</f>
        <v>593.51202376491824</v>
      </c>
      <c r="M469" s="146">
        <f t="shared" si="196"/>
        <v>0</v>
      </c>
      <c r="N469" s="143" t="str">
        <f>IF(tuulisähkö_vuosi&lt;='S3 Tiekartta'!C469,"tuulisähkö",ostosähkö_nyt)</f>
        <v>jäännössähkö</v>
      </c>
      <c r="O469" s="147">
        <f>INDEX(Muuttujat!$J$5:$J$21,MATCH($C469,Muuttujat!$H$5:$H$21,0),1)</f>
        <v>59.556652007924122</v>
      </c>
      <c r="P469" s="148">
        <f t="shared" si="188"/>
        <v>0.30982346180793852</v>
      </c>
      <c r="Q469" s="148">
        <f t="shared" si="189"/>
        <v>0.69017653819206148</v>
      </c>
      <c r="R469" s="148">
        <f t="shared" si="190"/>
        <v>0.69017653819206148</v>
      </c>
      <c r="S469" s="149">
        <f t="shared" si="179"/>
        <v>2.4175106463199998</v>
      </c>
      <c r="T469" s="150">
        <f t="shared" si="180"/>
        <v>17.780217548657777</v>
      </c>
      <c r="U469" s="150">
        <f t="shared" si="181"/>
        <v>0</v>
      </c>
      <c r="V469" s="150">
        <f>IFERROR(INDEX(Työkonekanta!$J$3:$J$27,MATCH($A469,Työkonekanta!$A$3:$A$24,0),1)*$B469*ef_li_ion_akku/1000/1000/INDEX(Työkonekanta!$K$3:$K$27,MATCH($A469,Työkonekanta!$A$3:$A$24,0)),0)</f>
        <v>0</v>
      </c>
      <c r="W469" s="149">
        <f t="shared" si="197"/>
        <v>9.4408592859625404</v>
      </c>
      <c r="X469" s="150">
        <f t="shared" si="198"/>
        <v>0.36540750900000002</v>
      </c>
      <c r="Y469" s="151">
        <f t="shared" si="199"/>
        <v>0.15431312617887874</v>
      </c>
      <c r="Z469" s="152">
        <f t="shared" si="191"/>
        <v>20.197728194977778</v>
      </c>
      <c r="AA469" s="179">
        <f t="shared" si="192"/>
        <v>9.5951724121414195</v>
      </c>
      <c r="AB469" s="179">
        <f t="shared" si="193"/>
        <v>9.9605799211414201</v>
      </c>
      <c r="AC469" s="180">
        <f t="shared" si="200"/>
        <v>29.792900607119197</v>
      </c>
      <c r="AD469" s="156">
        <f t="shared" si="194"/>
        <v>30.158308116119198</v>
      </c>
      <c r="AE469" s="146">
        <f>IFERROR(INDEX(Työkonekanta!$L$3:$L$30,MATCH($A469,Työkonekanta!$A$3:$A$30,0),1),0)*AF469</f>
        <v>500000</v>
      </c>
      <c r="AF469" s="146">
        <f>IFERROR(INDEX(Työkonekanta!$N$3:$N$32,MATCH($A469,Työkonekanta!$A$3:$A$32,0),1),0)</f>
        <v>1</v>
      </c>
      <c r="AG469" s="332">
        <f>I469*INDEX(Muuttujat!$U$5:$U$21,MATCH($C469,Muuttujat!$N$5:$N$21,0),1)</f>
        <v>3741.1183013308573</v>
      </c>
      <c r="AH469" s="332">
        <f>J469*INDEX(Muuttujat!$T$5:$T$21,MATCH($C469,Muuttujat!$N$5:$N$21,0),1)</f>
        <v>12045.542463535256</v>
      </c>
      <c r="AI469" s="332">
        <f t="shared" si="182"/>
        <v>296.75601188245912</v>
      </c>
      <c r="AJ469" s="332">
        <f t="shared" si="183"/>
        <v>0</v>
      </c>
      <c r="AK469" s="333">
        <f t="shared" si="195"/>
        <v>16083.416776748571</v>
      </c>
      <c r="AL469" s="332">
        <f t="shared" si="184"/>
        <v>16083.416776748571</v>
      </c>
      <c r="AM469" s="351"/>
      <c r="AN469" s="351"/>
    </row>
    <row r="470" spans="1:40">
      <c r="A470" s="139">
        <v>18</v>
      </c>
      <c r="B470" s="139">
        <f>IFERROR(IF((INDEX(Työkonekanta!$F$3:$F$27,MATCH('S3 Tiekartta'!$A470,Työkonekanta!$A$3:$A$24,0),1))&lt;0,0,(INDEX(Työkonekanta!$F$3:$F$27,MATCH('S3 Tiekartta'!$A470,Työkonekanta!$A$3:$A$24,0),1))),0)</f>
        <v>1</v>
      </c>
      <c r="C470" s="140">
        <v>2034</v>
      </c>
      <c r="D470" s="141" t="str">
        <f>IFERROR(INDEX(Työkonekanta!$D$3:$D$27,MATCH('S3 Tiekartta'!$A470,Työkonekanta!$A$3:$A$24,0),1),"undefined")</f>
        <v>pom</v>
      </c>
      <c r="E470" s="145">
        <f>IFERROR(INDEX(Työkonekanta!$G$3:$G$27,MATCH($A470,Työkonekanta!$A$3:$A$24,0),1)*INDEX(Työkonekanta!$H$3:$H$27,MATCH($A470,Työkonekanta!$A$3:$A$24,0),1)*(1+s0b_kasvu*($C470-2019))*$B470,0)</f>
        <v>11500</v>
      </c>
      <c r="F470" s="145">
        <f t="shared" si="176"/>
        <v>412850</v>
      </c>
      <c r="G470" s="151">
        <f t="shared" si="185"/>
        <v>127910.61620740741</v>
      </c>
      <c r="H470" s="145">
        <f t="shared" si="186"/>
        <v>284939.38379259256</v>
      </c>
      <c r="I470" s="145">
        <f t="shared" si="177"/>
        <v>3562.9698107912927</v>
      </c>
      <c r="J470" s="145">
        <f t="shared" si="178"/>
        <v>8307.2706645070721</v>
      </c>
      <c r="K470" s="142" t="str">
        <f t="shared" si="187"/>
        <v>l</v>
      </c>
      <c r="L470" s="146">
        <f>IFERROR(INDEX(Työkonekanta!$I$3:$I$27,MATCH('S3 Tiekartta'!$A470,Työkonekanta!$A$3:$A$24,0),1)*(I470+J470)*f_adblue,0)</f>
        <v>474.80961901193461</v>
      </c>
      <c r="M470" s="146">
        <f t="shared" si="196"/>
        <v>0</v>
      </c>
      <c r="N470" s="143" t="str">
        <f>IF(tuulisähkö_vuosi&lt;='S3 Tiekartta'!C470,"tuulisähkö",ostosähkö_nyt)</f>
        <v>jäännössähkö</v>
      </c>
      <c r="O470" s="147">
        <f>INDEX(Muuttujat!$J$5:$J$21,MATCH($C470,Muuttujat!$H$5:$H$21,0),1)</f>
        <v>59.556652007924122</v>
      </c>
      <c r="P470" s="148">
        <f t="shared" si="188"/>
        <v>0.30982346180793852</v>
      </c>
      <c r="Q470" s="148">
        <f t="shared" si="189"/>
        <v>0.69017653819206148</v>
      </c>
      <c r="R470" s="148">
        <f t="shared" si="190"/>
        <v>0.69017653819206148</v>
      </c>
      <c r="S470" s="149">
        <f t="shared" si="179"/>
        <v>2.4175106463199998</v>
      </c>
      <c r="T470" s="150">
        <f t="shared" si="180"/>
        <v>17.780217548657777</v>
      </c>
      <c r="U470" s="150">
        <f t="shared" si="181"/>
        <v>0</v>
      </c>
      <c r="V470" s="150">
        <f>IFERROR(INDEX(Työkonekanta!$J$3:$J$27,MATCH($A470,Työkonekanta!$A$3:$A$24,0),1)*$B470*ef_li_ion_akku/1000/1000/INDEX(Työkonekanta!$K$3:$K$27,MATCH($A470,Työkonekanta!$A$3:$A$24,0)),0)</f>
        <v>0</v>
      </c>
      <c r="W470" s="149">
        <f t="shared" si="197"/>
        <v>9.4408592859625404</v>
      </c>
      <c r="X470" s="150">
        <f t="shared" si="198"/>
        <v>0.36540750900000002</v>
      </c>
      <c r="Y470" s="151">
        <f t="shared" si="199"/>
        <v>0.123450500943103</v>
      </c>
      <c r="Z470" s="152">
        <f t="shared" si="191"/>
        <v>20.197728194977778</v>
      </c>
      <c r="AA470" s="179">
        <f t="shared" si="192"/>
        <v>9.5643097869056426</v>
      </c>
      <c r="AB470" s="179">
        <f t="shared" si="193"/>
        <v>9.9297172959056432</v>
      </c>
      <c r="AC470" s="180">
        <f t="shared" si="200"/>
        <v>29.76203798188342</v>
      </c>
      <c r="AD470" s="156">
        <f t="shared" si="194"/>
        <v>30.127445490883421</v>
      </c>
      <c r="AE470" s="146">
        <f>IFERROR(INDEX(Työkonekanta!$L$3:$L$30,MATCH($A470,Työkonekanta!$A$3:$A$30,0),1),0)*AF470</f>
        <v>500000</v>
      </c>
      <c r="AF470" s="146">
        <f>IFERROR(INDEX(Työkonekanta!$N$3:$N$32,MATCH($A470,Työkonekanta!$A$3:$A$32,0),1),0)</f>
        <v>1</v>
      </c>
      <c r="AG470" s="332">
        <f>I470*INDEX(Muuttujat!$U$5:$U$21,MATCH($C470,Muuttujat!$N$5:$N$21,0),1)</f>
        <v>3741.1183013308573</v>
      </c>
      <c r="AH470" s="332">
        <f>J470*INDEX(Muuttujat!$T$5:$T$21,MATCH($C470,Muuttujat!$N$5:$N$21,0),1)</f>
        <v>12045.542463535256</v>
      </c>
      <c r="AI470" s="332">
        <f t="shared" si="182"/>
        <v>237.40480950596731</v>
      </c>
      <c r="AJ470" s="332">
        <f t="shared" si="183"/>
        <v>0</v>
      </c>
      <c r="AK470" s="333">
        <f t="shared" si="195"/>
        <v>16024.06557437208</v>
      </c>
      <c r="AL470" s="332">
        <f t="shared" si="184"/>
        <v>16024.06557437208</v>
      </c>
      <c r="AM470" s="351"/>
      <c r="AN470" s="351"/>
    </row>
    <row r="471" spans="1:40">
      <c r="A471" s="139">
        <v>19</v>
      </c>
      <c r="B471" s="139">
        <f>IFERROR(IF((INDEX(Työkonekanta!$F$3:$F$27,MATCH('S3 Tiekartta'!$A471,Työkonekanta!$A$3:$A$24,0),1))&lt;0,0,(INDEX(Työkonekanta!$F$3:$F$27,MATCH('S3 Tiekartta'!$A471,Työkonekanta!$A$3:$A$24,0),1))),0)</f>
        <v>0</v>
      </c>
      <c r="C471" s="140">
        <v>2034</v>
      </c>
      <c r="D471" s="141" t="str">
        <f>IFERROR(INDEX(Työkonekanta!$D$3:$D$27,MATCH('S3 Tiekartta'!$A471,Työkonekanta!$A$3:$A$24,0),1),"undefined")</f>
        <v>pom</v>
      </c>
      <c r="E471" s="145">
        <f>IFERROR(INDEX(Työkonekanta!$G$3:$G$27,MATCH($A471,Työkonekanta!$A$3:$A$24,0),1)*INDEX(Työkonekanta!$H$3:$H$27,MATCH($A471,Työkonekanta!$A$3:$A$24,0),1)*(1+s0b_kasvu*($C471-2019))*$B471,0)</f>
        <v>0</v>
      </c>
      <c r="F471" s="145">
        <f t="shared" si="176"/>
        <v>0</v>
      </c>
      <c r="G471" s="151">
        <f t="shared" si="185"/>
        <v>0</v>
      </c>
      <c r="H471" s="145">
        <f t="shared" si="186"/>
        <v>0</v>
      </c>
      <c r="I471" s="145">
        <f t="shared" si="177"/>
        <v>0</v>
      </c>
      <c r="J471" s="145">
        <f t="shared" si="178"/>
        <v>0</v>
      </c>
      <c r="K471" s="142" t="str">
        <f t="shared" si="187"/>
        <v>l</v>
      </c>
      <c r="L471" s="146">
        <f>IFERROR(INDEX(Työkonekanta!$I$3:$I$27,MATCH('S3 Tiekartta'!$A471,Työkonekanta!$A$3:$A$24,0),1)*(I471+J471)*f_adblue,0)</f>
        <v>0</v>
      </c>
      <c r="M471" s="146">
        <f t="shared" si="196"/>
        <v>0</v>
      </c>
      <c r="N471" s="143" t="str">
        <f>IF(tuulisähkö_vuosi&lt;='S3 Tiekartta'!C471,"tuulisähkö",ostosähkö_nyt)</f>
        <v>jäännössähkö</v>
      </c>
      <c r="O471" s="147">
        <f>INDEX(Muuttujat!$J$5:$J$21,MATCH($C471,Muuttujat!$H$5:$H$21,0),1)</f>
        <v>59.556652007924122</v>
      </c>
      <c r="P471" s="148">
        <f t="shared" si="188"/>
        <v>0.30982346180793852</v>
      </c>
      <c r="Q471" s="148">
        <f t="shared" si="189"/>
        <v>0.69017653819206148</v>
      </c>
      <c r="R471" s="148">
        <f t="shared" si="190"/>
        <v>0.69017653819206148</v>
      </c>
      <c r="S471" s="149">
        <f t="shared" si="179"/>
        <v>0</v>
      </c>
      <c r="T471" s="150">
        <f t="shared" si="180"/>
        <v>0</v>
      </c>
      <c r="U471" s="150">
        <f t="shared" si="181"/>
        <v>0</v>
      </c>
      <c r="V471" s="150">
        <f>IFERROR(INDEX(Työkonekanta!$J$3:$J$27,MATCH($A471,Työkonekanta!$A$3:$A$24,0),1)*$B471*ef_li_ion_akku/1000/1000/INDEX(Työkonekanta!$K$3:$K$27,MATCH($A471,Työkonekanta!$A$3:$A$24,0)),0)</f>
        <v>0</v>
      </c>
      <c r="W471" s="149">
        <f t="shared" si="197"/>
        <v>0</v>
      </c>
      <c r="X471" s="150">
        <f t="shared" si="198"/>
        <v>0</v>
      </c>
      <c r="Y471" s="151">
        <f t="shared" si="199"/>
        <v>0</v>
      </c>
      <c r="Z471" s="152">
        <f t="shared" si="191"/>
        <v>0</v>
      </c>
      <c r="AA471" s="179">
        <f t="shared" si="192"/>
        <v>0</v>
      </c>
      <c r="AB471" s="179">
        <f t="shared" si="193"/>
        <v>0</v>
      </c>
      <c r="AC471" s="180">
        <f t="shared" si="200"/>
        <v>0</v>
      </c>
      <c r="AD471" s="156">
        <f t="shared" si="194"/>
        <v>0</v>
      </c>
      <c r="AE471" s="146">
        <f>IFERROR(INDEX(Työkonekanta!$L$3:$L$30,MATCH($A471,Työkonekanta!$A$3:$A$30,0),1),0)*AF471</f>
        <v>0</v>
      </c>
      <c r="AF471" s="146">
        <f>IFERROR(INDEX(Työkonekanta!$N$3:$N$32,MATCH($A471,Työkonekanta!$A$3:$A$32,0),1),0)</f>
        <v>0</v>
      </c>
      <c r="AG471" s="332">
        <f>I471*INDEX(Muuttujat!$U$5:$U$21,MATCH($C471,Muuttujat!$N$5:$N$21,0),1)</f>
        <v>0</v>
      </c>
      <c r="AH471" s="332">
        <f>J471*INDEX(Muuttujat!$T$5:$T$21,MATCH($C471,Muuttujat!$N$5:$N$21,0),1)</f>
        <v>0</v>
      </c>
      <c r="AI471" s="332">
        <f t="shared" si="182"/>
        <v>0</v>
      </c>
      <c r="AJ471" s="332">
        <f t="shared" si="183"/>
        <v>0</v>
      </c>
      <c r="AK471" s="333">
        <f t="shared" si="195"/>
        <v>0</v>
      </c>
      <c r="AL471" s="332">
        <f t="shared" si="184"/>
        <v>0</v>
      </c>
      <c r="AM471" s="351"/>
      <c r="AN471" s="351"/>
    </row>
    <row r="472" spans="1:40">
      <c r="A472" s="139">
        <v>20</v>
      </c>
      <c r="B472" s="139">
        <f>IFERROR(IF((INDEX(Työkonekanta!$F$3:$F$27,MATCH('S3 Tiekartta'!$A472,Työkonekanta!$A$3:$A$24,0),1))&lt;0,0,(INDEX(Työkonekanta!$F$3:$F$27,MATCH('S3 Tiekartta'!$A472,Työkonekanta!$A$3:$A$24,0),1))),0)</f>
        <v>0</v>
      </c>
      <c r="C472" s="140">
        <v>2034</v>
      </c>
      <c r="D472" s="141" t="str">
        <f>IFERROR(INDEX(Työkonekanta!$D$3:$D$27,MATCH('S3 Tiekartta'!$A472,Työkonekanta!$A$3:$A$24,0),1),"undefined")</f>
        <v>pom</v>
      </c>
      <c r="E472" s="145">
        <f>IFERROR(INDEX(Työkonekanta!$G$3:$G$27,MATCH($A472,Työkonekanta!$A$3:$A$24,0),1)*INDEX(Työkonekanta!$H$3:$H$27,MATCH($A472,Työkonekanta!$A$3:$A$24,0),1)*(1+s0b_kasvu*($C472-2019))*$B472,0)</f>
        <v>0</v>
      </c>
      <c r="F472" s="145">
        <f t="shared" si="176"/>
        <v>0</v>
      </c>
      <c r="G472" s="151">
        <f t="shared" si="185"/>
        <v>0</v>
      </c>
      <c r="H472" s="145">
        <f t="shared" si="186"/>
        <v>0</v>
      </c>
      <c r="I472" s="145">
        <f t="shared" si="177"/>
        <v>0</v>
      </c>
      <c r="J472" s="145">
        <f t="shared" si="178"/>
        <v>0</v>
      </c>
      <c r="K472" s="142" t="str">
        <f t="shared" si="187"/>
        <v>l</v>
      </c>
      <c r="L472" s="146">
        <f>IFERROR(INDEX(Työkonekanta!$I$3:$I$27,MATCH('S3 Tiekartta'!$A472,Työkonekanta!$A$3:$A$24,0),1)*(I472+J472)*f_adblue,0)</f>
        <v>0</v>
      </c>
      <c r="M472" s="146">
        <f t="shared" si="196"/>
        <v>0</v>
      </c>
      <c r="N472" s="143" t="str">
        <f>IF(tuulisähkö_vuosi&lt;='S3 Tiekartta'!C472,"tuulisähkö",ostosähkö_nyt)</f>
        <v>jäännössähkö</v>
      </c>
      <c r="O472" s="147">
        <f>INDEX(Muuttujat!$J$5:$J$21,MATCH($C472,Muuttujat!$H$5:$H$21,0),1)</f>
        <v>59.556652007924122</v>
      </c>
      <c r="P472" s="148">
        <f t="shared" si="188"/>
        <v>0.30982346180793852</v>
      </c>
      <c r="Q472" s="148">
        <f t="shared" si="189"/>
        <v>0.69017653819206148</v>
      </c>
      <c r="R472" s="148">
        <f t="shared" si="190"/>
        <v>0.69017653819206148</v>
      </c>
      <c r="S472" s="149">
        <f t="shared" si="179"/>
        <v>0</v>
      </c>
      <c r="T472" s="150">
        <f t="shared" si="180"/>
        <v>0</v>
      </c>
      <c r="U472" s="150">
        <f t="shared" si="181"/>
        <v>0</v>
      </c>
      <c r="V472" s="150">
        <f>IFERROR(INDEX(Työkonekanta!$J$3:$J$27,MATCH($A472,Työkonekanta!$A$3:$A$24,0),1)*$B472*ef_li_ion_akku/1000/1000/INDEX(Työkonekanta!$K$3:$K$27,MATCH($A472,Työkonekanta!$A$3:$A$24,0)),0)</f>
        <v>0</v>
      </c>
      <c r="W472" s="149">
        <f t="shared" si="197"/>
        <v>0</v>
      </c>
      <c r="X472" s="150">
        <f t="shared" si="198"/>
        <v>0</v>
      </c>
      <c r="Y472" s="151">
        <f t="shared" si="199"/>
        <v>0</v>
      </c>
      <c r="Z472" s="152">
        <f t="shared" si="191"/>
        <v>0</v>
      </c>
      <c r="AA472" s="179">
        <f t="shared" si="192"/>
        <v>0</v>
      </c>
      <c r="AB472" s="179">
        <f t="shared" si="193"/>
        <v>0</v>
      </c>
      <c r="AC472" s="180">
        <f t="shared" si="200"/>
        <v>0</v>
      </c>
      <c r="AD472" s="156">
        <f t="shared" si="194"/>
        <v>0</v>
      </c>
      <c r="AE472" s="146">
        <f>IFERROR(INDEX(Työkonekanta!$L$3:$L$30,MATCH($A472,Työkonekanta!$A$3:$A$30,0),1),0)*AF472</f>
        <v>0</v>
      </c>
      <c r="AF472" s="146">
        <f>IFERROR(INDEX(Työkonekanta!$N$3:$N$32,MATCH($A472,Työkonekanta!$A$3:$A$32,0),1),0)</f>
        <v>0</v>
      </c>
      <c r="AG472" s="332">
        <f>I472*INDEX(Muuttujat!$U$5:$U$21,MATCH($C472,Muuttujat!$N$5:$N$21,0),1)</f>
        <v>0</v>
      </c>
      <c r="AH472" s="332">
        <f>J472*INDEX(Muuttujat!$T$5:$T$21,MATCH($C472,Muuttujat!$N$5:$N$21,0),1)</f>
        <v>0</v>
      </c>
      <c r="AI472" s="332">
        <f t="shared" si="182"/>
        <v>0</v>
      </c>
      <c r="AJ472" s="332">
        <f t="shared" si="183"/>
        <v>0</v>
      </c>
      <c r="AK472" s="333">
        <f t="shared" si="195"/>
        <v>0</v>
      </c>
      <c r="AL472" s="332">
        <f t="shared" si="184"/>
        <v>0</v>
      </c>
      <c r="AM472" s="351"/>
      <c r="AN472" s="351"/>
    </row>
    <row r="473" spans="1:40">
      <c r="A473" s="139">
        <v>21</v>
      </c>
      <c r="B473" s="139">
        <f>IFERROR(IF((INDEX(Työkonekanta!$F$3:$F$27,MATCH('S3 Tiekartta'!$A473,Työkonekanta!$A$3:$A$24,0),1))&lt;0,0,(INDEX(Työkonekanta!$F$3:$F$27,MATCH('S3 Tiekartta'!$A473,Työkonekanta!$A$3:$A$24,0),1))),0)</f>
        <v>35</v>
      </c>
      <c r="C473" s="140">
        <v>2034</v>
      </c>
      <c r="D473" s="141" t="str">
        <f>IFERROR(INDEX(Työkonekanta!$D$3:$D$27,MATCH('S3 Tiekartta'!$A473,Työkonekanta!$A$3:$A$24,0),1),"undefined")</f>
        <v>sähkö</v>
      </c>
      <c r="E473" s="145">
        <f>IFERROR(INDEX(Työkonekanta!$G$3:$G$27,MATCH($A473,Työkonekanta!$A$3:$A$24,0),1)*INDEX(Työkonekanta!$H$3:$H$27,MATCH($A473,Työkonekanta!$A$3:$A$24,0),1)*(1+s0b_kasvu*($C473-2019))*$B473,0)</f>
        <v>468278.93518518517</v>
      </c>
      <c r="F473" s="145">
        <f t="shared" si="176"/>
        <v>0</v>
      </c>
      <c r="G473" s="151">
        <f t="shared" si="185"/>
        <v>0</v>
      </c>
      <c r="H473" s="145">
        <f t="shared" si="186"/>
        <v>0</v>
      </c>
      <c r="I473" s="145">
        <f t="shared" si="177"/>
        <v>0</v>
      </c>
      <c r="J473" s="145">
        <f t="shared" si="178"/>
        <v>0</v>
      </c>
      <c r="K473" s="142" t="str">
        <f t="shared" si="187"/>
        <v>kWh</v>
      </c>
      <c r="L473" s="146">
        <f>IFERROR(INDEX(Työkonekanta!$I$3:$I$27,MATCH('S3 Tiekartta'!$A473,Työkonekanta!$A$3:$A$24,0),1)*(I473+J473)*f_adblue,0)</f>
        <v>0</v>
      </c>
      <c r="M473" s="146">
        <f t="shared" si="196"/>
        <v>1685804.1666666667</v>
      </c>
      <c r="N473" s="143" t="str">
        <f>IF(tuulisähkö_vuosi&lt;='S3 Tiekartta'!C473,"tuulisähkö",ostosähkö_nyt)</f>
        <v>jäännössähkö</v>
      </c>
      <c r="O473" s="147">
        <f>INDEX(Muuttujat!$J$5:$J$21,MATCH($C473,Muuttujat!$H$5:$H$21,0),1)</f>
        <v>59.556652007924122</v>
      </c>
      <c r="P473" s="148">
        <f t="shared" si="188"/>
        <v>0.30982346180793852</v>
      </c>
      <c r="Q473" s="148">
        <f t="shared" si="189"/>
        <v>0.69017653819206148</v>
      </c>
      <c r="R473" s="148">
        <f t="shared" si="190"/>
        <v>0.69017653819206148</v>
      </c>
      <c r="S473" s="149">
        <f t="shared" si="179"/>
        <v>0</v>
      </c>
      <c r="T473" s="150">
        <f t="shared" si="180"/>
        <v>0</v>
      </c>
      <c r="U473" s="150">
        <f t="shared" si="181"/>
        <v>100.40085210767519</v>
      </c>
      <c r="V473" s="150">
        <f>IFERROR(INDEX(Työkonekanta!$J$3:$J$27,MATCH($A473,Työkonekanta!$A$3:$A$24,0),1)*$B473*ef_li_ion_akku/1000/1000/INDEX(Työkonekanta!$K$3:$K$27,MATCH($A473,Työkonekanta!$A$3:$A$24,0)),0)</f>
        <v>43.121723076923082</v>
      </c>
      <c r="W473" s="149">
        <f t="shared" si="197"/>
        <v>0</v>
      </c>
      <c r="X473" s="150">
        <f t="shared" si="198"/>
        <v>0</v>
      </c>
      <c r="Y473" s="151">
        <f t="shared" si="199"/>
        <v>0</v>
      </c>
      <c r="Z473" s="152">
        <f t="shared" si="191"/>
        <v>143.52257518459828</v>
      </c>
      <c r="AA473" s="179">
        <f t="shared" si="192"/>
        <v>0</v>
      </c>
      <c r="AB473" s="179">
        <f t="shared" si="193"/>
        <v>0</v>
      </c>
      <c r="AC473" s="180">
        <f t="shared" si="200"/>
        <v>143.52257518459828</v>
      </c>
      <c r="AD473" s="156">
        <f t="shared" si="194"/>
        <v>143.52257518459828</v>
      </c>
      <c r="AE473" s="146">
        <f>IFERROR(INDEX(Työkonekanta!$L$3:$L$30,MATCH($A473,Työkonekanta!$A$3:$A$30,0),1),0)*AF473</f>
        <v>1820000</v>
      </c>
      <c r="AF473" s="146">
        <f>IFERROR(INDEX(Työkonekanta!$N$3:$N$32,MATCH($A473,Työkonekanta!$A$3:$A$32,0),1),0)</f>
        <v>7</v>
      </c>
      <c r="AG473" s="332">
        <f>I473*INDEX(Muuttujat!$U$5:$U$21,MATCH($C473,Muuttujat!$N$5:$N$21,0),1)</f>
        <v>0</v>
      </c>
      <c r="AH473" s="332">
        <f>J473*INDEX(Muuttujat!$T$5:$T$21,MATCH($C473,Muuttujat!$N$5:$N$21,0),1)</f>
        <v>0</v>
      </c>
      <c r="AI473" s="332">
        <f t="shared" si="182"/>
        <v>0</v>
      </c>
      <c r="AJ473" s="332">
        <f t="shared" si="183"/>
        <v>41442.685763888891</v>
      </c>
      <c r="AK473" s="333">
        <f t="shared" si="195"/>
        <v>41442.685763888891</v>
      </c>
      <c r="AL473" s="332">
        <f t="shared" si="184"/>
        <v>1184.0767361111111</v>
      </c>
      <c r="AM473" s="351"/>
      <c r="AN473" s="351"/>
    </row>
    <row r="474" spans="1:40">
      <c r="A474" s="139">
        <v>22</v>
      </c>
      <c r="B474" s="139">
        <f>IFERROR(IF((INDEX(Työkonekanta!$F$3:$F$27,MATCH('S3 Tiekartta'!$A474,Työkonekanta!$A$3:$A$24,0),1))&lt;0,0,(INDEX(Työkonekanta!$F$3:$F$27,MATCH('S3 Tiekartta'!$A474,Työkonekanta!$A$3:$A$24,0),1))),0)</f>
        <v>0</v>
      </c>
      <c r="C474" s="140">
        <v>2034</v>
      </c>
      <c r="D474" s="141" t="str">
        <f>IFERROR(INDEX(Työkonekanta!$D$3:$D$27,MATCH('S3 Tiekartta'!$A474,Työkonekanta!$A$3:$A$24,0),1),"undefined")</f>
        <v>sähkö</v>
      </c>
      <c r="E474" s="145">
        <f>IFERROR(INDEX(Työkonekanta!$G$3:$G$27,MATCH($A474,Työkonekanta!$A$3:$A$24,0),1)*INDEX(Työkonekanta!$H$3:$H$27,MATCH($A474,Työkonekanta!$A$3:$A$24,0),1)*(1+s0b_kasvu*($C474-2019))*$B474,0)</f>
        <v>0</v>
      </c>
      <c r="F474" s="145">
        <f t="shared" si="176"/>
        <v>0</v>
      </c>
      <c r="G474" s="151">
        <f t="shared" si="185"/>
        <v>0</v>
      </c>
      <c r="H474" s="145">
        <f t="shared" si="186"/>
        <v>0</v>
      </c>
      <c r="I474" s="145">
        <f t="shared" si="177"/>
        <v>0</v>
      </c>
      <c r="J474" s="145">
        <f t="shared" si="178"/>
        <v>0</v>
      </c>
      <c r="K474" s="142" t="str">
        <f t="shared" si="187"/>
        <v>kWh</v>
      </c>
      <c r="L474" s="146">
        <f>IFERROR(INDEX(Työkonekanta!$I$3:$I$27,MATCH('S3 Tiekartta'!$A474,Työkonekanta!$A$3:$A$24,0),1)*(I474+J474)*f_adblue,0)</f>
        <v>0</v>
      </c>
      <c r="M474" s="146">
        <f t="shared" si="196"/>
        <v>0</v>
      </c>
      <c r="N474" s="143" t="str">
        <f>IF(tuulisähkö_vuosi&lt;='S3 Tiekartta'!C474,"tuulisähkö",ostosähkö_nyt)</f>
        <v>jäännössähkö</v>
      </c>
      <c r="O474" s="147">
        <f>INDEX(Muuttujat!$J$5:$J$21,MATCH($C474,Muuttujat!$H$5:$H$21,0),1)</f>
        <v>59.556652007924122</v>
      </c>
      <c r="P474" s="148">
        <f t="shared" si="188"/>
        <v>0.30982346180793852</v>
      </c>
      <c r="Q474" s="148">
        <f t="shared" si="189"/>
        <v>0.69017653819206148</v>
      </c>
      <c r="R474" s="148">
        <f t="shared" si="190"/>
        <v>0.69017653819206148</v>
      </c>
      <c r="S474" s="149">
        <f t="shared" si="179"/>
        <v>0</v>
      </c>
      <c r="T474" s="150">
        <f t="shared" si="180"/>
        <v>0</v>
      </c>
      <c r="U474" s="150">
        <f t="shared" si="181"/>
        <v>0</v>
      </c>
      <c r="V474" s="150">
        <f>IFERROR(INDEX(Työkonekanta!$J$3:$J$27,MATCH($A474,Työkonekanta!$A$3:$A$24,0),1)*$B474*ef_li_ion_akku/1000/1000/INDEX(Työkonekanta!$K$3:$K$27,MATCH($A474,Työkonekanta!$A$3:$A$24,0)),0)</f>
        <v>0</v>
      </c>
      <c r="W474" s="149">
        <f t="shared" si="197"/>
        <v>0</v>
      </c>
      <c r="X474" s="150">
        <f t="shared" si="198"/>
        <v>0</v>
      </c>
      <c r="Y474" s="151">
        <f t="shared" si="199"/>
        <v>0</v>
      </c>
      <c r="Z474" s="152">
        <f t="shared" si="191"/>
        <v>0</v>
      </c>
      <c r="AA474" s="179">
        <f t="shared" si="192"/>
        <v>0</v>
      </c>
      <c r="AB474" s="179">
        <f t="shared" si="193"/>
        <v>0</v>
      </c>
      <c r="AC474" s="180">
        <f t="shared" si="200"/>
        <v>0</v>
      </c>
      <c r="AD474" s="156">
        <f t="shared" si="194"/>
        <v>0</v>
      </c>
      <c r="AE474" s="146">
        <f>IFERROR(INDEX(Työkonekanta!$L$3:$L$30,MATCH($A474,Työkonekanta!$A$3:$A$30,0),1),0)*AF474</f>
        <v>0</v>
      </c>
      <c r="AF474" s="146">
        <f>IFERROR(INDEX(Työkonekanta!$N$3:$N$32,MATCH($A474,Työkonekanta!$A$3:$A$32,0),1),0)</f>
        <v>0</v>
      </c>
      <c r="AG474" s="332">
        <f>I474*INDEX(Muuttujat!$U$5:$U$21,MATCH($C474,Muuttujat!$N$5:$N$21,0),1)</f>
        <v>0</v>
      </c>
      <c r="AH474" s="332">
        <f>J474*INDEX(Muuttujat!$T$5:$T$21,MATCH($C474,Muuttujat!$N$5:$N$21,0),1)</f>
        <v>0</v>
      </c>
      <c r="AI474" s="332">
        <f t="shared" si="182"/>
        <v>0</v>
      </c>
      <c r="AJ474" s="332">
        <f t="shared" si="183"/>
        <v>0</v>
      </c>
      <c r="AK474" s="333">
        <f t="shared" si="195"/>
        <v>0</v>
      </c>
      <c r="AL474" s="332">
        <f t="shared" si="184"/>
        <v>0</v>
      </c>
      <c r="AM474" s="351"/>
      <c r="AN474" s="351"/>
    </row>
    <row r="475" spans="1:40">
      <c r="A475" s="139">
        <v>23</v>
      </c>
      <c r="B475" s="139">
        <f>IFERROR(IF((INDEX(Työkonekanta!$F$3:$F$27,MATCH('S3 Tiekartta'!$A475,Työkonekanta!$A$3:$A$24,0),1))&lt;0,0,(INDEX(Työkonekanta!$F$3:$F$27,MATCH('S3 Tiekartta'!$A475,Työkonekanta!$A$3:$A$24,0),1))),0)</f>
        <v>0</v>
      </c>
      <c r="C475" s="140">
        <v>2034</v>
      </c>
      <c r="D475" s="141" t="str">
        <f>IFERROR(INDEX(Työkonekanta!$D$3:$D$27,MATCH('S3 Tiekartta'!$A475,Työkonekanta!$A$3:$A$24,0),1),"undefined")</f>
        <v>undefined</v>
      </c>
      <c r="E475" s="145">
        <f>IFERROR(INDEX(Työkonekanta!$G$3:$G$27,MATCH($A475,Työkonekanta!$A$3:$A$24,0),1)*INDEX(Työkonekanta!$H$3:$H$27,MATCH($A475,Työkonekanta!$A$3:$A$24,0),1)*(1+s0b_kasvu*($C475-2019))*$B475,0)</f>
        <v>0</v>
      </c>
      <c r="F475" s="145">
        <f t="shared" si="176"/>
        <v>0</v>
      </c>
      <c r="G475" s="151">
        <f t="shared" si="185"/>
        <v>0</v>
      </c>
      <c r="H475" s="145">
        <f t="shared" si="186"/>
        <v>0</v>
      </c>
      <c r="I475" s="145">
        <f t="shared" si="177"/>
        <v>0</v>
      </c>
      <c r="J475" s="145">
        <f t="shared" si="178"/>
        <v>0</v>
      </c>
      <c r="K475" s="142" t="str">
        <f t="shared" si="187"/>
        <v>undefined</v>
      </c>
      <c r="L475" s="146">
        <f>IFERROR(INDEX(Työkonekanta!$I$3:$I$27,MATCH('S3 Tiekartta'!$A475,Työkonekanta!$A$3:$A$24,0),1)*(I475+J475)*f_adblue,0)</f>
        <v>0</v>
      </c>
      <c r="M475" s="146">
        <f t="shared" si="196"/>
        <v>0</v>
      </c>
      <c r="N475" s="143" t="str">
        <f>IF(tuulisähkö_vuosi&lt;='S3 Tiekartta'!C475,"tuulisähkö",ostosähkö_nyt)</f>
        <v>jäännössähkö</v>
      </c>
      <c r="O475" s="147">
        <f>INDEX(Muuttujat!$J$5:$J$21,MATCH($C475,Muuttujat!$H$5:$H$21,0),1)</f>
        <v>59.556652007924122</v>
      </c>
      <c r="P475" s="148">
        <f t="shared" si="188"/>
        <v>0.30982346180793852</v>
      </c>
      <c r="Q475" s="148">
        <f t="shared" si="189"/>
        <v>0.69017653819206148</v>
      </c>
      <c r="R475" s="148">
        <f t="shared" si="190"/>
        <v>0.69017653819206148</v>
      </c>
      <c r="S475" s="149">
        <f t="shared" si="179"/>
        <v>0</v>
      </c>
      <c r="T475" s="150">
        <f t="shared" si="180"/>
        <v>0</v>
      </c>
      <c r="U475" s="150">
        <f t="shared" si="181"/>
        <v>0</v>
      </c>
      <c r="V475" s="150">
        <f>IFERROR(INDEX(Työkonekanta!$J$3:$J$27,MATCH($A475,Työkonekanta!$A$3:$A$24,0),1)*$B475*ef_li_ion_akku/1000/1000/INDEX(Työkonekanta!$K$3:$K$27,MATCH($A475,Työkonekanta!$A$3:$A$24,0)),0)</f>
        <v>0</v>
      </c>
      <c r="W475" s="149">
        <f t="shared" si="197"/>
        <v>0</v>
      </c>
      <c r="X475" s="150">
        <f t="shared" si="198"/>
        <v>0</v>
      </c>
      <c r="Y475" s="151">
        <f t="shared" si="199"/>
        <v>0</v>
      </c>
      <c r="Z475" s="152">
        <f t="shared" si="191"/>
        <v>0</v>
      </c>
      <c r="AA475" s="179">
        <f t="shared" si="192"/>
        <v>0</v>
      </c>
      <c r="AB475" s="179">
        <f t="shared" si="193"/>
        <v>0</v>
      </c>
      <c r="AC475" s="180">
        <f t="shared" si="200"/>
        <v>0</v>
      </c>
      <c r="AD475" s="156">
        <f t="shared" si="194"/>
        <v>0</v>
      </c>
      <c r="AE475" s="146">
        <f>IFERROR(INDEX(Työkonekanta!$L$3:$L$30,MATCH($A475,Työkonekanta!$A$3:$A$30,0),1),0)*AF475</f>
        <v>0</v>
      </c>
      <c r="AF475" s="146">
        <f>IFERROR(INDEX(Työkonekanta!$N$3:$N$32,MATCH($A475,Työkonekanta!$A$3:$A$32,0),1),0)</f>
        <v>0</v>
      </c>
      <c r="AG475" s="332">
        <f>I475*INDEX(Muuttujat!$U$5:$U$21,MATCH($C475,Muuttujat!$N$5:$N$21,0),1)</f>
        <v>0</v>
      </c>
      <c r="AH475" s="332">
        <f>J475*INDEX(Muuttujat!$T$5:$T$21,MATCH($C475,Muuttujat!$N$5:$N$21,0),1)</f>
        <v>0</v>
      </c>
      <c r="AI475" s="332">
        <f t="shared" si="182"/>
        <v>0</v>
      </c>
      <c r="AJ475" s="332">
        <f t="shared" si="183"/>
        <v>0</v>
      </c>
      <c r="AK475" s="333">
        <f t="shared" si="195"/>
        <v>0</v>
      </c>
      <c r="AL475" s="332">
        <f t="shared" si="184"/>
        <v>0</v>
      </c>
      <c r="AM475" s="351"/>
      <c r="AN475" s="351"/>
    </row>
    <row r="476" spans="1:40">
      <c r="A476" s="139">
        <v>24</v>
      </c>
      <c r="B476" s="139">
        <f>IFERROR(IF((INDEX(Työkonekanta!$F$3:$F$27,MATCH('S3 Tiekartta'!$A476,Työkonekanta!$A$3:$A$24,0),1))&lt;0,0,(INDEX(Työkonekanta!$F$3:$F$27,MATCH('S3 Tiekartta'!$A476,Työkonekanta!$A$3:$A$24,0),1))),0)</f>
        <v>0</v>
      </c>
      <c r="C476" s="140">
        <v>2034</v>
      </c>
      <c r="D476" s="141" t="str">
        <f>IFERROR(INDEX(Työkonekanta!$D$3:$D$27,MATCH('S3 Tiekartta'!$A476,Työkonekanta!$A$3:$A$24,0),1),"undefined")</f>
        <v>undefined</v>
      </c>
      <c r="E476" s="145">
        <f>IFERROR(INDEX(Työkonekanta!$G$3:$G$27,MATCH($A476,Työkonekanta!$A$3:$A$24,0),1)*INDEX(Työkonekanta!$H$3:$H$27,MATCH($A476,Työkonekanta!$A$3:$A$24,0),1)*(1+s0b_kasvu*($C476-2019))*$B476,0)</f>
        <v>0</v>
      </c>
      <c r="F476" s="145">
        <f t="shared" si="176"/>
        <v>0</v>
      </c>
      <c r="G476" s="151">
        <f t="shared" si="185"/>
        <v>0</v>
      </c>
      <c r="H476" s="145">
        <f t="shared" si="186"/>
        <v>0</v>
      </c>
      <c r="I476" s="145">
        <f t="shared" si="177"/>
        <v>0</v>
      </c>
      <c r="J476" s="145">
        <f t="shared" si="178"/>
        <v>0</v>
      </c>
      <c r="K476" s="142" t="str">
        <f t="shared" si="187"/>
        <v>undefined</v>
      </c>
      <c r="L476" s="146">
        <f>IFERROR(INDEX(Työkonekanta!$I$3:$I$27,MATCH('S3 Tiekartta'!$A476,Työkonekanta!$A$3:$A$24,0),1)*(I476+J476)*f_adblue,0)</f>
        <v>0</v>
      </c>
      <c r="M476" s="146">
        <f t="shared" si="196"/>
        <v>0</v>
      </c>
      <c r="N476" s="143" t="str">
        <f>IF(tuulisähkö_vuosi&lt;='S3 Tiekartta'!C476,"tuulisähkö",ostosähkö_nyt)</f>
        <v>jäännössähkö</v>
      </c>
      <c r="O476" s="147">
        <f>INDEX(Muuttujat!$J$5:$J$21,MATCH($C476,Muuttujat!$H$5:$H$21,0),1)</f>
        <v>59.556652007924122</v>
      </c>
      <c r="P476" s="148">
        <f t="shared" si="188"/>
        <v>0.30982346180793852</v>
      </c>
      <c r="Q476" s="148">
        <f t="shared" si="189"/>
        <v>0.69017653819206148</v>
      </c>
      <c r="R476" s="148">
        <f t="shared" si="190"/>
        <v>0.69017653819206148</v>
      </c>
      <c r="S476" s="149">
        <f t="shared" si="179"/>
        <v>0</v>
      </c>
      <c r="T476" s="150">
        <f t="shared" si="180"/>
        <v>0</v>
      </c>
      <c r="U476" s="150">
        <f t="shared" si="181"/>
        <v>0</v>
      </c>
      <c r="V476" s="150">
        <f>IFERROR(INDEX(Työkonekanta!$J$3:$J$27,MATCH($A476,Työkonekanta!$A$3:$A$24,0),1)*$B476*ef_li_ion_akku/1000/1000/INDEX(Työkonekanta!$K$3:$K$27,MATCH($A476,Työkonekanta!$A$3:$A$24,0)),0)</f>
        <v>0</v>
      </c>
      <c r="W476" s="149">
        <f t="shared" si="197"/>
        <v>0</v>
      </c>
      <c r="X476" s="150">
        <f t="shared" si="198"/>
        <v>0</v>
      </c>
      <c r="Y476" s="151">
        <f t="shared" si="199"/>
        <v>0</v>
      </c>
      <c r="Z476" s="152">
        <f t="shared" si="191"/>
        <v>0</v>
      </c>
      <c r="AA476" s="179">
        <f t="shared" si="192"/>
        <v>0</v>
      </c>
      <c r="AB476" s="179">
        <f t="shared" si="193"/>
        <v>0</v>
      </c>
      <c r="AC476" s="180">
        <f t="shared" si="200"/>
        <v>0</v>
      </c>
      <c r="AD476" s="156">
        <f t="shared" si="194"/>
        <v>0</v>
      </c>
      <c r="AE476" s="146">
        <f>IFERROR(INDEX(Työkonekanta!$L$3:$L$30,MATCH($A476,Työkonekanta!$A$3:$A$30,0),1),0)*AF476</f>
        <v>0</v>
      </c>
      <c r="AF476" s="146">
        <f>IFERROR(INDEX(Työkonekanta!$N$3:$N$32,MATCH($A476,Työkonekanta!$A$3:$A$32,0),1),0)</f>
        <v>0</v>
      </c>
      <c r="AG476" s="332">
        <f>I476*INDEX(Muuttujat!$U$5:$U$21,MATCH($C476,Muuttujat!$N$5:$N$21,0),1)</f>
        <v>0</v>
      </c>
      <c r="AH476" s="332">
        <f>J476*INDEX(Muuttujat!$T$5:$T$21,MATCH($C476,Muuttujat!$N$5:$N$21,0),1)</f>
        <v>0</v>
      </c>
      <c r="AI476" s="332">
        <f t="shared" si="182"/>
        <v>0</v>
      </c>
      <c r="AJ476" s="332">
        <f t="shared" si="183"/>
        <v>0</v>
      </c>
      <c r="AK476" s="333">
        <f t="shared" si="195"/>
        <v>0</v>
      </c>
      <c r="AL476" s="332">
        <f t="shared" si="184"/>
        <v>0</v>
      </c>
      <c r="AM476" s="351"/>
      <c r="AN476" s="351"/>
    </row>
    <row r="477" spans="1:40">
      <c r="A477" s="139">
        <v>25</v>
      </c>
      <c r="B477" s="139">
        <f>IFERROR(IF((INDEX(Työkonekanta!$F$3:$F$27,MATCH('S3 Tiekartta'!$A477,Työkonekanta!$A$3:$A$24,0),1))&lt;0,0,(INDEX(Työkonekanta!$F$3:$F$27,MATCH('S3 Tiekartta'!$A477,Työkonekanta!$A$3:$A$24,0),1))),0)</f>
        <v>0</v>
      </c>
      <c r="C477" s="140">
        <v>2034</v>
      </c>
      <c r="D477" s="141" t="str">
        <f>IFERROR(INDEX(Työkonekanta!$D$3:$D$27,MATCH('S3 Tiekartta'!$A477,Työkonekanta!$A$3:$A$24,0),1),"undefined")</f>
        <v>undefined</v>
      </c>
      <c r="E477" s="145">
        <f>IFERROR(INDEX(Työkonekanta!$G$3:$G$27,MATCH($A477,Työkonekanta!$A$3:$A$24,0),1)*INDEX(Työkonekanta!$H$3:$H$27,MATCH($A477,Työkonekanta!$A$3:$A$24,0),1)*(1+s0b_kasvu*($C477-2019))*$B477,0)</f>
        <v>0</v>
      </c>
      <c r="F477" s="145">
        <f t="shared" si="176"/>
        <v>0</v>
      </c>
      <c r="G477" s="151">
        <f t="shared" si="185"/>
        <v>0</v>
      </c>
      <c r="H477" s="145">
        <f t="shared" si="186"/>
        <v>0</v>
      </c>
      <c r="I477" s="145">
        <f t="shared" si="177"/>
        <v>0</v>
      </c>
      <c r="J477" s="145">
        <f t="shared" si="178"/>
        <v>0</v>
      </c>
      <c r="K477" s="142" t="str">
        <f t="shared" si="187"/>
        <v>undefined</v>
      </c>
      <c r="L477" s="146">
        <f>IFERROR(INDEX(Työkonekanta!$I$3:$I$27,MATCH('S3 Tiekartta'!$A477,Työkonekanta!$A$3:$A$24,0),1)*(I477+J477)*f_adblue,0)</f>
        <v>0</v>
      </c>
      <c r="M477" s="146">
        <f t="shared" si="196"/>
        <v>0</v>
      </c>
      <c r="N477" s="143" t="str">
        <f>IF(tuulisähkö_vuosi&lt;='S3 Tiekartta'!C477,"tuulisähkö",ostosähkö_nyt)</f>
        <v>jäännössähkö</v>
      </c>
      <c r="O477" s="147">
        <f>INDEX(Muuttujat!$J$5:$J$21,MATCH($C477,Muuttujat!$H$5:$H$21,0),1)</f>
        <v>59.556652007924122</v>
      </c>
      <c r="P477" s="148">
        <f t="shared" si="188"/>
        <v>0.30982346180793852</v>
      </c>
      <c r="Q477" s="148">
        <f t="shared" si="189"/>
        <v>0.69017653819206148</v>
      </c>
      <c r="R477" s="148">
        <f t="shared" si="190"/>
        <v>0.69017653819206148</v>
      </c>
      <c r="S477" s="149">
        <f t="shared" si="179"/>
        <v>0</v>
      </c>
      <c r="T477" s="150">
        <f t="shared" si="180"/>
        <v>0</v>
      </c>
      <c r="U477" s="150">
        <f t="shared" si="181"/>
        <v>0</v>
      </c>
      <c r="V477" s="150">
        <f>IFERROR(INDEX(Työkonekanta!$J$3:$J$27,MATCH($A477,Työkonekanta!$A$3:$A$24,0),1)*$B477*ef_li_ion_akku/1000/1000/INDEX(Työkonekanta!$K$3:$K$27,MATCH($A477,Työkonekanta!$A$3:$A$24,0)),0)</f>
        <v>0</v>
      </c>
      <c r="W477" s="149">
        <f t="shared" si="197"/>
        <v>0</v>
      </c>
      <c r="X477" s="150">
        <f t="shared" si="198"/>
        <v>0</v>
      </c>
      <c r="Y477" s="151">
        <f t="shared" si="199"/>
        <v>0</v>
      </c>
      <c r="Z477" s="152">
        <f t="shared" si="191"/>
        <v>0</v>
      </c>
      <c r="AA477" s="179">
        <f t="shared" si="192"/>
        <v>0</v>
      </c>
      <c r="AB477" s="179">
        <f t="shared" si="193"/>
        <v>0</v>
      </c>
      <c r="AC477" s="180">
        <f t="shared" si="200"/>
        <v>0</v>
      </c>
      <c r="AD477" s="156">
        <f t="shared" si="194"/>
        <v>0</v>
      </c>
      <c r="AE477" s="146">
        <f>IFERROR(INDEX(Työkonekanta!$L$3:$L$30,MATCH($A477,Työkonekanta!$A$3:$A$30,0),1),0)*AF477</f>
        <v>0</v>
      </c>
      <c r="AF477" s="146">
        <f>IFERROR(INDEX(Työkonekanta!$N$3:$N$32,MATCH($A477,Työkonekanta!$A$3:$A$32,0),1),0)</f>
        <v>0</v>
      </c>
      <c r="AG477" s="332">
        <f>I477*INDEX(Muuttujat!$U$5:$U$21,MATCH($C477,Muuttujat!$N$5:$N$21,0),1)</f>
        <v>0</v>
      </c>
      <c r="AH477" s="332">
        <f>J477*INDEX(Muuttujat!$T$5:$T$21,MATCH($C477,Muuttujat!$N$5:$N$21,0),1)</f>
        <v>0</v>
      </c>
      <c r="AI477" s="332">
        <f t="shared" si="182"/>
        <v>0</v>
      </c>
      <c r="AJ477" s="332">
        <f t="shared" si="183"/>
        <v>0</v>
      </c>
      <c r="AK477" s="333">
        <f t="shared" si="195"/>
        <v>0</v>
      </c>
      <c r="AL477" s="332">
        <f t="shared" si="184"/>
        <v>0</v>
      </c>
      <c r="AM477" s="351"/>
      <c r="AN477" s="351"/>
    </row>
    <row r="478" spans="1:40">
      <c r="A478" s="139">
        <v>26</v>
      </c>
      <c r="B478" s="139">
        <f>IFERROR(IF((INDEX(Työkonekanta!$F$3:$F$27,MATCH('S3 Tiekartta'!$A478,Työkonekanta!$A$3:$A$24,0),1))&lt;0,0,(INDEX(Työkonekanta!$F$3:$F$27,MATCH('S3 Tiekartta'!$A478,Työkonekanta!$A$3:$A$24,0),1))),0)</f>
        <v>0</v>
      </c>
      <c r="C478" s="140">
        <v>2034</v>
      </c>
      <c r="D478" s="141" t="str">
        <f>IFERROR(INDEX(Työkonekanta!$D$3:$D$27,MATCH('S3 Tiekartta'!$A478,Työkonekanta!$A$3:$A$24,0),1),"undefined")</f>
        <v>undefined</v>
      </c>
      <c r="E478" s="145">
        <f>IFERROR(INDEX(Työkonekanta!$G$3:$G$27,MATCH($A478,Työkonekanta!$A$3:$A$24,0),1)*INDEX(Työkonekanta!$H$3:$H$27,MATCH($A478,Työkonekanta!$A$3:$A$24,0),1)*(1+s0b_kasvu*($C478-2019))*$B478,0)</f>
        <v>0</v>
      </c>
      <c r="F478" s="145">
        <f t="shared" si="176"/>
        <v>0</v>
      </c>
      <c r="G478" s="151">
        <f t="shared" si="185"/>
        <v>0</v>
      </c>
      <c r="H478" s="145">
        <f t="shared" si="186"/>
        <v>0</v>
      </c>
      <c r="I478" s="145">
        <f t="shared" si="177"/>
        <v>0</v>
      </c>
      <c r="J478" s="145">
        <f t="shared" si="178"/>
        <v>0</v>
      </c>
      <c r="K478" s="142" t="str">
        <f t="shared" si="187"/>
        <v>undefined</v>
      </c>
      <c r="L478" s="146">
        <f>IFERROR(INDEX(Työkonekanta!$I$3:$I$27,MATCH('S3 Tiekartta'!$A478,Työkonekanta!$A$3:$A$24,0),1)*(I478+J478)*f_adblue,0)</f>
        <v>0</v>
      </c>
      <c r="M478" s="146">
        <f t="shared" si="196"/>
        <v>0</v>
      </c>
      <c r="N478" s="143" t="str">
        <f>IF(tuulisähkö_vuosi&lt;='S3 Tiekartta'!C478,"tuulisähkö",ostosähkö_nyt)</f>
        <v>jäännössähkö</v>
      </c>
      <c r="O478" s="147">
        <f>INDEX(Muuttujat!$J$5:$J$21,MATCH($C478,Muuttujat!$H$5:$H$21,0),1)</f>
        <v>59.556652007924122</v>
      </c>
      <c r="P478" s="148">
        <f t="shared" si="188"/>
        <v>0.30982346180793852</v>
      </c>
      <c r="Q478" s="148">
        <f t="shared" si="189"/>
        <v>0.69017653819206148</v>
      </c>
      <c r="R478" s="148">
        <f t="shared" si="190"/>
        <v>0.69017653819206148</v>
      </c>
      <c r="S478" s="149">
        <f t="shared" si="179"/>
        <v>0</v>
      </c>
      <c r="T478" s="150">
        <f t="shared" si="180"/>
        <v>0</v>
      </c>
      <c r="U478" s="150">
        <f t="shared" si="181"/>
        <v>0</v>
      </c>
      <c r="V478" s="150">
        <f>IFERROR(INDEX(Työkonekanta!$J$3:$J$27,MATCH($A478,Työkonekanta!$A$3:$A$24,0),1)*$B478*ef_li_ion_akku/1000/1000/INDEX(Työkonekanta!$K$3:$K$27,MATCH($A478,Työkonekanta!$A$3:$A$24,0)),0)</f>
        <v>0</v>
      </c>
      <c r="W478" s="149">
        <f t="shared" si="197"/>
        <v>0</v>
      </c>
      <c r="X478" s="150">
        <f t="shared" si="198"/>
        <v>0</v>
      </c>
      <c r="Y478" s="151">
        <f t="shared" si="199"/>
        <v>0</v>
      </c>
      <c r="Z478" s="152">
        <f t="shared" si="191"/>
        <v>0</v>
      </c>
      <c r="AA478" s="179">
        <f t="shared" si="192"/>
        <v>0</v>
      </c>
      <c r="AB478" s="179">
        <f t="shared" si="193"/>
        <v>0</v>
      </c>
      <c r="AC478" s="180">
        <f t="shared" si="200"/>
        <v>0</v>
      </c>
      <c r="AD478" s="156">
        <f t="shared" si="194"/>
        <v>0</v>
      </c>
      <c r="AE478" s="146">
        <f>IFERROR(INDEX(Työkonekanta!$L$3:$L$30,MATCH($A478,Työkonekanta!$A$3:$A$30,0),1),0)*AF478</f>
        <v>0</v>
      </c>
      <c r="AF478" s="146">
        <f>IFERROR(INDEX(Työkonekanta!$N$3:$N$32,MATCH($A478,Työkonekanta!$A$3:$A$32,0),1),0)</f>
        <v>0</v>
      </c>
      <c r="AG478" s="332">
        <f>I478*INDEX(Muuttujat!$U$5:$U$21,MATCH($C478,Muuttujat!$N$5:$N$21,0),1)</f>
        <v>0</v>
      </c>
      <c r="AH478" s="332">
        <f>J478*INDEX(Muuttujat!$T$5:$T$21,MATCH($C478,Muuttujat!$N$5:$N$21,0),1)</f>
        <v>0</v>
      </c>
      <c r="AI478" s="332">
        <f t="shared" si="182"/>
        <v>0</v>
      </c>
      <c r="AJ478" s="332">
        <f t="shared" si="183"/>
        <v>0</v>
      </c>
      <c r="AK478" s="333">
        <f t="shared" si="195"/>
        <v>0</v>
      </c>
      <c r="AL478" s="332">
        <f t="shared" si="184"/>
        <v>0</v>
      </c>
      <c r="AM478" s="351"/>
      <c r="AN478" s="351"/>
    </row>
    <row r="479" spans="1:40">
      <c r="A479" s="139">
        <v>27</v>
      </c>
      <c r="B479" s="139">
        <f>IFERROR(IF((INDEX(Työkonekanta!$F$3:$F$27,MATCH('S3 Tiekartta'!$A479,Työkonekanta!$A$3:$A$24,0),1))&lt;0,0,(INDEX(Työkonekanta!$F$3:$F$27,MATCH('S3 Tiekartta'!$A479,Työkonekanta!$A$3:$A$24,0),1))),0)</f>
        <v>0</v>
      </c>
      <c r="C479" s="140">
        <v>2034</v>
      </c>
      <c r="D479" s="141" t="str">
        <f>IFERROR(INDEX(Työkonekanta!$D$3:$D$27,MATCH('S3 Tiekartta'!$A479,Työkonekanta!$A$3:$A$24,0),1),"undefined")</f>
        <v>undefined</v>
      </c>
      <c r="E479" s="145">
        <f>IFERROR(INDEX(Työkonekanta!$G$3:$G$27,MATCH($A479,Työkonekanta!$A$3:$A$24,0),1)*INDEX(Työkonekanta!$H$3:$H$27,MATCH($A479,Työkonekanta!$A$3:$A$24,0),1)*(1+s0b_kasvu*($C479-2019))*$B479,0)</f>
        <v>0</v>
      </c>
      <c r="F479" s="145">
        <f t="shared" si="176"/>
        <v>0</v>
      </c>
      <c r="G479" s="151">
        <f t="shared" si="185"/>
        <v>0</v>
      </c>
      <c r="H479" s="145">
        <f t="shared" si="186"/>
        <v>0</v>
      </c>
      <c r="I479" s="145">
        <f t="shared" si="177"/>
        <v>0</v>
      </c>
      <c r="J479" s="145">
        <f t="shared" si="178"/>
        <v>0</v>
      </c>
      <c r="K479" s="142" t="str">
        <f t="shared" si="187"/>
        <v>undefined</v>
      </c>
      <c r="L479" s="146">
        <f>IFERROR(INDEX(Työkonekanta!$I$3:$I$27,MATCH('S3 Tiekartta'!$A479,Työkonekanta!$A$3:$A$24,0),1)*(I479+J479)*f_adblue,0)</f>
        <v>0</v>
      </c>
      <c r="M479" s="146">
        <f t="shared" si="196"/>
        <v>0</v>
      </c>
      <c r="N479" s="143" t="str">
        <f>IF(tuulisähkö_vuosi&lt;='S3 Tiekartta'!C479,"tuulisähkö",ostosähkö_nyt)</f>
        <v>jäännössähkö</v>
      </c>
      <c r="O479" s="147">
        <f>INDEX(Muuttujat!$J$5:$J$21,MATCH($C479,Muuttujat!$H$5:$H$21,0),1)</f>
        <v>59.556652007924122</v>
      </c>
      <c r="P479" s="148">
        <f t="shared" si="188"/>
        <v>0.30982346180793852</v>
      </c>
      <c r="Q479" s="148">
        <f t="shared" si="189"/>
        <v>0.69017653819206148</v>
      </c>
      <c r="R479" s="148">
        <f t="shared" si="190"/>
        <v>0.69017653819206148</v>
      </c>
      <c r="S479" s="149">
        <f t="shared" si="179"/>
        <v>0</v>
      </c>
      <c r="T479" s="150">
        <f t="shared" si="180"/>
        <v>0</v>
      </c>
      <c r="U479" s="150">
        <f t="shared" si="181"/>
        <v>0</v>
      </c>
      <c r="V479" s="150">
        <f>IFERROR(INDEX(Työkonekanta!$J$3:$J$27,MATCH($A479,Työkonekanta!$A$3:$A$24,0),1)*$B479*ef_li_ion_akku/1000/1000/INDEX(Työkonekanta!$K$3:$K$27,MATCH($A479,Työkonekanta!$A$3:$A$24,0)),0)</f>
        <v>0</v>
      </c>
      <c r="W479" s="149">
        <f t="shared" si="197"/>
        <v>0</v>
      </c>
      <c r="X479" s="150">
        <f t="shared" si="198"/>
        <v>0</v>
      </c>
      <c r="Y479" s="151">
        <f t="shared" si="199"/>
        <v>0</v>
      </c>
      <c r="Z479" s="152">
        <f t="shared" si="191"/>
        <v>0</v>
      </c>
      <c r="AA479" s="179">
        <f t="shared" si="192"/>
        <v>0</v>
      </c>
      <c r="AB479" s="179">
        <f t="shared" si="193"/>
        <v>0</v>
      </c>
      <c r="AC479" s="180">
        <f t="shared" si="200"/>
        <v>0</v>
      </c>
      <c r="AD479" s="156">
        <f t="shared" si="194"/>
        <v>0</v>
      </c>
      <c r="AE479" s="146">
        <f>IFERROR(INDEX(Työkonekanta!$L$3:$L$30,MATCH($A479,Työkonekanta!$A$3:$A$30,0),1),0)*AF479</f>
        <v>0</v>
      </c>
      <c r="AF479" s="146">
        <f>IFERROR(INDEX(Työkonekanta!$N$3:$N$32,MATCH($A479,Työkonekanta!$A$3:$A$32,0),1),0)</f>
        <v>0</v>
      </c>
      <c r="AG479" s="332">
        <f>I479*INDEX(Muuttujat!$U$5:$U$21,MATCH($C479,Muuttujat!$N$5:$N$21,0),1)</f>
        <v>0</v>
      </c>
      <c r="AH479" s="332">
        <f>J479*INDEX(Muuttujat!$T$5:$T$21,MATCH($C479,Muuttujat!$N$5:$N$21,0),1)</f>
        <v>0</v>
      </c>
      <c r="AI479" s="332">
        <f t="shared" si="182"/>
        <v>0</v>
      </c>
      <c r="AJ479" s="332">
        <f t="shared" si="183"/>
        <v>0</v>
      </c>
      <c r="AK479" s="333">
        <f t="shared" si="195"/>
        <v>0</v>
      </c>
      <c r="AL479" s="332">
        <f t="shared" si="184"/>
        <v>0</v>
      </c>
      <c r="AM479" s="351"/>
      <c r="AN479" s="351"/>
    </row>
    <row r="480" spans="1:40">
      <c r="A480" s="139">
        <v>28</v>
      </c>
      <c r="B480" s="139">
        <f>IFERROR(IF((INDEX(Työkonekanta!$F$3:$F$27,MATCH('S3 Tiekartta'!$A480,Työkonekanta!$A$3:$A$24,0),1))&lt;0,0,(INDEX(Työkonekanta!$F$3:$F$27,MATCH('S3 Tiekartta'!$A480,Työkonekanta!$A$3:$A$24,0),1))),0)</f>
        <v>0</v>
      </c>
      <c r="C480" s="140">
        <v>2034</v>
      </c>
      <c r="D480" s="141" t="str">
        <f>IFERROR(INDEX(Työkonekanta!$D$3:$D$27,MATCH('S3 Tiekartta'!$A480,Työkonekanta!$A$3:$A$24,0),1),"undefined")</f>
        <v>undefined</v>
      </c>
      <c r="E480" s="145">
        <f>IFERROR(INDEX(Työkonekanta!$G$3:$G$27,MATCH($A480,Työkonekanta!$A$3:$A$24,0),1)*INDEX(Työkonekanta!$H$3:$H$27,MATCH($A480,Työkonekanta!$A$3:$A$24,0),1)*(1+s0b_kasvu*($C480-2019))*$B480,0)</f>
        <v>0</v>
      </c>
      <c r="F480" s="145">
        <f t="shared" si="176"/>
        <v>0</v>
      </c>
      <c r="G480" s="151">
        <f t="shared" si="185"/>
        <v>0</v>
      </c>
      <c r="H480" s="145">
        <f t="shared" si="186"/>
        <v>0</v>
      </c>
      <c r="I480" s="145">
        <f t="shared" si="177"/>
        <v>0</v>
      </c>
      <c r="J480" s="145">
        <f t="shared" si="178"/>
        <v>0</v>
      </c>
      <c r="K480" s="142" t="str">
        <f t="shared" si="187"/>
        <v>undefined</v>
      </c>
      <c r="L480" s="146">
        <f>IFERROR(INDEX(Työkonekanta!$I$3:$I$27,MATCH('S3 Tiekartta'!$A480,Työkonekanta!$A$3:$A$24,0),1)*(I480+J480)*f_adblue,0)</f>
        <v>0</v>
      </c>
      <c r="M480" s="146">
        <f t="shared" si="196"/>
        <v>0</v>
      </c>
      <c r="N480" s="143" t="str">
        <f>IF(tuulisähkö_vuosi&lt;='S3 Tiekartta'!C480,"tuulisähkö",ostosähkö_nyt)</f>
        <v>jäännössähkö</v>
      </c>
      <c r="O480" s="147">
        <f>INDEX(Muuttujat!$J$5:$J$21,MATCH($C480,Muuttujat!$H$5:$H$21,0),1)</f>
        <v>59.556652007924122</v>
      </c>
      <c r="P480" s="148">
        <f t="shared" si="188"/>
        <v>0.30982346180793852</v>
      </c>
      <c r="Q480" s="148">
        <f t="shared" si="189"/>
        <v>0.69017653819206148</v>
      </c>
      <c r="R480" s="148">
        <f t="shared" si="190"/>
        <v>0.69017653819206148</v>
      </c>
      <c r="S480" s="149">
        <f t="shared" si="179"/>
        <v>0</v>
      </c>
      <c r="T480" s="150">
        <f t="shared" si="180"/>
        <v>0</v>
      </c>
      <c r="U480" s="150">
        <f t="shared" si="181"/>
        <v>0</v>
      </c>
      <c r="V480" s="150">
        <f>IFERROR(INDEX(Työkonekanta!$J$3:$J$27,MATCH($A480,Työkonekanta!$A$3:$A$24,0),1)*$B480*ef_li_ion_akku/1000/1000/INDEX(Työkonekanta!$K$3:$K$27,MATCH($A480,Työkonekanta!$A$3:$A$24,0)),0)</f>
        <v>0</v>
      </c>
      <c r="W480" s="149">
        <f t="shared" si="197"/>
        <v>0</v>
      </c>
      <c r="X480" s="150">
        <f t="shared" si="198"/>
        <v>0</v>
      </c>
      <c r="Y480" s="151">
        <f t="shared" si="199"/>
        <v>0</v>
      </c>
      <c r="Z480" s="152">
        <f t="shared" si="191"/>
        <v>0</v>
      </c>
      <c r="AA480" s="179">
        <f t="shared" si="192"/>
        <v>0</v>
      </c>
      <c r="AB480" s="179">
        <f t="shared" si="193"/>
        <v>0</v>
      </c>
      <c r="AC480" s="180">
        <f t="shared" si="200"/>
        <v>0</v>
      </c>
      <c r="AD480" s="156">
        <f t="shared" si="194"/>
        <v>0</v>
      </c>
      <c r="AE480" s="146">
        <f>IFERROR(INDEX(Työkonekanta!$L$3:$L$30,MATCH($A480,Työkonekanta!$A$3:$A$30,0),1),0)*AF480</f>
        <v>0</v>
      </c>
      <c r="AF480" s="146">
        <f>IFERROR(INDEX(Työkonekanta!$N$3:$N$32,MATCH($A480,Työkonekanta!$A$3:$A$32,0),1),0)</f>
        <v>0</v>
      </c>
      <c r="AG480" s="332">
        <f>I480*INDEX(Muuttujat!$U$5:$U$21,MATCH($C480,Muuttujat!$N$5:$N$21,0),1)</f>
        <v>0</v>
      </c>
      <c r="AH480" s="332">
        <f>J480*INDEX(Muuttujat!$T$5:$T$21,MATCH($C480,Muuttujat!$N$5:$N$21,0),1)</f>
        <v>0</v>
      </c>
      <c r="AI480" s="332">
        <f t="shared" si="182"/>
        <v>0</v>
      </c>
      <c r="AJ480" s="332">
        <f t="shared" si="183"/>
        <v>0</v>
      </c>
      <c r="AK480" s="333">
        <f t="shared" si="195"/>
        <v>0</v>
      </c>
      <c r="AL480" s="332">
        <f t="shared" si="184"/>
        <v>0</v>
      </c>
      <c r="AM480" s="351"/>
      <c r="AN480" s="351"/>
    </row>
    <row r="481" spans="1:40">
      <c r="A481" s="139">
        <v>29</v>
      </c>
      <c r="B481" s="139">
        <f>IFERROR(IF((INDEX(Työkonekanta!$F$3:$F$27,MATCH('S3 Tiekartta'!$A481,Työkonekanta!$A$3:$A$24,0),1))&lt;0,0,(INDEX(Työkonekanta!$F$3:$F$27,MATCH('S3 Tiekartta'!$A481,Työkonekanta!$A$3:$A$24,0),1))),0)</f>
        <v>0</v>
      </c>
      <c r="C481" s="140">
        <v>2034</v>
      </c>
      <c r="D481" s="141" t="str">
        <f>IFERROR(INDEX(Työkonekanta!$D$3:$D$27,MATCH('S3 Tiekartta'!$A481,Työkonekanta!$A$3:$A$24,0),1),"undefined")</f>
        <v>undefined</v>
      </c>
      <c r="E481" s="145">
        <f>IFERROR(INDEX(Työkonekanta!$G$3:$G$27,MATCH($A481,Työkonekanta!$A$3:$A$24,0),1)*INDEX(Työkonekanta!$H$3:$H$27,MATCH($A481,Työkonekanta!$A$3:$A$24,0),1)*(1+s0b_kasvu*($C481-2019))*$B481,0)</f>
        <v>0</v>
      </c>
      <c r="F481" s="145">
        <f t="shared" si="176"/>
        <v>0</v>
      </c>
      <c r="G481" s="151">
        <f t="shared" si="185"/>
        <v>0</v>
      </c>
      <c r="H481" s="145">
        <f t="shared" si="186"/>
        <v>0</v>
      </c>
      <c r="I481" s="145">
        <f t="shared" si="177"/>
        <v>0</v>
      </c>
      <c r="J481" s="145">
        <f t="shared" si="178"/>
        <v>0</v>
      </c>
      <c r="K481" s="142" t="str">
        <f t="shared" si="187"/>
        <v>undefined</v>
      </c>
      <c r="L481" s="146">
        <f>IFERROR(INDEX(Työkonekanta!$I$3:$I$27,MATCH('S3 Tiekartta'!$A481,Työkonekanta!$A$3:$A$24,0),1)*(I481+J481)*f_adblue,0)</f>
        <v>0</v>
      </c>
      <c r="M481" s="146">
        <f t="shared" si="196"/>
        <v>0</v>
      </c>
      <c r="N481" s="143" t="str">
        <f>IF(tuulisähkö_vuosi&lt;='S3 Tiekartta'!C481,"tuulisähkö",ostosähkö_nyt)</f>
        <v>jäännössähkö</v>
      </c>
      <c r="O481" s="147">
        <f>INDEX(Muuttujat!$J$5:$J$21,MATCH($C481,Muuttujat!$H$5:$H$21,0),1)</f>
        <v>59.556652007924122</v>
      </c>
      <c r="P481" s="148">
        <f t="shared" si="188"/>
        <v>0.30982346180793852</v>
      </c>
      <c r="Q481" s="148">
        <f t="shared" si="189"/>
        <v>0.69017653819206148</v>
      </c>
      <c r="R481" s="148">
        <f t="shared" si="190"/>
        <v>0.69017653819206148</v>
      </c>
      <c r="S481" s="149">
        <f t="shared" si="179"/>
        <v>0</v>
      </c>
      <c r="T481" s="150">
        <f t="shared" si="180"/>
        <v>0</v>
      </c>
      <c r="U481" s="150">
        <f t="shared" si="181"/>
        <v>0</v>
      </c>
      <c r="V481" s="150">
        <f>IFERROR(INDEX(Työkonekanta!$J$3:$J$27,MATCH($A481,Työkonekanta!$A$3:$A$24,0),1)*$B481*ef_li_ion_akku/1000/1000/INDEX(Työkonekanta!$K$3:$K$27,MATCH($A481,Työkonekanta!$A$3:$A$24,0)),0)</f>
        <v>0</v>
      </c>
      <c r="W481" s="149">
        <f t="shared" si="197"/>
        <v>0</v>
      </c>
      <c r="X481" s="150">
        <f t="shared" si="198"/>
        <v>0</v>
      </c>
      <c r="Y481" s="151">
        <f t="shared" si="199"/>
        <v>0</v>
      </c>
      <c r="Z481" s="152">
        <f t="shared" si="191"/>
        <v>0</v>
      </c>
      <c r="AA481" s="179">
        <f t="shared" si="192"/>
        <v>0</v>
      </c>
      <c r="AB481" s="179">
        <f t="shared" si="193"/>
        <v>0</v>
      </c>
      <c r="AC481" s="180">
        <f t="shared" si="200"/>
        <v>0</v>
      </c>
      <c r="AD481" s="156">
        <f t="shared" si="194"/>
        <v>0</v>
      </c>
      <c r="AE481" s="146">
        <f>IFERROR(INDEX(Työkonekanta!$L$3:$L$30,MATCH($A481,Työkonekanta!$A$3:$A$30,0),1),0)*AF481</f>
        <v>0</v>
      </c>
      <c r="AF481" s="146">
        <f>IFERROR(INDEX(Työkonekanta!$N$3:$N$32,MATCH($A481,Työkonekanta!$A$3:$A$32,0),1),0)</f>
        <v>0</v>
      </c>
      <c r="AG481" s="332">
        <f>I481*INDEX(Muuttujat!$U$5:$U$21,MATCH($C481,Muuttujat!$N$5:$N$21,0),1)</f>
        <v>0</v>
      </c>
      <c r="AH481" s="332">
        <f>J481*INDEX(Muuttujat!$T$5:$T$21,MATCH($C481,Muuttujat!$N$5:$N$21,0),1)</f>
        <v>0</v>
      </c>
      <c r="AI481" s="332">
        <f t="shared" si="182"/>
        <v>0</v>
      </c>
      <c r="AJ481" s="332">
        <f t="shared" si="183"/>
        <v>0</v>
      </c>
      <c r="AK481" s="333">
        <f t="shared" si="195"/>
        <v>0</v>
      </c>
      <c r="AL481" s="332">
        <f t="shared" si="184"/>
        <v>0</v>
      </c>
      <c r="AM481" s="351"/>
      <c r="AN481" s="351"/>
    </row>
    <row r="482" spans="1:40">
      <c r="A482" s="139">
        <v>30</v>
      </c>
      <c r="B482" s="139">
        <f>IFERROR(IF((INDEX(Työkonekanta!$F$3:$F$27,MATCH('S3 Tiekartta'!$A482,Työkonekanta!$A$3:$A$24,0),1))&lt;0,0,(INDEX(Työkonekanta!$F$3:$F$27,MATCH('S3 Tiekartta'!$A482,Työkonekanta!$A$3:$A$24,0),1))),0)</f>
        <v>0</v>
      </c>
      <c r="C482" s="140">
        <v>2034</v>
      </c>
      <c r="D482" s="141" t="str">
        <f>IFERROR(INDEX(Työkonekanta!$D$3:$D$27,MATCH('S3 Tiekartta'!$A482,Työkonekanta!$A$3:$A$24,0),1),"undefined")</f>
        <v>undefined</v>
      </c>
      <c r="E482" s="145">
        <f>IFERROR(INDEX(Työkonekanta!$G$3:$G$27,MATCH($A482,Työkonekanta!$A$3:$A$24,0),1)*INDEX(Työkonekanta!$H$3:$H$27,MATCH($A482,Työkonekanta!$A$3:$A$24,0),1)*(1+s0b_kasvu*($C482-2019))*$B482,0)</f>
        <v>0</v>
      </c>
      <c r="F482" s="145">
        <f t="shared" si="176"/>
        <v>0</v>
      </c>
      <c r="G482" s="151">
        <f t="shared" si="185"/>
        <v>0</v>
      </c>
      <c r="H482" s="145">
        <f t="shared" si="186"/>
        <v>0</v>
      </c>
      <c r="I482" s="145">
        <f t="shared" si="177"/>
        <v>0</v>
      </c>
      <c r="J482" s="145">
        <f t="shared" si="178"/>
        <v>0</v>
      </c>
      <c r="K482" s="142" t="str">
        <f t="shared" si="187"/>
        <v>undefined</v>
      </c>
      <c r="L482" s="146">
        <f>IFERROR(INDEX(Työkonekanta!$I$3:$I$27,MATCH('S3 Tiekartta'!$A482,Työkonekanta!$A$3:$A$24,0),1)*(I482+J482)*f_adblue,0)</f>
        <v>0</v>
      </c>
      <c r="M482" s="146">
        <f t="shared" si="196"/>
        <v>0</v>
      </c>
      <c r="N482" s="143" t="str">
        <f>IF(tuulisähkö_vuosi&lt;='S3 Tiekartta'!C482,"tuulisähkö",ostosähkö_nyt)</f>
        <v>jäännössähkö</v>
      </c>
      <c r="O482" s="147">
        <f>INDEX(Muuttujat!$J$5:$J$21,MATCH($C482,Muuttujat!$H$5:$H$21,0),1)</f>
        <v>59.556652007924122</v>
      </c>
      <c r="P482" s="148">
        <f t="shared" si="188"/>
        <v>0.30982346180793852</v>
      </c>
      <c r="Q482" s="148">
        <f t="shared" si="189"/>
        <v>0.69017653819206148</v>
      </c>
      <c r="R482" s="148">
        <f t="shared" si="190"/>
        <v>0.69017653819206148</v>
      </c>
      <c r="S482" s="149">
        <f t="shared" si="179"/>
        <v>0</v>
      </c>
      <c r="T482" s="150">
        <f t="shared" si="180"/>
        <v>0</v>
      </c>
      <c r="U482" s="150">
        <f t="shared" si="181"/>
        <v>0</v>
      </c>
      <c r="V482" s="150">
        <f>IFERROR(INDEX(Työkonekanta!$J$3:$J$27,MATCH($A482,Työkonekanta!$A$3:$A$24,0),1)*$B482*ef_li_ion_akku/1000/1000/INDEX(Työkonekanta!$K$3:$K$27,MATCH($A482,Työkonekanta!$A$3:$A$24,0)),0)</f>
        <v>0</v>
      </c>
      <c r="W482" s="149">
        <f t="shared" si="197"/>
        <v>0</v>
      </c>
      <c r="X482" s="150">
        <f t="shared" si="198"/>
        <v>0</v>
      </c>
      <c r="Y482" s="151">
        <f t="shared" si="199"/>
        <v>0</v>
      </c>
      <c r="Z482" s="152">
        <f t="shared" si="191"/>
        <v>0</v>
      </c>
      <c r="AA482" s="179">
        <f t="shared" si="192"/>
        <v>0</v>
      </c>
      <c r="AB482" s="179">
        <f t="shared" si="193"/>
        <v>0</v>
      </c>
      <c r="AC482" s="180">
        <f t="shared" si="200"/>
        <v>0</v>
      </c>
      <c r="AD482" s="156">
        <f t="shared" si="194"/>
        <v>0</v>
      </c>
      <c r="AE482" s="146">
        <f>IFERROR(INDEX(Työkonekanta!$L$3:$L$30,MATCH($A482,Työkonekanta!$A$3:$A$30,0),1),0)*AF482</f>
        <v>0</v>
      </c>
      <c r="AF482" s="146">
        <f>IFERROR(INDEX(Työkonekanta!$N$3:$N$32,MATCH($A482,Työkonekanta!$A$3:$A$32,0),1),0)</f>
        <v>0</v>
      </c>
      <c r="AG482" s="332">
        <f>I482*INDEX(Muuttujat!$U$5:$U$21,MATCH($C482,Muuttujat!$N$5:$N$21,0),1)</f>
        <v>0</v>
      </c>
      <c r="AH482" s="332">
        <f>J482*INDEX(Muuttujat!$T$5:$T$21,MATCH($C482,Muuttujat!$N$5:$N$21,0),1)</f>
        <v>0</v>
      </c>
      <c r="AI482" s="332">
        <f t="shared" si="182"/>
        <v>0</v>
      </c>
      <c r="AJ482" s="332">
        <f t="shared" si="183"/>
        <v>0</v>
      </c>
      <c r="AK482" s="333">
        <f t="shared" si="195"/>
        <v>0</v>
      </c>
      <c r="AL482" s="332">
        <f t="shared" si="184"/>
        <v>0</v>
      </c>
      <c r="AM482" s="351"/>
      <c r="AN482" s="351"/>
    </row>
    <row r="483" spans="1:40">
      <c r="A483" s="139">
        <v>1</v>
      </c>
      <c r="B483" s="139">
        <f>IFERROR(IF((INDEX(Työkonekanta!$F$3:$F$27,MATCH('S3 Tiekartta'!$A483,Työkonekanta!$A$3:$A$24,0),1))&lt;0,0,(INDEX(Työkonekanta!$F$3:$F$27,MATCH('S3 Tiekartta'!$A483,Työkonekanta!$A$3:$A$24,0),1))),0)</f>
        <v>1</v>
      </c>
      <c r="C483" s="140">
        <v>2035</v>
      </c>
      <c r="D483" s="141" t="str">
        <f>IFERROR(INDEX(Työkonekanta!$D$3:$D$27,MATCH('S3 Tiekartta'!$A483,Työkonekanta!$A$3:$A$24,0),1),"undefined")</f>
        <v>pom</v>
      </c>
      <c r="E483" s="145">
        <f>IFERROR(INDEX(Työkonekanta!$G$3:$G$27,MATCH($A483,Työkonekanta!$A$3:$A$24,0),1)*INDEX(Työkonekanta!$H$3:$H$27,MATCH($A483,Työkonekanta!$A$3:$A$24,0),1)*(1+s0b_kasvu*($C483-2019))*$B483,0)</f>
        <v>11600</v>
      </c>
      <c r="F483" s="145">
        <f t="shared" si="176"/>
        <v>416440</v>
      </c>
      <c r="G483" s="151">
        <f t="shared" si="185"/>
        <v>45671.918341534292</v>
      </c>
      <c r="H483" s="145">
        <f t="shared" si="186"/>
        <v>370768.08165846573</v>
      </c>
      <c r="I483" s="145">
        <f t="shared" si="177"/>
        <v>1272.1982824939914</v>
      </c>
      <c r="J483" s="145">
        <f t="shared" si="178"/>
        <v>10809.56506292903</v>
      </c>
      <c r="K483" s="142" t="str">
        <f t="shared" si="187"/>
        <v>l</v>
      </c>
      <c r="L483" s="146">
        <f>IFERROR(INDEX(Työkonekanta!$I$3:$I$27,MATCH('S3 Tiekartta'!$A483,Työkonekanta!$A$3:$A$24,0),1)*(I483+J483)*f_adblue,0)</f>
        <v>604.08816727115106</v>
      </c>
      <c r="M483" s="146">
        <f t="shared" si="196"/>
        <v>0</v>
      </c>
      <c r="N483" s="143" t="str">
        <f>IF(tuulisähkö_vuosi&lt;='S3 Tiekartta'!C483,"tuulisähkö",ostosähkö_nyt)</f>
        <v>jäännössähkö</v>
      </c>
      <c r="O483" s="147">
        <f>INDEX(Muuttujat!$J$5:$J$21,MATCH($C483,Muuttujat!$H$5:$H$21,0),1)</f>
        <v>58.961085487844883</v>
      </c>
      <c r="P483" s="148">
        <f t="shared" si="188"/>
        <v>0.10967226573224065</v>
      </c>
      <c r="Q483" s="148">
        <f t="shared" si="189"/>
        <v>0.89032773426775935</v>
      </c>
      <c r="R483" s="148">
        <f t="shared" si="190"/>
        <v>0.89032773426775935</v>
      </c>
      <c r="S483" s="149">
        <f t="shared" si="179"/>
        <v>0.86319925665499808</v>
      </c>
      <c r="T483" s="150">
        <f t="shared" si="180"/>
        <v>23.135928295488263</v>
      </c>
      <c r="U483" s="150">
        <f t="shared" si="181"/>
        <v>0</v>
      </c>
      <c r="V483" s="150">
        <f>IFERROR(INDEX(Työkonekanta!$J$3:$J$27,MATCH($A483,Työkonekanta!$A$3:$A$24,0),1)*$B483*ef_li_ion_akku/1000/1000/INDEX(Työkonekanta!$K$3:$K$27,MATCH($A483,Työkonekanta!$A$3:$A$24,0)),0)</f>
        <v>0</v>
      </c>
      <c r="W483" s="149">
        <f t="shared" si="197"/>
        <v>3.3709645623412046</v>
      </c>
      <c r="X483" s="150">
        <f t="shared" si="198"/>
        <v>0.36858496559999998</v>
      </c>
      <c r="Y483" s="151">
        <f t="shared" si="199"/>
        <v>0.15706292349049925</v>
      </c>
      <c r="Z483" s="152">
        <f t="shared" si="191"/>
        <v>23.999127552143261</v>
      </c>
      <c r="AA483" s="179">
        <f t="shared" si="192"/>
        <v>3.528027485831704</v>
      </c>
      <c r="AB483" s="179">
        <f t="shared" si="193"/>
        <v>3.8966124514317042</v>
      </c>
      <c r="AC483" s="180">
        <f t="shared" si="200"/>
        <v>27.527155037974964</v>
      </c>
      <c r="AD483" s="156">
        <f t="shared" si="194"/>
        <v>27.895740003574964</v>
      </c>
      <c r="AE483" s="146">
        <f>IFERROR(INDEX(Työkonekanta!$L$3:$L$30,MATCH($A483,Työkonekanta!$A$3:$A$30,0),1),0)*AF483</f>
        <v>500000</v>
      </c>
      <c r="AF483" s="146">
        <f>IFERROR(INDEX(Työkonekanta!$N$3:$N$32,MATCH($A483,Työkonekanta!$A$3:$A$32,0),1),0)</f>
        <v>1</v>
      </c>
      <c r="AG483" s="332">
        <f>I483*INDEX(Muuttujat!$U$5:$U$21,MATCH($C483,Muuttujat!$N$5:$N$21,0),1)</f>
        <v>1335.808196618691</v>
      </c>
      <c r="AH483" s="332">
        <f>J483*INDEX(Muuttujat!$T$5:$T$21,MATCH($C483,Muuttujat!$N$5:$N$21,0),1)</f>
        <v>15673.869341247097</v>
      </c>
      <c r="AI483" s="332">
        <f t="shared" si="182"/>
        <v>302.04408363557553</v>
      </c>
      <c r="AJ483" s="332">
        <f t="shared" si="183"/>
        <v>0</v>
      </c>
      <c r="AK483" s="333">
        <f t="shared" si="195"/>
        <v>17311.721621501361</v>
      </c>
      <c r="AL483" s="332">
        <f t="shared" si="184"/>
        <v>17311.721621501361</v>
      </c>
      <c r="AM483" s="351"/>
      <c r="AN483" s="351"/>
    </row>
    <row r="484" spans="1:40">
      <c r="A484" s="139">
        <v>2</v>
      </c>
      <c r="B484" s="139">
        <f>IFERROR(IF((INDEX(Työkonekanta!$F$3:$F$27,MATCH('S3 Tiekartta'!$A484,Työkonekanta!$A$3:$A$24,0),1))&lt;0,0,(INDEX(Työkonekanta!$F$3:$F$27,MATCH('S3 Tiekartta'!$A484,Työkonekanta!$A$3:$A$24,0),1))),0)</f>
        <v>1</v>
      </c>
      <c r="C484" s="140">
        <v>2035</v>
      </c>
      <c r="D484" s="141" t="str">
        <f>IFERROR(INDEX(Työkonekanta!$D$3:$D$27,MATCH('S3 Tiekartta'!$A484,Työkonekanta!$A$3:$A$24,0),1),"undefined")</f>
        <v>pom</v>
      </c>
      <c r="E484" s="145">
        <f>IFERROR(INDEX(Työkonekanta!$G$3:$G$27,MATCH($A484,Työkonekanta!$A$3:$A$24,0),1)*INDEX(Työkonekanta!$H$3:$H$27,MATCH($A484,Työkonekanta!$A$3:$A$24,0),1)*(1+s0b_kasvu*($C484-2019))*$B484,0)</f>
        <v>11600</v>
      </c>
      <c r="F484" s="145">
        <f t="shared" si="176"/>
        <v>416440</v>
      </c>
      <c r="G484" s="151">
        <f t="shared" si="185"/>
        <v>45671.918341534292</v>
      </c>
      <c r="H484" s="145">
        <f t="shared" si="186"/>
        <v>370768.08165846573</v>
      </c>
      <c r="I484" s="145">
        <f t="shared" si="177"/>
        <v>1272.1982824939914</v>
      </c>
      <c r="J484" s="145">
        <f t="shared" si="178"/>
        <v>10809.56506292903</v>
      </c>
      <c r="K484" s="142" t="str">
        <f t="shared" si="187"/>
        <v>l</v>
      </c>
      <c r="L484" s="146">
        <f>IFERROR(INDEX(Työkonekanta!$I$3:$I$27,MATCH('S3 Tiekartta'!$A484,Työkonekanta!$A$3:$A$24,0),1)*(I484+J484)*f_adblue,0)</f>
        <v>604.08816727115106</v>
      </c>
      <c r="M484" s="146">
        <f t="shared" si="196"/>
        <v>0</v>
      </c>
      <c r="N484" s="143" t="str">
        <f>IF(tuulisähkö_vuosi&lt;='S3 Tiekartta'!C484,"tuulisähkö",ostosähkö_nyt)</f>
        <v>jäännössähkö</v>
      </c>
      <c r="O484" s="147">
        <f>INDEX(Muuttujat!$J$5:$J$21,MATCH($C484,Muuttujat!$H$5:$H$21,0),1)</f>
        <v>58.961085487844883</v>
      </c>
      <c r="P484" s="148">
        <f t="shared" si="188"/>
        <v>0.10967226573224065</v>
      </c>
      <c r="Q484" s="148">
        <f t="shared" ref="Q484:Q512" si="201">INDEX($AP$4:$AP$20,MATCH($C484,$AO$4:$AO$20,0),1)</f>
        <v>0.89032773426775935</v>
      </c>
      <c r="R484" s="148">
        <f t="shared" si="190"/>
        <v>0.89032773426775935</v>
      </c>
      <c r="S484" s="149">
        <f t="shared" si="179"/>
        <v>0.86319925665499808</v>
      </c>
      <c r="T484" s="150">
        <f t="shared" si="180"/>
        <v>23.135928295488263</v>
      </c>
      <c r="U484" s="150">
        <f t="shared" si="181"/>
        <v>0</v>
      </c>
      <c r="V484" s="150">
        <f>IFERROR(INDEX(Työkonekanta!$J$3:$J$27,MATCH($A484,Työkonekanta!$A$3:$A$24,0),1)*$B484*ef_li_ion_akku/1000/1000/INDEX(Työkonekanta!$K$3:$K$27,MATCH($A484,Työkonekanta!$A$3:$A$24,0)),0)</f>
        <v>0</v>
      </c>
      <c r="W484" s="149">
        <f t="shared" si="197"/>
        <v>3.3709645623412046</v>
      </c>
      <c r="X484" s="150">
        <f t="shared" si="198"/>
        <v>0.36858496559999998</v>
      </c>
      <c r="Y484" s="151">
        <f t="shared" si="199"/>
        <v>0.15706292349049925</v>
      </c>
      <c r="Z484" s="152">
        <f t="shared" si="191"/>
        <v>23.999127552143261</v>
      </c>
      <c r="AA484" s="179">
        <f t="shared" si="192"/>
        <v>3.528027485831704</v>
      </c>
      <c r="AB484" s="179">
        <f t="shared" si="193"/>
        <v>3.8966124514317042</v>
      </c>
      <c r="AC484" s="180">
        <f t="shared" si="200"/>
        <v>27.527155037974964</v>
      </c>
      <c r="AD484" s="156">
        <f t="shared" si="194"/>
        <v>27.895740003574964</v>
      </c>
      <c r="AE484" s="146">
        <f>IFERROR(INDEX(Työkonekanta!$L$3:$L$30,MATCH($A484,Työkonekanta!$A$3:$A$30,0),1),0)*AF484</f>
        <v>500000</v>
      </c>
      <c r="AF484" s="146">
        <f>IFERROR(INDEX(Työkonekanta!$N$3:$N$32,MATCH($A484,Työkonekanta!$A$3:$A$32,0),1),0)</f>
        <v>1</v>
      </c>
      <c r="AG484" s="332">
        <f>I484*INDEX(Muuttujat!$U$5:$U$21,MATCH($C484,Muuttujat!$N$5:$N$21,0),1)</f>
        <v>1335.808196618691</v>
      </c>
      <c r="AH484" s="332">
        <f>J484*INDEX(Muuttujat!$T$5:$T$21,MATCH($C484,Muuttujat!$N$5:$N$21,0),1)</f>
        <v>15673.869341247097</v>
      </c>
      <c r="AI484" s="332">
        <f t="shared" si="182"/>
        <v>302.04408363557553</v>
      </c>
      <c r="AJ484" s="332">
        <f t="shared" si="183"/>
        <v>0</v>
      </c>
      <c r="AK484" s="333">
        <f t="shared" si="195"/>
        <v>17311.721621501361</v>
      </c>
      <c r="AL484" s="332">
        <f t="shared" si="184"/>
        <v>17311.721621501361</v>
      </c>
      <c r="AM484" s="351"/>
      <c r="AN484" s="351"/>
    </row>
    <row r="485" spans="1:40">
      <c r="A485" s="139">
        <v>3</v>
      </c>
      <c r="B485" s="139">
        <f>IFERROR(IF((INDEX(Työkonekanta!$F$3:$F$27,MATCH('S3 Tiekartta'!$A485,Työkonekanta!$A$3:$A$24,0),1))&lt;0,0,(INDEX(Työkonekanta!$F$3:$F$27,MATCH('S3 Tiekartta'!$A485,Työkonekanta!$A$3:$A$24,0),1))),0)</f>
        <v>1</v>
      </c>
      <c r="C485" s="140">
        <v>2035</v>
      </c>
      <c r="D485" s="141" t="str">
        <f>IFERROR(INDEX(Työkonekanta!$D$3:$D$27,MATCH('S3 Tiekartta'!$A485,Työkonekanta!$A$3:$A$24,0),1),"undefined")</f>
        <v>pom</v>
      </c>
      <c r="E485" s="145">
        <f>IFERROR(INDEX(Työkonekanta!$G$3:$G$27,MATCH($A485,Työkonekanta!$A$3:$A$24,0),1)*INDEX(Työkonekanta!$H$3:$H$27,MATCH($A485,Työkonekanta!$A$3:$A$24,0),1)*(1+s0b_kasvu*($C485-2019))*$B485,0)</f>
        <v>11600</v>
      </c>
      <c r="F485" s="145">
        <f t="shared" si="176"/>
        <v>416440</v>
      </c>
      <c r="G485" s="151">
        <f t="shared" si="185"/>
        <v>45671.918341534292</v>
      </c>
      <c r="H485" s="145">
        <f t="shared" si="186"/>
        <v>370768.08165846573</v>
      </c>
      <c r="I485" s="145">
        <f t="shared" si="177"/>
        <v>1272.1982824939914</v>
      </c>
      <c r="J485" s="145">
        <f t="shared" si="178"/>
        <v>10809.56506292903</v>
      </c>
      <c r="K485" s="142" t="str">
        <f t="shared" si="187"/>
        <v>l</v>
      </c>
      <c r="L485" s="146">
        <f>IFERROR(INDEX(Työkonekanta!$I$3:$I$27,MATCH('S3 Tiekartta'!$A485,Työkonekanta!$A$3:$A$24,0),1)*(I485+J485)*f_adblue,0)</f>
        <v>604.08816727115106</v>
      </c>
      <c r="M485" s="146">
        <f t="shared" si="196"/>
        <v>0</v>
      </c>
      <c r="N485" s="143" t="str">
        <f>IF(tuulisähkö_vuosi&lt;='S3 Tiekartta'!C485,"tuulisähkö",ostosähkö_nyt)</f>
        <v>jäännössähkö</v>
      </c>
      <c r="O485" s="147">
        <f>INDEX(Muuttujat!$J$5:$J$21,MATCH($C485,Muuttujat!$H$5:$H$21,0),1)</f>
        <v>58.961085487844883</v>
      </c>
      <c r="P485" s="148">
        <f t="shared" si="188"/>
        <v>0.10967226573224065</v>
      </c>
      <c r="Q485" s="148">
        <f t="shared" si="201"/>
        <v>0.89032773426775935</v>
      </c>
      <c r="R485" s="148">
        <f t="shared" si="190"/>
        <v>0.89032773426775935</v>
      </c>
      <c r="S485" s="149">
        <f t="shared" si="179"/>
        <v>0.86319925665499808</v>
      </c>
      <c r="T485" s="150">
        <f t="shared" si="180"/>
        <v>23.135928295488263</v>
      </c>
      <c r="U485" s="150">
        <f t="shared" si="181"/>
        <v>0</v>
      </c>
      <c r="V485" s="150">
        <f>IFERROR(INDEX(Työkonekanta!$J$3:$J$27,MATCH($A485,Työkonekanta!$A$3:$A$24,0),1)*$B485*ef_li_ion_akku/1000/1000/INDEX(Työkonekanta!$K$3:$K$27,MATCH($A485,Työkonekanta!$A$3:$A$24,0)),0)</f>
        <v>0</v>
      </c>
      <c r="W485" s="149">
        <f t="shared" si="197"/>
        <v>3.3709645623412046</v>
      </c>
      <c r="X485" s="150">
        <f t="shared" si="198"/>
        <v>0.36858496559999998</v>
      </c>
      <c r="Y485" s="151">
        <f t="shared" si="199"/>
        <v>0.15706292349049925</v>
      </c>
      <c r="Z485" s="152">
        <f t="shared" si="191"/>
        <v>23.999127552143261</v>
      </c>
      <c r="AA485" s="179">
        <f t="shared" si="192"/>
        <v>3.528027485831704</v>
      </c>
      <c r="AB485" s="179">
        <f t="shared" si="193"/>
        <v>3.8966124514317042</v>
      </c>
      <c r="AC485" s="180">
        <f t="shared" si="200"/>
        <v>27.527155037974964</v>
      </c>
      <c r="AD485" s="156">
        <f t="shared" si="194"/>
        <v>27.895740003574964</v>
      </c>
      <c r="AE485" s="146">
        <f>IFERROR(INDEX(Työkonekanta!$L$3:$L$30,MATCH($A485,Työkonekanta!$A$3:$A$30,0),1),0)*AF485</f>
        <v>0</v>
      </c>
      <c r="AF485" s="146">
        <f>IFERROR(INDEX(Työkonekanta!$N$3:$N$32,MATCH($A485,Työkonekanta!$A$3:$A$32,0),1),0)</f>
        <v>0</v>
      </c>
      <c r="AG485" s="332">
        <f>I485*INDEX(Muuttujat!$U$5:$U$21,MATCH($C485,Muuttujat!$N$5:$N$21,0),1)</f>
        <v>1335.808196618691</v>
      </c>
      <c r="AH485" s="332">
        <f>J485*INDEX(Muuttujat!$T$5:$T$21,MATCH($C485,Muuttujat!$N$5:$N$21,0),1)</f>
        <v>15673.869341247097</v>
      </c>
      <c r="AI485" s="332">
        <f t="shared" si="182"/>
        <v>302.04408363557553</v>
      </c>
      <c r="AJ485" s="332">
        <f t="shared" si="183"/>
        <v>0</v>
      </c>
      <c r="AK485" s="333">
        <f t="shared" si="195"/>
        <v>17311.721621501361</v>
      </c>
      <c r="AL485" s="332">
        <f t="shared" si="184"/>
        <v>17311.721621501361</v>
      </c>
      <c r="AM485" s="351"/>
      <c r="AN485" s="351"/>
    </row>
    <row r="486" spans="1:40">
      <c r="A486" s="139">
        <v>4</v>
      </c>
      <c r="B486" s="139">
        <f>IFERROR(IF((INDEX(Työkonekanta!$F$3:$F$27,MATCH('S3 Tiekartta'!$A486,Työkonekanta!$A$3:$A$24,0),1))&lt;0,0,(INDEX(Työkonekanta!$F$3:$F$27,MATCH('S3 Tiekartta'!$A486,Työkonekanta!$A$3:$A$24,0),1))),0)</f>
        <v>1</v>
      </c>
      <c r="C486" s="140">
        <v>2035</v>
      </c>
      <c r="D486" s="141" t="str">
        <f>IFERROR(INDEX(Työkonekanta!$D$3:$D$27,MATCH('S3 Tiekartta'!$A486,Työkonekanta!$A$3:$A$24,0),1),"undefined")</f>
        <v>pom</v>
      </c>
      <c r="E486" s="145">
        <f>IFERROR(INDEX(Työkonekanta!$G$3:$G$27,MATCH($A486,Työkonekanta!$A$3:$A$24,0),1)*INDEX(Työkonekanta!$H$3:$H$27,MATCH($A486,Työkonekanta!$A$3:$A$24,0),1)*(1+s0b_kasvu*($C486-2019))*$B486,0)</f>
        <v>11600</v>
      </c>
      <c r="F486" s="145">
        <f t="shared" si="176"/>
        <v>416440</v>
      </c>
      <c r="G486" s="151">
        <f t="shared" si="185"/>
        <v>45671.918341534292</v>
      </c>
      <c r="H486" s="145">
        <f t="shared" si="186"/>
        <v>370768.08165846573</v>
      </c>
      <c r="I486" s="145">
        <f t="shared" si="177"/>
        <v>1272.1982824939914</v>
      </c>
      <c r="J486" s="145">
        <f t="shared" si="178"/>
        <v>10809.56506292903</v>
      </c>
      <c r="K486" s="142" t="str">
        <f t="shared" si="187"/>
        <v>l</v>
      </c>
      <c r="L486" s="146">
        <f>IFERROR(INDEX(Työkonekanta!$I$3:$I$27,MATCH('S3 Tiekartta'!$A486,Työkonekanta!$A$3:$A$24,0),1)*(I486+J486)*f_adblue,0)</f>
        <v>604.08816727115106</v>
      </c>
      <c r="M486" s="146">
        <f t="shared" si="196"/>
        <v>0</v>
      </c>
      <c r="N486" s="143" t="str">
        <f>IF(tuulisähkö_vuosi&lt;='S3 Tiekartta'!C486,"tuulisähkö",ostosähkö_nyt)</f>
        <v>jäännössähkö</v>
      </c>
      <c r="O486" s="147">
        <f>INDEX(Muuttujat!$J$5:$J$21,MATCH($C486,Muuttujat!$H$5:$H$21,0),1)</f>
        <v>58.961085487844883</v>
      </c>
      <c r="P486" s="148">
        <f t="shared" si="188"/>
        <v>0.10967226573224065</v>
      </c>
      <c r="Q486" s="148">
        <f t="shared" si="201"/>
        <v>0.89032773426775935</v>
      </c>
      <c r="R486" s="148">
        <f t="shared" si="190"/>
        <v>0.89032773426775935</v>
      </c>
      <c r="S486" s="149">
        <f t="shared" si="179"/>
        <v>0.86319925665499808</v>
      </c>
      <c r="T486" s="150">
        <f t="shared" si="180"/>
        <v>23.135928295488263</v>
      </c>
      <c r="U486" s="150">
        <f t="shared" si="181"/>
        <v>0</v>
      </c>
      <c r="V486" s="150">
        <f>IFERROR(INDEX(Työkonekanta!$J$3:$J$27,MATCH($A486,Työkonekanta!$A$3:$A$24,0),1)*$B486*ef_li_ion_akku/1000/1000/INDEX(Työkonekanta!$K$3:$K$27,MATCH($A486,Työkonekanta!$A$3:$A$24,0)),0)</f>
        <v>0</v>
      </c>
      <c r="W486" s="149">
        <f t="shared" si="197"/>
        <v>3.3709645623412046</v>
      </c>
      <c r="X486" s="150">
        <f t="shared" si="198"/>
        <v>0.36858496559999998</v>
      </c>
      <c r="Y486" s="151">
        <f t="shared" si="199"/>
        <v>0.15706292349049925</v>
      </c>
      <c r="Z486" s="152">
        <f t="shared" si="191"/>
        <v>23.999127552143261</v>
      </c>
      <c r="AA486" s="179">
        <f t="shared" si="192"/>
        <v>3.528027485831704</v>
      </c>
      <c r="AB486" s="179">
        <f t="shared" si="193"/>
        <v>3.8966124514317042</v>
      </c>
      <c r="AC486" s="180">
        <f t="shared" si="200"/>
        <v>27.527155037974964</v>
      </c>
      <c r="AD486" s="156">
        <f t="shared" si="194"/>
        <v>27.895740003574964</v>
      </c>
      <c r="AE486" s="146">
        <f>IFERROR(INDEX(Työkonekanta!$L$3:$L$30,MATCH($A486,Työkonekanta!$A$3:$A$30,0),1),0)*AF486</f>
        <v>0</v>
      </c>
      <c r="AF486" s="146">
        <f>IFERROR(INDEX(Työkonekanta!$N$3:$N$32,MATCH($A486,Työkonekanta!$A$3:$A$32,0),1),0)</f>
        <v>0</v>
      </c>
      <c r="AG486" s="332">
        <f>I486*INDEX(Muuttujat!$U$5:$U$21,MATCH($C486,Muuttujat!$N$5:$N$21,0),1)</f>
        <v>1335.808196618691</v>
      </c>
      <c r="AH486" s="332">
        <f>J486*INDEX(Muuttujat!$T$5:$T$21,MATCH($C486,Muuttujat!$N$5:$N$21,0),1)</f>
        <v>15673.869341247097</v>
      </c>
      <c r="AI486" s="332">
        <f t="shared" si="182"/>
        <v>302.04408363557553</v>
      </c>
      <c r="AJ486" s="332">
        <f t="shared" si="183"/>
        <v>0</v>
      </c>
      <c r="AK486" s="333">
        <f t="shared" si="195"/>
        <v>17311.721621501361</v>
      </c>
      <c r="AL486" s="332">
        <f t="shared" si="184"/>
        <v>17311.721621501361</v>
      </c>
      <c r="AM486" s="351"/>
      <c r="AN486" s="351"/>
    </row>
    <row r="487" spans="1:40">
      <c r="A487" s="139">
        <v>5</v>
      </c>
      <c r="B487" s="139">
        <f>IFERROR(IF((INDEX(Työkonekanta!$F$3:$F$27,MATCH('S3 Tiekartta'!$A487,Työkonekanta!$A$3:$A$24,0),1))&lt;0,0,(INDEX(Työkonekanta!$F$3:$F$27,MATCH('S3 Tiekartta'!$A487,Työkonekanta!$A$3:$A$24,0),1))),0)</f>
        <v>0</v>
      </c>
      <c r="C487" s="140">
        <v>2035</v>
      </c>
      <c r="D487" s="141" t="str">
        <f>IFERROR(INDEX(Työkonekanta!$D$3:$D$27,MATCH('S3 Tiekartta'!$A487,Työkonekanta!$A$3:$A$24,0),1),"undefined")</f>
        <v>sähkö</v>
      </c>
      <c r="E487" s="145">
        <f>IFERROR(INDEX(Työkonekanta!$G$3:$G$27,MATCH($A487,Työkonekanta!$A$3:$A$24,0),1)*INDEX(Työkonekanta!$H$3:$H$27,MATCH($A487,Työkonekanta!$A$3:$A$24,0),1)*(1+s0b_kasvu*($C487-2019))*$B487,0)</f>
        <v>0</v>
      </c>
      <c r="F487" s="145">
        <f t="shared" si="176"/>
        <v>0</v>
      </c>
      <c r="G487" s="151">
        <f t="shared" si="185"/>
        <v>0</v>
      </c>
      <c r="H487" s="145">
        <f t="shared" si="186"/>
        <v>0</v>
      </c>
      <c r="I487" s="145">
        <f t="shared" si="177"/>
        <v>0</v>
      </c>
      <c r="J487" s="145">
        <f t="shared" si="178"/>
        <v>0</v>
      </c>
      <c r="K487" s="142" t="str">
        <f t="shared" si="187"/>
        <v>kWh</v>
      </c>
      <c r="L487" s="146">
        <f>IFERROR(INDEX(Työkonekanta!$I$3:$I$27,MATCH('S3 Tiekartta'!$A487,Työkonekanta!$A$3:$A$24,0),1)*(I487+J487)*f_adblue,0)</f>
        <v>0</v>
      </c>
      <c r="M487" s="146">
        <f t="shared" si="196"/>
        <v>0</v>
      </c>
      <c r="N487" s="143" t="str">
        <f>IF(tuulisähkö_vuosi&lt;='S3 Tiekartta'!C487,"tuulisähkö",ostosähkö_nyt)</f>
        <v>jäännössähkö</v>
      </c>
      <c r="O487" s="147">
        <f>INDEX(Muuttujat!$J$5:$J$21,MATCH($C487,Muuttujat!$H$5:$H$21,0),1)</f>
        <v>58.961085487844883</v>
      </c>
      <c r="P487" s="148">
        <f t="shared" si="188"/>
        <v>0.10967226573224065</v>
      </c>
      <c r="Q487" s="148">
        <f t="shared" si="201"/>
        <v>0.89032773426775935</v>
      </c>
      <c r="R487" s="148">
        <f t="shared" si="190"/>
        <v>0.89032773426775935</v>
      </c>
      <c r="S487" s="149">
        <f t="shared" si="179"/>
        <v>0</v>
      </c>
      <c r="T487" s="150">
        <f t="shared" si="180"/>
        <v>0</v>
      </c>
      <c r="U487" s="150">
        <f t="shared" si="181"/>
        <v>0</v>
      </c>
      <c r="V487" s="150">
        <f>IFERROR(INDEX(Työkonekanta!$J$3:$J$27,MATCH($A487,Työkonekanta!$A$3:$A$24,0),1)*$B487*ef_li_ion_akku/1000/1000/INDEX(Työkonekanta!$K$3:$K$27,MATCH($A487,Työkonekanta!$A$3:$A$24,0)),0)</f>
        <v>0</v>
      </c>
      <c r="W487" s="149">
        <f t="shared" si="197"/>
        <v>0</v>
      </c>
      <c r="X487" s="150">
        <f t="shared" si="198"/>
        <v>0</v>
      </c>
      <c r="Y487" s="151">
        <f t="shared" si="199"/>
        <v>0</v>
      </c>
      <c r="Z487" s="152">
        <f t="shared" si="191"/>
        <v>0</v>
      </c>
      <c r="AA487" s="179">
        <f t="shared" si="192"/>
        <v>0</v>
      </c>
      <c r="AB487" s="179">
        <f t="shared" si="193"/>
        <v>0</v>
      </c>
      <c r="AC487" s="180">
        <f t="shared" si="200"/>
        <v>0</v>
      </c>
      <c r="AD487" s="156">
        <f t="shared" si="194"/>
        <v>0</v>
      </c>
      <c r="AE487" s="146">
        <f>IFERROR(INDEX(Työkonekanta!$L$3:$L$30,MATCH($A487,Työkonekanta!$A$3:$A$30,0),1),0)*AF487</f>
        <v>0</v>
      </c>
      <c r="AF487" s="146">
        <f>IFERROR(INDEX(Työkonekanta!$N$3:$N$32,MATCH($A487,Työkonekanta!$A$3:$A$32,0),1),0)</f>
        <v>0</v>
      </c>
      <c r="AG487" s="332">
        <f>I487*INDEX(Muuttujat!$U$5:$U$21,MATCH($C487,Muuttujat!$N$5:$N$21,0),1)</f>
        <v>0</v>
      </c>
      <c r="AH487" s="332">
        <f>J487*INDEX(Muuttujat!$T$5:$T$21,MATCH($C487,Muuttujat!$N$5:$N$21,0),1)</f>
        <v>0</v>
      </c>
      <c r="AI487" s="332">
        <f t="shared" si="182"/>
        <v>0</v>
      </c>
      <c r="AJ487" s="332">
        <f t="shared" si="183"/>
        <v>0</v>
      </c>
      <c r="AK487" s="333">
        <f t="shared" si="195"/>
        <v>0</v>
      </c>
      <c r="AL487" s="332">
        <f t="shared" si="184"/>
        <v>0</v>
      </c>
      <c r="AM487" s="351"/>
      <c r="AN487" s="351"/>
    </row>
    <row r="488" spans="1:40">
      <c r="A488" s="139">
        <v>6</v>
      </c>
      <c r="B488" s="139">
        <f>IFERROR(IF((INDEX(Työkonekanta!$F$3:$F$27,MATCH('S3 Tiekartta'!$A488,Työkonekanta!$A$3:$A$24,0),1))&lt;0,0,(INDEX(Työkonekanta!$F$3:$F$27,MATCH('S3 Tiekartta'!$A488,Työkonekanta!$A$3:$A$24,0),1))),0)</f>
        <v>0</v>
      </c>
      <c r="C488" s="140">
        <v>2035</v>
      </c>
      <c r="D488" s="141" t="str">
        <f>IFERROR(INDEX(Työkonekanta!$D$3:$D$27,MATCH('S3 Tiekartta'!$A488,Työkonekanta!$A$3:$A$24,0),1),"undefined")</f>
        <v>sähkö</v>
      </c>
      <c r="E488" s="145">
        <f>IFERROR(INDEX(Työkonekanta!$G$3:$G$27,MATCH($A488,Työkonekanta!$A$3:$A$24,0),1)*INDEX(Työkonekanta!$H$3:$H$27,MATCH($A488,Työkonekanta!$A$3:$A$24,0),1)*(1+s0b_kasvu*($C488-2019))*$B488,0)</f>
        <v>0</v>
      </c>
      <c r="F488" s="145">
        <f t="shared" si="176"/>
        <v>0</v>
      </c>
      <c r="G488" s="151">
        <f t="shared" si="185"/>
        <v>0</v>
      </c>
      <c r="H488" s="145">
        <f t="shared" si="186"/>
        <v>0</v>
      </c>
      <c r="I488" s="145">
        <f t="shared" si="177"/>
        <v>0</v>
      </c>
      <c r="J488" s="145">
        <f t="shared" si="178"/>
        <v>0</v>
      </c>
      <c r="K488" s="142" t="str">
        <f t="shared" si="187"/>
        <v>kWh</v>
      </c>
      <c r="L488" s="146">
        <f>IFERROR(INDEX(Työkonekanta!$I$3:$I$27,MATCH('S3 Tiekartta'!$A488,Työkonekanta!$A$3:$A$24,0),1)*(I488+J488)*f_adblue,0)</f>
        <v>0</v>
      </c>
      <c r="M488" s="146">
        <f t="shared" si="196"/>
        <v>0</v>
      </c>
      <c r="N488" s="143" t="str">
        <f>IF(tuulisähkö_vuosi&lt;='S3 Tiekartta'!C488,"tuulisähkö",ostosähkö_nyt)</f>
        <v>jäännössähkö</v>
      </c>
      <c r="O488" s="147">
        <f>INDEX(Muuttujat!$J$5:$J$21,MATCH($C488,Muuttujat!$H$5:$H$21,0),1)</f>
        <v>58.961085487844883</v>
      </c>
      <c r="P488" s="148">
        <f t="shared" si="188"/>
        <v>0.10967226573224065</v>
      </c>
      <c r="Q488" s="148">
        <f t="shared" si="201"/>
        <v>0.89032773426775935</v>
      </c>
      <c r="R488" s="148">
        <f t="shared" si="190"/>
        <v>0.89032773426775935</v>
      </c>
      <c r="S488" s="149">
        <f t="shared" si="179"/>
        <v>0</v>
      </c>
      <c r="T488" s="150">
        <f t="shared" si="180"/>
        <v>0</v>
      </c>
      <c r="U488" s="150">
        <f t="shared" si="181"/>
        <v>0</v>
      </c>
      <c r="V488" s="150">
        <f>IFERROR(INDEX(Työkonekanta!$J$3:$J$27,MATCH($A488,Työkonekanta!$A$3:$A$24,0),1)*$B488*ef_li_ion_akku/1000/1000/INDEX(Työkonekanta!$K$3:$K$27,MATCH($A488,Työkonekanta!$A$3:$A$24,0)),0)</f>
        <v>0</v>
      </c>
      <c r="W488" s="149">
        <f t="shared" si="197"/>
        <v>0</v>
      </c>
      <c r="X488" s="150">
        <f t="shared" si="198"/>
        <v>0</v>
      </c>
      <c r="Y488" s="151">
        <f t="shared" si="199"/>
        <v>0</v>
      </c>
      <c r="Z488" s="152">
        <f t="shared" si="191"/>
        <v>0</v>
      </c>
      <c r="AA488" s="179">
        <f t="shared" si="192"/>
        <v>0</v>
      </c>
      <c r="AB488" s="179">
        <f t="shared" si="193"/>
        <v>0</v>
      </c>
      <c r="AC488" s="180">
        <f t="shared" si="200"/>
        <v>0</v>
      </c>
      <c r="AD488" s="156">
        <f t="shared" si="194"/>
        <v>0</v>
      </c>
      <c r="AE488" s="146">
        <f>IFERROR(INDEX(Työkonekanta!$L$3:$L$30,MATCH($A488,Työkonekanta!$A$3:$A$30,0),1),0)*AF488</f>
        <v>0</v>
      </c>
      <c r="AF488" s="146">
        <f>IFERROR(INDEX(Työkonekanta!$N$3:$N$32,MATCH($A488,Työkonekanta!$A$3:$A$32,0),1),0)</f>
        <v>0</v>
      </c>
      <c r="AG488" s="332">
        <f>I488*INDEX(Muuttujat!$U$5:$U$21,MATCH($C488,Muuttujat!$N$5:$N$21,0),1)</f>
        <v>0</v>
      </c>
      <c r="AH488" s="332">
        <f>J488*INDEX(Muuttujat!$T$5:$T$21,MATCH($C488,Muuttujat!$N$5:$N$21,0),1)</f>
        <v>0</v>
      </c>
      <c r="AI488" s="332">
        <f t="shared" si="182"/>
        <v>0</v>
      </c>
      <c r="AJ488" s="332">
        <f t="shared" si="183"/>
        <v>0</v>
      </c>
      <c r="AK488" s="333">
        <f t="shared" si="195"/>
        <v>0</v>
      </c>
      <c r="AL488" s="332">
        <f t="shared" si="184"/>
        <v>0</v>
      </c>
      <c r="AM488" s="351"/>
      <c r="AN488" s="351"/>
    </row>
    <row r="489" spans="1:40">
      <c r="A489" s="139">
        <v>7</v>
      </c>
      <c r="B489" s="139">
        <f>IFERROR(IF((INDEX(Työkonekanta!$F$3:$F$27,MATCH('S3 Tiekartta'!$A489,Työkonekanta!$A$3:$A$24,0),1))&lt;0,0,(INDEX(Työkonekanta!$F$3:$F$27,MATCH('S3 Tiekartta'!$A489,Työkonekanta!$A$3:$A$24,0),1))),0)</f>
        <v>1</v>
      </c>
      <c r="C489" s="140">
        <v>2035</v>
      </c>
      <c r="D489" s="141" t="str">
        <f>IFERROR(INDEX(Työkonekanta!$D$3:$D$27,MATCH('S3 Tiekartta'!$A489,Työkonekanta!$A$3:$A$24,0),1),"undefined")</f>
        <v>pom</v>
      </c>
      <c r="E489" s="145">
        <f>IFERROR(INDEX(Työkonekanta!$G$3:$G$27,MATCH($A489,Työkonekanta!$A$3:$A$24,0),1)*INDEX(Työkonekanta!$H$3:$H$27,MATCH($A489,Työkonekanta!$A$3:$A$24,0),1)*(1+s0b_kasvu*($C489-2019))*$B489,0)</f>
        <v>11600</v>
      </c>
      <c r="F489" s="145">
        <f t="shared" si="176"/>
        <v>416440</v>
      </c>
      <c r="G489" s="151">
        <f t="shared" si="185"/>
        <v>45671.918341534292</v>
      </c>
      <c r="H489" s="145">
        <f t="shared" si="186"/>
        <v>370768.08165846573</v>
      </c>
      <c r="I489" s="145">
        <f t="shared" si="177"/>
        <v>1272.1982824939914</v>
      </c>
      <c r="J489" s="145">
        <f t="shared" si="178"/>
        <v>10809.56506292903</v>
      </c>
      <c r="K489" s="142" t="str">
        <f t="shared" si="187"/>
        <v>l</v>
      </c>
      <c r="L489" s="146">
        <f>IFERROR(INDEX(Työkonekanta!$I$3:$I$27,MATCH('S3 Tiekartta'!$A489,Työkonekanta!$A$3:$A$24,0),1)*(I489+J489)*f_adblue,0)</f>
        <v>0</v>
      </c>
      <c r="M489" s="146">
        <f t="shared" si="196"/>
        <v>0</v>
      </c>
      <c r="N489" s="143" t="str">
        <f>IF(tuulisähkö_vuosi&lt;='S3 Tiekartta'!C489,"tuulisähkö",ostosähkö_nyt)</f>
        <v>jäännössähkö</v>
      </c>
      <c r="O489" s="147">
        <f>INDEX(Muuttujat!$J$5:$J$21,MATCH($C489,Muuttujat!$H$5:$H$21,0),1)</f>
        <v>58.961085487844883</v>
      </c>
      <c r="P489" s="148">
        <f t="shared" si="188"/>
        <v>0.10967226573224065</v>
      </c>
      <c r="Q489" s="148">
        <f t="shared" si="201"/>
        <v>0.89032773426775935</v>
      </c>
      <c r="R489" s="148">
        <f t="shared" si="190"/>
        <v>0.89032773426775935</v>
      </c>
      <c r="S489" s="149">
        <f t="shared" si="179"/>
        <v>0.86319925665499808</v>
      </c>
      <c r="T489" s="150">
        <f t="shared" si="180"/>
        <v>23.135928295488263</v>
      </c>
      <c r="U489" s="150">
        <f t="shared" si="181"/>
        <v>0</v>
      </c>
      <c r="V489" s="150">
        <f>IFERROR(INDEX(Työkonekanta!$J$3:$J$27,MATCH($A489,Työkonekanta!$A$3:$A$24,0),1)*$B489*ef_li_ion_akku/1000/1000/INDEX(Työkonekanta!$K$3:$K$27,MATCH($A489,Työkonekanta!$A$3:$A$24,0)),0)</f>
        <v>0</v>
      </c>
      <c r="W489" s="149">
        <f t="shared" si="197"/>
        <v>3.3709645623412046</v>
      </c>
      <c r="X489" s="150">
        <f t="shared" si="198"/>
        <v>0.36858496559999998</v>
      </c>
      <c r="Y489" s="151">
        <f t="shared" si="199"/>
        <v>0</v>
      </c>
      <c r="Z489" s="152">
        <f t="shared" si="191"/>
        <v>23.999127552143261</v>
      </c>
      <c r="AA489" s="179">
        <f t="shared" si="192"/>
        <v>3.3709645623412046</v>
      </c>
      <c r="AB489" s="179">
        <f t="shared" si="193"/>
        <v>3.7395495279412048</v>
      </c>
      <c r="AC489" s="180">
        <f t="shared" si="200"/>
        <v>27.370092114484464</v>
      </c>
      <c r="AD489" s="156">
        <f t="shared" si="194"/>
        <v>27.738677080084464</v>
      </c>
      <c r="AE489" s="146">
        <f>IFERROR(INDEX(Työkonekanta!$L$3:$L$30,MATCH($A489,Työkonekanta!$A$3:$A$30,0),1),0)*AF489</f>
        <v>500000</v>
      </c>
      <c r="AF489" s="146">
        <f>IFERROR(INDEX(Työkonekanta!$N$3:$N$32,MATCH($A489,Työkonekanta!$A$3:$A$32,0),1),0)</f>
        <v>1</v>
      </c>
      <c r="AG489" s="332">
        <f>I489*INDEX(Muuttujat!$U$5:$U$21,MATCH($C489,Muuttujat!$N$5:$N$21,0),1)</f>
        <v>1335.808196618691</v>
      </c>
      <c r="AH489" s="332">
        <f>J489*INDEX(Muuttujat!$T$5:$T$21,MATCH($C489,Muuttujat!$N$5:$N$21,0),1)</f>
        <v>15673.869341247097</v>
      </c>
      <c r="AI489" s="332">
        <f t="shared" si="182"/>
        <v>0</v>
      </c>
      <c r="AJ489" s="332">
        <f t="shared" si="183"/>
        <v>0</v>
      </c>
      <c r="AK489" s="333">
        <f t="shared" si="195"/>
        <v>17009.677537865788</v>
      </c>
      <c r="AL489" s="332">
        <f t="shared" si="184"/>
        <v>17009.677537865788</v>
      </c>
      <c r="AM489" s="351"/>
      <c r="AN489" s="351"/>
    </row>
    <row r="490" spans="1:40">
      <c r="A490" s="139">
        <v>8</v>
      </c>
      <c r="B490" s="139">
        <f>IFERROR(IF((INDEX(Työkonekanta!$F$3:$F$27,MATCH('S3 Tiekartta'!$A490,Työkonekanta!$A$3:$A$24,0),1))&lt;0,0,(INDEX(Työkonekanta!$F$3:$F$27,MATCH('S3 Tiekartta'!$A490,Työkonekanta!$A$3:$A$24,0),1))),0)</f>
        <v>1</v>
      </c>
      <c r="C490" s="140">
        <v>2035</v>
      </c>
      <c r="D490" s="141" t="str">
        <f>IFERROR(INDEX(Työkonekanta!$D$3:$D$27,MATCH('S3 Tiekartta'!$A490,Työkonekanta!$A$3:$A$24,0),1),"undefined")</f>
        <v>pom</v>
      </c>
      <c r="E490" s="145">
        <f>IFERROR(INDEX(Työkonekanta!$G$3:$G$27,MATCH($A490,Työkonekanta!$A$3:$A$24,0),1)*INDEX(Työkonekanta!$H$3:$H$27,MATCH($A490,Työkonekanta!$A$3:$A$24,0),1)*(1+s0b_kasvu*($C490-2019))*$B490,0)</f>
        <v>11600</v>
      </c>
      <c r="F490" s="145">
        <f t="shared" si="176"/>
        <v>416440</v>
      </c>
      <c r="G490" s="151">
        <f t="shared" si="185"/>
        <v>45671.918341534292</v>
      </c>
      <c r="H490" s="145">
        <f t="shared" si="186"/>
        <v>370768.08165846573</v>
      </c>
      <c r="I490" s="145">
        <f t="shared" si="177"/>
        <v>1272.1982824939914</v>
      </c>
      <c r="J490" s="145">
        <f t="shared" si="178"/>
        <v>10809.56506292903</v>
      </c>
      <c r="K490" s="142" t="str">
        <f t="shared" si="187"/>
        <v>l</v>
      </c>
      <c r="L490" s="146">
        <f>IFERROR(INDEX(Työkonekanta!$I$3:$I$27,MATCH('S3 Tiekartta'!$A490,Työkonekanta!$A$3:$A$24,0),1)*(I490+J490)*f_adblue,0)</f>
        <v>604.08816727115106</v>
      </c>
      <c r="M490" s="146">
        <f t="shared" si="196"/>
        <v>0</v>
      </c>
      <c r="N490" s="143" t="str">
        <f>IF(tuulisähkö_vuosi&lt;='S3 Tiekartta'!C490,"tuulisähkö",ostosähkö_nyt)</f>
        <v>jäännössähkö</v>
      </c>
      <c r="O490" s="147">
        <f>INDEX(Muuttujat!$J$5:$J$21,MATCH($C490,Muuttujat!$H$5:$H$21,0),1)</f>
        <v>58.961085487844883</v>
      </c>
      <c r="P490" s="148">
        <f t="shared" si="188"/>
        <v>0.10967226573224065</v>
      </c>
      <c r="Q490" s="148">
        <f t="shared" si="201"/>
        <v>0.89032773426775935</v>
      </c>
      <c r="R490" s="148">
        <f t="shared" si="190"/>
        <v>0.89032773426775935</v>
      </c>
      <c r="S490" s="149">
        <f t="shared" si="179"/>
        <v>0.86319925665499808</v>
      </c>
      <c r="T490" s="150">
        <f t="shared" si="180"/>
        <v>23.135928295488263</v>
      </c>
      <c r="U490" s="150">
        <f t="shared" si="181"/>
        <v>0</v>
      </c>
      <c r="V490" s="150">
        <f>IFERROR(INDEX(Työkonekanta!$J$3:$J$27,MATCH($A490,Työkonekanta!$A$3:$A$24,0),1)*$B490*ef_li_ion_akku/1000/1000/INDEX(Työkonekanta!$K$3:$K$27,MATCH($A490,Työkonekanta!$A$3:$A$24,0)),0)</f>
        <v>0</v>
      </c>
      <c r="W490" s="149">
        <f t="shared" si="197"/>
        <v>3.3709645623412046</v>
      </c>
      <c r="X490" s="150">
        <f t="shared" si="198"/>
        <v>0.36858496559999998</v>
      </c>
      <c r="Y490" s="151">
        <f t="shared" si="199"/>
        <v>0.15706292349049925</v>
      </c>
      <c r="Z490" s="152">
        <f t="shared" si="191"/>
        <v>23.999127552143261</v>
      </c>
      <c r="AA490" s="179">
        <f t="shared" si="192"/>
        <v>3.528027485831704</v>
      </c>
      <c r="AB490" s="179">
        <f t="shared" si="193"/>
        <v>3.8966124514317042</v>
      </c>
      <c r="AC490" s="180">
        <f t="shared" si="200"/>
        <v>27.527155037974964</v>
      </c>
      <c r="AD490" s="156">
        <f t="shared" si="194"/>
        <v>27.895740003574964</v>
      </c>
      <c r="AE490" s="146">
        <f>IFERROR(INDEX(Työkonekanta!$L$3:$L$30,MATCH($A490,Työkonekanta!$A$3:$A$30,0),1),0)*AF490</f>
        <v>500000</v>
      </c>
      <c r="AF490" s="146">
        <f>IFERROR(INDEX(Työkonekanta!$N$3:$N$32,MATCH($A490,Työkonekanta!$A$3:$A$32,0),1),0)</f>
        <v>1</v>
      </c>
      <c r="AG490" s="332">
        <f>I490*INDEX(Muuttujat!$U$5:$U$21,MATCH($C490,Muuttujat!$N$5:$N$21,0),1)</f>
        <v>1335.808196618691</v>
      </c>
      <c r="AH490" s="332">
        <f>J490*INDEX(Muuttujat!$T$5:$T$21,MATCH($C490,Muuttujat!$N$5:$N$21,0),1)</f>
        <v>15673.869341247097</v>
      </c>
      <c r="AI490" s="332">
        <f t="shared" si="182"/>
        <v>302.04408363557553</v>
      </c>
      <c r="AJ490" s="332">
        <f t="shared" si="183"/>
        <v>0</v>
      </c>
      <c r="AK490" s="333">
        <f t="shared" si="195"/>
        <v>17311.721621501361</v>
      </c>
      <c r="AL490" s="332">
        <f t="shared" si="184"/>
        <v>17311.721621501361</v>
      </c>
      <c r="AM490" s="351"/>
      <c r="AN490" s="351"/>
    </row>
    <row r="491" spans="1:40">
      <c r="A491" s="139">
        <v>9</v>
      </c>
      <c r="B491" s="139">
        <f>IFERROR(IF((INDEX(Työkonekanta!$F$3:$F$27,MATCH('S3 Tiekartta'!$A491,Työkonekanta!$A$3:$A$24,0),1))&lt;0,0,(INDEX(Työkonekanta!$F$3:$F$27,MATCH('S3 Tiekartta'!$A491,Työkonekanta!$A$3:$A$24,0),1))),0)</f>
        <v>0</v>
      </c>
      <c r="C491" s="140">
        <v>2035</v>
      </c>
      <c r="D491" s="141" t="str">
        <f>IFERROR(INDEX(Työkonekanta!$D$3:$D$27,MATCH('S3 Tiekartta'!$A491,Työkonekanta!$A$3:$A$24,0),1),"undefined")</f>
        <v>sähkö</v>
      </c>
      <c r="E491" s="145">
        <f>IFERROR(INDEX(Työkonekanta!$G$3:$G$27,MATCH($A491,Työkonekanta!$A$3:$A$24,0),1)*INDEX(Työkonekanta!$H$3:$H$27,MATCH($A491,Työkonekanta!$A$3:$A$24,0),1)*(1+s0b_kasvu*($C491-2019))*$B491,0)</f>
        <v>0</v>
      </c>
      <c r="F491" s="145">
        <f t="shared" si="176"/>
        <v>0</v>
      </c>
      <c r="G491" s="151">
        <f t="shared" si="185"/>
        <v>0</v>
      </c>
      <c r="H491" s="145">
        <f t="shared" si="186"/>
        <v>0</v>
      </c>
      <c r="I491" s="145">
        <f t="shared" si="177"/>
        <v>0</v>
      </c>
      <c r="J491" s="145">
        <f t="shared" si="178"/>
        <v>0</v>
      </c>
      <c r="K491" s="142" t="str">
        <f t="shared" si="187"/>
        <v>kWh</v>
      </c>
      <c r="L491" s="146">
        <f>IFERROR(INDEX(Työkonekanta!$I$3:$I$27,MATCH('S3 Tiekartta'!$A491,Työkonekanta!$A$3:$A$24,0),1)*(I491+J491)*f_adblue,0)</f>
        <v>0</v>
      </c>
      <c r="M491" s="146">
        <f t="shared" si="196"/>
        <v>0</v>
      </c>
      <c r="N491" s="143" t="str">
        <f>IF(tuulisähkö_vuosi&lt;='S3 Tiekartta'!C491,"tuulisähkö",ostosähkö_nyt)</f>
        <v>jäännössähkö</v>
      </c>
      <c r="O491" s="147">
        <f>INDEX(Muuttujat!$J$5:$J$21,MATCH($C491,Muuttujat!$H$5:$H$21,0),1)</f>
        <v>58.961085487844883</v>
      </c>
      <c r="P491" s="148">
        <f t="shared" si="188"/>
        <v>0.10967226573224065</v>
      </c>
      <c r="Q491" s="148">
        <f t="shared" si="201"/>
        <v>0.89032773426775935</v>
      </c>
      <c r="R491" s="148">
        <f t="shared" si="190"/>
        <v>0.89032773426775935</v>
      </c>
      <c r="S491" s="149">
        <f t="shared" si="179"/>
        <v>0</v>
      </c>
      <c r="T491" s="150">
        <f t="shared" si="180"/>
        <v>0</v>
      </c>
      <c r="U491" s="150">
        <f t="shared" si="181"/>
        <v>0</v>
      </c>
      <c r="V491" s="150">
        <f>IFERROR(INDEX(Työkonekanta!$J$3:$J$27,MATCH($A491,Työkonekanta!$A$3:$A$24,0),1)*$B491*ef_li_ion_akku/1000/1000/INDEX(Työkonekanta!$K$3:$K$27,MATCH($A491,Työkonekanta!$A$3:$A$24,0)),0)</f>
        <v>0</v>
      </c>
      <c r="W491" s="149">
        <f t="shared" si="197"/>
        <v>0</v>
      </c>
      <c r="X491" s="150">
        <f t="shared" si="198"/>
        <v>0</v>
      </c>
      <c r="Y491" s="151">
        <f t="shared" si="199"/>
        <v>0</v>
      </c>
      <c r="Z491" s="152">
        <f t="shared" si="191"/>
        <v>0</v>
      </c>
      <c r="AA491" s="179">
        <f t="shared" si="192"/>
        <v>0</v>
      </c>
      <c r="AB491" s="179">
        <f t="shared" si="193"/>
        <v>0</v>
      </c>
      <c r="AC491" s="180">
        <f t="shared" si="200"/>
        <v>0</v>
      </c>
      <c r="AD491" s="156">
        <f t="shared" si="194"/>
        <v>0</v>
      </c>
      <c r="AE491" s="146">
        <f>IFERROR(INDEX(Työkonekanta!$L$3:$L$30,MATCH($A491,Työkonekanta!$A$3:$A$30,0),1),0)*AF491</f>
        <v>0</v>
      </c>
      <c r="AF491" s="146">
        <f>IFERROR(INDEX(Työkonekanta!$N$3:$N$32,MATCH($A491,Työkonekanta!$A$3:$A$32,0),1),0)</f>
        <v>0</v>
      </c>
      <c r="AG491" s="332">
        <f>I491*INDEX(Muuttujat!$U$5:$U$21,MATCH($C491,Muuttujat!$N$5:$N$21,0),1)</f>
        <v>0</v>
      </c>
      <c r="AH491" s="332">
        <f>J491*INDEX(Muuttujat!$T$5:$T$21,MATCH($C491,Muuttujat!$N$5:$N$21,0),1)</f>
        <v>0</v>
      </c>
      <c r="AI491" s="332">
        <f t="shared" si="182"/>
        <v>0</v>
      </c>
      <c r="AJ491" s="332">
        <f t="shared" si="183"/>
        <v>0</v>
      </c>
      <c r="AK491" s="333">
        <f t="shared" si="195"/>
        <v>0</v>
      </c>
      <c r="AL491" s="332">
        <f t="shared" si="184"/>
        <v>0</v>
      </c>
      <c r="AM491" s="351"/>
      <c r="AN491" s="351"/>
    </row>
    <row r="492" spans="1:40">
      <c r="A492" s="139">
        <v>10</v>
      </c>
      <c r="B492" s="139">
        <f>IFERROR(IF((INDEX(Työkonekanta!$F$3:$F$27,MATCH('S3 Tiekartta'!$A492,Työkonekanta!$A$3:$A$24,0),1))&lt;0,0,(INDEX(Työkonekanta!$F$3:$F$27,MATCH('S3 Tiekartta'!$A492,Työkonekanta!$A$3:$A$24,0),1))),0)</f>
        <v>0</v>
      </c>
      <c r="C492" s="140">
        <v>2035</v>
      </c>
      <c r="D492" s="141" t="str">
        <f>IFERROR(INDEX(Työkonekanta!$D$3:$D$27,MATCH('S3 Tiekartta'!$A492,Työkonekanta!$A$3:$A$24,0),1),"undefined")</f>
        <v>sähkö</v>
      </c>
      <c r="E492" s="145">
        <f>IFERROR(INDEX(Työkonekanta!$G$3:$G$27,MATCH($A492,Työkonekanta!$A$3:$A$24,0),1)*INDEX(Työkonekanta!$H$3:$H$27,MATCH($A492,Työkonekanta!$A$3:$A$24,0),1)*(1+s0b_kasvu*($C492-2019))*$B492,0)</f>
        <v>0</v>
      </c>
      <c r="F492" s="145">
        <f t="shared" si="176"/>
        <v>0</v>
      </c>
      <c r="G492" s="151">
        <f t="shared" si="185"/>
        <v>0</v>
      </c>
      <c r="H492" s="145">
        <f t="shared" si="186"/>
        <v>0</v>
      </c>
      <c r="I492" s="145">
        <f t="shared" si="177"/>
        <v>0</v>
      </c>
      <c r="J492" s="145">
        <f t="shared" si="178"/>
        <v>0</v>
      </c>
      <c r="K492" s="142" t="str">
        <f t="shared" si="187"/>
        <v>kWh</v>
      </c>
      <c r="L492" s="146">
        <f>IFERROR(INDEX(Työkonekanta!$I$3:$I$27,MATCH('S3 Tiekartta'!$A492,Työkonekanta!$A$3:$A$24,0),1)*(I492+J492)*f_adblue,0)</f>
        <v>0</v>
      </c>
      <c r="M492" s="146">
        <f t="shared" si="196"/>
        <v>0</v>
      </c>
      <c r="N492" s="143" t="str">
        <f>IF(tuulisähkö_vuosi&lt;='S3 Tiekartta'!C492,"tuulisähkö",ostosähkö_nyt)</f>
        <v>jäännössähkö</v>
      </c>
      <c r="O492" s="147">
        <f>INDEX(Muuttujat!$J$5:$J$21,MATCH($C492,Muuttujat!$H$5:$H$21,0),1)</f>
        <v>58.961085487844883</v>
      </c>
      <c r="P492" s="148">
        <f t="shared" si="188"/>
        <v>0.10967226573224065</v>
      </c>
      <c r="Q492" s="148">
        <f t="shared" si="201"/>
        <v>0.89032773426775935</v>
      </c>
      <c r="R492" s="148">
        <f t="shared" si="190"/>
        <v>0.89032773426775935</v>
      </c>
      <c r="S492" s="149">
        <f t="shared" si="179"/>
        <v>0</v>
      </c>
      <c r="T492" s="150">
        <f t="shared" si="180"/>
        <v>0</v>
      </c>
      <c r="U492" s="150">
        <f t="shared" si="181"/>
        <v>0</v>
      </c>
      <c r="V492" s="150">
        <f>IFERROR(INDEX(Työkonekanta!$J$3:$J$27,MATCH($A492,Työkonekanta!$A$3:$A$24,0),1)*$B492*ef_li_ion_akku/1000/1000/INDEX(Työkonekanta!$K$3:$K$27,MATCH($A492,Työkonekanta!$A$3:$A$24,0)),0)</f>
        <v>0</v>
      </c>
      <c r="W492" s="149">
        <f t="shared" si="197"/>
        <v>0</v>
      </c>
      <c r="X492" s="150">
        <f t="shared" si="198"/>
        <v>0</v>
      </c>
      <c r="Y492" s="151">
        <f t="shared" si="199"/>
        <v>0</v>
      </c>
      <c r="Z492" s="152">
        <f t="shared" si="191"/>
        <v>0</v>
      </c>
      <c r="AA492" s="179">
        <f t="shared" si="192"/>
        <v>0</v>
      </c>
      <c r="AB492" s="179">
        <f t="shared" si="193"/>
        <v>0</v>
      </c>
      <c r="AC492" s="180">
        <f t="shared" si="200"/>
        <v>0</v>
      </c>
      <c r="AD492" s="156">
        <f t="shared" si="194"/>
        <v>0</v>
      </c>
      <c r="AE492" s="146">
        <f>IFERROR(INDEX(Työkonekanta!$L$3:$L$30,MATCH($A492,Työkonekanta!$A$3:$A$30,0),1),0)*AF492</f>
        <v>0</v>
      </c>
      <c r="AF492" s="146">
        <f>IFERROR(INDEX(Työkonekanta!$N$3:$N$32,MATCH($A492,Työkonekanta!$A$3:$A$32,0),1),0)</f>
        <v>0</v>
      </c>
      <c r="AG492" s="332">
        <f>I492*INDEX(Muuttujat!$U$5:$U$21,MATCH($C492,Muuttujat!$N$5:$N$21,0),1)</f>
        <v>0</v>
      </c>
      <c r="AH492" s="332">
        <f>J492*INDEX(Muuttujat!$T$5:$T$21,MATCH($C492,Muuttujat!$N$5:$N$21,0),1)</f>
        <v>0</v>
      </c>
      <c r="AI492" s="332">
        <f t="shared" si="182"/>
        <v>0</v>
      </c>
      <c r="AJ492" s="332">
        <f t="shared" si="183"/>
        <v>0</v>
      </c>
      <c r="AK492" s="333">
        <f t="shared" si="195"/>
        <v>0</v>
      </c>
      <c r="AL492" s="332">
        <f t="shared" si="184"/>
        <v>0</v>
      </c>
      <c r="AM492" s="351"/>
      <c r="AN492" s="351"/>
    </row>
    <row r="493" spans="1:40">
      <c r="A493" s="139">
        <v>11</v>
      </c>
      <c r="B493" s="139">
        <f>IFERROR(IF((INDEX(Työkonekanta!$F$3:$F$27,MATCH('S3 Tiekartta'!$A493,Työkonekanta!$A$3:$A$24,0),1))&lt;0,0,(INDEX(Työkonekanta!$F$3:$F$27,MATCH('S3 Tiekartta'!$A493,Työkonekanta!$A$3:$A$24,0),1))),0)</f>
        <v>1</v>
      </c>
      <c r="C493" s="140">
        <v>2035</v>
      </c>
      <c r="D493" s="141" t="str">
        <f>IFERROR(INDEX(Työkonekanta!$D$3:$D$27,MATCH('S3 Tiekartta'!$A493,Työkonekanta!$A$3:$A$24,0),1),"undefined")</f>
        <v>pom</v>
      </c>
      <c r="E493" s="145">
        <f>IFERROR(INDEX(Työkonekanta!$G$3:$G$27,MATCH($A493,Työkonekanta!$A$3:$A$24,0),1)*INDEX(Työkonekanta!$H$3:$H$27,MATCH($A493,Työkonekanta!$A$3:$A$24,0),1)*(1+s0b_kasvu*($C493-2019))*$B493,0)</f>
        <v>11600</v>
      </c>
      <c r="F493" s="145">
        <f t="shared" si="176"/>
        <v>416440</v>
      </c>
      <c r="G493" s="151">
        <f t="shared" si="185"/>
        <v>45671.918341534292</v>
      </c>
      <c r="H493" s="145">
        <f t="shared" si="186"/>
        <v>370768.08165846573</v>
      </c>
      <c r="I493" s="145">
        <f t="shared" si="177"/>
        <v>1272.1982824939914</v>
      </c>
      <c r="J493" s="145">
        <f t="shared" si="178"/>
        <v>10809.56506292903</v>
      </c>
      <c r="K493" s="142" t="str">
        <f t="shared" si="187"/>
        <v>l</v>
      </c>
      <c r="L493" s="146">
        <f>IFERROR(INDEX(Työkonekanta!$I$3:$I$27,MATCH('S3 Tiekartta'!$A493,Työkonekanta!$A$3:$A$24,0),1)*(I493+J493)*f_adblue,0)</f>
        <v>604.08816727115106</v>
      </c>
      <c r="M493" s="146">
        <f t="shared" si="196"/>
        <v>0</v>
      </c>
      <c r="N493" s="143" t="str">
        <f>IF(tuulisähkö_vuosi&lt;='S3 Tiekartta'!C493,"tuulisähkö",ostosähkö_nyt)</f>
        <v>jäännössähkö</v>
      </c>
      <c r="O493" s="147">
        <f>INDEX(Muuttujat!$J$5:$J$21,MATCH($C493,Muuttujat!$H$5:$H$21,0),1)</f>
        <v>58.961085487844883</v>
      </c>
      <c r="P493" s="148">
        <f t="shared" si="188"/>
        <v>0.10967226573224065</v>
      </c>
      <c r="Q493" s="148">
        <f t="shared" si="201"/>
        <v>0.89032773426775935</v>
      </c>
      <c r="R493" s="148">
        <f t="shared" si="190"/>
        <v>0.89032773426775935</v>
      </c>
      <c r="S493" s="149">
        <f t="shared" si="179"/>
        <v>0.86319925665499808</v>
      </c>
      <c r="T493" s="150">
        <f t="shared" si="180"/>
        <v>23.135928295488263</v>
      </c>
      <c r="U493" s="150">
        <f t="shared" si="181"/>
        <v>0</v>
      </c>
      <c r="V493" s="150">
        <f>IFERROR(INDEX(Työkonekanta!$J$3:$J$27,MATCH($A493,Työkonekanta!$A$3:$A$24,0),1)*$B493*ef_li_ion_akku/1000/1000/INDEX(Työkonekanta!$K$3:$K$27,MATCH($A493,Työkonekanta!$A$3:$A$24,0)),0)</f>
        <v>0</v>
      </c>
      <c r="W493" s="149">
        <f t="shared" si="197"/>
        <v>3.3709645623412046</v>
      </c>
      <c r="X493" s="150">
        <f t="shared" si="198"/>
        <v>0.36858496559999998</v>
      </c>
      <c r="Y493" s="151">
        <f t="shared" si="199"/>
        <v>0.15706292349049925</v>
      </c>
      <c r="Z493" s="152">
        <f t="shared" si="191"/>
        <v>23.999127552143261</v>
      </c>
      <c r="AA493" s="179">
        <f t="shared" si="192"/>
        <v>3.528027485831704</v>
      </c>
      <c r="AB493" s="179">
        <f t="shared" si="193"/>
        <v>3.8966124514317042</v>
      </c>
      <c r="AC493" s="180">
        <f t="shared" si="200"/>
        <v>27.527155037974964</v>
      </c>
      <c r="AD493" s="156">
        <f t="shared" si="194"/>
        <v>27.895740003574964</v>
      </c>
      <c r="AE493" s="146">
        <f>IFERROR(INDEX(Työkonekanta!$L$3:$L$30,MATCH($A493,Työkonekanta!$A$3:$A$30,0),1),0)*AF493</f>
        <v>500000</v>
      </c>
      <c r="AF493" s="146">
        <f>IFERROR(INDEX(Työkonekanta!$N$3:$N$32,MATCH($A493,Työkonekanta!$A$3:$A$32,0),1),0)</f>
        <v>1</v>
      </c>
      <c r="AG493" s="332">
        <f>I493*INDEX(Muuttujat!$U$5:$U$21,MATCH($C493,Muuttujat!$N$5:$N$21,0),1)</f>
        <v>1335.808196618691</v>
      </c>
      <c r="AH493" s="332">
        <f>J493*INDEX(Muuttujat!$T$5:$T$21,MATCH($C493,Muuttujat!$N$5:$N$21,0),1)</f>
        <v>15673.869341247097</v>
      </c>
      <c r="AI493" s="332">
        <f t="shared" si="182"/>
        <v>302.04408363557553</v>
      </c>
      <c r="AJ493" s="332">
        <f t="shared" si="183"/>
        <v>0</v>
      </c>
      <c r="AK493" s="333">
        <f t="shared" si="195"/>
        <v>17311.721621501361</v>
      </c>
      <c r="AL493" s="332">
        <f t="shared" si="184"/>
        <v>17311.721621501361</v>
      </c>
      <c r="AM493" s="351"/>
      <c r="AN493" s="351"/>
    </row>
    <row r="494" spans="1:40">
      <c r="A494" s="139">
        <v>12</v>
      </c>
      <c r="B494" s="139">
        <f>IFERROR(IF((INDEX(Työkonekanta!$F$3:$F$27,MATCH('S3 Tiekartta'!$A494,Työkonekanta!$A$3:$A$24,0),1))&lt;0,0,(INDEX(Työkonekanta!$F$3:$F$27,MATCH('S3 Tiekartta'!$A494,Työkonekanta!$A$3:$A$24,0),1))),0)</f>
        <v>1</v>
      </c>
      <c r="C494" s="140">
        <v>2035</v>
      </c>
      <c r="D494" s="141" t="str">
        <f>IFERROR(INDEX(Työkonekanta!$D$3:$D$27,MATCH('S3 Tiekartta'!$A494,Työkonekanta!$A$3:$A$24,0),1),"undefined")</f>
        <v>pom</v>
      </c>
      <c r="E494" s="145">
        <f>IFERROR(INDEX(Työkonekanta!$G$3:$G$27,MATCH($A494,Työkonekanta!$A$3:$A$24,0),1)*INDEX(Työkonekanta!$H$3:$H$27,MATCH($A494,Työkonekanta!$A$3:$A$24,0),1)*(1+s0b_kasvu*($C494-2019))*$B494,0)</f>
        <v>11600</v>
      </c>
      <c r="F494" s="145">
        <f t="shared" si="176"/>
        <v>416440</v>
      </c>
      <c r="G494" s="151">
        <f t="shared" si="185"/>
        <v>45671.918341534292</v>
      </c>
      <c r="H494" s="145">
        <f t="shared" si="186"/>
        <v>370768.08165846573</v>
      </c>
      <c r="I494" s="145">
        <f t="shared" si="177"/>
        <v>1272.1982824939914</v>
      </c>
      <c r="J494" s="145">
        <f t="shared" si="178"/>
        <v>10809.56506292903</v>
      </c>
      <c r="K494" s="142" t="str">
        <f t="shared" si="187"/>
        <v>l</v>
      </c>
      <c r="L494" s="146">
        <f>IFERROR(INDEX(Työkonekanta!$I$3:$I$27,MATCH('S3 Tiekartta'!$A494,Työkonekanta!$A$3:$A$24,0),1)*(I494+J494)*f_adblue,0)</f>
        <v>604.08816727115106</v>
      </c>
      <c r="M494" s="146">
        <f t="shared" si="196"/>
        <v>0</v>
      </c>
      <c r="N494" s="143" t="str">
        <f>IF(tuulisähkö_vuosi&lt;='S3 Tiekartta'!C494,"tuulisähkö",ostosähkö_nyt)</f>
        <v>jäännössähkö</v>
      </c>
      <c r="O494" s="147">
        <f>INDEX(Muuttujat!$J$5:$J$21,MATCH($C494,Muuttujat!$H$5:$H$21,0),1)</f>
        <v>58.961085487844883</v>
      </c>
      <c r="P494" s="148">
        <f t="shared" si="188"/>
        <v>0.10967226573224065</v>
      </c>
      <c r="Q494" s="148">
        <f t="shared" si="201"/>
        <v>0.89032773426775935</v>
      </c>
      <c r="R494" s="148">
        <f t="shared" si="190"/>
        <v>0.89032773426775935</v>
      </c>
      <c r="S494" s="149">
        <f t="shared" si="179"/>
        <v>0.86319925665499808</v>
      </c>
      <c r="T494" s="150">
        <f t="shared" si="180"/>
        <v>23.135928295488263</v>
      </c>
      <c r="U494" s="150">
        <f t="shared" si="181"/>
        <v>0</v>
      </c>
      <c r="V494" s="150">
        <f>IFERROR(INDEX(Työkonekanta!$J$3:$J$27,MATCH($A494,Työkonekanta!$A$3:$A$24,0),1)*$B494*ef_li_ion_akku/1000/1000/INDEX(Työkonekanta!$K$3:$K$27,MATCH($A494,Työkonekanta!$A$3:$A$24,0)),0)</f>
        <v>0</v>
      </c>
      <c r="W494" s="149">
        <f t="shared" si="197"/>
        <v>3.3709645623412046</v>
      </c>
      <c r="X494" s="150">
        <f t="shared" si="198"/>
        <v>0.36858496559999998</v>
      </c>
      <c r="Y494" s="151">
        <f t="shared" si="199"/>
        <v>0.15706292349049925</v>
      </c>
      <c r="Z494" s="152">
        <f t="shared" si="191"/>
        <v>23.999127552143261</v>
      </c>
      <c r="AA494" s="179">
        <f t="shared" si="192"/>
        <v>3.528027485831704</v>
      </c>
      <c r="AB494" s="179">
        <f t="shared" si="193"/>
        <v>3.8966124514317042</v>
      </c>
      <c r="AC494" s="180">
        <f t="shared" si="200"/>
        <v>27.527155037974964</v>
      </c>
      <c r="AD494" s="156">
        <f t="shared" si="194"/>
        <v>27.895740003574964</v>
      </c>
      <c r="AE494" s="146">
        <f>IFERROR(INDEX(Työkonekanta!$L$3:$L$30,MATCH($A494,Työkonekanta!$A$3:$A$30,0),1),0)*AF494</f>
        <v>500000</v>
      </c>
      <c r="AF494" s="146">
        <f>IFERROR(INDEX(Työkonekanta!$N$3:$N$32,MATCH($A494,Työkonekanta!$A$3:$A$32,0),1),0)</f>
        <v>1</v>
      </c>
      <c r="AG494" s="332">
        <f>I494*INDEX(Muuttujat!$U$5:$U$21,MATCH($C494,Muuttujat!$N$5:$N$21,0),1)</f>
        <v>1335.808196618691</v>
      </c>
      <c r="AH494" s="332">
        <f>J494*INDEX(Muuttujat!$T$5:$T$21,MATCH($C494,Muuttujat!$N$5:$N$21,0),1)</f>
        <v>15673.869341247097</v>
      </c>
      <c r="AI494" s="332">
        <f t="shared" si="182"/>
        <v>302.04408363557553</v>
      </c>
      <c r="AJ494" s="332">
        <f t="shared" si="183"/>
        <v>0</v>
      </c>
      <c r="AK494" s="333">
        <f t="shared" si="195"/>
        <v>17311.721621501361</v>
      </c>
      <c r="AL494" s="332">
        <f t="shared" si="184"/>
        <v>17311.721621501361</v>
      </c>
      <c r="AM494" s="351"/>
      <c r="AN494" s="351"/>
    </row>
    <row r="495" spans="1:40">
      <c r="A495" s="139">
        <v>13</v>
      </c>
      <c r="B495" s="139">
        <f>IFERROR(IF((INDEX(Työkonekanta!$F$3:$F$27,MATCH('S3 Tiekartta'!$A495,Työkonekanta!$A$3:$A$24,0),1))&lt;0,0,(INDEX(Työkonekanta!$F$3:$F$27,MATCH('S3 Tiekartta'!$A495,Työkonekanta!$A$3:$A$24,0),1))),0)</f>
        <v>0</v>
      </c>
      <c r="C495" s="140">
        <v>2035</v>
      </c>
      <c r="D495" s="141" t="str">
        <f>IFERROR(INDEX(Työkonekanta!$D$3:$D$27,MATCH('S3 Tiekartta'!$A495,Työkonekanta!$A$3:$A$24,0),1),"undefined")</f>
        <v>pom</v>
      </c>
      <c r="E495" s="145">
        <f>IFERROR(INDEX(Työkonekanta!$G$3:$G$27,MATCH($A495,Työkonekanta!$A$3:$A$24,0),1)*INDEX(Työkonekanta!$H$3:$H$27,MATCH($A495,Työkonekanta!$A$3:$A$24,0),1)*(1+s0b_kasvu*($C495-2019))*$B495,0)</f>
        <v>0</v>
      </c>
      <c r="F495" s="145">
        <f t="shared" si="176"/>
        <v>0</v>
      </c>
      <c r="G495" s="151">
        <f t="shared" si="185"/>
        <v>0</v>
      </c>
      <c r="H495" s="145">
        <f t="shared" si="186"/>
        <v>0</v>
      </c>
      <c r="I495" s="145">
        <f t="shared" si="177"/>
        <v>0</v>
      </c>
      <c r="J495" s="145">
        <f t="shared" si="178"/>
        <v>0</v>
      </c>
      <c r="K495" s="142" t="str">
        <f t="shared" si="187"/>
        <v>l</v>
      </c>
      <c r="L495" s="146">
        <f>IFERROR(INDEX(Työkonekanta!$I$3:$I$27,MATCH('S3 Tiekartta'!$A495,Työkonekanta!$A$3:$A$24,0),1)*(I495+J495)*f_adblue,0)</f>
        <v>0</v>
      </c>
      <c r="M495" s="146">
        <f t="shared" si="196"/>
        <v>0</v>
      </c>
      <c r="N495" s="143" t="str">
        <f>IF(tuulisähkö_vuosi&lt;='S3 Tiekartta'!C495,"tuulisähkö",ostosähkö_nyt)</f>
        <v>jäännössähkö</v>
      </c>
      <c r="O495" s="147">
        <f>INDEX(Muuttujat!$J$5:$J$21,MATCH($C495,Muuttujat!$H$5:$H$21,0),1)</f>
        <v>58.961085487844883</v>
      </c>
      <c r="P495" s="148">
        <f t="shared" si="188"/>
        <v>0.10967226573224065</v>
      </c>
      <c r="Q495" s="148">
        <f t="shared" si="201"/>
        <v>0.89032773426775935</v>
      </c>
      <c r="R495" s="148">
        <f t="shared" si="190"/>
        <v>0.89032773426775935</v>
      </c>
      <c r="S495" s="149">
        <f t="shared" si="179"/>
        <v>0</v>
      </c>
      <c r="T495" s="150">
        <f t="shared" si="180"/>
        <v>0</v>
      </c>
      <c r="U495" s="150">
        <f t="shared" si="181"/>
        <v>0</v>
      </c>
      <c r="V495" s="150">
        <f>IFERROR(INDEX(Työkonekanta!$J$3:$J$27,MATCH($A495,Työkonekanta!$A$3:$A$24,0),1)*$B495*ef_li_ion_akku/1000/1000/INDEX(Työkonekanta!$K$3:$K$27,MATCH($A495,Työkonekanta!$A$3:$A$24,0)),0)</f>
        <v>0</v>
      </c>
      <c r="W495" s="149">
        <f t="shared" si="197"/>
        <v>0</v>
      </c>
      <c r="X495" s="150">
        <f t="shared" si="198"/>
        <v>0</v>
      </c>
      <c r="Y495" s="151">
        <f t="shared" si="199"/>
        <v>0</v>
      </c>
      <c r="Z495" s="152">
        <f t="shared" si="191"/>
        <v>0</v>
      </c>
      <c r="AA495" s="179">
        <f t="shared" si="192"/>
        <v>0</v>
      </c>
      <c r="AB495" s="179">
        <f t="shared" si="193"/>
        <v>0</v>
      </c>
      <c r="AC495" s="180">
        <f t="shared" si="200"/>
        <v>0</v>
      </c>
      <c r="AD495" s="156">
        <f t="shared" si="194"/>
        <v>0</v>
      </c>
      <c r="AE495" s="146">
        <f>IFERROR(INDEX(Työkonekanta!$L$3:$L$30,MATCH($A495,Työkonekanta!$A$3:$A$30,0),1),0)*AF495</f>
        <v>0</v>
      </c>
      <c r="AF495" s="146">
        <f>IFERROR(INDEX(Työkonekanta!$N$3:$N$32,MATCH($A495,Työkonekanta!$A$3:$A$32,0),1),0)</f>
        <v>0</v>
      </c>
      <c r="AG495" s="332">
        <f>I495*INDEX(Muuttujat!$U$5:$U$21,MATCH($C495,Muuttujat!$N$5:$N$21,0),1)</f>
        <v>0</v>
      </c>
      <c r="AH495" s="332">
        <f>J495*INDEX(Muuttujat!$T$5:$T$21,MATCH($C495,Muuttujat!$N$5:$N$21,0),1)</f>
        <v>0</v>
      </c>
      <c r="AI495" s="332">
        <f t="shared" si="182"/>
        <v>0</v>
      </c>
      <c r="AJ495" s="332">
        <f t="shared" si="183"/>
        <v>0</v>
      </c>
      <c r="AK495" s="333">
        <f t="shared" si="195"/>
        <v>0</v>
      </c>
      <c r="AL495" s="332">
        <f t="shared" si="184"/>
        <v>0</v>
      </c>
      <c r="AM495" s="351"/>
      <c r="AN495" s="351"/>
    </row>
    <row r="496" spans="1:40">
      <c r="A496" s="139">
        <v>14</v>
      </c>
      <c r="B496" s="139">
        <f>IFERROR(IF((INDEX(Työkonekanta!$F$3:$F$27,MATCH('S3 Tiekartta'!$A496,Työkonekanta!$A$3:$A$24,0),1))&lt;0,0,(INDEX(Työkonekanta!$F$3:$F$27,MATCH('S3 Tiekartta'!$A496,Työkonekanta!$A$3:$A$24,0),1))),0)</f>
        <v>0</v>
      </c>
      <c r="C496" s="140">
        <v>2035</v>
      </c>
      <c r="D496" s="141" t="str">
        <f>IFERROR(INDEX(Työkonekanta!$D$3:$D$27,MATCH('S3 Tiekartta'!$A496,Työkonekanta!$A$3:$A$24,0),1),"undefined")</f>
        <v>pom</v>
      </c>
      <c r="E496" s="145">
        <f>IFERROR(INDEX(Työkonekanta!$G$3:$G$27,MATCH($A496,Työkonekanta!$A$3:$A$24,0),1)*INDEX(Työkonekanta!$H$3:$H$27,MATCH($A496,Työkonekanta!$A$3:$A$24,0),1)*(1+s0b_kasvu*($C496-2019))*$B496,0)</f>
        <v>0</v>
      </c>
      <c r="F496" s="145">
        <f t="shared" si="176"/>
        <v>0</v>
      </c>
      <c r="G496" s="151">
        <f t="shared" si="185"/>
        <v>0</v>
      </c>
      <c r="H496" s="145">
        <f t="shared" si="186"/>
        <v>0</v>
      </c>
      <c r="I496" s="145">
        <f t="shared" si="177"/>
        <v>0</v>
      </c>
      <c r="J496" s="145">
        <f t="shared" si="178"/>
        <v>0</v>
      </c>
      <c r="K496" s="142" t="str">
        <f t="shared" si="187"/>
        <v>l</v>
      </c>
      <c r="L496" s="146">
        <f>IFERROR(INDEX(Työkonekanta!$I$3:$I$27,MATCH('S3 Tiekartta'!$A496,Työkonekanta!$A$3:$A$24,0),1)*(I496+J496)*f_adblue,0)</f>
        <v>0</v>
      </c>
      <c r="M496" s="146">
        <f t="shared" si="196"/>
        <v>0</v>
      </c>
      <c r="N496" s="143" t="str">
        <f>IF(tuulisähkö_vuosi&lt;='S3 Tiekartta'!C496,"tuulisähkö",ostosähkö_nyt)</f>
        <v>jäännössähkö</v>
      </c>
      <c r="O496" s="147">
        <f>INDEX(Muuttujat!$J$5:$J$21,MATCH($C496,Muuttujat!$H$5:$H$21,0),1)</f>
        <v>58.961085487844883</v>
      </c>
      <c r="P496" s="148">
        <f t="shared" si="188"/>
        <v>0.10967226573224065</v>
      </c>
      <c r="Q496" s="148">
        <f t="shared" si="201"/>
        <v>0.89032773426775935</v>
      </c>
      <c r="R496" s="148">
        <f t="shared" si="190"/>
        <v>0.89032773426775935</v>
      </c>
      <c r="S496" s="149">
        <f t="shared" si="179"/>
        <v>0</v>
      </c>
      <c r="T496" s="150">
        <f t="shared" si="180"/>
        <v>0</v>
      </c>
      <c r="U496" s="150">
        <f t="shared" si="181"/>
        <v>0</v>
      </c>
      <c r="V496" s="150">
        <f>IFERROR(INDEX(Työkonekanta!$J$3:$J$27,MATCH($A496,Työkonekanta!$A$3:$A$24,0),1)*$B496*ef_li_ion_akku/1000/1000/INDEX(Työkonekanta!$K$3:$K$27,MATCH($A496,Työkonekanta!$A$3:$A$24,0)),0)</f>
        <v>0</v>
      </c>
      <c r="W496" s="149">
        <f t="shared" si="197"/>
        <v>0</v>
      </c>
      <c r="X496" s="150">
        <f t="shared" si="198"/>
        <v>0</v>
      </c>
      <c r="Y496" s="151">
        <f t="shared" si="199"/>
        <v>0</v>
      </c>
      <c r="Z496" s="152">
        <f t="shared" si="191"/>
        <v>0</v>
      </c>
      <c r="AA496" s="179">
        <f t="shared" si="192"/>
        <v>0</v>
      </c>
      <c r="AB496" s="179">
        <f t="shared" si="193"/>
        <v>0</v>
      </c>
      <c r="AC496" s="180">
        <f t="shared" si="200"/>
        <v>0</v>
      </c>
      <c r="AD496" s="156">
        <f t="shared" si="194"/>
        <v>0</v>
      </c>
      <c r="AE496" s="146">
        <f>IFERROR(INDEX(Työkonekanta!$L$3:$L$30,MATCH($A496,Työkonekanta!$A$3:$A$30,0),1),0)*AF496</f>
        <v>0</v>
      </c>
      <c r="AF496" s="146">
        <f>IFERROR(INDEX(Työkonekanta!$N$3:$N$32,MATCH($A496,Työkonekanta!$A$3:$A$32,0),1),0)</f>
        <v>0</v>
      </c>
      <c r="AG496" s="332">
        <f>I496*INDEX(Muuttujat!$U$5:$U$21,MATCH($C496,Muuttujat!$N$5:$N$21,0),1)</f>
        <v>0</v>
      </c>
      <c r="AH496" s="332">
        <f>J496*INDEX(Muuttujat!$T$5:$T$21,MATCH($C496,Muuttujat!$N$5:$N$21,0),1)</f>
        <v>0</v>
      </c>
      <c r="AI496" s="332">
        <f t="shared" si="182"/>
        <v>0</v>
      </c>
      <c r="AJ496" s="332">
        <f t="shared" si="183"/>
        <v>0</v>
      </c>
      <c r="AK496" s="333">
        <f t="shared" si="195"/>
        <v>0</v>
      </c>
      <c r="AL496" s="332">
        <f t="shared" si="184"/>
        <v>0</v>
      </c>
      <c r="AM496" s="351"/>
      <c r="AN496" s="351"/>
    </row>
    <row r="497" spans="1:40">
      <c r="A497" s="139">
        <v>15</v>
      </c>
      <c r="B497" s="139">
        <f>IFERROR(IF((INDEX(Työkonekanta!$F$3:$F$27,MATCH('S3 Tiekartta'!$A497,Työkonekanta!$A$3:$A$24,0),1))&lt;0,0,(INDEX(Työkonekanta!$F$3:$F$27,MATCH('S3 Tiekartta'!$A497,Työkonekanta!$A$3:$A$24,0),1))),0)</f>
        <v>0</v>
      </c>
      <c r="C497" s="140">
        <v>2035</v>
      </c>
      <c r="D497" s="141" t="str">
        <f>IFERROR(INDEX(Työkonekanta!$D$3:$D$27,MATCH('S3 Tiekartta'!$A497,Työkonekanta!$A$3:$A$24,0),1),"undefined")</f>
        <v>sähkö</v>
      </c>
      <c r="E497" s="145">
        <f>IFERROR(INDEX(Työkonekanta!$G$3:$G$27,MATCH($A497,Työkonekanta!$A$3:$A$24,0),1)*INDEX(Työkonekanta!$H$3:$H$27,MATCH($A497,Työkonekanta!$A$3:$A$24,0),1)*(1+s0b_kasvu*($C497-2019))*$B497,0)</f>
        <v>0</v>
      </c>
      <c r="F497" s="145">
        <f t="shared" si="176"/>
        <v>0</v>
      </c>
      <c r="G497" s="151">
        <f t="shared" si="185"/>
        <v>0</v>
      </c>
      <c r="H497" s="145">
        <f t="shared" si="186"/>
        <v>0</v>
      </c>
      <c r="I497" s="145">
        <f t="shared" si="177"/>
        <v>0</v>
      </c>
      <c r="J497" s="145">
        <f t="shared" si="178"/>
        <v>0</v>
      </c>
      <c r="K497" s="142" t="str">
        <f t="shared" si="187"/>
        <v>kWh</v>
      </c>
      <c r="L497" s="146">
        <f>IFERROR(INDEX(Työkonekanta!$I$3:$I$27,MATCH('S3 Tiekartta'!$A497,Työkonekanta!$A$3:$A$24,0),1)*(I497+J497)*f_adblue,0)</f>
        <v>0</v>
      </c>
      <c r="M497" s="146">
        <f t="shared" si="196"/>
        <v>0</v>
      </c>
      <c r="N497" s="143" t="str">
        <f>IF(tuulisähkö_vuosi&lt;='S3 Tiekartta'!C497,"tuulisähkö",ostosähkö_nyt)</f>
        <v>jäännössähkö</v>
      </c>
      <c r="O497" s="147">
        <f>INDEX(Muuttujat!$J$5:$J$21,MATCH($C497,Muuttujat!$H$5:$H$21,0),1)</f>
        <v>58.961085487844883</v>
      </c>
      <c r="P497" s="148">
        <f t="shared" si="188"/>
        <v>0.10967226573224065</v>
      </c>
      <c r="Q497" s="148">
        <f t="shared" si="201"/>
        <v>0.89032773426775935</v>
      </c>
      <c r="R497" s="148">
        <f t="shared" si="190"/>
        <v>0.89032773426775935</v>
      </c>
      <c r="S497" s="149">
        <f t="shared" si="179"/>
        <v>0</v>
      </c>
      <c r="T497" s="150">
        <f t="shared" si="180"/>
        <v>0</v>
      </c>
      <c r="U497" s="150">
        <f t="shared" si="181"/>
        <v>0</v>
      </c>
      <c r="V497" s="150">
        <f>IFERROR(INDEX(Työkonekanta!$J$3:$J$27,MATCH($A497,Työkonekanta!$A$3:$A$24,0),1)*$B497*ef_li_ion_akku/1000/1000/INDEX(Työkonekanta!$K$3:$K$27,MATCH($A497,Työkonekanta!$A$3:$A$24,0)),0)</f>
        <v>0</v>
      </c>
      <c r="W497" s="149">
        <f t="shared" si="197"/>
        <v>0</v>
      </c>
      <c r="X497" s="150">
        <f t="shared" si="198"/>
        <v>0</v>
      </c>
      <c r="Y497" s="151">
        <f t="shared" si="199"/>
        <v>0</v>
      </c>
      <c r="Z497" s="152">
        <f t="shared" si="191"/>
        <v>0</v>
      </c>
      <c r="AA497" s="179">
        <f t="shared" si="192"/>
        <v>0</v>
      </c>
      <c r="AB497" s="179">
        <f t="shared" si="193"/>
        <v>0</v>
      </c>
      <c r="AC497" s="180">
        <f t="shared" si="200"/>
        <v>0</v>
      </c>
      <c r="AD497" s="156">
        <f t="shared" si="194"/>
        <v>0</v>
      </c>
      <c r="AE497" s="146">
        <f>IFERROR(INDEX(Työkonekanta!$L$3:$L$30,MATCH($A497,Työkonekanta!$A$3:$A$30,0),1),0)*AF497</f>
        <v>0</v>
      </c>
      <c r="AF497" s="146">
        <f>IFERROR(INDEX(Työkonekanta!$N$3:$N$32,MATCH($A497,Työkonekanta!$A$3:$A$32,0),1),0)</f>
        <v>0</v>
      </c>
      <c r="AG497" s="332">
        <f>I497*INDEX(Muuttujat!$U$5:$U$21,MATCH($C497,Muuttujat!$N$5:$N$21,0),1)</f>
        <v>0</v>
      </c>
      <c r="AH497" s="332">
        <f>J497*INDEX(Muuttujat!$T$5:$T$21,MATCH($C497,Muuttujat!$N$5:$N$21,0),1)</f>
        <v>0</v>
      </c>
      <c r="AI497" s="332">
        <f t="shared" si="182"/>
        <v>0</v>
      </c>
      <c r="AJ497" s="332">
        <f t="shared" si="183"/>
        <v>0</v>
      </c>
      <c r="AK497" s="333">
        <f t="shared" si="195"/>
        <v>0</v>
      </c>
      <c r="AL497" s="332">
        <f t="shared" si="184"/>
        <v>0</v>
      </c>
      <c r="AM497" s="351"/>
      <c r="AN497" s="351"/>
    </row>
    <row r="498" spans="1:40">
      <c r="A498" s="139">
        <v>16</v>
      </c>
      <c r="B498" s="139">
        <f>IFERROR(IF((INDEX(Työkonekanta!$F$3:$F$27,MATCH('S3 Tiekartta'!$A498,Työkonekanta!$A$3:$A$24,0),1))&lt;0,0,(INDEX(Työkonekanta!$F$3:$F$27,MATCH('S3 Tiekartta'!$A498,Työkonekanta!$A$3:$A$24,0),1))),0)</f>
        <v>0</v>
      </c>
      <c r="C498" s="140">
        <v>2035</v>
      </c>
      <c r="D498" s="141" t="str">
        <f>IFERROR(INDEX(Työkonekanta!$D$3:$D$27,MATCH('S3 Tiekartta'!$A498,Työkonekanta!$A$3:$A$24,0),1),"undefined")</f>
        <v>sähkö</v>
      </c>
      <c r="E498" s="145">
        <f>IFERROR(INDEX(Työkonekanta!$G$3:$G$27,MATCH($A498,Työkonekanta!$A$3:$A$24,0),1)*INDEX(Työkonekanta!$H$3:$H$27,MATCH($A498,Työkonekanta!$A$3:$A$24,0),1)*(1+s0b_kasvu*($C498-2019))*$B498,0)</f>
        <v>0</v>
      </c>
      <c r="F498" s="145">
        <f t="shared" si="176"/>
        <v>0</v>
      </c>
      <c r="G498" s="151">
        <f t="shared" si="185"/>
        <v>0</v>
      </c>
      <c r="H498" s="145">
        <f t="shared" si="186"/>
        <v>0</v>
      </c>
      <c r="I498" s="145">
        <f t="shared" si="177"/>
        <v>0</v>
      </c>
      <c r="J498" s="145">
        <f t="shared" si="178"/>
        <v>0</v>
      </c>
      <c r="K498" s="142" t="str">
        <f t="shared" si="187"/>
        <v>kWh</v>
      </c>
      <c r="L498" s="146">
        <f>IFERROR(INDEX(Työkonekanta!$I$3:$I$27,MATCH('S3 Tiekartta'!$A498,Työkonekanta!$A$3:$A$24,0),1)*(I498+J498)*f_adblue,0)</f>
        <v>0</v>
      </c>
      <c r="M498" s="146">
        <f t="shared" si="196"/>
        <v>0</v>
      </c>
      <c r="N498" s="143" t="str">
        <f>IF(tuulisähkö_vuosi&lt;='S3 Tiekartta'!C498,"tuulisähkö",ostosähkö_nyt)</f>
        <v>jäännössähkö</v>
      </c>
      <c r="O498" s="147">
        <f>INDEX(Muuttujat!$J$5:$J$21,MATCH($C498,Muuttujat!$H$5:$H$21,0),1)</f>
        <v>58.961085487844883</v>
      </c>
      <c r="P498" s="148">
        <f t="shared" si="188"/>
        <v>0.10967226573224065</v>
      </c>
      <c r="Q498" s="148">
        <f t="shared" si="201"/>
        <v>0.89032773426775935</v>
      </c>
      <c r="R498" s="148">
        <f t="shared" si="190"/>
        <v>0.89032773426775935</v>
      </c>
      <c r="S498" s="149">
        <f t="shared" si="179"/>
        <v>0</v>
      </c>
      <c r="T498" s="150">
        <f t="shared" si="180"/>
        <v>0</v>
      </c>
      <c r="U498" s="150">
        <f t="shared" si="181"/>
        <v>0</v>
      </c>
      <c r="V498" s="150">
        <f>IFERROR(INDEX(Työkonekanta!$J$3:$J$27,MATCH($A498,Työkonekanta!$A$3:$A$24,0),1)*$B498*ef_li_ion_akku/1000/1000/INDEX(Työkonekanta!$K$3:$K$27,MATCH($A498,Työkonekanta!$A$3:$A$24,0)),0)</f>
        <v>0</v>
      </c>
      <c r="W498" s="149">
        <f t="shared" si="197"/>
        <v>0</v>
      </c>
      <c r="X498" s="150">
        <f t="shared" si="198"/>
        <v>0</v>
      </c>
      <c r="Y498" s="151">
        <f t="shared" si="199"/>
        <v>0</v>
      </c>
      <c r="Z498" s="152">
        <f t="shared" si="191"/>
        <v>0</v>
      </c>
      <c r="AA498" s="179">
        <f t="shared" si="192"/>
        <v>0</v>
      </c>
      <c r="AB498" s="179">
        <f t="shared" si="193"/>
        <v>0</v>
      </c>
      <c r="AC498" s="180">
        <f t="shared" si="200"/>
        <v>0</v>
      </c>
      <c r="AD498" s="156">
        <f t="shared" si="194"/>
        <v>0</v>
      </c>
      <c r="AE498" s="146">
        <f>IFERROR(INDEX(Työkonekanta!$L$3:$L$30,MATCH($A498,Työkonekanta!$A$3:$A$30,0),1),0)*AF498</f>
        <v>0</v>
      </c>
      <c r="AF498" s="146">
        <f>IFERROR(INDEX(Työkonekanta!$N$3:$N$32,MATCH($A498,Työkonekanta!$A$3:$A$32,0),1),0)</f>
        <v>0</v>
      </c>
      <c r="AG498" s="332">
        <f>I498*INDEX(Muuttujat!$U$5:$U$21,MATCH($C498,Muuttujat!$N$5:$N$21,0),1)</f>
        <v>0</v>
      </c>
      <c r="AH498" s="332">
        <f>J498*INDEX(Muuttujat!$T$5:$T$21,MATCH($C498,Muuttujat!$N$5:$N$21,0),1)</f>
        <v>0</v>
      </c>
      <c r="AI498" s="332">
        <f t="shared" si="182"/>
        <v>0</v>
      </c>
      <c r="AJ498" s="332">
        <f t="shared" si="183"/>
        <v>0</v>
      </c>
      <c r="AK498" s="333">
        <f t="shared" si="195"/>
        <v>0</v>
      </c>
      <c r="AL498" s="332">
        <f t="shared" si="184"/>
        <v>0</v>
      </c>
      <c r="AM498" s="351"/>
      <c r="AN498" s="351"/>
    </row>
    <row r="499" spans="1:40">
      <c r="A499" s="139">
        <v>17</v>
      </c>
      <c r="B499" s="139">
        <f>IFERROR(IF((INDEX(Työkonekanta!$F$3:$F$27,MATCH('S3 Tiekartta'!$A499,Työkonekanta!$A$3:$A$24,0),1))&lt;0,0,(INDEX(Työkonekanta!$F$3:$F$27,MATCH('S3 Tiekartta'!$A499,Työkonekanta!$A$3:$A$24,0),1))),0)</f>
        <v>1</v>
      </c>
      <c r="C499" s="140">
        <v>2035</v>
      </c>
      <c r="D499" s="141" t="str">
        <f>IFERROR(INDEX(Työkonekanta!$D$3:$D$27,MATCH('S3 Tiekartta'!$A499,Työkonekanta!$A$3:$A$24,0),1),"undefined")</f>
        <v>pom</v>
      </c>
      <c r="E499" s="145">
        <f>IFERROR(INDEX(Työkonekanta!$G$3:$G$27,MATCH($A499,Työkonekanta!$A$3:$A$24,0),1)*INDEX(Työkonekanta!$H$3:$H$27,MATCH($A499,Työkonekanta!$A$3:$A$24,0),1)*(1+s0b_kasvu*($C499-2019))*$B499,0)</f>
        <v>11600</v>
      </c>
      <c r="F499" s="145">
        <f t="shared" si="176"/>
        <v>416440</v>
      </c>
      <c r="G499" s="151">
        <f t="shared" si="185"/>
        <v>45671.918341534292</v>
      </c>
      <c r="H499" s="145">
        <f t="shared" si="186"/>
        <v>370768.08165846573</v>
      </c>
      <c r="I499" s="145">
        <f t="shared" si="177"/>
        <v>1272.1982824939914</v>
      </c>
      <c r="J499" s="145">
        <f t="shared" si="178"/>
        <v>10809.56506292903</v>
      </c>
      <c r="K499" s="142" t="str">
        <f t="shared" si="187"/>
        <v>l</v>
      </c>
      <c r="L499" s="146">
        <f>IFERROR(INDEX(Työkonekanta!$I$3:$I$27,MATCH('S3 Tiekartta'!$A499,Työkonekanta!$A$3:$A$24,0),1)*(I499+J499)*f_adblue,0)</f>
        <v>604.08816727115106</v>
      </c>
      <c r="M499" s="146">
        <f t="shared" si="196"/>
        <v>0</v>
      </c>
      <c r="N499" s="143" t="str">
        <f>IF(tuulisähkö_vuosi&lt;='S3 Tiekartta'!C499,"tuulisähkö",ostosähkö_nyt)</f>
        <v>jäännössähkö</v>
      </c>
      <c r="O499" s="147">
        <f>INDEX(Muuttujat!$J$5:$J$21,MATCH($C499,Muuttujat!$H$5:$H$21,0),1)</f>
        <v>58.961085487844883</v>
      </c>
      <c r="P499" s="148">
        <f t="shared" si="188"/>
        <v>0.10967226573224065</v>
      </c>
      <c r="Q499" s="148">
        <f t="shared" si="201"/>
        <v>0.89032773426775935</v>
      </c>
      <c r="R499" s="148">
        <f t="shared" si="190"/>
        <v>0.89032773426775935</v>
      </c>
      <c r="S499" s="149">
        <f t="shared" si="179"/>
        <v>0.86319925665499808</v>
      </c>
      <c r="T499" s="150">
        <f t="shared" si="180"/>
        <v>23.135928295488263</v>
      </c>
      <c r="U499" s="150">
        <f t="shared" si="181"/>
        <v>0</v>
      </c>
      <c r="V499" s="150">
        <f>IFERROR(INDEX(Työkonekanta!$J$3:$J$27,MATCH($A499,Työkonekanta!$A$3:$A$24,0),1)*$B499*ef_li_ion_akku/1000/1000/INDEX(Työkonekanta!$K$3:$K$27,MATCH($A499,Työkonekanta!$A$3:$A$24,0)),0)</f>
        <v>0</v>
      </c>
      <c r="W499" s="149">
        <f t="shared" si="197"/>
        <v>3.3709645623412046</v>
      </c>
      <c r="X499" s="150">
        <f t="shared" si="198"/>
        <v>0.36858496559999998</v>
      </c>
      <c r="Y499" s="151">
        <f t="shared" si="199"/>
        <v>0.15706292349049925</v>
      </c>
      <c r="Z499" s="152">
        <f t="shared" si="191"/>
        <v>23.999127552143261</v>
      </c>
      <c r="AA499" s="179">
        <f t="shared" si="192"/>
        <v>3.528027485831704</v>
      </c>
      <c r="AB499" s="179">
        <f t="shared" si="193"/>
        <v>3.8966124514317042</v>
      </c>
      <c r="AC499" s="180">
        <f t="shared" si="200"/>
        <v>27.527155037974964</v>
      </c>
      <c r="AD499" s="156">
        <f t="shared" si="194"/>
        <v>27.895740003574964</v>
      </c>
      <c r="AE499" s="146">
        <f>IFERROR(INDEX(Työkonekanta!$L$3:$L$30,MATCH($A499,Työkonekanta!$A$3:$A$30,0),1),0)*AF499</f>
        <v>500000</v>
      </c>
      <c r="AF499" s="146">
        <f>IFERROR(INDEX(Työkonekanta!$N$3:$N$32,MATCH($A499,Työkonekanta!$A$3:$A$32,0),1),0)</f>
        <v>1</v>
      </c>
      <c r="AG499" s="332">
        <f>I499*INDEX(Muuttujat!$U$5:$U$21,MATCH($C499,Muuttujat!$N$5:$N$21,0),1)</f>
        <v>1335.808196618691</v>
      </c>
      <c r="AH499" s="332">
        <f>J499*INDEX(Muuttujat!$T$5:$T$21,MATCH($C499,Muuttujat!$N$5:$N$21,0),1)</f>
        <v>15673.869341247097</v>
      </c>
      <c r="AI499" s="332">
        <f t="shared" si="182"/>
        <v>302.04408363557553</v>
      </c>
      <c r="AJ499" s="332">
        <f t="shared" si="183"/>
        <v>0</v>
      </c>
      <c r="AK499" s="333">
        <f t="shared" si="195"/>
        <v>17311.721621501361</v>
      </c>
      <c r="AL499" s="332">
        <f t="shared" si="184"/>
        <v>17311.721621501361</v>
      </c>
      <c r="AM499" s="351"/>
      <c r="AN499" s="351"/>
    </row>
    <row r="500" spans="1:40">
      <c r="A500" s="139">
        <v>18</v>
      </c>
      <c r="B500" s="139">
        <f>IFERROR(IF((INDEX(Työkonekanta!$F$3:$F$27,MATCH('S3 Tiekartta'!$A500,Työkonekanta!$A$3:$A$24,0),1))&lt;0,0,(INDEX(Työkonekanta!$F$3:$F$27,MATCH('S3 Tiekartta'!$A500,Työkonekanta!$A$3:$A$24,0),1))),0)</f>
        <v>1</v>
      </c>
      <c r="C500" s="140">
        <v>2035</v>
      </c>
      <c r="D500" s="141" t="str">
        <f>IFERROR(INDEX(Työkonekanta!$D$3:$D$27,MATCH('S3 Tiekartta'!$A500,Työkonekanta!$A$3:$A$24,0),1),"undefined")</f>
        <v>pom</v>
      </c>
      <c r="E500" s="145">
        <f>IFERROR(INDEX(Työkonekanta!$G$3:$G$27,MATCH($A500,Työkonekanta!$A$3:$A$24,0),1)*INDEX(Työkonekanta!$H$3:$H$27,MATCH($A500,Työkonekanta!$A$3:$A$24,0),1)*(1+s0b_kasvu*($C500-2019))*$B500,0)</f>
        <v>11600</v>
      </c>
      <c r="F500" s="145">
        <f t="shared" si="176"/>
        <v>416440</v>
      </c>
      <c r="G500" s="151">
        <f t="shared" si="185"/>
        <v>45671.918341534292</v>
      </c>
      <c r="H500" s="145">
        <f t="shared" si="186"/>
        <v>370768.08165846573</v>
      </c>
      <c r="I500" s="145">
        <f t="shared" si="177"/>
        <v>1272.1982824939914</v>
      </c>
      <c r="J500" s="145">
        <f t="shared" si="178"/>
        <v>10809.56506292903</v>
      </c>
      <c r="K500" s="142" t="str">
        <f t="shared" si="187"/>
        <v>l</v>
      </c>
      <c r="L500" s="146">
        <f>IFERROR(INDEX(Työkonekanta!$I$3:$I$27,MATCH('S3 Tiekartta'!$A500,Työkonekanta!$A$3:$A$24,0),1)*(I500+J500)*f_adblue,0)</f>
        <v>483.27053381692087</v>
      </c>
      <c r="M500" s="146">
        <f t="shared" si="196"/>
        <v>0</v>
      </c>
      <c r="N500" s="143" t="str">
        <f>IF(tuulisähkö_vuosi&lt;='S3 Tiekartta'!C500,"tuulisähkö",ostosähkö_nyt)</f>
        <v>jäännössähkö</v>
      </c>
      <c r="O500" s="147">
        <f>INDEX(Muuttujat!$J$5:$J$21,MATCH($C500,Muuttujat!$H$5:$H$21,0),1)</f>
        <v>58.961085487844883</v>
      </c>
      <c r="P500" s="148">
        <f t="shared" si="188"/>
        <v>0.10967226573224065</v>
      </c>
      <c r="Q500" s="148">
        <f t="shared" si="201"/>
        <v>0.89032773426775935</v>
      </c>
      <c r="R500" s="148">
        <f t="shared" si="190"/>
        <v>0.89032773426775935</v>
      </c>
      <c r="S500" s="149">
        <f t="shared" si="179"/>
        <v>0.86319925665499808</v>
      </c>
      <c r="T500" s="150">
        <f t="shared" si="180"/>
        <v>23.135928295488263</v>
      </c>
      <c r="U500" s="150">
        <f t="shared" si="181"/>
        <v>0</v>
      </c>
      <c r="V500" s="150">
        <f>IFERROR(INDEX(Työkonekanta!$J$3:$J$27,MATCH($A500,Työkonekanta!$A$3:$A$24,0),1)*$B500*ef_li_ion_akku/1000/1000/INDEX(Työkonekanta!$K$3:$K$27,MATCH($A500,Työkonekanta!$A$3:$A$24,0)),0)</f>
        <v>0</v>
      </c>
      <c r="W500" s="149">
        <f t="shared" si="197"/>
        <v>3.3709645623412046</v>
      </c>
      <c r="X500" s="150">
        <f t="shared" si="198"/>
        <v>0.36858496559999998</v>
      </c>
      <c r="Y500" s="151">
        <f t="shared" si="199"/>
        <v>0.12565033879239942</v>
      </c>
      <c r="Z500" s="152">
        <f t="shared" si="191"/>
        <v>23.999127552143261</v>
      </c>
      <c r="AA500" s="179">
        <f t="shared" si="192"/>
        <v>3.4966149011336038</v>
      </c>
      <c r="AB500" s="179">
        <f t="shared" si="193"/>
        <v>3.8651998667336041</v>
      </c>
      <c r="AC500" s="180">
        <f t="shared" si="200"/>
        <v>27.495742453276865</v>
      </c>
      <c r="AD500" s="156">
        <f t="shared" si="194"/>
        <v>27.864327418876865</v>
      </c>
      <c r="AE500" s="146">
        <f>IFERROR(INDEX(Työkonekanta!$L$3:$L$30,MATCH($A500,Työkonekanta!$A$3:$A$30,0),1),0)*AF500</f>
        <v>500000</v>
      </c>
      <c r="AF500" s="146">
        <f>IFERROR(INDEX(Työkonekanta!$N$3:$N$32,MATCH($A500,Työkonekanta!$A$3:$A$32,0),1),0)</f>
        <v>1</v>
      </c>
      <c r="AG500" s="332">
        <f>I500*INDEX(Muuttujat!$U$5:$U$21,MATCH($C500,Muuttujat!$N$5:$N$21,0),1)</f>
        <v>1335.808196618691</v>
      </c>
      <c r="AH500" s="332">
        <f>J500*INDEX(Muuttujat!$T$5:$T$21,MATCH($C500,Muuttujat!$N$5:$N$21,0),1)</f>
        <v>15673.869341247097</v>
      </c>
      <c r="AI500" s="332">
        <f t="shared" si="182"/>
        <v>241.63526690846044</v>
      </c>
      <c r="AJ500" s="332">
        <f t="shared" si="183"/>
        <v>0</v>
      </c>
      <c r="AK500" s="333">
        <f t="shared" si="195"/>
        <v>17251.312804774247</v>
      </c>
      <c r="AL500" s="332">
        <f t="shared" si="184"/>
        <v>17251.312804774247</v>
      </c>
      <c r="AM500" s="351"/>
      <c r="AN500" s="351"/>
    </row>
    <row r="501" spans="1:40">
      <c r="A501" s="139">
        <v>19</v>
      </c>
      <c r="B501" s="139">
        <f>IFERROR(IF((INDEX(Työkonekanta!$F$3:$F$27,MATCH('S3 Tiekartta'!$A501,Työkonekanta!$A$3:$A$24,0),1))&lt;0,0,(INDEX(Työkonekanta!$F$3:$F$27,MATCH('S3 Tiekartta'!$A501,Työkonekanta!$A$3:$A$24,0),1))),0)</f>
        <v>0</v>
      </c>
      <c r="C501" s="140">
        <v>2035</v>
      </c>
      <c r="D501" s="141" t="str">
        <f>IFERROR(INDEX(Työkonekanta!$D$3:$D$27,MATCH('S3 Tiekartta'!$A501,Työkonekanta!$A$3:$A$24,0),1),"undefined")</f>
        <v>pom</v>
      </c>
      <c r="E501" s="145">
        <f>IFERROR(INDEX(Työkonekanta!$G$3:$G$27,MATCH($A501,Työkonekanta!$A$3:$A$24,0),1)*INDEX(Työkonekanta!$H$3:$H$27,MATCH($A501,Työkonekanta!$A$3:$A$24,0),1)*(1+s0b_kasvu*($C501-2019))*$B501,0)</f>
        <v>0</v>
      </c>
      <c r="F501" s="145">
        <f t="shared" si="176"/>
        <v>0</v>
      </c>
      <c r="G501" s="151">
        <f t="shared" si="185"/>
        <v>0</v>
      </c>
      <c r="H501" s="145">
        <f t="shared" si="186"/>
        <v>0</v>
      </c>
      <c r="I501" s="145">
        <f t="shared" si="177"/>
        <v>0</v>
      </c>
      <c r="J501" s="145">
        <f t="shared" si="178"/>
        <v>0</v>
      </c>
      <c r="K501" s="142" t="str">
        <f t="shared" si="187"/>
        <v>l</v>
      </c>
      <c r="L501" s="146">
        <f>IFERROR(INDEX(Työkonekanta!$I$3:$I$27,MATCH('S3 Tiekartta'!$A501,Työkonekanta!$A$3:$A$24,0),1)*(I501+J501)*f_adblue,0)</f>
        <v>0</v>
      </c>
      <c r="M501" s="146">
        <f t="shared" si="196"/>
        <v>0</v>
      </c>
      <c r="N501" s="143" t="str">
        <f>IF(tuulisähkö_vuosi&lt;='S3 Tiekartta'!C501,"tuulisähkö",ostosähkö_nyt)</f>
        <v>jäännössähkö</v>
      </c>
      <c r="O501" s="147">
        <f>INDEX(Muuttujat!$J$5:$J$21,MATCH($C501,Muuttujat!$H$5:$H$21,0),1)</f>
        <v>58.961085487844883</v>
      </c>
      <c r="P501" s="148">
        <f t="shared" si="188"/>
        <v>0.10967226573224065</v>
      </c>
      <c r="Q501" s="148">
        <f t="shared" si="201"/>
        <v>0.89032773426775935</v>
      </c>
      <c r="R501" s="148">
        <f t="shared" si="190"/>
        <v>0.89032773426775935</v>
      </c>
      <c r="S501" s="149">
        <f t="shared" si="179"/>
        <v>0</v>
      </c>
      <c r="T501" s="150">
        <f t="shared" si="180"/>
        <v>0</v>
      </c>
      <c r="U501" s="150">
        <f t="shared" si="181"/>
        <v>0</v>
      </c>
      <c r="V501" s="150">
        <f>IFERROR(INDEX(Työkonekanta!$J$3:$J$27,MATCH($A501,Työkonekanta!$A$3:$A$24,0),1)*$B501*ef_li_ion_akku/1000/1000/INDEX(Työkonekanta!$K$3:$K$27,MATCH($A501,Työkonekanta!$A$3:$A$24,0)),0)</f>
        <v>0</v>
      </c>
      <c r="W501" s="149">
        <f t="shared" si="197"/>
        <v>0</v>
      </c>
      <c r="X501" s="150">
        <f t="shared" si="198"/>
        <v>0</v>
      </c>
      <c r="Y501" s="151">
        <f t="shared" si="199"/>
        <v>0</v>
      </c>
      <c r="Z501" s="152">
        <f t="shared" si="191"/>
        <v>0</v>
      </c>
      <c r="AA501" s="179">
        <f t="shared" si="192"/>
        <v>0</v>
      </c>
      <c r="AB501" s="179">
        <f t="shared" si="193"/>
        <v>0</v>
      </c>
      <c r="AC501" s="180">
        <f t="shared" si="200"/>
        <v>0</v>
      </c>
      <c r="AD501" s="156">
        <f t="shared" si="194"/>
        <v>0</v>
      </c>
      <c r="AE501" s="146">
        <f>IFERROR(INDEX(Työkonekanta!$L$3:$L$30,MATCH($A501,Työkonekanta!$A$3:$A$30,0),1),0)*AF501</f>
        <v>0</v>
      </c>
      <c r="AF501" s="146">
        <f>IFERROR(INDEX(Työkonekanta!$N$3:$N$32,MATCH($A501,Työkonekanta!$A$3:$A$32,0),1),0)</f>
        <v>0</v>
      </c>
      <c r="AG501" s="332">
        <f>I501*INDEX(Muuttujat!$U$5:$U$21,MATCH($C501,Muuttujat!$N$5:$N$21,0),1)</f>
        <v>0</v>
      </c>
      <c r="AH501" s="332">
        <f>J501*INDEX(Muuttujat!$T$5:$T$21,MATCH($C501,Muuttujat!$N$5:$N$21,0),1)</f>
        <v>0</v>
      </c>
      <c r="AI501" s="332">
        <f t="shared" si="182"/>
        <v>0</v>
      </c>
      <c r="AJ501" s="332">
        <f t="shared" si="183"/>
        <v>0</v>
      </c>
      <c r="AK501" s="333">
        <f t="shared" si="195"/>
        <v>0</v>
      </c>
      <c r="AL501" s="332">
        <f t="shared" si="184"/>
        <v>0</v>
      </c>
      <c r="AM501" s="351"/>
      <c r="AN501" s="351"/>
    </row>
    <row r="502" spans="1:40">
      <c r="A502" s="139">
        <v>20</v>
      </c>
      <c r="B502" s="139">
        <f>IFERROR(IF((INDEX(Työkonekanta!$F$3:$F$27,MATCH('S3 Tiekartta'!$A502,Työkonekanta!$A$3:$A$24,0),1))&lt;0,0,(INDEX(Työkonekanta!$F$3:$F$27,MATCH('S3 Tiekartta'!$A502,Työkonekanta!$A$3:$A$24,0),1))),0)</f>
        <v>0</v>
      </c>
      <c r="C502" s="140">
        <v>2035</v>
      </c>
      <c r="D502" s="141" t="str">
        <f>IFERROR(INDEX(Työkonekanta!$D$3:$D$27,MATCH('S3 Tiekartta'!$A502,Työkonekanta!$A$3:$A$24,0),1),"undefined")</f>
        <v>pom</v>
      </c>
      <c r="E502" s="145">
        <f>IFERROR(INDEX(Työkonekanta!$G$3:$G$27,MATCH($A502,Työkonekanta!$A$3:$A$24,0),1)*INDEX(Työkonekanta!$H$3:$H$27,MATCH($A502,Työkonekanta!$A$3:$A$24,0),1)*(1+s0b_kasvu*($C502-2019))*$B502,0)</f>
        <v>0</v>
      </c>
      <c r="F502" s="145">
        <f t="shared" si="176"/>
        <v>0</v>
      </c>
      <c r="G502" s="151">
        <f t="shared" si="185"/>
        <v>0</v>
      </c>
      <c r="H502" s="145">
        <f t="shared" si="186"/>
        <v>0</v>
      </c>
      <c r="I502" s="145">
        <f t="shared" si="177"/>
        <v>0</v>
      </c>
      <c r="J502" s="145">
        <f t="shared" si="178"/>
        <v>0</v>
      </c>
      <c r="K502" s="142" t="str">
        <f t="shared" si="187"/>
        <v>l</v>
      </c>
      <c r="L502" s="146">
        <f>IFERROR(INDEX(Työkonekanta!$I$3:$I$27,MATCH('S3 Tiekartta'!$A502,Työkonekanta!$A$3:$A$24,0),1)*(I502+J502)*f_adblue,0)</f>
        <v>0</v>
      </c>
      <c r="M502" s="146">
        <f t="shared" si="196"/>
        <v>0</v>
      </c>
      <c r="N502" s="143" t="str">
        <f>IF(tuulisähkö_vuosi&lt;='S3 Tiekartta'!C502,"tuulisähkö",ostosähkö_nyt)</f>
        <v>jäännössähkö</v>
      </c>
      <c r="O502" s="147">
        <f>INDEX(Muuttujat!$J$5:$J$21,MATCH($C502,Muuttujat!$H$5:$H$21,0),1)</f>
        <v>58.961085487844883</v>
      </c>
      <c r="P502" s="148">
        <f t="shared" si="188"/>
        <v>0.10967226573224065</v>
      </c>
      <c r="Q502" s="148">
        <f t="shared" si="201"/>
        <v>0.89032773426775935</v>
      </c>
      <c r="R502" s="148">
        <f t="shared" si="190"/>
        <v>0.89032773426775935</v>
      </c>
      <c r="S502" s="149">
        <f t="shared" si="179"/>
        <v>0</v>
      </c>
      <c r="T502" s="150">
        <f t="shared" si="180"/>
        <v>0</v>
      </c>
      <c r="U502" s="150">
        <f t="shared" si="181"/>
        <v>0</v>
      </c>
      <c r="V502" s="150">
        <f>IFERROR(INDEX(Työkonekanta!$J$3:$J$27,MATCH($A502,Työkonekanta!$A$3:$A$24,0),1)*$B502*ef_li_ion_akku/1000/1000/INDEX(Työkonekanta!$K$3:$K$27,MATCH($A502,Työkonekanta!$A$3:$A$24,0)),0)</f>
        <v>0</v>
      </c>
      <c r="W502" s="149">
        <f t="shared" si="197"/>
        <v>0</v>
      </c>
      <c r="X502" s="150">
        <f t="shared" si="198"/>
        <v>0</v>
      </c>
      <c r="Y502" s="151">
        <f t="shared" si="199"/>
        <v>0</v>
      </c>
      <c r="Z502" s="152">
        <f t="shared" si="191"/>
        <v>0</v>
      </c>
      <c r="AA502" s="179">
        <f t="shared" si="192"/>
        <v>0</v>
      </c>
      <c r="AB502" s="179">
        <f t="shared" si="193"/>
        <v>0</v>
      </c>
      <c r="AC502" s="180">
        <f t="shared" si="200"/>
        <v>0</v>
      </c>
      <c r="AD502" s="156">
        <f t="shared" si="194"/>
        <v>0</v>
      </c>
      <c r="AE502" s="146">
        <f>IFERROR(INDEX(Työkonekanta!$L$3:$L$30,MATCH($A502,Työkonekanta!$A$3:$A$30,0),1),0)*AF502</f>
        <v>0</v>
      </c>
      <c r="AF502" s="146">
        <f>IFERROR(INDEX(Työkonekanta!$N$3:$N$32,MATCH($A502,Työkonekanta!$A$3:$A$32,0),1),0)</f>
        <v>0</v>
      </c>
      <c r="AG502" s="332">
        <f>I502*INDEX(Muuttujat!$U$5:$U$21,MATCH($C502,Muuttujat!$N$5:$N$21,0),1)</f>
        <v>0</v>
      </c>
      <c r="AH502" s="332">
        <f>J502*INDEX(Muuttujat!$T$5:$T$21,MATCH($C502,Muuttujat!$N$5:$N$21,0),1)</f>
        <v>0</v>
      </c>
      <c r="AI502" s="332">
        <f t="shared" si="182"/>
        <v>0</v>
      </c>
      <c r="AJ502" s="332">
        <f t="shared" si="183"/>
        <v>0</v>
      </c>
      <c r="AK502" s="333">
        <f t="shared" si="195"/>
        <v>0</v>
      </c>
      <c r="AL502" s="332">
        <f t="shared" si="184"/>
        <v>0</v>
      </c>
      <c r="AM502" s="351"/>
      <c r="AN502" s="351"/>
    </row>
    <row r="503" spans="1:40">
      <c r="A503" s="139">
        <v>21</v>
      </c>
      <c r="B503" s="139">
        <f>IFERROR(IF((INDEX(Työkonekanta!$F$3:$F$27,MATCH('S3 Tiekartta'!$A503,Työkonekanta!$A$3:$A$24,0),1))&lt;0,0,(INDEX(Työkonekanta!$F$3:$F$27,MATCH('S3 Tiekartta'!$A503,Työkonekanta!$A$3:$A$24,0),1))),0)</f>
        <v>35</v>
      </c>
      <c r="C503" s="140">
        <v>2035</v>
      </c>
      <c r="D503" s="141" t="str">
        <f>IFERROR(INDEX(Työkonekanta!$D$3:$D$27,MATCH('S3 Tiekartta'!$A503,Työkonekanta!$A$3:$A$24,0),1),"undefined")</f>
        <v>sähkö</v>
      </c>
      <c r="E503" s="145">
        <f>IFERROR(INDEX(Työkonekanta!$G$3:$G$27,MATCH($A503,Työkonekanta!$A$3:$A$24,0),1)*INDEX(Työkonekanta!$H$3:$H$27,MATCH($A503,Työkonekanta!$A$3:$A$24,0),1)*(1+s0b_kasvu*($C503-2019))*$B503,0)</f>
        <v>472350.92592592584</v>
      </c>
      <c r="F503" s="145">
        <f t="shared" si="176"/>
        <v>0</v>
      </c>
      <c r="G503" s="151">
        <f t="shared" si="185"/>
        <v>0</v>
      </c>
      <c r="H503" s="145">
        <f t="shared" si="186"/>
        <v>0</v>
      </c>
      <c r="I503" s="145">
        <f t="shared" si="177"/>
        <v>0</v>
      </c>
      <c r="J503" s="145">
        <f t="shared" si="178"/>
        <v>0</v>
      </c>
      <c r="K503" s="142" t="str">
        <f t="shared" si="187"/>
        <v>kWh</v>
      </c>
      <c r="L503" s="146">
        <f>IFERROR(INDEX(Työkonekanta!$I$3:$I$27,MATCH('S3 Tiekartta'!$A503,Työkonekanta!$A$3:$A$24,0),1)*(I503+J503)*f_adblue,0)</f>
        <v>0</v>
      </c>
      <c r="M503" s="146">
        <f t="shared" si="196"/>
        <v>1700463.333333333</v>
      </c>
      <c r="N503" s="143" t="str">
        <f>IF(tuulisähkö_vuosi&lt;='S3 Tiekartta'!C503,"tuulisähkö",ostosähkö_nyt)</f>
        <v>jäännössähkö</v>
      </c>
      <c r="O503" s="147">
        <f>INDEX(Muuttujat!$J$5:$J$21,MATCH($C503,Muuttujat!$H$5:$H$21,0),1)</f>
        <v>58.961085487844883</v>
      </c>
      <c r="P503" s="148">
        <f t="shared" si="188"/>
        <v>0.10967226573224065</v>
      </c>
      <c r="Q503" s="148">
        <f t="shared" si="201"/>
        <v>0.89032773426775935</v>
      </c>
      <c r="R503" s="148">
        <f t="shared" si="190"/>
        <v>0.89032773426775935</v>
      </c>
      <c r="S503" s="149">
        <f t="shared" si="179"/>
        <v>0</v>
      </c>
      <c r="T503" s="150">
        <f t="shared" si="180"/>
        <v>0</v>
      </c>
      <c r="U503" s="150">
        <f t="shared" si="181"/>
        <v>100.26116396561231</v>
      </c>
      <c r="V503" s="150">
        <f>IFERROR(INDEX(Työkonekanta!$J$3:$J$27,MATCH($A503,Työkonekanta!$A$3:$A$24,0),1)*$B503*ef_li_ion_akku/1000/1000/INDEX(Työkonekanta!$K$3:$K$27,MATCH($A503,Työkonekanta!$A$3:$A$24,0)),0)</f>
        <v>43.121723076923082</v>
      </c>
      <c r="W503" s="149">
        <f t="shared" si="197"/>
        <v>0</v>
      </c>
      <c r="X503" s="150">
        <f t="shared" si="198"/>
        <v>0</v>
      </c>
      <c r="Y503" s="151">
        <f t="shared" si="199"/>
        <v>0</v>
      </c>
      <c r="Z503" s="152">
        <f t="shared" si="191"/>
        <v>143.3828870425354</v>
      </c>
      <c r="AA503" s="179">
        <f t="shared" si="192"/>
        <v>0</v>
      </c>
      <c r="AB503" s="179">
        <f t="shared" si="193"/>
        <v>0</v>
      </c>
      <c r="AC503" s="180">
        <f t="shared" si="200"/>
        <v>143.3828870425354</v>
      </c>
      <c r="AD503" s="156">
        <f t="shared" si="194"/>
        <v>143.3828870425354</v>
      </c>
      <c r="AE503" s="146">
        <f>IFERROR(INDEX(Työkonekanta!$L$3:$L$30,MATCH($A503,Työkonekanta!$A$3:$A$30,0),1),0)*AF503</f>
        <v>1820000</v>
      </c>
      <c r="AF503" s="146">
        <f>IFERROR(INDEX(Työkonekanta!$N$3:$N$32,MATCH($A503,Työkonekanta!$A$3:$A$32,0),1),0)</f>
        <v>7</v>
      </c>
      <c r="AG503" s="332">
        <f>I503*INDEX(Muuttujat!$U$5:$U$21,MATCH($C503,Muuttujat!$N$5:$N$21,0),1)</f>
        <v>0</v>
      </c>
      <c r="AH503" s="332">
        <f>J503*INDEX(Muuttujat!$T$5:$T$21,MATCH($C503,Muuttujat!$N$5:$N$21,0),1)</f>
        <v>0</v>
      </c>
      <c r="AI503" s="332">
        <f t="shared" si="182"/>
        <v>0</v>
      </c>
      <c r="AJ503" s="332">
        <f t="shared" si="183"/>
        <v>41803.056944444441</v>
      </c>
      <c r="AK503" s="333">
        <f t="shared" si="195"/>
        <v>41803.056944444441</v>
      </c>
      <c r="AL503" s="332">
        <f t="shared" si="184"/>
        <v>1194.3730555555555</v>
      </c>
      <c r="AM503" s="351"/>
      <c r="AN503" s="351"/>
    </row>
    <row r="504" spans="1:40">
      <c r="A504" s="139">
        <v>22</v>
      </c>
      <c r="B504" s="139">
        <f>IFERROR(IF((INDEX(Työkonekanta!$F$3:$F$27,MATCH('S3 Tiekartta'!$A504,Työkonekanta!$A$3:$A$24,0),1))&lt;0,0,(INDEX(Työkonekanta!$F$3:$F$27,MATCH('S3 Tiekartta'!$A504,Työkonekanta!$A$3:$A$24,0),1))),0)</f>
        <v>0</v>
      </c>
      <c r="C504" s="140">
        <v>2035</v>
      </c>
      <c r="D504" s="141" t="str">
        <f>IFERROR(INDEX(Työkonekanta!$D$3:$D$27,MATCH('S3 Tiekartta'!$A504,Työkonekanta!$A$3:$A$24,0),1),"undefined")</f>
        <v>sähkö</v>
      </c>
      <c r="E504" s="145">
        <f>IFERROR(INDEX(Työkonekanta!$G$3:$G$27,MATCH($A504,Työkonekanta!$A$3:$A$24,0),1)*INDEX(Työkonekanta!$H$3:$H$27,MATCH($A504,Työkonekanta!$A$3:$A$24,0),1)*(1+s0b_kasvu*($C504-2019))*$B504,0)</f>
        <v>0</v>
      </c>
      <c r="F504" s="145">
        <f t="shared" si="176"/>
        <v>0</v>
      </c>
      <c r="G504" s="151">
        <f t="shared" si="185"/>
        <v>0</v>
      </c>
      <c r="H504" s="145">
        <f t="shared" si="186"/>
        <v>0</v>
      </c>
      <c r="I504" s="145">
        <f t="shared" si="177"/>
        <v>0</v>
      </c>
      <c r="J504" s="145">
        <f t="shared" si="178"/>
        <v>0</v>
      </c>
      <c r="K504" s="142" t="str">
        <f t="shared" si="187"/>
        <v>kWh</v>
      </c>
      <c r="L504" s="146">
        <f>IFERROR(INDEX(Työkonekanta!$I$3:$I$27,MATCH('S3 Tiekartta'!$A504,Työkonekanta!$A$3:$A$24,0),1)*(I504+J504)*f_adblue,0)</f>
        <v>0</v>
      </c>
      <c r="M504" s="146">
        <f t="shared" si="196"/>
        <v>0</v>
      </c>
      <c r="N504" s="143" t="str">
        <f>IF(tuulisähkö_vuosi&lt;='S3 Tiekartta'!C504,"tuulisähkö",ostosähkö_nyt)</f>
        <v>jäännössähkö</v>
      </c>
      <c r="O504" s="147">
        <f>INDEX(Muuttujat!$J$5:$J$21,MATCH($C504,Muuttujat!$H$5:$H$21,0),1)</f>
        <v>58.961085487844883</v>
      </c>
      <c r="P504" s="148">
        <f t="shared" si="188"/>
        <v>0.10967226573224065</v>
      </c>
      <c r="Q504" s="148">
        <f t="shared" si="201"/>
        <v>0.89032773426775935</v>
      </c>
      <c r="R504" s="148">
        <f t="shared" si="190"/>
        <v>0.89032773426775935</v>
      </c>
      <c r="S504" s="149">
        <f t="shared" si="179"/>
        <v>0</v>
      </c>
      <c r="T504" s="150">
        <f t="shared" si="180"/>
        <v>0</v>
      </c>
      <c r="U504" s="150">
        <f t="shared" si="181"/>
        <v>0</v>
      </c>
      <c r="V504" s="150">
        <f>IFERROR(INDEX(Työkonekanta!$J$3:$J$27,MATCH($A504,Työkonekanta!$A$3:$A$24,0),1)*$B504*ef_li_ion_akku/1000/1000/INDEX(Työkonekanta!$K$3:$K$27,MATCH($A504,Työkonekanta!$A$3:$A$24,0)),0)</f>
        <v>0</v>
      </c>
      <c r="W504" s="149">
        <f t="shared" si="197"/>
        <v>0</v>
      </c>
      <c r="X504" s="150">
        <f t="shared" si="198"/>
        <v>0</v>
      </c>
      <c r="Y504" s="151">
        <f t="shared" si="199"/>
        <v>0</v>
      </c>
      <c r="Z504" s="152">
        <f t="shared" si="191"/>
        <v>0</v>
      </c>
      <c r="AA504" s="179">
        <f t="shared" si="192"/>
        <v>0</v>
      </c>
      <c r="AB504" s="179">
        <f t="shared" si="193"/>
        <v>0</v>
      </c>
      <c r="AC504" s="180">
        <f t="shared" si="200"/>
        <v>0</v>
      </c>
      <c r="AD504" s="156">
        <f t="shared" si="194"/>
        <v>0</v>
      </c>
      <c r="AE504" s="146">
        <f>IFERROR(INDEX(Työkonekanta!$L$3:$L$30,MATCH($A504,Työkonekanta!$A$3:$A$30,0),1),0)*AF504</f>
        <v>0</v>
      </c>
      <c r="AF504" s="146">
        <f>IFERROR(INDEX(Työkonekanta!$N$3:$N$32,MATCH($A504,Työkonekanta!$A$3:$A$32,0),1),0)</f>
        <v>0</v>
      </c>
      <c r="AG504" s="332">
        <f>I504*INDEX(Muuttujat!$U$5:$U$21,MATCH($C504,Muuttujat!$N$5:$N$21,0),1)</f>
        <v>0</v>
      </c>
      <c r="AH504" s="332">
        <f>J504*INDEX(Muuttujat!$T$5:$T$21,MATCH($C504,Muuttujat!$N$5:$N$21,0),1)</f>
        <v>0</v>
      </c>
      <c r="AI504" s="332">
        <f t="shared" si="182"/>
        <v>0</v>
      </c>
      <c r="AJ504" s="332">
        <f t="shared" si="183"/>
        <v>0</v>
      </c>
      <c r="AK504" s="333">
        <f t="shared" si="195"/>
        <v>0</v>
      </c>
      <c r="AL504" s="332">
        <f t="shared" si="184"/>
        <v>0</v>
      </c>
      <c r="AM504" s="351"/>
      <c r="AN504" s="351"/>
    </row>
    <row r="505" spans="1:40">
      <c r="A505" s="139">
        <v>23</v>
      </c>
      <c r="B505" s="139">
        <f>IFERROR(IF((INDEX(Työkonekanta!$F$3:$F$27,MATCH('S3 Tiekartta'!$A505,Työkonekanta!$A$3:$A$24,0),1))&lt;0,0,(INDEX(Työkonekanta!$F$3:$F$27,MATCH('S3 Tiekartta'!$A505,Työkonekanta!$A$3:$A$24,0),1))),0)</f>
        <v>0</v>
      </c>
      <c r="C505" s="140">
        <v>2035</v>
      </c>
      <c r="D505" s="141" t="str">
        <f>IFERROR(INDEX(Työkonekanta!$D$3:$D$27,MATCH('S3 Tiekartta'!$A505,Työkonekanta!$A$3:$A$24,0),1),"undefined")</f>
        <v>undefined</v>
      </c>
      <c r="E505" s="145">
        <f>IFERROR(INDEX(Työkonekanta!$G$3:$G$27,MATCH($A505,Työkonekanta!$A$3:$A$24,0),1)*INDEX(Työkonekanta!$H$3:$H$27,MATCH($A505,Työkonekanta!$A$3:$A$24,0),1)*(1+s0b_kasvu*($C505-2019))*$B505,0)</f>
        <v>0</v>
      </c>
      <c r="F505" s="145">
        <f t="shared" si="176"/>
        <v>0</v>
      </c>
      <c r="G505" s="151">
        <f t="shared" si="185"/>
        <v>0</v>
      </c>
      <c r="H505" s="145">
        <f t="shared" si="186"/>
        <v>0</v>
      </c>
      <c r="I505" s="145">
        <f t="shared" si="177"/>
        <v>0</v>
      </c>
      <c r="J505" s="145">
        <f t="shared" si="178"/>
        <v>0</v>
      </c>
      <c r="K505" s="142" t="str">
        <f t="shared" si="187"/>
        <v>undefined</v>
      </c>
      <c r="L505" s="146">
        <f>IFERROR(INDEX(Työkonekanta!$I$3:$I$27,MATCH('S3 Tiekartta'!$A505,Työkonekanta!$A$3:$A$24,0),1)*(I505+J505)*f_adblue,0)</f>
        <v>0</v>
      </c>
      <c r="M505" s="146">
        <f t="shared" si="196"/>
        <v>0</v>
      </c>
      <c r="N505" s="143" t="str">
        <f>IF(tuulisähkö_vuosi&lt;='S3 Tiekartta'!C505,"tuulisähkö",ostosähkö_nyt)</f>
        <v>jäännössähkö</v>
      </c>
      <c r="O505" s="147">
        <f>INDEX(Muuttujat!$J$5:$J$21,MATCH($C505,Muuttujat!$H$5:$H$21,0),1)</f>
        <v>58.961085487844883</v>
      </c>
      <c r="P505" s="148">
        <f t="shared" si="188"/>
        <v>0.10967226573224065</v>
      </c>
      <c r="Q505" s="148">
        <f t="shared" si="201"/>
        <v>0.89032773426775935</v>
      </c>
      <c r="R505" s="148">
        <f t="shared" si="190"/>
        <v>0.89032773426775935</v>
      </c>
      <c r="S505" s="149">
        <f t="shared" si="179"/>
        <v>0</v>
      </c>
      <c r="T505" s="150">
        <f t="shared" si="180"/>
        <v>0</v>
      </c>
      <c r="U505" s="150">
        <f t="shared" si="181"/>
        <v>0</v>
      </c>
      <c r="V505" s="150">
        <f>IFERROR(INDEX(Työkonekanta!$J$3:$J$27,MATCH($A505,Työkonekanta!$A$3:$A$24,0),1)*$B505*ef_li_ion_akku/1000/1000/INDEX(Työkonekanta!$K$3:$K$27,MATCH($A505,Työkonekanta!$A$3:$A$24,0)),0)</f>
        <v>0</v>
      </c>
      <c r="W505" s="149">
        <f t="shared" si="197"/>
        <v>0</v>
      </c>
      <c r="X505" s="150">
        <f t="shared" si="198"/>
        <v>0</v>
      </c>
      <c r="Y505" s="151">
        <f t="shared" si="199"/>
        <v>0</v>
      </c>
      <c r="Z505" s="152">
        <f t="shared" si="191"/>
        <v>0</v>
      </c>
      <c r="AA505" s="179">
        <f t="shared" si="192"/>
        <v>0</v>
      </c>
      <c r="AB505" s="179">
        <f t="shared" si="193"/>
        <v>0</v>
      </c>
      <c r="AC505" s="180">
        <f t="shared" si="200"/>
        <v>0</v>
      </c>
      <c r="AD505" s="156">
        <f t="shared" si="194"/>
        <v>0</v>
      </c>
      <c r="AE505" s="146">
        <f>IFERROR(INDEX(Työkonekanta!$L$3:$L$30,MATCH($A505,Työkonekanta!$A$3:$A$30,0),1),0)*AF505</f>
        <v>0</v>
      </c>
      <c r="AF505" s="146">
        <f>IFERROR(INDEX(Työkonekanta!$N$3:$N$32,MATCH($A505,Työkonekanta!$A$3:$A$32,0),1),0)</f>
        <v>0</v>
      </c>
      <c r="AG505" s="332">
        <f>I505*INDEX(Muuttujat!$U$5:$U$21,MATCH($C505,Muuttujat!$N$5:$N$21,0),1)</f>
        <v>0</v>
      </c>
      <c r="AH505" s="332">
        <f>J505*INDEX(Muuttujat!$T$5:$T$21,MATCH($C505,Muuttujat!$N$5:$N$21,0),1)</f>
        <v>0</v>
      </c>
      <c r="AI505" s="332">
        <f t="shared" si="182"/>
        <v>0</v>
      </c>
      <c r="AJ505" s="332">
        <f t="shared" si="183"/>
        <v>0</v>
      </c>
      <c r="AK505" s="333">
        <f t="shared" si="195"/>
        <v>0</v>
      </c>
      <c r="AL505" s="332">
        <f t="shared" si="184"/>
        <v>0</v>
      </c>
      <c r="AM505" s="351"/>
      <c r="AN505" s="351"/>
    </row>
    <row r="506" spans="1:40">
      <c r="A506" s="139">
        <v>24</v>
      </c>
      <c r="B506" s="139">
        <f>IFERROR(IF((INDEX(Työkonekanta!$F$3:$F$27,MATCH('S3 Tiekartta'!$A506,Työkonekanta!$A$3:$A$24,0),1))&lt;0,0,(INDEX(Työkonekanta!$F$3:$F$27,MATCH('S3 Tiekartta'!$A506,Työkonekanta!$A$3:$A$24,0),1))),0)</f>
        <v>0</v>
      </c>
      <c r="C506" s="140">
        <v>2035</v>
      </c>
      <c r="D506" s="141" t="str">
        <f>IFERROR(INDEX(Työkonekanta!$D$3:$D$27,MATCH('S3 Tiekartta'!$A506,Työkonekanta!$A$3:$A$24,0),1),"undefined")</f>
        <v>undefined</v>
      </c>
      <c r="E506" s="145">
        <f>IFERROR(INDEX(Työkonekanta!$G$3:$G$27,MATCH($A506,Työkonekanta!$A$3:$A$24,0),1)*INDEX(Työkonekanta!$H$3:$H$27,MATCH($A506,Työkonekanta!$A$3:$A$24,0),1)*(1+s0b_kasvu*($C506-2019))*$B506,0)</f>
        <v>0</v>
      </c>
      <c r="F506" s="145">
        <f t="shared" si="176"/>
        <v>0</v>
      </c>
      <c r="G506" s="151">
        <f t="shared" si="185"/>
        <v>0</v>
      </c>
      <c r="H506" s="145">
        <f t="shared" si="186"/>
        <v>0</v>
      </c>
      <c r="I506" s="145">
        <f t="shared" si="177"/>
        <v>0</v>
      </c>
      <c r="J506" s="145">
        <f t="shared" si="178"/>
        <v>0</v>
      </c>
      <c r="K506" s="142" t="str">
        <f t="shared" si="187"/>
        <v>undefined</v>
      </c>
      <c r="L506" s="146">
        <f>IFERROR(INDEX(Työkonekanta!$I$3:$I$27,MATCH('S3 Tiekartta'!$A506,Työkonekanta!$A$3:$A$24,0),1)*(I506+J506)*f_adblue,0)</f>
        <v>0</v>
      </c>
      <c r="M506" s="146">
        <f t="shared" si="196"/>
        <v>0</v>
      </c>
      <c r="N506" s="143" t="str">
        <f>IF(tuulisähkö_vuosi&lt;='S3 Tiekartta'!C506,"tuulisähkö",ostosähkö_nyt)</f>
        <v>jäännössähkö</v>
      </c>
      <c r="O506" s="147">
        <f>INDEX(Muuttujat!$J$5:$J$21,MATCH($C506,Muuttujat!$H$5:$H$21,0),1)</f>
        <v>58.961085487844883</v>
      </c>
      <c r="P506" s="148">
        <f t="shared" si="188"/>
        <v>0.10967226573224065</v>
      </c>
      <c r="Q506" s="148">
        <f t="shared" si="201"/>
        <v>0.89032773426775935</v>
      </c>
      <c r="R506" s="148">
        <f t="shared" si="190"/>
        <v>0.89032773426775935</v>
      </c>
      <c r="S506" s="149">
        <f t="shared" si="179"/>
        <v>0</v>
      </c>
      <c r="T506" s="150">
        <f t="shared" si="180"/>
        <v>0</v>
      </c>
      <c r="U506" s="150">
        <f t="shared" si="181"/>
        <v>0</v>
      </c>
      <c r="V506" s="150">
        <f>IFERROR(INDEX(Työkonekanta!$J$3:$J$27,MATCH($A506,Työkonekanta!$A$3:$A$24,0),1)*$B506*ef_li_ion_akku/1000/1000/INDEX(Työkonekanta!$K$3:$K$27,MATCH($A506,Työkonekanta!$A$3:$A$24,0)),0)</f>
        <v>0</v>
      </c>
      <c r="W506" s="149">
        <f t="shared" si="197"/>
        <v>0</v>
      </c>
      <c r="X506" s="150">
        <f t="shared" si="198"/>
        <v>0</v>
      </c>
      <c r="Y506" s="151">
        <f t="shared" si="199"/>
        <v>0</v>
      </c>
      <c r="Z506" s="152">
        <f t="shared" si="191"/>
        <v>0</v>
      </c>
      <c r="AA506" s="179">
        <f t="shared" si="192"/>
        <v>0</v>
      </c>
      <c r="AB506" s="179">
        <f t="shared" si="193"/>
        <v>0</v>
      </c>
      <c r="AC506" s="180">
        <f t="shared" si="200"/>
        <v>0</v>
      </c>
      <c r="AD506" s="156">
        <f t="shared" si="194"/>
        <v>0</v>
      </c>
      <c r="AE506" s="146">
        <f>IFERROR(INDEX(Työkonekanta!$L$3:$L$30,MATCH($A506,Työkonekanta!$A$3:$A$30,0),1),0)*AF506</f>
        <v>0</v>
      </c>
      <c r="AF506" s="146">
        <f>IFERROR(INDEX(Työkonekanta!$N$3:$N$32,MATCH($A506,Työkonekanta!$A$3:$A$32,0),1),0)</f>
        <v>0</v>
      </c>
      <c r="AG506" s="332">
        <f>I506*INDEX(Muuttujat!$U$5:$U$21,MATCH($C506,Muuttujat!$N$5:$N$21,0),1)</f>
        <v>0</v>
      </c>
      <c r="AH506" s="332">
        <f>J506*INDEX(Muuttujat!$T$5:$T$21,MATCH($C506,Muuttujat!$N$5:$N$21,0),1)</f>
        <v>0</v>
      </c>
      <c r="AI506" s="332">
        <f t="shared" si="182"/>
        <v>0</v>
      </c>
      <c r="AJ506" s="332">
        <f t="shared" si="183"/>
        <v>0</v>
      </c>
      <c r="AK506" s="333">
        <f t="shared" si="195"/>
        <v>0</v>
      </c>
      <c r="AL506" s="332">
        <f t="shared" si="184"/>
        <v>0</v>
      </c>
      <c r="AM506" s="351"/>
      <c r="AN506" s="351"/>
    </row>
    <row r="507" spans="1:40">
      <c r="A507" s="139">
        <v>25</v>
      </c>
      <c r="B507" s="139">
        <f>IFERROR(IF((INDEX(Työkonekanta!$F$3:$F$27,MATCH('S3 Tiekartta'!$A507,Työkonekanta!$A$3:$A$24,0),1))&lt;0,0,(INDEX(Työkonekanta!$F$3:$F$27,MATCH('S3 Tiekartta'!$A507,Työkonekanta!$A$3:$A$24,0),1))),0)</f>
        <v>0</v>
      </c>
      <c r="C507" s="140">
        <v>2035</v>
      </c>
      <c r="D507" s="141" t="str">
        <f>IFERROR(INDEX(Työkonekanta!$D$3:$D$27,MATCH('S3 Tiekartta'!$A507,Työkonekanta!$A$3:$A$24,0),1),"undefined")</f>
        <v>undefined</v>
      </c>
      <c r="E507" s="145">
        <f>IFERROR(INDEX(Työkonekanta!$G$3:$G$27,MATCH($A507,Työkonekanta!$A$3:$A$24,0),1)*INDEX(Työkonekanta!$H$3:$H$27,MATCH($A507,Työkonekanta!$A$3:$A$24,0),1)*(1+s0b_kasvu*($C507-2019))*$B507,0)</f>
        <v>0</v>
      </c>
      <c r="F507" s="145">
        <f t="shared" si="176"/>
        <v>0</v>
      </c>
      <c r="G507" s="151">
        <f t="shared" si="185"/>
        <v>0</v>
      </c>
      <c r="H507" s="145">
        <f t="shared" si="186"/>
        <v>0</v>
      </c>
      <c r="I507" s="145">
        <f t="shared" si="177"/>
        <v>0</v>
      </c>
      <c r="J507" s="145">
        <f t="shared" si="178"/>
        <v>0</v>
      </c>
      <c r="K507" s="142" t="str">
        <f t="shared" si="187"/>
        <v>undefined</v>
      </c>
      <c r="L507" s="146">
        <f>IFERROR(INDEX(Työkonekanta!$I$3:$I$27,MATCH('S3 Tiekartta'!$A507,Työkonekanta!$A$3:$A$24,0),1)*(I507+J507)*f_adblue,0)</f>
        <v>0</v>
      </c>
      <c r="M507" s="146">
        <f t="shared" si="196"/>
        <v>0</v>
      </c>
      <c r="N507" s="143" t="str">
        <f>IF(tuulisähkö_vuosi&lt;='S3 Tiekartta'!C507,"tuulisähkö",ostosähkö_nyt)</f>
        <v>jäännössähkö</v>
      </c>
      <c r="O507" s="147">
        <f>INDEX(Muuttujat!$J$5:$J$21,MATCH($C507,Muuttujat!$H$5:$H$21,0),1)</f>
        <v>58.961085487844883</v>
      </c>
      <c r="P507" s="148">
        <f t="shared" si="188"/>
        <v>0.10967226573224065</v>
      </c>
      <c r="Q507" s="148">
        <f t="shared" si="201"/>
        <v>0.89032773426775935</v>
      </c>
      <c r="R507" s="148">
        <f t="shared" si="190"/>
        <v>0.89032773426775935</v>
      </c>
      <c r="S507" s="149">
        <f t="shared" si="179"/>
        <v>0</v>
      </c>
      <c r="T507" s="150">
        <f t="shared" si="180"/>
        <v>0</v>
      </c>
      <c r="U507" s="150">
        <f t="shared" si="181"/>
        <v>0</v>
      </c>
      <c r="V507" s="150">
        <f>IFERROR(INDEX(Työkonekanta!$J$3:$J$27,MATCH($A507,Työkonekanta!$A$3:$A$24,0),1)*$B507*ef_li_ion_akku/1000/1000/INDEX(Työkonekanta!$K$3:$K$27,MATCH($A507,Työkonekanta!$A$3:$A$24,0)),0)</f>
        <v>0</v>
      </c>
      <c r="W507" s="149">
        <f t="shared" si="197"/>
        <v>0</v>
      </c>
      <c r="X507" s="150">
        <f t="shared" si="198"/>
        <v>0</v>
      </c>
      <c r="Y507" s="151">
        <f t="shared" si="199"/>
        <v>0</v>
      </c>
      <c r="Z507" s="152">
        <f t="shared" si="191"/>
        <v>0</v>
      </c>
      <c r="AA507" s="179">
        <f t="shared" si="192"/>
        <v>0</v>
      </c>
      <c r="AB507" s="179">
        <f t="shared" si="193"/>
        <v>0</v>
      </c>
      <c r="AC507" s="180">
        <f t="shared" si="200"/>
        <v>0</v>
      </c>
      <c r="AD507" s="156">
        <f t="shared" si="194"/>
        <v>0</v>
      </c>
      <c r="AE507" s="146">
        <f>IFERROR(INDEX(Työkonekanta!$L$3:$L$30,MATCH($A507,Työkonekanta!$A$3:$A$30,0),1),0)*AF507</f>
        <v>0</v>
      </c>
      <c r="AF507" s="146">
        <f>IFERROR(INDEX(Työkonekanta!$N$3:$N$32,MATCH($A507,Työkonekanta!$A$3:$A$32,0),1),0)</f>
        <v>0</v>
      </c>
      <c r="AG507" s="332">
        <f>I507*INDEX(Muuttujat!$U$5:$U$21,MATCH($C507,Muuttujat!$N$5:$N$21,0),1)</f>
        <v>0</v>
      </c>
      <c r="AH507" s="332">
        <f>J507*INDEX(Muuttujat!$T$5:$T$21,MATCH($C507,Muuttujat!$N$5:$N$21,0),1)</f>
        <v>0</v>
      </c>
      <c r="AI507" s="332">
        <f t="shared" si="182"/>
        <v>0</v>
      </c>
      <c r="AJ507" s="332">
        <f t="shared" si="183"/>
        <v>0</v>
      </c>
      <c r="AK507" s="333">
        <f t="shared" si="195"/>
        <v>0</v>
      </c>
      <c r="AL507" s="332">
        <f t="shared" si="184"/>
        <v>0</v>
      </c>
      <c r="AM507" s="351"/>
      <c r="AN507" s="351"/>
    </row>
    <row r="508" spans="1:40">
      <c r="A508" s="139">
        <v>26</v>
      </c>
      <c r="B508" s="139">
        <f>IFERROR(IF((INDEX(Työkonekanta!$F$3:$F$27,MATCH('S3 Tiekartta'!$A508,Työkonekanta!$A$3:$A$24,0),1))&lt;0,0,(INDEX(Työkonekanta!$F$3:$F$27,MATCH('S3 Tiekartta'!$A508,Työkonekanta!$A$3:$A$24,0),1))),0)</f>
        <v>0</v>
      </c>
      <c r="C508" s="140">
        <v>2035</v>
      </c>
      <c r="D508" s="141" t="str">
        <f>IFERROR(INDEX(Työkonekanta!$D$3:$D$27,MATCH('S3 Tiekartta'!$A508,Työkonekanta!$A$3:$A$24,0),1),"undefined")</f>
        <v>undefined</v>
      </c>
      <c r="E508" s="145">
        <f>IFERROR(INDEX(Työkonekanta!$G$3:$G$27,MATCH($A508,Työkonekanta!$A$3:$A$24,0),1)*INDEX(Työkonekanta!$H$3:$H$27,MATCH($A508,Työkonekanta!$A$3:$A$24,0),1)*(1+s0b_kasvu*($C508-2019))*$B508,0)</f>
        <v>0</v>
      </c>
      <c r="F508" s="145">
        <f t="shared" si="176"/>
        <v>0</v>
      </c>
      <c r="G508" s="151">
        <f t="shared" si="185"/>
        <v>0</v>
      </c>
      <c r="H508" s="145">
        <f t="shared" si="186"/>
        <v>0</v>
      </c>
      <c r="I508" s="145">
        <f t="shared" si="177"/>
        <v>0</v>
      </c>
      <c r="J508" s="145">
        <f t="shared" si="178"/>
        <v>0</v>
      </c>
      <c r="K508" s="142" t="str">
        <f t="shared" si="187"/>
        <v>undefined</v>
      </c>
      <c r="L508" s="146">
        <f>IFERROR(INDEX(Työkonekanta!$I$3:$I$27,MATCH('S3 Tiekartta'!$A508,Työkonekanta!$A$3:$A$24,0),1)*(I508+J508)*f_adblue,0)</f>
        <v>0</v>
      </c>
      <c r="M508" s="146">
        <f t="shared" si="196"/>
        <v>0</v>
      </c>
      <c r="N508" s="143" t="str">
        <f>IF(tuulisähkö_vuosi&lt;='S3 Tiekartta'!C508,"tuulisähkö",ostosähkö_nyt)</f>
        <v>jäännössähkö</v>
      </c>
      <c r="O508" s="147">
        <f>INDEX(Muuttujat!$J$5:$J$21,MATCH($C508,Muuttujat!$H$5:$H$21,0),1)</f>
        <v>58.961085487844883</v>
      </c>
      <c r="P508" s="148">
        <f t="shared" si="188"/>
        <v>0.10967226573224065</v>
      </c>
      <c r="Q508" s="148">
        <f t="shared" si="201"/>
        <v>0.89032773426775935</v>
      </c>
      <c r="R508" s="148">
        <f t="shared" si="190"/>
        <v>0.89032773426775935</v>
      </c>
      <c r="S508" s="149">
        <f t="shared" si="179"/>
        <v>0</v>
      </c>
      <c r="T508" s="150">
        <f t="shared" si="180"/>
        <v>0</v>
      </c>
      <c r="U508" s="150">
        <f t="shared" si="181"/>
        <v>0</v>
      </c>
      <c r="V508" s="150">
        <f>IFERROR(INDEX(Työkonekanta!$J$3:$J$27,MATCH($A508,Työkonekanta!$A$3:$A$24,0),1)*$B508*ef_li_ion_akku/1000/1000/INDEX(Työkonekanta!$K$3:$K$27,MATCH($A508,Työkonekanta!$A$3:$A$24,0)),0)</f>
        <v>0</v>
      </c>
      <c r="W508" s="149">
        <f t="shared" si="197"/>
        <v>0</v>
      </c>
      <c r="X508" s="150">
        <f t="shared" si="198"/>
        <v>0</v>
      </c>
      <c r="Y508" s="151">
        <f t="shared" si="199"/>
        <v>0</v>
      </c>
      <c r="Z508" s="152">
        <f t="shared" si="191"/>
        <v>0</v>
      </c>
      <c r="AA508" s="179">
        <f t="shared" si="192"/>
        <v>0</v>
      </c>
      <c r="AB508" s="179">
        <f t="shared" si="193"/>
        <v>0</v>
      </c>
      <c r="AC508" s="180">
        <f t="shared" si="200"/>
        <v>0</v>
      </c>
      <c r="AD508" s="156">
        <f t="shared" si="194"/>
        <v>0</v>
      </c>
      <c r="AE508" s="146">
        <f>IFERROR(INDEX(Työkonekanta!$L$3:$L$30,MATCH($A508,Työkonekanta!$A$3:$A$30,0),1),0)*AF508</f>
        <v>0</v>
      </c>
      <c r="AF508" s="146">
        <f>IFERROR(INDEX(Työkonekanta!$N$3:$N$32,MATCH($A508,Työkonekanta!$A$3:$A$32,0),1),0)</f>
        <v>0</v>
      </c>
      <c r="AG508" s="332">
        <f>I508*INDEX(Muuttujat!$U$5:$U$21,MATCH($C508,Muuttujat!$N$5:$N$21,0),1)</f>
        <v>0</v>
      </c>
      <c r="AH508" s="332">
        <f>J508*INDEX(Muuttujat!$T$5:$T$21,MATCH($C508,Muuttujat!$N$5:$N$21,0),1)</f>
        <v>0</v>
      </c>
      <c r="AI508" s="332">
        <f t="shared" si="182"/>
        <v>0</v>
      </c>
      <c r="AJ508" s="332">
        <f t="shared" si="183"/>
        <v>0</v>
      </c>
      <c r="AK508" s="333">
        <f t="shared" si="195"/>
        <v>0</v>
      </c>
      <c r="AL508" s="332">
        <f t="shared" si="184"/>
        <v>0</v>
      </c>
      <c r="AM508" s="351"/>
      <c r="AN508" s="351"/>
    </row>
    <row r="509" spans="1:40">
      <c r="A509" s="139">
        <v>27</v>
      </c>
      <c r="B509" s="139">
        <f>IFERROR(IF((INDEX(Työkonekanta!$F$3:$F$27,MATCH('S3 Tiekartta'!$A509,Työkonekanta!$A$3:$A$24,0),1))&lt;0,0,(INDEX(Työkonekanta!$F$3:$F$27,MATCH('S3 Tiekartta'!$A509,Työkonekanta!$A$3:$A$24,0),1))),0)</f>
        <v>0</v>
      </c>
      <c r="C509" s="140">
        <v>2035</v>
      </c>
      <c r="D509" s="141" t="str">
        <f>IFERROR(INDEX(Työkonekanta!$D$3:$D$27,MATCH('S3 Tiekartta'!$A509,Työkonekanta!$A$3:$A$24,0),1),"undefined")</f>
        <v>undefined</v>
      </c>
      <c r="E509" s="145">
        <f>IFERROR(INDEX(Työkonekanta!$G$3:$G$27,MATCH($A509,Työkonekanta!$A$3:$A$24,0),1)*INDEX(Työkonekanta!$H$3:$H$27,MATCH($A509,Työkonekanta!$A$3:$A$24,0),1)*(1+s0b_kasvu*($C509-2019))*$B509,0)</f>
        <v>0</v>
      </c>
      <c r="F509" s="145">
        <f t="shared" si="176"/>
        <v>0</v>
      </c>
      <c r="G509" s="151">
        <f t="shared" si="185"/>
        <v>0</v>
      </c>
      <c r="H509" s="145">
        <f t="shared" si="186"/>
        <v>0</v>
      </c>
      <c r="I509" s="145">
        <f t="shared" si="177"/>
        <v>0</v>
      </c>
      <c r="J509" s="145">
        <f t="shared" si="178"/>
        <v>0</v>
      </c>
      <c r="K509" s="142" t="str">
        <f t="shared" si="187"/>
        <v>undefined</v>
      </c>
      <c r="L509" s="146">
        <f>IFERROR(INDEX(Työkonekanta!$I$3:$I$27,MATCH('S3 Tiekartta'!$A509,Työkonekanta!$A$3:$A$24,0),1)*(I509+J509)*f_adblue,0)</f>
        <v>0</v>
      </c>
      <c r="M509" s="146">
        <f t="shared" si="196"/>
        <v>0</v>
      </c>
      <c r="N509" s="143" t="str">
        <f>IF(tuulisähkö_vuosi&lt;='S3 Tiekartta'!C509,"tuulisähkö",ostosähkö_nyt)</f>
        <v>jäännössähkö</v>
      </c>
      <c r="O509" s="147">
        <f>INDEX(Muuttujat!$J$5:$J$21,MATCH($C509,Muuttujat!$H$5:$H$21,0),1)</f>
        <v>58.961085487844883</v>
      </c>
      <c r="P509" s="148">
        <f t="shared" si="188"/>
        <v>0.10967226573224065</v>
      </c>
      <c r="Q509" s="148">
        <f t="shared" si="201"/>
        <v>0.89032773426775935</v>
      </c>
      <c r="R509" s="148">
        <f t="shared" si="190"/>
        <v>0.89032773426775935</v>
      </c>
      <c r="S509" s="149">
        <f t="shared" si="179"/>
        <v>0</v>
      </c>
      <c r="T509" s="150">
        <f t="shared" si="180"/>
        <v>0</v>
      </c>
      <c r="U509" s="150">
        <f t="shared" si="181"/>
        <v>0</v>
      </c>
      <c r="V509" s="150">
        <f>IFERROR(INDEX(Työkonekanta!$J$3:$J$27,MATCH($A509,Työkonekanta!$A$3:$A$24,0),1)*$B509*ef_li_ion_akku/1000/1000/INDEX(Työkonekanta!$K$3:$K$27,MATCH($A509,Työkonekanta!$A$3:$A$24,0)),0)</f>
        <v>0</v>
      </c>
      <c r="W509" s="149">
        <f t="shared" si="197"/>
        <v>0</v>
      </c>
      <c r="X509" s="150">
        <f t="shared" si="198"/>
        <v>0</v>
      </c>
      <c r="Y509" s="151">
        <f t="shared" si="199"/>
        <v>0</v>
      </c>
      <c r="Z509" s="152">
        <f t="shared" si="191"/>
        <v>0</v>
      </c>
      <c r="AA509" s="179">
        <f t="shared" si="192"/>
        <v>0</v>
      </c>
      <c r="AB509" s="179">
        <f t="shared" si="193"/>
        <v>0</v>
      </c>
      <c r="AC509" s="180">
        <f t="shared" si="200"/>
        <v>0</v>
      </c>
      <c r="AD509" s="156">
        <f t="shared" si="194"/>
        <v>0</v>
      </c>
      <c r="AE509" s="146">
        <f>IFERROR(INDEX(Työkonekanta!$L$3:$L$30,MATCH($A509,Työkonekanta!$A$3:$A$30,0),1),0)*AF509</f>
        <v>0</v>
      </c>
      <c r="AF509" s="146">
        <f>IFERROR(INDEX(Työkonekanta!$N$3:$N$32,MATCH($A509,Työkonekanta!$A$3:$A$32,0),1),0)</f>
        <v>0</v>
      </c>
      <c r="AG509" s="332">
        <f>I509*INDEX(Muuttujat!$U$5:$U$21,MATCH($C509,Muuttujat!$N$5:$N$21,0),1)</f>
        <v>0</v>
      </c>
      <c r="AH509" s="332">
        <f>J509*INDEX(Muuttujat!$T$5:$T$21,MATCH($C509,Muuttujat!$N$5:$N$21,0),1)</f>
        <v>0</v>
      </c>
      <c r="AI509" s="332">
        <f t="shared" si="182"/>
        <v>0</v>
      </c>
      <c r="AJ509" s="332">
        <f t="shared" si="183"/>
        <v>0</v>
      </c>
      <c r="AK509" s="333">
        <f t="shared" si="195"/>
        <v>0</v>
      </c>
      <c r="AL509" s="332">
        <f t="shared" si="184"/>
        <v>0</v>
      </c>
      <c r="AM509" s="351"/>
      <c r="AN509" s="351"/>
    </row>
    <row r="510" spans="1:40">
      <c r="A510" s="139">
        <v>28</v>
      </c>
      <c r="B510" s="139">
        <f>IFERROR(IF((INDEX(Työkonekanta!$F$3:$F$27,MATCH('S3 Tiekartta'!$A510,Työkonekanta!$A$3:$A$24,0),1))&lt;0,0,(INDEX(Työkonekanta!$F$3:$F$27,MATCH('S3 Tiekartta'!$A510,Työkonekanta!$A$3:$A$24,0),1))),0)</f>
        <v>0</v>
      </c>
      <c r="C510" s="140">
        <v>2035</v>
      </c>
      <c r="D510" s="141" t="str">
        <f>IFERROR(INDEX(Työkonekanta!$D$3:$D$27,MATCH('S3 Tiekartta'!$A510,Työkonekanta!$A$3:$A$24,0),1),"undefined")</f>
        <v>undefined</v>
      </c>
      <c r="E510" s="145">
        <f>IFERROR(INDEX(Työkonekanta!$G$3:$G$27,MATCH($A510,Työkonekanta!$A$3:$A$24,0),1)*INDEX(Työkonekanta!$H$3:$H$27,MATCH($A510,Työkonekanta!$A$3:$A$24,0),1)*(1+s0b_kasvu*($C510-2019))*$B510,0)</f>
        <v>0</v>
      </c>
      <c r="F510" s="145">
        <f t="shared" si="176"/>
        <v>0</v>
      </c>
      <c r="G510" s="151">
        <f t="shared" si="185"/>
        <v>0</v>
      </c>
      <c r="H510" s="145">
        <f t="shared" si="186"/>
        <v>0</v>
      </c>
      <c r="I510" s="145">
        <f t="shared" si="177"/>
        <v>0</v>
      </c>
      <c r="J510" s="145">
        <f t="shared" si="178"/>
        <v>0</v>
      </c>
      <c r="K510" s="142" t="str">
        <f t="shared" si="187"/>
        <v>undefined</v>
      </c>
      <c r="L510" s="146">
        <f>IFERROR(INDEX(Työkonekanta!$I$3:$I$27,MATCH('S3 Tiekartta'!$A510,Työkonekanta!$A$3:$A$24,0),1)*(I510+J510)*f_adblue,0)</f>
        <v>0</v>
      </c>
      <c r="M510" s="146">
        <f t="shared" si="196"/>
        <v>0</v>
      </c>
      <c r="N510" s="143" t="str">
        <f>IF(tuulisähkö_vuosi&lt;='S3 Tiekartta'!C510,"tuulisähkö",ostosähkö_nyt)</f>
        <v>jäännössähkö</v>
      </c>
      <c r="O510" s="147">
        <f>INDEX(Muuttujat!$J$5:$J$21,MATCH($C510,Muuttujat!$H$5:$H$21,0),1)</f>
        <v>58.961085487844883</v>
      </c>
      <c r="P510" s="148">
        <f t="shared" si="188"/>
        <v>0.10967226573224065</v>
      </c>
      <c r="Q510" s="148">
        <f t="shared" si="201"/>
        <v>0.89032773426775935</v>
      </c>
      <c r="R510" s="148">
        <f t="shared" si="190"/>
        <v>0.89032773426775935</v>
      </c>
      <c r="S510" s="149">
        <f t="shared" si="179"/>
        <v>0</v>
      </c>
      <c r="T510" s="150">
        <f t="shared" si="180"/>
        <v>0</v>
      </c>
      <c r="U510" s="150">
        <f t="shared" si="181"/>
        <v>0</v>
      </c>
      <c r="V510" s="150">
        <f>IFERROR(INDEX(Työkonekanta!$J$3:$J$27,MATCH($A510,Työkonekanta!$A$3:$A$24,0),1)*$B510*ef_li_ion_akku/1000/1000/INDEX(Työkonekanta!$K$3:$K$27,MATCH($A510,Työkonekanta!$A$3:$A$24,0)),0)</f>
        <v>0</v>
      </c>
      <c r="W510" s="149">
        <f t="shared" si="197"/>
        <v>0</v>
      </c>
      <c r="X510" s="150">
        <f t="shared" si="198"/>
        <v>0</v>
      </c>
      <c r="Y510" s="151">
        <f t="shared" si="199"/>
        <v>0</v>
      </c>
      <c r="Z510" s="152">
        <f t="shared" si="191"/>
        <v>0</v>
      </c>
      <c r="AA510" s="179">
        <f t="shared" si="192"/>
        <v>0</v>
      </c>
      <c r="AB510" s="179">
        <f t="shared" si="193"/>
        <v>0</v>
      </c>
      <c r="AC510" s="180">
        <f t="shared" si="200"/>
        <v>0</v>
      </c>
      <c r="AD510" s="156">
        <f t="shared" si="194"/>
        <v>0</v>
      </c>
      <c r="AE510" s="146">
        <f>IFERROR(INDEX(Työkonekanta!$L$3:$L$30,MATCH($A510,Työkonekanta!$A$3:$A$30,0),1),0)*AF510</f>
        <v>0</v>
      </c>
      <c r="AF510" s="146">
        <f>IFERROR(INDEX(Työkonekanta!$N$3:$N$32,MATCH($A510,Työkonekanta!$A$3:$A$32,0),1),0)</f>
        <v>0</v>
      </c>
      <c r="AG510" s="332">
        <f>I510*INDEX(Muuttujat!$U$5:$U$21,MATCH($C510,Muuttujat!$N$5:$N$21,0),1)</f>
        <v>0</v>
      </c>
      <c r="AH510" s="332">
        <f>J510*INDEX(Muuttujat!$T$5:$T$21,MATCH($C510,Muuttujat!$N$5:$N$21,0),1)</f>
        <v>0</v>
      </c>
      <c r="AI510" s="332">
        <f t="shared" si="182"/>
        <v>0</v>
      </c>
      <c r="AJ510" s="332">
        <f t="shared" si="183"/>
        <v>0</v>
      </c>
      <c r="AK510" s="333">
        <f t="shared" si="195"/>
        <v>0</v>
      </c>
      <c r="AL510" s="332">
        <f t="shared" si="184"/>
        <v>0</v>
      </c>
      <c r="AM510" s="351"/>
      <c r="AN510" s="351"/>
    </row>
    <row r="511" spans="1:40">
      <c r="A511" s="139">
        <v>29</v>
      </c>
      <c r="B511" s="139">
        <f>IFERROR(IF((INDEX(Työkonekanta!$F$3:$F$27,MATCH('S3 Tiekartta'!$A511,Työkonekanta!$A$3:$A$24,0),1))&lt;0,0,(INDEX(Työkonekanta!$F$3:$F$27,MATCH('S3 Tiekartta'!$A511,Työkonekanta!$A$3:$A$24,0),1))),0)</f>
        <v>0</v>
      </c>
      <c r="C511" s="140">
        <v>2035</v>
      </c>
      <c r="D511" s="141" t="str">
        <f>IFERROR(INDEX(Työkonekanta!$D$3:$D$27,MATCH('S3 Tiekartta'!$A511,Työkonekanta!$A$3:$A$24,0),1),"undefined")</f>
        <v>undefined</v>
      </c>
      <c r="E511" s="145">
        <f>IFERROR(INDEX(Työkonekanta!$G$3:$G$27,MATCH($A511,Työkonekanta!$A$3:$A$24,0),1)*INDEX(Työkonekanta!$H$3:$H$27,MATCH($A511,Työkonekanta!$A$3:$A$24,0),1)*(1+s0b_kasvu*($C511-2019))*$B511,0)</f>
        <v>0</v>
      </c>
      <c r="F511" s="145">
        <f t="shared" si="176"/>
        <v>0</v>
      </c>
      <c r="G511" s="151">
        <f t="shared" si="185"/>
        <v>0</v>
      </c>
      <c r="H511" s="145">
        <f t="shared" si="186"/>
        <v>0</v>
      </c>
      <c r="I511" s="145">
        <f t="shared" si="177"/>
        <v>0</v>
      </c>
      <c r="J511" s="145">
        <f t="shared" si="178"/>
        <v>0</v>
      </c>
      <c r="K511" s="142" t="str">
        <f t="shared" si="187"/>
        <v>undefined</v>
      </c>
      <c r="L511" s="146">
        <f>IFERROR(INDEX(Työkonekanta!$I$3:$I$27,MATCH('S3 Tiekartta'!$A511,Työkonekanta!$A$3:$A$24,0),1)*(I511+J511)*f_adblue,0)</f>
        <v>0</v>
      </c>
      <c r="M511" s="146">
        <f t="shared" si="196"/>
        <v>0</v>
      </c>
      <c r="N511" s="143" t="str">
        <f>IF(tuulisähkö_vuosi&lt;='S3 Tiekartta'!C511,"tuulisähkö",ostosähkö_nyt)</f>
        <v>jäännössähkö</v>
      </c>
      <c r="O511" s="147">
        <f>INDEX(Muuttujat!$J$5:$J$21,MATCH($C511,Muuttujat!$H$5:$H$21,0),1)</f>
        <v>58.961085487844883</v>
      </c>
      <c r="P511" s="148">
        <f t="shared" si="188"/>
        <v>0.10967226573224065</v>
      </c>
      <c r="Q511" s="148">
        <f t="shared" si="201"/>
        <v>0.89032773426775935</v>
      </c>
      <c r="R511" s="148">
        <f t="shared" si="190"/>
        <v>0.89032773426775935</v>
      </c>
      <c r="S511" s="149">
        <f t="shared" si="179"/>
        <v>0</v>
      </c>
      <c r="T511" s="150">
        <f t="shared" si="180"/>
        <v>0</v>
      </c>
      <c r="U511" s="150">
        <f t="shared" si="181"/>
        <v>0</v>
      </c>
      <c r="V511" s="150">
        <f>IFERROR(INDEX(Työkonekanta!$J$3:$J$27,MATCH($A511,Työkonekanta!$A$3:$A$24,0),1)*$B511*ef_li_ion_akku/1000/1000/INDEX(Työkonekanta!$K$3:$K$27,MATCH($A511,Työkonekanta!$A$3:$A$24,0)),0)</f>
        <v>0</v>
      </c>
      <c r="W511" s="149">
        <f t="shared" si="197"/>
        <v>0</v>
      </c>
      <c r="X511" s="150">
        <f t="shared" si="198"/>
        <v>0</v>
      </c>
      <c r="Y511" s="151">
        <f t="shared" si="199"/>
        <v>0</v>
      </c>
      <c r="Z511" s="152">
        <f t="shared" si="191"/>
        <v>0</v>
      </c>
      <c r="AA511" s="179">
        <f t="shared" si="192"/>
        <v>0</v>
      </c>
      <c r="AB511" s="179">
        <f t="shared" si="193"/>
        <v>0</v>
      </c>
      <c r="AC511" s="180">
        <f t="shared" si="200"/>
        <v>0</v>
      </c>
      <c r="AD511" s="156">
        <f t="shared" si="194"/>
        <v>0</v>
      </c>
      <c r="AE511" s="146">
        <f>IFERROR(INDEX(Työkonekanta!$L$3:$L$30,MATCH($A511,Työkonekanta!$A$3:$A$30,0),1),0)*AF511</f>
        <v>0</v>
      </c>
      <c r="AF511" s="146">
        <f>IFERROR(INDEX(Työkonekanta!$N$3:$N$32,MATCH($A511,Työkonekanta!$A$3:$A$32,0),1),0)</f>
        <v>0</v>
      </c>
      <c r="AG511" s="332">
        <f>I511*INDEX(Muuttujat!$U$5:$U$21,MATCH($C511,Muuttujat!$N$5:$N$21,0),1)</f>
        <v>0</v>
      </c>
      <c r="AH511" s="332">
        <f>J511*INDEX(Muuttujat!$T$5:$T$21,MATCH($C511,Muuttujat!$N$5:$N$21,0),1)</f>
        <v>0</v>
      </c>
      <c r="AI511" s="332">
        <f t="shared" si="182"/>
        <v>0</v>
      </c>
      <c r="AJ511" s="332">
        <f t="shared" si="183"/>
        <v>0</v>
      </c>
      <c r="AK511" s="333">
        <f t="shared" si="195"/>
        <v>0</v>
      </c>
      <c r="AL511" s="332">
        <f t="shared" si="184"/>
        <v>0</v>
      </c>
      <c r="AM511" s="351"/>
      <c r="AN511" s="351"/>
    </row>
    <row r="512" spans="1:40">
      <c r="A512" s="165">
        <v>30</v>
      </c>
      <c r="B512" s="139">
        <f>IFERROR(IF((INDEX(Työkonekanta!$F$3:$F$27,MATCH('S3 Tiekartta'!$A512,Työkonekanta!$A$3:$A$24,0),1))&lt;0,0,(INDEX(Työkonekanta!$F$3:$F$27,MATCH('S3 Tiekartta'!$A512,Työkonekanta!$A$3:$A$24,0),1))),0)</f>
        <v>0</v>
      </c>
      <c r="C512" s="165">
        <v>2035</v>
      </c>
      <c r="D512" s="166" t="str">
        <f>IFERROR(INDEX(Työkonekanta!$D$3:$D$27,MATCH('S3 Tiekartta'!$A512,Työkonekanta!$A$3:$A$24,0),1),"undefined")</f>
        <v>undefined</v>
      </c>
      <c r="E512" s="167">
        <f>IFERROR(INDEX(Työkonekanta!$G$3:$G$27,MATCH($A512,Työkonekanta!$A$3:$A$24,0),1)*INDEX(Työkonekanta!$H$3:$H$27,MATCH($A512,Työkonekanta!$A$3:$A$24,0),1)*(1+s0b_kasvu*($C512-2019))*$B512,0)</f>
        <v>0</v>
      </c>
      <c r="F512" s="145">
        <f t="shared" si="176"/>
        <v>0</v>
      </c>
      <c r="G512" s="151">
        <f t="shared" si="185"/>
        <v>0</v>
      </c>
      <c r="H512" s="145">
        <f t="shared" si="186"/>
        <v>0</v>
      </c>
      <c r="I512" s="145">
        <f t="shared" si="177"/>
        <v>0</v>
      </c>
      <c r="J512" s="145">
        <f t="shared" si="178"/>
        <v>0</v>
      </c>
      <c r="K512" s="168" t="str">
        <f t="shared" si="187"/>
        <v>undefined</v>
      </c>
      <c r="L512" s="167">
        <f>IFERROR(INDEX(Työkonekanta!$I$3:$I$27,MATCH('S3 Tiekartta'!$A512,Työkonekanta!$A$3:$A$24,0),1)*(I512+J512)*f_adblue,0)</f>
        <v>0</v>
      </c>
      <c r="M512" s="167">
        <f t="shared" si="196"/>
        <v>0</v>
      </c>
      <c r="N512" s="169" t="str">
        <f>IF(tuulisähkö_vuosi&lt;='S3 Tiekartta'!C512,"tuulisähkö",ostosähkö_nyt)</f>
        <v>jäännössähkö</v>
      </c>
      <c r="O512" s="170">
        <f>INDEX(Muuttujat!$J$5:$J$21,MATCH($C512,Muuttujat!$H$5:$H$21,0),1)</f>
        <v>58.961085487844883</v>
      </c>
      <c r="P512" s="148">
        <f t="shared" si="188"/>
        <v>0.10967226573224065</v>
      </c>
      <c r="Q512" s="148">
        <f t="shared" si="201"/>
        <v>0.89032773426775935</v>
      </c>
      <c r="R512" s="148">
        <f t="shared" si="190"/>
        <v>0.89032773426775935</v>
      </c>
      <c r="S512" s="149">
        <f t="shared" si="179"/>
        <v>0</v>
      </c>
      <c r="T512" s="150">
        <f t="shared" si="180"/>
        <v>0</v>
      </c>
      <c r="U512" s="173">
        <f t="shared" si="181"/>
        <v>0</v>
      </c>
      <c r="V512" s="173">
        <f>IFERROR(INDEX(Työkonekanta!$J$3:$J$27,MATCH($A512,Työkonekanta!$A$3:$A$24,0),1)*$B512*ef_li_ion_akku/1000/1000/INDEX(Työkonekanta!$K$3:$K$27,MATCH($A512,Työkonekanta!$A$3:$A$24,0)),0)</f>
        <v>0</v>
      </c>
      <c r="W512" s="172">
        <f t="shared" si="197"/>
        <v>0</v>
      </c>
      <c r="X512" s="173">
        <f t="shared" si="198"/>
        <v>0</v>
      </c>
      <c r="Y512" s="174">
        <f t="shared" si="199"/>
        <v>0</v>
      </c>
      <c r="Z512" s="175">
        <f t="shared" si="191"/>
        <v>0</v>
      </c>
      <c r="AA512" s="176">
        <f t="shared" si="192"/>
        <v>0</v>
      </c>
      <c r="AB512" s="176">
        <f t="shared" si="193"/>
        <v>0</v>
      </c>
      <c r="AC512" s="177">
        <f t="shared" si="200"/>
        <v>0</v>
      </c>
      <c r="AD512" s="178">
        <f t="shared" si="194"/>
        <v>0</v>
      </c>
      <c r="AE512" s="146">
        <f>IFERROR(INDEX(Työkonekanta!$L$3:$L$30,MATCH($A512,Työkonekanta!$A$3:$A$30,0),1),0)*AF512</f>
        <v>0</v>
      </c>
      <c r="AF512" s="146">
        <f>IFERROR(INDEX(Työkonekanta!$N$3:$N$32,MATCH($A512,Työkonekanta!$A$3:$A$32,0),1),0)</f>
        <v>0</v>
      </c>
      <c r="AG512" s="332">
        <f>I512*INDEX(Muuttujat!$U$5:$U$21,MATCH($C512,Muuttujat!$N$5:$N$21,0),1)</f>
        <v>0</v>
      </c>
      <c r="AH512" s="332">
        <f>J512*INDEX(Muuttujat!$T$5:$T$21,MATCH($C512,Muuttujat!$N$5:$N$21,0),1)</f>
        <v>0</v>
      </c>
      <c r="AI512" s="332">
        <f t="shared" si="182"/>
        <v>0</v>
      </c>
      <c r="AJ512" s="332">
        <f t="shared" si="183"/>
        <v>0</v>
      </c>
      <c r="AK512" s="333">
        <f t="shared" si="195"/>
        <v>0</v>
      </c>
      <c r="AL512" s="332">
        <f t="shared" si="184"/>
        <v>0</v>
      </c>
      <c r="AM512" s="351"/>
      <c r="AN512" s="351"/>
    </row>
    <row r="513" spans="4:40">
      <c r="D513" s="160"/>
      <c r="F513" s="346"/>
      <c r="G513" s="346"/>
      <c r="H513" s="346"/>
      <c r="P513" s="347"/>
      <c r="Q513" s="347"/>
      <c r="R513" s="162"/>
      <c r="S513" s="163"/>
      <c r="T513" s="163"/>
      <c r="U513" s="163"/>
      <c r="V513" s="163"/>
      <c r="W513" s="163"/>
      <c r="X513" s="163"/>
      <c r="Y513" s="160"/>
      <c r="Z513" s="164"/>
      <c r="AA513" s="164"/>
      <c r="AB513" s="164"/>
      <c r="AC513" s="164"/>
      <c r="AD513" s="164"/>
      <c r="AE513" s="348"/>
      <c r="AF513" s="348"/>
      <c r="AG513" s="349"/>
      <c r="AH513" s="349"/>
      <c r="AI513" s="349"/>
      <c r="AJ513" s="349"/>
      <c r="AK513" s="350"/>
      <c r="AL513" s="349"/>
      <c r="AM513" s="351"/>
      <c r="AN513" s="351"/>
    </row>
    <row r="514" spans="4:40">
      <c r="D514" s="160"/>
      <c r="F514" s="346"/>
      <c r="G514" s="346"/>
      <c r="H514" s="346"/>
      <c r="P514" s="347"/>
      <c r="Q514" s="347"/>
      <c r="R514" s="162"/>
      <c r="S514" s="163"/>
      <c r="T514" s="163"/>
      <c r="U514" s="163"/>
      <c r="V514" s="163"/>
      <c r="W514" s="163"/>
      <c r="X514" s="163"/>
      <c r="Y514" s="160"/>
      <c r="Z514" s="164"/>
      <c r="AA514" s="164"/>
      <c r="AB514" s="164"/>
      <c r="AC514" s="164"/>
      <c r="AD514" s="164"/>
      <c r="AE514" s="348"/>
      <c r="AF514" s="348"/>
      <c r="AG514" s="349"/>
      <c r="AH514" s="349"/>
      <c r="AI514" s="349"/>
      <c r="AJ514" s="349"/>
      <c r="AK514" s="350"/>
      <c r="AL514" s="349"/>
      <c r="AM514" s="351"/>
      <c r="AN514" s="351"/>
    </row>
    <row r="515" spans="4:40">
      <c r="D515" s="160"/>
      <c r="F515" s="346"/>
      <c r="G515" s="346"/>
      <c r="H515" s="346"/>
      <c r="P515" s="347"/>
      <c r="Q515" s="347"/>
      <c r="R515" s="162"/>
      <c r="S515" s="163"/>
      <c r="T515" s="163"/>
      <c r="U515" s="163"/>
      <c r="V515" s="163"/>
      <c r="W515" s="163"/>
      <c r="X515" s="163"/>
      <c r="Y515" s="160"/>
      <c r="Z515" s="164"/>
      <c r="AA515" s="164"/>
      <c r="AB515" s="164"/>
      <c r="AC515" s="164"/>
      <c r="AD515" s="164"/>
      <c r="AE515" s="348"/>
      <c r="AF515" s="348"/>
      <c r="AG515" s="349"/>
      <c r="AH515" s="349"/>
      <c r="AI515" s="349"/>
      <c r="AJ515" s="349"/>
      <c r="AK515" s="350"/>
      <c r="AL515" s="349"/>
      <c r="AM515" s="351"/>
      <c r="AN515" s="351"/>
    </row>
    <row r="516" spans="4:40">
      <c r="D516" s="160"/>
      <c r="F516" s="346"/>
      <c r="G516" s="346"/>
      <c r="H516" s="346"/>
      <c r="P516" s="347"/>
      <c r="Q516" s="347"/>
      <c r="R516" s="162"/>
      <c r="S516" s="163"/>
      <c r="T516" s="163"/>
      <c r="U516" s="163"/>
      <c r="V516" s="163"/>
      <c r="W516" s="163"/>
      <c r="X516" s="163"/>
      <c r="Y516" s="160"/>
      <c r="Z516" s="164"/>
      <c r="AA516" s="164"/>
      <c r="AB516" s="164"/>
      <c r="AC516" s="164"/>
      <c r="AD516" s="164"/>
      <c r="AE516" s="348"/>
      <c r="AF516" s="348"/>
      <c r="AG516" s="349"/>
      <c r="AH516" s="349"/>
      <c r="AI516" s="349"/>
      <c r="AJ516" s="349"/>
      <c r="AK516" s="350"/>
      <c r="AL516" s="349"/>
      <c r="AM516" s="351"/>
      <c r="AN516" s="351"/>
    </row>
    <row r="517" spans="4:40">
      <c r="D517" s="160"/>
      <c r="F517" s="346"/>
      <c r="G517" s="346"/>
      <c r="H517" s="346"/>
      <c r="P517" s="347"/>
      <c r="Q517" s="347"/>
      <c r="R517" s="162"/>
      <c r="S517" s="163"/>
      <c r="T517" s="163"/>
      <c r="U517" s="163"/>
      <c r="V517" s="163"/>
      <c r="W517" s="163"/>
      <c r="X517" s="163"/>
      <c r="Y517" s="160"/>
      <c r="Z517" s="164"/>
      <c r="AA517" s="164"/>
      <c r="AB517" s="164"/>
      <c r="AC517" s="164"/>
      <c r="AD517" s="164"/>
      <c r="AE517" s="348"/>
      <c r="AF517" s="348"/>
      <c r="AG517" s="349"/>
      <c r="AH517" s="349"/>
      <c r="AI517" s="349"/>
      <c r="AJ517" s="349"/>
      <c r="AK517" s="350"/>
      <c r="AL517" s="349"/>
      <c r="AM517" s="351"/>
      <c r="AN517" s="351"/>
    </row>
    <row r="518" spans="4:40">
      <c r="D518" s="160"/>
      <c r="F518" s="346"/>
      <c r="G518" s="346"/>
      <c r="H518" s="346"/>
      <c r="P518" s="347"/>
      <c r="Q518" s="347"/>
      <c r="R518" s="162"/>
      <c r="S518" s="163"/>
      <c r="T518" s="163"/>
      <c r="U518" s="163"/>
      <c r="V518" s="163"/>
      <c r="W518" s="163"/>
      <c r="X518" s="163"/>
      <c r="Y518" s="160"/>
      <c r="Z518" s="164"/>
      <c r="AA518" s="164"/>
      <c r="AB518" s="164"/>
      <c r="AC518" s="164"/>
      <c r="AD518" s="164"/>
      <c r="AE518" s="348"/>
      <c r="AF518" s="348"/>
      <c r="AG518" s="349"/>
      <c r="AH518" s="349"/>
      <c r="AI518" s="349"/>
      <c r="AJ518" s="349"/>
      <c r="AK518" s="350"/>
      <c r="AL518" s="349"/>
      <c r="AM518" s="351"/>
      <c r="AN518" s="351"/>
    </row>
    <row r="519" spans="4:40">
      <c r="D519" s="160"/>
      <c r="F519" s="346"/>
      <c r="G519" s="346"/>
      <c r="H519" s="346"/>
      <c r="P519" s="347"/>
      <c r="Q519" s="347"/>
      <c r="R519" s="162"/>
      <c r="S519" s="163"/>
      <c r="T519" s="163"/>
      <c r="U519" s="163"/>
      <c r="V519" s="163"/>
      <c r="W519" s="163"/>
      <c r="X519" s="163"/>
      <c r="Y519" s="160"/>
      <c r="Z519" s="164"/>
      <c r="AA519" s="164"/>
      <c r="AB519" s="164"/>
      <c r="AC519" s="164"/>
      <c r="AD519" s="164"/>
      <c r="AE519" s="348"/>
      <c r="AF519" s="348"/>
      <c r="AG519" s="349"/>
      <c r="AH519" s="349"/>
      <c r="AI519" s="349"/>
      <c r="AJ519" s="349"/>
      <c r="AK519" s="350"/>
      <c r="AL519" s="349"/>
      <c r="AM519" s="351"/>
      <c r="AN519" s="351"/>
    </row>
    <row r="520" spans="4:40">
      <c r="D520" s="160"/>
      <c r="F520" s="346"/>
      <c r="G520" s="346"/>
      <c r="H520" s="346"/>
      <c r="P520" s="347"/>
      <c r="Q520" s="347"/>
      <c r="R520" s="162"/>
      <c r="S520" s="163"/>
      <c r="T520" s="163"/>
      <c r="U520" s="163"/>
      <c r="V520" s="163"/>
      <c r="W520" s="163"/>
      <c r="X520" s="163"/>
      <c r="Y520" s="160"/>
      <c r="Z520" s="164"/>
      <c r="AA520" s="164"/>
      <c r="AB520" s="164"/>
      <c r="AC520" s="164"/>
      <c r="AD520" s="164"/>
      <c r="AE520" s="348"/>
      <c r="AF520" s="348"/>
      <c r="AG520" s="349"/>
      <c r="AH520" s="349"/>
      <c r="AI520" s="349"/>
      <c r="AJ520" s="349"/>
      <c r="AK520" s="350"/>
      <c r="AL520" s="349"/>
      <c r="AM520" s="351"/>
      <c r="AN520" s="351"/>
    </row>
    <row r="521" spans="4:40">
      <c r="D521" s="160"/>
      <c r="F521" s="346"/>
      <c r="G521" s="346"/>
      <c r="H521" s="346"/>
      <c r="P521" s="347"/>
      <c r="Q521" s="347"/>
      <c r="R521" s="162"/>
      <c r="S521" s="163"/>
      <c r="T521" s="163"/>
      <c r="U521" s="163"/>
      <c r="V521" s="163"/>
      <c r="W521" s="163"/>
      <c r="X521" s="163"/>
      <c r="Y521" s="160"/>
      <c r="Z521" s="164"/>
      <c r="AA521" s="164"/>
      <c r="AB521" s="164"/>
      <c r="AC521" s="164"/>
      <c r="AD521" s="164"/>
      <c r="AE521" s="348"/>
      <c r="AF521" s="348"/>
      <c r="AG521" s="349"/>
      <c r="AH521" s="349"/>
      <c r="AI521" s="349"/>
      <c r="AJ521" s="349"/>
      <c r="AK521" s="350"/>
      <c r="AL521" s="349"/>
      <c r="AM521" s="351"/>
      <c r="AN521" s="351"/>
    </row>
    <row r="522" spans="4:40">
      <c r="D522" s="160"/>
      <c r="F522" s="346"/>
      <c r="G522" s="346"/>
      <c r="H522" s="346"/>
      <c r="P522" s="347"/>
      <c r="Q522" s="347"/>
      <c r="R522" s="162"/>
      <c r="S522" s="163"/>
      <c r="T522" s="163"/>
      <c r="U522" s="163"/>
      <c r="V522" s="163"/>
      <c r="W522" s="163"/>
      <c r="X522" s="163"/>
      <c r="Y522" s="160"/>
      <c r="Z522" s="164"/>
      <c r="AA522" s="164"/>
      <c r="AB522" s="164"/>
      <c r="AC522" s="164"/>
      <c r="AD522" s="164"/>
      <c r="AE522" s="348"/>
      <c r="AF522" s="348"/>
      <c r="AG522" s="349"/>
      <c r="AH522" s="349"/>
      <c r="AI522" s="349"/>
      <c r="AJ522" s="349"/>
      <c r="AK522" s="350"/>
      <c r="AL522" s="349"/>
      <c r="AM522" s="351"/>
      <c r="AN522" s="351"/>
    </row>
    <row r="523" spans="4:40">
      <c r="D523" s="160"/>
      <c r="F523" s="346"/>
      <c r="G523" s="346"/>
      <c r="H523" s="346"/>
      <c r="P523" s="347"/>
      <c r="Q523" s="347"/>
      <c r="R523" s="162"/>
      <c r="S523" s="163"/>
      <c r="T523" s="163"/>
      <c r="U523" s="163"/>
      <c r="V523" s="163"/>
      <c r="W523" s="163"/>
      <c r="X523" s="163"/>
      <c r="Y523" s="160"/>
      <c r="Z523" s="164"/>
      <c r="AA523" s="164"/>
      <c r="AB523" s="164"/>
      <c r="AC523" s="164"/>
      <c r="AD523" s="164"/>
      <c r="AE523" s="348"/>
      <c r="AF523" s="348"/>
      <c r="AG523" s="349"/>
      <c r="AH523" s="349"/>
      <c r="AI523" s="349"/>
      <c r="AJ523" s="349"/>
      <c r="AK523" s="350"/>
      <c r="AL523" s="349"/>
      <c r="AM523" s="351"/>
      <c r="AN523" s="351"/>
    </row>
    <row r="524" spans="4:40">
      <c r="D524" s="160"/>
      <c r="F524" s="346"/>
      <c r="G524" s="346"/>
      <c r="H524" s="346"/>
      <c r="P524" s="347"/>
      <c r="Q524" s="347"/>
      <c r="R524" s="162"/>
      <c r="S524" s="163"/>
      <c r="T524" s="163"/>
      <c r="U524" s="163"/>
      <c r="V524" s="163"/>
      <c r="W524" s="163"/>
      <c r="X524" s="163"/>
      <c r="Y524" s="160"/>
      <c r="Z524" s="164"/>
      <c r="AA524" s="164"/>
      <c r="AB524" s="164"/>
      <c r="AC524" s="164"/>
      <c r="AD524" s="164"/>
      <c r="AE524" s="348"/>
      <c r="AF524" s="348"/>
      <c r="AG524" s="349"/>
      <c r="AH524" s="349"/>
      <c r="AI524" s="349"/>
      <c r="AJ524" s="349"/>
      <c r="AK524" s="350"/>
      <c r="AL524" s="349"/>
      <c r="AM524" s="351"/>
      <c r="AN524" s="351"/>
    </row>
    <row r="525" spans="4:40">
      <c r="D525" s="160"/>
      <c r="F525" s="346"/>
      <c r="G525" s="346"/>
      <c r="H525" s="346"/>
      <c r="P525" s="347"/>
      <c r="Q525" s="347"/>
      <c r="R525" s="162"/>
      <c r="S525" s="163"/>
      <c r="T525" s="163"/>
      <c r="U525" s="163"/>
      <c r="V525" s="163"/>
      <c r="W525" s="163"/>
      <c r="X525" s="163"/>
      <c r="Y525" s="160"/>
      <c r="Z525" s="164"/>
      <c r="AA525" s="164"/>
      <c r="AB525" s="164"/>
      <c r="AC525" s="164"/>
      <c r="AD525" s="164"/>
      <c r="AE525" s="348"/>
      <c r="AF525" s="348"/>
      <c r="AG525" s="349"/>
      <c r="AH525" s="349"/>
      <c r="AI525" s="349"/>
      <c r="AJ525" s="349"/>
      <c r="AK525" s="350"/>
      <c r="AL525" s="349"/>
      <c r="AM525" s="351"/>
      <c r="AN525" s="351"/>
    </row>
    <row r="526" spans="4:40">
      <c r="D526" s="160"/>
      <c r="F526" s="346"/>
      <c r="G526" s="346"/>
      <c r="H526" s="346"/>
      <c r="P526" s="347"/>
      <c r="Q526" s="347"/>
      <c r="R526" s="162"/>
      <c r="S526" s="163"/>
      <c r="T526" s="163"/>
      <c r="U526" s="163"/>
      <c r="V526" s="163"/>
      <c r="W526" s="163"/>
      <c r="X526" s="163"/>
      <c r="Y526" s="160"/>
      <c r="Z526" s="164"/>
      <c r="AA526" s="164"/>
      <c r="AB526" s="164"/>
      <c r="AC526" s="164"/>
      <c r="AD526" s="164"/>
      <c r="AE526" s="348"/>
      <c r="AF526" s="348"/>
      <c r="AG526" s="349"/>
      <c r="AH526" s="349"/>
      <c r="AI526" s="349"/>
      <c r="AJ526" s="349"/>
      <c r="AK526" s="350"/>
      <c r="AL526" s="349"/>
      <c r="AM526" s="351"/>
      <c r="AN526" s="351"/>
    </row>
    <row r="527" spans="4:40">
      <c r="D527" s="160"/>
      <c r="F527" s="346"/>
      <c r="G527" s="346"/>
      <c r="H527" s="346"/>
      <c r="P527" s="347"/>
      <c r="Q527" s="347"/>
      <c r="R527" s="162"/>
      <c r="S527" s="163"/>
      <c r="T527" s="163"/>
      <c r="U527" s="163"/>
      <c r="V527" s="163"/>
      <c r="W527" s="163"/>
      <c r="X527" s="163"/>
      <c r="Y527" s="160"/>
      <c r="Z527" s="164"/>
      <c r="AA527" s="164"/>
      <c r="AB527" s="164"/>
      <c r="AC527" s="164"/>
      <c r="AD527" s="164"/>
      <c r="AE527" s="348"/>
      <c r="AF527" s="348"/>
      <c r="AG527" s="349"/>
      <c r="AH527" s="349"/>
      <c r="AI527" s="349"/>
      <c r="AJ527" s="349"/>
      <c r="AK527" s="350"/>
      <c r="AL527" s="349"/>
      <c r="AM527" s="351"/>
      <c r="AN527" s="351"/>
    </row>
    <row r="528" spans="4:40">
      <c r="D528" s="160"/>
      <c r="F528" s="346"/>
      <c r="G528" s="346"/>
      <c r="H528" s="346"/>
      <c r="P528" s="347"/>
      <c r="Q528" s="347"/>
      <c r="R528" s="162"/>
      <c r="S528" s="163"/>
      <c r="T528" s="163"/>
      <c r="U528" s="163"/>
      <c r="V528" s="163"/>
      <c r="W528" s="163"/>
      <c r="X528" s="163"/>
      <c r="Y528" s="160"/>
      <c r="Z528" s="164"/>
      <c r="AA528" s="164"/>
      <c r="AB528" s="164"/>
      <c r="AC528" s="164"/>
      <c r="AD528" s="164"/>
      <c r="AE528" s="348"/>
      <c r="AF528" s="348"/>
      <c r="AG528" s="349"/>
      <c r="AH528" s="349"/>
      <c r="AI528" s="349"/>
      <c r="AJ528" s="349"/>
      <c r="AK528" s="350"/>
      <c r="AL528" s="349"/>
      <c r="AM528" s="351"/>
      <c r="AN528" s="351"/>
    </row>
    <row r="529" spans="4:40">
      <c r="D529" s="160"/>
      <c r="F529" s="346"/>
      <c r="G529" s="346"/>
      <c r="H529" s="346"/>
      <c r="P529" s="347"/>
      <c r="Q529" s="347"/>
      <c r="R529" s="162"/>
      <c r="S529" s="163"/>
      <c r="T529" s="163"/>
      <c r="U529" s="163"/>
      <c r="V529" s="163"/>
      <c r="W529" s="163"/>
      <c r="X529" s="163"/>
      <c r="Y529" s="160"/>
      <c r="Z529" s="164"/>
      <c r="AA529" s="164"/>
      <c r="AB529" s="164"/>
      <c r="AC529" s="164"/>
      <c r="AD529" s="164"/>
      <c r="AE529" s="348"/>
      <c r="AF529" s="348"/>
      <c r="AG529" s="349"/>
      <c r="AH529" s="349"/>
      <c r="AI529" s="349"/>
      <c r="AJ529" s="349"/>
      <c r="AK529" s="350"/>
      <c r="AL529" s="349"/>
      <c r="AM529" s="351"/>
      <c r="AN529" s="351"/>
    </row>
    <row r="530" spans="4:40">
      <c r="D530" s="160"/>
      <c r="F530" s="346"/>
      <c r="G530" s="346"/>
      <c r="H530" s="346"/>
      <c r="P530" s="347"/>
      <c r="Q530" s="347"/>
      <c r="R530" s="162"/>
      <c r="S530" s="163"/>
      <c r="T530" s="163"/>
      <c r="U530" s="163"/>
      <c r="V530" s="163"/>
      <c r="W530" s="163"/>
      <c r="X530" s="163"/>
      <c r="Y530" s="160"/>
      <c r="Z530" s="164"/>
      <c r="AA530" s="164"/>
      <c r="AB530" s="164"/>
      <c r="AC530" s="164"/>
      <c r="AD530" s="164"/>
      <c r="AE530" s="348"/>
      <c r="AF530" s="348"/>
      <c r="AG530" s="349"/>
      <c r="AH530" s="349"/>
      <c r="AI530" s="349"/>
      <c r="AJ530" s="349"/>
      <c r="AK530" s="350"/>
      <c r="AL530" s="349"/>
      <c r="AM530" s="351"/>
      <c r="AN530" s="351"/>
    </row>
    <row r="531" spans="4:40">
      <c r="D531" s="160"/>
      <c r="F531" s="346"/>
      <c r="G531" s="346"/>
      <c r="H531" s="346"/>
      <c r="P531" s="347"/>
      <c r="Q531" s="347"/>
      <c r="R531" s="162"/>
      <c r="S531" s="163"/>
      <c r="T531" s="163"/>
      <c r="U531" s="163"/>
      <c r="V531" s="163"/>
      <c r="W531" s="163"/>
      <c r="X531" s="163"/>
      <c r="Y531" s="160"/>
      <c r="Z531" s="164"/>
      <c r="AA531" s="164"/>
      <c r="AB531" s="164"/>
      <c r="AC531" s="164"/>
      <c r="AD531" s="164"/>
      <c r="AE531" s="348"/>
      <c r="AF531" s="348"/>
      <c r="AG531" s="349"/>
      <c r="AH531" s="349"/>
      <c r="AI531" s="349"/>
      <c r="AJ531" s="349"/>
      <c r="AK531" s="350"/>
      <c r="AL531" s="349"/>
      <c r="AM531" s="351"/>
      <c r="AN531" s="351"/>
    </row>
    <row r="532" spans="4:40">
      <c r="D532" s="160"/>
      <c r="F532" s="346"/>
      <c r="G532" s="346"/>
      <c r="H532" s="346"/>
      <c r="P532" s="347"/>
      <c r="Q532" s="347"/>
      <c r="R532" s="162"/>
      <c r="S532" s="163"/>
      <c r="T532" s="163"/>
      <c r="U532" s="163"/>
      <c r="V532" s="163"/>
      <c r="W532" s="163"/>
      <c r="X532" s="163"/>
      <c r="Y532" s="160"/>
      <c r="Z532" s="164"/>
      <c r="AA532" s="164"/>
      <c r="AB532" s="164"/>
      <c r="AC532" s="164"/>
      <c r="AD532" s="164"/>
      <c r="AE532" s="348"/>
      <c r="AF532" s="348"/>
      <c r="AG532" s="349"/>
      <c r="AH532" s="349"/>
      <c r="AI532" s="349"/>
      <c r="AJ532" s="349"/>
      <c r="AK532" s="350"/>
      <c r="AL532" s="349"/>
      <c r="AM532" s="351"/>
      <c r="AN532" s="351"/>
    </row>
    <row r="533" spans="4:40">
      <c r="D533" s="160"/>
      <c r="F533" s="346"/>
      <c r="G533" s="346"/>
      <c r="H533" s="346"/>
      <c r="P533" s="347"/>
      <c r="Q533" s="347"/>
      <c r="R533" s="162"/>
      <c r="S533" s="163"/>
      <c r="T533" s="163"/>
      <c r="U533" s="163"/>
      <c r="V533" s="163"/>
      <c r="W533" s="163"/>
      <c r="X533" s="163"/>
      <c r="Y533" s="160"/>
      <c r="Z533" s="164"/>
      <c r="AA533" s="164"/>
      <c r="AB533" s="164"/>
      <c r="AC533" s="164"/>
      <c r="AD533" s="164"/>
      <c r="AE533" s="348"/>
      <c r="AF533" s="348"/>
      <c r="AG533" s="349"/>
      <c r="AH533" s="349"/>
      <c r="AI533" s="349"/>
      <c r="AJ533" s="349"/>
      <c r="AK533" s="350"/>
      <c r="AL533" s="349"/>
      <c r="AM533" s="351"/>
      <c r="AN533" s="351"/>
    </row>
    <row r="534" spans="4:40">
      <c r="D534" s="160"/>
      <c r="F534" s="346"/>
      <c r="G534" s="346"/>
      <c r="H534" s="346"/>
      <c r="P534" s="347"/>
      <c r="Q534" s="347"/>
      <c r="R534" s="162"/>
      <c r="S534" s="163"/>
      <c r="T534" s="163"/>
      <c r="U534" s="163"/>
      <c r="V534" s="163"/>
      <c r="W534" s="163"/>
      <c r="X534" s="163"/>
      <c r="Y534" s="160"/>
      <c r="Z534" s="164"/>
      <c r="AA534" s="164"/>
      <c r="AB534" s="164"/>
      <c r="AC534" s="164"/>
      <c r="AD534" s="164"/>
      <c r="AE534" s="348"/>
      <c r="AF534" s="348"/>
      <c r="AG534" s="349"/>
      <c r="AH534" s="349"/>
      <c r="AI534" s="349"/>
      <c r="AJ534" s="349"/>
      <c r="AK534" s="350"/>
      <c r="AL534" s="349"/>
      <c r="AM534" s="351"/>
      <c r="AN534" s="351"/>
    </row>
    <row r="535" spans="4:40">
      <c r="D535" s="160"/>
      <c r="F535" s="346"/>
      <c r="G535" s="346"/>
      <c r="H535" s="346"/>
      <c r="P535" s="347"/>
      <c r="Q535" s="347"/>
      <c r="R535" s="162"/>
      <c r="S535" s="163"/>
      <c r="T535" s="163"/>
      <c r="U535" s="163"/>
      <c r="V535" s="163"/>
      <c r="W535" s="163"/>
      <c r="X535" s="163"/>
      <c r="Y535" s="160"/>
      <c r="Z535" s="164"/>
      <c r="AA535" s="164"/>
      <c r="AB535" s="164"/>
      <c r="AC535" s="164"/>
      <c r="AD535" s="164"/>
      <c r="AE535" s="348"/>
      <c r="AF535" s="348"/>
      <c r="AG535" s="349"/>
      <c r="AH535" s="349"/>
      <c r="AI535" s="349"/>
      <c r="AJ535" s="349"/>
      <c r="AK535" s="350"/>
      <c r="AL535" s="349"/>
      <c r="AM535" s="351"/>
      <c r="AN535" s="351"/>
    </row>
    <row r="536" spans="4:40">
      <c r="D536" s="160"/>
      <c r="F536" s="346"/>
      <c r="G536" s="346"/>
      <c r="H536" s="346"/>
      <c r="P536" s="347"/>
      <c r="Q536" s="347"/>
      <c r="R536" s="162"/>
      <c r="S536" s="163"/>
      <c r="T536" s="163"/>
      <c r="U536" s="163"/>
      <c r="V536" s="163"/>
      <c r="W536" s="163"/>
      <c r="X536" s="163"/>
      <c r="Y536" s="160"/>
      <c r="Z536" s="164"/>
      <c r="AA536" s="164"/>
      <c r="AB536" s="164"/>
      <c r="AC536" s="164"/>
      <c r="AD536" s="164"/>
      <c r="AE536" s="348"/>
      <c r="AF536" s="348"/>
      <c r="AG536" s="349"/>
      <c r="AH536" s="349"/>
      <c r="AI536" s="349"/>
      <c r="AJ536" s="349"/>
      <c r="AK536" s="350"/>
      <c r="AL536" s="349"/>
      <c r="AM536" s="351"/>
      <c r="AN536" s="351"/>
    </row>
    <row r="537" spans="4:40">
      <c r="D537" s="160"/>
      <c r="F537" s="346"/>
      <c r="G537" s="346"/>
      <c r="H537" s="346"/>
      <c r="P537" s="347"/>
      <c r="Q537" s="347"/>
      <c r="R537" s="162"/>
      <c r="S537" s="163"/>
      <c r="T537" s="163"/>
      <c r="U537" s="163"/>
      <c r="V537" s="163"/>
      <c r="W537" s="163"/>
      <c r="X537" s="163"/>
      <c r="Y537" s="160"/>
      <c r="Z537" s="164"/>
      <c r="AA537" s="164"/>
      <c r="AB537" s="164"/>
      <c r="AC537" s="164"/>
      <c r="AD537" s="164"/>
      <c r="AE537" s="348"/>
      <c r="AF537" s="348"/>
      <c r="AG537" s="349"/>
      <c r="AH537" s="349"/>
      <c r="AI537" s="349"/>
      <c r="AJ537" s="349"/>
      <c r="AK537" s="350"/>
      <c r="AL537" s="349"/>
      <c r="AM537" s="351"/>
      <c r="AN537" s="351"/>
    </row>
    <row r="538" spans="4:40">
      <c r="D538" s="160"/>
      <c r="F538" s="346"/>
      <c r="G538" s="346"/>
      <c r="H538" s="346"/>
      <c r="P538" s="347"/>
      <c r="Q538" s="347"/>
      <c r="R538" s="162"/>
      <c r="S538" s="163"/>
      <c r="T538" s="163"/>
      <c r="U538" s="163"/>
      <c r="V538" s="163"/>
      <c r="W538" s="163"/>
      <c r="X538" s="163"/>
      <c r="Y538" s="160"/>
      <c r="Z538" s="164"/>
      <c r="AA538" s="164"/>
      <c r="AB538" s="164"/>
      <c r="AC538" s="164"/>
      <c r="AD538" s="164"/>
      <c r="AE538" s="348"/>
      <c r="AF538" s="348"/>
      <c r="AG538" s="349"/>
      <c r="AH538" s="349"/>
      <c r="AI538" s="349"/>
      <c r="AJ538" s="349"/>
      <c r="AK538" s="350"/>
      <c r="AL538" s="349"/>
      <c r="AM538" s="351"/>
      <c r="AN538" s="351"/>
    </row>
    <row r="539" spans="4:40">
      <c r="D539" s="160"/>
      <c r="F539" s="346"/>
      <c r="G539" s="346"/>
      <c r="H539" s="346"/>
      <c r="P539" s="347"/>
      <c r="Q539" s="347"/>
      <c r="R539" s="162"/>
      <c r="S539" s="163"/>
      <c r="T539" s="163"/>
      <c r="U539" s="163"/>
      <c r="V539" s="163"/>
      <c r="W539" s="163"/>
      <c r="X539" s="163"/>
      <c r="Y539" s="160"/>
      <c r="Z539" s="164"/>
      <c r="AA539" s="164"/>
      <c r="AB539" s="164"/>
      <c r="AC539" s="164"/>
      <c r="AD539" s="164"/>
      <c r="AE539" s="348"/>
      <c r="AF539" s="348"/>
      <c r="AG539" s="349"/>
      <c r="AH539" s="349"/>
      <c r="AI539" s="349"/>
      <c r="AJ539" s="349"/>
      <c r="AK539" s="350"/>
      <c r="AL539" s="349"/>
      <c r="AM539" s="351"/>
      <c r="AN539" s="351"/>
    </row>
    <row r="540" spans="4:40">
      <c r="D540" s="160"/>
      <c r="F540" s="346"/>
      <c r="G540" s="346"/>
      <c r="H540" s="346"/>
      <c r="P540" s="347"/>
      <c r="Q540" s="347"/>
      <c r="R540" s="162"/>
      <c r="S540" s="163"/>
      <c r="T540" s="163"/>
      <c r="U540" s="163"/>
      <c r="V540" s="163"/>
      <c r="W540" s="163"/>
      <c r="X540" s="163"/>
      <c r="Y540" s="160"/>
      <c r="Z540" s="164"/>
      <c r="AA540" s="164"/>
      <c r="AB540" s="164"/>
      <c r="AC540" s="164"/>
      <c r="AD540" s="164"/>
      <c r="AE540" s="348"/>
      <c r="AF540" s="348"/>
      <c r="AG540" s="349"/>
      <c r="AH540" s="349"/>
      <c r="AI540" s="349"/>
      <c r="AJ540" s="349"/>
      <c r="AK540" s="350"/>
      <c r="AL540" s="349"/>
      <c r="AM540" s="351"/>
      <c r="AN540" s="351"/>
    </row>
    <row r="541" spans="4:40">
      <c r="D541" s="160"/>
      <c r="F541" s="346"/>
      <c r="G541" s="346"/>
      <c r="H541" s="346"/>
      <c r="P541" s="347"/>
      <c r="Q541" s="347"/>
      <c r="R541" s="162"/>
      <c r="S541" s="163"/>
      <c r="T541" s="163"/>
      <c r="U541" s="163"/>
      <c r="V541" s="163"/>
      <c r="W541" s="163"/>
      <c r="X541" s="163"/>
      <c r="Y541" s="160"/>
      <c r="Z541" s="164"/>
      <c r="AA541" s="164"/>
      <c r="AB541" s="164"/>
      <c r="AC541" s="164"/>
      <c r="AD541" s="164"/>
      <c r="AE541" s="348"/>
      <c r="AF541" s="348"/>
      <c r="AG541" s="349"/>
      <c r="AH541" s="349"/>
      <c r="AI541" s="349"/>
      <c r="AJ541" s="349"/>
      <c r="AK541" s="350"/>
      <c r="AL541" s="349"/>
      <c r="AM541" s="351"/>
      <c r="AN541" s="351"/>
    </row>
    <row r="542" spans="4:40">
      <c r="D542" s="160"/>
      <c r="F542" s="346"/>
      <c r="G542" s="346"/>
      <c r="H542" s="346"/>
      <c r="P542" s="347"/>
      <c r="Q542" s="347"/>
      <c r="R542" s="162"/>
      <c r="S542" s="163"/>
      <c r="T542" s="163"/>
      <c r="U542" s="163"/>
      <c r="V542" s="163"/>
      <c r="W542" s="163"/>
      <c r="X542" s="163"/>
      <c r="Y542" s="160"/>
      <c r="Z542" s="164"/>
      <c r="AA542" s="164"/>
      <c r="AB542" s="164"/>
      <c r="AC542" s="164"/>
      <c r="AD542" s="164"/>
      <c r="AE542" s="348"/>
      <c r="AF542" s="348"/>
      <c r="AG542" s="349"/>
      <c r="AH542" s="349"/>
      <c r="AI542" s="349"/>
      <c r="AJ542" s="349"/>
      <c r="AK542" s="350"/>
      <c r="AL542" s="349"/>
      <c r="AM542" s="351"/>
      <c r="AN542" s="351"/>
    </row>
    <row r="543" spans="4:40">
      <c r="D543" s="160"/>
      <c r="F543" s="346"/>
      <c r="G543" s="346"/>
      <c r="H543" s="346"/>
      <c r="P543" s="347"/>
      <c r="Q543" s="347"/>
      <c r="R543" s="162"/>
      <c r="S543" s="163"/>
      <c r="T543" s="163"/>
      <c r="U543" s="163"/>
      <c r="V543" s="163"/>
      <c r="W543" s="163"/>
      <c r="X543" s="163"/>
      <c r="Y543" s="160"/>
      <c r="Z543" s="164"/>
      <c r="AA543" s="164"/>
      <c r="AB543" s="164"/>
      <c r="AC543" s="164"/>
      <c r="AD543" s="164"/>
      <c r="AE543" s="348"/>
      <c r="AF543" s="348"/>
      <c r="AG543" s="349"/>
      <c r="AH543" s="349"/>
      <c r="AI543" s="349"/>
      <c r="AJ543" s="349"/>
      <c r="AK543" s="350"/>
      <c r="AL543" s="349"/>
      <c r="AM543" s="351"/>
      <c r="AN543" s="351"/>
    </row>
    <row r="544" spans="4:40">
      <c r="D544" s="160"/>
      <c r="F544" s="346"/>
      <c r="G544" s="346"/>
      <c r="H544" s="346"/>
      <c r="P544" s="347"/>
      <c r="Q544" s="347"/>
      <c r="R544" s="162"/>
      <c r="S544" s="163"/>
      <c r="T544" s="163"/>
      <c r="U544" s="163"/>
      <c r="V544" s="163"/>
      <c r="W544" s="163"/>
      <c r="X544" s="163"/>
      <c r="Y544" s="160"/>
      <c r="Z544" s="164"/>
      <c r="AA544" s="164"/>
      <c r="AB544" s="164"/>
      <c r="AC544" s="164"/>
      <c r="AD544" s="164"/>
      <c r="AE544" s="348"/>
      <c r="AF544" s="348"/>
      <c r="AG544" s="349"/>
      <c r="AH544" s="349"/>
      <c r="AI544" s="349"/>
      <c r="AJ544" s="349"/>
      <c r="AK544" s="350"/>
      <c r="AL544" s="349"/>
      <c r="AM544" s="351"/>
      <c r="AN544" s="351"/>
    </row>
    <row r="545" spans="4:40">
      <c r="D545" s="160"/>
      <c r="F545" s="346"/>
      <c r="G545" s="346"/>
      <c r="H545" s="346"/>
      <c r="P545" s="347"/>
      <c r="Q545" s="347"/>
      <c r="R545" s="162"/>
      <c r="S545" s="163"/>
      <c r="T545" s="163"/>
      <c r="U545" s="163"/>
      <c r="V545" s="163"/>
      <c r="W545" s="163"/>
      <c r="X545" s="163"/>
      <c r="Y545" s="160"/>
      <c r="Z545" s="164"/>
      <c r="AA545" s="164"/>
      <c r="AB545" s="164"/>
      <c r="AC545" s="164"/>
      <c r="AD545" s="164"/>
      <c r="AE545" s="348"/>
      <c r="AF545" s="348"/>
      <c r="AG545" s="349"/>
      <c r="AH545" s="349"/>
      <c r="AI545" s="349"/>
      <c r="AJ545" s="349"/>
      <c r="AK545" s="350"/>
      <c r="AL545" s="349"/>
      <c r="AM545" s="351"/>
      <c r="AN545" s="351"/>
    </row>
    <row r="546" spans="4:40">
      <c r="D546" s="160"/>
      <c r="F546" s="346"/>
      <c r="G546" s="346"/>
      <c r="H546" s="346"/>
      <c r="P546" s="347"/>
      <c r="Q546" s="347"/>
      <c r="R546" s="162"/>
      <c r="S546" s="163"/>
      <c r="T546" s="163"/>
      <c r="U546" s="163"/>
      <c r="V546" s="163"/>
      <c r="W546" s="163"/>
      <c r="X546" s="163"/>
      <c r="Y546" s="160"/>
      <c r="Z546" s="164"/>
      <c r="AA546" s="164"/>
      <c r="AB546" s="164"/>
      <c r="AC546" s="164"/>
      <c r="AD546" s="164"/>
      <c r="AE546" s="348"/>
      <c r="AF546" s="348"/>
      <c r="AG546" s="349"/>
      <c r="AH546" s="349"/>
      <c r="AI546" s="349"/>
      <c r="AJ546" s="349"/>
      <c r="AK546" s="350"/>
      <c r="AL546" s="349"/>
      <c r="AM546" s="351"/>
      <c r="AN546" s="351"/>
    </row>
    <row r="547" spans="4:40">
      <c r="D547" s="160"/>
      <c r="F547" s="346"/>
      <c r="G547" s="346"/>
      <c r="H547" s="346"/>
      <c r="P547" s="347"/>
      <c r="Q547" s="347"/>
      <c r="R547" s="162"/>
      <c r="S547" s="163"/>
      <c r="T547" s="163"/>
      <c r="U547" s="163"/>
      <c r="V547" s="163"/>
      <c r="W547" s="163"/>
      <c r="X547" s="163"/>
      <c r="Y547" s="160"/>
      <c r="Z547" s="164"/>
      <c r="AA547" s="164"/>
      <c r="AB547" s="164"/>
      <c r="AC547" s="164"/>
      <c r="AD547" s="164"/>
      <c r="AE547" s="348"/>
      <c r="AF547" s="348"/>
      <c r="AG547" s="349"/>
      <c r="AH547" s="349"/>
      <c r="AI547" s="349"/>
      <c r="AJ547" s="349"/>
      <c r="AK547" s="350"/>
      <c r="AL547" s="349"/>
      <c r="AM547" s="351"/>
      <c r="AN547" s="351"/>
    </row>
    <row r="548" spans="4:40">
      <c r="D548" s="160"/>
      <c r="F548" s="346"/>
      <c r="G548" s="346"/>
      <c r="H548" s="346"/>
      <c r="P548" s="347"/>
      <c r="Q548" s="347"/>
      <c r="R548" s="162"/>
      <c r="S548" s="163"/>
      <c r="T548" s="163"/>
      <c r="U548" s="163"/>
      <c r="V548" s="163"/>
      <c r="W548" s="163"/>
      <c r="X548" s="163"/>
      <c r="Y548" s="160"/>
      <c r="Z548" s="164"/>
      <c r="AA548" s="164"/>
      <c r="AB548" s="164"/>
      <c r="AC548" s="164"/>
      <c r="AD548" s="164"/>
      <c r="AE548" s="348"/>
      <c r="AF548" s="348"/>
      <c r="AG548" s="349"/>
      <c r="AH548" s="349"/>
      <c r="AI548" s="349"/>
      <c r="AJ548" s="349"/>
      <c r="AK548" s="350"/>
      <c r="AL548" s="349"/>
      <c r="AM548" s="351"/>
      <c r="AN548" s="351"/>
    </row>
    <row r="549" spans="4:40">
      <c r="D549" s="160"/>
      <c r="F549" s="346"/>
      <c r="G549" s="346"/>
      <c r="H549" s="346"/>
      <c r="P549" s="347"/>
      <c r="Q549" s="347"/>
      <c r="R549" s="162"/>
      <c r="S549" s="163"/>
      <c r="T549" s="163"/>
      <c r="U549" s="163"/>
      <c r="V549" s="163"/>
      <c r="W549" s="163"/>
      <c r="X549" s="163"/>
      <c r="Y549" s="160"/>
      <c r="Z549" s="164"/>
      <c r="AA549" s="164"/>
      <c r="AB549" s="164"/>
      <c r="AC549" s="164"/>
      <c r="AD549" s="164"/>
      <c r="AE549" s="348"/>
      <c r="AF549" s="348"/>
      <c r="AG549" s="349"/>
      <c r="AH549" s="349"/>
      <c r="AI549" s="349"/>
      <c r="AJ549" s="349"/>
      <c r="AK549" s="350"/>
      <c r="AL549" s="349"/>
      <c r="AM549" s="351"/>
      <c r="AN549" s="351"/>
    </row>
    <row r="550" spans="4:40">
      <c r="D550" s="160"/>
      <c r="F550" s="346"/>
      <c r="G550" s="346"/>
      <c r="H550" s="346"/>
      <c r="P550" s="347"/>
      <c r="Q550" s="347"/>
      <c r="R550" s="162"/>
      <c r="S550" s="163"/>
      <c r="T550" s="163"/>
      <c r="U550" s="163"/>
      <c r="V550" s="163"/>
      <c r="W550" s="163"/>
      <c r="X550" s="163"/>
      <c r="Y550" s="160"/>
      <c r="Z550" s="164"/>
      <c r="AA550" s="164"/>
      <c r="AB550" s="164"/>
      <c r="AC550" s="164"/>
      <c r="AD550" s="164"/>
      <c r="AE550" s="348"/>
      <c r="AF550" s="348"/>
      <c r="AG550" s="349"/>
      <c r="AH550" s="349"/>
      <c r="AI550" s="349"/>
      <c r="AJ550" s="349"/>
      <c r="AK550" s="350"/>
      <c r="AL550" s="349"/>
      <c r="AM550" s="351"/>
      <c r="AN550" s="351"/>
    </row>
    <row r="551" spans="4:40">
      <c r="D551" s="160"/>
      <c r="F551" s="346"/>
      <c r="G551" s="346"/>
      <c r="H551" s="346"/>
      <c r="P551" s="347"/>
      <c r="Q551" s="347"/>
      <c r="R551" s="162"/>
      <c r="S551" s="163"/>
      <c r="T551" s="163"/>
      <c r="U551" s="163"/>
      <c r="V551" s="163"/>
      <c r="W551" s="163"/>
      <c r="X551" s="163"/>
      <c r="Y551" s="160"/>
      <c r="Z551" s="164"/>
      <c r="AA551" s="164"/>
      <c r="AB551" s="164"/>
      <c r="AC551" s="164"/>
      <c r="AD551" s="164"/>
      <c r="AE551" s="348"/>
      <c r="AF551" s="348"/>
      <c r="AG551" s="349"/>
      <c r="AH551" s="349"/>
      <c r="AI551" s="349"/>
      <c r="AJ551" s="349"/>
      <c r="AK551" s="350"/>
      <c r="AL551" s="349"/>
      <c r="AM551" s="351"/>
      <c r="AN551" s="351"/>
    </row>
    <row r="552" spans="4:40">
      <c r="D552" s="160"/>
      <c r="F552" s="346"/>
      <c r="G552" s="346"/>
      <c r="H552" s="346"/>
      <c r="P552" s="347"/>
      <c r="Q552" s="347"/>
      <c r="R552" s="162"/>
      <c r="S552" s="163"/>
      <c r="T552" s="163"/>
      <c r="U552" s="163"/>
      <c r="V552" s="163"/>
      <c r="W552" s="163"/>
      <c r="X552" s="163"/>
      <c r="Y552" s="160"/>
      <c r="Z552" s="164"/>
      <c r="AA552" s="164"/>
      <c r="AB552" s="164"/>
      <c r="AC552" s="164"/>
      <c r="AD552" s="164"/>
      <c r="AE552" s="348"/>
      <c r="AF552" s="348"/>
      <c r="AG552" s="349"/>
      <c r="AH552" s="349"/>
      <c r="AI552" s="349"/>
      <c r="AJ552" s="349"/>
      <c r="AK552" s="350"/>
      <c r="AL552" s="349"/>
      <c r="AM552" s="351"/>
      <c r="AN552" s="351"/>
    </row>
    <row r="553" spans="4:40">
      <c r="D553" s="160"/>
      <c r="F553" s="346"/>
      <c r="G553" s="346"/>
      <c r="H553" s="346"/>
      <c r="P553" s="347"/>
      <c r="Q553" s="347"/>
      <c r="R553" s="162"/>
      <c r="S553" s="163"/>
      <c r="T553" s="163"/>
      <c r="U553" s="163"/>
      <c r="V553" s="163"/>
      <c r="W553" s="163"/>
      <c r="X553" s="163"/>
      <c r="Y553" s="160"/>
      <c r="Z553" s="164"/>
      <c r="AA553" s="164"/>
      <c r="AB553" s="164"/>
      <c r="AC553" s="164"/>
      <c r="AD553" s="164"/>
      <c r="AE553" s="348"/>
      <c r="AF553" s="348"/>
      <c r="AG553" s="349"/>
      <c r="AH553" s="349"/>
      <c r="AI553" s="349"/>
      <c r="AJ553" s="349"/>
      <c r="AK553" s="350"/>
      <c r="AL553" s="349"/>
      <c r="AM553" s="351"/>
      <c r="AN553" s="351"/>
    </row>
    <row r="554" spans="4:40">
      <c r="D554" s="160"/>
      <c r="F554" s="346"/>
      <c r="G554" s="346"/>
      <c r="H554" s="346"/>
      <c r="P554" s="347"/>
      <c r="Q554" s="347"/>
      <c r="R554" s="162"/>
      <c r="S554" s="163"/>
      <c r="T554" s="163"/>
      <c r="U554" s="163"/>
      <c r="V554" s="163"/>
      <c r="W554" s="163"/>
      <c r="X554" s="163"/>
      <c r="Y554" s="160"/>
      <c r="Z554" s="164"/>
      <c r="AA554" s="164"/>
      <c r="AB554" s="164"/>
      <c r="AC554" s="164"/>
      <c r="AD554" s="164"/>
      <c r="AE554" s="348"/>
      <c r="AF554" s="348"/>
      <c r="AG554" s="349"/>
      <c r="AH554" s="349"/>
      <c r="AI554" s="349"/>
      <c r="AJ554" s="349"/>
      <c r="AK554" s="350"/>
      <c r="AL554" s="349"/>
      <c r="AM554" s="351"/>
      <c r="AN554" s="351"/>
    </row>
    <row r="555" spans="4:40">
      <c r="D555" s="160"/>
      <c r="F555" s="346"/>
      <c r="G555" s="346"/>
      <c r="H555" s="346"/>
      <c r="P555" s="347"/>
      <c r="Q555" s="347"/>
      <c r="R555" s="162"/>
      <c r="S555" s="163"/>
      <c r="T555" s="163"/>
      <c r="U555" s="163"/>
      <c r="V555" s="163"/>
      <c r="W555" s="163"/>
      <c r="X555" s="163"/>
      <c r="Y555" s="160"/>
      <c r="Z555" s="164"/>
      <c r="AA555" s="164"/>
      <c r="AB555" s="164"/>
      <c r="AC555" s="164"/>
      <c r="AD555" s="164"/>
      <c r="AE555" s="348"/>
      <c r="AF555" s="348"/>
      <c r="AG555" s="349"/>
      <c r="AH555" s="349"/>
      <c r="AI555" s="349"/>
      <c r="AJ555" s="349"/>
      <c r="AK555" s="350"/>
      <c r="AL555" s="349"/>
      <c r="AM555" s="351"/>
      <c r="AN555" s="351"/>
    </row>
    <row r="556" spans="4:40">
      <c r="D556" s="160"/>
      <c r="F556" s="346"/>
      <c r="G556" s="346"/>
      <c r="H556" s="346"/>
      <c r="P556" s="347"/>
      <c r="Q556" s="347"/>
      <c r="R556" s="162"/>
      <c r="S556" s="163"/>
      <c r="T556" s="163"/>
      <c r="U556" s="163"/>
      <c r="V556" s="163"/>
      <c r="W556" s="163"/>
      <c r="X556" s="163"/>
      <c r="Y556" s="160"/>
      <c r="Z556" s="164"/>
      <c r="AA556" s="164"/>
      <c r="AB556" s="164"/>
      <c r="AC556" s="164"/>
      <c r="AD556" s="164"/>
      <c r="AE556" s="348"/>
      <c r="AF556" s="348"/>
      <c r="AG556" s="349"/>
      <c r="AH556" s="349"/>
      <c r="AI556" s="349"/>
      <c r="AJ556" s="349"/>
      <c r="AK556" s="350"/>
      <c r="AL556" s="349"/>
      <c r="AM556" s="351"/>
      <c r="AN556" s="351"/>
    </row>
    <row r="557" spans="4:40">
      <c r="D557" s="160"/>
      <c r="F557" s="346"/>
      <c r="G557" s="346"/>
      <c r="H557" s="346"/>
      <c r="P557" s="347"/>
      <c r="Q557" s="347"/>
      <c r="R557" s="162"/>
      <c r="S557" s="163"/>
      <c r="T557" s="163"/>
      <c r="U557" s="163"/>
      <c r="V557" s="163"/>
      <c r="W557" s="163"/>
      <c r="X557" s="163"/>
      <c r="Y557" s="160"/>
      <c r="Z557" s="164"/>
      <c r="AA557" s="164"/>
      <c r="AB557" s="164"/>
      <c r="AC557" s="164"/>
      <c r="AD557" s="164"/>
      <c r="AE557" s="348"/>
      <c r="AF557" s="348"/>
      <c r="AG557" s="349"/>
      <c r="AH557" s="349"/>
      <c r="AI557" s="349"/>
      <c r="AJ557" s="349"/>
      <c r="AK557" s="350"/>
      <c r="AL557" s="349"/>
      <c r="AM557" s="351"/>
      <c r="AN557" s="351"/>
    </row>
    <row r="558" spans="4:40">
      <c r="D558" s="160"/>
      <c r="F558" s="346"/>
      <c r="G558" s="346"/>
      <c r="H558" s="346"/>
      <c r="P558" s="347"/>
      <c r="Q558" s="347"/>
      <c r="R558" s="162"/>
      <c r="S558" s="163"/>
      <c r="T558" s="163"/>
      <c r="U558" s="163"/>
      <c r="V558" s="163"/>
      <c r="W558" s="163"/>
      <c r="X558" s="163"/>
      <c r="Y558" s="160"/>
      <c r="Z558" s="164"/>
      <c r="AA558" s="164"/>
      <c r="AB558" s="164"/>
      <c r="AC558" s="164"/>
      <c r="AD558" s="164"/>
      <c r="AE558" s="348"/>
      <c r="AF558" s="348"/>
      <c r="AG558" s="349"/>
      <c r="AH558" s="349"/>
      <c r="AI558" s="349"/>
      <c r="AJ558" s="349"/>
      <c r="AK558" s="350"/>
      <c r="AL558" s="349"/>
      <c r="AM558" s="351"/>
      <c r="AN558" s="351"/>
    </row>
    <row r="559" spans="4:40">
      <c r="D559" s="160"/>
      <c r="F559" s="346"/>
      <c r="G559" s="346"/>
      <c r="H559" s="346"/>
      <c r="P559" s="347"/>
      <c r="Q559" s="347"/>
      <c r="R559" s="162"/>
      <c r="S559" s="163"/>
      <c r="T559" s="163"/>
      <c r="U559" s="163"/>
      <c r="V559" s="163"/>
      <c r="W559" s="163"/>
      <c r="X559" s="163"/>
      <c r="Y559" s="160"/>
      <c r="Z559" s="164"/>
      <c r="AA559" s="164"/>
      <c r="AB559" s="164"/>
      <c r="AC559" s="164"/>
      <c r="AD559" s="164"/>
      <c r="AE559" s="348"/>
      <c r="AF559" s="348"/>
      <c r="AG559" s="349"/>
      <c r="AH559" s="349"/>
      <c r="AI559" s="349"/>
      <c r="AJ559" s="349"/>
      <c r="AK559" s="350"/>
      <c r="AL559" s="349"/>
      <c r="AM559" s="351"/>
      <c r="AN559" s="351"/>
    </row>
    <row r="560" spans="4:40">
      <c r="D560" s="160"/>
      <c r="F560" s="346"/>
      <c r="G560" s="346"/>
      <c r="H560" s="346"/>
      <c r="P560" s="347"/>
      <c r="Q560" s="347"/>
      <c r="R560" s="162"/>
      <c r="S560" s="163"/>
      <c r="T560" s="163"/>
      <c r="U560" s="163"/>
      <c r="V560" s="163"/>
      <c r="W560" s="163"/>
      <c r="X560" s="163"/>
      <c r="Y560" s="160"/>
      <c r="Z560" s="164"/>
      <c r="AA560" s="164"/>
      <c r="AB560" s="164"/>
      <c r="AC560" s="164"/>
      <c r="AD560" s="164"/>
      <c r="AE560" s="348"/>
      <c r="AF560" s="348"/>
      <c r="AG560" s="349"/>
      <c r="AH560" s="349"/>
      <c r="AI560" s="349"/>
      <c r="AJ560" s="349"/>
      <c r="AK560" s="350"/>
      <c r="AL560" s="349"/>
      <c r="AM560" s="351"/>
      <c r="AN560" s="351"/>
    </row>
    <row r="561" spans="4:40">
      <c r="D561" s="160"/>
      <c r="F561" s="346"/>
      <c r="G561" s="346"/>
      <c r="H561" s="346"/>
      <c r="P561" s="347"/>
      <c r="Q561" s="347"/>
      <c r="R561" s="162"/>
      <c r="S561" s="163"/>
      <c r="T561" s="163"/>
      <c r="U561" s="163"/>
      <c r="V561" s="163"/>
      <c r="W561" s="163"/>
      <c r="X561" s="163"/>
      <c r="Y561" s="160"/>
      <c r="Z561" s="164"/>
      <c r="AA561" s="164"/>
      <c r="AB561" s="164"/>
      <c r="AC561" s="164"/>
      <c r="AD561" s="164"/>
      <c r="AE561" s="348"/>
      <c r="AF561" s="348"/>
      <c r="AG561" s="349"/>
      <c r="AH561" s="349"/>
      <c r="AI561" s="349"/>
      <c r="AJ561" s="349"/>
      <c r="AK561" s="350"/>
      <c r="AL561" s="349"/>
      <c r="AM561" s="351"/>
      <c r="AN561" s="351"/>
    </row>
    <row r="562" spans="4:40">
      <c r="D562" s="160"/>
      <c r="F562" s="346"/>
      <c r="G562" s="346"/>
      <c r="H562" s="346"/>
      <c r="P562" s="347"/>
      <c r="Q562" s="347"/>
      <c r="R562" s="162"/>
      <c r="S562" s="163"/>
      <c r="T562" s="163"/>
      <c r="U562" s="163"/>
      <c r="V562" s="163"/>
      <c r="W562" s="163"/>
      <c r="X562" s="163"/>
      <c r="Y562" s="160"/>
      <c r="Z562" s="164"/>
      <c r="AA562" s="164"/>
      <c r="AB562" s="164"/>
      <c r="AC562" s="164"/>
      <c r="AD562" s="164"/>
      <c r="AE562" s="348"/>
      <c r="AF562" s="348"/>
      <c r="AG562" s="349"/>
      <c r="AH562" s="349"/>
      <c r="AI562" s="349"/>
      <c r="AJ562" s="349"/>
      <c r="AK562" s="350"/>
      <c r="AL562" s="349"/>
      <c r="AM562" s="351"/>
      <c r="AN562" s="351"/>
    </row>
    <row r="563" spans="4:40">
      <c r="D563" s="160"/>
      <c r="F563" s="346"/>
      <c r="G563" s="346"/>
      <c r="H563" s="346"/>
      <c r="P563" s="347"/>
      <c r="Q563" s="347"/>
      <c r="R563" s="162"/>
      <c r="S563" s="163"/>
      <c r="T563" s="163"/>
      <c r="U563" s="163"/>
      <c r="V563" s="163"/>
      <c r="W563" s="163"/>
      <c r="X563" s="163"/>
      <c r="Y563" s="160"/>
      <c r="Z563" s="164"/>
      <c r="AA563" s="164"/>
      <c r="AB563" s="164"/>
      <c r="AC563" s="164"/>
      <c r="AD563" s="164"/>
      <c r="AE563" s="348"/>
      <c r="AF563" s="348"/>
      <c r="AG563" s="349"/>
      <c r="AH563" s="349"/>
      <c r="AI563" s="349"/>
      <c r="AJ563" s="349"/>
      <c r="AK563" s="350"/>
      <c r="AL563" s="349"/>
      <c r="AM563" s="351"/>
      <c r="AN563" s="351"/>
    </row>
    <row r="564" spans="4:40">
      <c r="D564" s="160"/>
      <c r="F564" s="346"/>
      <c r="G564" s="346"/>
      <c r="H564" s="346"/>
      <c r="P564" s="347"/>
      <c r="Q564" s="347"/>
      <c r="R564" s="162"/>
      <c r="S564" s="163"/>
      <c r="T564" s="163"/>
      <c r="U564" s="163"/>
      <c r="V564" s="163"/>
      <c r="W564" s="163"/>
      <c r="X564" s="163"/>
      <c r="Y564" s="160"/>
      <c r="Z564" s="164"/>
      <c r="AA564" s="164"/>
      <c r="AB564" s="164"/>
      <c r="AC564" s="164"/>
      <c r="AD564" s="164"/>
      <c r="AE564" s="348"/>
      <c r="AF564" s="348"/>
      <c r="AG564" s="349"/>
      <c r="AH564" s="349"/>
      <c r="AI564" s="349"/>
      <c r="AJ564" s="349"/>
      <c r="AK564" s="350"/>
      <c r="AL564" s="349"/>
      <c r="AM564" s="351"/>
      <c r="AN564" s="351"/>
    </row>
    <row r="565" spans="4:40">
      <c r="D565" s="160"/>
      <c r="F565" s="346"/>
      <c r="G565" s="346"/>
      <c r="H565" s="346"/>
      <c r="P565" s="347"/>
      <c r="Q565" s="347"/>
      <c r="R565" s="162"/>
      <c r="S565" s="163"/>
      <c r="T565" s="163"/>
      <c r="U565" s="163"/>
      <c r="V565" s="163"/>
      <c r="W565" s="163"/>
      <c r="X565" s="163"/>
      <c r="Y565" s="160"/>
      <c r="Z565" s="164"/>
      <c r="AA565" s="164"/>
      <c r="AB565" s="164"/>
      <c r="AC565" s="164"/>
      <c r="AD565" s="164"/>
      <c r="AE565" s="348"/>
      <c r="AF565" s="348"/>
      <c r="AG565" s="349"/>
      <c r="AH565" s="349"/>
      <c r="AI565" s="349"/>
      <c r="AJ565" s="349"/>
      <c r="AK565" s="350"/>
      <c r="AL565" s="349"/>
      <c r="AM565" s="351"/>
      <c r="AN565" s="351"/>
    </row>
    <row r="566" spans="4:40">
      <c r="D566" s="160"/>
      <c r="F566" s="346"/>
      <c r="G566" s="346"/>
      <c r="H566" s="346"/>
      <c r="P566" s="347"/>
      <c r="Q566" s="347"/>
      <c r="R566" s="162"/>
      <c r="S566" s="163"/>
      <c r="T566" s="163"/>
      <c r="U566" s="163"/>
      <c r="V566" s="163"/>
      <c r="W566" s="163"/>
      <c r="X566" s="163"/>
      <c r="Y566" s="160"/>
      <c r="Z566" s="164"/>
      <c r="AA566" s="164"/>
      <c r="AB566" s="164"/>
      <c r="AC566" s="164"/>
      <c r="AD566" s="164"/>
      <c r="AE566" s="348"/>
      <c r="AF566" s="348"/>
      <c r="AG566" s="349"/>
      <c r="AH566" s="349"/>
      <c r="AI566" s="349"/>
      <c r="AJ566" s="349"/>
      <c r="AK566" s="350"/>
      <c r="AL566" s="349"/>
      <c r="AM566" s="351"/>
      <c r="AN566" s="351"/>
    </row>
    <row r="567" spans="4:40">
      <c r="D567" s="160"/>
      <c r="F567" s="346"/>
      <c r="G567" s="346"/>
      <c r="H567" s="346"/>
      <c r="P567" s="347"/>
      <c r="Q567" s="347"/>
      <c r="R567" s="162"/>
      <c r="S567" s="163"/>
      <c r="T567" s="163"/>
      <c r="U567" s="163"/>
      <c r="V567" s="163"/>
      <c r="W567" s="163"/>
      <c r="X567" s="163"/>
      <c r="Y567" s="160"/>
      <c r="Z567" s="164"/>
      <c r="AA567" s="164"/>
      <c r="AB567" s="164"/>
      <c r="AC567" s="164"/>
      <c r="AD567" s="164"/>
      <c r="AE567" s="348"/>
      <c r="AF567" s="348"/>
      <c r="AG567" s="349"/>
      <c r="AH567" s="349"/>
      <c r="AI567" s="349"/>
      <c r="AJ567" s="349"/>
      <c r="AK567" s="350"/>
      <c r="AL567" s="349"/>
      <c r="AM567" s="351"/>
      <c r="AN567" s="351"/>
    </row>
    <row r="568" spans="4:40">
      <c r="D568" s="160"/>
      <c r="F568" s="346"/>
      <c r="G568" s="346"/>
      <c r="H568" s="346"/>
      <c r="P568" s="347"/>
      <c r="Q568" s="347"/>
      <c r="R568" s="162"/>
      <c r="S568" s="163"/>
      <c r="T568" s="163"/>
      <c r="U568" s="163"/>
      <c r="V568" s="163"/>
      <c r="W568" s="163"/>
      <c r="X568" s="163"/>
      <c r="Y568" s="160"/>
      <c r="Z568" s="164"/>
      <c r="AA568" s="164"/>
      <c r="AB568" s="164"/>
      <c r="AC568" s="164"/>
      <c r="AD568" s="164"/>
      <c r="AE568" s="348"/>
      <c r="AF568" s="348"/>
      <c r="AG568" s="349"/>
      <c r="AH568" s="349"/>
      <c r="AI568" s="349"/>
      <c r="AJ568" s="349"/>
      <c r="AK568" s="350"/>
      <c r="AL568" s="349"/>
      <c r="AM568" s="351"/>
      <c r="AN568" s="351"/>
    </row>
    <row r="569" spans="4:40">
      <c r="D569" s="160"/>
      <c r="F569" s="346"/>
      <c r="G569" s="346"/>
      <c r="H569" s="346"/>
      <c r="P569" s="347"/>
      <c r="Q569" s="347"/>
      <c r="R569" s="162"/>
      <c r="S569" s="163"/>
      <c r="T569" s="163"/>
      <c r="U569" s="163"/>
      <c r="V569" s="163"/>
      <c r="W569" s="163"/>
      <c r="X569" s="163"/>
      <c r="Y569" s="160"/>
      <c r="Z569" s="164"/>
      <c r="AA569" s="164"/>
      <c r="AB569" s="164"/>
      <c r="AC569" s="164"/>
      <c r="AD569" s="164"/>
      <c r="AE569" s="348"/>
      <c r="AF569" s="348"/>
      <c r="AG569" s="349"/>
      <c r="AH569" s="349"/>
      <c r="AI569" s="349"/>
      <c r="AJ569" s="349"/>
      <c r="AK569" s="350"/>
      <c r="AL569" s="349"/>
      <c r="AM569" s="351"/>
      <c r="AN569" s="351"/>
    </row>
    <row r="570" spans="4:40">
      <c r="D570" s="160"/>
      <c r="F570" s="346"/>
      <c r="G570" s="346"/>
      <c r="H570" s="346"/>
      <c r="P570" s="347"/>
      <c r="Q570" s="347"/>
      <c r="R570" s="162"/>
      <c r="S570" s="163"/>
      <c r="T570" s="163"/>
      <c r="U570" s="163"/>
      <c r="V570" s="163"/>
      <c r="W570" s="163"/>
      <c r="X570" s="163"/>
      <c r="Y570" s="160"/>
      <c r="Z570" s="164"/>
      <c r="AA570" s="164"/>
      <c r="AB570" s="164"/>
      <c r="AC570" s="164"/>
      <c r="AD570" s="164"/>
      <c r="AE570" s="348"/>
      <c r="AF570" s="348"/>
      <c r="AG570" s="349"/>
      <c r="AH570" s="349"/>
      <c r="AI570" s="349"/>
      <c r="AJ570" s="349"/>
      <c r="AK570" s="350"/>
      <c r="AL570" s="349"/>
      <c r="AM570" s="351"/>
      <c r="AN570" s="351"/>
    </row>
    <row r="571" spans="4:40">
      <c r="D571" s="160"/>
      <c r="F571" s="346"/>
      <c r="G571" s="346"/>
      <c r="H571" s="346"/>
      <c r="P571" s="347"/>
      <c r="Q571" s="347"/>
      <c r="R571" s="162"/>
      <c r="S571" s="163"/>
      <c r="T571" s="163"/>
      <c r="U571" s="163"/>
      <c r="V571" s="163"/>
      <c r="W571" s="163"/>
      <c r="X571" s="163"/>
      <c r="Y571" s="160"/>
      <c r="Z571" s="164"/>
      <c r="AA571" s="164"/>
      <c r="AB571" s="164"/>
      <c r="AC571" s="164"/>
      <c r="AD571" s="164"/>
      <c r="AE571" s="348"/>
      <c r="AF571" s="348"/>
      <c r="AG571" s="349"/>
      <c r="AH571" s="349"/>
      <c r="AI571" s="349"/>
      <c r="AJ571" s="349"/>
      <c r="AK571" s="350"/>
      <c r="AL571" s="349"/>
      <c r="AM571" s="351"/>
      <c r="AN571" s="351"/>
    </row>
    <row r="572" spans="4:40">
      <c r="D572" s="160"/>
      <c r="F572" s="346"/>
      <c r="G572" s="346"/>
      <c r="H572" s="346"/>
      <c r="P572" s="347"/>
      <c r="Q572" s="347"/>
      <c r="R572" s="162"/>
      <c r="S572" s="163"/>
      <c r="T572" s="163"/>
      <c r="U572" s="163"/>
      <c r="V572" s="163"/>
      <c r="W572" s="163"/>
      <c r="X572" s="163"/>
      <c r="Y572" s="160"/>
      <c r="Z572" s="164"/>
      <c r="AA572" s="164"/>
      <c r="AB572" s="164"/>
      <c r="AC572" s="164"/>
      <c r="AD572" s="164"/>
      <c r="AE572" s="348"/>
      <c r="AF572" s="348"/>
      <c r="AG572" s="349"/>
      <c r="AH572" s="349"/>
      <c r="AI572" s="349"/>
      <c r="AJ572" s="349"/>
      <c r="AK572" s="350"/>
      <c r="AL572" s="349"/>
      <c r="AM572" s="351"/>
      <c r="AN572" s="351"/>
    </row>
    <row r="573" spans="4:40">
      <c r="D573" s="160"/>
      <c r="F573" s="346"/>
      <c r="G573" s="346"/>
      <c r="H573" s="346"/>
      <c r="P573" s="347"/>
      <c r="Q573" s="347"/>
      <c r="R573" s="162"/>
      <c r="S573" s="163"/>
      <c r="T573" s="163"/>
      <c r="U573" s="163"/>
      <c r="V573" s="163"/>
      <c r="W573" s="163"/>
      <c r="X573" s="163"/>
      <c r="Y573" s="160"/>
      <c r="Z573" s="164"/>
      <c r="AA573" s="164"/>
      <c r="AB573" s="164"/>
      <c r="AC573" s="164"/>
      <c r="AD573" s="164"/>
      <c r="AE573" s="348"/>
      <c r="AF573" s="348"/>
      <c r="AG573" s="349"/>
      <c r="AH573" s="349"/>
      <c r="AI573" s="349"/>
      <c r="AJ573" s="349"/>
      <c r="AK573" s="350"/>
      <c r="AL573" s="349"/>
      <c r="AM573" s="351"/>
      <c r="AN573" s="351"/>
    </row>
    <row r="574" spans="4:40">
      <c r="D574" s="160"/>
      <c r="F574" s="346"/>
      <c r="G574" s="346"/>
      <c r="H574" s="346"/>
      <c r="P574" s="347"/>
      <c r="Q574" s="347"/>
      <c r="R574" s="162"/>
      <c r="S574" s="163"/>
      <c r="T574" s="163"/>
      <c r="U574" s="163"/>
      <c r="V574" s="163"/>
      <c r="W574" s="163"/>
      <c r="X574" s="163"/>
      <c r="Y574" s="160"/>
      <c r="Z574" s="164"/>
      <c r="AA574" s="164"/>
      <c r="AB574" s="164"/>
      <c r="AC574" s="164"/>
      <c r="AD574" s="164"/>
      <c r="AE574" s="348"/>
      <c r="AF574" s="348"/>
      <c r="AG574" s="349"/>
      <c r="AH574" s="349"/>
      <c r="AI574" s="349"/>
      <c r="AJ574" s="349"/>
      <c r="AK574" s="350"/>
      <c r="AL574" s="349"/>
      <c r="AM574" s="351"/>
      <c r="AN574" s="351"/>
    </row>
    <row r="575" spans="4:40">
      <c r="D575" s="160"/>
      <c r="F575" s="346"/>
      <c r="G575" s="346"/>
      <c r="H575" s="346"/>
      <c r="P575" s="347"/>
      <c r="Q575" s="347"/>
      <c r="R575" s="162"/>
      <c r="S575" s="163"/>
      <c r="T575" s="163"/>
      <c r="U575" s="163"/>
      <c r="V575" s="163"/>
      <c r="W575" s="163"/>
      <c r="X575" s="163"/>
      <c r="Y575" s="160"/>
      <c r="Z575" s="164"/>
      <c r="AA575" s="164"/>
      <c r="AB575" s="164"/>
      <c r="AC575" s="164"/>
      <c r="AD575" s="164"/>
      <c r="AE575" s="348"/>
      <c r="AF575" s="348"/>
      <c r="AG575" s="349"/>
      <c r="AH575" s="349"/>
      <c r="AI575" s="349"/>
      <c r="AJ575" s="349"/>
      <c r="AK575" s="350"/>
      <c r="AL575" s="349"/>
      <c r="AM575" s="351"/>
      <c r="AN575" s="351"/>
    </row>
    <row r="576" spans="4:40">
      <c r="D576" s="160"/>
      <c r="F576" s="346"/>
      <c r="G576" s="346"/>
      <c r="H576" s="346"/>
      <c r="P576" s="347"/>
      <c r="Q576" s="347"/>
      <c r="R576" s="162"/>
      <c r="S576" s="163"/>
      <c r="T576" s="163"/>
      <c r="U576" s="163"/>
      <c r="V576" s="163"/>
      <c r="W576" s="163"/>
      <c r="X576" s="163"/>
      <c r="Y576" s="160"/>
      <c r="Z576" s="164"/>
      <c r="AA576" s="164"/>
      <c r="AB576" s="164"/>
      <c r="AC576" s="164"/>
      <c r="AD576" s="164"/>
      <c r="AE576" s="348"/>
      <c r="AF576" s="348"/>
      <c r="AG576" s="349"/>
      <c r="AH576" s="349"/>
      <c r="AI576" s="349"/>
      <c r="AJ576" s="349"/>
      <c r="AK576" s="350"/>
      <c r="AL576" s="349"/>
      <c r="AM576" s="351"/>
      <c r="AN576" s="351"/>
    </row>
    <row r="577" spans="4:40">
      <c r="D577" s="160"/>
      <c r="F577" s="346"/>
      <c r="G577" s="346"/>
      <c r="H577" s="346"/>
      <c r="P577" s="347"/>
      <c r="Q577" s="347"/>
      <c r="R577" s="162"/>
      <c r="S577" s="163"/>
      <c r="T577" s="163"/>
      <c r="U577" s="163"/>
      <c r="V577" s="163"/>
      <c r="W577" s="163"/>
      <c r="X577" s="163"/>
      <c r="Y577" s="160"/>
      <c r="Z577" s="164"/>
      <c r="AA577" s="164"/>
      <c r="AB577" s="164"/>
      <c r="AC577" s="164"/>
      <c r="AD577" s="164"/>
      <c r="AE577" s="348"/>
      <c r="AF577" s="348"/>
      <c r="AG577" s="349"/>
      <c r="AH577" s="349"/>
      <c r="AI577" s="349"/>
      <c r="AJ577" s="349"/>
      <c r="AK577" s="350"/>
      <c r="AL577" s="349"/>
      <c r="AM577" s="351"/>
      <c r="AN577" s="351"/>
    </row>
    <row r="578" spans="4:40">
      <c r="D578" s="160"/>
      <c r="F578" s="346"/>
      <c r="G578" s="346"/>
      <c r="H578" s="346"/>
      <c r="P578" s="347"/>
      <c r="Q578" s="347"/>
      <c r="R578" s="162"/>
      <c r="S578" s="163"/>
      <c r="T578" s="163"/>
      <c r="U578" s="163"/>
      <c r="V578" s="163"/>
      <c r="W578" s="163"/>
      <c r="X578" s="163"/>
      <c r="Y578" s="160"/>
      <c r="Z578" s="164"/>
      <c r="AA578" s="164"/>
      <c r="AB578" s="164"/>
      <c r="AC578" s="164"/>
      <c r="AD578" s="164"/>
      <c r="AE578" s="348"/>
      <c r="AF578" s="348"/>
      <c r="AG578" s="349"/>
      <c r="AH578" s="349"/>
      <c r="AI578" s="349"/>
      <c r="AJ578" s="349"/>
      <c r="AK578" s="350"/>
      <c r="AL578" s="349"/>
      <c r="AM578" s="351"/>
      <c r="AN578" s="351"/>
    </row>
    <row r="579" spans="4:40">
      <c r="D579" s="160"/>
      <c r="F579" s="346"/>
      <c r="G579" s="346"/>
      <c r="H579" s="346"/>
      <c r="P579" s="347"/>
      <c r="Q579" s="347"/>
      <c r="R579" s="162"/>
      <c r="S579" s="163"/>
      <c r="T579" s="163"/>
      <c r="U579" s="163"/>
      <c r="V579" s="163"/>
      <c r="W579" s="163"/>
      <c r="X579" s="163"/>
      <c r="Y579" s="160"/>
      <c r="Z579" s="164"/>
      <c r="AA579" s="164"/>
      <c r="AB579" s="164"/>
      <c r="AC579" s="164"/>
      <c r="AD579" s="164"/>
      <c r="AE579" s="348"/>
      <c r="AF579" s="348"/>
      <c r="AG579" s="349"/>
      <c r="AH579" s="349"/>
      <c r="AI579" s="349"/>
      <c r="AJ579" s="349"/>
      <c r="AK579" s="350"/>
      <c r="AL579" s="349"/>
      <c r="AM579" s="351"/>
      <c r="AN579" s="351"/>
    </row>
    <row r="580" spans="4:40">
      <c r="D580" s="160"/>
      <c r="F580" s="346"/>
      <c r="G580" s="346"/>
      <c r="H580" s="346"/>
      <c r="P580" s="347"/>
      <c r="Q580" s="347"/>
      <c r="R580" s="162"/>
      <c r="S580" s="163"/>
      <c r="T580" s="163"/>
      <c r="U580" s="163"/>
      <c r="V580" s="163"/>
      <c r="W580" s="163"/>
      <c r="X580" s="163"/>
      <c r="Y580" s="160"/>
      <c r="Z580" s="164"/>
      <c r="AA580" s="164"/>
      <c r="AB580" s="164"/>
      <c r="AC580" s="164"/>
      <c r="AD580" s="164"/>
      <c r="AE580" s="348"/>
      <c r="AF580" s="348"/>
      <c r="AG580" s="349"/>
      <c r="AH580" s="349"/>
      <c r="AI580" s="349"/>
      <c r="AJ580" s="349"/>
      <c r="AK580" s="350"/>
      <c r="AL580" s="349"/>
      <c r="AM580" s="351"/>
      <c r="AN580" s="351"/>
    </row>
    <row r="581" spans="4:40">
      <c r="D581" s="160"/>
      <c r="F581" s="346"/>
      <c r="G581" s="346"/>
      <c r="H581" s="346"/>
      <c r="P581" s="347"/>
      <c r="Q581" s="347"/>
      <c r="R581" s="162"/>
      <c r="S581" s="163"/>
      <c r="T581" s="163"/>
      <c r="U581" s="163"/>
      <c r="V581" s="163"/>
      <c r="W581" s="163"/>
      <c r="X581" s="163"/>
      <c r="Y581" s="160"/>
      <c r="Z581" s="164"/>
      <c r="AA581" s="164"/>
      <c r="AB581" s="164"/>
      <c r="AC581" s="164"/>
      <c r="AD581" s="164"/>
      <c r="AE581" s="348"/>
      <c r="AF581" s="348"/>
      <c r="AG581" s="349"/>
      <c r="AH581" s="349"/>
      <c r="AI581" s="349"/>
      <c r="AJ581" s="349"/>
      <c r="AK581" s="350"/>
      <c r="AL581" s="349"/>
      <c r="AM581" s="351"/>
      <c r="AN581" s="351"/>
    </row>
    <row r="582" spans="4:40">
      <c r="D582" s="160"/>
      <c r="F582" s="346"/>
      <c r="G582" s="346"/>
      <c r="H582" s="346"/>
      <c r="P582" s="347"/>
      <c r="Q582" s="347"/>
      <c r="R582" s="162"/>
      <c r="S582" s="163"/>
      <c r="T582" s="163"/>
      <c r="U582" s="163"/>
      <c r="V582" s="163"/>
      <c r="W582" s="163"/>
      <c r="X582" s="163"/>
      <c r="Y582" s="160"/>
      <c r="Z582" s="164"/>
      <c r="AA582" s="164"/>
      <c r="AB582" s="164"/>
      <c r="AC582" s="164"/>
      <c r="AD582" s="164"/>
      <c r="AE582" s="348"/>
      <c r="AF582" s="348"/>
      <c r="AG582" s="349"/>
      <c r="AH582" s="349"/>
      <c r="AI582" s="349"/>
      <c r="AJ582" s="349"/>
      <c r="AK582" s="350"/>
      <c r="AL582" s="349"/>
      <c r="AM582" s="351"/>
      <c r="AN582" s="351"/>
    </row>
    <row r="583" spans="4:40">
      <c r="D583" s="160"/>
      <c r="F583" s="346"/>
      <c r="G583" s="346"/>
      <c r="H583" s="346"/>
      <c r="P583" s="347"/>
      <c r="Q583" s="347"/>
      <c r="R583" s="162"/>
      <c r="S583" s="163"/>
      <c r="T583" s="163"/>
      <c r="U583" s="163"/>
      <c r="V583" s="163"/>
      <c r="W583" s="163"/>
      <c r="X583" s="163"/>
      <c r="Y583" s="160"/>
      <c r="Z583" s="164"/>
      <c r="AA583" s="164"/>
      <c r="AB583" s="164"/>
      <c r="AC583" s="164"/>
      <c r="AD583" s="164"/>
      <c r="AE583" s="348"/>
      <c r="AF583" s="348"/>
      <c r="AG583" s="349"/>
      <c r="AH583" s="349"/>
      <c r="AI583" s="349"/>
      <c r="AJ583" s="349"/>
      <c r="AK583" s="350"/>
      <c r="AL583" s="349"/>
      <c r="AM583" s="351"/>
      <c r="AN583" s="351"/>
    </row>
    <row r="584" spans="4:40">
      <c r="D584" s="160"/>
      <c r="F584" s="346"/>
      <c r="G584" s="346"/>
      <c r="H584" s="346"/>
      <c r="P584" s="347"/>
      <c r="Q584" s="347"/>
      <c r="R584" s="162"/>
      <c r="S584" s="163"/>
      <c r="T584" s="163"/>
      <c r="U584" s="163"/>
      <c r="V584" s="163"/>
      <c r="W584" s="163"/>
      <c r="X584" s="163"/>
      <c r="Y584" s="160"/>
      <c r="Z584" s="164"/>
      <c r="AA584" s="164"/>
      <c r="AB584" s="164"/>
      <c r="AC584" s="164"/>
      <c r="AD584" s="164"/>
      <c r="AE584" s="348"/>
      <c r="AF584" s="348"/>
      <c r="AG584" s="349"/>
      <c r="AH584" s="349"/>
      <c r="AI584" s="349"/>
      <c r="AJ584" s="349"/>
      <c r="AK584" s="350"/>
      <c r="AL584" s="349"/>
      <c r="AM584" s="351"/>
      <c r="AN584" s="351"/>
    </row>
    <row r="585" spans="4:40">
      <c r="D585" s="160"/>
      <c r="F585" s="346"/>
      <c r="G585" s="346"/>
      <c r="H585" s="346"/>
      <c r="P585" s="347"/>
      <c r="Q585" s="347"/>
      <c r="R585" s="162"/>
      <c r="S585" s="163"/>
      <c r="T585" s="163"/>
      <c r="U585" s="163"/>
      <c r="V585" s="163"/>
      <c r="W585" s="163"/>
      <c r="X585" s="163"/>
      <c r="Y585" s="160"/>
      <c r="Z585" s="164"/>
      <c r="AA585" s="164"/>
      <c r="AB585" s="164"/>
      <c r="AC585" s="164"/>
      <c r="AD585" s="164"/>
      <c r="AE585" s="348"/>
      <c r="AF585" s="348"/>
      <c r="AG585" s="349"/>
      <c r="AH585" s="349"/>
      <c r="AI585" s="349"/>
      <c r="AJ585" s="349"/>
      <c r="AK585" s="350"/>
      <c r="AL585" s="349"/>
      <c r="AM585" s="351"/>
      <c r="AN585" s="351"/>
    </row>
    <row r="586" spans="4:40">
      <c r="D586" s="160"/>
      <c r="F586" s="346"/>
      <c r="G586" s="346"/>
      <c r="H586" s="346"/>
      <c r="P586" s="347"/>
      <c r="Q586" s="347"/>
      <c r="R586" s="162"/>
      <c r="S586" s="163"/>
      <c r="T586" s="163"/>
      <c r="U586" s="163"/>
      <c r="V586" s="163"/>
      <c r="W586" s="163"/>
      <c r="X586" s="163"/>
      <c r="Y586" s="160"/>
      <c r="Z586" s="164"/>
      <c r="AA586" s="164"/>
      <c r="AB586" s="164"/>
      <c r="AC586" s="164"/>
      <c r="AD586" s="164"/>
      <c r="AE586" s="348"/>
      <c r="AF586" s="348"/>
      <c r="AG586" s="349"/>
      <c r="AH586" s="349"/>
      <c r="AI586" s="349"/>
      <c r="AJ586" s="349"/>
      <c r="AK586" s="350"/>
      <c r="AL586" s="349"/>
      <c r="AM586" s="351"/>
      <c r="AN586" s="351"/>
    </row>
    <row r="587" spans="4:40">
      <c r="D587" s="160"/>
      <c r="F587" s="346"/>
      <c r="G587" s="346"/>
      <c r="H587" s="346"/>
      <c r="P587" s="347"/>
      <c r="Q587" s="347"/>
      <c r="R587" s="162"/>
      <c r="S587" s="163"/>
      <c r="T587" s="163"/>
      <c r="U587" s="163"/>
      <c r="V587" s="163"/>
      <c r="W587" s="163"/>
      <c r="X587" s="163"/>
      <c r="Y587" s="160"/>
      <c r="Z587" s="164"/>
      <c r="AA587" s="164"/>
      <c r="AB587" s="164"/>
      <c r="AC587" s="164"/>
      <c r="AD587" s="164"/>
      <c r="AE587" s="348"/>
      <c r="AF587" s="348"/>
      <c r="AG587" s="349"/>
      <c r="AH587" s="349"/>
      <c r="AI587" s="349"/>
      <c r="AJ587" s="349"/>
      <c r="AK587" s="350"/>
      <c r="AL587" s="349"/>
      <c r="AM587" s="351"/>
      <c r="AN587" s="351"/>
    </row>
    <row r="588" spans="4:40">
      <c r="D588" s="160"/>
      <c r="F588" s="346"/>
      <c r="G588" s="346"/>
      <c r="H588" s="346"/>
      <c r="P588" s="347"/>
      <c r="Q588" s="347"/>
      <c r="R588" s="162"/>
      <c r="S588" s="163"/>
      <c r="T588" s="163"/>
      <c r="U588" s="163"/>
      <c r="V588" s="163"/>
      <c r="W588" s="163"/>
      <c r="X588" s="163"/>
      <c r="Y588" s="160"/>
      <c r="Z588" s="164"/>
      <c r="AA588" s="164"/>
      <c r="AB588" s="164"/>
      <c r="AC588" s="164"/>
      <c r="AD588" s="164"/>
      <c r="AE588" s="348"/>
      <c r="AF588" s="348"/>
      <c r="AG588" s="349"/>
      <c r="AH588" s="349"/>
      <c r="AI588" s="349"/>
      <c r="AJ588" s="349"/>
      <c r="AK588" s="350"/>
      <c r="AL588" s="349"/>
      <c r="AM588" s="351"/>
      <c r="AN588" s="351"/>
    </row>
    <row r="589" spans="4:40">
      <c r="D589" s="160"/>
      <c r="F589" s="346"/>
      <c r="G589" s="346"/>
      <c r="H589" s="346"/>
      <c r="P589" s="347"/>
      <c r="Q589" s="347"/>
      <c r="R589" s="162"/>
      <c r="S589" s="163"/>
      <c r="T589" s="163"/>
      <c r="U589" s="163"/>
      <c r="V589" s="163"/>
      <c r="W589" s="163"/>
      <c r="X589" s="163"/>
      <c r="Y589" s="160"/>
      <c r="Z589" s="164"/>
      <c r="AA589" s="164"/>
      <c r="AB589" s="164"/>
      <c r="AC589" s="164"/>
      <c r="AD589" s="164"/>
      <c r="AE589" s="348"/>
      <c r="AF589" s="348"/>
      <c r="AG589" s="349"/>
      <c r="AH589" s="349"/>
      <c r="AI589" s="349"/>
      <c r="AJ589" s="349"/>
      <c r="AK589" s="350"/>
      <c r="AL589" s="349"/>
      <c r="AM589" s="351"/>
      <c r="AN589" s="351"/>
    </row>
    <row r="590" spans="4:40">
      <c r="D590" s="160"/>
      <c r="F590" s="346"/>
      <c r="G590" s="346"/>
      <c r="H590" s="346"/>
      <c r="P590" s="347"/>
      <c r="Q590" s="347"/>
      <c r="R590" s="162"/>
      <c r="S590" s="163"/>
      <c r="T590" s="163"/>
      <c r="U590" s="163"/>
      <c r="V590" s="163"/>
      <c r="W590" s="163"/>
      <c r="X590" s="163"/>
      <c r="Y590" s="160"/>
      <c r="Z590" s="164"/>
      <c r="AA590" s="164"/>
      <c r="AB590" s="164"/>
      <c r="AC590" s="164"/>
      <c r="AD590" s="164"/>
      <c r="AE590" s="348"/>
      <c r="AF590" s="348"/>
      <c r="AG590" s="349"/>
      <c r="AH590" s="349"/>
      <c r="AI590" s="349"/>
      <c r="AJ590" s="349"/>
      <c r="AK590" s="350"/>
      <c r="AL590" s="349"/>
      <c r="AM590" s="351"/>
      <c r="AN590" s="351"/>
    </row>
    <row r="591" spans="4:40">
      <c r="D591" s="160"/>
      <c r="F591" s="346"/>
      <c r="G591" s="346"/>
      <c r="H591" s="346"/>
      <c r="P591" s="347"/>
      <c r="Q591" s="347"/>
      <c r="R591" s="162"/>
      <c r="S591" s="163"/>
      <c r="T591" s="163"/>
      <c r="U591" s="163"/>
      <c r="V591" s="163"/>
      <c r="W591" s="163"/>
      <c r="X591" s="163"/>
      <c r="Y591" s="160"/>
      <c r="Z591" s="164"/>
      <c r="AA591" s="164"/>
      <c r="AB591" s="164"/>
      <c r="AC591" s="164"/>
      <c r="AD591" s="164"/>
      <c r="AE591" s="348"/>
      <c r="AF591" s="348"/>
      <c r="AG591" s="349"/>
      <c r="AH591" s="349"/>
      <c r="AI591" s="349"/>
      <c r="AJ591" s="349"/>
      <c r="AK591" s="350"/>
      <c r="AL591" s="349"/>
      <c r="AM591" s="351"/>
      <c r="AN591" s="351"/>
    </row>
    <row r="592" spans="4:40">
      <c r="D592" s="160"/>
      <c r="F592" s="346"/>
      <c r="G592" s="346"/>
      <c r="H592" s="346"/>
      <c r="P592" s="347"/>
      <c r="Q592" s="347"/>
      <c r="R592" s="162"/>
      <c r="S592" s="163"/>
      <c r="T592" s="163"/>
      <c r="U592" s="163"/>
      <c r="V592" s="163"/>
      <c r="W592" s="163"/>
      <c r="X592" s="163"/>
      <c r="Y592" s="160"/>
      <c r="Z592" s="164"/>
      <c r="AA592" s="164"/>
      <c r="AB592" s="164"/>
      <c r="AC592" s="164"/>
      <c r="AD592" s="164"/>
      <c r="AE592" s="348"/>
      <c r="AF592" s="348"/>
      <c r="AG592" s="349"/>
      <c r="AH592" s="349"/>
      <c r="AI592" s="349"/>
      <c r="AJ592" s="349"/>
      <c r="AK592" s="350"/>
      <c r="AL592" s="349"/>
      <c r="AM592" s="351"/>
      <c r="AN592" s="351"/>
    </row>
    <row r="593" spans="4:40">
      <c r="D593" s="160"/>
      <c r="F593" s="346"/>
      <c r="G593" s="346"/>
      <c r="H593" s="346"/>
      <c r="P593" s="347"/>
      <c r="Q593" s="347"/>
      <c r="R593" s="162"/>
      <c r="S593" s="163"/>
      <c r="T593" s="163"/>
      <c r="U593" s="163"/>
      <c r="V593" s="163"/>
      <c r="W593" s="163"/>
      <c r="X593" s="163"/>
      <c r="Y593" s="160"/>
      <c r="Z593" s="164"/>
      <c r="AA593" s="164"/>
      <c r="AB593" s="164"/>
      <c r="AC593" s="164"/>
      <c r="AD593" s="164"/>
      <c r="AE593" s="348"/>
      <c r="AF593" s="348"/>
      <c r="AG593" s="349"/>
      <c r="AH593" s="349"/>
      <c r="AI593" s="349"/>
      <c r="AJ593" s="349"/>
      <c r="AK593" s="350"/>
      <c r="AL593" s="349"/>
      <c r="AM593" s="351"/>
      <c r="AN593" s="351"/>
    </row>
    <row r="594" spans="4:40">
      <c r="D594" s="160"/>
      <c r="F594" s="346"/>
      <c r="G594" s="346"/>
      <c r="H594" s="346"/>
      <c r="P594" s="347"/>
      <c r="Q594" s="347"/>
      <c r="R594" s="162"/>
      <c r="S594" s="163"/>
      <c r="T594" s="163"/>
      <c r="U594" s="163"/>
      <c r="V594" s="163"/>
      <c r="W594" s="163"/>
      <c r="X594" s="163"/>
      <c r="Y594" s="160"/>
      <c r="Z594" s="164"/>
      <c r="AA594" s="164"/>
      <c r="AB594" s="164"/>
      <c r="AC594" s="164"/>
      <c r="AD594" s="164"/>
      <c r="AE594" s="348"/>
      <c r="AF594" s="348"/>
      <c r="AG594" s="349"/>
      <c r="AH594" s="349"/>
      <c r="AI594" s="349"/>
      <c r="AJ594" s="349"/>
      <c r="AK594" s="350"/>
      <c r="AL594" s="349"/>
      <c r="AM594" s="351"/>
      <c r="AN594" s="351"/>
    </row>
    <row r="595" spans="4:40">
      <c r="D595" s="160"/>
      <c r="F595" s="346"/>
      <c r="G595" s="346"/>
      <c r="H595" s="346"/>
      <c r="P595" s="347"/>
      <c r="Q595" s="347"/>
      <c r="R595" s="162"/>
      <c r="S595" s="163"/>
      <c r="T595" s="163"/>
      <c r="U595" s="163"/>
      <c r="V595" s="163"/>
      <c r="W595" s="163"/>
      <c r="X595" s="163"/>
      <c r="Y595" s="160"/>
      <c r="Z595" s="164"/>
      <c r="AA595" s="164"/>
      <c r="AB595" s="164"/>
      <c r="AC595" s="164"/>
      <c r="AD595" s="164"/>
      <c r="AE595" s="348"/>
      <c r="AF595" s="348"/>
      <c r="AG595" s="349"/>
      <c r="AH595" s="349"/>
      <c r="AI595" s="349"/>
      <c r="AJ595" s="349"/>
      <c r="AK595" s="350"/>
      <c r="AL595" s="349"/>
      <c r="AM595" s="351"/>
      <c r="AN595" s="351"/>
    </row>
    <row r="596" spans="4:40">
      <c r="D596" s="160"/>
      <c r="F596" s="346"/>
      <c r="G596" s="346"/>
      <c r="H596" s="346"/>
      <c r="P596" s="347"/>
      <c r="Q596" s="347"/>
      <c r="R596" s="162"/>
      <c r="S596" s="163"/>
      <c r="T596" s="163"/>
      <c r="U596" s="163"/>
      <c r="V596" s="163"/>
      <c r="W596" s="163"/>
      <c r="X596" s="163"/>
      <c r="Y596" s="160"/>
      <c r="Z596" s="164"/>
      <c r="AA596" s="164"/>
      <c r="AB596" s="164"/>
      <c r="AC596" s="164"/>
      <c r="AD596" s="164"/>
      <c r="AE596" s="348"/>
      <c r="AF596" s="348"/>
      <c r="AG596" s="349"/>
      <c r="AH596" s="349"/>
      <c r="AI596" s="349"/>
      <c r="AJ596" s="349"/>
      <c r="AK596" s="350"/>
      <c r="AL596" s="349"/>
      <c r="AM596" s="351"/>
      <c r="AN596" s="351"/>
    </row>
    <row r="597" spans="4:40">
      <c r="D597" s="160"/>
      <c r="F597" s="346"/>
      <c r="G597" s="346"/>
      <c r="H597" s="346"/>
      <c r="P597" s="347"/>
      <c r="Q597" s="347"/>
      <c r="R597" s="162"/>
      <c r="S597" s="163"/>
      <c r="T597" s="163"/>
      <c r="U597" s="163"/>
      <c r="V597" s="163"/>
      <c r="W597" s="163"/>
      <c r="X597" s="163"/>
      <c r="Y597" s="160"/>
      <c r="Z597" s="164"/>
      <c r="AA597" s="164"/>
      <c r="AB597" s="164"/>
      <c r="AC597" s="164"/>
      <c r="AD597" s="164"/>
      <c r="AE597" s="348"/>
      <c r="AF597" s="348"/>
      <c r="AG597" s="349"/>
      <c r="AH597" s="349"/>
      <c r="AI597" s="349"/>
      <c r="AJ597" s="349"/>
      <c r="AK597" s="350"/>
      <c r="AL597" s="349"/>
      <c r="AM597" s="351"/>
      <c r="AN597" s="351"/>
    </row>
    <row r="598" spans="4:40">
      <c r="D598" s="160"/>
      <c r="F598" s="346"/>
      <c r="G598" s="346"/>
      <c r="H598" s="346"/>
      <c r="P598" s="347"/>
      <c r="Q598" s="347"/>
      <c r="R598" s="162"/>
      <c r="S598" s="163"/>
      <c r="T598" s="163"/>
      <c r="U598" s="163"/>
      <c r="V598" s="163"/>
      <c r="W598" s="163"/>
      <c r="X598" s="163"/>
      <c r="Y598" s="160"/>
      <c r="Z598" s="164"/>
      <c r="AA598" s="164"/>
      <c r="AB598" s="164"/>
      <c r="AC598" s="164"/>
      <c r="AD598" s="164"/>
      <c r="AE598" s="348"/>
      <c r="AF598" s="348"/>
      <c r="AG598" s="349"/>
      <c r="AH598" s="349"/>
      <c r="AI598" s="349"/>
      <c r="AJ598" s="349"/>
      <c r="AK598" s="350"/>
      <c r="AL598" s="349"/>
      <c r="AM598" s="351"/>
      <c r="AN598" s="351"/>
    </row>
    <row r="599" spans="4:40">
      <c r="D599" s="160"/>
      <c r="F599" s="346"/>
      <c r="G599" s="346"/>
      <c r="H599" s="346"/>
      <c r="P599" s="347"/>
      <c r="Q599" s="347"/>
      <c r="R599" s="162"/>
      <c r="S599" s="163"/>
      <c r="T599" s="163"/>
      <c r="U599" s="163"/>
      <c r="V599" s="163"/>
      <c r="W599" s="163"/>
      <c r="X599" s="163"/>
      <c r="Y599" s="160"/>
      <c r="Z599" s="164"/>
      <c r="AA599" s="164"/>
      <c r="AB599" s="164"/>
      <c r="AC599" s="164"/>
      <c r="AD599" s="164"/>
      <c r="AE599" s="348"/>
      <c r="AF599" s="348"/>
      <c r="AG599" s="349"/>
      <c r="AH599" s="349"/>
      <c r="AI599" s="349"/>
      <c r="AJ599" s="349"/>
      <c r="AK599" s="350"/>
      <c r="AL599" s="349"/>
      <c r="AM599" s="351"/>
      <c r="AN599" s="351"/>
    </row>
    <row r="600" spans="4:40">
      <c r="D600" s="160"/>
      <c r="F600" s="346"/>
      <c r="G600" s="346"/>
      <c r="H600" s="346"/>
      <c r="P600" s="347"/>
      <c r="Q600" s="347"/>
      <c r="R600" s="162"/>
      <c r="S600" s="163"/>
      <c r="T600" s="163"/>
      <c r="U600" s="163"/>
      <c r="V600" s="163"/>
      <c r="W600" s="163"/>
      <c r="X600" s="163"/>
      <c r="Y600" s="160"/>
      <c r="Z600" s="164"/>
      <c r="AA600" s="164"/>
      <c r="AB600" s="164"/>
      <c r="AC600" s="164"/>
      <c r="AD600" s="164"/>
      <c r="AE600" s="348"/>
      <c r="AF600" s="348"/>
      <c r="AG600" s="349"/>
      <c r="AH600" s="349"/>
      <c r="AI600" s="349"/>
      <c r="AJ600" s="349"/>
      <c r="AK600" s="350"/>
      <c r="AL600" s="349"/>
      <c r="AM600" s="351"/>
      <c r="AN600" s="351"/>
    </row>
    <row r="601" spans="4:40">
      <c r="D601" s="160"/>
      <c r="F601" s="346"/>
      <c r="G601" s="346"/>
      <c r="H601" s="346"/>
      <c r="P601" s="347"/>
      <c r="Q601" s="347"/>
      <c r="R601" s="162"/>
      <c r="S601" s="163"/>
      <c r="T601" s="163"/>
      <c r="U601" s="163"/>
      <c r="V601" s="163"/>
      <c r="W601" s="163"/>
      <c r="X601" s="163"/>
      <c r="Y601" s="160"/>
      <c r="Z601" s="164"/>
      <c r="AA601" s="164"/>
      <c r="AB601" s="164"/>
      <c r="AC601" s="164"/>
      <c r="AD601" s="164"/>
      <c r="AE601" s="348"/>
      <c r="AF601" s="348"/>
      <c r="AG601" s="349"/>
      <c r="AH601" s="349"/>
      <c r="AI601" s="349"/>
      <c r="AJ601" s="349"/>
      <c r="AK601" s="350"/>
      <c r="AL601" s="349"/>
      <c r="AM601" s="351"/>
      <c r="AN601" s="351"/>
    </row>
    <row r="602" spans="4:40">
      <c r="D602" s="160"/>
      <c r="F602" s="346"/>
      <c r="G602" s="346"/>
      <c r="H602" s="346"/>
      <c r="P602" s="347"/>
      <c r="Q602" s="347"/>
      <c r="R602" s="162"/>
      <c r="S602" s="163"/>
      <c r="T602" s="163"/>
      <c r="U602" s="163"/>
      <c r="V602" s="163"/>
      <c r="W602" s="163"/>
      <c r="X602" s="163"/>
      <c r="Y602" s="160"/>
      <c r="Z602" s="164"/>
      <c r="AA602" s="164"/>
      <c r="AB602" s="164"/>
      <c r="AC602" s="164"/>
      <c r="AD602" s="164"/>
      <c r="AE602" s="348"/>
      <c r="AF602" s="348"/>
      <c r="AG602" s="349"/>
      <c r="AH602" s="349"/>
      <c r="AI602" s="349"/>
      <c r="AJ602" s="349"/>
      <c r="AK602" s="350"/>
      <c r="AL602" s="349"/>
      <c r="AM602" s="351"/>
      <c r="AN602" s="351"/>
    </row>
    <row r="603" spans="4:40">
      <c r="D603" s="160"/>
      <c r="F603" s="346"/>
      <c r="G603" s="346"/>
      <c r="H603" s="346"/>
      <c r="P603" s="347"/>
      <c r="Q603" s="347"/>
      <c r="R603" s="162"/>
      <c r="S603" s="163"/>
      <c r="T603" s="163"/>
      <c r="U603" s="163"/>
      <c r="V603" s="163"/>
      <c r="W603" s="163"/>
      <c r="X603" s="163"/>
      <c r="Y603" s="160"/>
      <c r="Z603" s="164"/>
      <c r="AA603" s="164"/>
      <c r="AB603" s="164"/>
      <c r="AC603" s="164"/>
      <c r="AD603" s="164"/>
      <c r="AE603" s="348"/>
      <c r="AF603" s="348"/>
      <c r="AG603" s="349"/>
      <c r="AH603" s="349"/>
      <c r="AI603" s="349"/>
      <c r="AJ603" s="349"/>
      <c r="AK603" s="350"/>
      <c r="AL603" s="349"/>
      <c r="AM603" s="351"/>
      <c r="AN603" s="351"/>
    </row>
    <row r="604" spans="4:40">
      <c r="D604" s="160"/>
      <c r="F604" s="346"/>
      <c r="G604" s="346"/>
      <c r="H604" s="346"/>
      <c r="P604" s="347"/>
      <c r="Q604" s="347"/>
      <c r="R604" s="162"/>
      <c r="S604" s="163"/>
      <c r="T604" s="163"/>
      <c r="U604" s="163"/>
      <c r="V604" s="163"/>
      <c r="W604" s="163"/>
      <c r="X604" s="163"/>
      <c r="Y604" s="160"/>
      <c r="Z604" s="164"/>
      <c r="AA604" s="164"/>
      <c r="AB604" s="164"/>
      <c r="AC604" s="164"/>
      <c r="AD604" s="164"/>
      <c r="AE604" s="348"/>
      <c r="AF604" s="348"/>
      <c r="AG604" s="349"/>
      <c r="AH604" s="349"/>
      <c r="AI604" s="349"/>
      <c r="AJ604" s="349"/>
      <c r="AK604" s="350"/>
      <c r="AL604" s="349"/>
      <c r="AM604" s="351"/>
      <c r="AN604" s="351"/>
    </row>
    <row r="605" spans="4:40">
      <c r="D605" s="160"/>
      <c r="F605" s="346"/>
      <c r="G605" s="346"/>
      <c r="H605" s="346"/>
      <c r="P605" s="347"/>
      <c r="Q605" s="347"/>
      <c r="R605" s="162"/>
      <c r="S605" s="163"/>
      <c r="T605" s="163"/>
      <c r="U605" s="163"/>
      <c r="V605" s="163"/>
      <c r="W605" s="163"/>
      <c r="X605" s="163"/>
      <c r="Y605" s="160"/>
      <c r="Z605" s="164"/>
      <c r="AA605" s="164"/>
      <c r="AB605" s="164"/>
      <c r="AC605" s="164"/>
      <c r="AD605" s="164"/>
      <c r="AE605" s="348"/>
      <c r="AF605" s="348"/>
      <c r="AG605" s="349"/>
      <c r="AH605" s="349"/>
      <c r="AI605" s="349"/>
      <c r="AJ605" s="349"/>
      <c r="AK605" s="350"/>
      <c r="AL605" s="349"/>
      <c r="AM605" s="351"/>
      <c r="AN605" s="351"/>
    </row>
    <row r="606" spans="4:40">
      <c r="D606" s="160"/>
      <c r="F606" s="346"/>
      <c r="G606" s="346"/>
      <c r="H606" s="346"/>
      <c r="P606" s="347"/>
      <c r="Q606" s="347"/>
      <c r="R606" s="162"/>
      <c r="S606" s="163"/>
      <c r="T606" s="163"/>
      <c r="U606" s="163"/>
      <c r="V606" s="163"/>
      <c r="W606" s="163"/>
      <c r="X606" s="163"/>
      <c r="Y606" s="160"/>
      <c r="Z606" s="164"/>
      <c r="AA606" s="164"/>
      <c r="AB606" s="164"/>
      <c r="AC606" s="164"/>
      <c r="AD606" s="164"/>
      <c r="AE606" s="348"/>
      <c r="AF606" s="348"/>
      <c r="AG606" s="349"/>
      <c r="AH606" s="349"/>
      <c r="AI606" s="349"/>
      <c r="AJ606" s="349"/>
      <c r="AK606" s="350"/>
      <c r="AL606" s="349"/>
      <c r="AM606" s="351"/>
      <c r="AN606" s="351"/>
    </row>
    <row r="607" spans="4:40">
      <c r="D607" s="160"/>
      <c r="F607" s="346"/>
      <c r="G607" s="346"/>
      <c r="H607" s="346"/>
      <c r="P607" s="347"/>
      <c r="Q607" s="347"/>
      <c r="R607" s="162"/>
      <c r="S607" s="163"/>
      <c r="T607" s="163"/>
      <c r="U607" s="163"/>
      <c r="V607" s="163"/>
      <c r="W607" s="163"/>
      <c r="X607" s="163"/>
      <c r="Y607" s="160"/>
      <c r="Z607" s="164"/>
      <c r="AA607" s="164"/>
      <c r="AB607" s="164"/>
      <c r="AC607" s="164"/>
      <c r="AD607" s="164"/>
      <c r="AE607" s="348"/>
      <c r="AF607" s="348"/>
      <c r="AG607" s="349"/>
      <c r="AH607" s="349"/>
      <c r="AI607" s="349"/>
      <c r="AJ607" s="349"/>
      <c r="AK607" s="350"/>
      <c r="AL607" s="349"/>
      <c r="AM607" s="351"/>
      <c r="AN607" s="351"/>
    </row>
    <row r="608" spans="4:40">
      <c r="D608" s="160"/>
      <c r="F608" s="346"/>
      <c r="G608" s="346"/>
      <c r="H608" s="346"/>
      <c r="P608" s="347"/>
      <c r="Q608" s="347"/>
      <c r="R608" s="162"/>
      <c r="S608" s="163"/>
      <c r="T608" s="163"/>
      <c r="U608" s="163"/>
      <c r="V608" s="163"/>
      <c r="W608" s="163"/>
      <c r="X608" s="163"/>
      <c r="Y608" s="160"/>
      <c r="Z608" s="164"/>
      <c r="AA608" s="164"/>
      <c r="AB608" s="164"/>
      <c r="AC608" s="164"/>
      <c r="AD608" s="164"/>
      <c r="AE608" s="348"/>
      <c r="AF608" s="348"/>
      <c r="AG608" s="349"/>
      <c r="AH608" s="349"/>
      <c r="AI608" s="349"/>
      <c r="AJ608" s="349"/>
      <c r="AK608" s="350"/>
      <c r="AL608" s="349"/>
      <c r="AM608" s="351"/>
      <c r="AN608" s="351"/>
    </row>
    <row r="609" spans="4:40">
      <c r="D609" s="160"/>
      <c r="F609" s="346"/>
      <c r="G609" s="346"/>
      <c r="H609" s="346"/>
      <c r="P609" s="347"/>
      <c r="Q609" s="347"/>
      <c r="R609" s="162"/>
      <c r="S609" s="163"/>
      <c r="T609" s="163"/>
      <c r="U609" s="163"/>
      <c r="V609" s="163"/>
      <c r="W609" s="163"/>
      <c r="X609" s="163"/>
      <c r="Y609" s="160"/>
      <c r="Z609" s="164"/>
      <c r="AA609" s="164"/>
      <c r="AB609" s="164"/>
      <c r="AC609" s="164"/>
      <c r="AD609" s="164"/>
      <c r="AE609" s="348"/>
      <c r="AF609" s="348"/>
      <c r="AG609" s="349"/>
      <c r="AH609" s="349"/>
      <c r="AI609" s="349"/>
      <c r="AJ609" s="349"/>
      <c r="AK609" s="350"/>
      <c r="AL609" s="349"/>
      <c r="AM609" s="351"/>
      <c r="AN609" s="351"/>
    </row>
    <row r="610" spans="4:40">
      <c r="D610" s="160"/>
      <c r="F610" s="346"/>
      <c r="G610" s="346"/>
      <c r="H610" s="346"/>
      <c r="P610" s="347"/>
      <c r="Q610" s="347"/>
      <c r="R610" s="162"/>
      <c r="S610" s="163"/>
      <c r="T610" s="163"/>
      <c r="U610" s="163"/>
      <c r="V610" s="163"/>
      <c r="W610" s="163"/>
      <c r="X610" s="163"/>
      <c r="Y610" s="160"/>
      <c r="Z610" s="164"/>
      <c r="AA610" s="164"/>
      <c r="AB610" s="164"/>
      <c r="AC610" s="164"/>
      <c r="AD610" s="164"/>
      <c r="AE610" s="348"/>
      <c r="AF610" s="348"/>
      <c r="AG610" s="349"/>
      <c r="AH610" s="349"/>
      <c r="AI610" s="349"/>
      <c r="AJ610" s="349"/>
      <c r="AK610" s="350"/>
      <c r="AL610" s="349"/>
      <c r="AM610" s="351"/>
      <c r="AN610" s="351"/>
    </row>
    <row r="611" spans="4:40">
      <c r="D611" s="160"/>
      <c r="F611" s="346"/>
      <c r="G611" s="346"/>
      <c r="H611" s="346"/>
      <c r="P611" s="347"/>
      <c r="Q611" s="347"/>
      <c r="R611" s="162"/>
      <c r="S611" s="163"/>
      <c r="T611" s="163"/>
      <c r="U611" s="163"/>
      <c r="V611" s="163"/>
      <c r="W611" s="163"/>
      <c r="X611" s="163"/>
      <c r="Y611" s="160"/>
      <c r="Z611" s="164"/>
      <c r="AA611" s="164"/>
      <c r="AB611" s="164"/>
      <c r="AC611" s="164"/>
      <c r="AD611" s="164"/>
      <c r="AE611" s="348"/>
      <c r="AF611" s="348"/>
      <c r="AG611" s="349"/>
      <c r="AH611" s="349"/>
      <c r="AI611" s="349"/>
      <c r="AJ611" s="349"/>
      <c r="AK611" s="350"/>
      <c r="AL611" s="349"/>
      <c r="AM611" s="351"/>
      <c r="AN611" s="351"/>
    </row>
    <row r="612" spans="4:40">
      <c r="D612" s="160"/>
      <c r="F612" s="346"/>
      <c r="G612" s="346"/>
      <c r="H612" s="346"/>
      <c r="P612" s="347"/>
      <c r="Q612" s="347"/>
      <c r="R612" s="162"/>
      <c r="S612" s="163"/>
      <c r="T612" s="163"/>
      <c r="U612" s="163"/>
      <c r="V612" s="163"/>
      <c r="W612" s="163"/>
      <c r="X612" s="163"/>
      <c r="Y612" s="160"/>
      <c r="Z612" s="164"/>
      <c r="AA612" s="164"/>
      <c r="AB612" s="164"/>
      <c r="AC612" s="164"/>
      <c r="AD612" s="164"/>
      <c r="AE612" s="348"/>
      <c r="AF612" s="348"/>
      <c r="AG612" s="349"/>
      <c r="AH612" s="349"/>
      <c r="AI612" s="349"/>
      <c r="AJ612" s="349"/>
      <c r="AK612" s="350"/>
      <c r="AL612" s="349"/>
      <c r="AM612" s="351"/>
      <c r="AN612" s="351"/>
    </row>
    <row r="613" spans="4:40">
      <c r="D613" s="160"/>
      <c r="F613" s="346"/>
      <c r="G613" s="346"/>
      <c r="H613" s="346"/>
      <c r="P613" s="347"/>
      <c r="Q613" s="347"/>
      <c r="R613" s="162"/>
      <c r="S613" s="163"/>
      <c r="T613" s="163"/>
      <c r="U613" s="163"/>
      <c r="V613" s="163"/>
      <c r="W613" s="163"/>
      <c r="X613" s="163"/>
      <c r="Y613" s="160"/>
      <c r="Z613" s="164"/>
      <c r="AA613" s="164"/>
      <c r="AB613" s="164"/>
      <c r="AC613" s="164"/>
      <c r="AD613" s="164"/>
      <c r="AE613" s="348"/>
      <c r="AF613" s="348"/>
      <c r="AG613" s="349"/>
      <c r="AH613" s="349"/>
      <c r="AI613" s="349"/>
      <c r="AJ613" s="349"/>
      <c r="AK613" s="350"/>
      <c r="AL613" s="349"/>
      <c r="AM613" s="351"/>
      <c r="AN613" s="351"/>
    </row>
    <row r="614" spans="4:40">
      <c r="D614" s="160"/>
      <c r="F614" s="346"/>
      <c r="G614" s="346"/>
      <c r="H614" s="346"/>
      <c r="P614" s="347"/>
      <c r="Q614" s="347"/>
      <c r="R614" s="162"/>
      <c r="S614" s="163"/>
      <c r="T614" s="163"/>
      <c r="U614" s="163"/>
      <c r="V614" s="163"/>
      <c r="W614" s="163"/>
      <c r="X614" s="163"/>
      <c r="Y614" s="160"/>
      <c r="Z614" s="164"/>
      <c r="AA614" s="164"/>
      <c r="AB614" s="164"/>
      <c r="AC614" s="164"/>
      <c r="AD614" s="164"/>
      <c r="AE614" s="348"/>
      <c r="AF614" s="348"/>
      <c r="AG614" s="349"/>
      <c r="AH614" s="349"/>
      <c r="AI614" s="349"/>
      <c r="AJ614" s="349"/>
      <c r="AK614" s="350"/>
      <c r="AL614" s="349"/>
      <c r="AM614" s="351"/>
      <c r="AN614" s="351"/>
    </row>
    <row r="615" spans="4:40">
      <c r="D615" s="160"/>
      <c r="F615" s="346"/>
      <c r="G615" s="346"/>
      <c r="H615" s="346"/>
      <c r="P615" s="347"/>
      <c r="Q615" s="347"/>
      <c r="R615" s="162"/>
      <c r="S615" s="163"/>
      <c r="T615" s="163"/>
      <c r="U615" s="163"/>
      <c r="V615" s="163"/>
      <c r="W615" s="163"/>
      <c r="X615" s="163"/>
      <c r="Y615" s="160"/>
      <c r="Z615" s="164"/>
      <c r="AA615" s="164"/>
      <c r="AB615" s="164"/>
      <c r="AC615" s="164"/>
      <c r="AD615" s="164"/>
      <c r="AE615" s="348"/>
      <c r="AF615" s="348"/>
      <c r="AG615" s="349"/>
      <c r="AH615" s="349"/>
      <c r="AI615" s="349"/>
      <c r="AJ615" s="349"/>
      <c r="AK615" s="350"/>
      <c r="AL615" s="349"/>
      <c r="AM615" s="351"/>
      <c r="AN615" s="351"/>
    </row>
    <row r="616" spans="4:40">
      <c r="D616" s="160"/>
      <c r="F616" s="346"/>
      <c r="G616" s="346"/>
      <c r="H616" s="346"/>
      <c r="P616" s="347"/>
      <c r="Q616" s="347"/>
      <c r="R616" s="162"/>
      <c r="S616" s="163"/>
      <c r="T616" s="163"/>
      <c r="U616" s="163"/>
      <c r="V616" s="163"/>
      <c r="W616" s="163"/>
      <c r="X616" s="163"/>
      <c r="Y616" s="160"/>
      <c r="Z616" s="164"/>
      <c r="AA616" s="164"/>
      <c r="AB616" s="164"/>
      <c r="AC616" s="164"/>
      <c r="AD616" s="164"/>
      <c r="AE616" s="348"/>
      <c r="AF616" s="348"/>
      <c r="AG616" s="349"/>
      <c r="AH616" s="349"/>
      <c r="AI616" s="349"/>
      <c r="AJ616" s="349"/>
      <c r="AK616" s="350"/>
      <c r="AL616" s="349"/>
      <c r="AM616" s="351"/>
      <c r="AN616" s="351"/>
    </row>
    <row r="617" spans="4:40">
      <c r="D617" s="160"/>
      <c r="F617" s="346"/>
      <c r="G617" s="346"/>
      <c r="H617" s="346"/>
      <c r="P617" s="347"/>
      <c r="Q617" s="347"/>
      <c r="R617" s="162"/>
      <c r="S617" s="163"/>
      <c r="T617" s="163"/>
      <c r="U617" s="163"/>
      <c r="V617" s="163"/>
      <c r="W617" s="163"/>
      <c r="X617" s="163"/>
      <c r="Y617" s="160"/>
      <c r="Z617" s="164"/>
      <c r="AA617" s="164"/>
      <c r="AB617" s="164"/>
      <c r="AC617" s="164"/>
      <c r="AD617" s="164"/>
      <c r="AE617" s="348"/>
      <c r="AF617" s="348"/>
      <c r="AG617" s="349"/>
      <c r="AH617" s="349"/>
      <c r="AI617" s="349"/>
      <c r="AJ617" s="349"/>
      <c r="AK617" s="350"/>
      <c r="AL617" s="349"/>
      <c r="AM617" s="351"/>
      <c r="AN617" s="351"/>
    </row>
    <row r="618" spans="4:40">
      <c r="D618" s="160"/>
      <c r="F618" s="346"/>
      <c r="G618" s="346"/>
      <c r="H618" s="346"/>
      <c r="P618" s="347"/>
      <c r="Q618" s="347"/>
      <c r="R618" s="162"/>
      <c r="S618" s="163"/>
      <c r="T618" s="163"/>
      <c r="U618" s="163"/>
      <c r="V618" s="163"/>
      <c r="W618" s="163"/>
      <c r="X618" s="163"/>
      <c r="Y618" s="160"/>
      <c r="Z618" s="164"/>
      <c r="AA618" s="164"/>
      <c r="AB618" s="164"/>
      <c r="AC618" s="164"/>
      <c r="AD618" s="164"/>
      <c r="AE618" s="348"/>
      <c r="AF618" s="348"/>
      <c r="AG618" s="349"/>
      <c r="AH618" s="349"/>
      <c r="AI618" s="349"/>
      <c r="AJ618" s="349"/>
      <c r="AK618" s="350"/>
      <c r="AL618" s="349"/>
      <c r="AM618" s="351"/>
      <c r="AN618" s="351"/>
    </row>
    <row r="619" spans="4:40">
      <c r="D619" s="160"/>
      <c r="F619" s="346"/>
      <c r="G619" s="346"/>
      <c r="H619" s="346"/>
      <c r="P619" s="347"/>
      <c r="Q619" s="347"/>
      <c r="R619" s="162"/>
      <c r="S619" s="163"/>
      <c r="T619" s="163"/>
      <c r="U619" s="163"/>
      <c r="V619" s="163"/>
      <c r="W619" s="163"/>
      <c r="X619" s="163"/>
      <c r="Y619" s="160"/>
      <c r="Z619" s="164"/>
      <c r="AA619" s="164"/>
      <c r="AB619" s="164"/>
      <c r="AC619" s="164"/>
      <c r="AD619" s="164"/>
      <c r="AE619" s="348"/>
      <c r="AF619" s="348"/>
      <c r="AG619" s="349"/>
      <c r="AH619" s="349"/>
      <c r="AI619" s="349"/>
      <c r="AJ619" s="349"/>
      <c r="AK619" s="350"/>
      <c r="AL619" s="349"/>
      <c r="AM619" s="351"/>
      <c r="AN619" s="351"/>
    </row>
    <row r="620" spans="4:40">
      <c r="D620" s="160"/>
      <c r="F620" s="346"/>
      <c r="G620" s="346"/>
      <c r="H620" s="346"/>
      <c r="P620" s="347"/>
      <c r="Q620" s="347"/>
      <c r="R620" s="162"/>
      <c r="S620" s="163"/>
      <c r="T620" s="163"/>
      <c r="U620" s="163"/>
      <c r="V620" s="163"/>
      <c r="W620" s="163"/>
      <c r="X620" s="163"/>
      <c r="Y620" s="160"/>
      <c r="Z620" s="164"/>
      <c r="AA620" s="164"/>
      <c r="AB620" s="164"/>
      <c r="AC620" s="164"/>
      <c r="AD620" s="164"/>
      <c r="AE620" s="348"/>
      <c r="AF620" s="348"/>
      <c r="AG620" s="349"/>
      <c r="AH620" s="349"/>
      <c r="AI620" s="349"/>
      <c r="AJ620" s="349"/>
      <c r="AK620" s="350"/>
      <c r="AL620" s="349"/>
      <c r="AM620" s="351"/>
      <c r="AN620" s="351"/>
    </row>
    <row r="621" spans="4:40">
      <c r="D621" s="160"/>
      <c r="F621" s="346"/>
      <c r="G621" s="346"/>
      <c r="H621" s="346"/>
      <c r="P621" s="347"/>
      <c r="Q621" s="347"/>
      <c r="R621" s="162"/>
      <c r="S621" s="163"/>
      <c r="T621" s="163"/>
      <c r="U621" s="163"/>
      <c r="V621" s="163"/>
      <c r="W621" s="163"/>
      <c r="X621" s="163"/>
      <c r="Y621" s="160"/>
      <c r="Z621" s="164"/>
      <c r="AA621" s="164"/>
      <c r="AB621" s="164"/>
      <c r="AC621" s="164"/>
      <c r="AD621" s="164"/>
      <c r="AE621" s="348"/>
      <c r="AF621" s="348"/>
      <c r="AG621" s="349"/>
      <c r="AH621" s="349"/>
      <c r="AI621" s="349"/>
      <c r="AJ621" s="349"/>
      <c r="AK621" s="350"/>
      <c r="AL621" s="349"/>
      <c r="AM621" s="351"/>
      <c r="AN621" s="351"/>
    </row>
    <row r="622" spans="4:40">
      <c r="D622" s="160"/>
      <c r="F622" s="346"/>
      <c r="G622" s="346"/>
      <c r="H622" s="346"/>
      <c r="P622" s="347"/>
      <c r="Q622" s="347"/>
      <c r="R622" s="162"/>
      <c r="S622" s="163"/>
      <c r="T622" s="163"/>
      <c r="U622" s="163"/>
      <c r="V622" s="163"/>
      <c r="W622" s="163"/>
      <c r="X622" s="163"/>
      <c r="Y622" s="160"/>
      <c r="Z622" s="164"/>
      <c r="AA622" s="164"/>
      <c r="AB622" s="164"/>
      <c r="AC622" s="164"/>
      <c r="AD622" s="164"/>
      <c r="AE622" s="348"/>
      <c r="AF622" s="348"/>
      <c r="AG622" s="349"/>
      <c r="AH622" s="349"/>
      <c r="AI622" s="349"/>
      <c r="AJ622" s="349"/>
      <c r="AK622" s="350"/>
      <c r="AL622" s="349"/>
      <c r="AM622" s="351"/>
      <c r="AN622" s="351"/>
    </row>
    <row r="623" spans="4:40">
      <c r="D623" s="160"/>
      <c r="F623" s="346"/>
      <c r="G623" s="346"/>
      <c r="H623" s="346"/>
      <c r="P623" s="347"/>
      <c r="Q623" s="347"/>
      <c r="R623" s="162"/>
      <c r="S623" s="163"/>
      <c r="T623" s="163"/>
      <c r="U623" s="163"/>
      <c r="V623" s="163"/>
      <c r="W623" s="163"/>
      <c r="X623" s="163"/>
      <c r="Y623" s="160"/>
      <c r="Z623" s="164"/>
      <c r="AA623" s="164"/>
      <c r="AB623" s="164"/>
      <c r="AC623" s="164"/>
      <c r="AD623" s="164"/>
      <c r="AE623" s="348"/>
      <c r="AF623" s="348"/>
      <c r="AG623" s="349"/>
      <c r="AH623" s="349"/>
      <c r="AI623" s="349"/>
      <c r="AJ623" s="349"/>
      <c r="AK623" s="350"/>
      <c r="AL623" s="349"/>
      <c r="AM623" s="351"/>
      <c r="AN623" s="351"/>
    </row>
    <row r="624" spans="4:40">
      <c r="D624" s="160"/>
      <c r="F624" s="346"/>
      <c r="G624" s="346"/>
      <c r="H624" s="346"/>
      <c r="P624" s="347"/>
      <c r="Q624" s="347"/>
      <c r="R624" s="162"/>
      <c r="S624" s="163"/>
      <c r="T624" s="163"/>
      <c r="U624" s="163"/>
      <c r="V624" s="163"/>
      <c r="W624" s="163"/>
      <c r="X624" s="163"/>
      <c r="Y624" s="160"/>
      <c r="Z624" s="164"/>
      <c r="AA624" s="164"/>
      <c r="AB624" s="164"/>
      <c r="AC624" s="164"/>
      <c r="AD624" s="164"/>
      <c r="AE624" s="348"/>
      <c r="AF624" s="348"/>
      <c r="AG624" s="349"/>
      <c r="AH624" s="349"/>
      <c r="AI624" s="349"/>
      <c r="AJ624" s="349"/>
      <c r="AK624" s="350"/>
      <c r="AL624" s="349"/>
      <c r="AM624" s="351"/>
      <c r="AN624" s="351"/>
    </row>
    <row r="625" spans="4:40">
      <c r="D625" s="160"/>
      <c r="F625" s="346"/>
      <c r="G625" s="346"/>
      <c r="H625" s="346"/>
      <c r="P625" s="347"/>
      <c r="Q625" s="347"/>
      <c r="R625" s="162"/>
      <c r="S625" s="163"/>
      <c r="T625" s="163"/>
      <c r="U625" s="163"/>
      <c r="V625" s="163"/>
      <c r="W625" s="163"/>
      <c r="X625" s="163"/>
      <c r="Y625" s="160"/>
      <c r="Z625" s="164"/>
      <c r="AA625" s="164"/>
      <c r="AB625" s="164"/>
      <c r="AC625" s="164"/>
      <c r="AD625" s="164"/>
      <c r="AE625" s="348"/>
      <c r="AF625" s="348"/>
      <c r="AG625" s="349"/>
      <c r="AH625" s="349"/>
      <c r="AI625" s="349"/>
      <c r="AJ625" s="349"/>
      <c r="AK625" s="350"/>
      <c r="AL625" s="349"/>
      <c r="AM625" s="351"/>
      <c r="AN625" s="351"/>
    </row>
    <row r="626" spans="4:40">
      <c r="D626" s="160"/>
      <c r="F626" s="346"/>
      <c r="G626" s="346"/>
      <c r="H626" s="346"/>
      <c r="P626" s="347"/>
      <c r="Q626" s="347"/>
      <c r="R626" s="162"/>
      <c r="S626" s="163"/>
      <c r="T626" s="163"/>
      <c r="U626" s="163"/>
      <c r="V626" s="163"/>
      <c r="W626" s="163"/>
      <c r="X626" s="163"/>
      <c r="Y626" s="160"/>
      <c r="Z626" s="164"/>
      <c r="AA626" s="164"/>
      <c r="AB626" s="164"/>
      <c r="AC626" s="164"/>
      <c r="AD626" s="164"/>
      <c r="AE626" s="348"/>
      <c r="AF626" s="348"/>
      <c r="AG626" s="349"/>
      <c r="AH626" s="349"/>
      <c r="AI626" s="349"/>
      <c r="AJ626" s="349"/>
      <c r="AK626" s="350"/>
      <c r="AL626" s="349"/>
      <c r="AM626" s="351"/>
      <c r="AN626" s="351"/>
    </row>
    <row r="627" spans="4:40">
      <c r="D627" s="160"/>
      <c r="F627" s="346"/>
      <c r="G627" s="346"/>
      <c r="H627" s="346"/>
      <c r="P627" s="347"/>
      <c r="Q627" s="347"/>
      <c r="R627" s="162"/>
      <c r="S627" s="163"/>
      <c r="T627" s="163"/>
      <c r="U627" s="163"/>
      <c r="V627" s="163"/>
      <c r="W627" s="163"/>
      <c r="X627" s="163"/>
      <c r="Y627" s="160"/>
      <c r="Z627" s="164"/>
      <c r="AA627" s="164"/>
      <c r="AB627" s="164"/>
      <c r="AC627" s="164"/>
      <c r="AD627" s="164"/>
      <c r="AE627" s="348"/>
      <c r="AF627" s="348"/>
      <c r="AG627" s="349"/>
      <c r="AH627" s="349"/>
      <c r="AI627" s="349"/>
      <c r="AJ627" s="349"/>
      <c r="AK627" s="350"/>
      <c r="AL627" s="349"/>
      <c r="AM627" s="351"/>
      <c r="AN627" s="351"/>
    </row>
    <row r="628" spans="4:40">
      <c r="D628" s="160"/>
      <c r="F628" s="346"/>
      <c r="G628" s="346"/>
      <c r="H628" s="346"/>
      <c r="P628" s="347"/>
      <c r="Q628" s="347"/>
      <c r="R628" s="162"/>
      <c r="S628" s="163"/>
      <c r="T628" s="163"/>
      <c r="U628" s="163"/>
      <c r="V628" s="163"/>
      <c r="W628" s="163"/>
      <c r="X628" s="163"/>
      <c r="Y628" s="160"/>
      <c r="Z628" s="164"/>
      <c r="AA628" s="164"/>
      <c r="AB628" s="164"/>
      <c r="AC628" s="164"/>
      <c r="AD628" s="164"/>
      <c r="AE628" s="348"/>
      <c r="AF628" s="348"/>
      <c r="AG628" s="349"/>
      <c r="AH628" s="349"/>
      <c r="AI628" s="349"/>
      <c r="AJ628" s="349"/>
      <c r="AK628" s="350"/>
      <c r="AL628" s="349"/>
      <c r="AM628" s="351"/>
      <c r="AN628" s="351"/>
    </row>
    <row r="629" spans="4:40">
      <c r="D629" s="160"/>
      <c r="F629" s="346"/>
      <c r="G629" s="346"/>
      <c r="H629" s="346"/>
      <c r="P629" s="347"/>
      <c r="Q629" s="347"/>
      <c r="R629" s="162"/>
      <c r="S629" s="163"/>
      <c r="T629" s="163"/>
      <c r="U629" s="163"/>
      <c r="V629" s="163"/>
      <c r="W629" s="163"/>
      <c r="X629" s="163"/>
      <c r="Y629" s="160"/>
      <c r="Z629" s="164"/>
      <c r="AA629" s="164"/>
      <c r="AB629" s="164"/>
      <c r="AC629" s="164"/>
      <c r="AD629" s="164"/>
      <c r="AE629" s="348"/>
      <c r="AF629" s="348"/>
      <c r="AG629" s="349"/>
      <c r="AH629" s="349"/>
      <c r="AI629" s="349"/>
      <c r="AJ629" s="349"/>
      <c r="AK629" s="350"/>
      <c r="AL629" s="349"/>
      <c r="AM629" s="351"/>
      <c r="AN629" s="351"/>
    </row>
    <row r="630" spans="4:40">
      <c r="D630" s="160"/>
      <c r="F630" s="346"/>
      <c r="G630" s="346"/>
      <c r="H630" s="346"/>
      <c r="P630" s="347"/>
      <c r="Q630" s="347"/>
      <c r="R630" s="162"/>
      <c r="S630" s="163"/>
      <c r="T630" s="163"/>
      <c r="U630" s="163"/>
      <c r="V630" s="163"/>
      <c r="W630" s="163"/>
      <c r="X630" s="163"/>
      <c r="Y630" s="160"/>
      <c r="Z630" s="164"/>
      <c r="AA630" s="164"/>
      <c r="AB630" s="164"/>
      <c r="AC630" s="164"/>
      <c r="AD630" s="164"/>
      <c r="AE630" s="348"/>
      <c r="AF630" s="348"/>
      <c r="AG630" s="349"/>
      <c r="AH630" s="349"/>
      <c r="AI630" s="349"/>
      <c r="AJ630" s="349"/>
      <c r="AK630" s="350"/>
      <c r="AL630" s="349"/>
      <c r="AM630" s="351"/>
      <c r="AN630" s="351"/>
    </row>
    <row r="631" spans="4:40">
      <c r="D631" s="160"/>
      <c r="F631" s="346"/>
      <c r="G631" s="346"/>
      <c r="H631" s="346"/>
      <c r="P631" s="347"/>
      <c r="Q631" s="347"/>
      <c r="R631" s="162"/>
      <c r="S631" s="163"/>
      <c r="T631" s="163"/>
      <c r="U631" s="163"/>
      <c r="V631" s="163"/>
      <c r="W631" s="163"/>
      <c r="X631" s="163"/>
      <c r="Y631" s="160"/>
      <c r="Z631" s="164"/>
      <c r="AA631" s="164"/>
      <c r="AB631" s="164"/>
      <c r="AC631" s="164"/>
      <c r="AD631" s="164"/>
      <c r="AE631" s="348"/>
      <c r="AF631" s="348"/>
      <c r="AG631" s="349"/>
      <c r="AH631" s="349"/>
      <c r="AI631" s="349"/>
      <c r="AJ631" s="349"/>
      <c r="AK631" s="350"/>
      <c r="AL631" s="349"/>
      <c r="AM631" s="351"/>
      <c r="AN631" s="351"/>
    </row>
    <row r="632" spans="4:40">
      <c r="D632" s="160"/>
      <c r="F632" s="346"/>
      <c r="G632" s="346"/>
      <c r="H632" s="346"/>
      <c r="P632" s="347"/>
      <c r="Q632" s="347"/>
      <c r="R632" s="162"/>
      <c r="S632" s="163"/>
      <c r="T632" s="163"/>
      <c r="U632" s="163"/>
      <c r="V632" s="163"/>
      <c r="W632" s="163"/>
      <c r="X632" s="163"/>
      <c r="Y632" s="160"/>
      <c r="Z632" s="164"/>
      <c r="AA632" s="164"/>
      <c r="AB632" s="164"/>
      <c r="AC632" s="164"/>
      <c r="AD632" s="164"/>
      <c r="AE632" s="348"/>
      <c r="AF632" s="348"/>
      <c r="AG632" s="349"/>
      <c r="AH632" s="349"/>
      <c r="AI632" s="349"/>
      <c r="AJ632" s="349"/>
      <c r="AK632" s="350"/>
      <c r="AL632" s="349"/>
      <c r="AM632" s="351"/>
      <c r="AN632" s="351"/>
    </row>
    <row r="633" spans="4:40">
      <c r="D633" s="160"/>
      <c r="F633" s="346"/>
      <c r="G633" s="346"/>
      <c r="H633" s="346"/>
      <c r="P633" s="347"/>
      <c r="Q633" s="347"/>
      <c r="R633" s="162"/>
      <c r="S633" s="163"/>
      <c r="T633" s="163"/>
      <c r="U633" s="163"/>
      <c r="V633" s="163"/>
      <c r="W633" s="163"/>
      <c r="X633" s="163"/>
      <c r="Y633" s="160"/>
      <c r="Z633" s="164"/>
      <c r="AA633" s="164"/>
      <c r="AB633" s="164"/>
      <c r="AC633" s="164"/>
      <c r="AD633" s="164"/>
      <c r="AE633" s="348"/>
      <c r="AF633" s="348"/>
      <c r="AG633" s="349"/>
      <c r="AH633" s="349"/>
      <c r="AI633" s="349"/>
      <c r="AJ633" s="349"/>
      <c r="AK633" s="350"/>
      <c r="AL633" s="349"/>
      <c r="AM633" s="351"/>
      <c r="AN633" s="351"/>
    </row>
    <row r="634" spans="4:40">
      <c r="D634" s="160"/>
      <c r="F634" s="346"/>
      <c r="G634" s="346"/>
      <c r="H634" s="346"/>
      <c r="P634" s="347"/>
      <c r="Q634" s="347"/>
      <c r="R634" s="162"/>
      <c r="S634" s="163"/>
      <c r="T634" s="163"/>
      <c r="U634" s="163"/>
      <c r="V634" s="163"/>
      <c r="W634" s="163"/>
      <c r="X634" s="163"/>
      <c r="Y634" s="160"/>
      <c r="Z634" s="164"/>
      <c r="AA634" s="164"/>
      <c r="AB634" s="164"/>
      <c r="AC634" s="164"/>
      <c r="AD634" s="164"/>
      <c r="AE634" s="348"/>
      <c r="AF634" s="348"/>
      <c r="AG634" s="349"/>
      <c r="AH634" s="349"/>
      <c r="AI634" s="349"/>
      <c r="AJ634" s="349"/>
      <c r="AK634" s="350"/>
      <c r="AL634" s="349"/>
      <c r="AM634" s="351"/>
      <c r="AN634" s="351"/>
    </row>
    <row r="635" spans="4:40">
      <c r="D635" s="160"/>
      <c r="F635" s="346"/>
      <c r="G635" s="346"/>
      <c r="H635" s="346"/>
      <c r="P635" s="347"/>
      <c r="Q635" s="347"/>
      <c r="R635" s="162"/>
      <c r="S635" s="163"/>
      <c r="T635" s="163"/>
      <c r="U635" s="163"/>
      <c r="V635" s="163"/>
      <c r="W635" s="163"/>
      <c r="X635" s="163"/>
      <c r="Y635" s="160"/>
      <c r="Z635" s="164"/>
      <c r="AA635" s="164"/>
      <c r="AB635" s="164"/>
      <c r="AC635" s="164"/>
      <c r="AD635" s="164"/>
      <c r="AE635" s="348"/>
      <c r="AF635" s="348"/>
      <c r="AG635" s="349"/>
      <c r="AH635" s="349"/>
      <c r="AI635" s="349"/>
      <c r="AJ635" s="349"/>
      <c r="AK635" s="350"/>
      <c r="AL635" s="349"/>
      <c r="AM635" s="351"/>
      <c r="AN635" s="351"/>
    </row>
    <row r="636" spans="4:40">
      <c r="D636" s="160"/>
      <c r="F636" s="346"/>
      <c r="G636" s="346"/>
      <c r="H636" s="346"/>
      <c r="P636" s="347"/>
      <c r="Q636" s="347"/>
      <c r="R636" s="162"/>
      <c r="S636" s="163"/>
      <c r="T636" s="163"/>
      <c r="U636" s="163"/>
      <c r="V636" s="163"/>
      <c r="W636" s="163"/>
      <c r="X636" s="163"/>
      <c r="Y636" s="160"/>
      <c r="Z636" s="164"/>
      <c r="AA636" s="164"/>
      <c r="AB636" s="164"/>
      <c r="AC636" s="164"/>
      <c r="AD636" s="164"/>
      <c r="AE636" s="348"/>
      <c r="AF636" s="348"/>
      <c r="AG636" s="349"/>
      <c r="AH636" s="349"/>
      <c r="AI636" s="349"/>
      <c r="AJ636" s="349"/>
      <c r="AK636" s="350"/>
      <c r="AL636" s="349"/>
      <c r="AM636" s="351"/>
      <c r="AN636" s="351"/>
    </row>
    <row r="637" spans="4:40">
      <c r="D637" s="160"/>
      <c r="F637" s="346"/>
      <c r="G637" s="346"/>
      <c r="H637" s="346"/>
      <c r="P637" s="347"/>
      <c r="Q637" s="347"/>
      <c r="R637" s="162"/>
      <c r="S637" s="163"/>
      <c r="T637" s="163"/>
      <c r="U637" s="163"/>
      <c r="V637" s="163"/>
      <c r="W637" s="163"/>
      <c r="X637" s="163"/>
      <c r="Y637" s="160"/>
      <c r="Z637" s="164"/>
      <c r="AA637" s="164"/>
      <c r="AB637" s="164"/>
      <c r="AC637" s="164"/>
      <c r="AD637" s="164"/>
      <c r="AE637" s="348"/>
      <c r="AF637" s="348"/>
      <c r="AG637" s="349"/>
      <c r="AH637" s="349"/>
      <c r="AI637" s="349"/>
      <c r="AJ637" s="349"/>
      <c r="AK637" s="350"/>
      <c r="AL637" s="349"/>
      <c r="AM637" s="351"/>
      <c r="AN637" s="351"/>
    </row>
    <row r="638" spans="4:40">
      <c r="D638" s="160"/>
      <c r="F638" s="346"/>
      <c r="G638" s="346"/>
      <c r="H638" s="346"/>
      <c r="P638" s="347"/>
      <c r="Q638" s="347"/>
      <c r="R638" s="162"/>
      <c r="S638" s="163"/>
      <c r="T638" s="163"/>
      <c r="U638" s="163"/>
      <c r="V638" s="163"/>
      <c r="W638" s="163"/>
      <c r="X638" s="163"/>
      <c r="Y638" s="160"/>
      <c r="Z638" s="164"/>
      <c r="AA638" s="164"/>
      <c r="AB638" s="164"/>
      <c r="AC638" s="164"/>
      <c r="AD638" s="164"/>
      <c r="AE638" s="348"/>
      <c r="AF638" s="348"/>
      <c r="AG638" s="349"/>
      <c r="AH638" s="349"/>
      <c r="AI638" s="349"/>
      <c r="AJ638" s="349"/>
      <c r="AK638" s="350"/>
      <c r="AL638" s="349"/>
      <c r="AM638" s="351"/>
      <c r="AN638" s="351"/>
    </row>
    <row r="639" spans="4:40">
      <c r="D639" s="160"/>
      <c r="F639" s="346"/>
      <c r="G639" s="346"/>
      <c r="H639" s="346"/>
      <c r="P639" s="347"/>
      <c r="Q639" s="347"/>
      <c r="R639" s="162"/>
      <c r="S639" s="163"/>
      <c r="T639" s="163"/>
      <c r="U639" s="163"/>
      <c r="V639" s="163"/>
      <c r="W639" s="163"/>
      <c r="X639" s="163"/>
      <c r="Y639" s="160"/>
      <c r="Z639" s="164"/>
      <c r="AA639" s="164"/>
      <c r="AB639" s="164"/>
      <c r="AC639" s="164"/>
      <c r="AD639" s="164"/>
      <c r="AE639" s="348"/>
      <c r="AF639" s="348"/>
      <c r="AG639" s="349"/>
      <c r="AH639" s="349"/>
      <c r="AI639" s="349"/>
      <c r="AJ639" s="349"/>
      <c r="AK639" s="350"/>
      <c r="AL639" s="349"/>
      <c r="AM639" s="351"/>
      <c r="AN639" s="351"/>
    </row>
    <row r="640" spans="4:40">
      <c r="D640" s="160"/>
      <c r="F640" s="346"/>
      <c r="G640" s="346"/>
      <c r="H640" s="346"/>
      <c r="P640" s="347"/>
      <c r="Q640" s="347"/>
      <c r="R640" s="162"/>
      <c r="S640" s="163"/>
      <c r="T640" s="163"/>
      <c r="U640" s="163"/>
      <c r="V640" s="163"/>
      <c r="W640" s="163"/>
      <c r="X640" s="163"/>
      <c r="Y640" s="160"/>
      <c r="Z640" s="164"/>
      <c r="AA640" s="164"/>
      <c r="AB640" s="164"/>
      <c r="AC640" s="164"/>
      <c r="AD640" s="164"/>
      <c r="AE640" s="348"/>
      <c r="AF640" s="348"/>
      <c r="AG640" s="349"/>
      <c r="AH640" s="349"/>
      <c r="AI640" s="349"/>
      <c r="AJ640" s="349"/>
      <c r="AK640" s="350"/>
      <c r="AL640" s="349"/>
      <c r="AM640" s="351"/>
      <c r="AN640" s="351"/>
    </row>
    <row r="641" spans="4:40">
      <c r="D641" s="160"/>
      <c r="F641" s="346"/>
      <c r="G641" s="346"/>
      <c r="H641" s="346"/>
      <c r="P641" s="347"/>
      <c r="Q641" s="347"/>
      <c r="R641" s="162"/>
      <c r="S641" s="163"/>
      <c r="T641" s="163"/>
      <c r="U641" s="163"/>
      <c r="V641" s="163"/>
      <c r="W641" s="163"/>
      <c r="X641" s="163"/>
      <c r="Y641" s="160"/>
      <c r="Z641" s="164"/>
      <c r="AA641" s="164"/>
      <c r="AB641" s="164"/>
      <c r="AC641" s="164"/>
      <c r="AD641" s="164"/>
      <c r="AE641" s="348"/>
      <c r="AF641" s="348"/>
      <c r="AG641" s="349"/>
      <c r="AH641" s="349"/>
      <c r="AI641" s="349"/>
      <c r="AJ641" s="349"/>
      <c r="AK641" s="350"/>
      <c r="AL641" s="349"/>
      <c r="AM641" s="351"/>
      <c r="AN641" s="351"/>
    </row>
    <row r="642" spans="4:40">
      <c r="D642" s="160"/>
      <c r="F642" s="346"/>
      <c r="G642" s="346"/>
      <c r="H642" s="346"/>
      <c r="P642" s="347"/>
      <c r="Q642" s="347"/>
      <c r="R642" s="162"/>
      <c r="S642" s="163"/>
      <c r="T642" s="163"/>
      <c r="U642" s="163"/>
      <c r="V642" s="163"/>
      <c r="W642" s="163"/>
      <c r="X642" s="163"/>
      <c r="Y642" s="160"/>
      <c r="Z642" s="164"/>
      <c r="AA642" s="164"/>
      <c r="AB642" s="164"/>
      <c r="AC642" s="164"/>
      <c r="AD642" s="164"/>
      <c r="AE642" s="348"/>
      <c r="AF642" s="348"/>
      <c r="AG642" s="349"/>
      <c r="AH642" s="349"/>
      <c r="AI642" s="349"/>
      <c r="AJ642" s="349"/>
      <c r="AK642" s="350"/>
      <c r="AL642" s="349"/>
      <c r="AM642" s="351"/>
      <c r="AN642" s="351"/>
    </row>
    <row r="643" spans="4:40">
      <c r="D643" s="160"/>
      <c r="F643" s="346"/>
      <c r="G643" s="346"/>
      <c r="H643" s="346"/>
      <c r="P643" s="347"/>
      <c r="Q643" s="347"/>
      <c r="R643" s="162"/>
      <c r="S643" s="163"/>
      <c r="T643" s="163"/>
      <c r="U643" s="163"/>
      <c r="V643" s="163"/>
      <c r="W643" s="163"/>
      <c r="X643" s="163"/>
      <c r="Y643" s="160"/>
      <c r="Z643" s="164"/>
      <c r="AA643" s="164"/>
      <c r="AB643" s="164"/>
      <c r="AC643" s="164"/>
      <c r="AD643" s="164"/>
      <c r="AE643" s="348"/>
      <c r="AF643" s="348"/>
      <c r="AG643" s="349"/>
      <c r="AH643" s="349"/>
      <c r="AI643" s="349"/>
      <c r="AJ643" s="349"/>
      <c r="AK643" s="350"/>
      <c r="AL643" s="349"/>
      <c r="AM643" s="351"/>
      <c r="AN643" s="351"/>
    </row>
    <row r="644" spans="4:40">
      <c r="D644" s="160"/>
      <c r="F644" s="346"/>
      <c r="G644" s="346"/>
      <c r="H644" s="346"/>
      <c r="P644" s="347"/>
      <c r="Q644" s="347"/>
      <c r="R644" s="162"/>
      <c r="S644" s="163"/>
      <c r="T644" s="163"/>
      <c r="U644" s="163"/>
      <c r="V644" s="163"/>
      <c r="W644" s="163"/>
      <c r="X644" s="163"/>
      <c r="Y644" s="160"/>
      <c r="Z644" s="164"/>
      <c r="AA644" s="164"/>
      <c r="AB644" s="164"/>
      <c r="AC644" s="164"/>
      <c r="AD644" s="164"/>
      <c r="AE644" s="348"/>
      <c r="AF644" s="348"/>
      <c r="AG644" s="349"/>
      <c r="AH644" s="349"/>
      <c r="AI644" s="349"/>
      <c r="AJ644" s="349"/>
      <c r="AK644" s="350"/>
      <c r="AL644" s="349"/>
      <c r="AM644" s="351"/>
      <c r="AN644" s="351"/>
    </row>
    <row r="645" spans="4:40">
      <c r="D645" s="160"/>
      <c r="F645" s="346"/>
      <c r="G645" s="346"/>
      <c r="H645" s="346"/>
      <c r="P645" s="347"/>
      <c r="Q645" s="347"/>
      <c r="R645" s="162"/>
      <c r="S645" s="163"/>
      <c r="T645" s="163"/>
      <c r="U645" s="163"/>
      <c r="V645" s="163"/>
      <c r="W645" s="163"/>
      <c r="X645" s="163"/>
      <c r="Y645" s="160"/>
      <c r="Z645" s="164"/>
      <c r="AA645" s="164"/>
      <c r="AB645" s="164"/>
      <c r="AC645" s="164"/>
      <c r="AD645" s="164"/>
      <c r="AE645" s="348"/>
      <c r="AF645" s="348"/>
      <c r="AG645" s="349"/>
      <c r="AH645" s="349"/>
      <c r="AI645" s="349"/>
      <c r="AJ645" s="349"/>
      <c r="AK645" s="350"/>
      <c r="AL645" s="349"/>
      <c r="AM645" s="351"/>
      <c r="AN645" s="351"/>
    </row>
    <row r="646" spans="4:40">
      <c r="D646" s="160"/>
      <c r="F646" s="346"/>
      <c r="G646" s="346"/>
      <c r="H646" s="346"/>
      <c r="P646" s="347"/>
      <c r="Q646" s="347"/>
      <c r="R646" s="162"/>
      <c r="S646" s="163"/>
      <c r="T646" s="163"/>
      <c r="U646" s="163"/>
      <c r="V646" s="163"/>
      <c r="W646" s="163"/>
      <c r="X646" s="163"/>
      <c r="Y646" s="160"/>
      <c r="Z646" s="164"/>
      <c r="AA646" s="164"/>
      <c r="AB646" s="164"/>
      <c r="AC646" s="164"/>
      <c r="AD646" s="164"/>
      <c r="AE646" s="348"/>
      <c r="AF646" s="348"/>
      <c r="AG646" s="349"/>
      <c r="AH646" s="349"/>
      <c r="AI646" s="349"/>
      <c r="AJ646" s="349"/>
      <c r="AK646" s="350"/>
      <c r="AL646" s="349"/>
      <c r="AM646" s="351"/>
      <c r="AN646" s="351"/>
    </row>
    <row r="647" spans="4:40">
      <c r="D647" s="160"/>
      <c r="F647" s="346"/>
      <c r="G647" s="346"/>
      <c r="H647" s="346"/>
      <c r="P647" s="347"/>
      <c r="Q647" s="347"/>
      <c r="R647" s="162"/>
      <c r="S647" s="163"/>
      <c r="T647" s="163"/>
      <c r="U647" s="163"/>
      <c r="V647" s="163"/>
      <c r="W647" s="163"/>
      <c r="X647" s="163"/>
      <c r="Y647" s="160"/>
      <c r="Z647" s="164"/>
      <c r="AA647" s="164"/>
      <c r="AB647" s="164"/>
      <c r="AC647" s="164"/>
      <c r="AD647" s="164"/>
      <c r="AE647" s="348"/>
      <c r="AF647" s="348"/>
      <c r="AG647" s="349"/>
      <c r="AH647" s="349"/>
      <c r="AI647" s="349"/>
      <c r="AJ647" s="349"/>
      <c r="AK647" s="350"/>
      <c r="AL647" s="349"/>
      <c r="AM647" s="351"/>
      <c r="AN647" s="351"/>
    </row>
    <row r="648" spans="4:40">
      <c r="D648" s="160"/>
      <c r="F648" s="346"/>
      <c r="G648" s="346"/>
      <c r="H648" s="346"/>
      <c r="P648" s="347"/>
      <c r="Q648" s="347"/>
      <c r="R648" s="162"/>
      <c r="S648" s="163"/>
      <c r="T648" s="163"/>
      <c r="U648" s="163"/>
      <c r="V648" s="163"/>
      <c r="W648" s="163"/>
      <c r="X648" s="163"/>
      <c r="Y648" s="160"/>
      <c r="Z648" s="164"/>
      <c r="AA648" s="164"/>
      <c r="AB648" s="164"/>
      <c r="AC648" s="164"/>
      <c r="AD648" s="164"/>
      <c r="AE648" s="348"/>
      <c r="AF648" s="348"/>
      <c r="AG648" s="349"/>
      <c r="AH648" s="349"/>
      <c r="AI648" s="349"/>
      <c r="AJ648" s="349"/>
      <c r="AK648" s="350"/>
      <c r="AL648" s="349"/>
      <c r="AM648" s="351"/>
      <c r="AN648" s="351"/>
    </row>
    <row r="649" spans="4:40">
      <c r="D649" s="160"/>
      <c r="F649" s="346"/>
      <c r="G649" s="346"/>
      <c r="H649" s="346"/>
      <c r="P649" s="347"/>
      <c r="Q649" s="347"/>
      <c r="R649" s="162"/>
      <c r="S649" s="163"/>
      <c r="T649" s="163"/>
      <c r="U649" s="163"/>
      <c r="V649" s="163"/>
      <c r="W649" s="163"/>
      <c r="X649" s="163"/>
      <c r="Y649" s="160"/>
      <c r="Z649" s="164"/>
      <c r="AA649" s="164"/>
      <c r="AB649" s="164"/>
      <c r="AC649" s="164"/>
      <c r="AD649" s="164"/>
      <c r="AE649" s="348"/>
      <c r="AF649" s="348"/>
      <c r="AG649" s="349"/>
      <c r="AH649" s="349"/>
      <c r="AI649" s="349"/>
      <c r="AJ649" s="349"/>
      <c r="AK649" s="350"/>
      <c r="AL649" s="349"/>
      <c r="AM649" s="351"/>
      <c r="AN649" s="351"/>
    </row>
    <row r="650" spans="4:40">
      <c r="D650" s="160"/>
      <c r="F650" s="346"/>
      <c r="G650" s="346"/>
      <c r="H650" s="346"/>
      <c r="P650" s="347"/>
      <c r="Q650" s="347"/>
      <c r="R650" s="162"/>
      <c r="S650" s="163"/>
      <c r="T650" s="163"/>
      <c r="U650" s="163"/>
      <c r="V650" s="163"/>
      <c r="W650" s="163"/>
      <c r="X650" s="163"/>
      <c r="Y650" s="160"/>
      <c r="Z650" s="164"/>
      <c r="AA650" s="164"/>
      <c r="AB650" s="164"/>
      <c r="AC650" s="164"/>
      <c r="AD650" s="164"/>
      <c r="AE650" s="348"/>
      <c r="AF650" s="348"/>
      <c r="AG650" s="349"/>
      <c r="AH650" s="349"/>
      <c r="AI650" s="349"/>
      <c r="AJ650" s="349"/>
      <c r="AK650" s="350"/>
      <c r="AL650" s="349"/>
      <c r="AM650" s="351"/>
      <c r="AN650" s="351"/>
    </row>
    <row r="651" spans="4:40">
      <c r="D651" s="160"/>
      <c r="F651" s="346"/>
      <c r="G651" s="346"/>
      <c r="H651" s="346"/>
      <c r="P651" s="347"/>
      <c r="Q651" s="347"/>
      <c r="R651" s="162"/>
      <c r="S651" s="163"/>
      <c r="T651" s="163"/>
      <c r="U651" s="163"/>
      <c r="V651" s="163"/>
      <c r="W651" s="163"/>
      <c r="X651" s="163"/>
      <c r="Y651" s="160"/>
      <c r="Z651" s="164"/>
      <c r="AA651" s="164"/>
      <c r="AB651" s="164"/>
      <c r="AC651" s="164"/>
      <c r="AD651" s="164"/>
      <c r="AE651" s="348"/>
      <c r="AF651" s="348"/>
      <c r="AG651" s="349"/>
      <c r="AH651" s="349"/>
      <c r="AI651" s="349"/>
      <c r="AJ651" s="349"/>
      <c r="AK651" s="350"/>
      <c r="AL651" s="349"/>
      <c r="AM651" s="351"/>
      <c r="AN651" s="351"/>
    </row>
    <row r="652" spans="4:40">
      <c r="D652" s="160"/>
      <c r="F652" s="346"/>
      <c r="G652" s="346"/>
      <c r="H652" s="346"/>
      <c r="P652" s="347"/>
      <c r="Q652" s="347"/>
      <c r="R652" s="162"/>
      <c r="S652" s="163"/>
      <c r="T652" s="163"/>
      <c r="U652" s="163"/>
      <c r="V652" s="163"/>
      <c r="W652" s="163"/>
      <c r="X652" s="163"/>
      <c r="Y652" s="160"/>
      <c r="Z652" s="164"/>
      <c r="AA652" s="164"/>
      <c r="AB652" s="164"/>
      <c r="AC652" s="164"/>
      <c r="AD652" s="164"/>
      <c r="AE652" s="348"/>
      <c r="AF652" s="348"/>
      <c r="AG652" s="349"/>
      <c r="AH652" s="349"/>
      <c r="AI652" s="349"/>
      <c r="AJ652" s="349"/>
      <c r="AK652" s="350"/>
      <c r="AL652" s="349"/>
      <c r="AM652" s="351"/>
      <c r="AN652" s="351"/>
    </row>
    <row r="653" spans="4:40">
      <c r="D653" s="160"/>
      <c r="F653" s="346"/>
      <c r="G653" s="346"/>
      <c r="H653" s="346"/>
      <c r="P653" s="347"/>
      <c r="Q653" s="347"/>
      <c r="R653" s="162"/>
      <c r="S653" s="163"/>
      <c r="T653" s="163"/>
      <c r="U653" s="163"/>
      <c r="V653" s="163"/>
      <c r="W653" s="163"/>
      <c r="X653" s="163"/>
      <c r="Y653" s="160"/>
      <c r="Z653" s="164"/>
      <c r="AA653" s="164"/>
      <c r="AB653" s="164"/>
      <c r="AC653" s="164"/>
      <c r="AD653" s="164"/>
      <c r="AE653" s="348"/>
      <c r="AF653" s="348"/>
      <c r="AG653" s="349"/>
      <c r="AH653" s="349"/>
      <c r="AI653" s="349"/>
      <c r="AJ653" s="349"/>
      <c r="AK653" s="350"/>
      <c r="AL653" s="349"/>
      <c r="AM653" s="351"/>
      <c r="AN653" s="351"/>
    </row>
    <row r="654" spans="4:40">
      <c r="D654" s="160"/>
      <c r="F654" s="346"/>
      <c r="G654" s="346"/>
      <c r="H654" s="346"/>
      <c r="P654" s="347"/>
      <c r="Q654" s="347"/>
      <c r="R654" s="162"/>
      <c r="S654" s="163"/>
      <c r="T654" s="163"/>
      <c r="U654" s="163"/>
      <c r="V654" s="163"/>
      <c r="W654" s="163"/>
      <c r="X654" s="163"/>
      <c r="Y654" s="160"/>
      <c r="Z654" s="164"/>
      <c r="AA654" s="164"/>
      <c r="AB654" s="164"/>
      <c r="AC654" s="164"/>
      <c r="AD654" s="164"/>
      <c r="AE654" s="348"/>
      <c r="AF654" s="348"/>
      <c r="AG654" s="349"/>
      <c r="AH654" s="349"/>
      <c r="AI654" s="349"/>
      <c r="AJ654" s="349"/>
      <c r="AK654" s="350"/>
      <c r="AL654" s="349"/>
      <c r="AM654" s="351"/>
      <c r="AN654" s="351"/>
    </row>
    <row r="655" spans="4:40">
      <c r="D655" s="160"/>
      <c r="F655" s="346"/>
      <c r="G655" s="346"/>
      <c r="H655" s="346"/>
      <c r="P655" s="347"/>
      <c r="Q655" s="347"/>
      <c r="R655" s="162"/>
      <c r="S655" s="163"/>
      <c r="T655" s="163"/>
      <c r="U655" s="163"/>
      <c r="V655" s="163"/>
      <c r="W655" s="163"/>
      <c r="X655" s="163"/>
      <c r="Y655" s="160"/>
      <c r="Z655" s="164"/>
      <c r="AA655" s="164"/>
      <c r="AB655" s="164"/>
      <c r="AC655" s="164"/>
      <c r="AD655" s="164"/>
      <c r="AE655" s="348"/>
      <c r="AF655" s="348"/>
      <c r="AG655" s="349"/>
      <c r="AH655" s="349"/>
      <c r="AI655" s="349"/>
      <c r="AJ655" s="349"/>
      <c r="AK655" s="350"/>
      <c r="AL655" s="349"/>
      <c r="AM655" s="351"/>
      <c r="AN655" s="351"/>
    </row>
    <row r="656" spans="4:40">
      <c r="D656" s="160"/>
      <c r="F656" s="346"/>
      <c r="G656" s="346"/>
      <c r="H656" s="346"/>
      <c r="P656" s="347"/>
      <c r="Q656" s="347"/>
      <c r="R656" s="162"/>
      <c r="S656" s="163"/>
      <c r="T656" s="163"/>
      <c r="U656" s="163"/>
      <c r="V656" s="163"/>
      <c r="W656" s="163"/>
      <c r="X656" s="163"/>
      <c r="Y656" s="160"/>
      <c r="Z656" s="164"/>
      <c r="AA656" s="164"/>
      <c r="AB656" s="164"/>
      <c r="AC656" s="164"/>
      <c r="AD656" s="164"/>
      <c r="AE656" s="348"/>
      <c r="AF656" s="348"/>
      <c r="AG656" s="349"/>
      <c r="AH656" s="349"/>
      <c r="AI656" s="349"/>
      <c r="AJ656" s="349"/>
      <c r="AK656" s="350"/>
      <c r="AL656" s="349"/>
      <c r="AM656" s="351"/>
      <c r="AN656" s="351"/>
    </row>
    <row r="657" spans="4:40">
      <c r="D657" s="160"/>
      <c r="F657" s="346"/>
      <c r="G657" s="346"/>
      <c r="H657" s="346"/>
      <c r="P657" s="347"/>
      <c r="Q657" s="347"/>
      <c r="R657" s="162"/>
      <c r="S657" s="163"/>
      <c r="T657" s="163"/>
      <c r="U657" s="163"/>
      <c r="V657" s="163"/>
      <c r="W657" s="163"/>
      <c r="X657" s="163"/>
      <c r="Y657" s="160"/>
      <c r="Z657" s="164"/>
      <c r="AA657" s="164"/>
      <c r="AB657" s="164"/>
      <c r="AC657" s="164"/>
      <c r="AD657" s="164"/>
      <c r="AE657" s="348"/>
      <c r="AF657" s="348"/>
      <c r="AG657" s="349"/>
      <c r="AH657" s="349"/>
      <c r="AI657" s="349"/>
      <c r="AJ657" s="349"/>
      <c r="AK657" s="350"/>
      <c r="AL657" s="349"/>
      <c r="AM657" s="351"/>
      <c r="AN657" s="351"/>
    </row>
    <row r="658" spans="4:40">
      <c r="D658" s="160"/>
      <c r="F658" s="346"/>
      <c r="G658" s="346"/>
      <c r="H658" s="346"/>
      <c r="P658" s="347"/>
      <c r="Q658" s="347"/>
      <c r="R658" s="162"/>
      <c r="S658" s="163"/>
      <c r="T658" s="163"/>
      <c r="U658" s="163"/>
      <c r="V658" s="163"/>
      <c r="W658" s="163"/>
      <c r="X658" s="163"/>
      <c r="Y658" s="160"/>
      <c r="Z658" s="164"/>
      <c r="AA658" s="164"/>
      <c r="AB658" s="164"/>
      <c r="AC658" s="164"/>
      <c r="AD658" s="164"/>
      <c r="AE658" s="348"/>
      <c r="AF658" s="348"/>
      <c r="AG658" s="349"/>
      <c r="AH658" s="349"/>
      <c r="AI658" s="349"/>
      <c r="AJ658" s="349"/>
      <c r="AK658" s="350"/>
      <c r="AL658" s="349"/>
      <c r="AM658" s="351"/>
      <c r="AN658" s="351"/>
    </row>
    <row r="659" spans="4:40">
      <c r="D659" s="160"/>
      <c r="F659" s="346"/>
      <c r="G659" s="346"/>
      <c r="H659" s="346"/>
      <c r="P659" s="347"/>
      <c r="Q659" s="347"/>
      <c r="R659" s="162"/>
      <c r="S659" s="163"/>
      <c r="T659" s="163"/>
      <c r="U659" s="163"/>
      <c r="V659" s="163"/>
      <c r="W659" s="163"/>
      <c r="X659" s="163"/>
      <c r="Y659" s="160"/>
      <c r="Z659" s="164"/>
      <c r="AA659" s="164"/>
      <c r="AB659" s="164"/>
      <c r="AC659" s="164"/>
      <c r="AD659" s="164"/>
      <c r="AE659" s="348"/>
      <c r="AF659" s="348"/>
      <c r="AG659" s="349"/>
      <c r="AH659" s="349"/>
      <c r="AI659" s="349"/>
      <c r="AJ659" s="349"/>
      <c r="AK659" s="350"/>
      <c r="AL659" s="349"/>
      <c r="AM659" s="351"/>
      <c r="AN659" s="351"/>
    </row>
    <row r="660" spans="4:40">
      <c r="D660" s="160"/>
      <c r="F660" s="346"/>
      <c r="G660" s="346"/>
      <c r="H660" s="346"/>
      <c r="P660" s="347"/>
      <c r="Q660" s="347"/>
      <c r="R660" s="162"/>
      <c r="S660" s="163"/>
      <c r="T660" s="163"/>
      <c r="U660" s="163"/>
      <c r="V660" s="163"/>
      <c r="W660" s="163"/>
      <c r="X660" s="163"/>
      <c r="Y660" s="160"/>
      <c r="Z660" s="164"/>
      <c r="AA660" s="164"/>
      <c r="AB660" s="164"/>
      <c r="AC660" s="164"/>
      <c r="AD660" s="164"/>
      <c r="AE660" s="348"/>
      <c r="AF660" s="348"/>
      <c r="AG660" s="349"/>
      <c r="AH660" s="349"/>
      <c r="AI660" s="349"/>
      <c r="AJ660" s="349"/>
      <c r="AK660" s="350"/>
      <c r="AL660" s="349"/>
      <c r="AM660" s="351"/>
      <c r="AN660" s="351"/>
    </row>
    <row r="661" spans="4:40">
      <c r="D661" s="160"/>
      <c r="F661" s="346"/>
      <c r="G661" s="346"/>
      <c r="H661" s="346"/>
      <c r="P661" s="347"/>
      <c r="Q661" s="347"/>
      <c r="R661" s="162"/>
      <c r="S661" s="163"/>
      <c r="T661" s="163"/>
      <c r="U661" s="163"/>
      <c r="V661" s="163"/>
      <c r="W661" s="163"/>
      <c r="X661" s="163"/>
      <c r="Y661" s="160"/>
      <c r="Z661" s="164"/>
      <c r="AA661" s="164"/>
      <c r="AB661" s="164"/>
      <c r="AC661" s="164"/>
      <c r="AD661" s="164"/>
      <c r="AE661" s="348"/>
      <c r="AF661" s="348"/>
      <c r="AG661" s="349"/>
      <c r="AH661" s="349"/>
      <c r="AI661" s="349"/>
      <c r="AJ661" s="349"/>
      <c r="AK661" s="350"/>
      <c r="AL661" s="349"/>
      <c r="AM661" s="351"/>
      <c r="AN661" s="351"/>
    </row>
    <row r="662" spans="4:40">
      <c r="D662" s="160"/>
      <c r="F662" s="346"/>
      <c r="G662" s="346"/>
      <c r="H662" s="346"/>
      <c r="P662" s="347"/>
      <c r="Q662" s="347"/>
      <c r="R662" s="162"/>
      <c r="S662" s="163"/>
      <c r="T662" s="163"/>
      <c r="U662" s="163"/>
      <c r="V662" s="163"/>
      <c r="W662" s="163"/>
      <c r="X662" s="163"/>
      <c r="Y662" s="160"/>
      <c r="Z662" s="164"/>
      <c r="AA662" s="164"/>
      <c r="AB662" s="164"/>
      <c r="AC662" s="164"/>
      <c r="AD662" s="164"/>
      <c r="AE662" s="348"/>
      <c r="AF662" s="348"/>
      <c r="AG662" s="349"/>
      <c r="AH662" s="349"/>
      <c r="AI662" s="349"/>
      <c r="AJ662" s="349"/>
      <c r="AK662" s="350"/>
      <c r="AL662" s="349"/>
      <c r="AM662" s="351"/>
      <c r="AN662" s="351"/>
    </row>
    <row r="663" spans="4:40">
      <c r="D663" s="160"/>
      <c r="F663" s="346"/>
      <c r="G663" s="346"/>
      <c r="H663" s="346"/>
      <c r="P663" s="347"/>
      <c r="Q663" s="347"/>
      <c r="R663" s="162"/>
      <c r="S663" s="163"/>
      <c r="T663" s="163"/>
      <c r="U663" s="163"/>
      <c r="V663" s="163"/>
      <c r="W663" s="163"/>
      <c r="X663" s="163"/>
      <c r="Y663" s="160"/>
      <c r="Z663" s="164"/>
      <c r="AA663" s="164"/>
      <c r="AB663" s="164"/>
      <c r="AC663" s="164"/>
      <c r="AD663" s="164"/>
      <c r="AE663" s="348"/>
      <c r="AF663" s="348"/>
      <c r="AG663" s="349"/>
      <c r="AH663" s="349"/>
      <c r="AI663" s="349"/>
      <c r="AJ663" s="349"/>
      <c r="AK663" s="350"/>
      <c r="AL663" s="349"/>
      <c r="AM663" s="351"/>
      <c r="AN663" s="351"/>
    </row>
    <row r="664" spans="4:40">
      <c r="D664" s="160"/>
      <c r="F664" s="346"/>
      <c r="G664" s="346"/>
      <c r="H664" s="346"/>
      <c r="P664" s="347"/>
      <c r="Q664" s="347"/>
      <c r="R664" s="162"/>
      <c r="S664" s="163"/>
      <c r="T664" s="163"/>
      <c r="U664" s="163"/>
      <c r="V664" s="163"/>
      <c r="W664" s="163"/>
      <c r="X664" s="163"/>
      <c r="Y664" s="160"/>
      <c r="Z664" s="164"/>
      <c r="AA664" s="164"/>
      <c r="AB664" s="164"/>
      <c r="AC664" s="164"/>
      <c r="AD664" s="164"/>
      <c r="AE664" s="348"/>
      <c r="AF664" s="348"/>
      <c r="AG664" s="349"/>
      <c r="AH664" s="349"/>
      <c r="AI664" s="349"/>
      <c r="AJ664" s="349"/>
      <c r="AK664" s="350"/>
      <c r="AL664" s="349"/>
      <c r="AM664" s="351"/>
      <c r="AN664" s="351"/>
    </row>
    <row r="665" spans="4:40">
      <c r="D665" s="160"/>
      <c r="F665" s="346"/>
      <c r="G665" s="346"/>
      <c r="H665" s="346"/>
      <c r="P665" s="347"/>
      <c r="Q665" s="347"/>
      <c r="R665" s="162"/>
      <c r="S665" s="163"/>
      <c r="T665" s="163"/>
      <c r="U665" s="163"/>
      <c r="V665" s="163"/>
      <c r="W665" s="163"/>
      <c r="X665" s="163"/>
      <c r="Y665" s="160"/>
      <c r="Z665" s="164"/>
      <c r="AA665" s="164"/>
      <c r="AB665" s="164"/>
      <c r="AC665" s="164"/>
      <c r="AD665" s="164"/>
      <c r="AE665" s="348"/>
      <c r="AF665" s="348"/>
      <c r="AG665" s="349"/>
      <c r="AH665" s="349"/>
      <c r="AI665" s="349"/>
      <c r="AJ665" s="349"/>
      <c r="AK665" s="350"/>
      <c r="AL665" s="349"/>
      <c r="AM665" s="351"/>
      <c r="AN665" s="351"/>
    </row>
    <row r="666" spans="4:40">
      <c r="D666" s="160"/>
      <c r="F666" s="346"/>
      <c r="G666" s="346"/>
      <c r="H666" s="346"/>
      <c r="P666" s="347"/>
      <c r="Q666" s="347"/>
      <c r="R666" s="162"/>
      <c r="S666" s="163"/>
      <c r="T666" s="163"/>
      <c r="U666" s="163"/>
      <c r="V666" s="163"/>
      <c r="W666" s="163"/>
      <c r="X666" s="163"/>
      <c r="Y666" s="160"/>
      <c r="Z666" s="164"/>
      <c r="AA666" s="164"/>
      <c r="AB666" s="164"/>
      <c r="AC666" s="164"/>
      <c r="AD666" s="164"/>
      <c r="AE666" s="348"/>
      <c r="AF666" s="348"/>
      <c r="AG666" s="349"/>
      <c r="AH666" s="349"/>
      <c r="AI666" s="349"/>
      <c r="AJ666" s="349"/>
      <c r="AK666" s="350"/>
      <c r="AL666" s="349"/>
      <c r="AM666" s="351"/>
      <c r="AN666" s="351"/>
    </row>
    <row r="667" spans="4:40">
      <c r="D667" s="160"/>
      <c r="F667" s="346"/>
      <c r="G667" s="346"/>
      <c r="H667" s="346"/>
      <c r="P667" s="347"/>
      <c r="Q667" s="347"/>
      <c r="R667" s="162"/>
      <c r="S667" s="163"/>
      <c r="T667" s="163"/>
      <c r="U667" s="163"/>
      <c r="V667" s="163"/>
      <c r="W667" s="163"/>
      <c r="X667" s="163"/>
      <c r="Y667" s="160"/>
      <c r="Z667" s="164"/>
      <c r="AA667" s="164"/>
      <c r="AB667" s="164"/>
      <c r="AC667" s="164"/>
      <c r="AD667" s="164"/>
      <c r="AE667" s="348"/>
      <c r="AF667" s="348"/>
      <c r="AG667" s="349"/>
      <c r="AH667" s="349"/>
      <c r="AI667" s="349"/>
      <c r="AJ667" s="349"/>
      <c r="AK667" s="350"/>
      <c r="AL667" s="349"/>
      <c r="AM667" s="351"/>
      <c r="AN667" s="351"/>
    </row>
    <row r="668" spans="4:40">
      <c r="D668" s="160"/>
      <c r="F668" s="346"/>
      <c r="G668" s="346"/>
      <c r="H668" s="346"/>
      <c r="P668" s="347"/>
      <c r="Q668" s="347"/>
      <c r="R668" s="162"/>
      <c r="S668" s="163"/>
      <c r="T668" s="163"/>
      <c r="U668" s="163"/>
      <c r="V668" s="163"/>
      <c r="W668" s="163"/>
      <c r="X668" s="163"/>
      <c r="Y668" s="160"/>
      <c r="Z668" s="164"/>
      <c r="AA668" s="164"/>
      <c r="AB668" s="164"/>
      <c r="AC668" s="164"/>
      <c r="AD668" s="164"/>
      <c r="AE668" s="348"/>
      <c r="AF668" s="348"/>
      <c r="AG668" s="349"/>
      <c r="AH668" s="349"/>
      <c r="AI668" s="349"/>
      <c r="AJ668" s="349"/>
      <c r="AK668" s="350"/>
      <c r="AL668" s="349"/>
      <c r="AM668" s="351"/>
      <c r="AN668" s="351"/>
    </row>
    <row r="669" spans="4:40">
      <c r="D669" s="160"/>
      <c r="F669" s="346"/>
      <c r="G669" s="346"/>
      <c r="H669" s="346"/>
      <c r="P669" s="347"/>
      <c r="Q669" s="347"/>
      <c r="R669" s="162"/>
      <c r="S669" s="163"/>
      <c r="T669" s="163"/>
      <c r="U669" s="163"/>
      <c r="V669" s="163"/>
      <c r="W669" s="163"/>
      <c r="X669" s="163"/>
      <c r="Y669" s="160"/>
      <c r="Z669" s="164"/>
      <c r="AA669" s="164"/>
      <c r="AB669" s="164"/>
      <c r="AC669" s="164"/>
      <c r="AD669" s="164"/>
      <c r="AE669" s="348"/>
      <c r="AF669" s="348"/>
      <c r="AG669" s="349"/>
      <c r="AH669" s="349"/>
      <c r="AI669" s="349"/>
      <c r="AJ669" s="349"/>
      <c r="AK669" s="350"/>
      <c r="AL669" s="349"/>
      <c r="AM669" s="351"/>
      <c r="AN669" s="351"/>
    </row>
    <row r="670" spans="4:40">
      <c r="D670" s="160"/>
      <c r="F670" s="346"/>
      <c r="G670" s="346"/>
      <c r="H670" s="346"/>
      <c r="P670" s="347"/>
      <c r="Q670" s="347"/>
      <c r="R670" s="162"/>
      <c r="S670" s="163"/>
      <c r="T670" s="163"/>
      <c r="U670" s="163"/>
      <c r="V670" s="163"/>
      <c r="W670" s="163"/>
      <c r="X670" s="163"/>
      <c r="Y670" s="160"/>
      <c r="Z670" s="164"/>
      <c r="AA670" s="164"/>
      <c r="AB670" s="164"/>
      <c r="AC670" s="164"/>
      <c r="AD670" s="164"/>
      <c r="AE670" s="348"/>
      <c r="AF670" s="348"/>
      <c r="AG670" s="349"/>
      <c r="AH670" s="349"/>
      <c r="AI670" s="349"/>
      <c r="AJ670" s="349"/>
      <c r="AK670" s="350"/>
      <c r="AL670" s="349"/>
      <c r="AM670" s="351"/>
      <c r="AN670" s="351"/>
    </row>
    <row r="671" spans="4:40">
      <c r="D671" s="160"/>
      <c r="F671" s="346"/>
      <c r="G671" s="346"/>
      <c r="H671" s="346"/>
      <c r="P671" s="347"/>
      <c r="Q671" s="347"/>
      <c r="R671" s="162"/>
      <c r="S671" s="163"/>
      <c r="T671" s="163"/>
      <c r="U671" s="163"/>
      <c r="V671" s="163"/>
      <c r="W671" s="163"/>
      <c r="X671" s="163"/>
      <c r="Y671" s="160"/>
      <c r="Z671" s="164"/>
      <c r="AA671" s="164"/>
      <c r="AB671" s="164"/>
      <c r="AC671" s="164"/>
      <c r="AD671" s="164"/>
      <c r="AE671" s="348"/>
      <c r="AF671" s="348"/>
      <c r="AG671" s="349"/>
      <c r="AH671" s="349"/>
      <c r="AI671" s="349"/>
      <c r="AJ671" s="349"/>
      <c r="AK671" s="350"/>
      <c r="AL671" s="349"/>
      <c r="AM671" s="351"/>
      <c r="AN671" s="351"/>
    </row>
    <row r="672" spans="4:40">
      <c r="D672" s="160"/>
      <c r="F672" s="346"/>
      <c r="G672" s="346"/>
      <c r="H672" s="346"/>
      <c r="P672" s="347"/>
      <c r="Q672" s="347"/>
      <c r="R672" s="162"/>
      <c r="S672" s="163"/>
      <c r="T672" s="163"/>
      <c r="U672" s="163"/>
      <c r="V672" s="163"/>
      <c r="W672" s="163"/>
      <c r="X672" s="163"/>
      <c r="Y672" s="160"/>
      <c r="Z672" s="164"/>
      <c r="AA672" s="164"/>
      <c r="AB672" s="164"/>
      <c r="AC672" s="164"/>
      <c r="AD672" s="164"/>
      <c r="AE672" s="348"/>
      <c r="AF672" s="348"/>
      <c r="AG672" s="349"/>
      <c r="AH672" s="349"/>
      <c r="AI672" s="349"/>
      <c r="AJ672" s="349"/>
      <c r="AK672" s="350"/>
      <c r="AL672" s="349"/>
      <c r="AM672" s="351"/>
      <c r="AN672" s="351"/>
    </row>
    <row r="673" spans="4:40">
      <c r="D673" s="160"/>
      <c r="F673" s="346"/>
      <c r="G673" s="346"/>
      <c r="H673" s="346"/>
      <c r="P673" s="347"/>
      <c r="Q673" s="347"/>
      <c r="R673" s="162"/>
      <c r="S673" s="163"/>
      <c r="T673" s="163"/>
      <c r="U673" s="163"/>
      <c r="V673" s="163"/>
      <c r="W673" s="163"/>
      <c r="X673" s="163"/>
      <c r="Y673" s="160"/>
      <c r="Z673" s="164"/>
      <c r="AA673" s="164"/>
      <c r="AB673" s="164"/>
      <c r="AC673" s="164"/>
      <c r="AD673" s="164"/>
      <c r="AE673" s="348"/>
      <c r="AF673" s="348"/>
      <c r="AG673" s="349"/>
      <c r="AH673" s="349"/>
      <c r="AI673" s="349"/>
      <c r="AJ673" s="349"/>
      <c r="AK673" s="350"/>
      <c r="AL673" s="349"/>
      <c r="AM673" s="351"/>
      <c r="AN673" s="351"/>
    </row>
    <row r="674" spans="4:40">
      <c r="D674" s="160"/>
      <c r="F674" s="346"/>
      <c r="G674" s="346"/>
      <c r="H674" s="346"/>
      <c r="P674" s="347"/>
      <c r="Q674" s="347"/>
      <c r="R674" s="162"/>
      <c r="S674" s="163"/>
      <c r="T674" s="163"/>
      <c r="U674" s="163"/>
      <c r="V674" s="163"/>
      <c r="W674" s="163"/>
      <c r="X674" s="163"/>
      <c r="Y674" s="160"/>
      <c r="Z674" s="164"/>
      <c r="AA674" s="164"/>
      <c r="AB674" s="164"/>
      <c r="AC674" s="164"/>
      <c r="AD674" s="164"/>
      <c r="AE674" s="348"/>
      <c r="AF674" s="348"/>
      <c r="AG674" s="349"/>
      <c r="AH674" s="349"/>
      <c r="AI674" s="349"/>
      <c r="AJ674" s="349"/>
      <c r="AK674" s="350"/>
      <c r="AL674" s="349"/>
      <c r="AM674" s="351"/>
      <c r="AN674" s="351"/>
    </row>
    <row r="675" spans="4:40">
      <c r="D675" s="160"/>
      <c r="F675" s="346"/>
      <c r="G675" s="346"/>
      <c r="H675" s="346"/>
      <c r="P675" s="347"/>
      <c r="Q675" s="347"/>
      <c r="R675" s="162"/>
      <c r="S675" s="163"/>
      <c r="T675" s="163"/>
      <c r="U675" s="163"/>
      <c r="V675" s="163"/>
      <c r="W675" s="163"/>
      <c r="X675" s="163"/>
      <c r="Y675" s="160"/>
      <c r="Z675" s="164"/>
      <c r="AA675" s="164"/>
      <c r="AB675" s="164"/>
      <c r="AC675" s="164"/>
      <c r="AD675" s="164"/>
      <c r="AE675" s="348"/>
      <c r="AF675" s="348"/>
      <c r="AG675" s="349"/>
      <c r="AH675" s="349"/>
      <c r="AI675" s="349"/>
      <c r="AJ675" s="349"/>
      <c r="AK675" s="350"/>
      <c r="AL675" s="349"/>
      <c r="AM675" s="351"/>
      <c r="AN675" s="351"/>
    </row>
    <row r="676" spans="4:40">
      <c r="D676" s="160"/>
      <c r="F676" s="346"/>
      <c r="G676" s="346"/>
      <c r="H676" s="346"/>
      <c r="P676" s="347"/>
      <c r="Q676" s="347"/>
      <c r="R676" s="162"/>
      <c r="S676" s="163"/>
      <c r="T676" s="163"/>
      <c r="U676" s="163"/>
      <c r="V676" s="163"/>
      <c r="W676" s="163"/>
      <c r="X676" s="163"/>
      <c r="Y676" s="160"/>
      <c r="Z676" s="164"/>
      <c r="AA676" s="164"/>
      <c r="AB676" s="164"/>
      <c r="AC676" s="164"/>
      <c r="AD676" s="164"/>
      <c r="AE676" s="348"/>
      <c r="AF676" s="348"/>
      <c r="AG676" s="349"/>
      <c r="AH676" s="349"/>
      <c r="AI676" s="349"/>
      <c r="AJ676" s="349"/>
      <c r="AK676" s="350"/>
      <c r="AL676" s="349"/>
      <c r="AM676" s="351"/>
      <c r="AN676" s="351"/>
    </row>
    <row r="677" spans="4:40">
      <c r="D677" s="160"/>
      <c r="F677" s="346"/>
      <c r="G677" s="346"/>
      <c r="H677" s="346"/>
      <c r="P677" s="347"/>
      <c r="Q677" s="347"/>
      <c r="R677" s="162"/>
      <c r="S677" s="163"/>
      <c r="T677" s="163"/>
      <c r="U677" s="163"/>
      <c r="V677" s="163"/>
      <c r="W677" s="163"/>
      <c r="X677" s="163"/>
      <c r="Y677" s="160"/>
      <c r="Z677" s="164"/>
      <c r="AA677" s="164"/>
      <c r="AB677" s="164"/>
      <c r="AC677" s="164"/>
      <c r="AD677" s="164"/>
      <c r="AE677" s="348"/>
      <c r="AF677" s="348"/>
      <c r="AG677" s="349"/>
      <c r="AH677" s="349"/>
      <c r="AI677" s="349"/>
      <c r="AJ677" s="349"/>
      <c r="AK677" s="350"/>
      <c r="AL677" s="349"/>
      <c r="AM677" s="351"/>
      <c r="AN677" s="351"/>
    </row>
    <row r="678" spans="4:40">
      <c r="D678" s="160"/>
      <c r="F678" s="346"/>
      <c r="G678" s="346"/>
      <c r="H678" s="346"/>
      <c r="P678" s="347"/>
      <c r="Q678" s="347"/>
      <c r="R678" s="162"/>
      <c r="S678" s="163"/>
      <c r="T678" s="163"/>
      <c r="U678" s="163"/>
      <c r="V678" s="163"/>
      <c r="W678" s="163"/>
      <c r="X678" s="163"/>
      <c r="Y678" s="160"/>
      <c r="Z678" s="164"/>
      <c r="AA678" s="164"/>
      <c r="AB678" s="164"/>
      <c r="AC678" s="164"/>
      <c r="AD678" s="164"/>
      <c r="AE678" s="348"/>
      <c r="AF678" s="348"/>
      <c r="AG678" s="349"/>
      <c r="AH678" s="349"/>
      <c r="AI678" s="349"/>
      <c r="AJ678" s="349"/>
      <c r="AK678" s="350"/>
      <c r="AL678" s="349"/>
      <c r="AM678" s="351"/>
      <c r="AN678" s="351"/>
    </row>
    <row r="679" spans="4:40">
      <c r="D679" s="160"/>
      <c r="F679" s="346"/>
      <c r="G679" s="346"/>
      <c r="H679" s="346"/>
      <c r="P679" s="347"/>
      <c r="Q679" s="347"/>
      <c r="R679" s="162"/>
      <c r="S679" s="163"/>
      <c r="T679" s="163"/>
      <c r="U679" s="163"/>
      <c r="V679" s="163"/>
      <c r="W679" s="163"/>
      <c r="X679" s="163"/>
      <c r="Y679" s="160"/>
      <c r="Z679" s="164"/>
      <c r="AA679" s="164"/>
      <c r="AB679" s="164"/>
      <c r="AC679" s="164"/>
      <c r="AD679" s="164"/>
      <c r="AE679" s="348"/>
      <c r="AF679" s="348"/>
      <c r="AG679" s="349"/>
      <c r="AH679" s="349"/>
      <c r="AI679" s="349"/>
      <c r="AJ679" s="349"/>
      <c r="AK679" s="350"/>
      <c r="AL679" s="349"/>
      <c r="AM679" s="351"/>
      <c r="AN679" s="351"/>
    </row>
    <row r="680" spans="4:40">
      <c r="D680" s="160"/>
      <c r="F680" s="346"/>
      <c r="G680" s="346"/>
      <c r="H680" s="346"/>
      <c r="P680" s="347"/>
      <c r="Q680" s="347"/>
      <c r="R680" s="162"/>
      <c r="S680" s="163"/>
      <c r="T680" s="163"/>
      <c r="U680" s="163"/>
      <c r="V680" s="163"/>
      <c r="W680" s="163"/>
      <c r="X680" s="163"/>
      <c r="Y680" s="160"/>
      <c r="Z680" s="164"/>
      <c r="AA680" s="164"/>
      <c r="AB680" s="164"/>
      <c r="AC680" s="164"/>
      <c r="AD680" s="164"/>
      <c r="AE680" s="348"/>
      <c r="AF680" s="348"/>
      <c r="AG680" s="349"/>
      <c r="AH680" s="349"/>
      <c r="AI680" s="349"/>
      <c r="AJ680" s="349"/>
      <c r="AK680" s="350"/>
      <c r="AL680" s="349"/>
      <c r="AM680" s="351"/>
      <c r="AN680" s="351"/>
    </row>
    <row r="681" spans="4:40">
      <c r="D681" s="160"/>
      <c r="F681" s="346"/>
      <c r="G681" s="346"/>
      <c r="H681" s="346"/>
      <c r="P681" s="347"/>
      <c r="Q681" s="347"/>
      <c r="R681" s="162"/>
      <c r="S681" s="163"/>
      <c r="T681" s="163"/>
      <c r="U681" s="163"/>
      <c r="V681" s="163"/>
      <c r="W681" s="163"/>
      <c r="X681" s="163"/>
      <c r="Y681" s="160"/>
      <c r="Z681" s="164"/>
      <c r="AA681" s="164"/>
      <c r="AB681" s="164"/>
      <c r="AC681" s="164"/>
      <c r="AD681" s="164"/>
      <c r="AE681" s="348"/>
      <c r="AF681" s="348"/>
      <c r="AG681" s="349"/>
      <c r="AH681" s="349"/>
      <c r="AI681" s="349"/>
      <c r="AJ681" s="349"/>
      <c r="AK681" s="350"/>
      <c r="AL681" s="349"/>
      <c r="AM681" s="351"/>
      <c r="AN681" s="351"/>
    </row>
    <row r="682" spans="4:40">
      <c r="D682" s="160"/>
      <c r="F682" s="346"/>
      <c r="G682" s="346"/>
      <c r="H682" s="346"/>
      <c r="P682" s="347"/>
      <c r="Q682" s="347"/>
      <c r="R682" s="162"/>
      <c r="S682" s="163"/>
      <c r="T682" s="163"/>
      <c r="U682" s="163"/>
      <c r="V682" s="163"/>
      <c r="W682" s="163"/>
      <c r="X682" s="163"/>
      <c r="Y682" s="160"/>
      <c r="Z682" s="164"/>
      <c r="AA682" s="164"/>
      <c r="AB682" s="164"/>
      <c r="AC682" s="164"/>
      <c r="AD682" s="164"/>
      <c r="AE682" s="348"/>
      <c r="AF682" s="348"/>
      <c r="AG682" s="349"/>
      <c r="AH682" s="349"/>
      <c r="AI682" s="349"/>
      <c r="AJ682" s="349"/>
      <c r="AK682" s="350"/>
      <c r="AL682" s="349"/>
      <c r="AM682" s="351"/>
      <c r="AN682" s="351"/>
    </row>
    <row r="683" spans="4:40">
      <c r="D683" s="160"/>
      <c r="F683" s="346"/>
      <c r="G683" s="346"/>
      <c r="H683" s="346"/>
      <c r="P683" s="347"/>
      <c r="Q683" s="347"/>
      <c r="R683" s="162"/>
      <c r="S683" s="163"/>
      <c r="T683" s="163"/>
      <c r="U683" s="163"/>
      <c r="V683" s="163"/>
      <c r="W683" s="163"/>
      <c r="X683" s="163"/>
      <c r="Y683" s="160"/>
      <c r="Z683" s="164"/>
      <c r="AA683" s="164"/>
      <c r="AB683" s="164"/>
      <c r="AC683" s="164"/>
      <c r="AD683" s="164"/>
      <c r="AE683" s="348"/>
      <c r="AF683" s="348"/>
      <c r="AG683" s="349"/>
      <c r="AH683" s="349"/>
      <c r="AI683" s="349"/>
      <c r="AJ683" s="349"/>
      <c r="AK683" s="350"/>
      <c r="AL683" s="349"/>
      <c r="AM683" s="351"/>
      <c r="AN683" s="351"/>
    </row>
    <row r="684" spans="4:40">
      <c r="D684" s="160"/>
      <c r="F684" s="346"/>
      <c r="G684" s="346"/>
      <c r="H684" s="346"/>
      <c r="P684" s="347"/>
      <c r="Q684" s="347"/>
      <c r="R684" s="162"/>
      <c r="S684" s="163"/>
      <c r="T684" s="163"/>
      <c r="U684" s="163"/>
      <c r="V684" s="163"/>
      <c r="W684" s="163"/>
      <c r="X684" s="163"/>
      <c r="Y684" s="160"/>
      <c r="Z684" s="164"/>
      <c r="AA684" s="164"/>
      <c r="AB684" s="164"/>
      <c r="AC684" s="164"/>
      <c r="AD684" s="164"/>
      <c r="AE684" s="348"/>
      <c r="AF684" s="348"/>
      <c r="AG684" s="349"/>
      <c r="AH684" s="349"/>
      <c r="AI684" s="349"/>
      <c r="AJ684" s="349"/>
      <c r="AK684" s="350"/>
      <c r="AL684" s="349"/>
      <c r="AM684" s="351"/>
      <c r="AN684" s="351"/>
    </row>
    <row r="685" spans="4:40">
      <c r="D685" s="160"/>
      <c r="F685" s="346"/>
      <c r="G685" s="346"/>
      <c r="H685" s="346"/>
      <c r="P685" s="347"/>
      <c r="Q685" s="347"/>
      <c r="R685" s="162"/>
      <c r="S685" s="163"/>
      <c r="T685" s="163"/>
      <c r="U685" s="163"/>
      <c r="V685" s="163"/>
      <c r="W685" s="163"/>
      <c r="X685" s="163"/>
      <c r="Y685" s="160"/>
      <c r="Z685" s="164"/>
      <c r="AA685" s="164"/>
      <c r="AB685" s="164"/>
      <c r="AC685" s="164"/>
      <c r="AD685" s="164"/>
      <c r="AE685" s="348"/>
      <c r="AF685" s="348"/>
      <c r="AG685" s="349"/>
      <c r="AH685" s="349"/>
      <c r="AI685" s="349"/>
      <c r="AJ685" s="349"/>
      <c r="AK685" s="350"/>
      <c r="AL685" s="349"/>
      <c r="AM685" s="351"/>
      <c r="AN685" s="351"/>
    </row>
    <row r="686" spans="4:40">
      <c r="D686" s="160"/>
      <c r="F686" s="346"/>
      <c r="G686" s="346"/>
      <c r="H686" s="346"/>
      <c r="P686" s="347"/>
      <c r="Q686" s="347"/>
      <c r="R686" s="162"/>
      <c r="S686" s="163"/>
      <c r="T686" s="163"/>
      <c r="U686" s="163"/>
      <c r="W686" s="163"/>
      <c r="X686" s="163"/>
      <c r="Y686" s="160"/>
      <c r="Z686" s="164"/>
      <c r="AA686" s="164"/>
      <c r="AB686" s="164"/>
      <c r="AC686" s="164"/>
      <c r="AD686" s="164"/>
      <c r="AE686" s="348"/>
      <c r="AF686" s="348"/>
      <c r="AG686" s="349"/>
      <c r="AH686" s="349"/>
      <c r="AI686" s="349"/>
      <c r="AJ686" s="349"/>
      <c r="AK686" s="350"/>
      <c r="AL686" s="349"/>
      <c r="AM686" s="351"/>
      <c r="AN686" s="351"/>
    </row>
    <row r="687" spans="4:40">
      <c r="D687" s="160"/>
      <c r="F687" s="346"/>
      <c r="G687" s="346"/>
      <c r="H687" s="346"/>
      <c r="P687" s="347"/>
      <c r="Q687" s="347"/>
      <c r="R687" s="162"/>
      <c r="S687" s="163"/>
      <c r="T687" s="163"/>
      <c r="U687" s="163"/>
      <c r="W687" s="163"/>
      <c r="X687" s="163"/>
      <c r="Y687" s="160"/>
      <c r="Z687" s="164"/>
      <c r="AA687" s="164"/>
      <c r="AB687" s="164"/>
      <c r="AC687" s="164"/>
      <c r="AD687" s="164"/>
      <c r="AE687" s="348"/>
      <c r="AF687" s="348"/>
      <c r="AG687" s="349"/>
      <c r="AH687" s="349"/>
      <c r="AI687" s="349"/>
      <c r="AJ687" s="349"/>
      <c r="AK687" s="350"/>
      <c r="AL687" s="349"/>
      <c r="AM687" s="351"/>
      <c r="AN687" s="351"/>
    </row>
    <row r="688" spans="4:40">
      <c r="D688" s="160"/>
      <c r="F688" s="346"/>
      <c r="G688" s="346"/>
      <c r="H688" s="346"/>
      <c r="P688" s="347"/>
      <c r="Q688" s="347"/>
      <c r="R688" s="162"/>
      <c r="S688" s="163"/>
      <c r="T688" s="163"/>
      <c r="U688" s="163"/>
      <c r="W688" s="163"/>
      <c r="X688" s="163"/>
      <c r="Y688" s="160"/>
      <c r="Z688" s="164"/>
      <c r="AA688" s="164"/>
      <c r="AB688" s="164"/>
      <c r="AC688" s="164"/>
      <c r="AD688" s="164"/>
      <c r="AE688" s="348"/>
      <c r="AF688" s="348"/>
      <c r="AG688" s="349"/>
      <c r="AH688" s="349"/>
      <c r="AI688" s="349"/>
      <c r="AJ688" s="349"/>
      <c r="AK688" s="350"/>
      <c r="AL688" s="349"/>
      <c r="AM688" s="351"/>
      <c r="AN688" s="351"/>
    </row>
    <row r="689" spans="4:40">
      <c r="D689" s="160"/>
      <c r="F689" s="346"/>
      <c r="G689" s="346"/>
      <c r="H689" s="346"/>
      <c r="P689" s="347"/>
      <c r="Q689" s="347"/>
      <c r="R689" s="162"/>
      <c r="S689" s="163"/>
      <c r="T689" s="163"/>
      <c r="U689" s="163"/>
      <c r="W689" s="163"/>
      <c r="X689" s="163"/>
      <c r="Y689" s="160"/>
      <c r="Z689" s="164"/>
      <c r="AA689" s="164"/>
      <c r="AB689" s="164"/>
      <c r="AC689" s="164"/>
      <c r="AD689" s="164"/>
      <c r="AE689" s="348"/>
      <c r="AF689" s="348"/>
      <c r="AG689" s="349"/>
      <c r="AH689" s="349"/>
      <c r="AI689" s="349"/>
      <c r="AJ689" s="349"/>
      <c r="AK689" s="350"/>
      <c r="AL689" s="349"/>
      <c r="AM689" s="351"/>
      <c r="AN689" s="351"/>
    </row>
    <row r="690" spans="4:40">
      <c r="D690" s="160"/>
      <c r="F690" s="346"/>
      <c r="G690" s="346"/>
      <c r="H690" s="346"/>
      <c r="P690" s="347"/>
      <c r="Q690" s="347"/>
      <c r="R690" s="162"/>
      <c r="S690" s="163"/>
      <c r="T690" s="163"/>
      <c r="U690" s="163"/>
      <c r="W690" s="163"/>
      <c r="X690" s="163"/>
      <c r="Y690" s="160"/>
      <c r="Z690" s="164"/>
      <c r="AA690" s="164"/>
      <c r="AB690" s="164"/>
      <c r="AC690" s="164"/>
      <c r="AD690" s="164"/>
      <c r="AE690" s="348"/>
      <c r="AF690" s="348"/>
      <c r="AG690" s="349"/>
      <c r="AH690" s="349"/>
      <c r="AI690" s="349"/>
      <c r="AJ690" s="349"/>
      <c r="AK690" s="350"/>
      <c r="AL690" s="349"/>
      <c r="AM690" s="351"/>
      <c r="AN690" s="351"/>
    </row>
    <row r="691" spans="4:40">
      <c r="D691" s="160"/>
      <c r="F691" s="346"/>
      <c r="G691" s="346"/>
      <c r="H691" s="346"/>
      <c r="P691" s="347"/>
      <c r="Q691" s="347"/>
      <c r="R691" s="162"/>
      <c r="S691" s="163"/>
      <c r="T691" s="163"/>
      <c r="U691" s="163"/>
      <c r="W691" s="163"/>
      <c r="X691" s="163"/>
      <c r="Y691" s="160"/>
      <c r="Z691" s="164"/>
      <c r="AA691" s="164"/>
      <c r="AB691" s="164"/>
      <c r="AC691" s="164"/>
      <c r="AD691" s="164"/>
      <c r="AE691" s="348"/>
      <c r="AF691" s="348"/>
      <c r="AG691" s="349"/>
      <c r="AH691" s="349"/>
      <c r="AI691" s="349"/>
      <c r="AJ691" s="349"/>
      <c r="AK691" s="350"/>
      <c r="AL691" s="349"/>
      <c r="AM691" s="351"/>
      <c r="AN691" s="351"/>
    </row>
    <row r="692" spans="4:40">
      <c r="D692" s="160"/>
      <c r="F692" s="346"/>
      <c r="G692" s="346"/>
      <c r="H692" s="346"/>
      <c r="P692" s="347"/>
      <c r="Q692" s="347"/>
      <c r="R692" s="162"/>
      <c r="S692" s="163"/>
      <c r="T692" s="163"/>
      <c r="U692" s="163"/>
      <c r="W692" s="163"/>
      <c r="X692" s="163"/>
      <c r="Y692" s="160"/>
      <c r="Z692" s="164"/>
      <c r="AA692" s="164"/>
      <c r="AB692" s="164"/>
      <c r="AC692" s="164"/>
      <c r="AD692" s="164"/>
      <c r="AE692" s="348"/>
      <c r="AF692" s="348"/>
      <c r="AG692" s="349"/>
      <c r="AH692" s="349"/>
      <c r="AI692" s="349"/>
      <c r="AJ692" s="349"/>
      <c r="AK692" s="350"/>
      <c r="AL692" s="349"/>
      <c r="AM692" s="351"/>
      <c r="AN692" s="351"/>
    </row>
    <row r="693" spans="4:40">
      <c r="D693" s="160"/>
      <c r="F693" s="346"/>
      <c r="G693" s="346"/>
      <c r="H693" s="346"/>
      <c r="P693" s="347"/>
      <c r="Q693" s="347"/>
      <c r="R693" s="162"/>
      <c r="S693" s="163"/>
      <c r="T693" s="163"/>
      <c r="U693" s="163"/>
      <c r="W693" s="163"/>
      <c r="X693" s="163"/>
      <c r="Y693" s="160"/>
      <c r="Z693" s="164"/>
      <c r="AA693" s="164"/>
      <c r="AB693" s="164"/>
      <c r="AC693" s="164"/>
      <c r="AD693" s="164"/>
      <c r="AE693" s="348"/>
      <c r="AF693" s="348"/>
      <c r="AG693" s="349"/>
      <c r="AH693" s="349"/>
      <c r="AI693" s="349"/>
      <c r="AJ693" s="349"/>
      <c r="AK693" s="350"/>
      <c r="AL693" s="349"/>
      <c r="AM693" s="351"/>
      <c r="AN693" s="351"/>
    </row>
  </sheetData>
  <autoFilter ref="A2:AD693"/>
  <mergeCells count="7">
    <mergeCell ref="AE1:AL1"/>
    <mergeCell ref="A1:C1"/>
    <mergeCell ref="D1:M1"/>
    <mergeCell ref="N1:R1"/>
    <mergeCell ref="S1:V1"/>
    <mergeCell ref="W1:Y1"/>
    <mergeCell ref="Z1:AD1"/>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85"/>
  <sheetViews>
    <sheetView workbookViewId="0">
      <selection sqref="A1:C1"/>
    </sheetView>
  </sheetViews>
  <sheetFormatPr defaultColWidth="9.109375" defaultRowHeight="13.8"/>
  <cols>
    <col min="1" max="1" width="10.109375" style="159" customWidth="1"/>
    <col min="2" max="2" width="10.109375" style="159" hidden="1" customWidth="1"/>
    <col min="3" max="3" width="10.109375" style="159" customWidth="1"/>
    <col min="4" max="4" width="11.5546875" style="157" customWidth="1"/>
    <col min="5" max="5" width="11.5546875" style="161" customWidth="1"/>
    <col min="6" max="8" width="14.109375" style="341" hidden="1" customWidth="1"/>
    <col min="9" max="9" width="11.5546875" style="161" customWidth="1"/>
    <col min="10" max="10" width="10.109375" style="161" customWidth="1"/>
    <col min="11" max="12" width="10.109375" style="157" customWidth="1"/>
    <col min="13" max="13" width="13.44140625" style="160" customWidth="1"/>
    <col min="14" max="14" width="15" style="160" hidden="1" customWidth="1"/>
    <col min="15" max="17" width="13.5546875" style="160" hidden="1" customWidth="1"/>
    <col min="18" max="18" width="15.6640625" style="160" hidden="1" customWidth="1"/>
    <col min="19" max="20" width="15" style="160" customWidth="1"/>
    <col min="21" max="23" width="13" style="160" customWidth="1"/>
    <col min="24" max="24" width="15.44140625" style="160" customWidth="1"/>
    <col min="25" max="25" width="10.109375" style="157" customWidth="1"/>
    <col min="26" max="30" width="10.6640625" style="157" customWidth="1"/>
    <col min="31" max="16384" width="9.109375" style="6"/>
  </cols>
  <sheetData>
    <row r="1" spans="1:30" s="157" customFormat="1">
      <c r="A1" s="384" t="s">
        <v>257</v>
      </c>
      <c r="B1" s="384"/>
      <c r="C1" s="384"/>
      <c r="D1" s="385" t="s">
        <v>258</v>
      </c>
      <c r="E1" s="386"/>
      <c r="F1" s="386"/>
      <c r="G1" s="386"/>
      <c r="H1" s="386"/>
      <c r="I1" s="386"/>
      <c r="J1" s="386"/>
      <c r="K1" s="386"/>
      <c r="L1" s="386"/>
      <c r="M1" s="386"/>
      <c r="N1" s="387" t="s">
        <v>259</v>
      </c>
      <c r="O1" s="388"/>
      <c r="P1" s="388"/>
      <c r="Q1" s="388"/>
      <c r="R1" s="389"/>
      <c r="S1" s="387" t="s">
        <v>260</v>
      </c>
      <c r="T1" s="388"/>
      <c r="U1" s="388"/>
      <c r="V1" s="389"/>
      <c r="W1" s="387" t="s">
        <v>261</v>
      </c>
      <c r="X1" s="388"/>
      <c r="Y1" s="388"/>
      <c r="Z1" s="385" t="s">
        <v>262</v>
      </c>
      <c r="AA1" s="386"/>
      <c r="AB1" s="386"/>
      <c r="AC1" s="386"/>
      <c r="AD1" s="386"/>
    </row>
    <row r="2" spans="1:30" s="158" customFormat="1" ht="41.4">
      <c r="A2" s="132" t="s">
        <v>220</v>
      </c>
      <c r="B2" s="133" t="s">
        <v>263</v>
      </c>
      <c r="C2" s="133" t="s">
        <v>42</v>
      </c>
      <c r="D2" s="132" t="s">
        <v>264</v>
      </c>
      <c r="E2" s="133" t="s">
        <v>265</v>
      </c>
      <c r="F2" s="133" t="s">
        <v>266</v>
      </c>
      <c r="G2" s="133" t="s">
        <v>267</v>
      </c>
      <c r="H2" s="133" t="s">
        <v>268</v>
      </c>
      <c r="I2" s="133" t="s">
        <v>269</v>
      </c>
      <c r="J2" s="133" t="s">
        <v>270</v>
      </c>
      <c r="K2" s="133" t="s">
        <v>271</v>
      </c>
      <c r="L2" s="133" t="s">
        <v>272</v>
      </c>
      <c r="M2" s="133" t="s">
        <v>273</v>
      </c>
      <c r="N2" s="132" t="s">
        <v>274</v>
      </c>
      <c r="O2" s="133" t="s">
        <v>275</v>
      </c>
      <c r="P2" s="133" t="s">
        <v>276</v>
      </c>
      <c r="Q2" s="133" t="s">
        <v>277</v>
      </c>
      <c r="R2" s="133" t="s">
        <v>278</v>
      </c>
      <c r="S2" s="134" t="s">
        <v>279</v>
      </c>
      <c r="T2" s="135" t="s">
        <v>280</v>
      </c>
      <c r="U2" s="135" t="s">
        <v>281</v>
      </c>
      <c r="V2" s="135" t="s">
        <v>282</v>
      </c>
      <c r="W2" s="134" t="s">
        <v>283</v>
      </c>
      <c r="X2" s="135" t="s">
        <v>284</v>
      </c>
      <c r="Y2" s="135" t="s">
        <v>285</v>
      </c>
      <c r="Z2" s="136" t="s">
        <v>286</v>
      </c>
      <c r="AA2" s="137" t="s">
        <v>287</v>
      </c>
      <c r="AB2" s="137" t="s">
        <v>25</v>
      </c>
      <c r="AC2" s="138" t="s">
        <v>288</v>
      </c>
      <c r="AD2" s="155" t="s">
        <v>43</v>
      </c>
    </row>
    <row r="3" spans="1:30" s="144" customFormat="1">
      <c r="A3" s="139">
        <v>1</v>
      </c>
      <c r="B3" s="139">
        <f>IFERROR(INDEX(Työkonekanta!$F$3:$F$27,MATCH('S0a Baseline'!$A3,Työkonekanta!$A$3:$A$24,0),1),0)</f>
        <v>1</v>
      </c>
      <c r="C3" s="140">
        <v>2019</v>
      </c>
      <c r="D3" s="141" t="str">
        <f>IFERROR(INDEX(Työkonekanta!$D$3:$D$27,MATCH('S0a Baseline'!$A3,Työkonekanta!$A$3:$A$24,0),1),"undefined")</f>
        <v>pom</v>
      </c>
      <c r="E3" s="145">
        <f>IFERROR(INDEX(Työkonekanta!$G$3:$G$27,MATCH($A3,Työkonekanta!$A$3:$A$24,0),1)*INDEX(Työkonekanta!$H$3:$H$27,MATCH($A3,Työkonekanta!$A$3:$A$24,0),1)*$B3,0)</f>
        <v>10000</v>
      </c>
      <c r="F3" s="344">
        <f t="shared" ref="F3:F66" si="0">IF(D3="pom",$E3*hv_pom,0)</f>
        <v>359000</v>
      </c>
      <c r="G3" s="344">
        <f>$F3*$P3</f>
        <v>359000</v>
      </c>
      <c r="H3" s="344">
        <f>$F3*$Q3</f>
        <v>0</v>
      </c>
      <c r="I3" s="145">
        <f t="shared" ref="I3:I66" si="1">$G3/hv_pom</f>
        <v>10000</v>
      </c>
      <c r="J3" s="145">
        <f t="shared" ref="J3:J66" si="2">$H3/hv_biodies</f>
        <v>0</v>
      </c>
      <c r="K3" s="142" t="str">
        <f>IF($D3="sähkö","kWh",IF($D3="pom","l","undefined"))</f>
        <v>l</v>
      </c>
      <c r="L3" s="146">
        <f>IFERROR(INDEX(Työkonekanta!$I$3:$I$27,MATCH('S0a Baseline'!$A3,Työkonekanta!$A$3:$A$24,0),1)*(I3+J3)*f_adblue,0)</f>
        <v>500</v>
      </c>
      <c r="M3" s="146">
        <f t="shared" ref="M3:M82" si="3">IF($D3="sähkö",conv_kwh_mj*$E3,0)</f>
        <v>0</v>
      </c>
      <c r="N3" s="143" t="str">
        <f>IF(tuulisähkö_vuosi&lt;='S0a Baseline'!C3,"tuulisähkö",ostosähkö_nyt)</f>
        <v>jäännössähkö</v>
      </c>
      <c r="O3" s="147">
        <f>INDEX(Muuttujat!$J$5:$J$21,MATCH($C3,Muuttujat!$H$5:$H$21,0),1)</f>
        <v>69.24722222222222</v>
      </c>
      <c r="P3" s="342">
        <f>1-(INDEX(Muuttujat!$O$5:$O$21,MATCH($C3,Muuttujat!$N$5:$N$21,0),1))</f>
        <v>1</v>
      </c>
      <c r="Q3" s="342">
        <f>INDEX(Muuttujat!$O$5:$O$21,MATCH($C3,Muuttujat!$N$5:$N$21,0),1)</f>
        <v>0</v>
      </c>
      <c r="R3" s="148">
        <f>INDEX(Muuttujat!$P$5:$P$21,MATCH($C3,Muuttujat!$N$5:$N$21,0),1)</f>
        <v>0</v>
      </c>
      <c r="S3" s="149">
        <f t="shared" ref="S3:S66" si="4">wtt_ef_e_co2_dies*$G3/1000/1000</f>
        <v>6.785099999999999</v>
      </c>
      <c r="T3" s="150">
        <f t="shared" ref="T3:T66" si="5">wtt_ef_e_co2_biodies*$H3/1000/1000</f>
        <v>0</v>
      </c>
      <c r="U3" s="150">
        <f t="shared" ref="U3:U66" si="6">IF(N3="jäännössähkö",$O3,IF(N3="tuulisähkö",wtt_ef_e_co2_el_wind,0))*$M3/1000/1000</f>
        <v>0</v>
      </c>
      <c r="V3" s="150">
        <f>IFERROR(INDEX(Työkonekanta!$J$3:$J$27,MATCH($A3,Työkonekanta!$A$3:$A$24,0),1)*$B3*ef_li_ion_akku/1000/1000/INDEX(Työkonekanta!$K$3:$K$27,MATCH($A3,Työkonekanta!$A$3:$A$24,0)),0)</f>
        <v>0</v>
      </c>
      <c r="W3" s="149">
        <f t="shared" ref="W3:W66" si="7">($I3*IF($D3="pom",ef_v_co2_pom,0))/1000/1000</f>
        <v>26.497163285999999</v>
      </c>
      <c r="X3" s="150">
        <f t="shared" ref="X3:X82" si="8">($E3*(IF($D3="pom",ef_v_ch4_pom,0)*gwp100_ch4+IF($D3="pom",ef_v_n2o_pom,0)*gwp100_n2o))/1000/1000</f>
        <v>0.31774565999999999</v>
      </c>
      <c r="Y3" s="151">
        <f t="shared" ref="Y3:Y82" si="9">$L3*ef_v_co2_adblue/1000/1000</f>
        <v>0.13</v>
      </c>
      <c r="Z3" s="152">
        <f>SUM($S3:$V3)</f>
        <v>6.785099999999999</v>
      </c>
      <c r="AA3" s="153">
        <f>$W3+$Y3</f>
        <v>26.627163285999998</v>
      </c>
      <c r="AB3" s="153">
        <f>SUM($W3:$Y3)</f>
        <v>26.944908945999998</v>
      </c>
      <c r="AC3" s="154">
        <f t="shared" ref="AC3:AC82" si="10">$Z3+$AA3</f>
        <v>33.412263285999998</v>
      </c>
      <c r="AD3" s="156">
        <f>$Z3+$AB3</f>
        <v>33.730008945999998</v>
      </c>
    </row>
    <row r="4" spans="1:30" s="144" customFormat="1">
      <c r="A4" s="139">
        <v>2</v>
      </c>
      <c r="B4" s="139">
        <f>IFERROR(INDEX(Työkonekanta!$F$3:$F$27,MATCH('S0a Baseline'!$A4,Työkonekanta!$A$3:$A$24,0),1),0)</f>
        <v>1</v>
      </c>
      <c r="C4" s="140">
        <v>2019</v>
      </c>
      <c r="D4" s="141" t="str">
        <f>IFERROR(INDEX(Työkonekanta!$D$3:$D$27,MATCH('S0a Baseline'!$A4,Työkonekanta!$A$3:$A$24,0),1),"undefined")</f>
        <v>pom</v>
      </c>
      <c r="E4" s="145">
        <f>IFERROR(INDEX(Työkonekanta!$G$3:$G$27,MATCH($A4,Työkonekanta!$A$3:$A$24,0),1)*INDEX(Työkonekanta!$H$3:$H$27,MATCH($A4,Työkonekanta!$A$3:$A$24,0),1)*$B4,0)</f>
        <v>10000</v>
      </c>
      <c r="F4" s="344">
        <f t="shared" si="0"/>
        <v>359000</v>
      </c>
      <c r="G4" s="344">
        <f t="shared" ref="G4:G67" si="11">$F4*$P4</f>
        <v>359000</v>
      </c>
      <c r="H4" s="344">
        <f t="shared" ref="H4:H67" si="12">$F4*$Q4</f>
        <v>0</v>
      </c>
      <c r="I4" s="145">
        <f t="shared" si="1"/>
        <v>10000</v>
      </c>
      <c r="J4" s="145">
        <f t="shared" si="2"/>
        <v>0</v>
      </c>
      <c r="K4" s="142" t="str">
        <f t="shared" ref="K4:K67" si="13">IF($D4="sähkö","kWh",IF($D4="pom","l","undefined"))</f>
        <v>l</v>
      </c>
      <c r="L4" s="146">
        <f>IFERROR(INDEX(Työkonekanta!$I$3:$I$27,MATCH('S0a Baseline'!$A4,Työkonekanta!$A$3:$A$24,0),1)*(I4+J4)*f_adblue,0)</f>
        <v>500</v>
      </c>
      <c r="M4" s="146">
        <f t="shared" si="3"/>
        <v>0</v>
      </c>
      <c r="N4" s="143" t="str">
        <f>IF(tuulisähkö_vuosi&lt;='S0a Baseline'!C4,"tuulisähkö",ostosähkö_nyt)</f>
        <v>jäännössähkö</v>
      </c>
      <c r="O4" s="147">
        <f>INDEX(Muuttujat!$J$5:$J$21,MATCH($C4,Muuttujat!$H$5:$H$21,0),1)</f>
        <v>69.24722222222222</v>
      </c>
      <c r="P4" s="342">
        <f>1-(INDEX(Muuttujat!$O$5:$O$21,MATCH($C4,Muuttujat!$N$5:$N$21,0),1))</f>
        <v>1</v>
      </c>
      <c r="Q4" s="342">
        <f>INDEX(Muuttujat!$O$5:$O$21,MATCH($C4,Muuttujat!$N$5:$N$21,0),1)</f>
        <v>0</v>
      </c>
      <c r="R4" s="148">
        <f>INDEX(Muuttujat!$P$5:$P$21,MATCH($C4,Muuttujat!$N$5:$N$21,0),1)</f>
        <v>0</v>
      </c>
      <c r="S4" s="149">
        <f t="shared" si="4"/>
        <v>6.785099999999999</v>
      </c>
      <c r="T4" s="150">
        <f t="shared" si="5"/>
        <v>0</v>
      </c>
      <c r="U4" s="150">
        <f t="shared" si="6"/>
        <v>0</v>
      </c>
      <c r="V4" s="150">
        <f>IFERROR(INDEX(Työkonekanta!$J$3:$J$27,MATCH($A4,Työkonekanta!$A$3:$A$24,0),1)*$B4*ef_li_ion_akku/1000/1000/INDEX(Työkonekanta!$K$3:$K$27,MATCH($A4,Työkonekanta!$A$3:$A$24,0)),0)</f>
        <v>0</v>
      </c>
      <c r="W4" s="149">
        <f t="shared" si="7"/>
        <v>26.497163285999999</v>
      </c>
      <c r="X4" s="150">
        <f t="shared" si="8"/>
        <v>0.31774565999999999</v>
      </c>
      <c r="Y4" s="151">
        <f t="shared" si="9"/>
        <v>0.13</v>
      </c>
      <c r="Z4" s="152">
        <f t="shared" ref="Z4:Z67" si="14">SUM($S4:$V4)</f>
        <v>6.785099999999999</v>
      </c>
      <c r="AA4" s="153">
        <f t="shared" ref="AA4:AA67" si="15">$W4+$Y4</f>
        <v>26.627163285999998</v>
      </c>
      <c r="AB4" s="153">
        <f t="shared" ref="AB4:AB67" si="16">SUM($W4:$Y4)</f>
        <v>26.944908945999998</v>
      </c>
      <c r="AC4" s="154">
        <f t="shared" si="10"/>
        <v>33.412263285999998</v>
      </c>
      <c r="AD4" s="156">
        <f t="shared" ref="AD4:AD67" si="17">$Z4+$AB4</f>
        <v>33.730008945999998</v>
      </c>
    </row>
    <row r="5" spans="1:30" s="144" customFormat="1">
      <c r="A5" s="139">
        <v>3</v>
      </c>
      <c r="B5" s="139">
        <f>IFERROR(INDEX(Työkonekanta!$F$3:$F$27,MATCH('S0a Baseline'!$A5,Työkonekanta!$A$3:$A$24,0),1),0)</f>
        <v>1</v>
      </c>
      <c r="C5" s="140">
        <v>2019</v>
      </c>
      <c r="D5" s="141" t="str">
        <f>IFERROR(INDEX(Työkonekanta!$D$3:$D$27,MATCH('S0a Baseline'!$A5,Työkonekanta!$A$3:$A$24,0),1),"undefined")</f>
        <v>pom</v>
      </c>
      <c r="E5" s="145">
        <f>IFERROR(INDEX(Työkonekanta!$G$3:$G$27,MATCH($A5,Työkonekanta!$A$3:$A$24,0),1)*INDEX(Työkonekanta!$H$3:$H$27,MATCH($A5,Työkonekanta!$A$3:$A$24,0),1)*$B5,0)</f>
        <v>10000</v>
      </c>
      <c r="F5" s="344">
        <f t="shared" si="0"/>
        <v>359000</v>
      </c>
      <c r="G5" s="344">
        <f t="shared" si="11"/>
        <v>359000</v>
      </c>
      <c r="H5" s="344">
        <f t="shared" si="12"/>
        <v>0</v>
      </c>
      <c r="I5" s="145">
        <f t="shared" si="1"/>
        <v>10000</v>
      </c>
      <c r="J5" s="145">
        <f t="shared" si="2"/>
        <v>0</v>
      </c>
      <c r="K5" s="142" t="str">
        <f t="shared" si="13"/>
        <v>l</v>
      </c>
      <c r="L5" s="146">
        <f>IFERROR(INDEX(Työkonekanta!$I$3:$I$27,MATCH('S0a Baseline'!$A5,Työkonekanta!$A$3:$A$24,0),1)*(I5+J5)*f_adblue,0)</f>
        <v>500</v>
      </c>
      <c r="M5" s="146">
        <f t="shared" si="3"/>
        <v>0</v>
      </c>
      <c r="N5" s="143" t="str">
        <f>IF(tuulisähkö_vuosi&lt;='S0a Baseline'!C5,"tuulisähkö",ostosähkö_nyt)</f>
        <v>jäännössähkö</v>
      </c>
      <c r="O5" s="147">
        <f>INDEX(Muuttujat!$J$5:$J$21,MATCH($C5,Muuttujat!$H$5:$H$21,0),1)</f>
        <v>69.24722222222222</v>
      </c>
      <c r="P5" s="342">
        <f>1-(INDEX(Muuttujat!$O$5:$O$21,MATCH($C5,Muuttujat!$N$5:$N$21,0),1))</f>
        <v>1</v>
      </c>
      <c r="Q5" s="342">
        <f>INDEX(Muuttujat!$O$5:$O$21,MATCH($C5,Muuttujat!$N$5:$N$21,0),1)</f>
        <v>0</v>
      </c>
      <c r="R5" s="148">
        <f>INDEX(Muuttujat!$P$5:$P$21,MATCH($C5,Muuttujat!$N$5:$N$21,0),1)</f>
        <v>0</v>
      </c>
      <c r="S5" s="149">
        <f t="shared" si="4"/>
        <v>6.785099999999999</v>
      </c>
      <c r="T5" s="150">
        <f t="shared" si="5"/>
        <v>0</v>
      </c>
      <c r="U5" s="150">
        <f t="shared" si="6"/>
        <v>0</v>
      </c>
      <c r="V5" s="150">
        <f>IFERROR(INDEX(Työkonekanta!$J$3:$J$27,MATCH($A5,Työkonekanta!$A$3:$A$24,0),1)*$B5*ef_li_ion_akku/1000/1000/INDEX(Työkonekanta!$K$3:$K$27,MATCH($A5,Työkonekanta!$A$3:$A$24,0)),0)</f>
        <v>0</v>
      </c>
      <c r="W5" s="149">
        <f t="shared" si="7"/>
        <v>26.497163285999999</v>
      </c>
      <c r="X5" s="150">
        <f t="shared" si="8"/>
        <v>0.31774565999999999</v>
      </c>
      <c r="Y5" s="151">
        <f t="shared" si="9"/>
        <v>0.13</v>
      </c>
      <c r="Z5" s="152">
        <f t="shared" si="14"/>
        <v>6.785099999999999</v>
      </c>
      <c r="AA5" s="153">
        <f t="shared" si="15"/>
        <v>26.627163285999998</v>
      </c>
      <c r="AB5" s="153">
        <f t="shared" si="16"/>
        <v>26.944908945999998</v>
      </c>
      <c r="AC5" s="154">
        <f t="shared" si="10"/>
        <v>33.412263285999998</v>
      </c>
      <c r="AD5" s="156">
        <f t="shared" si="17"/>
        <v>33.730008945999998</v>
      </c>
    </row>
    <row r="6" spans="1:30" s="144" customFormat="1">
      <c r="A6" s="139">
        <v>4</v>
      </c>
      <c r="B6" s="139">
        <f>IFERROR(INDEX(Työkonekanta!$F$3:$F$27,MATCH('S0a Baseline'!$A6,Työkonekanta!$A$3:$A$24,0),1),0)</f>
        <v>1</v>
      </c>
      <c r="C6" s="140">
        <v>2019</v>
      </c>
      <c r="D6" s="141" t="str">
        <f>IFERROR(INDEX(Työkonekanta!$D$3:$D$27,MATCH('S0a Baseline'!$A6,Työkonekanta!$A$3:$A$24,0),1),"undefined")</f>
        <v>pom</v>
      </c>
      <c r="E6" s="145">
        <f>IFERROR(INDEX(Työkonekanta!$G$3:$G$27,MATCH($A6,Työkonekanta!$A$3:$A$24,0),1)*INDEX(Työkonekanta!$H$3:$H$27,MATCH($A6,Työkonekanta!$A$3:$A$24,0),1)*$B6,0)</f>
        <v>10000</v>
      </c>
      <c r="F6" s="344">
        <f t="shared" si="0"/>
        <v>359000</v>
      </c>
      <c r="G6" s="344">
        <f t="shared" si="11"/>
        <v>359000</v>
      </c>
      <c r="H6" s="344">
        <f t="shared" si="12"/>
        <v>0</v>
      </c>
      <c r="I6" s="145">
        <f t="shared" si="1"/>
        <v>10000</v>
      </c>
      <c r="J6" s="145">
        <f t="shared" si="2"/>
        <v>0</v>
      </c>
      <c r="K6" s="142" t="str">
        <f t="shared" si="13"/>
        <v>l</v>
      </c>
      <c r="L6" s="146">
        <f>IFERROR(INDEX(Työkonekanta!$I$3:$I$27,MATCH('S0a Baseline'!$A6,Työkonekanta!$A$3:$A$24,0),1)*(I6+J6)*f_adblue,0)</f>
        <v>500</v>
      </c>
      <c r="M6" s="146">
        <f t="shared" si="3"/>
        <v>0</v>
      </c>
      <c r="N6" s="143" t="str">
        <f>IF(tuulisähkö_vuosi&lt;='S0a Baseline'!C6,"tuulisähkö",ostosähkö_nyt)</f>
        <v>jäännössähkö</v>
      </c>
      <c r="O6" s="147">
        <f>INDEX(Muuttujat!$J$5:$J$21,MATCH($C6,Muuttujat!$H$5:$H$21,0),1)</f>
        <v>69.24722222222222</v>
      </c>
      <c r="P6" s="342">
        <f>1-(INDEX(Muuttujat!$O$5:$O$21,MATCH($C6,Muuttujat!$N$5:$N$21,0),1))</f>
        <v>1</v>
      </c>
      <c r="Q6" s="342">
        <f>INDEX(Muuttujat!$O$5:$O$21,MATCH($C6,Muuttujat!$N$5:$N$21,0),1)</f>
        <v>0</v>
      </c>
      <c r="R6" s="148">
        <f>INDEX(Muuttujat!$P$5:$P$21,MATCH($C6,Muuttujat!$N$5:$N$21,0),1)</f>
        <v>0</v>
      </c>
      <c r="S6" s="149">
        <f t="shared" si="4"/>
        <v>6.785099999999999</v>
      </c>
      <c r="T6" s="150">
        <f t="shared" si="5"/>
        <v>0</v>
      </c>
      <c r="U6" s="150">
        <f t="shared" si="6"/>
        <v>0</v>
      </c>
      <c r="V6" s="150">
        <f>IFERROR(INDEX(Työkonekanta!$J$3:$J$27,MATCH($A6,Työkonekanta!$A$3:$A$24,0),1)*$B6*ef_li_ion_akku/1000/1000/INDEX(Työkonekanta!$K$3:$K$27,MATCH($A6,Työkonekanta!$A$3:$A$24,0)),0)</f>
        <v>0</v>
      </c>
      <c r="W6" s="149">
        <f t="shared" si="7"/>
        <v>26.497163285999999</v>
      </c>
      <c r="X6" s="150">
        <f t="shared" si="8"/>
        <v>0.31774565999999999</v>
      </c>
      <c r="Y6" s="151">
        <f t="shared" si="9"/>
        <v>0.13</v>
      </c>
      <c r="Z6" s="152">
        <f t="shared" si="14"/>
        <v>6.785099999999999</v>
      </c>
      <c r="AA6" s="153">
        <f t="shared" si="15"/>
        <v>26.627163285999998</v>
      </c>
      <c r="AB6" s="153">
        <f t="shared" si="16"/>
        <v>26.944908945999998</v>
      </c>
      <c r="AC6" s="154">
        <f t="shared" si="10"/>
        <v>33.412263285999998</v>
      </c>
      <c r="AD6" s="156">
        <f t="shared" si="17"/>
        <v>33.730008945999998</v>
      </c>
    </row>
    <row r="7" spans="1:30" s="144" customFormat="1">
      <c r="A7" s="139">
        <v>5</v>
      </c>
      <c r="B7" s="139">
        <f>IFERROR(INDEX(Työkonekanta!$F$3:$F$27,MATCH('S0a Baseline'!$A7,Työkonekanta!$A$3:$A$24,0),1),0)</f>
        <v>0</v>
      </c>
      <c r="C7" s="140">
        <v>2019</v>
      </c>
      <c r="D7" s="141" t="str">
        <f>IFERROR(INDEX(Työkonekanta!$D$3:$D$27,MATCH('S0a Baseline'!$A7,Työkonekanta!$A$3:$A$24,0),1),"undefined")</f>
        <v>sähkö</v>
      </c>
      <c r="E7" s="145">
        <f>IFERROR(INDEX(Työkonekanta!$G$3:$G$27,MATCH($A7,Työkonekanta!$A$3:$A$24,0),1)*INDEX(Työkonekanta!$H$3:$H$27,MATCH($A7,Työkonekanta!$A$3:$A$24,0),1)*$B7,0)</f>
        <v>0</v>
      </c>
      <c r="F7" s="344">
        <f t="shared" si="0"/>
        <v>0</v>
      </c>
      <c r="G7" s="344">
        <f t="shared" si="11"/>
        <v>0</v>
      </c>
      <c r="H7" s="344">
        <f t="shared" si="12"/>
        <v>0</v>
      </c>
      <c r="I7" s="145">
        <f t="shared" si="1"/>
        <v>0</v>
      </c>
      <c r="J7" s="145">
        <f t="shared" si="2"/>
        <v>0</v>
      </c>
      <c r="K7" s="142" t="str">
        <f t="shared" si="13"/>
        <v>kWh</v>
      </c>
      <c r="L7" s="146">
        <f>IFERROR(INDEX(Työkonekanta!$I$3:$I$27,MATCH('S0a Baseline'!$A7,Työkonekanta!$A$3:$A$24,0),1)*(I7+J7)*f_adblue,0)</f>
        <v>0</v>
      </c>
      <c r="M7" s="146">
        <f t="shared" si="3"/>
        <v>0</v>
      </c>
      <c r="N7" s="143" t="str">
        <f>IF(tuulisähkö_vuosi&lt;='S0a Baseline'!C7,"tuulisähkö",ostosähkö_nyt)</f>
        <v>jäännössähkö</v>
      </c>
      <c r="O7" s="147">
        <f>INDEX(Muuttujat!$J$5:$J$21,MATCH($C7,Muuttujat!$H$5:$H$21,0),1)</f>
        <v>69.24722222222222</v>
      </c>
      <c r="P7" s="342">
        <f>1-(INDEX(Muuttujat!$O$5:$O$21,MATCH($C7,Muuttujat!$N$5:$N$21,0),1))</f>
        <v>1</v>
      </c>
      <c r="Q7" s="342">
        <f>INDEX(Muuttujat!$O$5:$O$21,MATCH($C7,Muuttujat!$N$5:$N$21,0),1)</f>
        <v>0</v>
      </c>
      <c r="R7" s="148">
        <f>INDEX(Muuttujat!$P$5:$P$21,MATCH($C7,Muuttujat!$N$5:$N$21,0),1)</f>
        <v>0</v>
      </c>
      <c r="S7" s="149">
        <f t="shared" si="4"/>
        <v>0</v>
      </c>
      <c r="T7" s="150">
        <f t="shared" si="5"/>
        <v>0</v>
      </c>
      <c r="U7" s="150">
        <f t="shared" si="6"/>
        <v>0</v>
      </c>
      <c r="V7" s="150">
        <f>IFERROR(INDEX(Työkonekanta!$J$3:$J$27,MATCH($A7,Työkonekanta!$A$3:$A$24,0),1)*$B7*ef_li_ion_akku/1000/1000/INDEX(Työkonekanta!$K$3:$K$27,MATCH($A7,Työkonekanta!$A$3:$A$24,0)),0)</f>
        <v>0</v>
      </c>
      <c r="W7" s="149">
        <f t="shared" si="7"/>
        <v>0</v>
      </c>
      <c r="X7" s="150">
        <f t="shared" si="8"/>
        <v>0</v>
      </c>
      <c r="Y7" s="151">
        <f t="shared" si="9"/>
        <v>0</v>
      </c>
      <c r="Z7" s="152">
        <f t="shared" si="14"/>
        <v>0</v>
      </c>
      <c r="AA7" s="153">
        <f t="shared" si="15"/>
        <v>0</v>
      </c>
      <c r="AB7" s="153">
        <f t="shared" si="16"/>
        <v>0</v>
      </c>
      <c r="AC7" s="154">
        <f t="shared" si="10"/>
        <v>0</v>
      </c>
      <c r="AD7" s="156">
        <f t="shared" si="17"/>
        <v>0</v>
      </c>
    </row>
    <row r="8" spans="1:30" s="144" customFormat="1">
      <c r="A8" s="139">
        <v>6</v>
      </c>
      <c r="B8" s="139">
        <f>IFERROR(INDEX(Työkonekanta!$F$3:$F$27,MATCH('S0a Baseline'!$A8,Työkonekanta!$A$3:$A$24,0),1),0)</f>
        <v>0</v>
      </c>
      <c r="C8" s="140">
        <v>2019</v>
      </c>
      <c r="D8" s="141" t="str">
        <f>IFERROR(INDEX(Työkonekanta!$D$3:$D$27,MATCH('S0a Baseline'!$A8,Työkonekanta!$A$3:$A$24,0),1),"undefined")</f>
        <v>sähkö</v>
      </c>
      <c r="E8" s="145">
        <f>IFERROR(INDEX(Työkonekanta!$G$3:$G$27,MATCH($A8,Työkonekanta!$A$3:$A$24,0),1)*INDEX(Työkonekanta!$H$3:$H$27,MATCH($A8,Työkonekanta!$A$3:$A$24,0),1)*$B8,0)</f>
        <v>0</v>
      </c>
      <c r="F8" s="344">
        <f t="shared" si="0"/>
        <v>0</v>
      </c>
      <c r="G8" s="344">
        <f t="shared" si="11"/>
        <v>0</v>
      </c>
      <c r="H8" s="344">
        <f t="shared" si="12"/>
        <v>0</v>
      </c>
      <c r="I8" s="145">
        <f t="shared" si="1"/>
        <v>0</v>
      </c>
      <c r="J8" s="145">
        <f t="shared" si="2"/>
        <v>0</v>
      </c>
      <c r="K8" s="142" t="str">
        <f t="shared" si="13"/>
        <v>kWh</v>
      </c>
      <c r="L8" s="146">
        <f>IFERROR(INDEX(Työkonekanta!$I$3:$I$27,MATCH('S0a Baseline'!$A8,Työkonekanta!$A$3:$A$24,0),1)*(I8+J8)*f_adblue,0)</f>
        <v>0</v>
      </c>
      <c r="M8" s="146">
        <f t="shared" si="3"/>
        <v>0</v>
      </c>
      <c r="N8" s="143" t="str">
        <f>IF(tuulisähkö_vuosi&lt;='S0a Baseline'!C8,"tuulisähkö",ostosähkö_nyt)</f>
        <v>jäännössähkö</v>
      </c>
      <c r="O8" s="147">
        <f>INDEX(Muuttujat!$J$5:$J$21,MATCH($C8,Muuttujat!$H$5:$H$21,0),1)</f>
        <v>69.24722222222222</v>
      </c>
      <c r="P8" s="342">
        <f>1-(INDEX(Muuttujat!$O$5:$O$21,MATCH($C8,Muuttujat!$N$5:$N$21,0),1))</f>
        <v>1</v>
      </c>
      <c r="Q8" s="342">
        <f>INDEX(Muuttujat!$O$5:$O$21,MATCH($C8,Muuttujat!$N$5:$N$21,0),1)</f>
        <v>0</v>
      </c>
      <c r="R8" s="148">
        <f>INDEX(Muuttujat!$P$5:$P$21,MATCH($C8,Muuttujat!$N$5:$N$21,0),1)</f>
        <v>0</v>
      </c>
      <c r="S8" s="149">
        <f t="shared" si="4"/>
        <v>0</v>
      </c>
      <c r="T8" s="150">
        <f t="shared" si="5"/>
        <v>0</v>
      </c>
      <c r="U8" s="150">
        <f t="shared" si="6"/>
        <v>0</v>
      </c>
      <c r="V8" s="150">
        <f>IFERROR(INDEX(Työkonekanta!$J$3:$J$27,MATCH($A8,Työkonekanta!$A$3:$A$24,0),1)*$B8*ef_li_ion_akku/1000/1000/INDEX(Työkonekanta!$K$3:$K$27,MATCH($A8,Työkonekanta!$A$3:$A$24,0)),0)</f>
        <v>0</v>
      </c>
      <c r="W8" s="149">
        <f t="shared" si="7"/>
        <v>0</v>
      </c>
      <c r="X8" s="150">
        <f t="shared" si="8"/>
        <v>0</v>
      </c>
      <c r="Y8" s="151">
        <f t="shared" si="9"/>
        <v>0</v>
      </c>
      <c r="Z8" s="152">
        <f t="shared" si="14"/>
        <v>0</v>
      </c>
      <c r="AA8" s="153">
        <f t="shared" si="15"/>
        <v>0</v>
      </c>
      <c r="AB8" s="153">
        <f t="shared" si="16"/>
        <v>0</v>
      </c>
      <c r="AC8" s="154">
        <f t="shared" si="10"/>
        <v>0</v>
      </c>
      <c r="AD8" s="156">
        <f t="shared" si="17"/>
        <v>0</v>
      </c>
    </row>
    <row r="9" spans="1:30" s="144" customFormat="1">
      <c r="A9" s="139">
        <v>7</v>
      </c>
      <c r="B9" s="139">
        <f>IFERROR(INDEX(Työkonekanta!$F$3:$F$27,MATCH('S0a Baseline'!$A9,Työkonekanta!$A$3:$A$24,0),1),0)</f>
        <v>1</v>
      </c>
      <c r="C9" s="140">
        <v>2019</v>
      </c>
      <c r="D9" s="141" t="str">
        <f>IFERROR(INDEX(Työkonekanta!$D$3:$D$27,MATCH('S0a Baseline'!$A9,Työkonekanta!$A$3:$A$24,0),1),"undefined")</f>
        <v>pom</v>
      </c>
      <c r="E9" s="145">
        <f>IFERROR(INDEX(Työkonekanta!$G$3:$G$27,MATCH($A9,Työkonekanta!$A$3:$A$24,0),1)*INDEX(Työkonekanta!$H$3:$H$27,MATCH($A9,Työkonekanta!$A$3:$A$24,0),1)*$B9,0)</f>
        <v>10000</v>
      </c>
      <c r="F9" s="344">
        <f t="shared" si="0"/>
        <v>359000</v>
      </c>
      <c r="G9" s="344">
        <f t="shared" si="11"/>
        <v>359000</v>
      </c>
      <c r="H9" s="344">
        <f t="shared" si="12"/>
        <v>0</v>
      </c>
      <c r="I9" s="145">
        <f t="shared" si="1"/>
        <v>10000</v>
      </c>
      <c r="J9" s="145">
        <f t="shared" si="2"/>
        <v>0</v>
      </c>
      <c r="K9" s="142" t="str">
        <f t="shared" si="13"/>
        <v>l</v>
      </c>
      <c r="L9" s="146">
        <f>IFERROR(INDEX(Työkonekanta!$I$3:$I$27,MATCH('S0a Baseline'!$A9,Työkonekanta!$A$3:$A$24,0),1)*(I9+J9)*f_adblue,0)</f>
        <v>0</v>
      </c>
      <c r="M9" s="146">
        <f t="shared" si="3"/>
        <v>0</v>
      </c>
      <c r="N9" s="143" t="str">
        <f>IF(tuulisähkö_vuosi&lt;='S0a Baseline'!C9,"tuulisähkö",ostosähkö_nyt)</f>
        <v>jäännössähkö</v>
      </c>
      <c r="O9" s="147">
        <f>INDEX(Muuttujat!$J$5:$J$21,MATCH($C9,Muuttujat!$H$5:$H$21,0),1)</f>
        <v>69.24722222222222</v>
      </c>
      <c r="P9" s="342">
        <f>1-(INDEX(Muuttujat!$O$5:$O$21,MATCH($C9,Muuttujat!$N$5:$N$21,0),1))</f>
        <v>1</v>
      </c>
      <c r="Q9" s="342">
        <f>INDEX(Muuttujat!$O$5:$O$21,MATCH($C9,Muuttujat!$N$5:$N$21,0),1)</f>
        <v>0</v>
      </c>
      <c r="R9" s="148">
        <f>INDEX(Muuttujat!$P$5:$P$21,MATCH($C9,Muuttujat!$N$5:$N$21,0),1)</f>
        <v>0</v>
      </c>
      <c r="S9" s="149">
        <f t="shared" si="4"/>
        <v>6.785099999999999</v>
      </c>
      <c r="T9" s="150">
        <f t="shared" si="5"/>
        <v>0</v>
      </c>
      <c r="U9" s="150">
        <f t="shared" si="6"/>
        <v>0</v>
      </c>
      <c r="V9" s="150">
        <f>IFERROR(INDEX(Työkonekanta!$J$3:$J$27,MATCH($A9,Työkonekanta!$A$3:$A$24,0),1)*$B9*ef_li_ion_akku/1000/1000/INDEX(Työkonekanta!$K$3:$K$27,MATCH($A9,Työkonekanta!$A$3:$A$24,0)),0)</f>
        <v>0</v>
      </c>
      <c r="W9" s="149">
        <f t="shared" si="7"/>
        <v>26.497163285999999</v>
      </c>
      <c r="X9" s="150">
        <f t="shared" si="8"/>
        <v>0.31774565999999999</v>
      </c>
      <c r="Y9" s="151">
        <f t="shared" si="9"/>
        <v>0</v>
      </c>
      <c r="Z9" s="152">
        <f t="shared" si="14"/>
        <v>6.785099999999999</v>
      </c>
      <c r="AA9" s="153">
        <f t="shared" si="15"/>
        <v>26.497163285999999</v>
      </c>
      <c r="AB9" s="153">
        <f t="shared" si="16"/>
        <v>26.814908945999999</v>
      </c>
      <c r="AC9" s="154">
        <f t="shared" si="10"/>
        <v>33.282263285999996</v>
      </c>
      <c r="AD9" s="156">
        <f t="shared" si="17"/>
        <v>33.600008945999996</v>
      </c>
    </row>
    <row r="10" spans="1:30" s="144" customFormat="1">
      <c r="A10" s="139">
        <v>8</v>
      </c>
      <c r="B10" s="139">
        <f>IFERROR(INDEX(Työkonekanta!$F$3:$F$27,MATCH('S0a Baseline'!$A10,Työkonekanta!$A$3:$A$24,0),1),0)</f>
        <v>1</v>
      </c>
      <c r="C10" s="140">
        <v>2019</v>
      </c>
      <c r="D10" s="141" t="str">
        <f>IFERROR(INDEX(Työkonekanta!$D$3:$D$27,MATCH('S0a Baseline'!$A10,Työkonekanta!$A$3:$A$24,0),1),"undefined")</f>
        <v>pom</v>
      </c>
      <c r="E10" s="145">
        <f>IFERROR(INDEX(Työkonekanta!$G$3:$G$27,MATCH($A10,Työkonekanta!$A$3:$A$24,0),1)*INDEX(Työkonekanta!$H$3:$H$27,MATCH($A10,Työkonekanta!$A$3:$A$24,0),1)*$B10,0)</f>
        <v>10000</v>
      </c>
      <c r="F10" s="344">
        <f t="shared" si="0"/>
        <v>359000</v>
      </c>
      <c r="G10" s="344">
        <f t="shared" si="11"/>
        <v>359000</v>
      </c>
      <c r="H10" s="344">
        <f t="shared" si="12"/>
        <v>0</v>
      </c>
      <c r="I10" s="145">
        <f t="shared" si="1"/>
        <v>10000</v>
      </c>
      <c r="J10" s="145">
        <f t="shared" si="2"/>
        <v>0</v>
      </c>
      <c r="K10" s="142" t="str">
        <f t="shared" si="13"/>
        <v>l</v>
      </c>
      <c r="L10" s="146">
        <f>IFERROR(INDEX(Työkonekanta!$I$3:$I$27,MATCH('S0a Baseline'!$A10,Työkonekanta!$A$3:$A$24,0),1)*(I10+J10)*f_adblue,0)</f>
        <v>500</v>
      </c>
      <c r="M10" s="146">
        <f t="shared" si="3"/>
        <v>0</v>
      </c>
      <c r="N10" s="143" t="str">
        <f>IF(tuulisähkö_vuosi&lt;='S0a Baseline'!C10,"tuulisähkö",ostosähkö_nyt)</f>
        <v>jäännössähkö</v>
      </c>
      <c r="O10" s="147">
        <f>INDEX(Muuttujat!$J$5:$J$21,MATCH($C10,Muuttujat!$H$5:$H$21,0),1)</f>
        <v>69.24722222222222</v>
      </c>
      <c r="P10" s="342">
        <f>1-(INDEX(Muuttujat!$O$5:$O$21,MATCH($C10,Muuttujat!$N$5:$N$21,0),1))</f>
        <v>1</v>
      </c>
      <c r="Q10" s="342">
        <f>INDEX(Muuttujat!$O$5:$O$21,MATCH($C10,Muuttujat!$N$5:$N$21,0),1)</f>
        <v>0</v>
      </c>
      <c r="R10" s="148">
        <f>INDEX(Muuttujat!$P$5:$P$21,MATCH($C10,Muuttujat!$N$5:$N$21,0),1)</f>
        <v>0</v>
      </c>
      <c r="S10" s="149">
        <f t="shared" si="4"/>
        <v>6.785099999999999</v>
      </c>
      <c r="T10" s="150">
        <f t="shared" si="5"/>
        <v>0</v>
      </c>
      <c r="U10" s="150">
        <f t="shared" si="6"/>
        <v>0</v>
      </c>
      <c r="V10" s="150">
        <f>IFERROR(INDEX(Työkonekanta!$J$3:$J$27,MATCH($A10,Työkonekanta!$A$3:$A$24,0),1)*$B10*ef_li_ion_akku/1000/1000/INDEX(Työkonekanta!$K$3:$K$27,MATCH($A10,Työkonekanta!$A$3:$A$24,0)),0)</f>
        <v>0</v>
      </c>
      <c r="W10" s="149">
        <f t="shared" si="7"/>
        <v>26.497163285999999</v>
      </c>
      <c r="X10" s="150">
        <f t="shared" si="8"/>
        <v>0.31774565999999999</v>
      </c>
      <c r="Y10" s="151">
        <f t="shared" si="9"/>
        <v>0.13</v>
      </c>
      <c r="Z10" s="152">
        <f t="shared" si="14"/>
        <v>6.785099999999999</v>
      </c>
      <c r="AA10" s="153">
        <f t="shared" si="15"/>
        <v>26.627163285999998</v>
      </c>
      <c r="AB10" s="153">
        <f t="shared" si="16"/>
        <v>26.944908945999998</v>
      </c>
      <c r="AC10" s="154">
        <f t="shared" si="10"/>
        <v>33.412263285999998</v>
      </c>
      <c r="AD10" s="156">
        <f t="shared" si="17"/>
        <v>33.730008945999998</v>
      </c>
    </row>
    <row r="11" spans="1:30" s="144" customFormat="1">
      <c r="A11" s="139">
        <v>9</v>
      </c>
      <c r="B11" s="139">
        <f>IFERROR(INDEX(Työkonekanta!$F$3:$F$27,MATCH('S0a Baseline'!$A11,Työkonekanta!$A$3:$A$24,0),1),0)</f>
        <v>0</v>
      </c>
      <c r="C11" s="140">
        <v>2019</v>
      </c>
      <c r="D11" s="141" t="str">
        <f>IFERROR(INDEX(Työkonekanta!$D$3:$D$27,MATCH('S0a Baseline'!$A11,Työkonekanta!$A$3:$A$24,0),1),"undefined")</f>
        <v>sähkö</v>
      </c>
      <c r="E11" s="145">
        <f>IFERROR(INDEX(Työkonekanta!$G$3:$G$27,MATCH($A11,Työkonekanta!$A$3:$A$24,0),1)*INDEX(Työkonekanta!$H$3:$H$27,MATCH($A11,Työkonekanta!$A$3:$A$24,0),1)*$B11,0)</f>
        <v>0</v>
      </c>
      <c r="F11" s="344">
        <f t="shared" si="0"/>
        <v>0</v>
      </c>
      <c r="G11" s="344">
        <f t="shared" si="11"/>
        <v>0</v>
      </c>
      <c r="H11" s="344">
        <f t="shared" si="12"/>
        <v>0</v>
      </c>
      <c r="I11" s="145">
        <f t="shared" si="1"/>
        <v>0</v>
      </c>
      <c r="J11" s="145">
        <f t="shared" si="2"/>
        <v>0</v>
      </c>
      <c r="K11" s="142" t="str">
        <f t="shared" si="13"/>
        <v>kWh</v>
      </c>
      <c r="L11" s="146">
        <f>IFERROR(INDEX(Työkonekanta!$I$3:$I$27,MATCH('S0a Baseline'!$A11,Työkonekanta!$A$3:$A$24,0),1)*(I11+J11)*f_adblue,0)</f>
        <v>0</v>
      </c>
      <c r="M11" s="146">
        <f t="shared" si="3"/>
        <v>0</v>
      </c>
      <c r="N11" s="143" t="str">
        <f>IF(tuulisähkö_vuosi&lt;='S0a Baseline'!C11,"tuulisähkö",ostosähkö_nyt)</f>
        <v>jäännössähkö</v>
      </c>
      <c r="O11" s="147">
        <f>INDEX(Muuttujat!$J$5:$J$21,MATCH($C11,Muuttujat!$H$5:$H$21,0),1)</f>
        <v>69.24722222222222</v>
      </c>
      <c r="P11" s="342">
        <f>1-(INDEX(Muuttujat!$O$5:$O$21,MATCH($C11,Muuttujat!$N$5:$N$21,0),1))</f>
        <v>1</v>
      </c>
      <c r="Q11" s="342">
        <f>INDEX(Muuttujat!$O$5:$O$21,MATCH($C11,Muuttujat!$N$5:$N$21,0),1)</f>
        <v>0</v>
      </c>
      <c r="R11" s="148">
        <f>INDEX(Muuttujat!$P$5:$P$21,MATCH($C11,Muuttujat!$N$5:$N$21,0),1)</f>
        <v>0</v>
      </c>
      <c r="S11" s="149">
        <f t="shared" si="4"/>
        <v>0</v>
      </c>
      <c r="T11" s="150">
        <f t="shared" si="5"/>
        <v>0</v>
      </c>
      <c r="U11" s="150">
        <f t="shared" si="6"/>
        <v>0</v>
      </c>
      <c r="V11" s="150">
        <f>IFERROR(INDEX(Työkonekanta!$J$3:$J$27,MATCH($A11,Työkonekanta!$A$3:$A$24,0),1)*$B11*ef_li_ion_akku/1000/1000/INDEX(Työkonekanta!$K$3:$K$27,MATCH($A11,Työkonekanta!$A$3:$A$24,0)),0)</f>
        <v>0</v>
      </c>
      <c r="W11" s="149">
        <f t="shared" si="7"/>
        <v>0</v>
      </c>
      <c r="X11" s="150">
        <f t="shared" si="8"/>
        <v>0</v>
      </c>
      <c r="Y11" s="151">
        <f t="shared" si="9"/>
        <v>0</v>
      </c>
      <c r="Z11" s="152">
        <f t="shared" si="14"/>
        <v>0</v>
      </c>
      <c r="AA11" s="153">
        <f t="shared" si="15"/>
        <v>0</v>
      </c>
      <c r="AB11" s="153">
        <f t="shared" si="16"/>
        <v>0</v>
      </c>
      <c r="AC11" s="154">
        <f t="shared" si="10"/>
        <v>0</v>
      </c>
      <c r="AD11" s="156">
        <f t="shared" si="17"/>
        <v>0</v>
      </c>
    </row>
    <row r="12" spans="1:30" s="144" customFormat="1">
      <c r="A12" s="139">
        <v>10</v>
      </c>
      <c r="B12" s="139">
        <f>IFERROR(INDEX(Työkonekanta!$F$3:$F$27,MATCH('S0a Baseline'!$A12,Työkonekanta!$A$3:$A$24,0),1),0)</f>
        <v>0</v>
      </c>
      <c r="C12" s="140">
        <v>2019</v>
      </c>
      <c r="D12" s="141" t="str">
        <f>IFERROR(INDEX(Työkonekanta!$D$3:$D$27,MATCH('S0a Baseline'!$A12,Työkonekanta!$A$3:$A$24,0),1),"undefined")</f>
        <v>sähkö</v>
      </c>
      <c r="E12" s="145">
        <f>IFERROR(INDEX(Työkonekanta!$G$3:$G$27,MATCH($A12,Työkonekanta!$A$3:$A$24,0),1)*INDEX(Työkonekanta!$H$3:$H$27,MATCH($A12,Työkonekanta!$A$3:$A$24,0),1)*$B12,0)</f>
        <v>0</v>
      </c>
      <c r="F12" s="344">
        <f t="shared" si="0"/>
        <v>0</v>
      </c>
      <c r="G12" s="344">
        <f t="shared" si="11"/>
        <v>0</v>
      </c>
      <c r="H12" s="344">
        <f t="shared" si="12"/>
        <v>0</v>
      </c>
      <c r="I12" s="145">
        <f t="shared" si="1"/>
        <v>0</v>
      </c>
      <c r="J12" s="145">
        <f t="shared" si="2"/>
        <v>0</v>
      </c>
      <c r="K12" s="142" t="str">
        <f t="shared" si="13"/>
        <v>kWh</v>
      </c>
      <c r="L12" s="146">
        <f>IFERROR(INDEX(Työkonekanta!$I$3:$I$27,MATCH('S0a Baseline'!$A12,Työkonekanta!$A$3:$A$24,0),1)*(I12+J12)*f_adblue,0)</f>
        <v>0</v>
      </c>
      <c r="M12" s="146">
        <f t="shared" si="3"/>
        <v>0</v>
      </c>
      <c r="N12" s="143" t="str">
        <f>IF(tuulisähkö_vuosi&lt;='S0a Baseline'!C12,"tuulisähkö",ostosähkö_nyt)</f>
        <v>jäännössähkö</v>
      </c>
      <c r="O12" s="147">
        <f>INDEX(Muuttujat!$J$5:$J$21,MATCH($C12,Muuttujat!$H$5:$H$21,0),1)</f>
        <v>69.24722222222222</v>
      </c>
      <c r="P12" s="342">
        <f>1-(INDEX(Muuttujat!$O$5:$O$21,MATCH($C12,Muuttujat!$N$5:$N$21,0),1))</f>
        <v>1</v>
      </c>
      <c r="Q12" s="342">
        <f>INDEX(Muuttujat!$O$5:$O$21,MATCH($C12,Muuttujat!$N$5:$N$21,0),1)</f>
        <v>0</v>
      </c>
      <c r="R12" s="148">
        <f>INDEX(Muuttujat!$P$5:$P$21,MATCH($C12,Muuttujat!$N$5:$N$21,0),1)</f>
        <v>0</v>
      </c>
      <c r="S12" s="149">
        <f t="shared" si="4"/>
        <v>0</v>
      </c>
      <c r="T12" s="150">
        <f t="shared" si="5"/>
        <v>0</v>
      </c>
      <c r="U12" s="150">
        <f t="shared" si="6"/>
        <v>0</v>
      </c>
      <c r="V12" s="150">
        <f>IFERROR(INDEX(Työkonekanta!$J$3:$J$27,MATCH($A12,Työkonekanta!$A$3:$A$24,0),1)*$B12*ef_li_ion_akku/1000/1000/INDEX(Työkonekanta!$K$3:$K$27,MATCH($A12,Työkonekanta!$A$3:$A$24,0)),0)</f>
        <v>0</v>
      </c>
      <c r="W12" s="149">
        <f t="shared" si="7"/>
        <v>0</v>
      </c>
      <c r="X12" s="150">
        <f t="shared" si="8"/>
        <v>0</v>
      </c>
      <c r="Y12" s="151">
        <f t="shared" si="9"/>
        <v>0</v>
      </c>
      <c r="Z12" s="152">
        <f t="shared" si="14"/>
        <v>0</v>
      </c>
      <c r="AA12" s="153">
        <f t="shared" si="15"/>
        <v>0</v>
      </c>
      <c r="AB12" s="153">
        <f t="shared" si="16"/>
        <v>0</v>
      </c>
      <c r="AC12" s="154">
        <f t="shared" si="10"/>
        <v>0</v>
      </c>
      <c r="AD12" s="156">
        <f t="shared" si="17"/>
        <v>0</v>
      </c>
    </row>
    <row r="13" spans="1:30" s="144" customFormat="1">
      <c r="A13" s="139">
        <v>11</v>
      </c>
      <c r="B13" s="139">
        <f>IFERROR(INDEX(Työkonekanta!$F$3:$F$27,MATCH('S0a Baseline'!$A13,Työkonekanta!$A$3:$A$24,0),1),0)</f>
        <v>1</v>
      </c>
      <c r="C13" s="140">
        <v>2019</v>
      </c>
      <c r="D13" s="141" t="str">
        <f>IFERROR(INDEX(Työkonekanta!$D$3:$D$27,MATCH('S0a Baseline'!$A13,Työkonekanta!$A$3:$A$24,0),1),"undefined")</f>
        <v>pom</v>
      </c>
      <c r="E13" s="145">
        <f>IFERROR(INDEX(Työkonekanta!$G$3:$G$27,MATCH($A13,Työkonekanta!$A$3:$A$24,0),1)*INDEX(Työkonekanta!$H$3:$H$27,MATCH($A13,Työkonekanta!$A$3:$A$24,0),1)*$B13,0)</f>
        <v>10000</v>
      </c>
      <c r="F13" s="344">
        <f t="shared" si="0"/>
        <v>359000</v>
      </c>
      <c r="G13" s="344">
        <f t="shared" si="11"/>
        <v>359000</v>
      </c>
      <c r="H13" s="344">
        <f t="shared" si="12"/>
        <v>0</v>
      </c>
      <c r="I13" s="145">
        <f t="shared" si="1"/>
        <v>10000</v>
      </c>
      <c r="J13" s="145">
        <f t="shared" si="2"/>
        <v>0</v>
      </c>
      <c r="K13" s="142" t="str">
        <f t="shared" si="13"/>
        <v>l</v>
      </c>
      <c r="L13" s="146">
        <f>IFERROR(INDEX(Työkonekanta!$I$3:$I$27,MATCH('S0a Baseline'!$A13,Työkonekanta!$A$3:$A$24,0),1)*(I13+J13)*f_adblue,0)</f>
        <v>500</v>
      </c>
      <c r="M13" s="146">
        <f t="shared" si="3"/>
        <v>0</v>
      </c>
      <c r="N13" s="143" t="str">
        <f>IF(tuulisähkö_vuosi&lt;='S0a Baseline'!C13,"tuulisähkö",ostosähkö_nyt)</f>
        <v>jäännössähkö</v>
      </c>
      <c r="O13" s="147">
        <f>INDEX(Muuttujat!$J$5:$J$21,MATCH($C13,Muuttujat!$H$5:$H$21,0),1)</f>
        <v>69.24722222222222</v>
      </c>
      <c r="P13" s="342">
        <f>1-(INDEX(Muuttujat!$O$5:$O$21,MATCH($C13,Muuttujat!$N$5:$N$21,0),1))</f>
        <v>1</v>
      </c>
      <c r="Q13" s="342">
        <f>INDEX(Muuttujat!$O$5:$O$21,MATCH($C13,Muuttujat!$N$5:$N$21,0),1)</f>
        <v>0</v>
      </c>
      <c r="R13" s="148">
        <f>INDEX(Muuttujat!$P$5:$P$21,MATCH($C13,Muuttujat!$N$5:$N$21,0),1)</f>
        <v>0</v>
      </c>
      <c r="S13" s="149">
        <f t="shared" si="4"/>
        <v>6.785099999999999</v>
      </c>
      <c r="T13" s="150">
        <f t="shared" si="5"/>
        <v>0</v>
      </c>
      <c r="U13" s="150">
        <f t="shared" si="6"/>
        <v>0</v>
      </c>
      <c r="V13" s="150">
        <f>IFERROR(INDEX(Työkonekanta!$J$3:$J$27,MATCH($A13,Työkonekanta!$A$3:$A$24,0),1)*$B13*ef_li_ion_akku/1000/1000/INDEX(Työkonekanta!$K$3:$K$27,MATCH($A13,Työkonekanta!$A$3:$A$24,0)),0)</f>
        <v>0</v>
      </c>
      <c r="W13" s="149">
        <f t="shared" si="7"/>
        <v>26.497163285999999</v>
      </c>
      <c r="X13" s="150">
        <f t="shared" si="8"/>
        <v>0.31774565999999999</v>
      </c>
      <c r="Y13" s="151">
        <f t="shared" si="9"/>
        <v>0.13</v>
      </c>
      <c r="Z13" s="152">
        <f t="shared" si="14"/>
        <v>6.785099999999999</v>
      </c>
      <c r="AA13" s="153">
        <f t="shared" si="15"/>
        <v>26.627163285999998</v>
      </c>
      <c r="AB13" s="153">
        <f t="shared" si="16"/>
        <v>26.944908945999998</v>
      </c>
      <c r="AC13" s="154">
        <f t="shared" si="10"/>
        <v>33.412263285999998</v>
      </c>
      <c r="AD13" s="156">
        <f t="shared" si="17"/>
        <v>33.730008945999998</v>
      </c>
    </row>
    <row r="14" spans="1:30" s="144" customFormat="1">
      <c r="A14" s="139">
        <v>12</v>
      </c>
      <c r="B14" s="139">
        <f>IFERROR(INDEX(Työkonekanta!$F$3:$F$27,MATCH('S0a Baseline'!$A14,Työkonekanta!$A$3:$A$24,0),1),0)</f>
        <v>1</v>
      </c>
      <c r="C14" s="140">
        <v>2019</v>
      </c>
      <c r="D14" s="141" t="str">
        <f>IFERROR(INDEX(Työkonekanta!$D$3:$D$27,MATCH('S0a Baseline'!$A14,Työkonekanta!$A$3:$A$24,0),1),"undefined")</f>
        <v>pom</v>
      </c>
      <c r="E14" s="145">
        <f>IFERROR(INDEX(Työkonekanta!$G$3:$G$27,MATCH($A14,Työkonekanta!$A$3:$A$24,0),1)*INDEX(Työkonekanta!$H$3:$H$27,MATCH($A14,Työkonekanta!$A$3:$A$24,0),1)*$B14,0)</f>
        <v>10000</v>
      </c>
      <c r="F14" s="344">
        <f t="shared" si="0"/>
        <v>359000</v>
      </c>
      <c r="G14" s="344">
        <f t="shared" si="11"/>
        <v>359000</v>
      </c>
      <c r="H14" s="344">
        <f t="shared" si="12"/>
        <v>0</v>
      </c>
      <c r="I14" s="145">
        <f t="shared" si="1"/>
        <v>10000</v>
      </c>
      <c r="J14" s="145">
        <f t="shared" si="2"/>
        <v>0</v>
      </c>
      <c r="K14" s="142" t="str">
        <f t="shared" si="13"/>
        <v>l</v>
      </c>
      <c r="L14" s="146">
        <f>IFERROR(INDEX(Työkonekanta!$I$3:$I$27,MATCH('S0a Baseline'!$A14,Työkonekanta!$A$3:$A$24,0),1)*(I14+J14)*f_adblue,0)</f>
        <v>500</v>
      </c>
      <c r="M14" s="146">
        <f t="shared" si="3"/>
        <v>0</v>
      </c>
      <c r="N14" s="143" t="str">
        <f>IF(tuulisähkö_vuosi&lt;='S0a Baseline'!C14,"tuulisähkö",ostosähkö_nyt)</f>
        <v>jäännössähkö</v>
      </c>
      <c r="O14" s="147">
        <f>INDEX(Muuttujat!$J$5:$J$21,MATCH($C14,Muuttujat!$H$5:$H$21,0),1)</f>
        <v>69.24722222222222</v>
      </c>
      <c r="P14" s="342">
        <f>1-(INDEX(Muuttujat!$O$5:$O$21,MATCH($C14,Muuttujat!$N$5:$N$21,0),1))</f>
        <v>1</v>
      </c>
      <c r="Q14" s="342">
        <f>INDEX(Muuttujat!$O$5:$O$21,MATCH($C14,Muuttujat!$N$5:$N$21,0),1)</f>
        <v>0</v>
      </c>
      <c r="R14" s="148">
        <f>INDEX(Muuttujat!$P$5:$P$21,MATCH($C14,Muuttujat!$N$5:$N$21,0),1)</f>
        <v>0</v>
      </c>
      <c r="S14" s="149">
        <f t="shared" si="4"/>
        <v>6.785099999999999</v>
      </c>
      <c r="T14" s="150">
        <f t="shared" si="5"/>
        <v>0</v>
      </c>
      <c r="U14" s="150">
        <f t="shared" si="6"/>
        <v>0</v>
      </c>
      <c r="V14" s="150">
        <f>IFERROR(INDEX(Työkonekanta!$J$3:$J$27,MATCH($A14,Työkonekanta!$A$3:$A$24,0),1)*$B14*ef_li_ion_akku/1000/1000/INDEX(Työkonekanta!$K$3:$K$27,MATCH($A14,Työkonekanta!$A$3:$A$24,0)),0)</f>
        <v>0</v>
      </c>
      <c r="W14" s="149">
        <f t="shared" si="7"/>
        <v>26.497163285999999</v>
      </c>
      <c r="X14" s="150">
        <f t="shared" si="8"/>
        <v>0.31774565999999999</v>
      </c>
      <c r="Y14" s="151">
        <f t="shared" si="9"/>
        <v>0.13</v>
      </c>
      <c r="Z14" s="152">
        <f t="shared" si="14"/>
        <v>6.785099999999999</v>
      </c>
      <c r="AA14" s="153">
        <f t="shared" si="15"/>
        <v>26.627163285999998</v>
      </c>
      <c r="AB14" s="153">
        <f t="shared" si="16"/>
        <v>26.944908945999998</v>
      </c>
      <c r="AC14" s="154">
        <f t="shared" si="10"/>
        <v>33.412263285999998</v>
      </c>
      <c r="AD14" s="156">
        <f t="shared" si="17"/>
        <v>33.730008945999998</v>
      </c>
    </row>
    <row r="15" spans="1:30" s="144" customFormat="1">
      <c r="A15" s="139">
        <v>13</v>
      </c>
      <c r="B15" s="139">
        <f>IFERROR(INDEX(Työkonekanta!$F$3:$F$27,MATCH('S0a Baseline'!$A15,Työkonekanta!$A$3:$A$24,0),1),0)</f>
        <v>0</v>
      </c>
      <c r="C15" s="140">
        <v>2019</v>
      </c>
      <c r="D15" s="141" t="str">
        <f>IFERROR(INDEX(Työkonekanta!$D$3:$D$27,MATCH('S0a Baseline'!$A15,Työkonekanta!$A$3:$A$24,0),1),"undefined")</f>
        <v>pom</v>
      </c>
      <c r="E15" s="145">
        <f>IFERROR(INDEX(Työkonekanta!$G$3:$G$27,MATCH($A15,Työkonekanta!$A$3:$A$24,0),1)*INDEX(Työkonekanta!$H$3:$H$27,MATCH($A15,Työkonekanta!$A$3:$A$24,0),1)*$B15,0)</f>
        <v>0</v>
      </c>
      <c r="F15" s="344">
        <f t="shared" si="0"/>
        <v>0</v>
      </c>
      <c r="G15" s="344">
        <f t="shared" si="11"/>
        <v>0</v>
      </c>
      <c r="H15" s="344">
        <f t="shared" si="12"/>
        <v>0</v>
      </c>
      <c r="I15" s="145">
        <f t="shared" si="1"/>
        <v>0</v>
      </c>
      <c r="J15" s="145">
        <f t="shared" si="2"/>
        <v>0</v>
      </c>
      <c r="K15" s="142" t="str">
        <f t="shared" si="13"/>
        <v>l</v>
      </c>
      <c r="L15" s="146">
        <f>IFERROR(INDEX(Työkonekanta!$I$3:$I$27,MATCH('S0a Baseline'!$A15,Työkonekanta!$A$3:$A$24,0),1)*(I15+J15)*f_adblue,0)</f>
        <v>0</v>
      </c>
      <c r="M15" s="146">
        <f t="shared" si="3"/>
        <v>0</v>
      </c>
      <c r="N15" s="143" t="str">
        <f>IF(tuulisähkö_vuosi&lt;='S0a Baseline'!C15,"tuulisähkö",ostosähkö_nyt)</f>
        <v>jäännössähkö</v>
      </c>
      <c r="O15" s="147">
        <f>INDEX(Muuttujat!$J$5:$J$21,MATCH($C15,Muuttujat!$H$5:$H$21,0),1)</f>
        <v>69.24722222222222</v>
      </c>
      <c r="P15" s="342">
        <f>1-(INDEX(Muuttujat!$O$5:$O$21,MATCH($C15,Muuttujat!$N$5:$N$21,0),1))</f>
        <v>1</v>
      </c>
      <c r="Q15" s="342">
        <f>INDEX(Muuttujat!$O$5:$O$21,MATCH($C15,Muuttujat!$N$5:$N$21,0),1)</f>
        <v>0</v>
      </c>
      <c r="R15" s="148">
        <f>INDEX(Muuttujat!$P$5:$P$21,MATCH($C15,Muuttujat!$N$5:$N$21,0),1)</f>
        <v>0</v>
      </c>
      <c r="S15" s="149">
        <f t="shared" si="4"/>
        <v>0</v>
      </c>
      <c r="T15" s="150">
        <f t="shared" si="5"/>
        <v>0</v>
      </c>
      <c r="U15" s="150">
        <f t="shared" si="6"/>
        <v>0</v>
      </c>
      <c r="V15" s="150">
        <f>IFERROR(INDEX(Työkonekanta!$J$3:$J$27,MATCH($A15,Työkonekanta!$A$3:$A$24,0),1)*$B15*ef_li_ion_akku/1000/1000/INDEX(Työkonekanta!$K$3:$K$27,MATCH($A15,Työkonekanta!$A$3:$A$24,0)),0)</f>
        <v>0</v>
      </c>
      <c r="W15" s="149">
        <f t="shared" si="7"/>
        <v>0</v>
      </c>
      <c r="X15" s="150">
        <f t="shared" si="8"/>
        <v>0</v>
      </c>
      <c r="Y15" s="151">
        <f t="shared" si="9"/>
        <v>0</v>
      </c>
      <c r="Z15" s="152">
        <f t="shared" si="14"/>
        <v>0</v>
      </c>
      <c r="AA15" s="153">
        <f t="shared" si="15"/>
        <v>0</v>
      </c>
      <c r="AB15" s="153">
        <f t="shared" si="16"/>
        <v>0</v>
      </c>
      <c r="AC15" s="154">
        <f t="shared" si="10"/>
        <v>0</v>
      </c>
      <c r="AD15" s="156">
        <f t="shared" si="17"/>
        <v>0</v>
      </c>
    </row>
    <row r="16" spans="1:30" s="144" customFormat="1">
      <c r="A16" s="139">
        <v>14</v>
      </c>
      <c r="B16" s="139">
        <f>IFERROR(INDEX(Työkonekanta!$F$3:$F$27,MATCH('S0a Baseline'!$A16,Työkonekanta!$A$3:$A$24,0),1),0)</f>
        <v>0</v>
      </c>
      <c r="C16" s="140">
        <v>2019</v>
      </c>
      <c r="D16" s="141" t="str">
        <f>IFERROR(INDEX(Työkonekanta!$D$3:$D$27,MATCH('S0a Baseline'!$A16,Työkonekanta!$A$3:$A$24,0),1),"undefined")</f>
        <v>pom</v>
      </c>
      <c r="E16" s="145">
        <f>IFERROR(INDEX(Työkonekanta!$G$3:$G$27,MATCH($A16,Työkonekanta!$A$3:$A$24,0),1)*INDEX(Työkonekanta!$H$3:$H$27,MATCH($A16,Työkonekanta!$A$3:$A$24,0),1)*$B16,0)</f>
        <v>0</v>
      </c>
      <c r="F16" s="344">
        <f t="shared" si="0"/>
        <v>0</v>
      </c>
      <c r="G16" s="344">
        <f t="shared" si="11"/>
        <v>0</v>
      </c>
      <c r="H16" s="344">
        <f t="shared" si="12"/>
        <v>0</v>
      </c>
      <c r="I16" s="145">
        <f t="shared" si="1"/>
        <v>0</v>
      </c>
      <c r="J16" s="145">
        <f t="shared" si="2"/>
        <v>0</v>
      </c>
      <c r="K16" s="142" t="str">
        <f t="shared" si="13"/>
        <v>l</v>
      </c>
      <c r="L16" s="146">
        <f>IFERROR(INDEX(Työkonekanta!$I$3:$I$27,MATCH('S0a Baseline'!$A16,Työkonekanta!$A$3:$A$24,0),1)*(I16+J16)*f_adblue,0)</f>
        <v>0</v>
      </c>
      <c r="M16" s="146">
        <f t="shared" si="3"/>
        <v>0</v>
      </c>
      <c r="N16" s="143" t="str">
        <f>IF(tuulisähkö_vuosi&lt;='S0a Baseline'!C16,"tuulisähkö",ostosähkö_nyt)</f>
        <v>jäännössähkö</v>
      </c>
      <c r="O16" s="147">
        <f>INDEX(Muuttujat!$J$5:$J$21,MATCH($C16,Muuttujat!$H$5:$H$21,0),1)</f>
        <v>69.24722222222222</v>
      </c>
      <c r="P16" s="342">
        <f>1-(INDEX(Muuttujat!$O$5:$O$21,MATCH($C16,Muuttujat!$N$5:$N$21,0),1))</f>
        <v>1</v>
      </c>
      <c r="Q16" s="342">
        <f>INDEX(Muuttujat!$O$5:$O$21,MATCH($C16,Muuttujat!$N$5:$N$21,0),1)</f>
        <v>0</v>
      </c>
      <c r="R16" s="148">
        <f>INDEX(Muuttujat!$P$5:$P$21,MATCH($C16,Muuttujat!$N$5:$N$21,0),1)</f>
        <v>0</v>
      </c>
      <c r="S16" s="149">
        <f t="shared" si="4"/>
        <v>0</v>
      </c>
      <c r="T16" s="150">
        <f t="shared" si="5"/>
        <v>0</v>
      </c>
      <c r="U16" s="150">
        <f t="shared" si="6"/>
        <v>0</v>
      </c>
      <c r="V16" s="150">
        <f>IFERROR(INDEX(Työkonekanta!$J$3:$J$27,MATCH($A16,Työkonekanta!$A$3:$A$24,0),1)*$B16*ef_li_ion_akku/1000/1000/INDEX(Työkonekanta!$K$3:$K$27,MATCH($A16,Työkonekanta!$A$3:$A$24,0)),0)</f>
        <v>0</v>
      </c>
      <c r="W16" s="149">
        <f t="shared" si="7"/>
        <v>0</v>
      </c>
      <c r="X16" s="150">
        <f t="shared" si="8"/>
        <v>0</v>
      </c>
      <c r="Y16" s="151">
        <f t="shared" si="9"/>
        <v>0</v>
      </c>
      <c r="Z16" s="152">
        <f t="shared" si="14"/>
        <v>0</v>
      </c>
      <c r="AA16" s="153">
        <f t="shared" si="15"/>
        <v>0</v>
      </c>
      <c r="AB16" s="153">
        <f t="shared" si="16"/>
        <v>0</v>
      </c>
      <c r="AC16" s="154">
        <f t="shared" si="10"/>
        <v>0</v>
      </c>
      <c r="AD16" s="156">
        <f t="shared" si="17"/>
        <v>0</v>
      </c>
    </row>
    <row r="17" spans="1:30" s="144" customFormat="1">
      <c r="A17" s="139">
        <v>15</v>
      </c>
      <c r="B17" s="139">
        <f>IFERROR(INDEX(Työkonekanta!$F$3:$F$27,MATCH('S0a Baseline'!$A17,Työkonekanta!$A$3:$A$24,0),1),0)</f>
        <v>0</v>
      </c>
      <c r="C17" s="140">
        <v>2019</v>
      </c>
      <c r="D17" s="141" t="str">
        <f>IFERROR(INDEX(Työkonekanta!$D$3:$D$27,MATCH('S0a Baseline'!$A17,Työkonekanta!$A$3:$A$24,0),1),"undefined")</f>
        <v>sähkö</v>
      </c>
      <c r="E17" s="145">
        <f>IFERROR(INDEX(Työkonekanta!$G$3:$G$27,MATCH($A17,Työkonekanta!$A$3:$A$24,0),1)*INDEX(Työkonekanta!$H$3:$H$27,MATCH($A17,Työkonekanta!$A$3:$A$24,0),1)*$B17,0)</f>
        <v>0</v>
      </c>
      <c r="F17" s="344">
        <f t="shared" si="0"/>
        <v>0</v>
      </c>
      <c r="G17" s="344">
        <f t="shared" si="11"/>
        <v>0</v>
      </c>
      <c r="H17" s="344">
        <f t="shared" si="12"/>
        <v>0</v>
      </c>
      <c r="I17" s="145">
        <f t="shared" si="1"/>
        <v>0</v>
      </c>
      <c r="J17" s="145">
        <f t="shared" si="2"/>
        <v>0</v>
      </c>
      <c r="K17" s="142" t="str">
        <f t="shared" si="13"/>
        <v>kWh</v>
      </c>
      <c r="L17" s="146">
        <f>IFERROR(INDEX(Työkonekanta!$I$3:$I$27,MATCH('S0a Baseline'!$A17,Työkonekanta!$A$3:$A$24,0),1)*(I17+J17)*f_adblue,0)</f>
        <v>0</v>
      </c>
      <c r="M17" s="146">
        <f t="shared" si="3"/>
        <v>0</v>
      </c>
      <c r="N17" s="143" t="str">
        <f>IF(tuulisähkö_vuosi&lt;='S0a Baseline'!C17,"tuulisähkö",ostosähkö_nyt)</f>
        <v>jäännössähkö</v>
      </c>
      <c r="O17" s="147">
        <f>INDEX(Muuttujat!$J$5:$J$21,MATCH($C17,Muuttujat!$H$5:$H$21,0),1)</f>
        <v>69.24722222222222</v>
      </c>
      <c r="P17" s="342">
        <f>1-(INDEX(Muuttujat!$O$5:$O$21,MATCH($C17,Muuttujat!$N$5:$N$21,0),1))</f>
        <v>1</v>
      </c>
      <c r="Q17" s="342">
        <f>INDEX(Muuttujat!$O$5:$O$21,MATCH($C17,Muuttujat!$N$5:$N$21,0),1)</f>
        <v>0</v>
      </c>
      <c r="R17" s="148">
        <f>INDEX(Muuttujat!$P$5:$P$21,MATCH($C17,Muuttujat!$N$5:$N$21,0),1)</f>
        <v>0</v>
      </c>
      <c r="S17" s="149">
        <f t="shared" si="4"/>
        <v>0</v>
      </c>
      <c r="T17" s="150">
        <f t="shared" si="5"/>
        <v>0</v>
      </c>
      <c r="U17" s="150">
        <f t="shared" si="6"/>
        <v>0</v>
      </c>
      <c r="V17" s="150">
        <f>IFERROR(INDEX(Työkonekanta!$J$3:$J$27,MATCH($A17,Työkonekanta!$A$3:$A$24,0),1)*$B17*ef_li_ion_akku/1000/1000/INDEX(Työkonekanta!$K$3:$K$27,MATCH($A17,Työkonekanta!$A$3:$A$24,0)),0)</f>
        <v>0</v>
      </c>
      <c r="W17" s="149">
        <f t="shared" si="7"/>
        <v>0</v>
      </c>
      <c r="X17" s="150">
        <f t="shared" si="8"/>
        <v>0</v>
      </c>
      <c r="Y17" s="151">
        <f t="shared" si="9"/>
        <v>0</v>
      </c>
      <c r="Z17" s="152">
        <f t="shared" si="14"/>
        <v>0</v>
      </c>
      <c r="AA17" s="153">
        <f t="shared" si="15"/>
        <v>0</v>
      </c>
      <c r="AB17" s="153">
        <f t="shared" si="16"/>
        <v>0</v>
      </c>
      <c r="AC17" s="154">
        <f t="shared" si="10"/>
        <v>0</v>
      </c>
      <c r="AD17" s="156">
        <f t="shared" si="17"/>
        <v>0</v>
      </c>
    </row>
    <row r="18" spans="1:30" s="144" customFormat="1">
      <c r="A18" s="139">
        <v>16</v>
      </c>
      <c r="B18" s="139">
        <f>IFERROR(INDEX(Työkonekanta!$F$3:$F$27,MATCH('S0a Baseline'!$A18,Työkonekanta!$A$3:$A$24,0),1),0)</f>
        <v>0</v>
      </c>
      <c r="C18" s="140">
        <v>2019</v>
      </c>
      <c r="D18" s="141" t="str">
        <f>IFERROR(INDEX(Työkonekanta!$D$3:$D$27,MATCH('S0a Baseline'!$A18,Työkonekanta!$A$3:$A$24,0),1),"undefined")</f>
        <v>sähkö</v>
      </c>
      <c r="E18" s="145">
        <f>IFERROR(INDEX(Työkonekanta!$G$3:$G$27,MATCH($A18,Työkonekanta!$A$3:$A$24,0),1)*INDEX(Työkonekanta!$H$3:$H$27,MATCH($A18,Työkonekanta!$A$3:$A$24,0),1)*$B18,0)</f>
        <v>0</v>
      </c>
      <c r="F18" s="344">
        <f t="shared" si="0"/>
        <v>0</v>
      </c>
      <c r="G18" s="344">
        <f t="shared" si="11"/>
        <v>0</v>
      </c>
      <c r="H18" s="344">
        <f t="shared" si="12"/>
        <v>0</v>
      </c>
      <c r="I18" s="145">
        <f t="shared" si="1"/>
        <v>0</v>
      </c>
      <c r="J18" s="145">
        <f t="shared" si="2"/>
        <v>0</v>
      </c>
      <c r="K18" s="142" t="str">
        <f t="shared" si="13"/>
        <v>kWh</v>
      </c>
      <c r="L18" s="146">
        <f>IFERROR(INDEX(Työkonekanta!$I$3:$I$27,MATCH('S0a Baseline'!$A18,Työkonekanta!$A$3:$A$24,0),1)*(I18+J18)*f_adblue,0)</f>
        <v>0</v>
      </c>
      <c r="M18" s="146">
        <f t="shared" si="3"/>
        <v>0</v>
      </c>
      <c r="N18" s="143" t="str">
        <f>IF(tuulisähkö_vuosi&lt;='S0a Baseline'!C18,"tuulisähkö",ostosähkö_nyt)</f>
        <v>jäännössähkö</v>
      </c>
      <c r="O18" s="147">
        <f>INDEX(Muuttujat!$J$5:$J$21,MATCH($C18,Muuttujat!$H$5:$H$21,0),1)</f>
        <v>69.24722222222222</v>
      </c>
      <c r="P18" s="342">
        <f>1-(INDEX(Muuttujat!$O$5:$O$21,MATCH($C18,Muuttujat!$N$5:$N$21,0),1))</f>
        <v>1</v>
      </c>
      <c r="Q18" s="342">
        <f>INDEX(Muuttujat!$O$5:$O$21,MATCH($C18,Muuttujat!$N$5:$N$21,0),1)</f>
        <v>0</v>
      </c>
      <c r="R18" s="148">
        <f>INDEX(Muuttujat!$P$5:$P$21,MATCH($C18,Muuttujat!$N$5:$N$21,0),1)</f>
        <v>0</v>
      </c>
      <c r="S18" s="149">
        <f t="shared" si="4"/>
        <v>0</v>
      </c>
      <c r="T18" s="150">
        <f t="shared" si="5"/>
        <v>0</v>
      </c>
      <c r="U18" s="150">
        <f t="shared" si="6"/>
        <v>0</v>
      </c>
      <c r="V18" s="150">
        <f>IFERROR(INDEX(Työkonekanta!$J$3:$J$27,MATCH($A18,Työkonekanta!$A$3:$A$24,0),1)*$B18*ef_li_ion_akku/1000/1000/INDEX(Työkonekanta!$K$3:$K$27,MATCH($A18,Työkonekanta!$A$3:$A$24,0)),0)</f>
        <v>0</v>
      </c>
      <c r="W18" s="149">
        <f t="shared" si="7"/>
        <v>0</v>
      </c>
      <c r="X18" s="150">
        <f t="shared" si="8"/>
        <v>0</v>
      </c>
      <c r="Y18" s="151">
        <f t="shared" si="9"/>
        <v>0</v>
      </c>
      <c r="Z18" s="152">
        <f t="shared" si="14"/>
        <v>0</v>
      </c>
      <c r="AA18" s="153">
        <f t="shared" si="15"/>
        <v>0</v>
      </c>
      <c r="AB18" s="153">
        <f t="shared" si="16"/>
        <v>0</v>
      </c>
      <c r="AC18" s="154">
        <f t="shared" si="10"/>
        <v>0</v>
      </c>
      <c r="AD18" s="156">
        <f t="shared" si="17"/>
        <v>0</v>
      </c>
    </row>
    <row r="19" spans="1:30" s="144" customFormat="1">
      <c r="A19" s="139">
        <v>17</v>
      </c>
      <c r="B19" s="139">
        <f>IFERROR(INDEX(Työkonekanta!$F$3:$F$27,MATCH('S0a Baseline'!$A19,Työkonekanta!$A$3:$A$24,0),1),0)</f>
        <v>1</v>
      </c>
      <c r="C19" s="140">
        <v>2019</v>
      </c>
      <c r="D19" s="141" t="str">
        <f>IFERROR(INDEX(Työkonekanta!$D$3:$D$27,MATCH('S0a Baseline'!$A19,Työkonekanta!$A$3:$A$24,0),1),"undefined")</f>
        <v>pom</v>
      </c>
      <c r="E19" s="145">
        <f>IFERROR(INDEX(Työkonekanta!$G$3:$G$27,MATCH($A19,Työkonekanta!$A$3:$A$24,0),1)*INDEX(Työkonekanta!$H$3:$H$27,MATCH($A19,Työkonekanta!$A$3:$A$24,0),1)*$B19,0)</f>
        <v>10000</v>
      </c>
      <c r="F19" s="344">
        <f t="shared" si="0"/>
        <v>359000</v>
      </c>
      <c r="G19" s="344">
        <f t="shared" si="11"/>
        <v>359000</v>
      </c>
      <c r="H19" s="344">
        <f t="shared" si="12"/>
        <v>0</v>
      </c>
      <c r="I19" s="145">
        <f t="shared" si="1"/>
        <v>10000</v>
      </c>
      <c r="J19" s="145">
        <f t="shared" si="2"/>
        <v>0</v>
      </c>
      <c r="K19" s="142" t="str">
        <f t="shared" si="13"/>
        <v>l</v>
      </c>
      <c r="L19" s="146">
        <f>IFERROR(INDEX(Työkonekanta!$I$3:$I$27,MATCH('S0a Baseline'!$A19,Työkonekanta!$A$3:$A$24,0),1)*(I19+J19)*f_adblue,0)</f>
        <v>500</v>
      </c>
      <c r="M19" s="146">
        <f t="shared" si="3"/>
        <v>0</v>
      </c>
      <c r="N19" s="143" t="str">
        <f>IF(tuulisähkö_vuosi&lt;='S0a Baseline'!C19,"tuulisähkö",ostosähkö_nyt)</f>
        <v>jäännössähkö</v>
      </c>
      <c r="O19" s="147">
        <f>INDEX(Muuttujat!$J$5:$J$21,MATCH($C19,Muuttujat!$H$5:$H$21,0),1)</f>
        <v>69.24722222222222</v>
      </c>
      <c r="P19" s="342">
        <f>1-(INDEX(Muuttujat!$O$5:$O$21,MATCH($C19,Muuttujat!$N$5:$N$21,0),1))</f>
        <v>1</v>
      </c>
      <c r="Q19" s="342">
        <f>INDEX(Muuttujat!$O$5:$O$21,MATCH($C19,Muuttujat!$N$5:$N$21,0),1)</f>
        <v>0</v>
      </c>
      <c r="R19" s="148">
        <f>INDEX(Muuttujat!$P$5:$P$21,MATCH($C19,Muuttujat!$N$5:$N$21,0),1)</f>
        <v>0</v>
      </c>
      <c r="S19" s="149">
        <f t="shared" si="4"/>
        <v>6.785099999999999</v>
      </c>
      <c r="T19" s="150">
        <f t="shared" si="5"/>
        <v>0</v>
      </c>
      <c r="U19" s="150">
        <f t="shared" si="6"/>
        <v>0</v>
      </c>
      <c r="V19" s="150">
        <f>IFERROR(INDEX(Työkonekanta!$J$3:$J$27,MATCH($A19,Työkonekanta!$A$3:$A$24,0),1)*$B19*ef_li_ion_akku/1000/1000/INDEX(Työkonekanta!$K$3:$K$27,MATCH($A19,Työkonekanta!$A$3:$A$24,0)),0)</f>
        <v>0</v>
      </c>
      <c r="W19" s="149">
        <f t="shared" si="7"/>
        <v>26.497163285999999</v>
      </c>
      <c r="X19" s="150">
        <f t="shared" si="8"/>
        <v>0.31774565999999999</v>
      </c>
      <c r="Y19" s="151">
        <f t="shared" si="9"/>
        <v>0.13</v>
      </c>
      <c r="Z19" s="152">
        <f t="shared" si="14"/>
        <v>6.785099999999999</v>
      </c>
      <c r="AA19" s="153">
        <f t="shared" si="15"/>
        <v>26.627163285999998</v>
      </c>
      <c r="AB19" s="153">
        <f t="shared" si="16"/>
        <v>26.944908945999998</v>
      </c>
      <c r="AC19" s="154">
        <f t="shared" si="10"/>
        <v>33.412263285999998</v>
      </c>
      <c r="AD19" s="156">
        <f t="shared" si="17"/>
        <v>33.730008945999998</v>
      </c>
    </row>
    <row r="20" spans="1:30" s="144" customFormat="1">
      <c r="A20" s="139">
        <v>18</v>
      </c>
      <c r="B20" s="139">
        <f>IFERROR(INDEX(Työkonekanta!$F$3:$F$27,MATCH('S0a Baseline'!$A20,Työkonekanta!$A$3:$A$24,0),1),0)</f>
        <v>1</v>
      </c>
      <c r="C20" s="140">
        <v>2019</v>
      </c>
      <c r="D20" s="141" t="str">
        <f>IFERROR(INDEX(Työkonekanta!$D$3:$D$27,MATCH('S0a Baseline'!$A20,Työkonekanta!$A$3:$A$24,0),1),"undefined")</f>
        <v>pom</v>
      </c>
      <c r="E20" s="145">
        <f>IFERROR(INDEX(Työkonekanta!$G$3:$G$27,MATCH($A20,Työkonekanta!$A$3:$A$24,0),1)*INDEX(Työkonekanta!$H$3:$H$27,MATCH($A20,Työkonekanta!$A$3:$A$24,0),1)*$B20,0)</f>
        <v>10000</v>
      </c>
      <c r="F20" s="344">
        <f t="shared" si="0"/>
        <v>359000</v>
      </c>
      <c r="G20" s="344">
        <f t="shared" si="11"/>
        <v>359000</v>
      </c>
      <c r="H20" s="344">
        <f t="shared" si="12"/>
        <v>0</v>
      </c>
      <c r="I20" s="145">
        <f t="shared" si="1"/>
        <v>10000</v>
      </c>
      <c r="J20" s="145">
        <f t="shared" si="2"/>
        <v>0</v>
      </c>
      <c r="K20" s="142" t="str">
        <f t="shared" si="13"/>
        <v>l</v>
      </c>
      <c r="L20" s="146">
        <f>IFERROR(INDEX(Työkonekanta!$I$3:$I$27,MATCH('S0a Baseline'!$A20,Työkonekanta!$A$3:$A$24,0),1)*(I20+J20)*f_adblue,0)</f>
        <v>400</v>
      </c>
      <c r="M20" s="146">
        <f t="shared" si="3"/>
        <v>0</v>
      </c>
      <c r="N20" s="143" t="str">
        <f>IF(tuulisähkö_vuosi&lt;='S0a Baseline'!C20,"tuulisähkö",ostosähkö_nyt)</f>
        <v>jäännössähkö</v>
      </c>
      <c r="O20" s="147">
        <f>INDEX(Muuttujat!$J$5:$J$21,MATCH($C20,Muuttujat!$H$5:$H$21,0),1)</f>
        <v>69.24722222222222</v>
      </c>
      <c r="P20" s="342">
        <f>1-(INDEX(Muuttujat!$O$5:$O$21,MATCH($C20,Muuttujat!$N$5:$N$21,0),1))</f>
        <v>1</v>
      </c>
      <c r="Q20" s="342">
        <f>INDEX(Muuttujat!$O$5:$O$21,MATCH($C20,Muuttujat!$N$5:$N$21,0),1)</f>
        <v>0</v>
      </c>
      <c r="R20" s="148">
        <f>INDEX(Muuttujat!$P$5:$P$21,MATCH($C20,Muuttujat!$N$5:$N$21,0),1)</f>
        <v>0</v>
      </c>
      <c r="S20" s="149">
        <f t="shared" si="4"/>
        <v>6.785099999999999</v>
      </c>
      <c r="T20" s="150">
        <f t="shared" si="5"/>
        <v>0</v>
      </c>
      <c r="U20" s="150">
        <f t="shared" si="6"/>
        <v>0</v>
      </c>
      <c r="V20" s="150">
        <f>IFERROR(INDEX(Työkonekanta!$J$3:$J$27,MATCH($A20,Työkonekanta!$A$3:$A$24,0),1)*$B20*ef_li_ion_akku/1000/1000/INDEX(Työkonekanta!$K$3:$K$27,MATCH($A20,Työkonekanta!$A$3:$A$24,0)),0)</f>
        <v>0</v>
      </c>
      <c r="W20" s="149">
        <f t="shared" si="7"/>
        <v>26.497163285999999</v>
      </c>
      <c r="X20" s="150">
        <f t="shared" si="8"/>
        <v>0.31774565999999999</v>
      </c>
      <c r="Y20" s="151">
        <f t="shared" si="9"/>
        <v>0.104</v>
      </c>
      <c r="Z20" s="152">
        <f t="shared" si="14"/>
        <v>6.785099999999999</v>
      </c>
      <c r="AA20" s="153">
        <f t="shared" si="15"/>
        <v>26.601163285999998</v>
      </c>
      <c r="AB20" s="153">
        <f t="shared" si="16"/>
        <v>26.918908945999998</v>
      </c>
      <c r="AC20" s="154">
        <f t="shared" si="10"/>
        <v>33.386263285999995</v>
      </c>
      <c r="AD20" s="156">
        <f t="shared" si="17"/>
        <v>33.704008945999995</v>
      </c>
    </row>
    <row r="21" spans="1:30" s="144" customFormat="1">
      <c r="A21" s="139">
        <v>19</v>
      </c>
      <c r="B21" s="139">
        <f>IFERROR(INDEX(Työkonekanta!$F$3:$F$27,MATCH('S0a Baseline'!$A21,Työkonekanta!$A$3:$A$24,0),1),0)</f>
        <v>0</v>
      </c>
      <c r="C21" s="140">
        <v>2019</v>
      </c>
      <c r="D21" s="141" t="str">
        <f>IFERROR(INDEX(Työkonekanta!$D$3:$D$27,MATCH('S0a Baseline'!$A21,Työkonekanta!$A$3:$A$24,0),1),"undefined")</f>
        <v>pom</v>
      </c>
      <c r="E21" s="145">
        <f>IFERROR(INDEX(Työkonekanta!$G$3:$G$27,MATCH($A21,Työkonekanta!$A$3:$A$24,0),1)*INDEX(Työkonekanta!$H$3:$H$27,MATCH($A21,Työkonekanta!$A$3:$A$24,0),1)*$B21,0)</f>
        <v>0</v>
      </c>
      <c r="F21" s="344">
        <f t="shared" si="0"/>
        <v>0</v>
      </c>
      <c r="G21" s="344">
        <f t="shared" si="11"/>
        <v>0</v>
      </c>
      <c r="H21" s="344">
        <f t="shared" si="12"/>
        <v>0</v>
      </c>
      <c r="I21" s="145">
        <f t="shared" si="1"/>
        <v>0</v>
      </c>
      <c r="J21" s="145">
        <f t="shared" si="2"/>
        <v>0</v>
      </c>
      <c r="K21" s="142" t="str">
        <f t="shared" si="13"/>
        <v>l</v>
      </c>
      <c r="L21" s="146">
        <f>IFERROR(INDEX(Työkonekanta!$I$3:$I$27,MATCH('S0a Baseline'!$A21,Työkonekanta!$A$3:$A$24,0),1)*(I21+J21)*f_adblue,0)</f>
        <v>0</v>
      </c>
      <c r="M21" s="146">
        <f t="shared" si="3"/>
        <v>0</v>
      </c>
      <c r="N21" s="143" t="str">
        <f>IF(tuulisähkö_vuosi&lt;='S0a Baseline'!C21,"tuulisähkö",ostosähkö_nyt)</f>
        <v>jäännössähkö</v>
      </c>
      <c r="O21" s="147">
        <f>INDEX(Muuttujat!$J$5:$J$21,MATCH($C21,Muuttujat!$H$5:$H$21,0),1)</f>
        <v>69.24722222222222</v>
      </c>
      <c r="P21" s="342">
        <f>1-(INDEX(Muuttujat!$O$5:$O$21,MATCH($C21,Muuttujat!$N$5:$N$21,0),1))</f>
        <v>1</v>
      </c>
      <c r="Q21" s="342">
        <f>INDEX(Muuttujat!$O$5:$O$21,MATCH($C21,Muuttujat!$N$5:$N$21,0),1)</f>
        <v>0</v>
      </c>
      <c r="R21" s="148">
        <f>INDEX(Muuttujat!$P$5:$P$21,MATCH($C21,Muuttujat!$N$5:$N$21,0),1)</f>
        <v>0</v>
      </c>
      <c r="S21" s="149">
        <f t="shared" si="4"/>
        <v>0</v>
      </c>
      <c r="T21" s="150">
        <f t="shared" si="5"/>
        <v>0</v>
      </c>
      <c r="U21" s="150">
        <f t="shared" si="6"/>
        <v>0</v>
      </c>
      <c r="V21" s="150">
        <f>IFERROR(INDEX(Työkonekanta!$J$3:$J$27,MATCH($A21,Työkonekanta!$A$3:$A$24,0),1)*$B21*ef_li_ion_akku/1000/1000/INDEX(Työkonekanta!$K$3:$K$27,MATCH($A21,Työkonekanta!$A$3:$A$24,0)),0)</f>
        <v>0</v>
      </c>
      <c r="W21" s="149">
        <f t="shared" si="7"/>
        <v>0</v>
      </c>
      <c r="X21" s="150">
        <f t="shared" si="8"/>
        <v>0</v>
      </c>
      <c r="Y21" s="151">
        <f t="shared" si="9"/>
        <v>0</v>
      </c>
      <c r="Z21" s="152">
        <f t="shared" si="14"/>
        <v>0</v>
      </c>
      <c r="AA21" s="153">
        <f t="shared" si="15"/>
        <v>0</v>
      </c>
      <c r="AB21" s="153">
        <f t="shared" si="16"/>
        <v>0</v>
      </c>
      <c r="AC21" s="154">
        <f t="shared" si="10"/>
        <v>0</v>
      </c>
      <c r="AD21" s="156">
        <f t="shared" si="17"/>
        <v>0</v>
      </c>
    </row>
    <row r="22" spans="1:30" s="144" customFormat="1">
      <c r="A22" s="139">
        <v>20</v>
      </c>
      <c r="B22" s="139">
        <f>IFERROR(INDEX(Työkonekanta!$F$3:$F$27,MATCH('S0a Baseline'!$A22,Työkonekanta!$A$3:$A$24,0),1),0)</f>
        <v>0</v>
      </c>
      <c r="C22" s="140">
        <v>2019</v>
      </c>
      <c r="D22" s="141" t="str">
        <f>IFERROR(INDEX(Työkonekanta!$D$3:$D$27,MATCH('S0a Baseline'!$A22,Työkonekanta!$A$3:$A$24,0),1),"undefined")</f>
        <v>pom</v>
      </c>
      <c r="E22" s="145">
        <f>IFERROR(INDEX(Työkonekanta!$G$3:$G$27,MATCH($A22,Työkonekanta!$A$3:$A$24,0),1)*INDEX(Työkonekanta!$H$3:$H$27,MATCH($A22,Työkonekanta!$A$3:$A$24,0),1)*$B22,0)</f>
        <v>0</v>
      </c>
      <c r="F22" s="344">
        <f t="shared" si="0"/>
        <v>0</v>
      </c>
      <c r="G22" s="344">
        <f t="shared" si="11"/>
        <v>0</v>
      </c>
      <c r="H22" s="344">
        <f t="shared" si="12"/>
        <v>0</v>
      </c>
      <c r="I22" s="145">
        <f t="shared" si="1"/>
        <v>0</v>
      </c>
      <c r="J22" s="145">
        <f t="shared" si="2"/>
        <v>0</v>
      </c>
      <c r="K22" s="142" t="str">
        <f t="shared" si="13"/>
        <v>l</v>
      </c>
      <c r="L22" s="146">
        <f>IFERROR(INDEX(Työkonekanta!$I$3:$I$27,MATCH('S0a Baseline'!$A22,Työkonekanta!$A$3:$A$24,0),1)*(I22+J22)*f_adblue,0)</f>
        <v>0</v>
      </c>
      <c r="M22" s="146">
        <f t="shared" si="3"/>
        <v>0</v>
      </c>
      <c r="N22" s="143" t="str">
        <f>IF(tuulisähkö_vuosi&lt;='S0a Baseline'!C22,"tuulisähkö",ostosähkö_nyt)</f>
        <v>jäännössähkö</v>
      </c>
      <c r="O22" s="147">
        <f>INDEX(Muuttujat!$J$5:$J$21,MATCH($C22,Muuttujat!$H$5:$H$21,0),1)</f>
        <v>69.24722222222222</v>
      </c>
      <c r="P22" s="342">
        <f>1-(INDEX(Muuttujat!$O$5:$O$21,MATCH($C22,Muuttujat!$N$5:$N$21,0),1))</f>
        <v>1</v>
      </c>
      <c r="Q22" s="342">
        <f>INDEX(Muuttujat!$O$5:$O$21,MATCH($C22,Muuttujat!$N$5:$N$21,0),1)</f>
        <v>0</v>
      </c>
      <c r="R22" s="148">
        <f>INDEX(Muuttujat!$P$5:$P$21,MATCH($C22,Muuttujat!$N$5:$N$21,0),1)</f>
        <v>0</v>
      </c>
      <c r="S22" s="149">
        <f t="shared" si="4"/>
        <v>0</v>
      </c>
      <c r="T22" s="150">
        <f t="shared" si="5"/>
        <v>0</v>
      </c>
      <c r="U22" s="150">
        <f t="shared" si="6"/>
        <v>0</v>
      </c>
      <c r="V22" s="150">
        <f>IFERROR(INDEX(Työkonekanta!$J$3:$J$27,MATCH($A22,Työkonekanta!$A$3:$A$24,0),1)*$B22*ef_li_ion_akku/1000/1000/INDEX(Työkonekanta!$K$3:$K$27,MATCH($A22,Työkonekanta!$A$3:$A$24,0)),0)</f>
        <v>0</v>
      </c>
      <c r="W22" s="149">
        <f t="shared" si="7"/>
        <v>0</v>
      </c>
      <c r="X22" s="150">
        <f t="shared" si="8"/>
        <v>0</v>
      </c>
      <c r="Y22" s="151">
        <f t="shared" si="9"/>
        <v>0</v>
      </c>
      <c r="Z22" s="152">
        <f t="shared" si="14"/>
        <v>0</v>
      </c>
      <c r="AA22" s="153">
        <f t="shared" si="15"/>
        <v>0</v>
      </c>
      <c r="AB22" s="153">
        <f t="shared" si="16"/>
        <v>0</v>
      </c>
      <c r="AC22" s="154">
        <f t="shared" si="10"/>
        <v>0</v>
      </c>
      <c r="AD22" s="156">
        <f t="shared" si="17"/>
        <v>0</v>
      </c>
    </row>
    <row r="23" spans="1:30" s="144" customFormat="1">
      <c r="A23" s="139">
        <v>21</v>
      </c>
      <c r="B23" s="139">
        <f>IFERROR(INDEX(Työkonekanta!$F$3:$F$27,MATCH('S0a Baseline'!$A23,Työkonekanta!$A$3:$A$24,0),1),0)</f>
        <v>35</v>
      </c>
      <c r="C23" s="140">
        <v>2019</v>
      </c>
      <c r="D23" s="141" t="str">
        <f>IFERROR(INDEX(Työkonekanta!$D$3:$D$27,MATCH('S0a Baseline'!$A23,Työkonekanta!$A$3:$A$24,0),1),"undefined")</f>
        <v>sähkö</v>
      </c>
      <c r="E23" s="145">
        <f>IFERROR(INDEX(Työkonekanta!$G$3:$G$27,MATCH($A23,Työkonekanta!$A$3:$A$24,0),1)*INDEX(Työkonekanta!$H$3:$H$27,MATCH($A23,Työkonekanta!$A$3:$A$24,0),1)*$B23,0)</f>
        <v>407199.07407407404</v>
      </c>
      <c r="F23" s="344">
        <f t="shared" si="0"/>
        <v>0</v>
      </c>
      <c r="G23" s="344">
        <f t="shared" si="11"/>
        <v>0</v>
      </c>
      <c r="H23" s="344">
        <f t="shared" si="12"/>
        <v>0</v>
      </c>
      <c r="I23" s="145">
        <f t="shared" si="1"/>
        <v>0</v>
      </c>
      <c r="J23" s="145">
        <f t="shared" si="2"/>
        <v>0</v>
      </c>
      <c r="K23" s="142" t="str">
        <f t="shared" si="13"/>
        <v>kWh</v>
      </c>
      <c r="L23" s="146">
        <f>IFERROR(INDEX(Työkonekanta!$I$3:$I$27,MATCH('S0a Baseline'!$A23,Työkonekanta!$A$3:$A$24,0),1)*(I23+J23)*f_adblue,0)</f>
        <v>0</v>
      </c>
      <c r="M23" s="146">
        <f t="shared" si="3"/>
        <v>1465916.6666666665</v>
      </c>
      <c r="N23" s="143" t="str">
        <f>IF(tuulisähkö_vuosi&lt;='S0a Baseline'!C23,"tuulisähkö",ostosähkö_nyt)</f>
        <v>jäännössähkö</v>
      </c>
      <c r="O23" s="147">
        <f>INDEX(Muuttujat!$J$5:$J$21,MATCH($C23,Muuttujat!$H$5:$H$21,0),1)</f>
        <v>69.24722222222222</v>
      </c>
      <c r="P23" s="342">
        <f>1-(INDEX(Muuttujat!$O$5:$O$21,MATCH($C23,Muuttujat!$N$5:$N$21,0),1))</f>
        <v>1</v>
      </c>
      <c r="Q23" s="342">
        <f>INDEX(Muuttujat!$O$5:$O$21,MATCH($C23,Muuttujat!$N$5:$N$21,0),1)</f>
        <v>0</v>
      </c>
      <c r="R23" s="148">
        <f>INDEX(Muuttujat!$P$5:$P$21,MATCH($C23,Muuttujat!$N$5:$N$21,0),1)</f>
        <v>0</v>
      </c>
      <c r="S23" s="149">
        <f t="shared" si="4"/>
        <v>0</v>
      </c>
      <c r="T23" s="150">
        <f t="shared" si="5"/>
        <v>0</v>
      </c>
      <c r="U23" s="150">
        <f t="shared" si="6"/>
        <v>101.51065717592591</v>
      </c>
      <c r="V23" s="150">
        <f>IFERROR(INDEX(Työkonekanta!$J$3:$J$27,MATCH($A23,Työkonekanta!$A$3:$A$24,0),1)*$B23*ef_li_ion_akku/1000/1000/INDEX(Työkonekanta!$K$3:$K$27,MATCH($A23,Työkonekanta!$A$3:$A$24,0)),0)</f>
        <v>43.121723076923082</v>
      </c>
      <c r="W23" s="149">
        <f t="shared" si="7"/>
        <v>0</v>
      </c>
      <c r="X23" s="150">
        <f t="shared" si="8"/>
        <v>0</v>
      </c>
      <c r="Y23" s="151">
        <f t="shared" si="9"/>
        <v>0</v>
      </c>
      <c r="Z23" s="152">
        <f t="shared" si="14"/>
        <v>144.632380252849</v>
      </c>
      <c r="AA23" s="153">
        <f t="shared" si="15"/>
        <v>0</v>
      </c>
      <c r="AB23" s="153">
        <f t="shared" si="16"/>
        <v>0</v>
      </c>
      <c r="AC23" s="154">
        <f t="shared" si="10"/>
        <v>144.632380252849</v>
      </c>
      <c r="AD23" s="156">
        <f t="shared" si="17"/>
        <v>144.632380252849</v>
      </c>
    </row>
    <row r="24" spans="1:30" s="144" customFormat="1">
      <c r="A24" s="139">
        <v>22</v>
      </c>
      <c r="B24" s="139">
        <f>IFERROR(INDEX(Työkonekanta!$F$3:$F$27,MATCH('S0a Baseline'!$A24,Työkonekanta!$A$3:$A$24,0),1),0)</f>
        <v>0</v>
      </c>
      <c r="C24" s="140">
        <v>2019</v>
      </c>
      <c r="D24" s="141" t="str">
        <f>IFERROR(INDEX(Työkonekanta!$D$3:$D$27,MATCH('S0a Baseline'!$A24,Työkonekanta!$A$3:$A$24,0),1),"undefined")</f>
        <v>sähkö</v>
      </c>
      <c r="E24" s="145">
        <f>IFERROR(INDEX(Työkonekanta!$G$3:$G$27,MATCH($A24,Työkonekanta!$A$3:$A$24,0),1)*INDEX(Työkonekanta!$H$3:$H$27,MATCH($A24,Työkonekanta!$A$3:$A$24,0),1)*$B24,0)</f>
        <v>0</v>
      </c>
      <c r="F24" s="344">
        <f t="shared" si="0"/>
        <v>0</v>
      </c>
      <c r="G24" s="344">
        <f t="shared" si="11"/>
        <v>0</v>
      </c>
      <c r="H24" s="344">
        <f t="shared" si="12"/>
        <v>0</v>
      </c>
      <c r="I24" s="145">
        <f t="shared" si="1"/>
        <v>0</v>
      </c>
      <c r="J24" s="145">
        <f t="shared" si="2"/>
        <v>0</v>
      </c>
      <c r="K24" s="142" t="str">
        <f t="shared" si="13"/>
        <v>kWh</v>
      </c>
      <c r="L24" s="146">
        <f>IFERROR(INDEX(Työkonekanta!$I$3:$I$27,MATCH('S0a Baseline'!$A24,Työkonekanta!$A$3:$A$24,0),1)*(I24+J24)*f_adblue,0)</f>
        <v>0</v>
      </c>
      <c r="M24" s="146">
        <f t="shared" si="3"/>
        <v>0</v>
      </c>
      <c r="N24" s="143" t="str">
        <f>IF(tuulisähkö_vuosi&lt;='S0a Baseline'!C24,"tuulisähkö",ostosähkö_nyt)</f>
        <v>jäännössähkö</v>
      </c>
      <c r="O24" s="147">
        <f>INDEX(Muuttujat!$J$5:$J$21,MATCH($C24,Muuttujat!$H$5:$H$21,0),1)</f>
        <v>69.24722222222222</v>
      </c>
      <c r="P24" s="342">
        <f>1-(INDEX(Muuttujat!$O$5:$O$21,MATCH($C24,Muuttujat!$N$5:$N$21,0),1))</f>
        <v>1</v>
      </c>
      <c r="Q24" s="342">
        <f>INDEX(Muuttujat!$O$5:$O$21,MATCH($C24,Muuttujat!$N$5:$N$21,0),1)</f>
        <v>0</v>
      </c>
      <c r="R24" s="148">
        <f>INDEX(Muuttujat!$P$5:$P$21,MATCH($C24,Muuttujat!$N$5:$N$21,0),1)</f>
        <v>0</v>
      </c>
      <c r="S24" s="149">
        <f t="shared" si="4"/>
        <v>0</v>
      </c>
      <c r="T24" s="150">
        <f t="shared" si="5"/>
        <v>0</v>
      </c>
      <c r="U24" s="150">
        <f t="shared" si="6"/>
        <v>0</v>
      </c>
      <c r="V24" s="150">
        <f>IFERROR(INDEX(Työkonekanta!$J$3:$J$27,MATCH($A24,Työkonekanta!$A$3:$A$24,0),1)*$B24*ef_li_ion_akku/1000/1000/INDEX(Työkonekanta!$K$3:$K$27,MATCH($A24,Työkonekanta!$A$3:$A$24,0)),0)</f>
        <v>0</v>
      </c>
      <c r="W24" s="149">
        <f t="shared" si="7"/>
        <v>0</v>
      </c>
      <c r="X24" s="150">
        <f t="shared" si="8"/>
        <v>0</v>
      </c>
      <c r="Y24" s="151">
        <f t="shared" si="9"/>
        <v>0</v>
      </c>
      <c r="Z24" s="152">
        <f t="shared" si="14"/>
        <v>0</v>
      </c>
      <c r="AA24" s="153">
        <f t="shared" si="15"/>
        <v>0</v>
      </c>
      <c r="AB24" s="153">
        <f t="shared" si="16"/>
        <v>0</v>
      </c>
      <c r="AC24" s="154">
        <f t="shared" si="10"/>
        <v>0</v>
      </c>
      <c r="AD24" s="156">
        <f t="shared" si="17"/>
        <v>0</v>
      </c>
    </row>
    <row r="25" spans="1:30" s="144" customFormat="1">
      <c r="A25" s="139">
        <v>23</v>
      </c>
      <c r="B25" s="139">
        <f>IFERROR(INDEX(Työkonekanta!$F$3:$F$27,MATCH('S0a Baseline'!$A25,Työkonekanta!$A$3:$A$24,0),1),0)</f>
        <v>0</v>
      </c>
      <c r="C25" s="140">
        <v>2019</v>
      </c>
      <c r="D25" s="141" t="str">
        <f>IFERROR(INDEX(Työkonekanta!$D$3:$D$27,MATCH('S0a Baseline'!$A25,Työkonekanta!$A$3:$A$24,0),1),"undefined")</f>
        <v>undefined</v>
      </c>
      <c r="E25" s="145">
        <f>IFERROR(INDEX(Työkonekanta!$G$3:$G$27,MATCH($A25,Työkonekanta!$A$3:$A$24,0),1)*INDEX(Työkonekanta!$H$3:$H$27,MATCH($A25,Työkonekanta!$A$3:$A$24,0),1)*$B25,0)</f>
        <v>0</v>
      </c>
      <c r="F25" s="344">
        <f t="shared" si="0"/>
        <v>0</v>
      </c>
      <c r="G25" s="344">
        <f t="shared" si="11"/>
        <v>0</v>
      </c>
      <c r="H25" s="344">
        <f t="shared" si="12"/>
        <v>0</v>
      </c>
      <c r="I25" s="145">
        <f t="shared" si="1"/>
        <v>0</v>
      </c>
      <c r="J25" s="145">
        <f t="shared" si="2"/>
        <v>0</v>
      </c>
      <c r="K25" s="142" t="str">
        <f t="shared" si="13"/>
        <v>undefined</v>
      </c>
      <c r="L25" s="146">
        <f>IFERROR(INDEX(Työkonekanta!$I$3:$I$27,MATCH('S0a Baseline'!$A25,Työkonekanta!$A$3:$A$24,0),1)*(I25+J25)*f_adblue,0)</f>
        <v>0</v>
      </c>
      <c r="M25" s="146">
        <f t="shared" si="3"/>
        <v>0</v>
      </c>
      <c r="N25" s="143" t="str">
        <f>IF(tuulisähkö_vuosi&lt;='S0a Baseline'!C25,"tuulisähkö",ostosähkö_nyt)</f>
        <v>jäännössähkö</v>
      </c>
      <c r="O25" s="147">
        <f>INDEX(Muuttujat!$J$5:$J$21,MATCH($C25,Muuttujat!$H$5:$H$21,0),1)</f>
        <v>69.24722222222222</v>
      </c>
      <c r="P25" s="342">
        <f>1-(INDEX(Muuttujat!$O$5:$O$21,MATCH($C25,Muuttujat!$N$5:$N$21,0),1))</f>
        <v>1</v>
      </c>
      <c r="Q25" s="342">
        <f>INDEX(Muuttujat!$O$5:$O$21,MATCH($C25,Muuttujat!$N$5:$N$21,0),1)</f>
        <v>0</v>
      </c>
      <c r="R25" s="148">
        <f>INDEX(Muuttujat!$P$5:$P$21,MATCH($C25,Muuttujat!$N$5:$N$21,0),1)</f>
        <v>0</v>
      </c>
      <c r="S25" s="149">
        <f t="shared" si="4"/>
        <v>0</v>
      </c>
      <c r="T25" s="150">
        <f t="shared" si="5"/>
        <v>0</v>
      </c>
      <c r="U25" s="150">
        <f t="shared" si="6"/>
        <v>0</v>
      </c>
      <c r="V25" s="150">
        <f>IFERROR(INDEX(Työkonekanta!$J$3:$J$27,MATCH($A25,Työkonekanta!$A$3:$A$24,0),1)*$B25*ef_li_ion_akku/1000/1000/INDEX(Työkonekanta!$K$3:$K$27,MATCH($A25,Työkonekanta!$A$3:$A$24,0)),0)</f>
        <v>0</v>
      </c>
      <c r="W25" s="149">
        <f t="shared" si="7"/>
        <v>0</v>
      </c>
      <c r="X25" s="150">
        <f t="shared" si="8"/>
        <v>0</v>
      </c>
      <c r="Y25" s="151">
        <f t="shared" si="9"/>
        <v>0</v>
      </c>
      <c r="Z25" s="152">
        <f t="shared" si="14"/>
        <v>0</v>
      </c>
      <c r="AA25" s="153">
        <f t="shared" si="15"/>
        <v>0</v>
      </c>
      <c r="AB25" s="153">
        <f t="shared" si="16"/>
        <v>0</v>
      </c>
      <c r="AC25" s="154">
        <f t="shared" si="10"/>
        <v>0</v>
      </c>
      <c r="AD25" s="156">
        <f t="shared" si="17"/>
        <v>0</v>
      </c>
    </row>
    <row r="26" spans="1:30" s="144" customFormat="1">
      <c r="A26" s="139">
        <v>24</v>
      </c>
      <c r="B26" s="139">
        <f>IFERROR(INDEX(Työkonekanta!$F$3:$F$27,MATCH('S0a Baseline'!$A26,Työkonekanta!$A$3:$A$24,0),1),0)</f>
        <v>0</v>
      </c>
      <c r="C26" s="140">
        <v>2019</v>
      </c>
      <c r="D26" s="141" t="str">
        <f>IFERROR(INDEX(Työkonekanta!$D$3:$D$27,MATCH('S0a Baseline'!$A26,Työkonekanta!$A$3:$A$24,0),1),"undefined")</f>
        <v>undefined</v>
      </c>
      <c r="E26" s="145">
        <f>IFERROR(INDEX(Työkonekanta!$G$3:$G$27,MATCH($A26,Työkonekanta!$A$3:$A$24,0),1)*INDEX(Työkonekanta!$H$3:$H$27,MATCH($A26,Työkonekanta!$A$3:$A$24,0),1)*$B26,0)</f>
        <v>0</v>
      </c>
      <c r="F26" s="344">
        <f t="shared" si="0"/>
        <v>0</v>
      </c>
      <c r="G26" s="344">
        <f t="shared" si="11"/>
        <v>0</v>
      </c>
      <c r="H26" s="344">
        <f t="shared" si="12"/>
        <v>0</v>
      </c>
      <c r="I26" s="145">
        <f t="shared" si="1"/>
        <v>0</v>
      </c>
      <c r="J26" s="145">
        <f t="shared" si="2"/>
        <v>0</v>
      </c>
      <c r="K26" s="142" t="str">
        <f t="shared" si="13"/>
        <v>undefined</v>
      </c>
      <c r="L26" s="146">
        <f>IFERROR(INDEX(Työkonekanta!$I$3:$I$27,MATCH('S0a Baseline'!$A26,Työkonekanta!$A$3:$A$24,0),1)*(I26+J26)*f_adblue,0)</f>
        <v>0</v>
      </c>
      <c r="M26" s="146">
        <f t="shared" si="3"/>
        <v>0</v>
      </c>
      <c r="N26" s="143" t="str">
        <f>IF(tuulisähkö_vuosi&lt;='S0a Baseline'!C26,"tuulisähkö",ostosähkö_nyt)</f>
        <v>jäännössähkö</v>
      </c>
      <c r="O26" s="147">
        <f>INDEX(Muuttujat!$J$5:$J$21,MATCH($C26,Muuttujat!$H$5:$H$21,0),1)</f>
        <v>69.24722222222222</v>
      </c>
      <c r="P26" s="342">
        <f>1-(INDEX(Muuttujat!$O$5:$O$21,MATCH($C26,Muuttujat!$N$5:$N$21,0),1))</f>
        <v>1</v>
      </c>
      <c r="Q26" s="342">
        <f>INDEX(Muuttujat!$O$5:$O$21,MATCH($C26,Muuttujat!$N$5:$N$21,0),1)</f>
        <v>0</v>
      </c>
      <c r="R26" s="148">
        <f>INDEX(Muuttujat!$P$5:$P$21,MATCH($C26,Muuttujat!$N$5:$N$21,0),1)</f>
        <v>0</v>
      </c>
      <c r="S26" s="149">
        <f t="shared" si="4"/>
        <v>0</v>
      </c>
      <c r="T26" s="150">
        <f t="shared" si="5"/>
        <v>0</v>
      </c>
      <c r="U26" s="150">
        <f t="shared" si="6"/>
        <v>0</v>
      </c>
      <c r="V26" s="150">
        <f>IFERROR(INDEX(Työkonekanta!$J$3:$J$27,MATCH($A26,Työkonekanta!$A$3:$A$24,0),1)*$B26*ef_li_ion_akku/1000/1000/INDEX(Työkonekanta!$K$3:$K$27,MATCH($A26,Työkonekanta!$A$3:$A$24,0)),0)</f>
        <v>0</v>
      </c>
      <c r="W26" s="149">
        <f t="shared" si="7"/>
        <v>0</v>
      </c>
      <c r="X26" s="150">
        <f t="shared" si="8"/>
        <v>0</v>
      </c>
      <c r="Y26" s="151">
        <f t="shared" si="9"/>
        <v>0</v>
      </c>
      <c r="Z26" s="152">
        <f t="shared" si="14"/>
        <v>0</v>
      </c>
      <c r="AA26" s="153">
        <f t="shared" si="15"/>
        <v>0</v>
      </c>
      <c r="AB26" s="153">
        <f t="shared" si="16"/>
        <v>0</v>
      </c>
      <c r="AC26" s="154">
        <f t="shared" si="10"/>
        <v>0</v>
      </c>
      <c r="AD26" s="156">
        <f t="shared" si="17"/>
        <v>0</v>
      </c>
    </row>
    <row r="27" spans="1:30" s="144" customFormat="1">
      <c r="A27" s="139">
        <v>25</v>
      </c>
      <c r="B27" s="139">
        <f>IFERROR(INDEX(Työkonekanta!$F$3:$F$27,MATCH('S0a Baseline'!$A27,Työkonekanta!$A$3:$A$24,0),1),0)</f>
        <v>0</v>
      </c>
      <c r="C27" s="140">
        <v>2019</v>
      </c>
      <c r="D27" s="141" t="str">
        <f>IFERROR(INDEX(Työkonekanta!$D$3:$D$27,MATCH('S0a Baseline'!$A27,Työkonekanta!$A$3:$A$24,0),1),"undefined")</f>
        <v>undefined</v>
      </c>
      <c r="E27" s="145">
        <f>IFERROR(INDEX(Työkonekanta!$G$3:$G$27,MATCH($A27,Työkonekanta!$A$3:$A$24,0),1)*INDEX(Työkonekanta!$H$3:$H$27,MATCH($A27,Työkonekanta!$A$3:$A$24,0),1)*$B27,0)</f>
        <v>0</v>
      </c>
      <c r="F27" s="344">
        <f t="shared" si="0"/>
        <v>0</v>
      </c>
      <c r="G27" s="344">
        <f t="shared" si="11"/>
        <v>0</v>
      </c>
      <c r="H27" s="344">
        <f t="shared" si="12"/>
        <v>0</v>
      </c>
      <c r="I27" s="145">
        <f t="shared" si="1"/>
        <v>0</v>
      </c>
      <c r="J27" s="145">
        <f t="shared" si="2"/>
        <v>0</v>
      </c>
      <c r="K27" s="142" t="str">
        <f t="shared" si="13"/>
        <v>undefined</v>
      </c>
      <c r="L27" s="146">
        <f>IFERROR(INDEX(Työkonekanta!$I$3:$I$27,MATCH('S0a Baseline'!$A27,Työkonekanta!$A$3:$A$24,0),1)*(I27+J27)*f_adblue,0)</f>
        <v>0</v>
      </c>
      <c r="M27" s="146">
        <f t="shared" si="3"/>
        <v>0</v>
      </c>
      <c r="N27" s="143" t="str">
        <f>IF(tuulisähkö_vuosi&lt;='S0a Baseline'!C27,"tuulisähkö",ostosähkö_nyt)</f>
        <v>jäännössähkö</v>
      </c>
      <c r="O27" s="147">
        <f>INDEX(Muuttujat!$J$5:$J$21,MATCH($C27,Muuttujat!$H$5:$H$21,0),1)</f>
        <v>69.24722222222222</v>
      </c>
      <c r="P27" s="342">
        <f>1-(INDEX(Muuttujat!$O$5:$O$21,MATCH($C27,Muuttujat!$N$5:$N$21,0),1))</f>
        <v>1</v>
      </c>
      <c r="Q27" s="342">
        <f>INDEX(Muuttujat!$O$5:$O$21,MATCH($C27,Muuttujat!$N$5:$N$21,0),1)</f>
        <v>0</v>
      </c>
      <c r="R27" s="148">
        <f>INDEX(Muuttujat!$P$5:$P$21,MATCH($C27,Muuttujat!$N$5:$N$21,0),1)</f>
        <v>0</v>
      </c>
      <c r="S27" s="149">
        <f t="shared" si="4"/>
        <v>0</v>
      </c>
      <c r="T27" s="150">
        <f t="shared" si="5"/>
        <v>0</v>
      </c>
      <c r="U27" s="150">
        <f t="shared" si="6"/>
        <v>0</v>
      </c>
      <c r="V27" s="150">
        <f>IFERROR(INDEX(Työkonekanta!$J$3:$J$27,MATCH($A27,Työkonekanta!$A$3:$A$24,0),1)*$B27*ef_li_ion_akku/1000/1000/INDEX(Työkonekanta!$K$3:$K$27,MATCH($A27,Työkonekanta!$A$3:$A$24,0)),0)</f>
        <v>0</v>
      </c>
      <c r="W27" s="149">
        <f t="shared" si="7"/>
        <v>0</v>
      </c>
      <c r="X27" s="150">
        <f t="shared" si="8"/>
        <v>0</v>
      </c>
      <c r="Y27" s="151">
        <f t="shared" si="9"/>
        <v>0</v>
      </c>
      <c r="Z27" s="152">
        <f t="shared" si="14"/>
        <v>0</v>
      </c>
      <c r="AA27" s="153">
        <f t="shared" si="15"/>
        <v>0</v>
      </c>
      <c r="AB27" s="153">
        <f t="shared" si="16"/>
        <v>0</v>
      </c>
      <c r="AC27" s="154">
        <f t="shared" si="10"/>
        <v>0</v>
      </c>
      <c r="AD27" s="156">
        <f t="shared" si="17"/>
        <v>0</v>
      </c>
    </row>
    <row r="28" spans="1:30" s="144" customFormat="1">
      <c r="A28" s="139">
        <v>26</v>
      </c>
      <c r="B28" s="139">
        <f>IFERROR(INDEX(Työkonekanta!$F$3:$F$27,MATCH('S0a Baseline'!$A28,Työkonekanta!$A$3:$A$24,0),1),0)</f>
        <v>0</v>
      </c>
      <c r="C28" s="140">
        <v>2019</v>
      </c>
      <c r="D28" s="141" t="str">
        <f>IFERROR(INDEX(Työkonekanta!$D$3:$D$27,MATCH('S0a Baseline'!$A28,Työkonekanta!$A$3:$A$24,0),1),"undefined")</f>
        <v>undefined</v>
      </c>
      <c r="E28" s="145">
        <f>IFERROR(INDEX(Työkonekanta!$G$3:$G$27,MATCH($A28,Työkonekanta!$A$3:$A$24,0),1)*INDEX(Työkonekanta!$H$3:$H$27,MATCH($A28,Työkonekanta!$A$3:$A$24,0),1)*$B28,0)</f>
        <v>0</v>
      </c>
      <c r="F28" s="344">
        <f t="shared" si="0"/>
        <v>0</v>
      </c>
      <c r="G28" s="344">
        <f t="shared" si="11"/>
        <v>0</v>
      </c>
      <c r="H28" s="344">
        <f t="shared" si="12"/>
        <v>0</v>
      </c>
      <c r="I28" s="145">
        <f t="shared" si="1"/>
        <v>0</v>
      </c>
      <c r="J28" s="145">
        <f t="shared" si="2"/>
        <v>0</v>
      </c>
      <c r="K28" s="142" t="str">
        <f t="shared" si="13"/>
        <v>undefined</v>
      </c>
      <c r="L28" s="146">
        <f>IFERROR(INDEX(Työkonekanta!$I$3:$I$27,MATCH('S0a Baseline'!$A28,Työkonekanta!$A$3:$A$24,0),1)*(I28+J28)*f_adblue,0)</f>
        <v>0</v>
      </c>
      <c r="M28" s="146">
        <f t="shared" si="3"/>
        <v>0</v>
      </c>
      <c r="N28" s="143" t="str">
        <f>IF(tuulisähkö_vuosi&lt;='S0a Baseline'!C28,"tuulisähkö",ostosähkö_nyt)</f>
        <v>jäännössähkö</v>
      </c>
      <c r="O28" s="147">
        <f>INDEX(Muuttujat!$J$5:$J$21,MATCH($C28,Muuttujat!$H$5:$H$21,0),1)</f>
        <v>69.24722222222222</v>
      </c>
      <c r="P28" s="342">
        <f>1-(INDEX(Muuttujat!$O$5:$O$21,MATCH($C28,Muuttujat!$N$5:$N$21,0),1))</f>
        <v>1</v>
      </c>
      <c r="Q28" s="342">
        <f>INDEX(Muuttujat!$O$5:$O$21,MATCH($C28,Muuttujat!$N$5:$N$21,0),1)</f>
        <v>0</v>
      </c>
      <c r="R28" s="148">
        <f>INDEX(Muuttujat!$P$5:$P$21,MATCH($C28,Muuttujat!$N$5:$N$21,0),1)</f>
        <v>0</v>
      </c>
      <c r="S28" s="149">
        <f t="shared" si="4"/>
        <v>0</v>
      </c>
      <c r="T28" s="150">
        <f t="shared" si="5"/>
        <v>0</v>
      </c>
      <c r="U28" s="150">
        <f t="shared" si="6"/>
        <v>0</v>
      </c>
      <c r="V28" s="150">
        <f>IFERROR(INDEX(Työkonekanta!$J$3:$J$27,MATCH($A28,Työkonekanta!$A$3:$A$24,0),1)*$B28*ef_li_ion_akku/1000/1000/INDEX(Työkonekanta!$K$3:$K$27,MATCH($A28,Työkonekanta!$A$3:$A$24,0)),0)</f>
        <v>0</v>
      </c>
      <c r="W28" s="149">
        <f t="shared" si="7"/>
        <v>0</v>
      </c>
      <c r="X28" s="150">
        <f t="shared" si="8"/>
        <v>0</v>
      </c>
      <c r="Y28" s="151">
        <f t="shared" si="9"/>
        <v>0</v>
      </c>
      <c r="Z28" s="152">
        <f t="shared" si="14"/>
        <v>0</v>
      </c>
      <c r="AA28" s="153">
        <f t="shared" si="15"/>
        <v>0</v>
      </c>
      <c r="AB28" s="153">
        <f t="shared" si="16"/>
        <v>0</v>
      </c>
      <c r="AC28" s="154">
        <f t="shared" si="10"/>
        <v>0</v>
      </c>
      <c r="AD28" s="156">
        <f t="shared" si="17"/>
        <v>0</v>
      </c>
    </row>
    <row r="29" spans="1:30" s="144" customFormat="1">
      <c r="A29" s="139">
        <v>27</v>
      </c>
      <c r="B29" s="139">
        <f>IFERROR(INDEX(Työkonekanta!$F$3:$F$27,MATCH('S0a Baseline'!$A29,Työkonekanta!$A$3:$A$24,0),1),0)</f>
        <v>0</v>
      </c>
      <c r="C29" s="140">
        <v>2019</v>
      </c>
      <c r="D29" s="141" t="str">
        <f>IFERROR(INDEX(Työkonekanta!$D$3:$D$27,MATCH('S0a Baseline'!$A29,Työkonekanta!$A$3:$A$24,0),1),"undefined")</f>
        <v>undefined</v>
      </c>
      <c r="E29" s="145">
        <f>IFERROR(INDEX(Työkonekanta!$G$3:$G$27,MATCH($A29,Työkonekanta!$A$3:$A$24,0),1)*INDEX(Työkonekanta!$H$3:$H$27,MATCH($A29,Työkonekanta!$A$3:$A$24,0),1)*$B29,0)</f>
        <v>0</v>
      </c>
      <c r="F29" s="344">
        <f t="shared" si="0"/>
        <v>0</v>
      </c>
      <c r="G29" s="344">
        <f t="shared" si="11"/>
        <v>0</v>
      </c>
      <c r="H29" s="344">
        <f t="shared" si="12"/>
        <v>0</v>
      </c>
      <c r="I29" s="145">
        <f t="shared" si="1"/>
        <v>0</v>
      </c>
      <c r="J29" s="145">
        <f t="shared" si="2"/>
        <v>0</v>
      </c>
      <c r="K29" s="142" t="str">
        <f t="shared" si="13"/>
        <v>undefined</v>
      </c>
      <c r="L29" s="146">
        <f>IFERROR(INDEX(Työkonekanta!$I$3:$I$27,MATCH('S0a Baseline'!$A29,Työkonekanta!$A$3:$A$24,0),1)*(I29+J29)*f_adblue,0)</f>
        <v>0</v>
      </c>
      <c r="M29" s="146">
        <f t="shared" si="3"/>
        <v>0</v>
      </c>
      <c r="N29" s="143" t="str">
        <f>IF(tuulisähkö_vuosi&lt;='S0a Baseline'!C29,"tuulisähkö",ostosähkö_nyt)</f>
        <v>jäännössähkö</v>
      </c>
      <c r="O29" s="147">
        <f>INDEX(Muuttujat!$J$5:$J$21,MATCH($C29,Muuttujat!$H$5:$H$21,0),1)</f>
        <v>69.24722222222222</v>
      </c>
      <c r="P29" s="342">
        <f>1-(INDEX(Muuttujat!$O$5:$O$21,MATCH($C29,Muuttujat!$N$5:$N$21,0),1))</f>
        <v>1</v>
      </c>
      <c r="Q29" s="342">
        <f>INDEX(Muuttujat!$O$5:$O$21,MATCH($C29,Muuttujat!$N$5:$N$21,0),1)</f>
        <v>0</v>
      </c>
      <c r="R29" s="148">
        <f>INDEX(Muuttujat!$P$5:$P$21,MATCH($C29,Muuttujat!$N$5:$N$21,0),1)</f>
        <v>0</v>
      </c>
      <c r="S29" s="149">
        <f t="shared" si="4"/>
        <v>0</v>
      </c>
      <c r="T29" s="150">
        <f t="shared" si="5"/>
        <v>0</v>
      </c>
      <c r="U29" s="150">
        <f t="shared" si="6"/>
        <v>0</v>
      </c>
      <c r="V29" s="150">
        <f>IFERROR(INDEX(Työkonekanta!$J$3:$J$27,MATCH($A29,Työkonekanta!$A$3:$A$24,0),1)*$B29*ef_li_ion_akku/1000/1000/INDEX(Työkonekanta!$K$3:$K$27,MATCH($A29,Työkonekanta!$A$3:$A$24,0)),0)</f>
        <v>0</v>
      </c>
      <c r="W29" s="149">
        <f t="shared" si="7"/>
        <v>0</v>
      </c>
      <c r="X29" s="150">
        <f t="shared" si="8"/>
        <v>0</v>
      </c>
      <c r="Y29" s="151">
        <f t="shared" si="9"/>
        <v>0</v>
      </c>
      <c r="Z29" s="152">
        <f t="shared" si="14"/>
        <v>0</v>
      </c>
      <c r="AA29" s="153">
        <f t="shared" si="15"/>
        <v>0</v>
      </c>
      <c r="AB29" s="153">
        <f t="shared" si="16"/>
        <v>0</v>
      </c>
      <c r="AC29" s="154">
        <f t="shared" si="10"/>
        <v>0</v>
      </c>
      <c r="AD29" s="156">
        <f t="shared" si="17"/>
        <v>0</v>
      </c>
    </row>
    <row r="30" spans="1:30" s="144" customFormat="1">
      <c r="A30" s="139">
        <v>28</v>
      </c>
      <c r="B30" s="139">
        <f>IFERROR(INDEX(Työkonekanta!$F$3:$F$27,MATCH('S0a Baseline'!$A30,Työkonekanta!$A$3:$A$24,0),1),0)</f>
        <v>0</v>
      </c>
      <c r="C30" s="140">
        <v>2019</v>
      </c>
      <c r="D30" s="141" t="str">
        <f>IFERROR(INDEX(Työkonekanta!$D$3:$D$27,MATCH('S0a Baseline'!$A30,Työkonekanta!$A$3:$A$24,0),1),"undefined")</f>
        <v>undefined</v>
      </c>
      <c r="E30" s="145">
        <f>IFERROR(INDEX(Työkonekanta!$G$3:$G$27,MATCH($A30,Työkonekanta!$A$3:$A$24,0),1)*INDEX(Työkonekanta!$H$3:$H$27,MATCH($A30,Työkonekanta!$A$3:$A$24,0),1)*$B30,0)</f>
        <v>0</v>
      </c>
      <c r="F30" s="344">
        <f t="shared" si="0"/>
        <v>0</v>
      </c>
      <c r="G30" s="344">
        <f t="shared" si="11"/>
        <v>0</v>
      </c>
      <c r="H30" s="344">
        <f t="shared" si="12"/>
        <v>0</v>
      </c>
      <c r="I30" s="145">
        <f t="shared" si="1"/>
        <v>0</v>
      </c>
      <c r="J30" s="145">
        <f t="shared" si="2"/>
        <v>0</v>
      </c>
      <c r="K30" s="142" t="str">
        <f t="shared" si="13"/>
        <v>undefined</v>
      </c>
      <c r="L30" s="146">
        <f>IFERROR(INDEX(Työkonekanta!$I$3:$I$27,MATCH('S0a Baseline'!$A30,Työkonekanta!$A$3:$A$24,0),1)*(I30+J30)*f_adblue,0)</f>
        <v>0</v>
      </c>
      <c r="M30" s="146">
        <f t="shared" si="3"/>
        <v>0</v>
      </c>
      <c r="N30" s="143" t="str">
        <f>IF(tuulisähkö_vuosi&lt;='S0a Baseline'!C30,"tuulisähkö",ostosähkö_nyt)</f>
        <v>jäännössähkö</v>
      </c>
      <c r="O30" s="147">
        <f>INDEX(Muuttujat!$J$5:$J$21,MATCH($C30,Muuttujat!$H$5:$H$21,0),1)</f>
        <v>69.24722222222222</v>
      </c>
      <c r="P30" s="342">
        <f>1-(INDEX(Muuttujat!$O$5:$O$21,MATCH($C30,Muuttujat!$N$5:$N$21,0),1))</f>
        <v>1</v>
      </c>
      <c r="Q30" s="342">
        <f>INDEX(Muuttujat!$O$5:$O$21,MATCH($C30,Muuttujat!$N$5:$N$21,0),1)</f>
        <v>0</v>
      </c>
      <c r="R30" s="148">
        <f>INDEX(Muuttujat!$P$5:$P$21,MATCH($C30,Muuttujat!$N$5:$N$21,0),1)</f>
        <v>0</v>
      </c>
      <c r="S30" s="149">
        <f t="shared" si="4"/>
        <v>0</v>
      </c>
      <c r="T30" s="150">
        <f t="shared" si="5"/>
        <v>0</v>
      </c>
      <c r="U30" s="150">
        <f t="shared" si="6"/>
        <v>0</v>
      </c>
      <c r="V30" s="150">
        <f>IFERROR(INDEX(Työkonekanta!$J$3:$J$27,MATCH($A30,Työkonekanta!$A$3:$A$24,0),1)*$B30*ef_li_ion_akku/1000/1000/INDEX(Työkonekanta!$K$3:$K$27,MATCH($A30,Työkonekanta!$A$3:$A$24,0)),0)</f>
        <v>0</v>
      </c>
      <c r="W30" s="149">
        <f t="shared" si="7"/>
        <v>0</v>
      </c>
      <c r="X30" s="150">
        <f t="shared" si="8"/>
        <v>0</v>
      </c>
      <c r="Y30" s="151">
        <f t="shared" si="9"/>
        <v>0</v>
      </c>
      <c r="Z30" s="152">
        <f t="shared" si="14"/>
        <v>0</v>
      </c>
      <c r="AA30" s="153">
        <f t="shared" si="15"/>
        <v>0</v>
      </c>
      <c r="AB30" s="153">
        <f t="shared" si="16"/>
        <v>0</v>
      </c>
      <c r="AC30" s="154">
        <f t="shared" si="10"/>
        <v>0</v>
      </c>
      <c r="AD30" s="156">
        <f t="shared" si="17"/>
        <v>0</v>
      </c>
    </row>
    <row r="31" spans="1:30" s="144" customFormat="1">
      <c r="A31" s="139">
        <v>29</v>
      </c>
      <c r="B31" s="139">
        <f>IFERROR(INDEX(Työkonekanta!$F$3:$F$27,MATCH('S0a Baseline'!$A31,Työkonekanta!$A$3:$A$24,0),1),0)</f>
        <v>0</v>
      </c>
      <c r="C31" s="140">
        <v>2019</v>
      </c>
      <c r="D31" s="141" t="str">
        <f>IFERROR(INDEX(Työkonekanta!$D$3:$D$27,MATCH('S0a Baseline'!$A31,Työkonekanta!$A$3:$A$24,0),1),"undefined")</f>
        <v>undefined</v>
      </c>
      <c r="E31" s="145">
        <f>IFERROR(INDEX(Työkonekanta!$G$3:$G$27,MATCH($A31,Työkonekanta!$A$3:$A$24,0),1)*INDEX(Työkonekanta!$H$3:$H$27,MATCH($A31,Työkonekanta!$A$3:$A$24,0),1)*$B31,0)</f>
        <v>0</v>
      </c>
      <c r="F31" s="344">
        <f t="shared" si="0"/>
        <v>0</v>
      </c>
      <c r="G31" s="344">
        <f t="shared" si="11"/>
        <v>0</v>
      </c>
      <c r="H31" s="344">
        <f t="shared" si="12"/>
        <v>0</v>
      </c>
      <c r="I31" s="145">
        <f t="shared" si="1"/>
        <v>0</v>
      </c>
      <c r="J31" s="145">
        <f t="shared" si="2"/>
        <v>0</v>
      </c>
      <c r="K31" s="142" t="str">
        <f t="shared" si="13"/>
        <v>undefined</v>
      </c>
      <c r="L31" s="146">
        <f>IFERROR(INDEX(Työkonekanta!$I$3:$I$27,MATCH('S0a Baseline'!$A31,Työkonekanta!$A$3:$A$24,0),1)*(I31+J31)*f_adblue,0)</f>
        <v>0</v>
      </c>
      <c r="M31" s="146">
        <f t="shared" si="3"/>
        <v>0</v>
      </c>
      <c r="N31" s="143" t="str">
        <f>IF(tuulisähkö_vuosi&lt;='S0a Baseline'!C31,"tuulisähkö",ostosähkö_nyt)</f>
        <v>jäännössähkö</v>
      </c>
      <c r="O31" s="147">
        <f>INDEX(Muuttujat!$J$5:$J$21,MATCH($C31,Muuttujat!$H$5:$H$21,0),1)</f>
        <v>69.24722222222222</v>
      </c>
      <c r="P31" s="342">
        <f>1-(INDEX(Muuttujat!$O$5:$O$21,MATCH($C31,Muuttujat!$N$5:$N$21,0),1))</f>
        <v>1</v>
      </c>
      <c r="Q31" s="342">
        <f>INDEX(Muuttujat!$O$5:$O$21,MATCH($C31,Muuttujat!$N$5:$N$21,0),1)</f>
        <v>0</v>
      </c>
      <c r="R31" s="148">
        <f>INDEX(Muuttujat!$P$5:$P$21,MATCH($C31,Muuttujat!$N$5:$N$21,0),1)</f>
        <v>0</v>
      </c>
      <c r="S31" s="149">
        <f t="shared" si="4"/>
        <v>0</v>
      </c>
      <c r="T31" s="150">
        <f t="shared" si="5"/>
        <v>0</v>
      </c>
      <c r="U31" s="150">
        <f t="shared" si="6"/>
        <v>0</v>
      </c>
      <c r="V31" s="150">
        <f>IFERROR(INDEX(Työkonekanta!$J$3:$J$27,MATCH($A31,Työkonekanta!$A$3:$A$24,0),1)*$B31*ef_li_ion_akku/1000/1000/INDEX(Työkonekanta!$K$3:$K$27,MATCH($A31,Työkonekanta!$A$3:$A$24,0)),0)</f>
        <v>0</v>
      </c>
      <c r="W31" s="149">
        <f t="shared" si="7"/>
        <v>0</v>
      </c>
      <c r="X31" s="150">
        <f t="shared" si="8"/>
        <v>0</v>
      </c>
      <c r="Y31" s="151">
        <f t="shared" si="9"/>
        <v>0</v>
      </c>
      <c r="Z31" s="152">
        <f t="shared" si="14"/>
        <v>0</v>
      </c>
      <c r="AA31" s="153">
        <f t="shared" si="15"/>
        <v>0</v>
      </c>
      <c r="AB31" s="153">
        <f t="shared" si="16"/>
        <v>0</v>
      </c>
      <c r="AC31" s="154">
        <f t="shared" si="10"/>
        <v>0</v>
      </c>
      <c r="AD31" s="156">
        <f t="shared" si="17"/>
        <v>0</v>
      </c>
    </row>
    <row r="32" spans="1:30" s="144" customFormat="1">
      <c r="A32" s="139">
        <v>30</v>
      </c>
      <c r="B32" s="139">
        <f>IFERROR(INDEX(Työkonekanta!$F$3:$F$27,MATCH('S0a Baseline'!$A32,Työkonekanta!$A$3:$A$24,0),1),0)</f>
        <v>0</v>
      </c>
      <c r="C32" s="140">
        <v>2019</v>
      </c>
      <c r="D32" s="141" t="str">
        <f>IFERROR(INDEX(Työkonekanta!$D$3:$D$27,MATCH('S0a Baseline'!$A32,Työkonekanta!$A$3:$A$24,0),1),"undefined")</f>
        <v>undefined</v>
      </c>
      <c r="E32" s="145">
        <f>IFERROR(INDEX(Työkonekanta!$G$3:$G$27,MATCH($A32,Työkonekanta!$A$3:$A$24,0),1)*INDEX(Työkonekanta!$H$3:$H$27,MATCH($A32,Työkonekanta!$A$3:$A$24,0),1)*$B32,0)</f>
        <v>0</v>
      </c>
      <c r="F32" s="344">
        <f t="shared" si="0"/>
        <v>0</v>
      </c>
      <c r="G32" s="344">
        <f t="shared" si="11"/>
        <v>0</v>
      </c>
      <c r="H32" s="344">
        <f t="shared" si="12"/>
        <v>0</v>
      </c>
      <c r="I32" s="145">
        <f t="shared" si="1"/>
        <v>0</v>
      </c>
      <c r="J32" s="145">
        <f t="shared" si="2"/>
        <v>0</v>
      </c>
      <c r="K32" s="142" t="str">
        <f t="shared" si="13"/>
        <v>undefined</v>
      </c>
      <c r="L32" s="146">
        <f>IFERROR(INDEX(Työkonekanta!$I$3:$I$27,MATCH('S0a Baseline'!$A32,Työkonekanta!$A$3:$A$24,0),1)*(I32+J32)*f_adblue,0)</f>
        <v>0</v>
      </c>
      <c r="M32" s="146">
        <f t="shared" si="3"/>
        <v>0</v>
      </c>
      <c r="N32" s="143" t="str">
        <f>IF(tuulisähkö_vuosi&lt;='S0a Baseline'!C32,"tuulisähkö",ostosähkö_nyt)</f>
        <v>jäännössähkö</v>
      </c>
      <c r="O32" s="147">
        <f>INDEX(Muuttujat!$J$5:$J$21,MATCH($C32,Muuttujat!$H$5:$H$21,0),1)</f>
        <v>69.24722222222222</v>
      </c>
      <c r="P32" s="342">
        <f>1-(INDEX(Muuttujat!$O$5:$O$21,MATCH($C32,Muuttujat!$N$5:$N$21,0),1))</f>
        <v>1</v>
      </c>
      <c r="Q32" s="342">
        <f>INDEX(Muuttujat!$O$5:$O$21,MATCH($C32,Muuttujat!$N$5:$N$21,0),1)</f>
        <v>0</v>
      </c>
      <c r="R32" s="148">
        <f>INDEX(Muuttujat!$P$5:$P$21,MATCH($C32,Muuttujat!$N$5:$N$21,0),1)</f>
        <v>0</v>
      </c>
      <c r="S32" s="149">
        <f t="shared" si="4"/>
        <v>0</v>
      </c>
      <c r="T32" s="150">
        <f t="shared" si="5"/>
        <v>0</v>
      </c>
      <c r="U32" s="150">
        <f t="shared" si="6"/>
        <v>0</v>
      </c>
      <c r="V32" s="150">
        <f>IFERROR(INDEX(Työkonekanta!$J$3:$J$27,MATCH($A32,Työkonekanta!$A$3:$A$24,0),1)*$B32*ef_li_ion_akku/1000/1000/INDEX(Työkonekanta!$K$3:$K$27,MATCH($A32,Työkonekanta!$A$3:$A$24,0)),0)</f>
        <v>0</v>
      </c>
      <c r="W32" s="149">
        <f t="shared" si="7"/>
        <v>0</v>
      </c>
      <c r="X32" s="150">
        <f t="shared" si="8"/>
        <v>0</v>
      </c>
      <c r="Y32" s="151">
        <f t="shared" si="9"/>
        <v>0</v>
      </c>
      <c r="Z32" s="152">
        <f t="shared" si="14"/>
        <v>0</v>
      </c>
      <c r="AA32" s="153">
        <f t="shared" si="15"/>
        <v>0</v>
      </c>
      <c r="AB32" s="153">
        <f t="shared" si="16"/>
        <v>0</v>
      </c>
      <c r="AC32" s="154">
        <f t="shared" si="10"/>
        <v>0</v>
      </c>
      <c r="AD32" s="156">
        <f t="shared" si="17"/>
        <v>0</v>
      </c>
    </row>
    <row r="33" spans="1:30" s="144" customFormat="1">
      <c r="A33" s="139">
        <v>1</v>
      </c>
      <c r="B33" s="139">
        <f>IFERROR(INDEX(Työkonekanta!$F$3:$F$27,MATCH('S0a Baseline'!$A33,Työkonekanta!$A$3:$A$24,0),1),0)</f>
        <v>1</v>
      </c>
      <c r="C33" s="140">
        <v>2020</v>
      </c>
      <c r="D33" s="141" t="str">
        <f>IFERROR(INDEX(Työkonekanta!$D$3:$D$27,MATCH('S0a Baseline'!$A33,Työkonekanta!$A$3:$A$24,0),1),"undefined")</f>
        <v>pom</v>
      </c>
      <c r="E33" s="145">
        <f>IFERROR(INDEX(Työkonekanta!$G$3:$G$27,MATCH($A33,Työkonekanta!$A$3:$A$24,0),1)*INDEX(Työkonekanta!$H$3:$H$27,MATCH($A33,Työkonekanta!$A$3:$A$24,0),1)*$B33,0)</f>
        <v>10000</v>
      </c>
      <c r="F33" s="344">
        <f t="shared" si="0"/>
        <v>359000</v>
      </c>
      <c r="G33" s="344">
        <f t="shared" si="11"/>
        <v>359000</v>
      </c>
      <c r="H33" s="344">
        <f t="shared" si="12"/>
        <v>0</v>
      </c>
      <c r="I33" s="145">
        <f t="shared" si="1"/>
        <v>10000</v>
      </c>
      <c r="J33" s="145">
        <f t="shared" si="2"/>
        <v>0</v>
      </c>
      <c r="K33" s="142" t="str">
        <f t="shared" si="13"/>
        <v>l</v>
      </c>
      <c r="L33" s="146">
        <f>IFERROR(INDEX(Työkonekanta!$I$3:$I$27,MATCH('S0a Baseline'!$A33,Työkonekanta!$A$3:$A$24,0),1)*(I33+J33)*f_adblue,0)</f>
        <v>500</v>
      </c>
      <c r="M33" s="146">
        <f t="shared" si="3"/>
        <v>0</v>
      </c>
      <c r="N33" s="143" t="str">
        <f>IF(tuulisähkö_vuosi&lt;='S0a Baseline'!C33,"tuulisähkö",ostosähkö_nyt)</f>
        <v>jäännössähkö</v>
      </c>
      <c r="O33" s="147">
        <f>INDEX(Muuttujat!$J$5:$J$21,MATCH($C33,Muuttujat!$H$5:$H$21,0),1)</f>
        <v>68.554749999999999</v>
      </c>
      <c r="P33" s="342">
        <f>1-(INDEX(Muuttujat!$O$5:$O$21,MATCH($C33,Muuttujat!$N$5:$N$21,0),1))</f>
        <v>1</v>
      </c>
      <c r="Q33" s="342">
        <f>INDEX(Muuttujat!$O$5:$O$21,MATCH($C33,Muuttujat!$N$5:$N$21,0),1)</f>
        <v>0</v>
      </c>
      <c r="R33" s="148">
        <f>INDEX(Muuttujat!$P$5:$P$21,MATCH($C33,Muuttujat!$N$5:$N$21,0),1)</f>
        <v>0</v>
      </c>
      <c r="S33" s="149">
        <f t="shared" si="4"/>
        <v>6.785099999999999</v>
      </c>
      <c r="T33" s="150">
        <f t="shared" si="5"/>
        <v>0</v>
      </c>
      <c r="U33" s="150">
        <f t="shared" si="6"/>
        <v>0</v>
      </c>
      <c r="V33" s="150">
        <f>IFERROR(INDEX(Työkonekanta!$J$3:$J$27,MATCH($A33,Työkonekanta!$A$3:$A$24,0),1)*$B33*ef_li_ion_akku/1000/1000/INDEX(Työkonekanta!$K$3:$K$27,MATCH($A33,Työkonekanta!$A$3:$A$24,0)),0)</f>
        <v>0</v>
      </c>
      <c r="W33" s="149">
        <f t="shared" si="7"/>
        <v>26.497163285999999</v>
      </c>
      <c r="X33" s="150">
        <f t="shared" si="8"/>
        <v>0.31774565999999999</v>
      </c>
      <c r="Y33" s="151">
        <f t="shared" si="9"/>
        <v>0.13</v>
      </c>
      <c r="Z33" s="152">
        <f t="shared" si="14"/>
        <v>6.785099999999999</v>
      </c>
      <c r="AA33" s="153">
        <f t="shared" si="15"/>
        <v>26.627163285999998</v>
      </c>
      <c r="AB33" s="153">
        <f t="shared" si="16"/>
        <v>26.944908945999998</v>
      </c>
      <c r="AC33" s="154">
        <f t="shared" si="10"/>
        <v>33.412263285999998</v>
      </c>
      <c r="AD33" s="156">
        <f t="shared" si="17"/>
        <v>33.730008945999998</v>
      </c>
    </row>
    <row r="34" spans="1:30" s="144" customFormat="1">
      <c r="A34" s="139">
        <v>2</v>
      </c>
      <c r="B34" s="139">
        <f>IFERROR(INDEX(Työkonekanta!$F$3:$F$27,MATCH('S0a Baseline'!$A34,Työkonekanta!$A$3:$A$24,0),1),0)</f>
        <v>1</v>
      </c>
      <c r="C34" s="140">
        <v>2020</v>
      </c>
      <c r="D34" s="141" t="str">
        <f>IFERROR(INDEX(Työkonekanta!$D$3:$D$27,MATCH('S0a Baseline'!$A34,Työkonekanta!$A$3:$A$24,0),1),"undefined")</f>
        <v>pom</v>
      </c>
      <c r="E34" s="145">
        <f>IFERROR(INDEX(Työkonekanta!$G$3:$G$27,MATCH($A34,Työkonekanta!$A$3:$A$24,0),1)*INDEX(Työkonekanta!$H$3:$H$27,MATCH($A34,Työkonekanta!$A$3:$A$24,0),1)*$B34,0)</f>
        <v>10000</v>
      </c>
      <c r="F34" s="344">
        <f t="shared" si="0"/>
        <v>359000</v>
      </c>
      <c r="G34" s="344">
        <f t="shared" si="11"/>
        <v>359000</v>
      </c>
      <c r="H34" s="344">
        <f t="shared" si="12"/>
        <v>0</v>
      </c>
      <c r="I34" s="145">
        <f t="shared" si="1"/>
        <v>10000</v>
      </c>
      <c r="J34" s="145">
        <f t="shared" si="2"/>
        <v>0</v>
      </c>
      <c r="K34" s="142" t="str">
        <f t="shared" si="13"/>
        <v>l</v>
      </c>
      <c r="L34" s="146">
        <f>IFERROR(INDEX(Työkonekanta!$I$3:$I$27,MATCH('S0a Baseline'!$A34,Työkonekanta!$A$3:$A$24,0),1)*(I34+J34)*f_adblue,0)</f>
        <v>500</v>
      </c>
      <c r="M34" s="146">
        <f t="shared" si="3"/>
        <v>0</v>
      </c>
      <c r="N34" s="143" t="str">
        <f>IF(tuulisähkö_vuosi&lt;='S0a Baseline'!C34,"tuulisähkö",ostosähkö_nyt)</f>
        <v>jäännössähkö</v>
      </c>
      <c r="O34" s="147">
        <f>INDEX(Muuttujat!$J$5:$J$21,MATCH($C34,Muuttujat!$H$5:$H$21,0),1)</f>
        <v>68.554749999999999</v>
      </c>
      <c r="P34" s="342">
        <f>1-(INDEX(Muuttujat!$O$5:$O$21,MATCH($C34,Muuttujat!$N$5:$N$21,0),1))</f>
        <v>1</v>
      </c>
      <c r="Q34" s="342">
        <f>INDEX(Muuttujat!$O$5:$O$21,MATCH($C34,Muuttujat!$N$5:$N$21,0),1)</f>
        <v>0</v>
      </c>
      <c r="R34" s="148">
        <f>INDEX(Muuttujat!$P$5:$P$21,MATCH($C34,Muuttujat!$N$5:$N$21,0),1)</f>
        <v>0</v>
      </c>
      <c r="S34" s="149">
        <f t="shared" si="4"/>
        <v>6.785099999999999</v>
      </c>
      <c r="T34" s="150">
        <f t="shared" si="5"/>
        <v>0</v>
      </c>
      <c r="U34" s="150">
        <f t="shared" si="6"/>
        <v>0</v>
      </c>
      <c r="V34" s="150">
        <f>IFERROR(INDEX(Työkonekanta!$J$3:$J$27,MATCH($A34,Työkonekanta!$A$3:$A$24,0),1)*$B34*ef_li_ion_akku/1000/1000/INDEX(Työkonekanta!$K$3:$K$27,MATCH($A34,Työkonekanta!$A$3:$A$24,0)),0)</f>
        <v>0</v>
      </c>
      <c r="W34" s="149">
        <f t="shared" si="7"/>
        <v>26.497163285999999</v>
      </c>
      <c r="X34" s="150">
        <f t="shared" si="8"/>
        <v>0.31774565999999999</v>
      </c>
      <c r="Y34" s="151">
        <f t="shared" si="9"/>
        <v>0.13</v>
      </c>
      <c r="Z34" s="152">
        <f t="shared" si="14"/>
        <v>6.785099999999999</v>
      </c>
      <c r="AA34" s="153">
        <f t="shared" si="15"/>
        <v>26.627163285999998</v>
      </c>
      <c r="AB34" s="153">
        <f t="shared" si="16"/>
        <v>26.944908945999998</v>
      </c>
      <c r="AC34" s="154">
        <f t="shared" si="10"/>
        <v>33.412263285999998</v>
      </c>
      <c r="AD34" s="156">
        <f t="shared" si="17"/>
        <v>33.730008945999998</v>
      </c>
    </row>
    <row r="35" spans="1:30" s="144" customFormat="1">
      <c r="A35" s="139">
        <v>3</v>
      </c>
      <c r="B35" s="139">
        <f>IFERROR(INDEX(Työkonekanta!$F$3:$F$27,MATCH('S0a Baseline'!$A35,Työkonekanta!$A$3:$A$24,0),1),0)</f>
        <v>1</v>
      </c>
      <c r="C35" s="140">
        <v>2020</v>
      </c>
      <c r="D35" s="141" t="str">
        <f>IFERROR(INDEX(Työkonekanta!$D$3:$D$27,MATCH('S0a Baseline'!$A35,Työkonekanta!$A$3:$A$24,0),1),"undefined")</f>
        <v>pom</v>
      </c>
      <c r="E35" s="145">
        <f>IFERROR(INDEX(Työkonekanta!$G$3:$G$27,MATCH($A35,Työkonekanta!$A$3:$A$24,0),1)*INDEX(Työkonekanta!$H$3:$H$27,MATCH($A35,Työkonekanta!$A$3:$A$24,0),1)*$B35,0)</f>
        <v>10000</v>
      </c>
      <c r="F35" s="344">
        <f t="shared" si="0"/>
        <v>359000</v>
      </c>
      <c r="G35" s="344">
        <f t="shared" si="11"/>
        <v>359000</v>
      </c>
      <c r="H35" s="344">
        <f t="shared" si="12"/>
        <v>0</v>
      </c>
      <c r="I35" s="145">
        <f t="shared" si="1"/>
        <v>10000</v>
      </c>
      <c r="J35" s="145">
        <f t="shared" si="2"/>
        <v>0</v>
      </c>
      <c r="K35" s="142" t="str">
        <f t="shared" si="13"/>
        <v>l</v>
      </c>
      <c r="L35" s="146">
        <f>IFERROR(INDEX(Työkonekanta!$I$3:$I$27,MATCH('S0a Baseline'!$A35,Työkonekanta!$A$3:$A$24,0),1)*(I35+J35)*f_adblue,0)</f>
        <v>500</v>
      </c>
      <c r="M35" s="146">
        <f t="shared" si="3"/>
        <v>0</v>
      </c>
      <c r="N35" s="143" t="str">
        <f>IF(tuulisähkö_vuosi&lt;='S0a Baseline'!C35,"tuulisähkö",ostosähkö_nyt)</f>
        <v>jäännössähkö</v>
      </c>
      <c r="O35" s="147">
        <f>INDEX(Muuttujat!$J$5:$J$21,MATCH($C35,Muuttujat!$H$5:$H$21,0),1)</f>
        <v>68.554749999999999</v>
      </c>
      <c r="P35" s="342">
        <f>1-(INDEX(Muuttujat!$O$5:$O$21,MATCH($C35,Muuttujat!$N$5:$N$21,0),1))</f>
        <v>1</v>
      </c>
      <c r="Q35" s="342">
        <f>INDEX(Muuttujat!$O$5:$O$21,MATCH($C35,Muuttujat!$N$5:$N$21,0),1)</f>
        <v>0</v>
      </c>
      <c r="R35" s="148">
        <f>INDEX(Muuttujat!$P$5:$P$21,MATCH($C35,Muuttujat!$N$5:$N$21,0),1)</f>
        <v>0</v>
      </c>
      <c r="S35" s="149">
        <f t="shared" si="4"/>
        <v>6.785099999999999</v>
      </c>
      <c r="T35" s="150">
        <f t="shared" si="5"/>
        <v>0</v>
      </c>
      <c r="U35" s="150">
        <f t="shared" si="6"/>
        <v>0</v>
      </c>
      <c r="V35" s="150">
        <f>IFERROR(INDEX(Työkonekanta!$J$3:$J$27,MATCH($A35,Työkonekanta!$A$3:$A$24,0),1)*$B35*ef_li_ion_akku/1000/1000/INDEX(Työkonekanta!$K$3:$K$27,MATCH($A35,Työkonekanta!$A$3:$A$24,0)),0)</f>
        <v>0</v>
      </c>
      <c r="W35" s="149">
        <f t="shared" si="7"/>
        <v>26.497163285999999</v>
      </c>
      <c r="X35" s="150">
        <f t="shared" si="8"/>
        <v>0.31774565999999999</v>
      </c>
      <c r="Y35" s="151">
        <f t="shared" si="9"/>
        <v>0.13</v>
      </c>
      <c r="Z35" s="152">
        <f t="shared" si="14"/>
        <v>6.785099999999999</v>
      </c>
      <c r="AA35" s="153">
        <f t="shared" si="15"/>
        <v>26.627163285999998</v>
      </c>
      <c r="AB35" s="153">
        <f t="shared" si="16"/>
        <v>26.944908945999998</v>
      </c>
      <c r="AC35" s="154">
        <f t="shared" si="10"/>
        <v>33.412263285999998</v>
      </c>
      <c r="AD35" s="156">
        <f t="shared" si="17"/>
        <v>33.730008945999998</v>
      </c>
    </row>
    <row r="36" spans="1:30" s="144" customFormat="1">
      <c r="A36" s="139">
        <v>4</v>
      </c>
      <c r="B36" s="139">
        <f>IFERROR(INDEX(Työkonekanta!$F$3:$F$27,MATCH('S0a Baseline'!$A36,Työkonekanta!$A$3:$A$24,0),1),0)</f>
        <v>1</v>
      </c>
      <c r="C36" s="140">
        <v>2020</v>
      </c>
      <c r="D36" s="141" t="str">
        <f>IFERROR(INDEX(Työkonekanta!$D$3:$D$27,MATCH('S0a Baseline'!$A36,Työkonekanta!$A$3:$A$24,0),1),"undefined")</f>
        <v>pom</v>
      </c>
      <c r="E36" s="145">
        <f>IFERROR(INDEX(Työkonekanta!$G$3:$G$27,MATCH($A36,Työkonekanta!$A$3:$A$24,0),1)*INDEX(Työkonekanta!$H$3:$H$27,MATCH($A36,Työkonekanta!$A$3:$A$24,0),1)*$B36,0)</f>
        <v>10000</v>
      </c>
      <c r="F36" s="344">
        <f t="shared" si="0"/>
        <v>359000</v>
      </c>
      <c r="G36" s="344">
        <f t="shared" si="11"/>
        <v>359000</v>
      </c>
      <c r="H36" s="344">
        <f t="shared" si="12"/>
        <v>0</v>
      </c>
      <c r="I36" s="145">
        <f t="shared" si="1"/>
        <v>10000</v>
      </c>
      <c r="J36" s="145">
        <f t="shared" si="2"/>
        <v>0</v>
      </c>
      <c r="K36" s="142" t="str">
        <f t="shared" si="13"/>
        <v>l</v>
      </c>
      <c r="L36" s="146">
        <f>IFERROR(INDEX(Työkonekanta!$I$3:$I$27,MATCH('S0a Baseline'!$A36,Työkonekanta!$A$3:$A$24,0),1)*(I36+J36)*f_adblue,0)</f>
        <v>500</v>
      </c>
      <c r="M36" s="146">
        <f t="shared" si="3"/>
        <v>0</v>
      </c>
      <c r="N36" s="143" t="str">
        <f>IF(tuulisähkö_vuosi&lt;='S0a Baseline'!C36,"tuulisähkö",ostosähkö_nyt)</f>
        <v>jäännössähkö</v>
      </c>
      <c r="O36" s="147">
        <f>INDEX(Muuttujat!$J$5:$J$21,MATCH($C36,Muuttujat!$H$5:$H$21,0),1)</f>
        <v>68.554749999999999</v>
      </c>
      <c r="P36" s="342">
        <f>1-(INDEX(Muuttujat!$O$5:$O$21,MATCH($C36,Muuttujat!$N$5:$N$21,0),1))</f>
        <v>1</v>
      </c>
      <c r="Q36" s="342">
        <f>INDEX(Muuttujat!$O$5:$O$21,MATCH($C36,Muuttujat!$N$5:$N$21,0),1)</f>
        <v>0</v>
      </c>
      <c r="R36" s="148">
        <f>INDEX(Muuttujat!$P$5:$P$21,MATCH($C36,Muuttujat!$N$5:$N$21,0),1)</f>
        <v>0</v>
      </c>
      <c r="S36" s="149">
        <f t="shared" si="4"/>
        <v>6.785099999999999</v>
      </c>
      <c r="T36" s="150">
        <f t="shared" si="5"/>
        <v>0</v>
      </c>
      <c r="U36" s="150">
        <f t="shared" si="6"/>
        <v>0</v>
      </c>
      <c r="V36" s="150">
        <f>IFERROR(INDEX(Työkonekanta!$J$3:$J$27,MATCH($A36,Työkonekanta!$A$3:$A$24,0),1)*$B36*ef_li_ion_akku/1000/1000/INDEX(Työkonekanta!$K$3:$K$27,MATCH($A36,Työkonekanta!$A$3:$A$24,0)),0)</f>
        <v>0</v>
      </c>
      <c r="W36" s="149">
        <f t="shared" si="7"/>
        <v>26.497163285999999</v>
      </c>
      <c r="X36" s="150">
        <f t="shared" si="8"/>
        <v>0.31774565999999999</v>
      </c>
      <c r="Y36" s="151">
        <f t="shared" si="9"/>
        <v>0.13</v>
      </c>
      <c r="Z36" s="152">
        <f t="shared" si="14"/>
        <v>6.785099999999999</v>
      </c>
      <c r="AA36" s="153">
        <f t="shared" si="15"/>
        <v>26.627163285999998</v>
      </c>
      <c r="AB36" s="153">
        <f t="shared" si="16"/>
        <v>26.944908945999998</v>
      </c>
      <c r="AC36" s="154">
        <f t="shared" si="10"/>
        <v>33.412263285999998</v>
      </c>
      <c r="AD36" s="156">
        <f t="shared" si="17"/>
        <v>33.730008945999998</v>
      </c>
    </row>
    <row r="37" spans="1:30" s="144" customFormat="1">
      <c r="A37" s="139">
        <v>5</v>
      </c>
      <c r="B37" s="139">
        <f>IFERROR(INDEX(Työkonekanta!$F$3:$F$27,MATCH('S0a Baseline'!$A37,Työkonekanta!$A$3:$A$24,0),1),0)</f>
        <v>0</v>
      </c>
      <c r="C37" s="140">
        <v>2020</v>
      </c>
      <c r="D37" s="141" t="str">
        <f>IFERROR(INDEX(Työkonekanta!$D$3:$D$27,MATCH('S0a Baseline'!$A37,Työkonekanta!$A$3:$A$24,0),1),"undefined")</f>
        <v>sähkö</v>
      </c>
      <c r="E37" s="145">
        <f>IFERROR(INDEX(Työkonekanta!$G$3:$G$27,MATCH($A37,Työkonekanta!$A$3:$A$24,0),1)*INDEX(Työkonekanta!$H$3:$H$27,MATCH($A37,Työkonekanta!$A$3:$A$24,0),1)*$B37,0)</f>
        <v>0</v>
      </c>
      <c r="F37" s="344">
        <f t="shared" si="0"/>
        <v>0</v>
      </c>
      <c r="G37" s="344">
        <f t="shared" si="11"/>
        <v>0</v>
      </c>
      <c r="H37" s="344">
        <f t="shared" si="12"/>
        <v>0</v>
      </c>
      <c r="I37" s="145">
        <f t="shared" si="1"/>
        <v>0</v>
      </c>
      <c r="J37" s="145">
        <f t="shared" si="2"/>
        <v>0</v>
      </c>
      <c r="K37" s="142" t="str">
        <f t="shared" si="13"/>
        <v>kWh</v>
      </c>
      <c r="L37" s="146">
        <f>IFERROR(INDEX(Työkonekanta!$I$3:$I$27,MATCH('S0a Baseline'!$A37,Työkonekanta!$A$3:$A$24,0),1)*(I37+J37)*f_adblue,0)</f>
        <v>0</v>
      </c>
      <c r="M37" s="146">
        <f t="shared" si="3"/>
        <v>0</v>
      </c>
      <c r="N37" s="143" t="str">
        <f>IF(tuulisähkö_vuosi&lt;='S0a Baseline'!C37,"tuulisähkö",ostosähkö_nyt)</f>
        <v>jäännössähkö</v>
      </c>
      <c r="O37" s="147">
        <f>INDEX(Muuttujat!$J$5:$J$21,MATCH($C37,Muuttujat!$H$5:$H$21,0),1)</f>
        <v>68.554749999999999</v>
      </c>
      <c r="P37" s="342">
        <f>1-(INDEX(Muuttujat!$O$5:$O$21,MATCH($C37,Muuttujat!$N$5:$N$21,0),1))</f>
        <v>1</v>
      </c>
      <c r="Q37" s="342">
        <f>INDEX(Muuttujat!$O$5:$O$21,MATCH($C37,Muuttujat!$N$5:$N$21,0),1)</f>
        <v>0</v>
      </c>
      <c r="R37" s="148">
        <f>INDEX(Muuttujat!$P$5:$P$21,MATCH($C37,Muuttujat!$N$5:$N$21,0),1)</f>
        <v>0</v>
      </c>
      <c r="S37" s="149">
        <f t="shared" si="4"/>
        <v>0</v>
      </c>
      <c r="T37" s="150">
        <f t="shared" si="5"/>
        <v>0</v>
      </c>
      <c r="U37" s="150">
        <f t="shared" si="6"/>
        <v>0</v>
      </c>
      <c r="V37" s="150">
        <f>IFERROR(INDEX(Työkonekanta!$J$3:$J$27,MATCH($A37,Työkonekanta!$A$3:$A$24,0),1)*$B37*ef_li_ion_akku/1000/1000/INDEX(Työkonekanta!$K$3:$K$27,MATCH($A37,Työkonekanta!$A$3:$A$24,0)),0)</f>
        <v>0</v>
      </c>
      <c r="W37" s="149">
        <f t="shared" si="7"/>
        <v>0</v>
      </c>
      <c r="X37" s="150">
        <f t="shared" si="8"/>
        <v>0</v>
      </c>
      <c r="Y37" s="151">
        <f t="shared" si="9"/>
        <v>0</v>
      </c>
      <c r="Z37" s="152">
        <f t="shared" si="14"/>
        <v>0</v>
      </c>
      <c r="AA37" s="153">
        <f t="shared" si="15"/>
        <v>0</v>
      </c>
      <c r="AB37" s="153">
        <f t="shared" si="16"/>
        <v>0</v>
      </c>
      <c r="AC37" s="154">
        <f t="shared" si="10"/>
        <v>0</v>
      </c>
      <c r="AD37" s="156">
        <f t="shared" si="17"/>
        <v>0</v>
      </c>
    </row>
    <row r="38" spans="1:30" s="144" customFormat="1">
      <c r="A38" s="139">
        <v>6</v>
      </c>
      <c r="B38" s="139">
        <f>IFERROR(INDEX(Työkonekanta!$F$3:$F$27,MATCH('S0a Baseline'!$A38,Työkonekanta!$A$3:$A$24,0),1),0)</f>
        <v>0</v>
      </c>
      <c r="C38" s="140">
        <v>2020</v>
      </c>
      <c r="D38" s="141" t="str">
        <f>IFERROR(INDEX(Työkonekanta!$D$3:$D$27,MATCH('S0a Baseline'!$A38,Työkonekanta!$A$3:$A$24,0),1),"undefined")</f>
        <v>sähkö</v>
      </c>
      <c r="E38" s="145">
        <f>IFERROR(INDEX(Työkonekanta!$G$3:$G$27,MATCH($A38,Työkonekanta!$A$3:$A$24,0),1)*INDEX(Työkonekanta!$H$3:$H$27,MATCH($A38,Työkonekanta!$A$3:$A$24,0),1)*$B38,0)</f>
        <v>0</v>
      </c>
      <c r="F38" s="344">
        <f t="shared" si="0"/>
        <v>0</v>
      </c>
      <c r="G38" s="344">
        <f t="shared" si="11"/>
        <v>0</v>
      </c>
      <c r="H38" s="344">
        <f t="shared" si="12"/>
        <v>0</v>
      </c>
      <c r="I38" s="145">
        <f t="shared" si="1"/>
        <v>0</v>
      </c>
      <c r="J38" s="145">
        <f t="shared" si="2"/>
        <v>0</v>
      </c>
      <c r="K38" s="142" t="str">
        <f t="shared" si="13"/>
        <v>kWh</v>
      </c>
      <c r="L38" s="146">
        <f>IFERROR(INDEX(Työkonekanta!$I$3:$I$27,MATCH('S0a Baseline'!$A38,Työkonekanta!$A$3:$A$24,0),1)*(I38+J38)*f_adblue,0)</f>
        <v>0</v>
      </c>
      <c r="M38" s="146">
        <f t="shared" si="3"/>
        <v>0</v>
      </c>
      <c r="N38" s="143" t="str">
        <f>IF(tuulisähkö_vuosi&lt;='S0a Baseline'!C38,"tuulisähkö",ostosähkö_nyt)</f>
        <v>jäännössähkö</v>
      </c>
      <c r="O38" s="147">
        <f>INDEX(Muuttujat!$J$5:$J$21,MATCH($C38,Muuttujat!$H$5:$H$21,0),1)</f>
        <v>68.554749999999999</v>
      </c>
      <c r="P38" s="342">
        <f>1-(INDEX(Muuttujat!$O$5:$O$21,MATCH($C38,Muuttujat!$N$5:$N$21,0),1))</f>
        <v>1</v>
      </c>
      <c r="Q38" s="342">
        <f>INDEX(Muuttujat!$O$5:$O$21,MATCH($C38,Muuttujat!$N$5:$N$21,0),1)</f>
        <v>0</v>
      </c>
      <c r="R38" s="148">
        <f>INDEX(Muuttujat!$P$5:$P$21,MATCH($C38,Muuttujat!$N$5:$N$21,0),1)</f>
        <v>0</v>
      </c>
      <c r="S38" s="149">
        <f t="shared" si="4"/>
        <v>0</v>
      </c>
      <c r="T38" s="150">
        <f t="shared" si="5"/>
        <v>0</v>
      </c>
      <c r="U38" s="150">
        <f t="shared" si="6"/>
        <v>0</v>
      </c>
      <c r="V38" s="150">
        <f>IFERROR(INDEX(Työkonekanta!$J$3:$J$27,MATCH($A38,Työkonekanta!$A$3:$A$24,0),1)*$B38*ef_li_ion_akku/1000/1000/INDEX(Työkonekanta!$K$3:$K$27,MATCH($A38,Työkonekanta!$A$3:$A$24,0)),0)</f>
        <v>0</v>
      </c>
      <c r="W38" s="149">
        <f t="shared" si="7"/>
        <v>0</v>
      </c>
      <c r="X38" s="150">
        <f t="shared" si="8"/>
        <v>0</v>
      </c>
      <c r="Y38" s="151">
        <f t="shared" si="9"/>
        <v>0</v>
      </c>
      <c r="Z38" s="152">
        <f t="shared" si="14"/>
        <v>0</v>
      </c>
      <c r="AA38" s="153">
        <f t="shared" si="15"/>
        <v>0</v>
      </c>
      <c r="AB38" s="153">
        <f t="shared" si="16"/>
        <v>0</v>
      </c>
      <c r="AC38" s="154">
        <f t="shared" si="10"/>
        <v>0</v>
      </c>
      <c r="AD38" s="156">
        <f t="shared" si="17"/>
        <v>0</v>
      </c>
    </row>
    <row r="39" spans="1:30" s="144" customFormat="1">
      <c r="A39" s="139">
        <v>7</v>
      </c>
      <c r="B39" s="139">
        <f>IFERROR(INDEX(Työkonekanta!$F$3:$F$27,MATCH('S0a Baseline'!$A39,Työkonekanta!$A$3:$A$24,0),1),0)</f>
        <v>1</v>
      </c>
      <c r="C39" s="140">
        <v>2020</v>
      </c>
      <c r="D39" s="141" t="str">
        <f>IFERROR(INDEX(Työkonekanta!$D$3:$D$27,MATCH('S0a Baseline'!$A39,Työkonekanta!$A$3:$A$24,0),1),"undefined")</f>
        <v>pom</v>
      </c>
      <c r="E39" s="145">
        <f>IFERROR(INDEX(Työkonekanta!$G$3:$G$27,MATCH($A39,Työkonekanta!$A$3:$A$24,0),1)*INDEX(Työkonekanta!$H$3:$H$27,MATCH($A39,Työkonekanta!$A$3:$A$24,0),1)*$B39,0)</f>
        <v>10000</v>
      </c>
      <c r="F39" s="344">
        <f t="shared" si="0"/>
        <v>359000</v>
      </c>
      <c r="G39" s="344">
        <f t="shared" si="11"/>
        <v>359000</v>
      </c>
      <c r="H39" s="344">
        <f t="shared" si="12"/>
        <v>0</v>
      </c>
      <c r="I39" s="145">
        <f t="shared" si="1"/>
        <v>10000</v>
      </c>
      <c r="J39" s="145">
        <f t="shared" si="2"/>
        <v>0</v>
      </c>
      <c r="K39" s="142" t="str">
        <f t="shared" si="13"/>
        <v>l</v>
      </c>
      <c r="L39" s="146">
        <f>IFERROR(INDEX(Työkonekanta!$I$3:$I$27,MATCH('S0a Baseline'!$A39,Työkonekanta!$A$3:$A$24,0),1)*(I39+J39)*f_adblue,0)</f>
        <v>0</v>
      </c>
      <c r="M39" s="146">
        <f t="shared" si="3"/>
        <v>0</v>
      </c>
      <c r="N39" s="143" t="str">
        <f>IF(tuulisähkö_vuosi&lt;='S0a Baseline'!C39,"tuulisähkö",ostosähkö_nyt)</f>
        <v>jäännössähkö</v>
      </c>
      <c r="O39" s="147">
        <f>INDEX(Muuttujat!$J$5:$J$21,MATCH($C39,Muuttujat!$H$5:$H$21,0),1)</f>
        <v>68.554749999999999</v>
      </c>
      <c r="P39" s="342">
        <f>1-(INDEX(Muuttujat!$O$5:$O$21,MATCH($C39,Muuttujat!$N$5:$N$21,0),1))</f>
        <v>1</v>
      </c>
      <c r="Q39" s="342">
        <f>INDEX(Muuttujat!$O$5:$O$21,MATCH($C39,Muuttujat!$N$5:$N$21,0),1)</f>
        <v>0</v>
      </c>
      <c r="R39" s="148">
        <f>INDEX(Muuttujat!$P$5:$P$21,MATCH($C39,Muuttujat!$N$5:$N$21,0),1)</f>
        <v>0</v>
      </c>
      <c r="S39" s="149">
        <f t="shared" si="4"/>
        <v>6.785099999999999</v>
      </c>
      <c r="T39" s="150">
        <f t="shared" si="5"/>
        <v>0</v>
      </c>
      <c r="U39" s="150">
        <f t="shared" si="6"/>
        <v>0</v>
      </c>
      <c r="V39" s="150">
        <f>IFERROR(INDEX(Työkonekanta!$J$3:$J$27,MATCH($A39,Työkonekanta!$A$3:$A$24,0),1)*$B39*ef_li_ion_akku/1000/1000/INDEX(Työkonekanta!$K$3:$K$27,MATCH($A39,Työkonekanta!$A$3:$A$24,0)),0)</f>
        <v>0</v>
      </c>
      <c r="W39" s="149">
        <f t="shared" si="7"/>
        <v>26.497163285999999</v>
      </c>
      <c r="X39" s="150">
        <f t="shared" si="8"/>
        <v>0.31774565999999999</v>
      </c>
      <c r="Y39" s="151">
        <f t="shared" si="9"/>
        <v>0</v>
      </c>
      <c r="Z39" s="152">
        <f t="shared" si="14"/>
        <v>6.785099999999999</v>
      </c>
      <c r="AA39" s="153">
        <f t="shared" si="15"/>
        <v>26.497163285999999</v>
      </c>
      <c r="AB39" s="153">
        <f t="shared" si="16"/>
        <v>26.814908945999999</v>
      </c>
      <c r="AC39" s="154">
        <f t="shared" si="10"/>
        <v>33.282263285999996</v>
      </c>
      <c r="AD39" s="156">
        <f t="shared" si="17"/>
        <v>33.600008945999996</v>
      </c>
    </row>
    <row r="40" spans="1:30" s="144" customFormat="1">
      <c r="A40" s="139">
        <v>8</v>
      </c>
      <c r="B40" s="139">
        <f>IFERROR(INDEX(Työkonekanta!$F$3:$F$27,MATCH('S0a Baseline'!$A40,Työkonekanta!$A$3:$A$24,0),1),0)</f>
        <v>1</v>
      </c>
      <c r="C40" s="140">
        <v>2020</v>
      </c>
      <c r="D40" s="141" t="str">
        <f>IFERROR(INDEX(Työkonekanta!$D$3:$D$27,MATCH('S0a Baseline'!$A40,Työkonekanta!$A$3:$A$24,0),1),"undefined")</f>
        <v>pom</v>
      </c>
      <c r="E40" s="145">
        <f>IFERROR(INDEX(Työkonekanta!$G$3:$G$27,MATCH($A40,Työkonekanta!$A$3:$A$24,0),1)*INDEX(Työkonekanta!$H$3:$H$27,MATCH($A40,Työkonekanta!$A$3:$A$24,0),1)*$B40,0)</f>
        <v>10000</v>
      </c>
      <c r="F40" s="344">
        <f t="shared" si="0"/>
        <v>359000</v>
      </c>
      <c r="G40" s="344">
        <f t="shared" si="11"/>
        <v>359000</v>
      </c>
      <c r="H40" s="344">
        <f t="shared" si="12"/>
        <v>0</v>
      </c>
      <c r="I40" s="145">
        <f t="shared" si="1"/>
        <v>10000</v>
      </c>
      <c r="J40" s="145">
        <f t="shared" si="2"/>
        <v>0</v>
      </c>
      <c r="K40" s="142" t="str">
        <f t="shared" si="13"/>
        <v>l</v>
      </c>
      <c r="L40" s="146">
        <f>IFERROR(INDEX(Työkonekanta!$I$3:$I$27,MATCH('S0a Baseline'!$A40,Työkonekanta!$A$3:$A$24,0),1)*(I40+J40)*f_adblue,0)</f>
        <v>500</v>
      </c>
      <c r="M40" s="146">
        <f t="shared" si="3"/>
        <v>0</v>
      </c>
      <c r="N40" s="143" t="str">
        <f>IF(tuulisähkö_vuosi&lt;='S0a Baseline'!C40,"tuulisähkö",ostosähkö_nyt)</f>
        <v>jäännössähkö</v>
      </c>
      <c r="O40" s="147">
        <f>INDEX(Muuttujat!$J$5:$J$21,MATCH($C40,Muuttujat!$H$5:$H$21,0),1)</f>
        <v>68.554749999999999</v>
      </c>
      <c r="P40" s="342">
        <f>1-(INDEX(Muuttujat!$O$5:$O$21,MATCH($C40,Muuttujat!$N$5:$N$21,0),1))</f>
        <v>1</v>
      </c>
      <c r="Q40" s="342">
        <f>INDEX(Muuttujat!$O$5:$O$21,MATCH($C40,Muuttujat!$N$5:$N$21,0),1)</f>
        <v>0</v>
      </c>
      <c r="R40" s="148">
        <f>INDEX(Muuttujat!$P$5:$P$21,MATCH($C40,Muuttujat!$N$5:$N$21,0),1)</f>
        <v>0</v>
      </c>
      <c r="S40" s="149">
        <f t="shared" si="4"/>
        <v>6.785099999999999</v>
      </c>
      <c r="T40" s="150">
        <f t="shared" si="5"/>
        <v>0</v>
      </c>
      <c r="U40" s="150">
        <f t="shared" si="6"/>
        <v>0</v>
      </c>
      <c r="V40" s="150">
        <f>IFERROR(INDEX(Työkonekanta!$J$3:$J$27,MATCH($A40,Työkonekanta!$A$3:$A$24,0),1)*$B40*ef_li_ion_akku/1000/1000/INDEX(Työkonekanta!$K$3:$K$27,MATCH($A40,Työkonekanta!$A$3:$A$24,0)),0)</f>
        <v>0</v>
      </c>
      <c r="W40" s="149">
        <f t="shared" si="7"/>
        <v>26.497163285999999</v>
      </c>
      <c r="X40" s="150">
        <f t="shared" si="8"/>
        <v>0.31774565999999999</v>
      </c>
      <c r="Y40" s="151">
        <f t="shared" si="9"/>
        <v>0.13</v>
      </c>
      <c r="Z40" s="152">
        <f t="shared" si="14"/>
        <v>6.785099999999999</v>
      </c>
      <c r="AA40" s="153">
        <f t="shared" si="15"/>
        <v>26.627163285999998</v>
      </c>
      <c r="AB40" s="153">
        <f t="shared" si="16"/>
        <v>26.944908945999998</v>
      </c>
      <c r="AC40" s="154">
        <f t="shared" si="10"/>
        <v>33.412263285999998</v>
      </c>
      <c r="AD40" s="156">
        <f t="shared" si="17"/>
        <v>33.730008945999998</v>
      </c>
    </row>
    <row r="41" spans="1:30" s="144" customFormat="1">
      <c r="A41" s="139">
        <v>9</v>
      </c>
      <c r="B41" s="139">
        <f>IFERROR(INDEX(Työkonekanta!$F$3:$F$27,MATCH('S0a Baseline'!$A41,Työkonekanta!$A$3:$A$24,0),1),0)</f>
        <v>0</v>
      </c>
      <c r="C41" s="140">
        <v>2020</v>
      </c>
      <c r="D41" s="141" t="str">
        <f>IFERROR(INDEX(Työkonekanta!$D$3:$D$27,MATCH('S0a Baseline'!$A41,Työkonekanta!$A$3:$A$24,0),1),"undefined")</f>
        <v>sähkö</v>
      </c>
      <c r="E41" s="145">
        <f>IFERROR(INDEX(Työkonekanta!$G$3:$G$27,MATCH($A41,Työkonekanta!$A$3:$A$24,0),1)*INDEX(Työkonekanta!$H$3:$H$27,MATCH($A41,Työkonekanta!$A$3:$A$24,0),1)*$B41,0)</f>
        <v>0</v>
      </c>
      <c r="F41" s="344">
        <f t="shared" si="0"/>
        <v>0</v>
      </c>
      <c r="G41" s="344">
        <f t="shared" si="11"/>
        <v>0</v>
      </c>
      <c r="H41" s="344">
        <f t="shared" si="12"/>
        <v>0</v>
      </c>
      <c r="I41" s="145">
        <f t="shared" si="1"/>
        <v>0</v>
      </c>
      <c r="J41" s="145">
        <f t="shared" si="2"/>
        <v>0</v>
      </c>
      <c r="K41" s="142" t="str">
        <f t="shared" si="13"/>
        <v>kWh</v>
      </c>
      <c r="L41" s="146">
        <f>IFERROR(INDEX(Työkonekanta!$I$3:$I$27,MATCH('S0a Baseline'!$A41,Työkonekanta!$A$3:$A$24,0),1)*(I41+J41)*f_adblue,0)</f>
        <v>0</v>
      </c>
      <c r="M41" s="146">
        <f t="shared" si="3"/>
        <v>0</v>
      </c>
      <c r="N41" s="143" t="str">
        <f>IF(tuulisähkö_vuosi&lt;='S0a Baseline'!C41,"tuulisähkö",ostosähkö_nyt)</f>
        <v>jäännössähkö</v>
      </c>
      <c r="O41" s="147">
        <f>INDEX(Muuttujat!$J$5:$J$21,MATCH($C41,Muuttujat!$H$5:$H$21,0),1)</f>
        <v>68.554749999999999</v>
      </c>
      <c r="P41" s="342">
        <f>1-(INDEX(Muuttujat!$O$5:$O$21,MATCH($C41,Muuttujat!$N$5:$N$21,0),1))</f>
        <v>1</v>
      </c>
      <c r="Q41" s="342">
        <f>INDEX(Muuttujat!$O$5:$O$21,MATCH($C41,Muuttujat!$N$5:$N$21,0),1)</f>
        <v>0</v>
      </c>
      <c r="R41" s="148">
        <f>INDEX(Muuttujat!$P$5:$P$21,MATCH($C41,Muuttujat!$N$5:$N$21,0),1)</f>
        <v>0</v>
      </c>
      <c r="S41" s="149">
        <f t="shared" si="4"/>
        <v>0</v>
      </c>
      <c r="T41" s="150">
        <f t="shared" si="5"/>
        <v>0</v>
      </c>
      <c r="U41" s="150">
        <f t="shared" si="6"/>
        <v>0</v>
      </c>
      <c r="V41" s="150">
        <f>IFERROR(INDEX(Työkonekanta!$J$3:$J$27,MATCH($A41,Työkonekanta!$A$3:$A$24,0),1)*$B41*ef_li_ion_akku/1000/1000/INDEX(Työkonekanta!$K$3:$K$27,MATCH($A41,Työkonekanta!$A$3:$A$24,0)),0)</f>
        <v>0</v>
      </c>
      <c r="W41" s="149">
        <f t="shared" si="7"/>
        <v>0</v>
      </c>
      <c r="X41" s="150">
        <f t="shared" si="8"/>
        <v>0</v>
      </c>
      <c r="Y41" s="151">
        <f t="shared" si="9"/>
        <v>0</v>
      </c>
      <c r="Z41" s="152">
        <f t="shared" si="14"/>
        <v>0</v>
      </c>
      <c r="AA41" s="153">
        <f t="shared" si="15"/>
        <v>0</v>
      </c>
      <c r="AB41" s="153">
        <f t="shared" si="16"/>
        <v>0</v>
      </c>
      <c r="AC41" s="154">
        <f t="shared" si="10"/>
        <v>0</v>
      </c>
      <c r="AD41" s="156">
        <f t="shared" si="17"/>
        <v>0</v>
      </c>
    </row>
    <row r="42" spans="1:30" s="144" customFormat="1">
      <c r="A42" s="139">
        <v>10</v>
      </c>
      <c r="B42" s="139">
        <f>IFERROR(INDEX(Työkonekanta!$F$3:$F$27,MATCH('S0a Baseline'!$A42,Työkonekanta!$A$3:$A$24,0),1),0)</f>
        <v>0</v>
      </c>
      <c r="C42" s="140">
        <v>2020</v>
      </c>
      <c r="D42" s="141" t="str">
        <f>IFERROR(INDEX(Työkonekanta!$D$3:$D$27,MATCH('S0a Baseline'!$A42,Työkonekanta!$A$3:$A$24,0),1),"undefined")</f>
        <v>sähkö</v>
      </c>
      <c r="E42" s="145">
        <f>IFERROR(INDEX(Työkonekanta!$G$3:$G$27,MATCH($A42,Työkonekanta!$A$3:$A$24,0),1)*INDEX(Työkonekanta!$H$3:$H$27,MATCH($A42,Työkonekanta!$A$3:$A$24,0),1)*$B42,0)</f>
        <v>0</v>
      </c>
      <c r="F42" s="344">
        <f t="shared" si="0"/>
        <v>0</v>
      </c>
      <c r="G42" s="344">
        <f t="shared" si="11"/>
        <v>0</v>
      </c>
      <c r="H42" s="344">
        <f t="shared" si="12"/>
        <v>0</v>
      </c>
      <c r="I42" s="145">
        <f t="shared" si="1"/>
        <v>0</v>
      </c>
      <c r="J42" s="145">
        <f t="shared" si="2"/>
        <v>0</v>
      </c>
      <c r="K42" s="142" t="str">
        <f t="shared" si="13"/>
        <v>kWh</v>
      </c>
      <c r="L42" s="146">
        <f>IFERROR(INDEX(Työkonekanta!$I$3:$I$27,MATCH('S0a Baseline'!$A42,Työkonekanta!$A$3:$A$24,0),1)*(I42+J42)*f_adblue,0)</f>
        <v>0</v>
      </c>
      <c r="M42" s="146">
        <f t="shared" si="3"/>
        <v>0</v>
      </c>
      <c r="N42" s="143" t="str">
        <f>IF(tuulisähkö_vuosi&lt;='S0a Baseline'!C42,"tuulisähkö",ostosähkö_nyt)</f>
        <v>jäännössähkö</v>
      </c>
      <c r="O42" s="147">
        <f>INDEX(Muuttujat!$J$5:$J$21,MATCH($C42,Muuttujat!$H$5:$H$21,0),1)</f>
        <v>68.554749999999999</v>
      </c>
      <c r="P42" s="342">
        <f>1-(INDEX(Muuttujat!$O$5:$O$21,MATCH($C42,Muuttujat!$N$5:$N$21,0),1))</f>
        <v>1</v>
      </c>
      <c r="Q42" s="342">
        <f>INDEX(Muuttujat!$O$5:$O$21,MATCH($C42,Muuttujat!$N$5:$N$21,0),1)</f>
        <v>0</v>
      </c>
      <c r="R42" s="148">
        <f>INDEX(Muuttujat!$P$5:$P$21,MATCH($C42,Muuttujat!$N$5:$N$21,0),1)</f>
        <v>0</v>
      </c>
      <c r="S42" s="149">
        <f t="shared" si="4"/>
        <v>0</v>
      </c>
      <c r="T42" s="150">
        <f t="shared" si="5"/>
        <v>0</v>
      </c>
      <c r="U42" s="150">
        <f t="shared" si="6"/>
        <v>0</v>
      </c>
      <c r="V42" s="150">
        <f>IFERROR(INDEX(Työkonekanta!$J$3:$J$27,MATCH($A42,Työkonekanta!$A$3:$A$24,0),1)*$B42*ef_li_ion_akku/1000/1000/INDEX(Työkonekanta!$K$3:$K$27,MATCH($A42,Työkonekanta!$A$3:$A$24,0)),0)</f>
        <v>0</v>
      </c>
      <c r="W42" s="149">
        <f t="shared" si="7"/>
        <v>0</v>
      </c>
      <c r="X42" s="150">
        <f t="shared" si="8"/>
        <v>0</v>
      </c>
      <c r="Y42" s="151">
        <f t="shared" si="9"/>
        <v>0</v>
      </c>
      <c r="Z42" s="152">
        <f t="shared" si="14"/>
        <v>0</v>
      </c>
      <c r="AA42" s="153">
        <f t="shared" si="15"/>
        <v>0</v>
      </c>
      <c r="AB42" s="153">
        <f t="shared" si="16"/>
        <v>0</v>
      </c>
      <c r="AC42" s="154">
        <f t="shared" si="10"/>
        <v>0</v>
      </c>
      <c r="AD42" s="156">
        <f t="shared" si="17"/>
        <v>0</v>
      </c>
    </row>
    <row r="43" spans="1:30" s="144" customFormat="1">
      <c r="A43" s="139">
        <v>11</v>
      </c>
      <c r="B43" s="139">
        <f>IFERROR(INDEX(Työkonekanta!$F$3:$F$27,MATCH('S0a Baseline'!$A43,Työkonekanta!$A$3:$A$24,0),1),0)</f>
        <v>1</v>
      </c>
      <c r="C43" s="140">
        <v>2020</v>
      </c>
      <c r="D43" s="141" t="str">
        <f>IFERROR(INDEX(Työkonekanta!$D$3:$D$27,MATCH('S0a Baseline'!$A43,Työkonekanta!$A$3:$A$24,0),1),"undefined")</f>
        <v>pom</v>
      </c>
      <c r="E43" s="145">
        <f>IFERROR(INDEX(Työkonekanta!$G$3:$G$27,MATCH($A43,Työkonekanta!$A$3:$A$24,0),1)*INDEX(Työkonekanta!$H$3:$H$27,MATCH($A43,Työkonekanta!$A$3:$A$24,0),1)*$B43,0)</f>
        <v>10000</v>
      </c>
      <c r="F43" s="344">
        <f t="shared" si="0"/>
        <v>359000</v>
      </c>
      <c r="G43" s="344">
        <f t="shared" si="11"/>
        <v>359000</v>
      </c>
      <c r="H43" s="344">
        <f t="shared" si="12"/>
        <v>0</v>
      </c>
      <c r="I43" s="145">
        <f t="shared" si="1"/>
        <v>10000</v>
      </c>
      <c r="J43" s="145">
        <f t="shared" si="2"/>
        <v>0</v>
      </c>
      <c r="K43" s="142" t="str">
        <f t="shared" si="13"/>
        <v>l</v>
      </c>
      <c r="L43" s="146">
        <f>IFERROR(INDEX(Työkonekanta!$I$3:$I$27,MATCH('S0a Baseline'!$A43,Työkonekanta!$A$3:$A$24,0),1)*(I43+J43)*f_adblue,0)</f>
        <v>500</v>
      </c>
      <c r="M43" s="146">
        <f t="shared" si="3"/>
        <v>0</v>
      </c>
      <c r="N43" s="143" t="str">
        <f>IF(tuulisähkö_vuosi&lt;='S0a Baseline'!C43,"tuulisähkö",ostosähkö_nyt)</f>
        <v>jäännössähkö</v>
      </c>
      <c r="O43" s="147">
        <f>INDEX(Muuttujat!$J$5:$J$21,MATCH($C43,Muuttujat!$H$5:$H$21,0),1)</f>
        <v>68.554749999999999</v>
      </c>
      <c r="P43" s="342">
        <f>1-(INDEX(Muuttujat!$O$5:$O$21,MATCH($C43,Muuttujat!$N$5:$N$21,0),1))</f>
        <v>1</v>
      </c>
      <c r="Q43" s="342">
        <f>INDEX(Muuttujat!$O$5:$O$21,MATCH($C43,Muuttujat!$N$5:$N$21,0),1)</f>
        <v>0</v>
      </c>
      <c r="R43" s="148">
        <f>INDEX(Muuttujat!$P$5:$P$21,MATCH($C43,Muuttujat!$N$5:$N$21,0),1)</f>
        <v>0</v>
      </c>
      <c r="S43" s="149">
        <f t="shared" si="4"/>
        <v>6.785099999999999</v>
      </c>
      <c r="T43" s="150">
        <f t="shared" si="5"/>
        <v>0</v>
      </c>
      <c r="U43" s="150">
        <f t="shared" si="6"/>
        <v>0</v>
      </c>
      <c r="V43" s="150">
        <f>IFERROR(INDEX(Työkonekanta!$J$3:$J$27,MATCH($A43,Työkonekanta!$A$3:$A$24,0),1)*$B43*ef_li_ion_akku/1000/1000/INDEX(Työkonekanta!$K$3:$K$27,MATCH($A43,Työkonekanta!$A$3:$A$24,0)),0)</f>
        <v>0</v>
      </c>
      <c r="W43" s="149">
        <f t="shared" si="7"/>
        <v>26.497163285999999</v>
      </c>
      <c r="X43" s="150">
        <f t="shared" si="8"/>
        <v>0.31774565999999999</v>
      </c>
      <c r="Y43" s="151">
        <f t="shared" si="9"/>
        <v>0.13</v>
      </c>
      <c r="Z43" s="152">
        <f t="shared" si="14"/>
        <v>6.785099999999999</v>
      </c>
      <c r="AA43" s="153">
        <f t="shared" si="15"/>
        <v>26.627163285999998</v>
      </c>
      <c r="AB43" s="153">
        <f t="shared" si="16"/>
        <v>26.944908945999998</v>
      </c>
      <c r="AC43" s="154">
        <f t="shared" si="10"/>
        <v>33.412263285999998</v>
      </c>
      <c r="AD43" s="156">
        <f t="shared" si="17"/>
        <v>33.730008945999998</v>
      </c>
    </row>
    <row r="44" spans="1:30" s="144" customFormat="1">
      <c r="A44" s="139">
        <v>12</v>
      </c>
      <c r="B44" s="139">
        <f>IFERROR(INDEX(Työkonekanta!$F$3:$F$27,MATCH('S0a Baseline'!$A44,Työkonekanta!$A$3:$A$24,0),1),0)</f>
        <v>1</v>
      </c>
      <c r="C44" s="140">
        <v>2020</v>
      </c>
      <c r="D44" s="141" t="str">
        <f>IFERROR(INDEX(Työkonekanta!$D$3:$D$27,MATCH('S0a Baseline'!$A44,Työkonekanta!$A$3:$A$24,0),1),"undefined")</f>
        <v>pom</v>
      </c>
      <c r="E44" s="145">
        <f>IFERROR(INDEX(Työkonekanta!$G$3:$G$27,MATCH($A44,Työkonekanta!$A$3:$A$24,0),1)*INDEX(Työkonekanta!$H$3:$H$27,MATCH($A44,Työkonekanta!$A$3:$A$24,0),1)*$B44,0)</f>
        <v>10000</v>
      </c>
      <c r="F44" s="344">
        <f t="shared" si="0"/>
        <v>359000</v>
      </c>
      <c r="G44" s="344">
        <f t="shared" si="11"/>
        <v>359000</v>
      </c>
      <c r="H44" s="344">
        <f t="shared" si="12"/>
        <v>0</v>
      </c>
      <c r="I44" s="145">
        <f t="shared" si="1"/>
        <v>10000</v>
      </c>
      <c r="J44" s="145">
        <f t="shared" si="2"/>
        <v>0</v>
      </c>
      <c r="K44" s="142" t="str">
        <f t="shared" si="13"/>
        <v>l</v>
      </c>
      <c r="L44" s="146">
        <f>IFERROR(INDEX(Työkonekanta!$I$3:$I$27,MATCH('S0a Baseline'!$A44,Työkonekanta!$A$3:$A$24,0),1)*(I44+J44)*f_adblue,0)</f>
        <v>500</v>
      </c>
      <c r="M44" s="146">
        <f t="shared" si="3"/>
        <v>0</v>
      </c>
      <c r="N44" s="143" t="str">
        <f>IF(tuulisähkö_vuosi&lt;='S0a Baseline'!C44,"tuulisähkö",ostosähkö_nyt)</f>
        <v>jäännössähkö</v>
      </c>
      <c r="O44" s="147">
        <f>INDEX(Muuttujat!$J$5:$J$21,MATCH($C44,Muuttujat!$H$5:$H$21,0),1)</f>
        <v>68.554749999999999</v>
      </c>
      <c r="P44" s="342">
        <f>1-(INDEX(Muuttujat!$O$5:$O$21,MATCH($C44,Muuttujat!$N$5:$N$21,0),1))</f>
        <v>1</v>
      </c>
      <c r="Q44" s="342">
        <f>INDEX(Muuttujat!$O$5:$O$21,MATCH($C44,Muuttujat!$N$5:$N$21,0),1)</f>
        <v>0</v>
      </c>
      <c r="R44" s="148">
        <f>INDEX(Muuttujat!$P$5:$P$21,MATCH($C44,Muuttujat!$N$5:$N$21,0),1)</f>
        <v>0</v>
      </c>
      <c r="S44" s="149">
        <f t="shared" si="4"/>
        <v>6.785099999999999</v>
      </c>
      <c r="T44" s="150">
        <f t="shared" si="5"/>
        <v>0</v>
      </c>
      <c r="U44" s="150">
        <f t="shared" si="6"/>
        <v>0</v>
      </c>
      <c r="V44" s="150">
        <f>IFERROR(INDEX(Työkonekanta!$J$3:$J$27,MATCH($A44,Työkonekanta!$A$3:$A$24,0),1)*$B44*ef_li_ion_akku/1000/1000/INDEX(Työkonekanta!$K$3:$K$27,MATCH($A44,Työkonekanta!$A$3:$A$24,0)),0)</f>
        <v>0</v>
      </c>
      <c r="W44" s="149">
        <f t="shared" si="7"/>
        <v>26.497163285999999</v>
      </c>
      <c r="X44" s="150">
        <f t="shared" si="8"/>
        <v>0.31774565999999999</v>
      </c>
      <c r="Y44" s="151">
        <f t="shared" si="9"/>
        <v>0.13</v>
      </c>
      <c r="Z44" s="152">
        <f t="shared" si="14"/>
        <v>6.785099999999999</v>
      </c>
      <c r="AA44" s="153">
        <f t="shared" si="15"/>
        <v>26.627163285999998</v>
      </c>
      <c r="AB44" s="153">
        <f t="shared" si="16"/>
        <v>26.944908945999998</v>
      </c>
      <c r="AC44" s="154">
        <f t="shared" si="10"/>
        <v>33.412263285999998</v>
      </c>
      <c r="AD44" s="156">
        <f t="shared" si="17"/>
        <v>33.730008945999998</v>
      </c>
    </row>
    <row r="45" spans="1:30" s="144" customFormat="1">
      <c r="A45" s="139">
        <v>13</v>
      </c>
      <c r="B45" s="139">
        <f>IFERROR(INDEX(Työkonekanta!$F$3:$F$27,MATCH('S0a Baseline'!$A45,Työkonekanta!$A$3:$A$24,0),1),0)</f>
        <v>0</v>
      </c>
      <c r="C45" s="140">
        <v>2020</v>
      </c>
      <c r="D45" s="141" t="str">
        <f>IFERROR(INDEX(Työkonekanta!$D$3:$D$27,MATCH('S0a Baseline'!$A45,Työkonekanta!$A$3:$A$24,0),1),"undefined")</f>
        <v>pom</v>
      </c>
      <c r="E45" s="145">
        <f>IFERROR(INDEX(Työkonekanta!$G$3:$G$27,MATCH($A45,Työkonekanta!$A$3:$A$24,0),1)*INDEX(Työkonekanta!$H$3:$H$27,MATCH($A45,Työkonekanta!$A$3:$A$24,0),1)*$B45,0)</f>
        <v>0</v>
      </c>
      <c r="F45" s="344">
        <f t="shared" si="0"/>
        <v>0</v>
      </c>
      <c r="G45" s="344">
        <f t="shared" si="11"/>
        <v>0</v>
      </c>
      <c r="H45" s="344">
        <f t="shared" si="12"/>
        <v>0</v>
      </c>
      <c r="I45" s="145">
        <f t="shared" si="1"/>
        <v>0</v>
      </c>
      <c r="J45" s="145">
        <f t="shared" si="2"/>
        <v>0</v>
      </c>
      <c r="K45" s="142" t="str">
        <f t="shared" si="13"/>
        <v>l</v>
      </c>
      <c r="L45" s="146">
        <f>IFERROR(INDEX(Työkonekanta!$I$3:$I$27,MATCH('S0a Baseline'!$A45,Työkonekanta!$A$3:$A$24,0),1)*(I45+J45)*f_adblue,0)</f>
        <v>0</v>
      </c>
      <c r="M45" s="146">
        <f t="shared" si="3"/>
        <v>0</v>
      </c>
      <c r="N45" s="143" t="str">
        <f>IF(tuulisähkö_vuosi&lt;='S0a Baseline'!C45,"tuulisähkö",ostosähkö_nyt)</f>
        <v>jäännössähkö</v>
      </c>
      <c r="O45" s="147">
        <f>INDEX(Muuttujat!$J$5:$J$21,MATCH($C45,Muuttujat!$H$5:$H$21,0),1)</f>
        <v>68.554749999999999</v>
      </c>
      <c r="P45" s="342">
        <f>1-(INDEX(Muuttujat!$O$5:$O$21,MATCH($C45,Muuttujat!$N$5:$N$21,0),1))</f>
        <v>1</v>
      </c>
      <c r="Q45" s="342">
        <f>INDEX(Muuttujat!$O$5:$O$21,MATCH($C45,Muuttujat!$N$5:$N$21,0),1)</f>
        <v>0</v>
      </c>
      <c r="R45" s="148">
        <f>INDEX(Muuttujat!$P$5:$P$21,MATCH($C45,Muuttujat!$N$5:$N$21,0),1)</f>
        <v>0</v>
      </c>
      <c r="S45" s="149">
        <f t="shared" si="4"/>
        <v>0</v>
      </c>
      <c r="T45" s="150">
        <f t="shared" si="5"/>
        <v>0</v>
      </c>
      <c r="U45" s="150">
        <f t="shared" si="6"/>
        <v>0</v>
      </c>
      <c r="V45" s="150">
        <f>IFERROR(INDEX(Työkonekanta!$J$3:$J$27,MATCH($A45,Työkonekanta!$A$3:$A$24,0),1)*$B45*ef_li_ion_akku/1000/1000/INDEX(Työkonekanta!$K$3:$K$27,MATCH($A45,Työkonekanta!$A$3:$A$24,0)),0)</f>
        <v>0</v>
      </c>
      <c r="W45" s="149">
        <f t="shared" si="7"/>
        <v>0</v>
      </c>
      <c r="X45" s="150">
        <f t="shared" si="8"/>
        <v>0</v>
      </c>
      <c r="Y45" s="151">
        <f t="shared" si="9"/>
        <v>0</v>
      </c>
      <c r="Z45" s="152">
        <f t="shared" si="14"/>
        <v>0</v>
      </c>
      <c r="AA45" s="153">
        <f t="shared" si="15"/>
        <v>0</v>
      </c>
      <c r="AB45" s="153">
        <f t="shared" si="16"/>
        <v>0</v>
      </c>
      <c r="AC45" s="154">
        <f t="shared" si="10"/>
        <v>0</v>
      </c>
      <c r="AD45" s="156">
        <f t="shared" si="17"/>
        <v>0</v>
      </c>
    </row>
    <row r="46" spans="1:30" s="144" customFormat="1">
      <c r="A46" s="139">
        <v>14</v>
      </c>
      <c r="B46" s="139">
        <f>IFERROR(INDEX(Työkonekanta!$F$3:$F$27,MATCH('S0a Baseline'!$A46,Työkonekanta!$A$3:$A$24,0),1),0)</f>
        <v>0</v>
      </c>
      <c r="C46" s="140">
        <v>2020</v>
      </c>
      <c r="D46" s="141" t="str">
        <f>IFERROR(INDEX(Työkonekanta!$D$3:$D$27,MATCH('S0a Baseline'!$A46,Työkonekanta!$A$3:$A$24,0),1),"undefined")</f>
        <v>pom</v>
      </c>
      <c r="E46" s="145">
        <f>IFERROR(INDEX(Työkonekanta!$G$3:$G$27,MATCH($A46,Työkonekanta!$A$3:$A$24,0),1)*INDEX(Työkonekanta!$H$3:$H$27,MATCH($A46,Työkonekanta!$A$3:$A$24,0),1)*$B46,0)</f>
        <v>0</v>
      </c>
      <c r="F46" s="344">
        <f t="shared" si="0"/>
        <v>0</v>
      </c>
      <c r="G46" s="344">
        <f t="shared" si="11"/>
        <v>0</v>
      </c>
      <c r="H46" s="344">
        <f t="shared" si="12"/>
        <v>0</v>
      </c>
      <c r="I46" s="145">
        <f t="shared" si="1"/>
        <v>0</v>
      </c>
      <c r="J46" s="145">
        <f t="shared" si="2"/>
        <v>0</v>
      </c>
      <c r="K46" s="142" t="str">
        <f t="shared" si="13"/>
        <v>l</v>
      </c>
      <c r="L46" s="146">
        <f>IFERROR(INDEX(Työkonekanta!$I$3:$I$27,MATCH('S0a Baseline'!$A46,Työkonekanta!$A$3:$A$24,0),1)*(I46+J46)*f_adblue,0)</f>
        <v>0</v>
      </c>
      <c r="M46" s="146">
        <f t="shared" si="3"/>
        <v>0</v>
      </c>
      <c r="N46" s="143" t="str">
        <f>IF(tuulisähkö_vuosi&lt;='S0a Baseline'!C46,"tuulisähkö",ostosähkö_nyt)</f>
        <v>jäännössähkö</v>
      </c>
      <c r="O46" s="147">
        <f>INDEX(Muuttujat!$J$5:$J$21,MATCH($C46,Muuttujat!$H$5:$H$21,0),1)</f>
        <v>68.554749999999999</v>
      </c>
      <c r="P46" s="342">
        <f>1-(INDEX(Muuttujat!$O$5:$O$21,MATCH($C46,Muuttujat!$N$5:$N$21,0),1))</f>
        <v>1</v>
      </c>
      <c r="Q46" s="342">
        <f>INDEX(Muuttujat!$O$5:$O$21,MATCH($C46,Muuttujat!$N$5:$N$21,0),1)</f>
        <v>0</v>
      </c>
      <c r="R46" s="148">
        <f>INDEX(Muuttujat!$P$5:$P$21,MATCH($C46,Muuttujat!$N$5:$N$21,0),1)</f>
        <v>0</v>
      </c>
      <c r="S46" s="149">
        <f t="shared" si="4"/>
        <v>0</v>
      </c>
      <c r="T46" s="150">
        <f t="shared" si="5"/>
        <v>0</v>
      </c>
      <c r="U46" s="150">
        <f t="shared" si="6"/>
        <v>0</v>
      </c>
      <c r="V46" s="150">
        <f>IFERROR(INDEX(Työkonekanta!$J$3:$J$27,MATCH($A46,Työkonekanta!$A$3:$A$24,0),1)*$B46*ef_li_ion_akku/1000/1000/INDEX(Työkonekanta!$K$3:$K$27,MATCH($A46,Työkonekanta!$A$3:$A$24,0)),0)</f>
        <v>0</v>
      </c>
      <c r="W46" s="149">
        <f t="shared" si="7"/>
        <v>0</v>
      </c>
      <c r="X46" s="150">
        <f t="shared" si="8"/>
        <v>0</v>
      </c>
      <c r="Y46" s="151">
        <f t="shared" si="9"/>
        <v>0</v>
      </c>
      <c r="Z46" s="152">
        <f t="shared" si="14"/>
        <v>0</v>
      </c>
      <c r="AA46" s="153">
        <f t="shared" si="15"/>
        <v>0</v>
      </c>
      <c r="AB46" s="153">
        <f t="shared" si="16"/>
        <v>0</v>
      </c>
      <c r="AC46" s="154">
        <f t="shared" si="10"/>
        <v>0</v>
      </c>
      <c r="AD46" s="156">
        <f t="shared" si="17"/>
        <v>0</v>
      </c>
    </row>
    <row r="47" spans="1:30" s="144" customFormat="1">
      <c r="A47" s="139">
        <v>15</v>
      </c>
      <c r="B47" s="139">
        <f>IFERROR(INDEX(Työkonekanta!$F$3:$F$27,MATCH('S0a Baseline'!$A47,Työkonekanta!$A$3:$A$24,0),1),0)</f>
        <v>0</v>
      </c>
      <c r="C47" s="140">
        <v>2020</v>
      </c>
      <c r="D47" s="141" t="str">
        <f>IFERROR(INDEX(Työkonekanta!$D$3:$D$27,MATCH('S0a Baseline'!$A47,Työkonekanta!$A$3:$A$24,0),1),"undefined")</f>
        <v>sähkö</v>
      </c>
      <c r="E47" s="145">
        <f>IFERROR(INDEX(Työkonekanta!$G$3:$G$27,MATCH($A47,Työkonekanta!$A$3:$A$24,0),1)*INDEX(Työkonekanta!$H$3:$H$27,MATCH($A47,Työkonekanta!$A$3:$A$24,0),1)*$B47,0)</f>
        <v>0</v>
      </c>
      <c r="F47" s="344">
        <f t="shared" si="0"/>
        <v>0</v>
      </c>
      <c r="G47" s="344">
        <f t="shared" si="11"/>
        <v>0</v>
      </c>
      <c r="H47" s="344">
        <f t="shared" si="12"/>
        <v>0</v>
      </c>
      <c r="I47" s="145">
        <f t="shared" si="1"/>
        <v>0</v>
      </c>
      <c r="J47" s="145">
        <f t="shared" si="2"/>
        <v>0</v>
      </c>
      <c r="K47" s="142" t="str">
        <f t="shared" si="13"/>
        <v>kWh</v>
      </c>
      <c r="L47" s="146">
        <f>IFERROR(INDEX(Työkonekanta!$I$3:$I$27,MATCH('S0a Baseline'!$A47,Työkonekanta!$A$3:$A$24,0),1)*(I47+J47)*f_adblue,0)</f>
        <v>0</v>
      </c>
      <c r="M47" s="146">
        <f t="shared" si="3"/>
        <v>0</v>
      </c>
      <c r="N47" s="143" t="str">
        <f>IF(tuulisähkö_vuosi&lt;='S0a Baseline'!C47,"tuulisähkö",ostosähkö_nyt)</f>
        <v>jäännössähkö</v>
      </c>
      <c r="O47" s="147">
        <f>INDEX(Muuttujat!$J$5:$J$21,MATCH($C47,Muuttujat!$H$5:$H$21,0),1)</f>
        <v>68.554749999999999</v>
      </c>
      <c r="P47" s="342">
        <f>1-(INDEX(Muuttujat!$O$5:$O$21,MATCH($C47,Muuttujat!$N$5:$N$21,0),1))</f>
        <v>1</v>
      </c>
      <c r="Q47" s="342">
        <f>INDEX(Muuttujat!$O$5:$O$21,MATCH($C47,Muuttujat!$N$5:$N$21,0),1)</f>
        <v>0</v>
      </c>
      <c r="R47" s="148">
        <f>INDEX(Muuttujat!$P$5:$P$21,MATCH($C47,Muuttujat!$N$5:$N$21,0),1)</f>
        <v>0</v>
      </c>
      <c r="S47" s="149">
        <f t="shared" si="4"/>
        <v>0</v>
      </c>
      <c r="T47" s="150">
        <f t="shared" si="5"/>
        <v>0</v>
      </c>
      <c r="U47" s="150">
        <f t="shared" si="6"/>
        <v>0</v>
      </c>
      <c r="V47" s="150">
        <f>IFERROR(INDEX(Työkonekanta!$J$3:$J$27,MATCH($A47,Työkonekanta!$A$3:$A$24,0),1)*$B47*ef_li_ion_akku/1000/1000/INDEX(Työkonekanta!$K$3:$K$27,MATCH($A47,Työkonekanta!$A$3:$A$24,0)),0)</f>
        <v>0</v>
      </c>
      <c r="W47" s="149">
        <f t="shared" si="7"/>
        <v>0</v>
      </c>
      <c r="X47" s="150">
        <f t="shared" si="8"/>
        <v>0</v>
      </c>
      <c r="Y47" s="151">
        <f t="shared" si="9"/>
        <v>0</v>
      </c>
      <c r="Z47" s="152">
        <f t="shared" si="14"/>
        <v>0</v>
      </c>
      <c r="AA47" s="153">
        <f t="shared" si="15"/>
        <v>0</v>
      </c>
      <c r="AB47" s="153">
        <f t="shared" si="16"/>
        <v>0</v>
      </c>
      <c r="AC47" s="154">
        <f t="shared" si="10"/>
        <v>0</v>
      </c>
      <c r="AD47" s="156">
        <f t="shared" si="17"/>
        <v>0</v>
      </c>
    </row>
    <row r="48" spans="1:30" s="144" customFormat="1">
      <c r="A48" s="139">
        <v>16</v>
      </c>
      <c r="B48" s="139">
        <f>IFERROR(INDEX(Työkonekanta!$F$3:$F$27,MATCH('S0a Baseline'!$A48,Työkonekanta!$A$3:$A$24,0),1),0)</f>
        <v>0</v>
      </c>
      <c r="C48" s="140">
        <v>2020</v>
      </c>
      <c r="D48" s="141" t="str">
        <f>IFERROR(INDEX(Työkonekanta!$D$3:$D$27,MATCH('S0a Baseline'!$A48,Työkonekanta!$A$3:$A$24,0),1),"undefined")</f>
        <v>sähkö</v>
      </c>
      <c r="E48" s="145">
        <f>IFERROR(INDEX(Työkonekanta!$G$3:$G$27,MATCH($A48,Työkonekanta!$A$3:$A$24,0),1)*INDEX(Työkonekanta!$H$3:$H$27,MATCH($A48,Työkonekanta!$A$3:$A$24,0),1)*$B48,0)</f>
        <v>0</v>
      </c>
      <c r="F48" s="344">
        <f t="shared" si="0"/>
        <v>0</v>
      </c>
      <c r="G48" s="344">
        <f t="shared" si="11"/>
        <v>0</v>
      </c>
      <c r="H48" s="344">
        <f t="shared" si="12"/>
        <v>0</v>
      </c>
      <c r="I48" s="145">
        <f t="shared" si="1"/>
        <v>0</v>
      </c>
      <c r="J48" s="145">
        <f t="shared" si="2"/>
        <v>0</v>
      </c>
      <c r="K48" s="142" t="str">
        <f t="shared" si="13"/>
        <v>kWh</v>
      </c>
      <c r="L48" s="146">
        <f>IFERROR(INDEX(Työkonekanta!$I$3:$I$27,MATCH('S0a Baseline'!$A48,Työkonekanta!$A$3:$A$24,0),1)*(I48+J48)*f_adblue,0)</f>
        <v>0</v>
      </c>
      <c r="M48" s="146">
        <f t="shared" si="3"/>
        <v>0</v>
      </c>
      <c r="N48" s="143" t="str">
        <f>IF(tuulisähkö_vuosi&lt;='S0a Baseline'!C48,"tuulisähkö",ostosähkö_nyt)</f>
        <v>jäännössähkö</v>
      </c>
      <c r="O48" s="147">
        <f>INDEX(Muuttujat!$J$5:$J$21,MATCH($C48,Muuttujat!$H$5:$H$21,0),1)</f>
        <v>68.554749999999999</v>
      </c>
      <c r="P48" s="342">
        <f>1-(INDEX(Muuttujat!$O$5:$O$21,MATCH($C48,Muuttujat!$N$5:$N$21,0),1))</f>
        <v>1</v>
      </c>
      <c r="Q48" s="342">
        <f>INDEX(Muuttujat!$O$5:$O$21,MATCH($C48,Muuttujat!$N$5:$N$21,0),1)</f>
        <v>0</v>
      </c>
      <c r="R48" s="148">
        <f>INDEX(Muuttujat!$P$5:$P$21,MATCH($C48,Muuttujat!$N$5:$N$21,0),1)</f>
        <v>0</v>
      </c>
      <c r="S48" s="149">
        <f t="shared" si="4"/>
        <v>0</v>
      </c>
      <c r="T48" s="150">
        <f t="shared" si="5"/>
        <v>0</v>
      </c>
      <c r="U48" s="150">
        <f t="shared" si="6"/>
        <v>0</v>
      </c>
      <c r="V48" s="150">
        <f>IFERROR(INDEX(Työkonekanta!$J$3:$J$27,MATCH($A48,Työkonekanta!$A$3:$A$24,0),1)*$B48*ef_li_ion_akku/1000/1000/INDEX(Työkonekanta!$K$3:$K$27,MATCH($A48,Työkonekanta!$A$3:$A$24,0)),0)</f>
        <v>0</v>
      </c>
      <c r="W48" s="149">
        <f t="shared" si="7"/>
        <v>0</v>
      </c>
      <c r="X48" s="150">
        <f t="shared" si="8"/>
        <v>0</v>
      </c>
      <c r="Y48" s="151">
        <f t="shared" si="9"/>
        <v>0</v>
      </c>
      <c r="Z48" s="152">
        <f t="shared" si="14"/>
        <v>0</v>
      </c>
      <c r="AA48" s="153">
        <f t="shared" si="15"/>
        <v>0</v>
      </c>
      <c r="AB48" s="153">
        <f t="shared" si="16"/>
        <v>0</v>
      </c>
      <c r="AC48" s="154">
        <f t="shared" si="10"/>
        <v>0</v>
      </c>
      <c r="AD48" s="156">
        <f t="shared" si="17"/>
        <v>0</v>
      </c>
    </row>
    <row r="49" spans="1:30" s="144" customFormat="1">
      <c r="A49" s="139">
        <v>17</v>
      </c>
      <c r="B49" s="139">
        <f>IFERROR(INDEX(Työkonekanta!$F$3:$F$27,MATCH('S0a Baseline'!$A49,Työkonekanta!$A$3:$A$24,0),1),0)</f>
        <v>1</v>
      </c>
      <c r="C49" s="140">
        <v>2020</v>
      </c>
      <c r="D49" s="141" t="str">
        <f>IFERROR(INDEX(Työkonekanta!$D$3:$D$27,MATCH('S0a Baseline'!$A49,Työkonekanta!$A$3:$A$24,0),1),"undefined")</f>
        <v>pom</v>
      </c>
      <c r="E49" s="145">
        <f>IFERROR(INDEX(Työkonekanta!$G$3:$G$27,MATCH($A49,Työkonekanta!$A$3:$A$24,0),1)*INDEX(Työkonekanta!$H$3:$H$27,MATCH($A49,Työkonekanta!$A$3:$A$24,0),1)*$B49,0)</f>
        <v>10000</v>
      </c>
      <c r="F49" s="344">
        <f t="shared" si="0"/>
        <v>359000</v>
      </c>
      <c r="G49" s="344">
        <f t="shared" si="11"/>
        <v>359000</v>
      </c>
      <c r="H49" s="344">
        <f t="shared" si="12"/>
        <v>0</v>
      </c>
      <c r="I49" s="145">
        <f t="shared" si="1"/>
        <v>10000</v>
      </c>
      <c r="J49" s="145">
        <f t="shared" si="2"/>
        <v>0</v>
      </c>
      <c r="K49" s="142" t="str">
        <f t="shared" si="13"/>
        <v>l</v>
      </c>
      <c r="L49" s="146">
        <f>IFERROR(INDEX(Työkonekanta!$I$3:$I$27,MATCH('S0a Baseline'!$A49,Työkonekanta!$A$3:$A$24,0),1)*(I49+J49)*f_adblue,0)</f>
        <v>500</v>
      </c>
      <c r="M49" s="146">
        <f t="shared" si="3"/>
        <v>0</v>
      </c>
      <c r="N49" s="143" t="str">
        <f>IF(tuulisähkö_vuosi&lt;='S0a Baseline'!C49,"tuulisähkö",ostosähkö_nyt)</f>
        <v>jäännössähkö</v>
      </c>
      <c r="O49" s="147">
        <f>INDEX(Muuttujat!$J$5:$J$21,MATCH($C49,Muuttujat!$H$5:$H$21,0),1)</f>
        <v>68.554749999999999</v>
      </c>
      <c r="P49" s="342">
        <f>1-(INDEX(Muuttujat!$O$5:$O$21,MATCH($C49,Muuttujat!$N$5:$N$21,0),1))</f>
        <v>1</v>
      </c>
      <c r="Q49" s="342">
        <f>INDEX(Muuttujat!$O$5:$O$21,MATCH($C49,Muuttujat!$N$5:$N$21,0),1)</f>
        <v>0</v>
      </c>
      <c r="R49" s="148">
        <f>INDEX(Muuttujat!$P$5:$P$21,MATCH($C49,Muuttujat!$N$5:$N$21,0),1)</f>
        <v>0</v>
      </c>
      <c r="S49" s="149">
        <f t="shared" si="4"/>
        <v>6.785099999999999</v>
      </c>
      <c r="T49" s="150">
        <f t="shared" si="5"/>
        <v>0</v>
      </c>
      <c r="U49" s="150">
        <f t="shared" si="6"/>
        <v>0</v>
      </c>
      <c r="V49" s="150">
        <f>IFERROR(INDEX(Työkonekanta!$J$3:$J$27,MATCH($A49,Työkonekanta!$A$3:$A$24,0),1)*$B49*ef_li_ion_akku/1000/1000/INDEX(Työkonekanta!$K$3:$K$27,MATCH($A49,Työkonekanta!$A$3:$A$24,0)),0)</f>
        <v>0</v>
      </c>
      <c r="W49" s="149">
        <f t="shared" si="7"/>
        <v>26.497163285999999</v>
      </c>
      <c r="X49" s="150">
        <f t="shared" si="8"/>
        <v>0.31774565999999999</v>
      </c>
      <c r="Y49" s="151">
        <f t="shared" si="9"/>
        <v>0.13</v>
      </c>
      <c r="Z49" s="152">
        <f t="shared" si="14"/>
        <v>6.785099999999999</v>
      </c>
      <c r="AA49" s="153">
        <f t="shared" si="15"/>
        <v>26.627163285999998</v>
      </c>
      <c r="AB49" s="153">
        <f t="shared" si="16"/>
        <v>26.944908945999998</v>
      </c>
      <c r="AC49" s="154">
        <f t="shared" si="10"/>
        <v>33.412263285999998</v>
      </c>
      <c r="AD49" s="156">
        <f t="shared" si="17"/>
        <v>33.730008945999998</v>
      </c>
    </row>
    <row r="50" spans="1:30" s="144" customFormat="1">
      <c r="A50" s="139">
        <v>18</v>
      </c>
      <c r="B50" s="139">
        <f>IFERROR(INDEX(Työkonekanta!$F$3:$F$27,MATCH('S0a Baseline'!$A50,Työkonekanta!$A$3:$A$24,0),1),0)</f>
        <v>1</v>
      </c>
      <c r="C50" s="140">
        <v>2020</v>
      </c>
      <c r="D50" s="141" t="str">
        <f>IFERROR(INDEX(Työkonekanta!$D$3:$D$27,MATCH('S0a Baseline'!$A50,Työkonekanta!$A$3:$A$24,0),1),"undefined")</f>
        <v>pom</v>
      </c>
      <c r="E50" s="145">
        <f>IFERROR(INDEX(Työkonekanta!$G$3:$G$27,MATCH($A50,Työkonekanta!$A$3:$A$24,0),1)*INDEX(Työkonekanta!$H$3:$H$27,MATCH($A50,Työkonekanta!$A$3:$A$24,0),1)*$B50,0)</f>
        <v>10000</v>
      </c>
      <c r="F50" s="344">
        <f t="shared" si="0"/>
        <v>359000</v>
      </c>
      <c r="G50" s="344">
        <f t="shared" si="11"/>
        <v>359000</v>
      </c>
      <c r="H50" s="344">
        <f t="shared" si="12"/>
        <v>0</v>
      </c>
      <c r="I50" s="145">
        <f t="shared" si="1"/>
        <v>10000</v>
      </c>
      <c r="J50" s="145">
        <f t="shared" si="2"/>
        <v>0</v>
      </c>
      <c r="K50" s="142" t="str">
        <f t="shared" si="13"/>
        <v>l</v>
      </c>
      <c r="L50" s="146">
        <f>IFERROR(INDEX(Työkonekanta!$I$3:$I$27,MATCH('S0a Baseline'!$A50,Työkonekanta!$A$3:$A$24,0),1)*(I50+J50)*f_adblue,0)</f>
        <v>400</v>
      </c>
      <c r="M50" s="146">
        <f t="shared" si="3"/>
        <v>0</v>
      </c>
      <c r="N50" s="143" t="str">
        <f>IF(tuulisähkö_vuosi&lt;='S0a Baseline'!C50,"tuulisähkö",ostosähkö_nyt)</f>
        <v>jäännössähkö</v>
      </c>
      <c r="O50" s="147">
        <f>INDEX(Muuttujat!$J$5:$J$21,MATCH($C50,Muuttujat!$H$5:$H$21,0),1)</f>
        <v>68.554749999999999</v>
      </c>
      <c r="P50" s="342">
        <f>1-(INDEX(Muuttujat!$O$5:$O$21,MATCH($C50,Muuttujat!$N$5:$N$21,0),1))</f>
        <v>1</v>
      </c>
      <c r="Q50" s="342">
        <f>INDEX(Muuttujat!$O$5:$O$21,MATCH($C50,Muuttujat!$N$5:$N$21,0),1)</f>
        <v>0</v>
      </c>
      <c r="R50" s="148">
        <f>INDEX(Muuttujat!$P$5:$P$21,MATCH($C50,Muuttujat!$N$5:$N$21,0),1)</f>
        <v>0</v>
      </c>
      <c r="S50" s="149">
        <f t="shared" si="4"/>
        <v>6.785099999999999</v>
      </c>
      <c r="T50" s="150">
        <f t="shared" si="5"/>
        <v>0</v>
      </c>
      <c r="U50" s="150">
        <f t="shared" si="6"/>
        <v>0</v>
      </c>
      <c r="V50" s="150">
        <f>IFERROR(INDEX(Työkonekanta!$J$3:$J$27,MATCH($A50,Työkonekanta!$A$3:$A$24,0),1)*$B50*ef_li_ion_akku/1000/1000/INDEX(Työkonekanta!$K$3:$K$27,MATCH($A50,Työkonekanta!$A$3:$A$24,0)),0)</f>
        <v>0</v>
      </c>
      <c r="W50" s="149">
        <f t="shared" si="7"/>
        <v>26.497163285999999</v>
      </c>
      <c r="X50" s="150">
        <f t="shared" si="8"/>
        <v>0.31774565999999999</v>
      </c>
      <c r="Y50" s="151">
        <f t="shared" si="9"/>
        <v>0.104</v>
      </c>
      <c r="Z50" s="152">
        <f t="shared" si="14"/>
        <v>6.785099999999999</v>
      </c>
      <c r="AA50" s="153">
        <f t="shared" si="15"/>
        <v>26.601163285999998</v>
      </c>
      <c r="AB50" s="153">
        <f t="shared" si="16"/>
        <v>26.918908945999998</v>
      </c>
      <c r="AC50" s="154">
        <f t="shared" si="10"/>
        <v>33.386263285999995</v>
      </c>
      <c r="AD50" s="156">
        <f t="shared" si="17"/>
        <v>33.704008945999995</v>
      </c>
    </row>
    <row r="51" spans="1:30" s="144" customFormat="1">
      <c r="A51" s="139">
        <v>19</v>
      </c>
      <c r="B51" s="139">
        <f>IFERROR(INDEX(Työkonekanta!$F$3:$F$27,MATCH('S0a Baseline'!$A51,Työkonekanta!$A$3:$A$24,0),1),0)</f>
        <v>0</v>
      </c>
      <c r="C51" s="140">
        <v>2020</v>
      </c>
      <c r="D51" s="141" t="str">
        <f>IFERROR(INDEX(Työkonekanta!$D$3:$D$27,MATCH('S0a Baseline'!$A51,Työkonekanta!$A$3:$A$24,0),1),"undefined")</f>
        <v>pom</v>
      </c>
      <c r="E51" s="145">
        <f>IFERROR(INDEX(Työkonekanta!$G$3:$G$27,MATCH($A51,Työkonekanta!$A$3:$A$24,0),1)*INDEX(Työkonekanta!$H$3:$H$27,MATCH($A51,Työkonekanta!$A$3:$A$24,0),1)*$B51,0)</f>
        <v>0</v>
      </c>
      <c r="F51" s="344">
        <f t="shared" si="0"/>
        <v>0</v>
      </c>
      <c r="G51" s="344">
        <f t="shared" si="11"/>
        <v>0</v>
      </c>
      <c r="H51" s="344">
        <f t="shared" si="12"/>
        <v>0</v>
      </c>
      <c r="I51" s="145">
        <f t="shared" si="1"/>
        <v>0</v>
      </c>
      <c r="J51" s="145">
        <f t="shared" si="2"/>
        <v>0</v>
      </c>
      <c r="K51" s="142" t="str">
        <f t="shared" si="13"/>
        <v>l</v>
      </c>
      <c r="L51" s="146">
        <f>IFERROR(INDEX(Työkonekanta!$I$3:$I$27,MATCH('S0a Baseline'!$A51,Työkonekanta!$A$3:$A$24,0),1)*(I51+J51)*f_adblue,0)</f>
        <v>0</v>
      </c>
      <c r="M51" s="146">
        <f t="shared" si="3"/>
        <v>0</v>
      </c>
      <c r="N51" s="143" t="str">
        <f>IF(tuulisähkö_vuosi&lt;='S0a Baseline'!C51,"tuulisähkö",ostosähkö_nyt)</f>
        <v>jäännössähkö</v>
      </c>
      <c r="O51" s="147">
        <f>INDEX(Muuttujat!$J$5:$J$21,MATCH($C51,Muuttujat!$H$5:$H$21,0),1)</f>
        <v>68.554749999999999</v>
      </c>
      <c r="P51" s="342">
        <f>1-(INDEX(Muuttujat!$O$5:$O$21,MATCH($C51,Muuttujat!$N$5:$N$21,0),1))</f>
        <v>1</v>
      </c>
      <c r="Q51" s="342">
        <f>INDEX(Muuttujat!$O$5:$O$21,MATCH($C51,Muuttujat!$N$5:$N$21,0),1)</f>
        <v>0</v>
      </c>
      <c r="R51" s="148">
        <f>INDEX(Muuttujat!$P$5:$P$21,MATCH($C51,Muuttujat!$N$5:$N$21,0),1)</f>
        <v>0</v>
      </c>
      <c r="S51" s="149">
        <f t="shared" si="4"/>
        <v>0</v>
      </c>
      <c r="T51" s="150">
        <f t="shared" si="5"/>
        <v>0</v>
      </c>
      <c r="U51" s="150">
        <f t="shared" si="6"/>
        <v>0</v>
      </c>
      <c r="V51" s="150">
        <f>IFERROR(INDEX(Työkonekanta!$J$3:$J$27,MATCH($A51,Työkonekanta!$A$3:$A$24,0),1)*$B51*ef_li_ion_akku/1000/1000/INDEX(Työkonekanta!$K$3:$K$27,MATCH($A51,Työkonekanta!$A$3:$A$24,0)),0)</f>
        <v>0</v>
      </c>
      <c r="W51" s="149">
        <f t="shared" si="7"/>
        <v>0</v>
      </c>
      <c r="X51" s="150">
        <f t="shared" si="8"/>
        <v>0</v>
      </c>
      <c r="Y51" s="151">
        <f t="shared" si="9"/>
        <v>0</v>
      </c>
      <c r="Z51" s="152">
        <f t="shared" si="14"/>
        <v>0</v>
      </c>
      <c r="AA51" s="153">
        <f t="shared" si="15"/>
        <v>0</v>
      </c>
      <c r="AB51" s="153">
        <f t="shared" si="16"/>
        <v>0</v>
      </c>
      <c r="AC51" s="154">
        <f t="shared" si="10"/>
        <v>0</v>
      </c>
      <c r="AD51" s="156">
        <f t="shared" si="17"/>
        <v>0</v>
      </c>
    </row>
    <row r="52" spans="1:30" s="144" customFormat="1">
      <c r="A52" s="139">
        <v>20</v>
      </c>
      <c r="B52" s="139">
        <f>IFERROR(INDEX(Työkonekanta!$F$3:$F$27,MATCH('S0a Baseline'!$A52,Työkonekanta!$A$3:$A$24,0),1),0)</f>
        <v>0</v>
      </c>
      <c r="C52" s="140">
        <v>2020</v>
      </c>
      <c r="D52" s="141" t="str">
        <f>IFERROR(INDEX(Työkonekanta!$D$3:$D$27,MATCH('S0a Baseline'!$A52,Työkonekanta!$A$3:$A$24,0),1),"undefined")</f>
        <v>pom</v>
      </c>
      <c r="E52" s="145">
        <f>IFERROR(INDEX(Työkonekanta!$G$3:$G$27,MATCH($A52,Työkonekanta!$A$3:$A$24,0),1)*INDEX(Työkonekanta!$H$3:$H$27,MATCH($A52,Työkonekanta!$A$3:$A$24,0),1)*$B52,0)</f>
        <v>0</v>
      </c>
      <c r="F52" s="344">
        <f t="shared" si="0"/>
        <v>0</v>
      </c>
      <c r="G52" s="344">
        <f t="shared" si="11"/>
        <v>0</v>
      </c>
      <c r="H52" s="344">
        <f t="shared" si="12"/>
        <v>0</v>
      </c>
      <c r="I52" s="145">
        <f t="shared" si="1"/>
        <v>0</v>
      </c>
      <c r="J52" s="145">
        <f t="shared" si="2"/>
        <v>0</v>
      </c>
      <c r="K52" s="142" t="str">
        <f t="shared" si="13"/>
        <v>l</v>
      </c>
      <c r="L52" s="146">
        <f>IFERROR(INDEX(Työkonekanta!$I$3:$I$27,MATCH('S0a Baseline'!$A52,Työkonekanta!$A$3:$A$24,0),1)*(I52+J52)*f_adblue,0)</f>
        <v>0</v>
      </c>
      <c r="M52" s="146">
        <f t="shared" si="3"/>
        <v>0</v>
      </c>
      <c r="N52" s="143" t="str">
        <f>IF(tuulisähkö_vuosi&lt;='S0a Baseline'!C52,"tuulisähkö",ostosähkö_nyt)</f>
        <v>jäännössähkö</v>
      </c>
      <c r="O52" s="147">
        <f>INDEX(Muuttujat!$J$5:$J$21,MATCH($C52,Muuttujat!$H$5:$H$21,0),1)</f>
        <v>68.554749999999999</v>
      </c>
      <c r="P52" s="342">
        <f>1-(INDEX(Muuttujat!$O$5:$O$21,MATCH($C52,Muuttujat!$N$5:$N$21,0),1))</f>
        <v>1</v>
      </c>
      <c r="Q52" s="342">
        <f>INDEX(Muuttujat!$O$5:$O$21,MATCH($C52,Muuttujat!$N$5:$N$21,0),1)</f>
        <v>0</v>
      </c>
      <c r="R52" s="148">
        <f>INDEX(Muuttujat!$P$5:$P$21,MATCH($C52,Muuttujat!$N$5:$N$21,0),1)</f>
        <v>0</v>
      </c>
      <c r="S52" s="149">
        <f t="shared" si="4"/>
        <v>0</v>
      </c>
      <c r="T52" s="150">
        <f t="shared" si="5"/>
        <v>0</v>
      </c>
      <c r="U52" s="150">
        <f t="shared" si="6"/>
        <v>0</v>
      </c>
      <c r="V52" s="150">
        <f>IFERROR(INDEX(Työkonekanta!$J$3:$J$27,MATCH($A52,Työkonekanta!$A$3:$A$24,0),1)*$B52*ef_li_ion_akku/1000/1000/INDEX(Työkonekanta!$K$3:$K$27,MATCH($A52,Työkonekanta!$A$3:$A$24,0)),0)</f>
        <v>0</v>
      </c>
      <c r="W52" s="149">
        <f t="shared" si="7"/>
        <v>0</v>
      </c>
      <c r="X52" s="150">
        <f t="shared" si="8"/>
        <v>0</v>
      </c>
      <c r="Y52" s="151">
        <f t="shared" si="9"/>
        <v>0</v>
      </c>
      <c r="Z52" s="152">
        <f t="shared" si="14"/>
        <v>0</v>
      </c>
      <c r="AA52" s="153">
        <f t="shared" si="15"/>
        <v>0</v>
      </c>
      <c r="AB52" s="153">
        <f t="shared" si="16"/>
        <v>0</v>
      </c>
      <c r="AC52" s="154">
        <f t="shared" si="10"/>
        <v>0</v>
      </c>
      <c r="AD52" s="156">
        <f t="shared" si="17"/>
        <v>0</v>
      </c>
    </row>
    <row r="53" spans="1:30" s="144" customFormat="1">
      <c r="A53" s="139">
        <v>21</v>
      </c>
      <c r="B53" s="139">
        <f>IFERROR(INDEX(Työkonekanta!$F$3:$F$27,MATCH('S0a Baseline'!$A53,Työkonekanta!$A$3:$A$24,0),1),0)</f>
        <v>35</v>
      </c>
      <c r="C53" s="140">
        <v>2020</v>
      </c>
      <c r="D53" s="141" t="str">
        <f>IFERROR(INDEX(Työkonekanta!$D$3:$D$27,MATCH('S0a Baseline'!$A53,Työkonekanta!$A$3:$A$24,0),1),"undefined")</f>
        <v>sähkö</v>
      </c>
      <c r="E53" s="145">
        <f>IFERROR(INDEX(Työkonekanta!$G$3:$G$27,MATCH($A53,Työkonekanta!$A$3:$A$24,0),1)*INDEX(Työkonekanta!$H$3:$H$27,MATCH($A53,Työkonekanta!$A$3:$A$24,0),1)*$B53,0)</f>
        <v>407199.07407407404</v>
      </c>
      <c r="F53" s="344">
        <f t="shared" si="0"/>
        <v>0</v>
      </c>
      <c r="G53" s="344">
        <f t="shared" si="11"/>
        <v>0</v>
      </c>
      <c r="H53" s="344">
        <f t="shared" si="12"/>
        <v>0</v>
      </c>
      <c r="I53" s="145">
        <f t="shared" si="1"/>
        <v>0</v>
      </c>
      <c r="J53" s="145">
        <f t="shared" si="2"/>
        <v>0</v>
      </c>
      <c r="K53" s="142" t="str">
        <f t="shared" si="13"/>
        <v>kWh</v>
      </c>
      <c r="L53" s="146">
        <f>IFERROR(INDEX(Työkonekanta!$I$3:$I$27,MATCH('S0a Baseline'!$A53,Työkonekanta!$A$3:$A$24,0),1)*(I53+J53)*f_adblue,0)</f>
        <v>0</v>
      </c>
      <c r="M53" s="146">
        <f t="shared" si="3"/>
        <v>1465916.6666666665</v>
      </c>
      <c r="N53" s="143" t="str">
        <f>IF(tuulisähkö_vuosi&lt;='S0a Baseline'!C53,"tuulisähkö",ostosähkö_nyt)</f>
        <v>jäännössähkö</v>
      </c>
      <c r="O53" s="147">
        <f>INDEX(Muuttujat!$J$5:$J$21,MATCH($C53,Muuttujat!$H$5:$H$21,0),1)</f>
        <v>68.554749999999999</v>
      </c>
      <c r="P53" s="342">
        <f>1-(INDEX(Muuttujat!$O$5:$O$21,MATCH($C53,Muuttujat!$N$5:$N$21,0),1))</f>
        <v>1</v>
      </c>
      <c r="Q53" s="342">
        <f>INDEX(Muuttujat!$O$5:$O$21,MATCH($C53,Muuttujat!$N$5:$N$21,0),1)</f>
        <v>0</v>
      </c>
      <c r="R53" s="148">
        <f>INDEX(Muuttujat!$P$5:$P$21,MATCH($C53,Muuttujat!$N$5:$N$21,0),1)</f>
        <v>0</v>
      </c>
      <c r="S53" s="149">
        <f t="shared" si="4"/>
        <v>0</v>
      </c>
      <c r="T53" s="150">
        <f t="shared" si="5"/>
        <v>0</v>
      </c>
      <c r="U53" s="150">
        <f t="shared" si="6"/>
        <v>100.49555060416665</v>
      </c>
      <c r="V53" s="150">
        <f>IFERROR(INDEX(Työkonekanta!$J$3:$J$27,MATCH($A53,Työkonekanta!$A$3:$A$24,0),1)*$B53*ef_li_ion_akku/1000/1000/INDEX(Työkonekanta!$K$3:$K$27,MATCH($A53,Työkonekanta!$A$3:$A$24,0)),0)</f>
        <v>43.121723076923082</v>
      </c>
      <c r="W53" s="149">
        <f t="shared" si="7"/>
        <v>0</v>
      </c>
      <c r="X53" s="150">
        <f t="shared" si="8"/>
        <v>0</v>
      </c>
      <c r="Y53" s="151">
        <f t="shared" si="9"/>
        <v>0</v>
      </c>
      <c r="Z53" s="152">
        <f t="shared" si="14"/>
        <v>143.61727368108973</v>
      </c>
      <c r="AA53" s="153">
        <f t="shared" si="15"/>
        <v>0</v>
      </c>
      <c r="AB53" s="153">
        <f t="shared" si="16"/>
        <v>0</v>
      </c>
      <c r="AC53" s="154">
        <f t="shared" si="10"/>
        <v>143.61727368108973</v>
      </c>
      <c r="AD53" s="156">
        <f t="shared" si="17"/>
        <v>143.61727368108973</v>
      </c>
    </row>
    <row r="54" spans="1:30" s="144" customFormat="1">
      <c r="A54" s="139">
        <v>22</v>
      </c>
      <c r="B54" s="139">
        <f>IFERROR(INDEX(Työkonekanta!$F$3:$F$27,MATCH('S0a Baseline'!$A54,Työkonekanta!$A$3:$A$24,0),1),0)</f>
        <v>0</v>
      </c>
      <c r="C54" s="140">
        <v>2020</v>
      </c>
      <c r="D54" s="141" t="str">
        <f>IFERROR(INDEX(Työkonekanta!$D$3:$D$27,MATCH('S0a Baseline'!$A54,Työkonekanta!$A$3:$A$24,0),1),"undefined")</f>
        <v>sähkö</v>
      </c>
      <c r="E54" s="145">
        <f>IFERROR(INDEX(Työkonekanta!$G$3:$G$27,MATCH($A54,Työkonekanta!$A$3:$A$24,0),1)*INDEX(Työkonekanta!$H$3:$H$27,MATCH($A54,Työkonekanta!$A$3:$A$24,0),1)*$B54,0)</f>
        <v>0</v>
      </c>
      <c r="F54" s="344">
        <f t="shared" si="0"/>
        <v>0</v>
      </c>
      <c r="G54" s="344">
        <f t="shared" si="11"/>
        <v>0</v>
      </c>
      <c r="H54" s="344">
        <f t="shared" si="12"/>
        <v>0</v>
      </c>
      <c r="I54" s="145">
        <f t="shared" si="1"/>
        <v>0</v>
      </c>
      <c r="J54" s="145">
        <f t="shared" si="2"/>
        <v>0</v>
      </c>
      <c r="K54" s="142" t="str">
        <f t="shared" si="13"/>
        <v>kWh</v>
      </c>
      <c r="L54" s="146">
        <f>IFERROR(INDEX(Työkonekanta!$I$3:$I$27,MATCH('S0a Baseline'!$A54,Työkonekanta!$A$3:$A$24,0),1)*(I54+J54)*f_adblue,0)</f>
        <v>0</v>
      </c>
      <c r="M54" s="146">
        <f t="shared" si="3"/>
        <v>0</v>
      </c>
      <c r="N54" s="143" t="str">
        <f>IF(tuulisähkö_vuosi&lt;='S0a Baseline'!C54,"tuulisähkö",ostosähkö_nyt)</f>
        <v>jäännössähkö</v>
      </c>
      <c r="O54" s="147">
        <f>INDEX(Muuttujat!$J$5:$J$21,MATCH($C54,Muuttujat!$H$5:$H$21,0),1)</f>
        <v>68.554749999999999</v>
      </c>
      <c r="P54" s="342">
        <f>1-(INDEX(Muuttujat!$O$5:$O$21,MATCH($C54,Muuttujat!$N$5:$N$21,0),1))</f>
        <v>1</v>
      </c>
      <c r="Q54" s="342">
        <f>INDEX(Muuttujat!$O$5:$O$21,MATCH($C54,Muuttujat!$N$5:$N$21,0),1)</f>
        <v>0</v>
      </c>
      <c r="R54" s="148">
        <f>INDEX(Muuttujat!$P$5:$P$21,MATCH($C54,Muuttujat!$N$5:$N$21,0),1)</f>
        <v>0</v>
      </c>
      <c r="S54" s="149">
        <f t="shared" si="4"/>
        <v>0</v>
      </c>
      <c r="T54" s="150">
        <f t="shared" si="5"/>
        <v>0</v>
      </c>
      <c r="U54" s="150">
        <f t="shared" si="6"/>
        <v>0</v>
      </c>
      <c r="V54" s="150">
        <f>IFERROR(INDEX(Työkonekanta!$J$3:$J$27,MATCH($A54,Työkonekanta!$A$3:$A$24,0),1)*$B54*ef_li_ion_akku/1000/1000/INDEX(Työkonekanta!$K$3:$K$27,MATCH($A54,Työkonekanta!$A$3:$A$24,0)),0)</f>
        <v>0</v>
      </c>
      <c r="W54" s="149">
        <f t="shared" si="7"/>
        <v>0</v>
      </c>
      <c r="X54" s="150">
        <f t="shared" si="8"/>
        <v>0</v>
      </c>
      <c r="Y54" s="151">
        <f t="shared" si="9"/>
        <v>0</v>
      </c>
      <c r="Z54" s="152">
        <f t="shared" si="14"/>
        <v>0</v>
      </c>
      <c r="AA54" s="153">
        <f t="shared" si="15"/>
        <v>0</v>
      </c>
      <c r="AB54" s="153">
        <f t="shared" si="16"/>
        <v>0</v>
      </c>
      <c r="AC54" s="154">
        <f t="shared" si="10"/>
        <v>0</v>
      </c>
      <c r="AD54" s="156">
        <f t="shared" si="17"/>
        <v>0</v>
      </c>
    </row>
    <row r="55" spans="1:30" s="144" customFormat="1">
      <c r="A55" s="139">
        <v>23</v>
      </c>
      <c r="B55" s="139">
        <f>IFERROR(INDEX(Työkonekanta!$F$3:$F$27,MATCH('S0a Baseline'!$A55,Työkonekanta!$A$3:$A$24,0),1),0)</f>
        <v>0</v>
      </c>
      <c r="C55" s="140">
        <v>2020</v>
      </c>
      <c r="D55" s="141" t="str">
        <f>IFERROR(INDEX(Työkonekanta!$D$3:$D$27,MATCH('S0a Baseline'!$A55,Työkonekanta!$A$3:$A$24,0),1),"undefined")</f>
        <v>undefined</v>
      </c>
      <c r="E55" s="145">
        <f>IFERROR(INDEX(Työkonekanta!$G$3:$G$27,MATCH($A55,Työkonekanta!$A$3:$A$24,0),1)*INDEX(Työkonekanta!$H$3:$H$27,MATCH($A55,Työkonekanta!$A$3:$A$24,0),1)*$B55,0)</f>
        <v>0</v>
      </c>
      <c r="F55" s="344">
        <f t="shared" si="0"/>
        <v>0</v>
      </c>
      <c r="G55" s="344">
        <f t="shared" si="11"/>
        <v>0</v>
      </c>
      <c r="H55" s="344">
        <f t="shared" si="12"/>
        <v>0</v>
      </c>
      <c r="I55" s="145">
        <f t="shared" si="1"/>
        <v>0</v>
      </c>
      <c r="J55" s="145">
        <f t="shared" si="2"/>
        <v>0</v>
      </c>
      <c r="K55" s="142" t="str">
        <f t="shared" si="13"/>
        <v>undefined</v>
      </c>
      <c r="L55" s="146">
        <f>IFERROR(INDEX(Työkonekanta!$I$3:$I$27,MATCH('S0a Baseline'!$A55,Työkonekanta!$A$3:$A$24,0),1)*(I55+J55)*f_adblue,0)</f>
        <v>0</v>
      </c>
      <c r="M55" s="146">
        <f t="shared" si="3"/>
        <v>0</v>
      </c>
      <c r="N55" s="143" t="str">
        <f>IF(tuulisähkö_vuosi&lt;='S0a Baseline'!C55,"tuulisähkö",ostosähkö_nyt)</f>
        <v>jäännössähkö</v>
      </c>
      <c r="O55" s="147">
        <f>INDEX(Muuttujat!$J$5:$J$21,MATCH($C55,Muuttujat!$H$5:$H$21,0),1)</f>
        <v>68.554749999999999</v>
      </c>
      <c r="P55" s="342">
        <f>1-(INDEX(Muuttujat!$O$5:$O$21,MATCH($C55,Muuttujat!$N$5:$N$21,0),1))</f>
        <v>1</v>
      </c>
      <c r="Q55" s="342">
        <f>INDEX(Muuttujat!$O$5:$O$21,MATCH($C55,Muuttujat!$N$5:$N$21,0),1)</f>
        <v>0</v>
      </c>
      <c r="R55" s="148">
        <f>INDEX(Muuttujat!$P$5:$P$21,MATCH($C55,Muuttujat!$N$5:$N$21,0),1)</f>
        <v>0</v>
      </c>
      <c r="S55" s="149">
        <f t="shared" si="4"/>
        <v>0</v>
      </c>
      <c r="T55" s="150">
        <f t="shared" si="5"/>
        <v>0</v>
      </c>
      <c r="U55" s="150">
        <f t="shared" si="6"/>
        <v>0</v>
      </c>
      <c r="V55" s="150">
        <f>IFERROR(INDEX(Työkonekanta!$J$3:$J$27,MATCH($A55,Työkonekanta!$A$3:$A$24,0),1)*$B55*ef_li_ion_akku/1000/1000/INDEX(Työkonekanta!$K$3:$K$27,MATCH($A55,Työkonekanta!$A$3:$A$24,0)),0)</f>
        <v>0</v>
      </c>
      <c r="W55" s="149">
        <f t="shared" si="7"/>
        <v>0</v>
      </c>
      <c r="X55" s="150">
        <f t="shared" si="8"/>
        <v>0</v>
      </c>
      <c r="Y55" s="151">
        <f t="shared" si="9"/>
        <v>0</v>
      </c>
      <c r="Z55" s="152">
        <f t="shared" si="14"/>
        <v>0</v>
      </c>
      <c r="AA55" s="153">
        <f t="shared" si="15"/>
        <v>0</v>
      </c>
      <c r="AB55" s="153">
        <f t="shared" si="16"/>
        <v>0</v>
      </c>
      <c r="AC55" s="154">
        <f t="shared" si="10"/>
        <v>0</v>
      </c>
      <c r="AD55" s="156">
        <f t="shared" si="17"/>
        <v>0</v>
      </c>
    </row>
    <row r="56" spans="1:30" s="144" customFormat="1">
      <c r="A56" s="139">
        <v>24</v>
      </c>
      <c r="B56" s="139">
        <f>IFERROR(INDEX(Työkonekanta!$F$3:$F$27,MATCH('S0a Baseline'!$A56,Työkonekanta!$A$3:$A$24,0),1),0)</f>
        <v>0</v>
      </c>
      <c r="C56" s="140">
        <v>2020</v>
      </c>
      <c r="D56" s="141" t="str">
        <f>IFERROR(INDEX(Työkonekanta!$D$3:$D$27,MATCH('S0a Baseline'!$A56,Työkonekanta!$A$3:$A$24,0),1),"undefined")</f>
        <v>undefined</v>
      </c>
      <c r="E56" s="145">
        <f>IFERROR(INDEX(Työkonekanta!$G$3:$G$27,MATCH($A56,Työkonekanta!$A$3:$A$24,0),1)*INDEX(Työkonekanta!$H$3:$H$27,MATCH($A56,Työkonekanta!$A$3:$A$24,0),1)*$B56,0)</f>
        <v>0</v>
      </c>
      <c r="F56" s="344">
        <f t="shared" si="0"/>
        <v>0</v>
      </c>
      <c r="G56" s="344">
        <f t="shared" si="11"/>
        <v>0</v>
      </c>
      <c r="H56" s="344">
        <f t="shared" si="12"/>
        <v>0</v>
      </c>
      <c r="I56" s="145">
        <f t="shared" si="1"/>
        <v>0</v>
      </c>
      <c r="J56" s="145">
        <f t="shared" si="2"/>
        <v>0</v>
      </c>
      <c r="K56" s="142" t="str">
        <f t="shared" si="13"/>
        <v>undefined</v>
      </c>
      <c r="L56" s="146">
        <f>IFERROR(INDEX(Työkonekanta!$I$3:$I$27,MATCH('S0a Baseline'!$A56,Työkonekanta!$A$3:$A$24,0),1)*(I56+J56)*f_adblue,0)</f>
        <v>0</v>
      </c>
      <c r="M56" s="146">
        <f t="shared" si="3"/>
        <v>0</v>
      </c>
      <c r="N56" s="143" t="str">
        <f>IF(tuulisähkö_vuosi&lt;='S0a Baseline'!C56,"tuulisähkö",ostosähkö_nyt)</f>
        <v>jäännössähkö</v>
      </c>
      <c r="O56" s="147">
        <f>INDEX(Muuttujat!$J$5:$J$21,MATCH($C56,Muuttujat!$H$5:$H$21,0),1)</f>
        <v>68.554749999999999</v>
      </c>
      <c r="P56" s="342">
        <f>1-(INDEX(Muuttujat!$O$5:$O$21,MATCH($C56,Muuttujat!$N$5:$N$21,0),1))</f>
        <v>1</v>
      </c>
      <c r="Q56" s="342">
        <f>INDEX(Muuttujat!$O$5:$O$21,MATCH($C56,Muuttujat!$N$5:$N$21,0),1)</f>
        <v>0</v>
      </c>
      <c r="R56" s="148">
        <f>INDEX(Muuttujat!$P$5:$P$21,MATCH($C56,Muuttujat!$N$5:$N$21,0),1)</f>
        <v>0</v>
      </c>
      <c r="S56" s="149">
        <f t="shared" si="4"/>
        <v>0</v>
      </c>
      <c r="T56" s="150">
        <f t="shared" si="5"/>
        <v>0</v>
      </c>
      <c r="U56" s="150">
        <f t="shared" si="6"/>
        <v>0</v>
      </c>
      <c r="V56" s="150">
        <f>IFERROR(INDEX(Työkonekanta!$J$3:$J$27,MATCH($A56,Työkonekanta!$A$3:$A$24,0),1)*$B56*ef_li_ion_akku/1000/1000/INDEX(Työkonekanta!$K$3:$K$27,MATCH($A56,Työkonekanta!$A$3:$A$24,0)),0)</f>
        <v>0</v>
      </c>
      <c r="W56" s="149">
        <f t="shared" si="7"/>
        <v>0</v>
      </c>
      <c r="X56" s="150">
        <f t="shared" si="8"/>
        <v>0</v>
      </c>
      <c r="Y56" s="151">
        <f t="shared" si="9"/>
        <v>0</v>
      </c>
      <c r="Z56" s="152">
        <f t="shared" si="14"/>
        <v>0</v>
      </c>
      <c r="AA56" s="153">
        <f t="shared" si="15"/>
        <v>0</v>
      </c>
      <c r="AB56" s="153">
        <f t="shared" si="16"/>
        <v>0</v>
      </c>
      <c r="AC56" s="154">
        <f t="shared" si="10"/>
        <v>0</v>
      </c>
      <c r="AD56" s="156">
        <f t="shared" si="17"/>
        <v>0</v>
      </c>
    </row>
    <row r="57" spans="1:30" s="144" customFormat="1">
      <c r="A57" s="139">
        <v>25</v>
      </c>
      <c r="B57" s="139">
        <f>IFERROR(INDEX(Työkonekanta!$F$3:$F$27,MATCH('S0a Baseline'!$A57,Työkonekanta!$A$3:$A$24,0),1),0)</f>
        <v>0</v>
      </c>
      <c r="C57" s="140">
        <v>2020</v>
      </c>
      <c r="D57" s="141" t="str">
        <f>IFERROR(INDEX(Työkonekanta!$D$3:$D$27,MATCH('S0a Baseline'!$A57,Työkonekanta!$A$3:$A$24,0),1),"undefined")</f>
        <v>undefined</v>
      </c>
      <c r="E57" s="145">
        <f>IFERROR(INDEX(Työkonekanta!$G$3:$G$27,MATCH($A57,Työkonekanta!$A$3:$A$24,0),1)*INDEX(Työkonekanta!$H$3:$H$27,MATCH($A57,Työkonekanta!$A$3:$A$24,0),1)*$B57,0)</f>
        <v>0</v>
      </c>
      <c r="F57" s="344">
        <f t="shared" si="0"/>
        <v>0</v>
      </c>
      <c r="G57" s="344">
        <f t="shared" si="11"/>
        <v>0</v>
      </c>
      <c r="H57" s="344">
        <f t="shared" si="12"/>
        <v>0</v>
      </c>
      <c r="I57" s="145">
        <f t="shared" si="1"/>
        <v>0</v>
      </c>
      <c r="J57" s="145">
        <f t="shared" si="2"/>
        <v>0</v>
      </c>
      <c r="K57" s="142" t="str">
        <f t="shared" si="13"/>
        <v>undefined</v>
      </c>
      <c r="L57" s="146">
        <f>IFERROR(INDEX(Työkonekanta!$I$3:$I$27,MATCH('S0a Baseline'!$A57,Työkonekanta!$A$3:$A$24,0),1)*(I57+J57)*f_adblue,0)</f>
        <v>0</v>
      </c>
      <c r="M57" s="146">
        <f t="shared" si="3"/>
        <v>0</v>
      </c>
      <c r="N57" s="143" t="str">
        <f>IF(tuulisähkö_vuosi&lt;='S0a Baseline'!C57,"tuulisähkö",ostosähkö_nyt)</f>
        <v>jäännössähkö</v>
      </c>
      <c r="O57" s="147">
        <f>INDEX(Muuttujat!$J$5:$J$21,MATCH($C57,Muuttujat!$H$5:$H$21,0),1)</f>
        <v>68.554749999999999</v>
      </c>
      <c r="P57" s="342">
        <f>1-(INDEX(Muuttujat!$O$5:$O$21,MATCH($C57,Muuttujat!$N$5:$N$21,0),1))</f>
        <v>1</v>
      </c>
      <c r="Q57" s="342">
        <f>INDEX(Muuttujat!$O$5:$O$21,MATCH($C57,Muuttujat!$N$5:$N$21,0),1)</f>
        <v>0</v>
      </c>
      <c r="R57" s="148">
        <f>INDEX(Muuttujat!$P$5:$P$21,MATCH($C57,Muuttujat!$N$5:$N$21,0),1)</f>
        <v>0</v>
      </c>
      <c r="S57" s="149">
        <f t="shared" si="4"/>
        <v>0</v>
      </c>
      <c r="T57" s="150">
        <f t="shared" si="5"/>
        <v>0</v>
      </c>
      <c r="U57" s="150">
        <f t="shared" si="6"/>
        <v>0</v>
      </c>
      <c r="V57" s="150">
        <f>IFERROR(INDEX(Työkonekanta!$J$3:$J$27,MATCH($A57,Työkonekanta!$A$3:$A$24,0),1)*$B57*ef_li_ion_akku/1000/1000/INDEX(Työkonekanta!$K$3:$K$27,MATCH($A57,Työkonekanta!$A$3:$A$24,0)),0)</f>
        <v>0</v>
      </c>
      <c r="W57" s="149">
        <f t="shared" si="7"/>
        <v>0</v>
      </c>
      <c r="X57" s="150">
        <f t="shared" si="8"/>
        <v>0</v>
      </c>
      <c r="Y57" s="151">
        <f t="shared" si="9"/>
        <v>0</v>
      </c>
      <c r="Z57" s="152">
        <f t="shared" si="14"/>
        <v>0</v>
      </c>
      <c r="AA57" s="153">
        <f t="shared" si="15"/>
        <v>0</v>
      </c>
      <c r="AB57" s="153">
        <f t="shared" si="16"/>
        <v>0</v>
      </c>
      <c r="AC57" s="154">
        <f t="shared" si="10"/>
        <v>0</v>
      </c>
      <c r="AD57" s="156">
        <f t="shared" si="17"/>
        <v>0</v>
      </c>
    </row>
    <row r="58" spans="1:30" s="144" customFormat="1">
      <c r="A58" s="139">
        <v>26</v>
      </c>
      <c r="B58" s="139">
        <f>IFERROR(INDEX(Työkonekanta!$F$3:$F$27,MATCH('S0a Baseline'!$A58,Työkonekanta!$A$3:$A$24,0),1),0)</f>
        <v>0</v>
      </c>
      <c r="C58" s="140">
        <v>2020</v>
      </c>
      <c r="D58" s="141" t="str">
        <f>IFERROR(INDEX(Työkonekanta!$D$3:$D$27,MATCH('S0a Baseline'!$A58,Työkonekanta!$A$3:$A$24,0),1),"undefined")</f>
        <v>undefined</v>
      </c>
      <c r="E58" s="145">
        <f>IFERROR(INDEX(Työkonekanta!$G$3:$G$27,MATCH($A58,Työkonekanta!$A$3:$A$24,0),1)*INDEX(Työkonekanta!$H$3:$H$27,MATCH($A58,Työkonekanta!$A$3:$A$24,0),1)*$B58,0)</f>
        <v>0</v>
      </c>
      <c r="F58" s="344">
        <f t="shared" si="0"/>
        <v>0</v>
      </c>
      <c r="G58" s="344">
        <f t="shared" si="11"/>
        <v>0</v>
      </c>
      <c r="H58" s="344">
        <f t="shared" si="12"/>
        <v>0</v>
      </c>
      <c r="I58" s="145">
        <f t="shared" si="1"/>
        <v>0</v>
      </c>
      <c r="J58" s="145">
        <f t="shared" si="2"/>
        <v>0</v>
      </c>
      <c r="K58" s="142" t="str">
        <f t="shared" si="13"/>
        <v>undefined</v>
      </c>
      <c r="L58" s="146">
        <f>IFERROR(INDEX(Työkonekanta!$I$3:$I$27,MATCH('S0a Baseline'!$A58,Työkonekanta!$A$3:$A$24,0),1)*(I58+J58)*f_adblue,0)</f>
        <v>0</v>
      </c>
      <c r="M58" s="146">
        <f t="shared" si="3"/>
        <v>0</v>
      </c>
      <c r="N58" s="143" t="str">
        <f>IF(tuulisähkö_vuosi&lt;='S0a Baseline'!C58,"tuulisähkö",ostosähkö_nyt)</f>
        <v>jäännössähkö</v>
      </c>
      <c r="O58" s="147">
        <f>INDEX(Muuttujat!$J$5:$J$21,MATCH($C58,Muuttujat!$H$5:$H$21,0),1)</f>
        <v>68.554749999999999</v>
      </c>
      <c r="P58" s="342">
        <f>1-(INDEX(Muuttujat!$O$5:$O$21,MATCH($C58,Muuttujat!$N$5:$N$21,0),1))</f>
        <v>1</v>
      </c>
      <c r="Q58" s="342">
        <f>INDEX(Muuttujat!$O$5:$O$21,MATCH($C58,Muuttujat!$N$5:$N$21,0),1)</f>
        <v>0</v>
      </c>
      <c r="R58" s="148">
        <f>INDEX(Muuttujat!$P$5:$P$21,MATCH($C58,Muuttujat!$N$5:$N$21,0),1)</f>
        <v>0</v>
      </c>
      <c r="S58" s="149">
        <f t="shared" si="4"/>
        <v>0</v>
      </c>
      <c r="T58" s="150">
        <f t="shared" si="5"/>
        <v>0</v>
      </c>
      <c r="U58" s="150">
        <f t="shared" si="6"/>
        <v>0</v>
      </c>
      <c r="V58" s="150">
        <f>IFERROR(INDEX(Työkonekanta!$J$3:$J$27,MATCH($A58,Työkonekanta!$A$3:$A$24,0),1)*$B58*ef_li_ion_akku/1000/1000/INDEX(Työkonekanta!$K$3:$K$27,MATCH($A58,Työkonekanta!$A$3:$A$24,0)),0)</f>
        <v>0</v>
      </c>
      <c r="W58" s="149">
        <f t="shared" si="7"/>
        <v>0</v>
      </c>
      <c r="X58" s="150">
        <f t="shared" si="8"/>
        <v>0</v>
      </c>
      <c r="Y58" s="151">
        <f t="shared" si="9"/>
        <v>0</v>
      </c>
      <c r="Z58" s="152">
        <f t="shared" si="14"/>
        <v>0</v>
      </c>
      <c r="AA58" s="153">
        <f t="shared" si="15"/>
        <v>0</v>
      </c>
      <c r="AB58" s="153">
        <f t="shared" si="16"/>
        <v>0</v>
      </c>
      <c r="AC58" s="154">
        <f t="shared" si="10"/>
        <v>0</v>
      </c>
      <c r="AD58" s="156">
        <f t="shared" si="17"/>
        <v>0</v>
      </c>
    </row>
    <row r="59" spans="1:30" s="144" customFormat="1">
      <c r="A59" s="139">
        <v>27</v>
      </c>
      <c r="B59" s="139">
        <f>IFERROR(INDEX(Työkonekanta!$F$3:$F$27,MATCH('S0a Baseline'!$A59,Työkonekanta!$A$3:$A$24,0),1),0)</f>
        <v>0</v>
      </c>
      <c r="C59" s="140">
        <v>2020</v>
      </c>
      <c r="D59" s="141" t="str">
        <f>IFERROR(INDEX(Työkonekanta!$D$3:$D$27,MATCH('S0a Baseline'!$A59,Työkonekanta!$A$3:$A$24,0),1),"undefined")</f>
        <v>undefined</v>
      </c>
      <c r="E59" s="145">
        <f>IFERROR(INDEX(Työkonekanta!$G$3:$G$27,MATCH($A59,Työkonekanta!$A$3:$A$24,0),1)*INDEX(Työkonekanta!$H$3:$H$27,MATCH($A59,Työkonekanta!$A$3:$A$24,0),1)*$B59,0)</f>
        <v>0</v>
      </c>
      <c r="F59" s="344">
        <f t="shared" si="0"/>
        <v>0</v>
      </c>
      <c r="G59" s="344">
        <f t="shared" si="11"/>
        <v>0</v>
      </c>
      <c r="H59" s="344">
        <f t="shared" si="12"/>
        <v>0</v>
      </c>
      <c r="I59" s="145">
        <f t="shared" si="1"/>
        <v>0</v>
      </c>
      <c r="J59" s="145">
        <f t="shared" si="2"/>
        <v>0</v>
      </c>
      <c r="K59" s="142" t="str">
        <f t="shared" si="13"/>
        <v>undefined</v>
      </c>
      <c r="L59" s="146">
        <f>IFERROR(INDEX(Työkonekanta!$I$3:$I$27,MATCH('S0a Baseline'!$A59,Työkonekanta!$A$3:$A$24,0),1)*(I59+J59)*f_adblue,0)</f>
        <v>0</v>
      </c>
      <c r="M59" s="146">
        <f t="shared" si="3"/>
        <v>0</v>
      </c>
      <c r="N59" s="143" t="str">
        <f>IF(tuulisähkö_vuosi&lt;='S0a Baseline'!C59,"tuulisähkö",ostosähkö_nyt)</f>
        <v>jäännössähkö</v>
      </c>
      <c r="O59" s="147">
        <f>INDEX(Muuttujat!$J$5:$J$21,MATCH($C59,Muuttujat!$H$5:$H$21,0),1)</f>
        <v>68.554749999999999</v>
      </c>
      <c r="P59" s="342">
        <f>1-(INDEX(Muuttujat!$O$5:$O$21,MATCH($C59,Muuttujat!$N$5:$N$21,0),1))</f>
        <v>1</v>
      </c>
      <c r="Q59" s="342">
        <f>INDEX(Muuttujat!$O$5:$O$21,MATCH($C59,Muuttujat!$N$5:$N$21,0),1)</f>
        <v>0</v>
      </c>
      <c r="R59" s="148">
        <f>INDEX(Muuttujat!$P$5:$P$21,MATCH($C59,Muuttujat!$N$5:$N$21,0),1)</f>
        <v>0</v>
      </c>
      <c r="S59" s="149">
        <f t="shared" si="4"/>
        <v>0</v>
      </c>
      <c r="T59" s="150">
        <f t="shared" si="5"/>
        <v>0</v>
      </c>
      <c r="U59" s="150">
        <f t="shared" si="6"/>
        <v>0</v>
      </c>
      <c r="V59" s="150">
        <f>IFERROR(INDEX(Työkonekanta!$J$3:$J$27,MATCH($A59,Työkonekanta!$A$3:$A$24,0),1)*$B59*ef_li_ion_akku/1000/1000/INDEX(Työkonekanta!$K$3:$K$27,MATCH($A59,Työkonekanta!$A$3:$A$24,0)),0)</f>
        <v>0</v>
      </c>
      <c r="W59" s="149">
        <f t="shared" si="7"/>
        <v>0</v>
      </c>
      <c r="X59" s="150">
        <f t="shared" si="8"/>
        <v>0</v>
      </c>
      <c r="Y59" s="151">
        <f t="shared" si="9"/>
        <v>0</v>
      </c>
      <c r="Z59" s="152">
        <f t="shared" si="14"/>
        <v>0</v>
      </c>
      <c r="AA59" s="153">
        <f t="shared" si="15"/>
        <v>0</v>
      </c>
      <c r="AB59" s="153">
        <f t="shared" si="16"/>
        <v>0</v>
      </c>
      <c r="AC59" s="154">
        <f t="shared" si="10"/>
        <v>0</v>
      </c>
      <c r="AD59" s="156">
        <f t="shared" si="17"/>
        <v>0</v>
      </c>
    </row>
    <row r="60" spans="1:30" s="144" customFormat="1">
      <c r="A60" s="139">
        <v>28</v>
      </c>
      <c r="B60" s="139">
        <f>IFERROR(INDEX(Työkonekanta!$F$3:$F$27,MATCH('S0a Baseline'!$A60,Työkonekanta!$A$3:$A$24,0),1),0)</f>
        <v>0</v>
      </c>
      <c r="C60" s="140">
        <v>2020</v>
      </c>
      <c r="D60" s="141" t="str">
        <f>IFERROR(INDEX(Työkonekanta!$D$3:$D$27,MATCH('S0a Baseline'!$A60,Työkonekanta!$A$3:$A$24,0),1),"undefined")</f>
        <v>undefined</v>
      </c>
      <c r="E60" s="145">
        <f>IFERROR(INDEX(Työkonekanta!$G$3:$G$27,MATCH($A60,Työkonekanta!$A$3:$A$24,0),1)*INDEX(Työkonekanta!$H$3:$H$27,MATCH($A60,Työkonekanta!$A$3:$A$24,0),1)*$B60,0)</f>
        <v>0</v>
      </c>
      <c r="F60" s="344">
        <f t="shared" si="0"/>
        <v>0</v>
      </c>
      <c r="G60" s="344">
        <f t="shared" si="11"/>
        <v>0</v>
      </c>
      <c r="H60" s="344">
        <f t="shared" si="12"/>
        <v>0</v>
      </c>
      <c r="I60" s="145">
        <f t="shared" si="1"/>
        <v>0</v>
      </c>
      <c r="J60" s="145">
        <f t="shared" si="2"/>
        <v>0</v>
      </c>
      <c r="K60" s="142" t="str">
        <f t="shared" si="13"/>
        <v>undefined</v>
      </c>
      <c r="L60" s="146">
        <f>IFERROR(INDEX(Työkonekanta!$I$3:$I$27,MATCH('S0a Baseline'!$A60,Työkonekanta!$A$3:$A$24,0),1)*(I60+J60)*f_adblue,0)</f>
        <v>0</v>
      </c>
      <c r="M60" s="146">
        <f t="shared" si="3"/>
        <v>0</v>
      </c>
      <c r="N60" s="143" t="str">
        <f>IF(tuulisähkö_vuosi&lt;='S0a Baseline'!C60,"tuulisähkö",ostosähkö_nyt)</f>
        <v>jäännössähkö</v>
      </c>
      <c r="O60" s="147">
        <f>INDEX(Muuttujat!$J$5:$J$21,MATCH($C60,Muuttujat!$H$5:$H$21,0),1)</f>
        <v>68.554749999999999</v>
      </c>
      <c r="P60" s="342">
        <f>1-(INDEX(Muuttujat!$O$5:$O$21,MATCH($C60,Muuttujat!$N$5:$N$21,0),1))</f>
        <v>1</v>
      </c>
      <c r="Q60" s="342">
        <f>INDEX(Muuttujat!$O$5:$O$21,MATCH($C60,Muuttujat!$N$5:$N$21,0),1)</f>
        <v>0</v>
      </c>
      <c r="R60" s="148">
        <f>INDEX(Muuttujat!$P$5:$P$21,MATCH($C60,Muuttujat!$N$5:$N$21,0),1)</f>
        <v>0</v>
      </c>
      <c r="S60" s="149">
        <f t="shared" si="4"/>
        <v>0</v>
      </c>
      <c r="T60" s="150">
        <f t="shared" si="5"/>
        <v>0</v>
      </c>
      <c r="U60" s="150">
        <f t="shared" si="6"/>
        <v>0</v>
      </c>
      <c r="V60" s="150">
        <f>IFERROR(INDEX(Työkonekanta!$J$3:$J$27,MATCH($A60,Työkonekanta!$A$3:$A$24,0),1)*$B60*ef_li_ion_akku/1000/1000/INDEX(Työkonekanta!$K$3:$K$27,MATCH($A60,Työkonekanta!$A$3:$A$24,0)),0)</f>
        <v>0</v>
      </c>
      <c r="W60" s="149">
        <f t="shared" si="7"/>
        <v>0</v>
      </c>
      <c r="X60" s="150">
        <f t="shared" si="8"/>
        <v>0</v>
      </c>
      <c r="Y60" s="151">
        <f t="shared" si="9"/>
        <v>0</v>
      </c>
      <c r="Z60" s="152">
        <f t="shared" si="14"/>
        <v>0</v>
      </c>
      <c r="AA60" s="153">
        <f t="shared" si="15"/>
        <v>0</v>
      </c>
      <c r="AB60" s="153">
        <f t="shared" si="16"/>
        <v>0</v>
      </c>
      <c r="AC60" s="154">
        <f t="shared" si="10"/>
        <v>0</v>
      </c>
      <c r="AD60" s="156">
        <f t="shared" si="17"/>
        <v>0</v>
      </c>
    </row>
    <row r="61" spans="1:30" s="144" customFormat="1">
      <c r="A61" s="139">
        <v>29</v>
      </c>
      <c r="B61" s="139">
        <f>IFERROR(INDEX(Työkonekanta!$F$3:$F$27,MATCH('S0a Baseline'!$A61,Työkonekanta!$A$3:$A$24,0),1),0)</f>
        <v>0</v>
      </c>
      <c r="C61" s="140">
        <v>2020</v>
      </c>
      <c r="D61" s="141" t="str">
        <f>IFERROR(INDEX(Työkonekanta!$D$3:$D$27,MATCH('S0a Baseline'!$A61,Työkonekanta!$A$3:$A$24,0),1),"undefined")</f>
        <v>undefined</v>
      </c>
      <c r="E61" s="145">
        <f>IFERROR(INDEX(Työkonekanta!$G$3:$G$27,MATCH($A61,Työkonekanta!$A$3:$A$24,0),1)*INDEX(Työkonekanta!$H$3:$H$27,MATCH($A61,Työkonekanta!$A$3:$A$24,0),1)*$B61,0)</f>
        <v>0</v>
      </c>
      <c r="F61" s="344">
        <f t="shared" si="0"/>
        <v>0</v>
      </c>
      <c r="G61" s="344">
        <f t="shared" si="11"/>
        <v>0</v>
      </c>
      <c r="H61" s="344">
        <f t="shared" si="12"/>
        <v>0</v>
      </c>
      <c r="I61" s="145">
        <f t="shared" si="1"/>
        <v>0</v>
      </c>
      <c r="J61" s="145">
        <f t="shared" si="2"/>
        <v>0</v>
      </c>
      <c r="K61" s="142" t="str">
        <f t="shared" si="13"/>
        <v>undefined</v>
      </c>
      <c r="L61" s="146">
        <f>IFERROR(INDEX(Työkonekanta!$I$3:$I$27,MATCH('S0a Baseline'!$A61,Työkonekanta!$A$3:$A$24,0),1)*(I61+J61)*f_adblue,0)</f>
        <v>0</v>
      </c>
      <c r="M61" s="146">
        <f t="shared" si="3"/>
        <v>0</v>
      </c>
      <c r="N61" s="143" t="str">
        <f>IF(tuulisähkö_vuosi&lt;='S0a Baseline'!C61,"tuulisähkö",ostosähkö_nyt)</f>
        <v>jäännössähkö</v>
      </c>
      <c r="O61" s="147">
        <f>INDEX(Muuttujat!$J$5:$J$21,MATCH($C61,Muuttujat!$H$5:$H$21,0),1)</f>
        <v>68.554749999999999</v>
      </c>
      <c r="P61" s="342">
        <f>1-(INDEX(Muuttujat!$O$5:$O$21,MATCH($C61,Muuttujat!$N$5:$N$21,0),1))</f>
        <v>1</v>
      </c>
      <c r="Q61" s="342">
        <f>INDEX(Muuttujat!$O$5:$O$21,MATCH($C61,Muuttujat!$N$5:$N$21,0),1)</f>
        <v>0</v>
      </c>
      <c r="R61" s="148">
        <f>INDEX(Muuttujat!$P$5:$P$21,MATCH($C61,Muuttujat!$N$5:$N$21,0),1)</f>
        <v>0</v>
      </c>
      <c r="S61" s="149">
        <f t="shared" si="4"/>
        <v>0</v>
      </c>
      <c r="T61" s="150">
        <f t="shared" si="5"/>
        <v>0</v>
      </c>
      <c r="U61" s="150">
        <f t="shared" si="6"/>
        <v>0</v>
      </c>
      <c r="V61" s="150">
        <f>IFERROR(INDEX(Työkonekanta!$J$3:$J$27,MATCH($A61,Työkonekanta!$A$3:$A$24,0),1)*$B61*ef_li_ion_akku/1000/1000/INDEX(Työkonekanta!$K$3:$K$27,MATCH($A61,Työkonekanta!$A$3:$A$24,0)),0)</f>
        <v>0</v>
      </c>
      <c r="W61" s="149">
        <f t="shared" si="7"/>
        <v>0</v>
      </c>
      <c r="X61" s="150">
        <f t="shared" si="8"/>
        <v>0</v>
      </c>
      <c r="Y61" s="151">
        <f t="shared" si="9"/>
        <v>0</v>
      </c>
      <c r="Z61" s="152">
        <f t="shared" si="14"/>
        <v>0</v>
      </c>
      <c r="AA61" s="153">
        <f t="shared" si="15"/>
        <v>0</v>
      </c>
      <c r="AB61" s="153">
        <f t="shared" si="16"/>
        <v>0</v>
      </c>
      <c r="AC61" s="154">
        <f t="shared" si="10"/>
        <v>0</v>
      </c>
      <c r="AD61" s="156">
        <f t="shared" si="17"/>
        <v>0</v>
      </c>
    </row>
    <row r="62" spans="1:30" s="144" customFormat="1">
      <c r="A62" s="139">
        <v>30</v>
      </c>
      <c r="B62" s="139">
        <f>IFERROR(INDEX(Työkonekanta!$F$3:$F$27,MATCH('S0a Baseline'!$A62,Työkonekanta!$A$3:$A$24,0),1),0)</f>
        <v>0</v>
      </c>
      <c r="C62" s="140">
        <v>2020</v>
      </c>
      <c r="D62" s="141" t="str">
        <f>IFERROR(INDEX(Työkonekanta!$D$3:$D$27,MATCH('S0a Baseline'!$A62,Työkonekanta!$A$3:$A$24,0),1),"undefined")</f>
        <v>undefined</v>
      </c>
      <c r="E62" s="145">
        <f>IFERROR(INDEX(Työkonekanta!$G$3:$G$27,MATCH($A62,Työkonekanta!$A$3:$A$24,0),1)*INDEX(Työkonekanta!$H$3:$H$27,MATCH($A62,Työkonekanta!$A$3:$A$24,0),1)*$B62,0)</f>
        <v>0</v>
      </c>
      <c r="F62" s="344">
        <f t="shared" si="0"/>
        <v>0</v>
      </c>
      <c r="G62" s="344">
        <f t="shared" si="11"/>
        <v>0</v>
      </c>
      <c r="H62" s="344">
        <f t="shared" si="12"/>
        <v>0</v>
      </c>
      <c r="I62" s="145">
        <f t="shared" si="1"/>
        <v>0</v>
      </c>
      <c r="J62" s="145">
        <f t="shared" si="2"/>
        <v>0</v>
      </c>
      <c r="K62" s="142" t="str">
        <f t="shared" si="13"/>
        <v>undefined</v>
      </c>
      <c r="L62" s="146">
        <f>IFERROR(INDEX(Työkonekanta!$I$3:$I$27,MATCH('S0a Baseline'!$A62,Työkonekanta!$A$3:$A$24,0),1)*(I62+J62)*f_adblue,0)</f>
        <v>0</v>
      </c>
      <c r="M62" s="146">
        <f t="shared" si="3"/>
        <v>0</v>
      </c>
      <c r="N62" s="143" t="str">
        <f>IF(tuulisähkö_vuosi&lt;='S0a Baseline'!C62,"tuulisähkö",ostosähkö_nyt)</f>
        <v>jäännössähkö</v>
      </c>
      <c r="O62" s="147">
        <f>INDEX(Muuttujat!$J$5:$J$21,MATCH($C62,Muuttujat!$H$5:$H$21,0),1)</f>
        <v>68.554749999999999</v>
      </c>
      <c r="P62" s="342">
        <f>1-(INDEX(Muuttujat!$O$5:$O$21,MATCH($C62,Muuttujat!$N$5:$N$21,0),1))</f>
        <v>1</v>
      </c>
      <c r="Q62" s="342">
        <f>INDEX(Muuttujat!$O$5:$O$21,MATCH($C62,Muuttujat!$N$5:$N$21,0),1)</f>
        <v>0</v>
      </c>
      <c r="R62" s="148">
        <f>INDEX(Muuttujat!$P$5:$P$21,MATCH($C62,Muuttujat!$N$5:$N$21,0),1)</f>
        <v>0</v>
      </c>
      <c r="S62" s="149">
        <f t="shared" si="4"/>
        <v>0</v>
      </c>
      <c r="T62" s="150">
        <f t="shared" si="5"/>
        <v>0</v>
      </c>
      <c r="U62" s="150">
        <f t="shared" si="6"/>
        <v>0</v>
      </c>
      <c r="V62" s="150">
        <f>IFERROR(INDEX(Työkonekanta!$J$3:$J$27,MATCH($A62,Työkonekanta!$A$3:$A$24,0),1)*$B62*ef_li_ion_akku/1000/1000/INDEX(Työkonekanta!$K$3:$K$27,MATCH($A62,Työkonekanta!$A$3:$A$24,0)),0)</f>
        <v>0</v>
      </c>
      <c r="W62" s="149">
        <f t="shared" si="7"/>
        <v>0</v>
      </c>
      <c r="X62" s="150">
        <f t="shared" si="8"/>
        <v>0</v>
      </c>
      <c r="Y62" s="151">
        <f t="shared" si="9"/>
        <v>0</v>
      </c>
      <c r="Z62" s="152">
        <f t="shared" si="14"/>
        <v>0</v>
      </c>
      <c r="AA62" s="153">
        <f t="shared" si="15"/>
        <v>0</v>
      </c>
      <c r="AB62" s="153">
        <f t="shared" si="16"/>
        <v>0</v>
      </c>
      <c r="AC62" s="154">
        <f t="shared" si="10"/>
        <v>0</v>
      </c>
      <c r="AD62" s="156">
        <f t="shared" si="17"/>
        <v>0</v>
      </c>
    </row>
    <row r="63" spans="1:30" s="144" customFormat="1">
      <c r="A63" s="139">
        <v>1</v>
      </c>
      <c r="B63" s="139">
        <f>IFERROR(INDEX(Työkonekanta!$F$3:$F$27,MATCH('S0a Baseline'!$A63,Työkonekanta!$A$3:$A$24,0),1),0)</f>
        <v>1</v>
      </c>
      <c r="C63" s="140">
        <v>2021</v>
      </c>
      <c r="D63" s="141" t="str">
        <f>IFERROR(INDEX(Työkonekanta!$D$3:$D$27,MATCH('S0a Baseline'!$A63,Työkonekanta!$A$3:$A$24,0),1),"undefined")</f>
        <v>pom</v>
      </c>
      <c r="E63" s="145">
        <f>IFERROR(INDEX(Työkonekanta!$G$3:$G$27,MATCH($A63,Työkonekanta!$A$3:$A$24,0),1)*INDEX(Työkonekanta!$H$3:$H$27,MATCH($A63,Työkonekanta!$A$3:$A$24,0),1)*$B63,0)</f>
        <v>10000</v>
      </c>
      <c r="F63" s="344">
        <f t="shared" si="0"/>
        <v>359000</v>
      </c>
      <c r="G63" s="344">
        <f t="shared" si="11"/>
        <v>348230</v>
      </c>
      <c r="H63" s="344">
        <f t="shared" si="12"/>
        <v>10770</v>
      </c>
      <c r="I63" s="145">
        <f t="shared" si="1"/>
        <v>9700</v>
      </c>
      <c r="J63" s="145">
        <f t="shared" si="2"/>
        <v>313.99416909620993</v>
      </c>
      <c r="K63" s="142" t="str">
        <f t="shared" si="13"/>
        <v>l</v>
      </c>
      <c r="L63" s="146">
        <f>IFERROR(INDEX(Työkonekanta!$I$3:$I$27,MATCH('S0a Baseline'!$A63,Työkonekanta!$A$3:$A$24,0),1)*(I63+J63)*f_adblue,0)</f>
        <v>500.69970845481049</v>
      </c>
      <c r="M63" s="146">
        <f t="shared" si="3"/>
        <v>0</v>
      </c>
      <c r="N63" s="143" t="str">
        <f>IF(tuulisähkö_vuosi&lt;='S0a Baseline'!C63,"tuulisähkö",ostosähkö_nyt)</f>
        <v>jäännössähkö</v>
      </c>
      <c r="O63" s="147">
        <f>INDEX(Muuttujat!$J$5:$J$21,MATCH($C63,Muuttujat!$H$5:$H$21,0),1)</f>
        <v>67.8692025</v>
      </c>
      <c r="P63" s="342">
        <f>1-(INDEX(Muuttujat!$O$5:$O$21,MATCH($C63,Muuttujat!$N$5:$N$21,0),1))</f>
        <v>0.97</v>
      </c>
      <c r="Q63" s="342">
        <f>INDEX(Muuttujat!$O$5:$O$21,MATCH($C63,Muuttujat!$N$5:$N$21,0),1)</f>
        <v>0.03</v>
      </c>
      <c r="R63" s="148">
        <f>INDEX(Muuttujat!$P$5:$P$21,MATCH($C63,Muuttujat!$N$5:$N$21,0),1)</f>
        <v>3.1355537414087732E-2</v>
      </c>
      <c r="S63" s="149">
        <f t="shared" si="4"/>
        <v>6.5815469999999987</v>
      </c>
      <c r="T63" s="150">
        <f t="shared" si="5"/>
        <v>0.67204799999999998</v>
      </c>
      <c r="U63" s="150">
        <f t="shared" si="6"/>
        <v>0</v>
      </c>
      <c r="V63" s="150">
        <f>IFERROR(INDEX(Työkonekanta!$J$3:$J$27,MATCH($A63,Työkonekanta!$A$3:$A$24,0),1)*$B63*ef_li_ion_akku/1000/1000/INDEX(Työkonekanta!$K$3:$K$27,MATCH($A63,Työkonekanta!$A$3:$A$24,0)),0)</f>
        <v>0</v>
      </c>
      <c r="W63" s="149">
        <f t="shared" si="7"/>
        <v>25.702248387419996</v>
      </c>
      <c r="X63" s="150">
        <f t="shared" si="8"/>
        <v>0.31774565999999999</v>
      </c>
      <c r="Y63" s="151">
        <f t="shared" si="9"/>
        <v>0.13018192419825073</v>
      </c>
      <c r="Z63" s="152">
        <f t="shared" si="14"/>
        <v>7.2535949999999989</v>
      </c>
      <c r="AA63" s="153">
        <f t="shared" si="15"/>
        <v>25.832430311618246</v>
      </c>
      <c r="AB63" s="153">
        <f t="shared" si="16"/>
        <v>26.150175971618246</v>
      </c>
      <c r="AC63" s="154">
        <f t="shared" si="10"/>
        <v>33.086025311618243</v>
      </c>
      <c r="AD63" s="156">
        <f t="shared" si="17"/>
        <v>33.403770971618243</v>
      </c>
    </row>
    <row r="64" spans="1:30" s="144" customFormat="1">
      <c r="A64" s="139">
        <v>2</v>
      </c>
      <c r="B64" s="139">
        <f>IFERROR(INDEX(Työkonekanta!$F$3:$F$27,MATCH('S0a Baseline'!$A64,Työkonekanta!$A$3:$A$24,0),1),0)</f>
        <v>1</v>
      </c>
      <c r="C64" s="140">
        <v>2021</v>
      </c>
      <c r="D64" s="141" t="str">
        <f>IFERROR(INDEX(Työkonekanta!$D$3:$D$27,MATCH('S0a Baseline'!$A64,Työkonekanta!$A$3:$A$24,0),1),"undefined")</f>
        <v>pom</v>
      </c>
      <c r="E64" s="145">
        <f>IFERROR(INDEX(Työkonekanta!$G$3:$G$27,MATCH($A64,Työkonekanta!$A$3:$A$24,0),1)*INDEX(Työkonekanta!$H$3:$H$27,MATCH($A64,Työkonekanta!$A$3:$A$24,0),1)*$B64,0)</f>
        <v>10000</v>
      </c>
      <c r="F64" s="344">
        <f t="shared" si="0"/>
        <v>359000</v>
      </c>
      <c r="G64" s="344">
        <f t="shared" si="11"/>
        <v>348230</v>
      </c>
      <c r="H64" s="344">
        <f t="shared" si="12"/>
        <v>10770</v>
      </c>
      <c r="I64" s="145">
        <f t="shared" si="1"/>
        <v>9700</v>
      </c>
      <c r="J64" s="145">
        <f t="shared" si="2"/>
        <v>313.99416909620993</v>
      </c>
      <c r="K64" s="142" t="str">
        <f t="shared" si="13"/>
        <v>l</v>
      </c>
      <c r="L64" s="146">
        <f>IFERROR(INDEX(Työkonekanta!$I$3:$I$27,MATCH('S0a Baseline'!$A64,Työkonekanta!$A$3:$A$24,0),1)*(I64+J64)*f_adblue,0)</f>
        <v>500.69970845481049</v>
      </c>
      <c r="M64" s="146">
        <f t="shared" si="3"/>
        <v>0</v>
      </c>
      <c r="N64" s="143" t="str">
        <f>IF(tuulisähkö_vuosi&lt;='S0a Baseline'!C64,"tuulisähkö",ostosähkö_nyt)</f>
        <v>jäännössähkö</v>
      </c>
      <c r="O64" s="147">
        <f>INDEX(Muuttujat!$J$5:$J$21,MATCH($C64,Muuttujat!$H$5:$H$21,0),1)</f>
        <v>67.8692025</v>
      </c>
      <c r="P64" s="342">
        <f>1-(INDEX(Muuttujat!$O$5:$O$21,MATCH($C64,Muuttujat!$N$5:$N$21,0),1))</f>
        <v>0.97</v>
      </c>
      <c r="Q64" s="342">
        <f>INDEX(Muuttujat!$O$5:$O$21,MATCH($C64,Muuttujat!$N$5:$N$21,0),1)</f>
        <v>0.03</v>
      </c>
      <c r="R64" s="148">
        <f>INDEX(Muuttujat!$P$5:$P$21,MATCH($C64,Muuttujat!$N$5:$N$21,0),1)</f>
        <v>3.1355537414087732E-2</v>
      </c>
      <c r="S64" s="149">
        <f t="shared" si="4"/>
        <v>6.5815469999999987</v>
      </c>
      <c r="T64" s="150">
        <f t="shared" si="5"/>
        <v>0.67204799999999998</v>
      </c>
      <c r="U64" s="150">
        <f t="shared" si="6"/>
        <v>0</v>
      </c>
      <c r="V64" s="150">
        <f>IFERROR(INDEX(Työkonekanta!$J$3:$J$27,MATCH($A64,Työkonekanta!$A$3:$A$24,0),1)*$B64*ef_li_ion_akku/1000/1000/INDEX(Työkonekanta!$K$3:$K$27,MATCH($A64,Työkonekanta!$A$3:$A$24,0)),0)</f>
        <v>0</v>
      </c>
      <c r="W64" s="149">
        <f t="shared" si="7"/>
        <v>25.702248387419996</v>
      </c>
      <c r="X64" s="150">
        <f t="shared" si="8"/>
        <v>0.31774565999999999</v>
      </c>
      <c r="Y64" s="151">
        <f t="shared" si="9"/>
        <v>0.13018192419825073</v>
      </c>
      <c r="Z64" s="152">
        <f t="shared" si="14"/>
        <v>7.2535949999999989</v>
      </c>
      <c r="AA64" s="153">
        <f t="shared" si="15"/>
        <v>25.832430311618246</v>
      </c>
      <c r="AB64" s="153">
        <f t="shared" si="16"/>
        <v>26.150175971618246</v>
      </c>
      <c r="AC64" s="154">
        <f t="shared" si="10"/>
        <v>33.086025311618243</v>
      </c>
      <c r="AD64" s="156">
        <f t="shared" si="17"/>
        <v>33.403770971618243</v>
      </c>
    </row>
    <row r="65" spans="1:30" s="144" customFormat="1">
      <c r="A65" s="139">
        <v>3</v>
      </c>
      <c r="B65" s="139">
        <f>IFERROR(INDEX(Työkonekanta!$F$3:$F$27,MATCH('S0a Baseline'!$A65,Työkonekanta!$A$3:$A$24,0),1),0)</f>
        <v>1</v>
      </c>
      <c r="C65" s="140">
        <v>2021</v>
      </c>
      <c r="D65" s="141" t="str">
        <f>IFERROR(INDEX(Työkonekanta!$D$3:$D$27,MATCH('S0a Baseline'!$A65,Työkonekanta!$A$3:$A$24,0),1),"undefined")</f>
        <v>pom</v>
      </c>
      <c r="E65" s="145">
        <f>IFERROR(INDEX(Työkonekanta!$G$3:$G$27,MATCH($A65,Työkonekanta!$A$3:$A$24,0),1)*INDEX(Työkonekanta!$H$3:$H$27,MATCH($A65,Työkonekanta!$A$3:$A$24,0),1)*$B65,0)</f>
        <v>10000</v>
      </c>
      <c r="F65" s="344">
        <f t="shared" si="0"/>
        <v>359000</v>
      </c>
      <c r="G65" s="344">
        <f t="shared" si="11"/>
        <v>348230</v>
      </c>
      <c r="H65" s="344">
        <f t="shared" si="12"/>
        <v>10770</v>
      </c>
      <c r="I65" s="145">
        <f t="shared" si="1"/>
        <v>9700</v>
      </c>
      <c r="J65" s="145">
        <f t="shared" si="2"/>
        <v>313.99416909620993</v>
      </c>
      <c r="K65" s="142" t="str">
        <f t="shared" si="13"/>
        <v>l</v>
      </c>
      <c r="L65" s="146">
        <f>IFERROR(INDEX(Työkonekanta!$I$3:$I$27,MATCH('S0a Baseline'!$A65,Työkonekanta!$A$3:$A$24,0),1)*(I65+J65)*f_adblue,0)</f>
        <v>500.69970845481049</v>
      </c>
      <c r="M65" s="146">
        <f t="shared" si="3"/>
        <v>0</v>
      </c>
      <c r="N65" s="143" t="str">
        <f>IF(tuulisähkö_vuosi&lt;='S0a Baseline'!C65,"tuulisähkö",ostosähkö_nyt)</f>
        <v>jäännössähkö</v>
      </c>
      <c r="O65" s="147">
        <f>INDEX(Muuttujat!$J$5:$J$21,MATCH($C65,Muuttujat!$H$5:$H$21,0),1)</f>
        <v>67.8692025</v>
      </c>
      <c r="P65" s="342">
        <f>1-(INDEX(Muuttujat!$O$5:$O$21,MATCH($C65,Muuttujat!$N$5:$N$21,0),1))</f>
        <v>0.97</v>
      </c>
      <c r="Q65" s="342">
        <f>INDEX(Muuttujat!$O$5:$O$21,MATCH($C65,Muuttujat!$N$5:$N$21,0),1)</f>
        <v>0.03</v>
      </c>
      <c r="R65" s="148">
        <f>INDEX(Muuttujat!$P$5:$P$21,MATCH($C65,Muuttujat!$N$5:$N$21,0),1)</f>
        <v>3.1355537414087732E-2</v>
      </c>
      <c r="S65" s="149">
        <f t="shared" si="4"/>
        <v>6.5815469999999987</v>
      </c>
      <c r="T65" s="150">
        <f t="shared" si="5"/>
        <v>0.67204799999999998</v>
      </c>
      <c r="U65" s="150">
        <f t="shared" si="6"/>
        <v>0</v>
      </c>
      <c r="V65" s="150">
        <f>IFERROR(INDEX(Työkonekanta!$J$3:$J$27,MATCH($A65,Työkonekanta!$A$3:$A$24,0),1)*$B65*ef_li_ion_akku/1000/1000/INDEX(Työkonekanta!$K$3:$K$27,MATCH($A65,Työkonekanta!$A$3:$A$24,0)),0)</f>
        <v>0</v>
      </c>
      <c r="W65" s="149">
        <f t="shared" si="7"/>
        <v>25.702248387419996</v>
      </c>
      <c r="X65" s="150">
        <f t="shared" si="8"/>
        <v>0.31774565999999999</v>
      </c>
      <c r="Y65" s="151">
        <f t="shared" si="9"/>
        <v>0.13018192419825073</v>
      </c>
      <c r="Z65" s="152">
        <f t="shared" si="14"/>
        <v>7.2535949999999989</v>
      </c>
      <c r="AA65" s="153">
        <f t="shared" si="15"/>
        <v>25.832430311618246</v>
      </c>
      <c r="AB65" s="153">
        <f t="shared" si="16"/>
        <v>26.150175971618246</v>
      </c>
      <c r="AC65" s="154">
        <f t="shared" si="10"/>
        <v>33.086025311618243</v>
      </c>
      <c r="AD65" s="156">
        <f t="shared" si="17"/>
        <v>33.403770971618243</v>
      </c>
    </row>
    <row r="66" spans="1:30" s="144" customFormat="1">
      <c r="A66" s="139">
        <v>4</v>
      </c>
      <c r="B66" s="139">
        <f>IFERROR(INDEX(Työkonekanta!$F$3:$F$27,MATCH('S0a Baseline'!$A66,Työkonekanta!$A$3:$A$24,0),1),0)</f>
        <v>1</v>
      </c>
      <c r="C66" s="140">
        <v>2021</v>
      </c>
      <c r="D66" s="141" t="str">
        <f>IFERROR(INDEX(Työkonekanta!$D$3:$D$27,MATCH('S0a Baseline'!$A66,Työkonekanta!$A$3:$A$24,0),1),"undefined")</f>
        <v>pom</v>
      </c>
      <c r="E66" s="145">
        <f>IFERROR(INDEX(Työkonekanta!$G$3:$G$27,MATCH($A66,Työkonekanta!$A$3:$A$24,0),1)*INDEX(Työkonekanta!$H$3:$H$27,MATCH($A66,Työkonekanta!$A$3:$A$24,0),1)*$B66,0)</f>
        <v>10000</v>
      </c>
      <c r="F66" s="344">
        <f t="shared" si="0"/>
        <v>359000</v>
      </c>
      <c r="G66" s="344">
        <f t="shared" si="11"/>
        <v>348230</v>
      </c>
      <c r="H66" s="344">
        <f t="shared" si="12"/>
        <v>10770</v>
      </c>
      <c r="I66" s="145">
        <f t="shared" si="1"/>
        <v>9700</v>
      </c>
      <c r="J66" s="145">
        <f t="shared" si="2"/>
        <v>313.99416909620993</v>
      </c>
      <c r="K66" s="142" t="str">
        <f t="shared" si="13"/>
        <v>l</v>
      </c>
      <c r="L66" s="146">
        <f>IFERROR(INDEX(Työkonekanta!$I$3:$I$27,MATCH('S0a Baseline'!$A66,Työkonekanta!$A$3:$A$24,0),1)*(I66+J66)*f_adblue,0)</f>
        <v>500.69970845481049</v>
      </c>
      <c r="M66" s="146">
        <f t="shared" si="3"/>
        <v>0</v>
      </c>
      <c r="N66" s="143" t="str">
        <f>IF(tuulisähkö_vuosi&lt;='S0a Baseline'!C66,"tuulisähkö",ostosähkö_nyt)</f>
        <v>jäännössähkö</v>
      </c>
      <c r="O66" s="147">
        <f>INDEX(Muuttujat!$J$5:$J$21,MATCH($C66,Muuttujat!$H$5:$H$21,0),1)</f>
        <v>67.8692025</v>
      </c>
      <c r="P66" s="342">
        <f>1-(INDEX(Muuttujat!$O$5:$O$21,MATCH($C66,Muuttujat!$N$5:$N$21,0),1))</f>
        <v>0.97</v>
      </c>
      <c r="Q66" s="342">
        <f>INDEX(Muuttujat!$O$5:$O$21,MATCH($C66,Muuttujat!$N$5:$N$21,0),1)</f>
        <v>0.03</v>
      </c>
      <c r="R66" s="148">
        <f>INDEX(Muuttujat!$P$5:$P$21,MATCH($C66,Muuttujat!$N$5:$N$21,0),1)</f>
        <v>3.1355537414087732E-2</v>
      </c>
      <c r="S66" s="149">
        <f t="shared" si="4"/>
        <v>6.5815469999999987</v>
      </c>
      <c r="T66" s="150">
        <f t="shared" si="5"/>
        <v>0.67204799999999998</v>
      </c>
      <c r="U66" s="150">
        <f t="shared" si="6"/>
        <v>0</v>
      </c>
      <c r="V66" s="150">
        <f>IFERROR(INDEX(Työkonekanta!$J$3:$J$27,MATCH($A66,Työkonekanta!$A$3:$A$24,0),1)*$B66*ef_li_ion_akku/1000/1000/INDEX(Työkonekanta!$K$3:$K$27,MATCH($A66,Työkonekanta!$A$3:$A$24,0)),0)</f>
        <v>0</v>
      </c>
      <c r="W66" s="149">
        <f t="shared" si="7"/>
        <v>25.702248387419996</v>
      </c>
      <c r="X66" s="150">
        <f t="shared" si="8"/>
        <v>0.31774565999999999</v>
      </c>
      <c r="Y66" s="151">
        <f t="shared" si="9"/>
        <v>0.13018192419825073</v>
      </c>
      <c r="Z66" s="152">
        <f t="shared" si="14"/>
        <v>7.2535949999999989</v>
      </c>
      <c r="AA66" s="153">
        <f t="shared" si="15"/>
        <v>25.832430311618246</v>
      </c>
      <c r="AB66" s="153">
        <f t="shared" si="16"/>
        <v>26.150175971618246</v>
      </c>
      <c r="AC66" s="154">
        <f t="shared" si="10"/>
        <v>33.086025311618243</v>
      </c>
      <c r="AD66" s="156">
        <f t="shared" si="17"/>
        <v>33.403770971618243</v>
      </c>
    </row>
    <row r="67" spans="1:30" s="144" customFormat="1">
      <c r="A67" s="139">
        <v>5</v>
      </c>
      <c r="B67" s="139">
        <f>IFERROR(INDEX(Työkonekanta!$F$3:$F$27,MATCH('S0a Baseline'!$A67,Työkonekanta!$A$3:$A$24,0),1),0)</f>
        <v>0</v>
      </c>
      <c r="C67" s="140">
        <v>2021</v>
      </c>
      <c r="D67" s="141" t="str">
        <f>IFERROR(INDEX(Työkonekanta!$D$3:$D$27,MATCH('S0a Baseline'!$A67,Työkonekanta!$A$3:$A$24,0),1),"undefined")</f>
        <v>sähkö</v>
      </c>
      <c r="E67" s="145">
        <f>IFERROR(INDEX(Työkonekanta!$G$3:$G$27,MATCH($A67,Työkonekanta!$A$3:$A$24,0),1)*INDEX(Työkonekanta!$H$3:$H$27,MATCH($A67,Työkonekanta!$A$3:$A$24,0),1)*$B67,0)</f>
        <v>0</v>
      </c>
      <c r="F67" s="344">
        <f t="shared" ref="F67:F130" si="18">IF(D67="pom",$E67*hv_pom,0)</f>
        <v>0</v>
      </c>
      <c r="G67" s="344">
        <f t="shared" si="11"/>
        <v>0</v>
      </c>
      <c r="H67" s="344">
        <f t="shared" si="12"/>
        <v>0</v>
      </c>
      <c r="I67" s="145">
        <f t="shared" ref="I67:I130" si="19">$G67/hv_pom</f>
        <v>0</v>
      </c>
      <c r="J67" s="145">
        <f t="shared" ref="J67:J130" si="20">$H67/hv_biodies</f>
        <v>0</v>
      </c>
      <c r="K67" s="142" t="str">
        <f t="shared" si="13"/>
        <v>kWh</v>
      </c>
      <c r="L67" s="146">
        <f>IFERROR(INDEX(Työkonekanta!$I$3:$I$27,MATCH('S0a Baseline'!$A67,Työkonekanta!$A$3:$A$24,0),1)*(I67+J67)*f_adblue,0)</f>
        <v>0</v>
      </c>
      <c r="M67" s="146">
        <f t="shared" si="3"/>
        <v>0</v>
      </c>
      <c r="N67" s="143" t="str">
        <f>IF(tuulisähkö_vuosi&lt;='S0a Baseline'!C67,"tuulisähkö",ostosähkö_nyt)</f>
        <v>jäännössähkö</v>
      </c>
      <c r="O67" s="147">
        <f>INDEX(Muuttujat!$J$5:$J$21,MATCH($C67,Muuttujat!$H$5:$H$21,0),1)</f>
        <v>67.8692025</v>
      </c>
      <c r="P67" s="342">
        <f>1-(INDEX(Muuttujat!$O$5:$O$21,MATCH($C67,Muuttujat!$N$5:$N$21,0),1))</f>
        <v>0.97</v>
      </c>
      <c r="Q67" s="342">
        <f>INDEX(Muuttujat!$O$5:$O$21,MATCH($C67,Muuttujat!$N$5:$N$21,0),1)</f>
        <v>0.03</v>
      </c>
      <c r="R67" s="148">
        <f>INDEX(Muuttujat!$P$5:$P$21,MATCH($C67,Muuttujat!$N$5:$N$21,0),1)</f>
        <v>3.1355537414087732E-2</v>
      </c>
      <c r="S67" s="149">
        <f t="shared" ref="S67:S130" si="21">wtt_ef_e_co2_dies*$G67/1000/1000</f>
        <v>0</v>
      </c>
      <c r="T67" s="150">
        <f t="shared" ref="T67:T130" si="22">wtt_ef_e_co2_biodies*$H67/1000/1000</f>
        <v>0</v>
      </c>
      <c r="U67" s="150">
        <f t="shared" ref="U67:U130" si="23">IF(N67="jäännössähkö",$O67,IF(N67="tuulisähkö",wtt_ef_e_co2_el_wind,0))*$M67/1000/1000</f>
        <v>0</v>
      </c>
      <c r="V67" s="150">
        <f>IFERROR(INDEX(Työkonekanta!$J$3:$J$27,MATCH($A67,Työkonekanta!$A$3:$A$24,0),1)*$B67*ef_li_ion_akku/1000/1000/INDEX(Työkonekanta!$K$3:$K$27,MATCH($A67,Työkonekanta!$A$3:$A$24,0)),0)</f>
        <v>0</v>
      </c>
      <c r="W67" s="149">
        <f t="shared" ref="W67:W130" si="24">($I67*IF($D67="pom",ef_v_co2_pom,0))/1000/1000</f>
        <v>0</v>
      </c>
      <c r="X67" s="150">
        <f t="shared" si="8"/>
        <v>0</v>
      </c>
      <c r="Y67" s="151">
        <f t="shared" si="9"/>
        <v>0</v>
      </c>
      <c r="Z67" s="152">
        <f t="shared" si="14"/>
        <v>0</v>
      </c>
      <c r="AA67" s="153">
        <f t="shared" si="15"/>
        <v>0</v>
      </c>
      <c r="AB67" s="153">
        <f t="shared" si="16"/>
        <v>0</v>
      </c>
      <c r="AC67" s="154">
        <f t="shared" si="10"/>
        <v>0</v>
      </c>
      <c r="AD67" s="156">
        <f t="shared" si="17"/>
        <v>0</v>
      </c>
    </row>
    <row r="68" spans="1:30" s="144" customFormat="1">
      <c r="A68" s="139">
        <v>6</v>
      </c>
      <c r="B68" s="139">
        <f>IFERROR(INDEX(Työkonekanta!$F$3:$F$27,MATCH('S0a Baseline'!$A68,Työkonekanta!$A$3:$A$24,0),1),0)</f>
        <v>0</v>
      </c>
      <c r="C68" s="140">
        <v>2021</v>
      </c>
      <c r="D68" s="141" t="str">
        <f>IFERROR(INDEX(Työkonekanta!$D$3:$D$27,MATCH('S0a Baseline'!$A68,Työkonekanta!$A$3:$A$24,0),1),"undefined")</f>
        <v>sähkö</v>
      </c>
      <c r="E68" s="145">
        <f>IFERROR(INDEX(Työkonekanta!$G$3:$G$27,MATCH($A68,Työkonekanta!$A$3:$A$24,0),1)*INDEX(Työkonekanta!$H$3:$H$27,MATCH($A68,Työkonekanta!$A$3:$A$24,0),1)*$B68,0)</f>
        <v>0</v>
      </c>
      <c r="F68" s="344">
        <f t="shared" si="18"/>
        <v>0</v>
      </c>
      <c r="G68" s="344">
        <f t="shared" ref="G68:G131" si="25">$F68*$P68</f>
        <v>0</v>
      </c>
      <c r="H68" s="344">
        <f t="shared" ref="H68:H131" si="26">$F68*$Q68</f>
        <v>0</v>
      </c>
      <c r="I68" s="145">
        <f t="shared" si="19"/>
        <v>0</v>
      </c>
      <c r="J68" s="145">
        <f t="shared" si="20"/>
        <v>0</v>
      </c>
      <c r="K68" s="142" t="str">
        <f t="shared" ref="K68:K131" si="27">IF($D68="sähkö","kWh",IF($D68="pom","l","undefined"))</f>
        <v>kWh</v>
      </c>
      <c r="L68" s="146">
        <f>IFERROR(INDEX(Työkonekanta!$I$3:$I$27,MATCH('S0a Baseline'!$A68,Työkonekanta!$A$3:$A$24,0),1)*(I68+J68)*f_adblue,0)</f>
        <v>0</v>
      </c>
      <c r="M68" s="146">
        <f t="shared" si="3"/>
        <v>0</v>
      </c>
      <c r="N68" s="143" t="str">
        <f>IF(tuulisähkö_vuosi&lt;='S0a Baseline'!C68,"tuulisähkö",ostosähkö_nyt)</f>
        <v>jäännössähkö</v>
      </c>
      <c r="O68" s="147">
        <f>INDEX(Muuttujat!$J$5:$J$21,MATCH($C68,Muuttujat!$H$5:$H$21,0),1)</f>
        <v>67.8692025</v>
      </c>
      <c r="P68" s="342">
        <f>1-(INDEX(Muuttujat!$O$5:$O$21,MATCH($C68,Muuttujat!$N$5:$N$21,0),1))</f>
        <v>0.97</v>
      </c>
      <c r="Q68" s="342">
        <f>INDEX(Muuttujat!$O$5:$O$21,MATCH($C68,Muuttujat!$N$5:$N$21,0),1)</f>
        <v>0.03</v>
      </c>
      <c r="R68" s="148">
        <f>INDEX(Muuttujat!$P$5:$P$21,MATCH($C68,Muuttujat!$N$5:$N$21,0),1)</f>
        <v>3.1355537414087732E-2</v>
      </c>
      <c r="S68" s="149">
        <f t="shared" si="21"/>
        <v>0</v>
      </c>
      <c r="T68" s="150">
        <f t="shared" si="22"/>
        <v>0</v>
      </c>
      <c r="U68" s="150">
        <f t="shared" si="23"/>
        <v>0</v>
      </c>
      <c r="V68" s="150">
        <f>IFERROR(INDEX(Työkonekanta!$J$3:$J$27,MATCH($A68,Työkonekanta!$A$3:$A$24,0),1)*$B68*ef_li_ion_akku/1000/1000/INDEX(Työkonekanta!$K$3:$K$27,MATCH($A68,Työkonekanta!$A$3:$A$24,0)),0)</f>
        <v>0</v>
      </c>
      <c r="W68" s="149">
        <f t="shared" si="24"/>
        <v>0</v>
      </c>
      <c r="X68" s="150">
        <f t="shared" si="8"/>
        <v>0</v>
      </c>
      <c r="Y68" s="151">
        <f t="shared" si="9"/>
        <v>0</v>
      </c>
      <c r="Z68" s="152">
        <f t="shared" ref="Z68:Z131" si="28">SUM($S68:$V68)</f>
        <v>0</v>
      </c>
      <c r="AA68" s="153">
        <f t="shared" ref="AA68:AA131" si="29">$W68+$Y68</f>
        <v>0</v>
      </c>
      <c r="AB68" s="153">
        <f t="shared" ref="AB68:AB131" si="30">SUM($W68:$Y68)</f>
        <v>0</v>
      </c>
      <c r="AC68" s="154">
        <f t="shared" si="10"/>
        <v>0</v>
      </c>
      <c r="AD68" s="156">
        <f t="shared" ref="AD68:AD131" si="31">$Z68+$AB68</f>
        <v>0</v>
      </c>
    </row>
    <row r="69" spans="1:30" s="144" customFormat="1">
      <c r="A69" s="139">
        <v>7</v>
      </c>
      <c r="B69" s="139">
        <f>IFERROR(INDEX(Työkonekanta!$F$3:$F$27,MATCH('S0a Baseline'!$A69,Työkonekanta!$A$3:$A$24,0),1),0)</f>
        <v>1</v>
      </c>
      <c r="C69" s="140">
        <v>2021</v>
      </c>
      <c r="D69" s="141" t="str">
        <f>IFERROR(INDEX(Työkonekanta!$D$3:$D$27,MATCH('S0a Baseline'!$A69,Työkonekanta!$A$3:$A$24,0),1),"undefined")</f>
        <v>pom</v>
      </c>
      <c r="E69" s="145">
        <f>IFERROR(INDEX(Työkonekanta!$G$3:$G$27,MATCH($A69,Työkonekanta!$A$3:$A$24,0),1)*INDEX(Työkonekanta!$H$3:$H$27,MATCH($A69,Työkonekanta!$A$3:$A$24,0),1)*$B69,0)</f>
        <v>10000</v>
      </c>
      <c r="F69" s="344">
        <f t="shared" si="18"/>
        <v>359000</v>
      </c>
      <c r="G69" s="344">
        <f t="shared" si="25"/>
        <v>348230</v>
      </c>
      <c r="H69" s="344">
        <f t="shared" si="26"/>
        <v>10770</v>
      </c>
      <c r="I69" s="145">
        <f t="shared" si="19"/>
        <v>9700</v>
      </c>
      <c r="J69" s="145">
        <f t="shared" si="20"/>
        <v>313.99416909620993</v>
      </c>
      <c r="K69" s="142" t="str">
        <f t="shared" si="27"/>
        <v>l</v>
      </c>
      <c r="L69" s="146">
        <f>IFERROR(INDEX(Työkonekanta!$I$3:$I$27,MATCH('S0a Baseline'!$A69,Työkonekanta!$A$3:$A$24,0),1)*(I69+J69)*f_adblue,0)</f>
        <v>0</v>
      </c>
      <c r="M69" s="146">
        <f t="shared" si="3"/>
        <v>0</v>
      </c>
      <c r="N69" s="143" t="str">
        <f>IF(tuulisähkö_vuosi&lt;='S0a Baseline'!C69,"tuulisähkö",ostosähkö_nyt)</f>
        <v>jäännössähkö</v>
      </c>
      <c r="O69" s="147">
        <f>INDEX(Muuttujat!$J$5:$J$21,MATCH($C69,Muuttujat!$H$5:$H$21,0),1)</f>
        <v>67.8692025</v>
      </c>
      <c r="P69" s="342">
        <f>1-(INDEX(Muuttujat!$O$5:$O$21,MATCH($C69,Muuttujat!$N$5:$N$21,0),1))</f>
        <v>0.97</v>
      </c>
      <c r="Q69" s="342">
        <f>INDEX(Muuttujat!$O$5:$O$21,MATCH($C69,Muuttujat!$N$5:$N$21,0),1)</f>
        <v>0.03</v>
      </c>
      <c r="R69" s="148">
        <f>INDEX(Muuttujat!$P$5:$P$21,MATCH($C69,Muuttujat!$N$5:$N$21,0),1)</f>
        <v>3.1355537414087732E-2</v>
      </c>
      <c r="S69" s="149">
        <f t="shared" si="21"/>
        <v>6.5815469999999987</v>
      </c>
      <c r="T69" s="150">
        <f t="shared" si="22"/>
        <v>0.67204799999999998</v>
      </c>
      <c r="U69" s="150">
        <f t="shared" si="23"/>
        <v>0</v>
      </c>
      <c r="V69" s="150">
        <f>IFERROR(INDEX(Työkonekanta!$J$3:$J$27,MATCH($A69,Työkonekanta!$A$3:$A$24,0),1)*$B69*ef_li_ion_akku/1000/1000/INDEX(Työkonekanta!$K$3:$K$27,MATCH($A69,Työkonekanta!$A$3:$A$24,0)),0)</f>
        <v>0</v>
      </c>
      <c r="W69" s="149">
        <f t="shared" si="24"/>
        <v>25.702248387419996</v>
      </c>
      <c r="X69" s="150">
        <f t="shared" si="8"/>
        <v>0.31774565999999999</v>
      </c>
      <c r="Y69" s="151">
        <f t="shared" si="9"/>
        <v>0</v>
      </c>
      <c r="Z69" s="152">
        <f t="shared" si="28"/>
        <v>7.2535949999999989</v>
      </c>
      <c r="AA69" s="153">
        <f t="shared" si="29"/>
        <v>25.702248387419996</v>
      </c>
      <c r="AB69" s="153">
        <f t="shared" si="30"/>
        <v>26.019994047419996</v>
      </c>
      <c r="AC69" s="154">
        <f t="shared" si="10"/>
        <v>32.955843387419996</v>
      </c>
      <c r="AD69" s="156">
        <f t="shared" si="31"/>
        <v>33.273589047419996</v>
      </c>
    </row>
    <row r="70" spans="1:30" s="144" customFormat="1">
      <c r="A70" s="139">
        <v>8</v>
      </c>
      <c r="B70" s="139">
        <f>IFERROR(INDEX(Työkonekanta!$F$3:$F$27,MATCH('S0a Baseline'!$A70,Työkonekanta!$A$3:$A$24,0),1),0)</f>
        <v>1</v>
      </c>
      <c r="C70" s="140">
        <v>2021</v>
      </c>
      <c r="D70" s="141" t="str">
        <f>IFERROR(INDEX(Työkonekanta!$D$3:$D$27,MATCH('S0a Baseline'!$A70,Työkonekanta!$A$3:$A$24,0),1),"undefined")</f>
        <v>pom</v>
      </c>
      <c r="E70" s="145">
        <f>IFERROR(INDEX(Työkonekanta!$G$3:$G$27,MATCH($A70,Työkonekanta!$A$3:$A$24,0),1)*INDEX(Työkonekanta!$H$3:$H$27,MATCH($A70,Työkonekanta!$A$3:$A$24,0),1)*$B70,0)</f>
        <v>10000</v>
      </c>
      <c r="F70" s="344">
        <f t="shared" si="18"/>
        <v>359000</v>
      </c>
      <c r="G70" s="344">
        <f t="shared" si="25"/>
        <v>348230</v>
      </c>
      <c r="H70" s="344">
        <f t="shared" si="26"/>
        <v>10770</v>
      </c>
      <c r="I70" s="145">
        <f t="shared" si="19"/>
        <v>9700</v>
      </c>
      <c r="J70" s="145">
        <f t="shared" si="20"/>
        <v>313.99416909620993</v>
      </c>
      <c r="K70" s="142" t="str">
        <f t="shared" si="27"/>
        <v>l</v>
      </c>
      <c r="L70" s="146">
        <f>IFERROR(INDEX(Työkonekanta!$I$3:$I$27,MATCH('S0a Baseline'!$A70,Työkonekanta!$A$3:$A$24,0),1)*(I70+J70)*f_adblue,0)</f>
        <v>500.69970845481049</v>
      </c>
      <c r="M70" s="146">
        <f t="shared" si="3"/>
        <v>0</v>
      </c>
      <c r="N70" s="143" t="str">
        <f>IF(tuulisähkö_vuosi&lt;='S0a Baseline'!C70,"tuulisähkö",ostosähkö_nyt)</f>
        <v>jäännössähkö</v>
      </c>
      <c r="O70" s="147">
        <f>INDEX(Muuttujat!$J$5:$J$21,MATCH($C70,Muuttujat!$H$5:$H$21,0),1)</f>
        <v>67.8692025</v>
      </c>
      <c r="P70" s="342">
        <f>1-(INDEX(Muuttujat!$O$5:$O$21,MATCH($C70,Muuttujat!$N$5:$N$21,0),1))</f>
        <v>0.97</v>
      </c>
      <c r="Q70" s="342">
        <f>INDEX(Muuttujat!$O$5:$O$21,MATCH($C70,Muuttujat!$N$5:$N$21,0),1)</f>
        <v>0.03</v>
      </c>
      <c r="R70" s="148">
        <f>INDEX(Muuttujat!$P$5:$P$21,MATCH($C70,Muuttujat!$N$5:$N$21,0),1)</f>
        <v>3.1355537414087732E-2</v>
      </c>
      <c r="S70" s="149">
        <f t="shared" si="21"/>
        <v>6.5815469999999987</v>
      </c>
      <c r="T70" s="150">
        <f t="shared" si="22"/>
        <v>0.67204799999999998</v>
      </c>
      <c r="U70" s="150">
        <f t="shared" si="23"/>
        <v>0</v>
      </c>
      <c r="V70" s="150">
        <f>IFERROR(INDEX(Työkonekanta!$J$3:$J$27,MATCH($A70,Työkonekanta!$A$3:$A$24,0),1)*$B70*ef_li_ion_akku/1000/1000/INDEX(Työkonekanta!$K$3:$K$27,MATCH($A70,Työkonekanta!$A$3:$A$24,0)),0)</f>
        <v>0</v>
      </c>
      <c r="W70" s="149">
        <f t="shared" si="24"/>
        <v>25.702248387419996</v>
      </c>
      <c r="X70" s="150">
        <f t="shared" si="8"/>
        <v>0.31774565999999999</v>
      </c>
      <c r="Y70" s="151">
        <f t="shared" si="9"/>
        <v>0.13018192419825073</v>
      </c>
      <c r="Z70" s="152">
        <f t="shared" si="28"/>
        <v>7.2535949999999989</v>
      </c>
      <c r="AA70" s="153">
        <f t="shared" si="29"/>
        <v>25.832430311618246</v>
      </c>
      <c r="AB70" s="153">
        <f t="shared" si="30"/>
        <v>26.150175971618246</v>
      </c>
      <c r="AC70" s="154">
        <f t="shared" si="10"/>
        <v>33.086025311618243</v>
      </c>
      <c r="AD70" s="156">
        <f t="shared" si="31"/>
        <v>33.403770971618243</v>
      </c>
    </row>
    <row r="71" spans="1:30" s="144" customFormat="1">
      <c r="A71" s="139">
        <v>9</v>
      </c>
      <c r="B71" s="139">
        <f>IFERROR(INDEX(Työkonekanta!$F$3:$F$27,MATCH('S0a Baseline'!$A71,Työkonekanta!$A$3:$A$24,0),1),0)</f>
        <v>0</v>
      </c>
      <c r="C71" s="140">
        <v>2021</v>
      </c>
      <c r="D71" s="141" t="str">
        <f>IFERROR(INDEX(Työkonekanta!$D$3:$D$27,MATCH('S0a Baseline'!$A71,Työkonekanta!$A$3:$A$24,0),1),"undefined")</f>
        <v>sähkö</v>
      </c>
      <c r="E71" s="145">
        <f>IFERROR(INDEX(Työkonekanta!$G$3:$G$27,MATCH($A71,Työkonekanta!$A$3:$A$24,0),1)*INDEX(Työkonekanta!$H$3:$H$27,MATCH($A71,Työkonekanta!$A$3:$A$24,0),1)*$B71,0)</f>
        <v>0</v>
      </c>
      <c r="F71" s="344">
        <f t="shared" si="18"/>
        <v>0</v>
      </c>
      <c r="G71" s="344">
        <f t="shared" si="25"/>
        <v>0</v>
      </c>
      <c r="H71" s="344">
        <f t="shared" si="26"/>
        <v>0</v>
      </c>
      <c r="I71" s="145">
        <f t="shared" si="19"/>
        <v>0</v>
      </c>
      <c r="J71" s="145">
        <f t="shared" si="20"/>
        <v>0</v>
      </c>
      <c r="K71" s="142" t="str">
        <f t="shared" si="27"/>
        <v>kWh</v>
      </c>
      <c r="L71" s="146">
        <f>IFERROR(INDEX(Työkonekanta!$I$3:$I$27,MATCH('S0a Baseline'!$A71,Työkonekanta!$A$3:$A$24,0),1)*(I71+J71)*f_adblue,0)</f>
        <v>0</v>
      </c>
      <c r="M71" s="146">
        <f t="shared" si="3"/>
        <v>0</v>
      </c>
      <c r="N71" s="143" t="str">
        <f>IF(tuulisähkö_vuosi&lt;='S0a Baseline'!C71,"tuulisähkö",ostosähkö_nyt)</f>
        <v>jäännössähkö</v>
      </c>
      <c r="O71" s="147">
        <f>INDEX(Muuttujat!$J$5:$J$21,MATCH($C71,Muuttujat!$H$5:$H$21,0),1)</f>
        <v>67.8692025</v>
      </c>
      <c r="P71" s="342">
        <f>1-(INDEX(Muuttujat!$O$5:$O$21,MATCH($C71,Muuttujat!$N$5:$N$21,0),1))</f>
        <v>0.97</v>
      </c>
      <c r="Q71" s="342">
        <f>INDEX(Muuttujat!$O$5:$O$21,MATCH($C71,Muuttujat!$N$5:$N$21,0),1)</f>
        <v>0.03</v>
      </c>
      <c r="R71" s="148">
        <f>INDEX(Muuttujat!$P$5:$P$21,MATCH($C71,Muuttujat!$N$5:$N$21,0),1)</f>
        <v>3.1355537414087732E-2</v>
      </c>
      <c r="S71" s="149">
        <f t="shared" si="21"/>
        <v>0</v>
      </c>
      <c r="T71" s="150">
        <f t="shared" si="22"/>
        <v>0</v>
      </c>
      <c r="U71" s="150">
        <f t="shared" si="23"/>
        <v>0</v>
      </c>
      <c r="V71" s="150">
        <f>IFERROR(INDEX(Työkonekanta!$J$3:$J$27,MATCH($A71,Työkonekanta!$A$3:$A$24,0),1)*$B71*ef_li_ion_akku/1000/1000/INDEX(Työkonekanta!$K$3:$K$27,MATCH($A71,Työkonekanta!$A$3:$A$24,0)),0)</f>
        <v>0</v>
      </c>
      <c r="W71" s="149">
        <f t="shared" si="24"/>
        <v>0</v>
      </c>
      <c r="X71" s="150">
        <f t="shared" si="8"/>
        <v>0</v>
      </c>
      <c r="Y71" s="151">
        <f t="shared" si="9"/>
        <v>0</v>
      </c>
      <c r="Z71" s="152">
        <f t="shared" si="28"/>
        <v>0</v>
      </c>
      <c r="AA71" s="153">
        <f t="shared" si="29"/>
        <v>0</v>
      </c>
      <c r="AB71" s="153">
        <f t="shared" si="30"/>
        <v>0</v>
      </c>
      <c r="AC71" s="154">
        <f t="shared" si="10"/>
        <v>0</v>
      </c>
      <c r="AD71" s="156">
        <f t="shared" si="31"/>
        <v>0</v>
      </c>
    </row>
    <row r="72" spans="1:30" s="144" customFormat="1">
      <c r="A72" s="139">
        <v>10</v>
      </c>
      <c r="B72" s="139">
        <f>IFERROR(INDEX(Työkonekanta!$F$3:$F$27,MATCH('S0a Baseline'!$A72,Työkonekanta!$A$3:$A$24,0),1),0)</f>
        <v>0</v>
      </c>
      <c r="C72" s="140">
        <v>2021</v>
      </c>
      <c r="D72" s="141" t="str">
        <f>IFERROR(INDEX(Työkonekanta!$D$3:$D$27,MATCH('S0a Baseline'!$A72,Työkonekanta!$A$3:$A$24,0),1),"undefined")</f>
        <v>sähkö</v>
      </c>
      <c r="E72" s="145">
        <f>IFERROR(INDEX(Työkonekanta!$G$3:$G$27,MATCH($A72,Työkonekanta!$A$3:$A$24,0),1)*INDEX(Työkonekanta!$H$3:$H$27,MATCH($A72,Työkonekanta!$A$3:$A$24,0),1)*$B72,0)</f>
        <v>0</v>
      </c>
      <c r="F72" s="344">
        <f t="shared" si="18"/>
        <v>0</v>
      </c>
      <c r="G72" s="344">
        <f t="shared" si="25"/>
        <v>0</v>
      </c>
      <c r="H72" s="344">
        <f t="shared" si="26"/>
        <v>0</v>
      </c>
      <c r="I72" s="145">
        <f t="shared" si="19"/>
        <v>0</v>
      </c>
      <c r="J72" s="145">
        <f t="shared" si="20"/>
        <v>0</v>
      </c>
      <c r="K72" s="142" t="str">
        <f t="shared" si="27"/>
        <v>kWh</v>
      </c>
      <c r="L72" s="146">
        <f>IFERROR(INDEX(Työkonekanta!$I$3:$I$27,MATCH('S0a Baseline'!$A72,Työkonekanta!$A$3:$A$24,0),1)*(I72+J72)*f_adblue,0)</f>
        <v>0</v>
      </c>
      <c r="M72" s="146">
        <f t="shared" si="3"/>
        <v>0</v>
      </c>
      <c r="N72" s="143" t="str">
        <f>IF(tuulisähkö_vuosi&lt;='S0a Baseline'!C72,"tuulisähkö",ostosähkö_nyt)</f>
        <v>jäännössähkö</v>
      </c>
      <c r="O72" s="147">
        <f>INDEX(Muuttujat!$J$5:$J$21,MATCH($C72,Muuttujat!$H$5:$H$21,0),1)</f>
        <v>67.8692025</v>
      </c>
      <c r="P72" s="342">
        <f>1-(INDEX(Muuttujat!$O$5:$O$21,MATCH($C72,Muuttujat!$N$5:$N$21,0),1))</f>
        <v>0.97</v>
      </c>
      <c r="Q72" s="342">
        <f>INDEX(Muuttujat!$O$5:$O$21,MATCH($C72,Muuttujat!$N$5:$N$21,0),1)</f>
        <v>0.03</v>
      </c>
      <c r="R72" s="148">
        <f>INDEX(Muuttujat!$P$5:$P$21,MATCH($C72,Muuttujat!$N$5:$N$21,0),1)</f>
        <v>3.1355537414087732E-2</v>
      </c>
      <c r="S72" s="149">
        <f t="shared" si="21"/>
        <v>0</v>
      </c>
      <c r="T72" s="150">
        <f t="shared" si="22"/>
        <v>0</v>
      </c>
      <c r="U72" s="150">
        <f t="shared" si="23"/>
        <v>0</v>
      </c>
      <c r="V72" s="150">
        <f>IFERROR(INDEX(Työkonekanta!$J$3:$J$27,MATCH($A72,Työkonekanta!$A$3:$A$24,0),1)*$B72*ef_li_ion_akku/1000/1000/INDEX(Työkonekanta!$K$3:$K$27,MATCH($A72,Työkonekanta!$A$3:$A$24,0)),0)</f>
        <v>0</v>
      </c>
      <c r="W72" s="149">
        <f t="shared" si="24"/>
        <v>0</v>
      </c>
      <c r="X72" s="150">
        <f t="shared" si="8"/>
        <v>0</v>
      </c>
      <c r="Y72" s="151">
        <f t="shared" si="9"/>
        <v>0</v>
      </c>
      <c r="Z72" s="152">
        <f t="shared" si="28"/>
        <v>0</v>
      </c>
      <c r="AA72" s="153">
        <f t="shared" si="29"/>
        <v>0</v>
      </c>
      <c r="AB72" s="153">
        <f t="shared" si="30"/>
        <v>0</v>
      </c>
      <c r="AC72" s="154">
        <f t="shared" si="10"/>
        <v>0</v>
      </c>
      <c r="AD72" s="156">
        <f t="shared" si="31"/>
        <v>0</v>
      </c>
    </row>
    <row r="73" spans="1:30" s="144" customFormat="1">
      <c r="A73" s="139">
        <v>11</v>
      </c>
      <c r="B73" s="139">
        <f>IFERROR(INDEX(Työkonekanta!$F$3:$F$27,MATCH('S0a Baseline'!$A73,Työkonekanta!$A$3:$A$24,0),1),0)</f>
        <v>1</v>
      </c>
      <c r="C73" s="140">
        <v>2021</v>
      </c>
      <c r="D73" s="141" t="str">
        <f>IFERROR(INDEX(Työkonekanta!$D$3:$D$27,MATCH('S0a Baseline'!$A73,Työkonekanta!$A$3:$A$24,0),1),"undefined")</f>
        <v>pom</v>
      </c>
      <c r="E73" s="145">
        <f>IFERROR(INDEX(Työkonekanta!$G$3:$G$27,MATCH($A73,Työkonekanta!$A$3:$A$24,0),1)*INDEX(Työkonekanta!$H$3:$H$27,MATCH($A73,Työkonekanta!$A$3:$A$24,0),1)*$B73,0)</f>
        <v>10000</v>
      </c>
      <c r="F73" s="344">
        <f t="shared" si="18"/>
        <v>359000</v>
      </c>
      <c r="G73" s="344">
        <f t="shared" si="25"/>
        <v>348230</v>
      </c>
      <c r="H73" s="344">
        <f t="shared" si="26"/>
        <v>10770</v>
      </c>
      <c r="I73" s="145">
        <f t="shared" si="19"/>
        <v>9700</v>
      </c>
      <c r="J73" s="145">
        <f t="shared" si="20"/>
        <v>313.99416909620993</v>
      </c>
      <c r="K73" s="142" t="str">
        <f t="shared" si="27"/>
        <v>l</v>
      </c>
      <c r="L73" s="146">
        <f>IFERROR(INDEX(Työkonekanta!$I$3:$I$27,MATCH('S0a Baseline'!$A73,Työkonekanta!$A$3:$A$24,0),1)*(I73+J73)*f_adblue,0)</f>
        <v>500.69970845481049</v>
      </c>
      <c r="M73" s="146">
        <f t="shared" si="3"/>
        <v>0</v>
      </c>
      <c r="N73" s="143" t="str">
        <f>IF(tuulisähkö_vuosi&lt;='S0a Baseline'!C73,"tuulisähkö",ostosähkö_nyt)</f>
        <v>jäännössähkö</v>
      </c>
      <c r="O73" s="147">
        <f>INDEX(Muuttujat!$J$5:$J$21,MATCH($C73,Muuttujat!$H$5:$H$21,0),1)</f>
        <v>67.8692025</v>
      </c>
      <c r="P73" s="342">
        <f>1-(INDEX(Muuttujat!$O$5:$O$21,MATCH($C73,Muuttujat!$N$5:$N$21,0),1))</f>
        <v>0.97</v>
      </c>
      <c r="Q73" s="342">
        <f>INDEX(Muuttujat!$O$5:$O$21,MATCH($C73,Muuttujat!$N$5:$N$21,0),1)</f>
        <v>0.03</v>
      </c>
      <c r="R73" s="148">
        <f>INDEX(Muuttujat!$P$5:$P$21,MATCH($C73,Muuttujat!$N$5:$N$21,0),1)</f>
        <v>3.1355537414087732E-2</v>
      </c>
      <c r="S73" s="149">
        <f t="shared" si="21"/>
        <v>6.5815469999999987</v>
      </c>
      <c r="T73" s="150">
        <f t="shared" si="22"/>
        <v>0.67204799999999998</v>
      </c>
      <c r="U73" s="150">
        <f t="shared" si="23"/>
        <v>0</v>
      </c>
      <c r="V73" s="150">
        <f>IFERROR(INDEX(Työkonekanta!$J$3:$J$27,MATCH($A73,Työkonekanta!$A$3:$A$24,0),1)*$B73*ef_li_ion_akku/1000/1000/INDEX(Työkonekanta!$K$3:$K$27,MATCH($A73,Työkonekanta!$A$3:$A$24,0)),0)</f>
        <v>0</v>
      </c>
      <c r="W73" s="149">
        <f t="shared" si="24"/>
        <v>25.702248387419996</v>
      </c>
      <c r="X73" s="150">
        <f t="shared" si="8"/>
        <v>0.31774565999999999</v>
      </c>
      <c r="Y73" s="151">
        <f t="shared" si="9"/>
        <v>0.13018192419825073</v>
      </c>
      <c r="Z73" s="152">
        <f t="shared" si="28"/>
        <v>7.2535949999999989</v>
      </c>
      <c r="AA73" s="153">
        <f t="shared" si="29"/>
        <v>25.832430311618246</v>
      </c>
      <c r="AB73" s="153">
        <f t="shared" si="30"/>
        <v>26.150175971618246</v>
      </c>
      <c r="AC73" s="154">
        <f t="shared" si="10"/>
        <v>33.086025311618243</v>
      </c>
      <c r="AD73" s="156">
        <f t="shared" si="31"/>
        <v>33.403770971618243</v>
      </c>
    </row>
    <row r="74" spans="1:30" s="144" customFormat="1">
      <c r="A74" s="139">
        <v>12</v>
      </c>
      <c r="B74" s="139">
        <f>IFERROR(INDEX(Työkonekanta!$F$3:$F$27,MATCH('S0a Baseline'!$A74,Työkonekanta!$A$3:$A$24,0),1),0)</f>
        <v>1</v>
      </c>
      <c r="C74" s="140">
        <v>2021</v>
      </c>
      <c r="D74" s="141" t="str">
        <f>IFERROR(INDEX(Työkonekanta!$D$3:$D$27,MATCH('S0a Baseline'!$A74,Työkonekanta!$A$3:$A$24,0),1),"undefined")</f>
        <v>pom</v>
      </c>
      <c r="E74" s="145">
        <f>IFERROR(INDEX(Työkonekanta!$G$3:$G$27,MATCH($A74,Työkonekanta!$A$3:$A$24,0),1)*INDEX(Työkonekanta!$H$3:$H$27,MATCH($A74,Työkonekanta!$A$3:$A$24,0),1)*$B74,0)</f>
        <v>10000</v>
      </c>
      <c r="F74" s="344">
        <f t="shared" si="18"/>
        <v>359000</v>
      </c>
      <c r="G74" s="344">
        <f t="shared" si="25"/>
        <v>348230</v>
      </c>
      <c r="H74" s="344">
        <f t="shared" si="26"/>
        <v>10770</v>
      </c>
      <c r="I74" s="145">
        <f t="shared" si="19"/>
        <v>9700</v>
      </c>
      <c r="J74" s="145">
        <f t="shared" si="20"/>
        <v>313.99416909620993</v>
      </c>
      <c r="K74" s="142" t="str">
        <f t="shared" si="27"/>
        <v>l</v>
      </c>
      <c r="L74" s="146">
        <f>IFERROR(INDEX(Työkonekanta!$I$3:$I$27,MATCH('S0a Baseline'!$A74,Työkonekanta!$A$3:$A$24,0),1)*(I74+J74)*f_adblue,0)</f>
        <v>500.69970845481049</v>
      </c>
      <c r="M74" s="146">
        <f t="shared" si="3"/>
        <v>0</v>
      </c>
      <c r="N74" s="143" t="str">
        <f>IF(tuulisähkö_vuosi&lt;='S0a Baseline'!C74,"tuulisähkö",ostosähkö_nyt)</f>
        <v>jäännössähkö</v>
      </c>
      <c r="O74" s="147">
        <f>INDEX(Muuttujat!$J$5:$J$21,MATCH($C74,Muuttujat!$H$5:$H$21,0),1)</f>
        <v>67.8692025</v>
      </c>
      <c r="P74" s="342">
        <f>1-(INDEX(Muuttujat!$O$5:$O$21,MATCH($C74,Muuttujat!$N$5:$N$21,0),1))</f>
        <v>0.97</v>
      </c>
      <c r="Q74" s="342">
        <f>INDEX(Muuttujat!$O$5:$O$21,MATCH($C74,Muuttujat!$N$5:$N$21,0),1)</f>
        <v>0.03</v>
      </c>
      <c r="R74" s="148">
        <f>INDEX(Muuttujat!$P$5:$P$21,MATCH($C74,Muuttujat!$N$5:$N$21,0),1)</f>
        <v>3.1355537414087732E-2</v>
      </c>
      <c r="S74" s="149">
        <f t="shared" si="21"/>
        <v>6.5815469999999987</v>
      </c>
      <c r="T74" s="150">
        <f t="shared" si="22"/>
        <v>0.67204799999999998</v>
      </c>
      <c r="U74" s="150">
        <f t="shared" si="23"/>
        <v>0</v>
      </c>
      <c r="V74" s="150">
        <f>IFERROR(INDEX(Työkonekanta!$J$3:$J$27,MATCH($A74,Työkonekanta!$A$3:$A$24,0),1)*$B74*ef_li_ion_akku/1000/1000/INDEX(Työkonekanta!$K$3:$K$27,MATCH($A74,Työkonekanta!$A$3:$A$24,0)),0)</f>
        <v>0</v>
      </c>
      <c r="W74" s="149">
        <f t="shared" si="24"/>
        <v>25.702248387419996</v>
      </c>
      <c r="X74" s="150">
        <f t="shared" si="8"/>
        <v>0.31774565999999999</v>
      </c>
      <c r="Y74" s="151">
        <f t="shared" si="9"/>
        <v>0.13018192419825073</v>
      </c>
      <c r="Z74" s="152">
        <f t="shared" si="28"/>
        <v>7.2535949999999989</v>
      </c>
      <c r="AA74" s="153">
        <f t="shared" si="29"/>
        <v>25.832430311618246</v>
      </c>
      <c r="AB74" s="153">
        <f t="shared" si="30"/>
        <v>26.150175971618246</v>
      </c>
      <c r="AC74" s="154">
        <f t="shared" si="10"/>
        <v>33.086025311618243</v>
      </c>
      <c r="AD74" s="156">
        <f t="shared" si="31"/>
        <v>33.403770971618243</v>
      </c>
    </row>
    <row r="75" spans="1:30" s="144" customFormat="1">
      <c r="A75" s="139">
        <v>13</v>
      </c>
      <c r="B75" s="139">
        <f>IFERROR(INDEX(Työkonekanta!$F$3:$F$27,MATCH('S0a Baseline'!$A75,Työkonekanta!$A$3:$A$24,0),1),0)</f>
        <v>0</v>
      </c>
      <c r="C75" s="140">
        <v>2021</v>
      </c>
      <c r="D75" s="141" t="str">
        <f>IFERROR(INDEX(Työkonekanta!$D$3:$D$27,MATCH('S0a Baseline'!$A75,Työkonekanta!$A$3:$A$24,0),1),"undefined")</f>
        <v>pom</v>
      </c>
      <c r="E75" s="145">
        <f>IFERROR(INDEX(Työkonekanta!$G$3:$G$27,MATCH($A75,Työkonekanta!$A$3:$A$24,0),1)*INDEX(Työkonekanta!$H$3:$H$27,MATCH($A75,Työkonekanta!$A$3:$A$24,0),1)*$B75,0)</f>
        <v>0</v>
      </c>
      <c r="F75" s="344">
        <f t="shared" si="18"/>
        <v>0</v>
      </c>
      <c r="G75" s="344">
        <f t="shared" si="25"/>
        <v>0</v>
      </c>
      <c r="H75" s="344">
        <f t="shared" si="26"/>
        <v>0</v>
      </c>
      <c r="I75" s="145">
        <f t="shared" si="19"/>
        <v>0</v>
      </c>
      <c r="J75" s="145">
        <f t="shared" si="20"/>
        <v>0</v>
      </c>
      <c r="K75" s="142" t="str">
        <f t="shared" si="27"/>
        <v>l</v>
      </c>
      <c r="L75" s="146">
        <f>IFERROR(INDEX(Työkonekanta!$I$3:$I$27,MATCH('S0a Baseline'!$A75,Työkonekanta!$A$3:$A$24,0),1)*(I75+J75)*f_adblue,0)</f>
        <v>0</v>
      </c>
      <c r="M75" s="146">
        <f t="shared" si="3"/>
        <v>0</v>
      </c>
      <c r="N75" s="143" t="str">
        <f>IF(tuulisähkö_vuosi&lt;='S0a Baseline'!C75,"tuulisähkö",ostosähkö_nyt)</f>
        <v>jäännössähkö</v>
      </c>
      <c r="O75" s="147">
        <f>INDEX(Muuttujat!$J$5:$J$21,MATCH($C75,Muuttujat!$H$5:$H$21,0),1)</f>
        <v>67.8692025</v>
      </c>
      <c r="P75" s="342">
        <f>1-(INDEX(Muuttujat!$O$5:$O$21,MATCH($C75,Muuttujat!$N$5:$N$21,0),1))</f>
        <v>0.97</v>
      </c>
      <c r="Q75" s="342">
        <f>INDEX(Muuttujat!$O$5:$O$21,MATCH($C75,Muuttujat!$N$5:$N$21,0),1)</f>
        <v>0.03</v>
      </c>
      <c r="R75" s="148">
        <f>INDEX(Muuttujat!$P$5:$P$21,MATCH($C75,Muuttujat!$N$5:$N$21,0),1)</f>
        <v>3.1355537414087732E-2</v>
      </c>
      <c r="S75" s="149">
        <f t="shared" si="21"/>
        <v>0</v>
      </c>
      <c r="T75" s="150">
        <f t="shared" si="22"/>
        <v>0</v>
      </c>
      <c r="U75" s="150">
        <f t="shared" si="23"/>
        <v>0</v>
      </c>
      <c r="V75" s="150">
        <f>IFERROR(INDEX(Työkonekanta!$J$3:$J$27,MATCH($A75,Työkonekanta!$A$3:$A$24,0),1)*$B75*ef_li_ion_akku/1000/1000/INDEX(Työkonekanta!$K$3:$K$27,MATCH($A75,Työkonekanta!$A$3:$A$24,0)),0)</f>
        <v>0</v>
      </c>
      <c r="W75" s="149">
        <f t="shared" si="24"/>
        <v>0</v>
      </c>
      <c r="X75" s="150">
        <f t="shared" si="8"/>
        <v>0</v>
      </c>
      <c r="Y75" s="151">
        <f t="shared" si="9"/>
        <v>0</v>
      </c>
      <c r="Z75" s="152">
        <f t="shared" si="28"/>
        <v>0</v>
      </c>
      <c r="AA75" s="153">
        <f t="shared" si="29"/>
        <v>0</v>
      </c>
      <c r="AB75" s="153">
        <f t="shared" si="30"/>
        <v>0</v>
      </c>
      <c r="AC75" s="154">
        <f t="shared" si="10"/>
        <v>0</v>
      </c>
      <c r="AD75" s="156">
        <f t="shared" si="31"/>
        <v>0</v>
      </c>
    </row>
    <row r="76" spans="1:30" s="144" customFormat="1">
      <c r="A76" s="139">
        <v>14</v>
      </c>
      <c r="B76" s="139">
        <f>IFERROR(INDEX(Työkonekanta!$F$3:$F$27,MATCH('S0a Baseline'!$A76,Työkonekanta!$A$3:$A$24,0),1),0)</f>
        <v>0</v>
      </c>
      <c r="C76" s="140">
        <v>2021</v>
      </c>
      <c r="D76" s="141" t="str">
        <f>IFERROR(INDEX(Työkonekanta!$D$3:$D$27,MATCH('S0a Baseline'!$A76,Työkonekanta!$A$3:$A$24,0),1),"undefined")</f>
        <v>pom</v>
      </c>
      <c r="E76" s="145">
        <f>IFERROR(INDEX(Työkonekanta!$G$3:$G$27,MATCH($A76,Työkonekanta!$A$3:$A$24,0),1)*INDEX(Työkonekanta!$H$3:$H$27,MATCH($A76,Työkonekanta!$A$3:$A$24,0),1)*$B76,0)</f>
        <v>0</v>
      </c>
      <c r="F76" s="344">
        <f t="shared" si="18"/>
        <v>0</v>
      </c>
      <c r="G76" s="344">
        <f t="shared" si="25"/>
        <v>0</v>
      </c>
      <c r="H76" s="344">
        <f t="shared" si="26"/>
        <v>0</v>
      </c>
      <c r="I76" s="145">
        <f t="shared" si="19"/>
        <v>0</v>
      </c>
      <c r="J76" s="145">
        <f t="shared" si="20"/>
        <v>0</v>
      </c>
      <c r="K76" s="142" t="str">
        <f t="shared" si="27"/>
        <v>l</v>
      </c>
      <c r="L76" s="146">
        <f>IFERROR(INDEX(Työkonekanta!$I$3:$I$27,MATCH('S0a Baseline'!$A76,Työkonekanta!$A$3:$A$24,0),1)*(I76+J76)*f_adblue,0)</f>
        <v>0</v>
      </c>
      <c r="M76" s="146">
        <f t="shared" si="3"/>
        <v>0</v>
      </c>
      <c r="N76" s="143" t="str">
        <f>IF(tuulisähkö_vuosi&lt;='S0a Baseline'!C76,"tuulisähkö",ostosähkö_nyt)</f>
        <v>jäännössähkö</v>
      </c>
      <c r="O76" s="147">
        <f>INDEX(Muuttujat!$J$5:$J$21,MATCH($C76,Muuttujat!$H$5:$H$21,0),1)</f>
        <v>67.8692025</v>
      </c>
      <c r="P76" s="342">
        <f>1-(INDEX(Muuttujat!$O$5:$O$21,MATCH($C76,Muuttujat!$N$5:$N$21,0),1))</f>
        <v>0.97</v>
      </c>
      <c r="Q76" s="342">
        <f>INDEX(Muuttujat!$O$5:$O$21,MATCH($C76,Muuttujat!$N$5:$N$21,0),1)</f>
        <v>0.03</v>
      </c>
      <c r="R76" s="148">
        <f>INDEX(Muuttujat!$P$5:$P$21,MATCH($C76,Muuttujat!$N$5:$N$21,0),1)</f>
        <v>3.1355537414087732E-2</v>
      </c>
      <c r="S76" s="149">
        <f t="shared" si="21"/>
        <v>0</v>
      </c>
      <c r="T76" s="150">
        <f t="shared" si="22"/>
        <v>0</v>
      </c>
      <c r="U76" s="150">
        <f t="shared" si="23"/>
        <v>0</v>
      </c>
      <c r="V76" s="150">
        <f>IFERROR(INDEX(Työkonekanta!$J$3:$J$27,MATCH($A76,Työkonekanta!$A$3:$A$24,0),1)*$B76*ef_li_ion_akku/1000/1000/INDEX(Työkonekanta!$K$3:$K$27,MATCH($A76,Työkonekanta!$A$3:$A$24,0)),0)</f>
        <v>0</v>
      </c>
      <c r="W76" s="149">
        <f t="shared" si="24"/>
        <v>0</v>
      </c>
      <c r="X76" s="150">
        <f t="shared" si="8"/>
        <v>0</v>
      </c>
      <c r="Y76" s="151">
        <f t="shared" si="9"/>
        <v>0</v>
      </c>
      <c r="Z76" s="152">
        <f t="shared" si="28"/>
        <v>0</v>
      </c>
      <c r="AA76" s="153">
        <f t="shared" si="29"/>
        <v>0</v>
      </c>
      <c r="AB76" s="153">
        <f t="shared" si="30"/>
        <v>0</v>
      </c>
      <c r="AC76" s="154">
        <f t="shared" si="10"/>
        <v>0</v>
      </c>
      <c r="AD76" s="156">
        <f t="shared" si="31"/>
        <v>0</v>
      </c>
    </row>
    <row r="77" spans="1:30" s="144" customFormat="1">
      <c r="A77" s="139">
        <v>15</v>
      </c>
      <c r="B77" s="139">
        <f>IFERROR(INDEX(Työkonekanta!$F$3:$F$27,MATCH('S0a Baseline'!$A77,Työkonekanta!$A$3:$A$24,0),1),0)</f>
        <v>0</v>
      </c>
      <c r="C77" s="140">
        <v>2021</v>
      </c>
      <c r="D77" s="141" t="str">
        <f>IFERROR(INDEX(Työkonekanta!$D$3:$D$27,MATCH('S0a Baseline'!$A77,Työkonekanta!$A$3:$A$24,0),1),"undefined")</f>
        <v>sähkö</v>
      </c>
      <c r="E77" s="145">
        <f>IFERROR(INDEX(Työkonekanta!$G$3:$G$27,MATCH($A77,Työkonekanta!$A$3:$A$24,0),1)*INDEX(Työkonekanta!$H$3:$H$27,MATCH($A77,Työkonekanta!$A$3:$A$24,0),1)*$B77,0)</f>
        <v>0</v>
      </c>
      <c r="F77" s="344">
        <f t="shared" si="18"/>
        <v>0</v>
      </c>
      <c r="G77" s="344">
        <f t="shared" si="25"/>
        <v>0</v>
      </c>
      <c r="H77" s="344">
        <f t="shared" si="26"/>
        <v>0</v>
      </c>
      <c r="I77" s="145">
        <f t="shared" si="19"/>
        <v>0</v>
      </c>
      <c r="J77" s="145">
        <f t="shared" si="20"/>
        <v>0</v>
      </c>
      <c r="K77" s="142" t="str">
        <f t="shared" si="27"/>
        <v>kWh</v>
      </c>
      <c r="L77" s="146">
        <f>IFERROR(INDEX(Työkonekanta!$I$3:$I$27,MATCH('S0a Baseline'!$A77,Työkonekanta!$A$3:$A$24,0),1)*(I77+J77)*f_adblue,0)</f>
        <v>0</v>
      </c>
      <c r="M77" s="146">
        <f t="shared" si="3"/>
        <v>0</v>
      </c>
      <c r="N77" s="143" t="str">
        <f>IF(tuulisähkö_vuosi&lt;='S0a Baseline'!C77,"tuulisähkö",ostosähkö_nyt)</f>
        <v>jäännössähkö</v>
      </c>
      <c r="O77" s="147">
        <f>INDEX(Muuttujat!$J$5:$J$21,MATCH($C77,Muuttujat!$H$5:$H$21,0),1)</f>
        <v>67.8692025</v>
      </c>
      <c r="P77" s="342">
        <f>1-(INDEX(Muuttujat!$O$5:$O$21,MATCH($C77,Muuttujat!$N$5:$N$21,0),1))</f>
        <v>0.97</v>
      </c>
      <c r="Q77" s="342">
        <f>INDEX(Muuttujat!$O$5:$O$21,MATCH($C77,Muuttujat!$N$5:$N$21,0),1)</f>
        <v>0.03</v>
      </c>
      <c r="R77" s="148">
        <f>INDEX(Muuttujat!$P$5:$P$21,MATCH($C77,Muuttujat!$N$5:$N$21,0),1)</f>
        <v>3.1355537414087732E-2</v>
      </c>
      <c r="S77" s="149">
        <f t="shared" si="21"/>
        <v>0</v>
      </c>
      <c r="T77" s="150">
        <f t="shared" si="22"/>
        <v>0</v>
      </c>
      <c r="U77" s="150">
        <f t="shared" si="23"/>
        <v>0</v>
      </c>
      <c r="V77" s="150">
        <f>IFERROR(INDEX(Työkonekanta!$J$3:$J$27,MATCH($A77,Työkonekanta!$A$3:$A$24,0),1)*$B77*ef_li_ion_akku/1000/1000/INDEX(Työkonekanta!$K$3:$K$27,MATCH($A77,Työkonekanta!$A$3:$A$24,0)),0)</f>
        <v>0</v>
      </c>
      <c r="W77" s="149">
        <f t="shared" si="24"/>
        <v>0</v>
      </c>
      <c r="X77" s="150">
        <f t="shared" si="8"/>
        <v>0</v>
      </c>
      <c r="Y77" s="151">
        <f t="shared" si="9"/>
        <v>0</v>
      </c>
      <c r="Z77" s="152">
        <f t="shared" si="28"/>
        <v>0</v>
      </c>
      <c r="AA77" s="153">
        <f t="shared" si="29"/>
        <v>0</v>
      </c>
      <c r="AB77" s="153">
        <f t="shared" si="30"/>
        <v>0</v>
      </c>
      <c r="AC77" s="154">
        <f t="shared" si="10"/>
        <v>0</v>
      </c>
      <c r="AD77" s="156">
        <f t="shared" si="31"/>
        <v>0</v>
      </c>
    </row>
    <row r="78" spans="1:30" s="144" customFormat="1">
      <c r="A78" s="139">
        <v>16</v>
      </c>
      <c r="B78" s="139">
        <f>IFERROR(INDEX(Työkonekanta!$F$3:$F$27,MATCH('S0a Baseline'!$A78,Työkonekanta!$A$3:$A$24,0),1),0)</f>
        <v>0</v>
      </c>
      <c r="C78" s="140">
        <v>2021</v>
      </c>
      <c r="D78" s="141" t="str">
        <f>IFERROR(INDEX(Työkonekanta!$D$3:$D$27,MATCH('S0a Baseline'!$A78,Työkonekanta!$A$3:$A$24,0),1),"undefined")</f>
        <v>sähkö</v>
      </c>
      <c r="E78" s="145">
        <f>IFERROR(INDEX(Työkonekanta!$G$3:$G$27,MATCH($A78,Työkonekanta!$A$3:$A$24,0),1)*INDEX(Työkonekanta!$H$3:$H$27,MATCH($A78,Työkonekanta!$A$3:$A$24,0),1)*$B78,0)</f>
        <v>0</v>
      </c>
      <c r="F78" s="344">
        <f t="shared" si="18"/>
        <v>0</v>
      </c>
      <c r="G78" s="344">
        <f t="shared" si="25"/>
        <v>0</v>
      </c>
      <c r="H78" s="344">
        <f t="shared" si="26"/>
        <v>0</v>
      </c>
      <c r="I78" s="145">
        <f t="shared" si="19"/>
        <v>0</v>
      </c>
      <c r="J78" s="145">
        <f t="shared" si="20"/>
        <v>0</v>
      </c>
      <c r="K78" s="142" t="str">
        <f t="shared" si="27"/>
        <v>kWh</v>
      </c>
      <c r="L78" s="146">
        <f>IFERROR(INDEX(Työkonekanta!$I$3:$I$27,MATCH('S0a Baseline'!$A78,Työkonekanta!$A$3:$A$24,0),1)*(I78+J78)*f_adblue,0)</f>
        <v>0</v>
      </c>
      <c r="M78" s="146">
        <f t="shared" si="3"/>
        <v>0</v>
      </c>
      <c r="N78" s="143" t="str">
        <f>IF(tuulisähkö_vuosi&lt;='S0a Baseline'!C78,"tuulisähkö",ostosähkö_nyt)</f>
        <v>jäännössähkö</v>
      </c>
      <c r="O78" s="147">
        <f>INDEX(Muuttujat!$J$5:$J$21,MATCH($C78,Muuttujat!$H$5:$H$21,0),1)</f>
        <v>67.8692025</v>
      </c>
      <c r="P78" s="342">
        <f>1-(INDEX(Muuttujat!$O$5:$O$21,MATCH($C78,Muuttujat!$N$5:$N$21,0),1))</f>
        <v>0.97</v>
      </c>
      <c r="Q78" s="342">
        <f>INDEX(Muuttujat!$O$5:$O$21,MATCH($C78,Muuttujat!$N$5:$N$21,0),1)</f>
        <v>0.03</v>
      </c>
      <c r="R78" s="148">
        <f>INDEX(Muuttujat!$P$5:$P$21,MATCH($C78,Muuttujat!$N$5:$N$21,0),1)</f>
        <v>3.1355537414087732E-2</v>
      </c>
      <c r="S78" s="149">
        <f t="shared" si="21"/>
        <v>0</v>
      </c>
      <c r="T78" s="150">
        <f t="shared" si="22"/>
        <v>0</v>
      </c>
      <c r="U78" s="150">
        <f t="shared" si="23"/>
        <v>0</v>
      </c>
      <c r="V78" s="150">
        <f>IFERROR(INDEX(Työkonekanta!$J$3:$J$27,MATCH($A78,Työkonekanta!$A$3:$A$24,0),1)*$B78*ef_li_ion_akku/1000/1000/INDEX(Työkonekanta!$K$3:$K$27,MATCH($A78,Työkonekanta!$A$3:$A$24,0)),0)</f>
        <v>0</v>
      </c>
      <c r="W78" s="149">
        <f t="shared" si="24"/>
        <v>0</v>
      </c>
      <c r="X78" s="150">
        <f t="shared" si="8"/>
        <v>0</v>
      </c>
      <c r="Y78" s="151">
        <f t="shared" si="9"/>
        <v>0</v>
      </c>
      <c r="Z78" s="152">
        <f t="shared" si="28"/>
        <v>0</v>
      </c>
      <c r="AA78" s="153">
        <f t="shared" si="29"/>
        <v>0</v>
      </c>
      <c r="AB78" s="153">
        <f t="shared" si="30"/>
        <v>0</v>
      </c>
      <c r="AC78" s="154">
        <f t="shared" si="10"/>
        <v>0</v>
      </c>
      <c r="AD78" s="156">
        <f t="shared" si="31"/>
        <v>0</v>
      </c>
    </row>
    <row r="79" spans="1:30" s="144" customFormat="1">
      <c r="A79" s="139">
        <v>17</v>
      </c>
      <c r="B79" s="139">
        <f>IFERROR(INDEX(Työkonekanta!$F$3:$F$27,MATCH('S0a Baseline'!$A79,Työkonekanta!$A$3:$A$24,0),1),0)</f>
        <v>1</v>
      </c>
      <c r="C79" s="140">
        <v>2021</v>
      </c>
      <c r="D79" s="141" t="str">
        <f>IFERROR(INDEX(Työkonekanta!$D$3:$D$27,MATCH('S0a Baseline'!$A79,Työkonekanta!$A$3:$A$24,0),1),"undefined")</f>
        <v>pom</v>
      </c>
      <c r="E79" s="145">
        <f>IFERROR(INDEX(Työkonekanta!$G$3:$G$27,MATCH($A79,Työkonekanta!$A$3:$A$24,0),1)*INDEX(Työkonekanta!$H$3:$H$27,MATCH($A79,Työkonekanta!$A$3:$A$24,0),1)*$B79,0)</f>
        <v>10000</v>
      </c>
      <c r="F79" s="344">
        <f t="shared" si="18"/>
        <v>359000</v>
      </c>
      <c r="G79" s="344">
        <f t="shared" si="25"/>
        <v>348230</v>
      </c>
      <c r="H79" s="344">
        <f t="shared" si="26"/>
        <v>10770</v>
      </c>
      <c r="I79" s="145">
        <f t="shared" si="19"/>
        <v>9700</v>
      </c>
      <c r="J79" s="145">
        <f t="shared" si="20"/>
        <v>313.99416909620993</v>
      </c>
      <c r="K79" s="142" t="str">
        <f t="shared" si="27"/>
        <v>l</v>
      </c>
      <c r="L79" s="146">
        <f>IFERROR(INDEX(Työkonekanta!$I$3:$I$27,MATCH('S0a Baseline'!$A79,Työkonekanta!$A$3:$A$24,0),1)*(I79+J79)*f_adblue,0)</f>
        <v>500.69970845481049</v>
      </c>
      <c r="M79" s="146">
        <f t="shared" si="3"/>
        <v>0</v>
      </c>
      <c r="N79" s="143" t="str">
        <f>IF(tuulisähkö_vuosi&lt;='S0a Baseline'!C79,"tuulisähkö",ostosähkö_nyt)</f>
        <v>jäännössähkö</v>
      </c>
      <c r="O79" s="147">
        <f>INDEX(Muuttujat!$J$5:$J$21,MATCH($C79,Muuttujat!$H$5:$H$21,0),1)</f>
        <v>67.8692025</v>
      </c>
      <c r="P79" s="342">
        <f>1-(INDEX(Muuttujat!$O$5:$O$21,MATCH($C79,Muuttujat!$N$5:$N$21,0),1))</f>
        <v>0.97</v>
      </c>
      <c r="Q79" s="342">
        <f>INDEX(Muuttujat!$O$5:$O$21,MATCH($C79,Muuttujat!$N$5:$N$21,0),1)</f>
        <v>0.03</v>
      </c>
      <c r="R79" s="148">
        <f>INDEX(Muuttujat!$P$5:$P$21,MATCH($C79,Muuttujat!$N$5:$N$21,0),1)</f>
        <v>3.1355537414087732E-2</v>
      </c>
      <c r="S79" s="149">
        <f t="shared" si="21"/>
        <v>6.5815469999999987</v>
      </c>
      <c r="T79" s="150">
        <f t="shared" si="22"/>
        <v>0.67204799999999998</v>
      </c>
      <c r="U79" s="150">
        <f t="shared" si="23"/>
        <v>0</v>
      </c>
      <c r="V79" s="150">
        <f>IFERROR(INDEX(Työkonekanta!$J$3:$J$27,MATCH($A79,Työkonekanta!$A$3:$A$24,0),1)*$B79*ef_li_ion_akku/1000/1000/INDEX(Työkonekanta!$K$3:$K$27,MATCH($A79,Työkonekanta!$A$3:$A$24,0)),0)</f>
        <v>0</v>
      </c>
      <c r="W79" s="149">
        <f t="shared" si="24"/>
        <v>25.702248387419996</v>
      </c>
      <c r="X79" s="150">
        <f t="shared" si="8"/>
        <v>0.31774565999999999</v>
      </c>
      <c r="Y79" s="151">
        <f t="shared" si="9"/>
        <v>0.13018192419825073</v>
      </c>
      <c r="Z79" s="152">
        <f t="shared" si="28"/>
        <v>7.2535949999999989</v>
      </c>
      <c r="AA79" s="153">
        <f t="shared" si="29"/>
        <v>25.832430311618246</v>
      </c>
      <c r="AB79" s="153">
        <f t="shared" si="30"/>
        <v>26.150175971618246</v>
      </c>
      <c r="AC79" s="154">
        <f t="shared" si="10"/>
        <v>33.086025311618243</v>
      </c>
      <c r="AD79" s="156">
        <f t="shared" si="31"/>
        <v>33.403770971618243</v>
      </c>
    </row>
    <row r="80" spans="1:30" s="144" customFormat="1">
      <c r="A80" s="139">
        <v>18</v>
      </c>
      <c r="B80" s="139">
        <f>IFERROR(INDEX(Työkonekanta!$F$3:$F$27,MATCH('S0a Baseline'!$A80,Työkonekanta!$A$3:$A$24,0),1),0)</f>
        <v>1</v>
      </c>
      <c r="C80" s="140">
        <v>2021</v>
      </c>
      <c r="D80" s="141" t="str">
        <f>IFERROR(INDEX(Työkonekanta!$D$3:$D$27,MATCH('S0a Baseline'!$A80,Työkonekanta!$A$3:$A$24,0),1),"undefined")</f>
        <v>pom</v>
      </c>
      <c r="E80" s="145">
        <f>IFERROR(INDEX(Työkonekanta!$G$3:$G$27,MATCH($A80,Työkonekanta!$A$3:$A$24,0),1)*INDEX(Työkonekanta!$H$3:$H$27,MATCH($A80,Työkonekanta!$A$3:$A$24,0),1)*$B80,0)</f>
        <v>10000</v>
      </c>
      <c r="F80" s="344">
        <f t="shared" si="18"/>
        <v>359000</v>
      </c>
      <c r="G80" s="344">
        <f t="shared" si="25"/>
        <v>348230</v>
      </c>
      <c r="H80" s="344">
        <f t="shared" si="26"/>
        <v>10770</v>
      </c>
      <c r="I80" s="145">
        <f t="shared" si="19"/>
        <v>9700</v>
      </c>
      <c r="J80" s="145">
        <f t="shared" si="20"/>
        <v>313.99416909620993</v>
      </c>
      <c r="K80" s="142" t="str">
        <f t="shared" si="27"/>
        <v>l</v>
      </c>
      <c r="L80" s="146">
        <f>IFERROR(INDEX(Työkonekanta!$I$3:$I$27,MATCH('S0a Baseline'!$A80,Työkonekanta!$A$3:$A$24,0),1)*(I80+J80)*f_adblue,0)</f>
        <v>400.55976676384842</v>
      </c>
      <c r="M80" s="146">
        <f t="shared" si="3"/>
        <v>0</v>
      </c>
      <c r="N80" s="143" t="str">
        <f>IF(tuulisähkö_vuosi&lt;='S0a Baseline'!C80,"tuulisähkö",ostosähkö_nyt)</f>
        <v>jäännössähkö</v>
      </c>
      <c r="O80" s="147">
        <f>INDEX(Muuttujat!$J$5:$J$21,MATCH($C80,Muuttujat!$H$5:$H$21,0),1)</f>
        <v>67.8692025</v>
      </c>
      <c r="P80" s="342">
        <f>1-(INDEX(Muuttujat!$O$5:$O$21,MATCH($C80,Muuttujat!$N$5:$N$21,0),1))</f>
        <v>0.97</v>
      </c>
      <c r="Q80" s="342">
        <f>INDEX(Muuttujat!$O$5:$O$21,MATCH($C80,Muuttujat!$N$5:$N$21,0),1)</f>
        <v>0.03</v>
      </c>
      <c r="R80" s="148">
        <f>INDEX(Muuttujat!$P$5:$P$21,MATCH($C80,Muuttujat!$N$5:$N$21,0),1)</f>
        <v>3.1355537414087732E-2</v>
      </c>
      <c r="S80" s="149">
        <f t="shared" si="21"/>
        <v>6.5815469999999987</v>
      </c>
      <c r="T80" s="150">
        <f t="shared" si="22"/>
        <v>0.67204799999999998</v>
      </c>
      <c r="U80" s="150">
        <f t="shared" si="23"/>
        <v>0</v>
      </c>
      <c r="V80" s="150">
        <f>IFERROR(INDEX(Työkonekanta!$J$3:$J$27,MATCH($A80,Työkonekanta!$A$3:$A$24,0),1)*$B80*ef_li_ion_akku/1000/1000/INDEX(Työkonekanta!$K$3:$K$27,MATCH($A80,Työkonekanta!$A$3:$A$24,0)),0)</f>
        <v>0</v>
      </c>
      <c r="W80" s="149">
        <f t="shared" si="24"/>
        <v>25.702248387419996</v>
      </c>
      <c r="X80" s="150">
        <f t="shared" si="8"/>
        <v>0.31774565999999999</v>
      </c>
      <c r="Y80" s="151">
        <f t="shared" si="9"/>
        <v>0.10414553935860059</v>
      </c>
      <c r="Z80" s="152">
        <f t="shared" si="28"/>
        <v>7.2535949999999989</v>
      </c>
      <c r="AA80" s="153">
        <f t="shared" si="29"/>
        <v>25.806393926778597</v>
      </c>
      <c r="AB80" s="153">
        <f t="shared" si="30"/>
        <v>26.124139586778597</v>
      </c>
      <c r="AC80" s="154">
        <f t="shared" si="10"/>
        <v>33.059988926778594</v>
      </c>
      <c r="AD80" s="156">
        <f t="shared" si="31"/>
        <v>33.377734586778594</v>
      </c>
    </row>
    <row r="81" spans="1:30" s="144" customFormat="1">
      <c r="A81" s="139">
        <v>19</v>
      </c>
      <c r="B81" s="139">
        <f>IFERROR(INDEX(Työkonekanta!$F$3:$F$27,MATCH('S0a Baseline'!$A81,Työkonekanta!$A$3:$A$24,0),1),0)</f>
        <v>0</v>
      </c>
      <c r="C81" s="140">
        <v>2021</v>
      </c>
      <c r="D81" s="141" t="str">
        <f>IFERROR(INDEX(Työkonekanta!$D$3:$D$27,MATCH('S0a Baseline'!$A81,Työkonekanta!$A$3:$A$24,0),1),"undefined")</f>
        <v>pom</v>
      </c>
      <c r="E81" s="145">
        <f>IFERROR(INDEX(Työkonekanta!$G$3:$G$27,MATCH($A81,Työkonekanta!$A$3:$A$24,0),1)*INDEX(Työkonekanta!$H$3:$H$27,MATCH($A81,Työkonekanta!$A$3:$A$24,0),1)*$B81,0)</f>
        <v>0</v>
      </c>
      <c r="F81" s="344">
        <f t="shared" si="18"/>
        <v>0</v>
      </c>
      <c r="G81" s="344">
        <f t="shared" si="25"/>
        <v>0</v>
      </c>
      <c r="H81" s="344">
        <f t="shared" si="26"/>
        <v>0</v>
      </c>
      <c r="I81" s="145">
        <f t="shared" si="19"/>
        <v>0</v>
      </c>
      <c r="J81" s="145">
        <f t="shared" si="20"/>
        <v>0</v>
      </c>
      <c r="K81" s="142" t="str">
        <f t="shared" si="27"/>
        <v>l</v>
      </c>
      <c r="L81" s="146">
        <f>IFERROR(INDEX(Työkonekanta!$I$3:$I$27,MATCH('S0a Baseline'!$A81,Työkonekanta!$A$3:$A$24,0),1)*(I81+J81)*f_adblue,0)</f>
        <v>0</v>
      </c>
      <c r="M81" s="146">
        <f t="shared" si="3"/>
        <v>0</v>
      </c>
      <c r="N81" s="143" t="str">
        <f>IF(tuulisähkö_vuosi&lt;='S0a Baseline'!C81,"tuulisähkö",ostosähkö_nyt)</f>
        <v>jäännössähkö</v>
      </c>
      <c r="O81" s="147">
        <f>INDEX(Muuttujat!$J$5:$J$21,MATCH($C81,Muuttujat!$H$5:$H$21,0),1)</f>
        <v>67.8692025</v>
      </c>
      <c r="P81" s="342">
        <f>1-(INDEX(Muuttujat!$O$5:$O$21,MATCH($C81,Muuttujat!$N$5:$N$21,0),1))</f>
        <v>0.97</v>
      </c>
      <c r="Q81" s="342">
        <f>INDEX(Muuttujat!$O$5:$O$21,MATCH($C81,Muuttujat!$N$5:$N$21,0),1)</f>
        <v>0.03</v>
      </c>
      <c r="R81" s="148">
        <f>INDEX(Muuttujat!$P$5:$P$21,MATCH($C81,Muuttujat!$N$5:$N$21,0),1)</f>
        <v>3.1355537414087732E-2</v>
      </c>
      <c r="S81" s="149">
        <f t="shared" si="21"/>
        <v>0</v>
      </c>
      <c r="T81" s="150">
        <f t="shared" si="22"/>
        <v>0</v>
      </c>
      <c r="U81" s="150">
        <f t="shared" si="23"/>
        <v>0</v>
      </c>
      <c r="V81" s="150">
        <f>IFERROR(INDEX(Työkonekanta!$J$3:$J$27,MATCH($A81,Työkonekanta!$A$3:$A$24,0),1)*$B81*ef_li_ion_akku/1000/1000/INDEX(Työkonekanta!$K$3:$K$27,MATCH($A81,Työkonekanta!$A$3:$A$24,0)),0)</f>
        <v>0</v>
      </c>
      <c r="W81" s="149">
        <f t="shared" si="24"/>
        <v>0</v>
      </c>
      <c r="X81" s="150">
        <f t="shared" si="8"/>
        <v>0</v>
      </c>
      <c r="Y81" s="151">
        <f t="shared" si="9"/>
        <v>0</v>
      </c>
      <c r="Z81" s="152">
        <f t="shared" si="28"/>
        <v>0</v>
      </c>
      <c r="AA81" s="153">
        <f t="shared" si="29"/>
        <v>0</v>
      </c>
      <c r="AB81" s="153">
        <f t="shared" si="30"/>
        <v>0</v>
      </c>
      <c r="AC81" s="154">
        <f t="shared" si="10"/>
        <v>0</v>
      </c>
      <c r="AD81" s="156">
        <f t="shared" si="31"/>
        <v>0</v>
      </c>
    </row>
    <row r="82" spans="1:30" s="144" customFormat="1">
      <c r="A82" s="139">
        <v>20</v>
      </c>
      <c r="B82" s="139">
        <f>IFERROR(INDEX(Työkonekanta!$F$3:$F$27,MATCH('S0a Baseline'!$A82,Työkonekanta!$A$3:$A$24,0),1),0)</f>
        <v>0</v>
      </c>
      <c r="C82" s="140">
        <v>2021</v>
      </c>
      <c r="D82" s="141" t="str">
        <f>IFERROR(INDEX(Työkonekanta!$D$3:$D$27,MATCH('S0a Baseline'!$A82,Työkonekanta!$A$3:$A$24,0),1),"undefined")</f>
        <v>pom</v>
      </c>
      <c r="E82" s="145">
        <f>IFERROR(INDEX(Työkonekanta!$G$3:$G$27,MATCH($A82,Työkonekanta!$A$3:$A$24,0),1)*INDEX(Työkonekanta!$H$3:$H$27,MATCH($A82,Työkonekanta!$A$3:$A$24,0),1)*$B82,0)</f>
        <v>0</v>
      </c>
      <c r="F82" s="344">
        <f t="shared" si="18"/>
        <v>0</v>
      </c>
      <c r="G82" s="344">
        <f t="shared" si="25"/>
        <v>0</v>
      </c>
      <c r="H82" s="344">
        <f t="shared" si="26"/>
        <v>0</v>
      </c>
      <c r="I82" s="145">
        <f t="shared" si="19"/>
        <v>0</v>
      </c>
      <c r="J82" s="145">
        <f t="shared" si="20"/>
        <v>0</v>
      </c>
      <c r="K82" s="142" t="str">
        <f t="shared" si="27"/>
        <v>l</v>
      </c>
      <c r="L82" s="146">
        <f>IFERROR(INDEX(Työkonekanta!$I$3:$I$27,MATCH('S0a Baseline'!$A82,Työkonekanta!$A$3:$A$24,0),1)*(I82+J82)*f_adblue,0)</f>
        <v>0</v>
      </c>
      <c r="M82" s="146">
        <f t="shared" si="3"/>
        <v>0</v>
      </c>
      <c r="N82" s="143" t="str">
        <f>IF(tuulisähkö_vuosi&lt;='S0a Baseline'!C82,"tuulisähkö",ostosähkö_nyt)</f>
        <v>jäännössähkö</v>
      </c>
      <c r="O82" s="147">
        <f>INDEX(Muuttujat!$J$5:$J$21,MATCH($C82,Muuttujat!$H$5:$H$21,0),1)</f>
        <v>67.8692025</v>
      </c>
      <c r="P82" s="342">
        <f>1-(INDEX(Muuttujat!$O$5:$O$21,MATCH($C82,Muuttujat!$N$5:$N$21,0),1))</f>
        <v>0.97</v>
      </c>
      <c r="Q82" s="342">
        <f>INDEX(Muuttujat!$O$5:$O$21,MATCH($C82,Muuttujat!$N$5:$N$21,0),1)</f>
        <v>0.03</v>
      </c>
      <c r="R82" s="148">
        <f>INDEX(Muuttujat!$P$5:$P$21,MATCH($C82,Muuttujat!$N$5:$N$21,0),1)</f>
        <v>3.1355537414087732E-2</v>
      </c>
      <c r="S82" s="149">
        <f t="shared" si="21"/>
        <v>0</v>
      </c>
      <c r="T82" s="150">
        <f t="shared" si="22"/>
        <v>0</v>
      </c>
      <c r="U82" s="150">
        <f t="shared" si="23"/>
        <v>0</v>
      </c>
      <c r="V82" s="150">
        <f>IFERROR(INDEX(Työkonekanta!$J$3:$J$27,MATCH($A82,Työkonekanta!$A$3:$A$24,0),1)*$B82*ef_li_ion_akku/1000/1000/INDEX(Työkonekanta!$K$3:$K$27,MATCH($A82,Työkonekanta!$A$3:$A$24,0)),0)</f>
        <v>0</v>
      </c>
      <c r="W82" s="149">
        <f t="shared" si="24"/>
        <v>0</v>
      </c>
      <c r="X82" s="150">
        <f t="shared" si="8"/>
        <v>0</v>
      </c>
      <c r="Y82" s="151">
        <f t="shared" si="9"/>
        <v>0</v>
      </c>
      <c r="Z82" s="152">
        <f t="shared" si="28"/>
        <v>0</v>
      </c>
      <c r="AA82" s="153">
        <f t="shared" si="29"/>
        <v>0</v>
      </c>
      <c r="AB82" s="153">
        <f t="shared" si="30"/>
        <v>0</v>
      </c>
      <c r="AC82" s="154">
        <f t="shared" si="10"/>
        <v>0</v>
      </c>
      <c r="AD82" s="156">
        <f t="shared" si="31"/>
        <v>0</v>
      </c>
    </row>
    <row r="83" spans="1:30" s="144" customFormat="1">
      <c r="A83" s="139">
        <v>21</v>
      </c>
      <c r="B83" s="139">
        <f>IFERROR(INDEX(Työkonekanta!$F$3:$F$27,MATCH('S0a Baseline'!$A83,Työkonekanta!$A$3:$A$24,0),1),0)</f>
        <v>35</v>
      </c>
      <c r="C83" s="140">
        <v>2021</v>
      </c>
      <c r="D83" s="141" t="str">
        <f>IFERROR(INDEX(Työkonekanta!$D$3:$D$27,MATCH('S0a Baseline'!$A83,Työkonekanta!$A$3:$A$24,0),1),"undefined")</f>
        <v>sähkö</v>
      </c>
      <c r="E83" s="145">
        <f>IFERROR(INDEX(Työkonekanta!$G$3:$G$27,MATCH($A83,Työkonekanta!$A$3:$A$24,0),1)*INDEX(Työkonekanta!$H$3:$H$27,MATCH($A83,Työkonekanta!$A$3:$A$24,0),1)*$B83,0)</f>
        <v>407199.07407407404</v>
      </c>
      <c r="F83" s="344">
        <f t="shared" si="18"/>
        <v>0</v>
      </c>
      <c r="G83" s="344">
        <f t="shared" si="25"/>
        <v>0</v>
      </c>
      <c r="H83" s="344">
        <f t="shared" si="26"/>
        <v>0</v>
      </c>
      <c r="I83" s="145">
        <f t="shared" si="19"/>
        <v>0</v>
      </c>
      <c r="J83" s="145">
        <f t="shared" si="20"/>
        <v>0</v>
      </c>
      <c r="K83" s="142" t="str">
        <f t="shared" si="27"/>
        <v>kWh</v>
      </c>
      <c r="L83" s="146">
        <f>IFERROR(INDEX(Työkonekanta!$I$3:$I$27,MATCH('S0a Baseline'!$A83,Työkonekanta!$A$3:$A$24,0),1)*(I83+J83)*f_adblue,0)</f>
        <v>0</v>
      </c>
      <c r="M83" s="146">
        <f t="shared" ref="M83:M146" si="32">IF($D83="sähkö",conv_kwh_mj*$E83,0)</f>
        <v>1465916.6666666665</v>
      </c>
      <c r="N83" s="143" t="str">
        <f>IF(tuulisähkö_vuosi&lt;='S0a Baseline'!C83,"tuulisähkö",ostosähkö_nyt)</f>
        <v>jäännössähkö</v>
      </c>
      <c r="O83" s="147">
        <f>INDEX(Muuttujat!$J$5:$J$21,MATCH($C83,Muuttujat!$H$5:$H$21,0),1)</f>
        <v>67.8692025</v>
      </c>
      <c r="P83" s="342">
        <f>1-(INDEX(Muuttujat!$O$5:$O$21,MATCH($C83,Muuttujat!$N$5:$N$21,0),1))</f>
        <v>0.97</v>
      </c>
      <c r="Q83" s="342">
        <f>INDEX(Muuttujat!$O$5:$O$21,MATCH($C83,Muuttujat!$N$5:$N$21,0),1)</f>
        <v>0.03</v>
      </c>
      <c r="R83" s="148">
        <f>INDEX(Muuttujat!$P$5:$P$21,MATCH($C83,Muuttujat!$N$5:$N$21,0),1)</f>
        <v>3.1355537414087732E-2</v>
      </c>
      <c r="S83" s="149">
        <f t="shared" si="21"/>
        <v>0</v>
      </c>
      <c r="T83" s="150">
        <f t="shared" si="22"/>
        <v>0</v>
      </c>
      <c r="U83" s="150">
        <f t="shared" si="23"/>
        <v>99.490595098124999</v>
      </c>
      <c r="V83" s="150">
        <f>IFERROR(INDEX(Työkonekanta!$J$3:$J$27,MATCH($A83,Työkonekanta!$A$3:$A$24,0),1)*$B83*ef_li_ion_akku/1000/1000/INDEX(Työkonekanta!$K$3:$K$27,MATCH($A83,Työkonekanta!$A$3:$A$24,0)),0)</f>
        <v>43.121723076923082</v>
      </c>
      <c r="W83" s="149">
        <f t="shared" si="24"/>
        <v>0</v>
      </c>
      <c r="X83" s="150">
        <f t="shared" ref="X83:X146" si="33">($E83*(IF($D83="pom",ef_v_ch4_pom,0)*gwp100_ch4+IF($D83="pom",ef_v_n2o_pom,0)*gwp100_n2o))/1000/1000</f>
        <v>0</v>
      </c>
      <c r="Y83" s="151">
        <f t="shared" ref="Y83:Y146" si="34">$L83*ef_v_co2_adblue/1000/1000</f>
        <v>0</v>
      </c>
      <c r="Z83" s="152">
        <f t="shared" si="28"/>
        <v>142.61231817504807</v>
      </c>
      <c r="AA83" s="153">
        <f t="shared" si="29"/>
        <v>0</v>
      </c>
      <c r="AB83" s="153">
        <f t="shared" si="30"/>
        <v>0</v>
      </c>
      <c r="AC83" s="154">
        <f t="shared" ref="AC83:AC146" si="35">$Z83+$AA83</f>
        <v>142.61231817504807</v>
      </c>
      <c r="AD83" s="156">
        <f t="shared" si="31"/>
        <v>142.61231817504807</v>
      </c>
    </row>
    <row r="84" spans="1:30" s="144" customFormat="1">
      <c r="A84" s="139">
        <v>22</v>
      </c>
      <c r="B84" s="139">
        <f>IFERROR(INDEX(Työkonekanta!$F$3:$F$27,MATCH('S0a Baseline'!$A84,Työkonekanta!$A$3:$A$24,0),1),0)</f>
        <v>0</v>
      </c>
      <c r="C84" s="140">
        <v>2021</v>
      </c>
      <c r="D84" s="141" t="str">
        <f>IFERROR(INDEX(Työkonekanta!$D$3:$D$27,MATCH('S0a Baseline'!$A84,Työkonekanta!$A$3:$A$24,0),1),"undefined")</f>
        <v>sähkö</v>
      </c>
      <c r="E84" s="145">
        <f>IFERROR(INDEX(Työkonekanta!$G$3:$G$27,MATCH($A84,Työkonekanta!$A$3:$A$24,0),1)*INDEX(Työkonekanta!$H$3:$H$27,MATCH($A84,Työkonekanta!$A$3:$A$24,0),1)*$B84,0)</f>
        <v>0</v>
      </c>
      <c r="F84" s="344">
        <f t="shared" si="18"/>
        <v>0</v>
      </c>
      <c r="G84" s="344">
        <f t="shared" si="25"/>
        <v>0</v>
      </c>
      <c r="H84" s="344">
        <f t="shared" si="26"/>
        <v>0</v>
      </c>
      <c r="I84" s="145">
        <f t="shared" si="19"/>
        <v>0</v>
      </c>
      <c r="J84" s="145">
        <f t="shared" si="20"/>
        <v>0</v>
      </c>
      <c r="K84" s="142" t="str">
        <f t="shared" si="27"/>
        <v>kWh</v>
      </c>
      <c r="L84" s="146">
        <f>IFERROR(INDEX(Työkonekanta!$I$3:$I$27,MATCH('S0a Baseline'!$A84,Työkonekanta!$A$3:$A$24,0),1)*(I84+J84)*f_adblue,0)</f>
        <v>0</v>
      </c>
      <c r="M84" s="146">
        <f t="shared" si="32"/>
        <v>0</v>
      </c>
      <c r="N84" s="143" t="str">
        <f>IF(tuulisähkö_vuosi&lt;='S0a Baseline'!C84,"tuulisähkö",ostosähkö_nyt)</f>
        <v>jäännössähkö</v>
      </c>
      <c r="O84" s="147">
        <f>INDEX(Muuttujat!$J$5:$J$21,MATCH($C84,Muuttujat!$H$5:$H$21,0),1)</f>
        <v>67.8692025</v>
      </c>
      <c r="P84" s="342">
        <f>1-(INDEX(Muuttujat!$O$5:$O$21,MATCH($C84,Muuttujat!$N$5:$N$21,0),1))</f>
        <v>0.97</v>
      </c>
      <c r="Q84" s="342">
        <f>INDEX(Muuttujat!$O$5:$O$21,MATCH($C84,Muuttujat!$N$5:$N$21,0),1)</f>
        <v>0.03</v>
      </c>
      <c r="R84" s="148">
        <f>INDEX(Muuttujat!$P$5:$P$21,MATCH($C84,Muuttujat!$N$5:$N$21,0),1)</f>
        <v>3.1355537414087732E-2</v>
      </c>
      <c r="S84" s="149">
        <f t="shared" si="21"/>
        <v>0</v>
      </c>
      <c r="T84" s="150">
        <f t="shared" si="22"/>
        <v>0</v>
      </c>
      <c r="U84" s="150">
        <f t="shared" si="23"/>
        <v>0</v>
      </c>
      <c r="V84" s="150">
        <f>IFERROR(INDEX(Työkonekanta!$J$3:$J$27,MATCH($A84,Työkonekanta!$A$3:$A$24,0),1)*$B84*ef_li_ion_akku/1000/1000/INDEX(Työkonekanta!$K$3:$K$27,MATCH($A84,Työkonekanta!$A$3:$A$24,0)),0)</f>
        <v>0</v>
      </c>
      <c r="W84" s="149">
        <f t="shared" si="24"/>
        <v>0</v>
      </c>
      <c r="X84" s="150">
        <f t="shared" si="33"/>
        <v>0</v>
      </c>
      <c r="Y84" s="151">
        <f t="shared" si="34"/>
        <v>0</v>
      </c>
      <c r="Z84" s="152">
        <f t="shared" si="28"/>
        <v>0</v>
      </c>
      <c r="AA84" s="153">
        <f t="shared" si="29"/>
        <v>0</v>
      </c>
      <c r="AB84" s="153">
        <f t="shared" si="30"/>
        <v>0</v>
      </c>
      <c r="AC84" s="154">
        <f t="shared" si="35"/>
        <v>0</v>
      </c>
      <c r="AD84" s="156">
        <f t="shared" si="31"/>
        <v>0</v>
      </c>
    </row>
    <row r="85" spans="1:30" s="144" customFormat="1">
      <c r="A85" s="139">
        <v>23</v>
      </c>
      <c r="B85" s="139">
        <f>IFERROR(INDEX(Työkonekanta!$F$3:$F$27,MATCH('S0a Baseline'!$A85,Työkonekanta!$A$3:$A$24,0),1),0)</f>
        <v>0</v>
      </c>
      <c r="C85" s="140">
        <v>2021</v>
      </c>
      <c r="D85" s="141" t="str">
        <f>IFERROR(INDEX(Työkonekanta!$D$3:$D$27,MATCH('S0a Baseline'!$A85,Työkonekanta!$A$3:$A$24,0),1),"undefined")</f>
        <v>undefined</v>
      </c>
      <c r="E85" s="145">
        <f>IFERROR(INDEX(Työkonekanta!$G$3:$G$27,MATCH($A85,Työkonekanta!$A$3:$A$24,0),1)*INDEX(Työkonekanta!$H$3:$H$27,MATCH($A85,Työkonekanta!$A$3:$A$24,0),1)*$B85,0)</f>
        <v>0</v>
      </c>
      <c r="F85" s="344">
        <f t="shared" si="18"/>
        <v>0</v>
      </c>
      <c r="G85" s="344">
        <f t="shared" si="25"/>
        <v>0</v>
      </c>
      <c r="H85" s="344">
        <f t="shared" si="26"/>
        <v>0</v>
      </c>
      <c r="I85" s="145">
        <f t="shared" si="19"/>
        <v>0</v>
      </c>
      <c r="J85" s="145">
        <f t="shared" si="20"/>
        <v>0</v>
      </c>
      <c r="K85" s="142" t="str">
        <f t="shared" si="27"/>
        <v>undefined</v>
      </c>
      <c r="L85" s="146">
        <f>IFERROR(INDEX(Työkonekanta!$I$3:$I$27,MATCH('S0a Baseline'!$A85,Työkonekanta!$A$3:$A$24,0),1)*(I85+J85)*f_adblue,0)</f>
        <v>0</v>
      </c>
      <c r="M85" s="146">
        <f t="shared" si="32"/>
        <v>0</v>
      </c>
      <c r="N85" s="143" t="str">
        <f>IF(tuulisähkö_vuosi&lt;='S0a Baseline'!C85,"tuulisähkö",ostosähkö_nyt)</f>
        <v>jäännössähkö</v>
      </c>
      <c r="O85" s="147">
        <f>INDEX(Muuttujat!$J$5:$J$21,MATCH($C85,Muuttujat!$H$5:$H$21,0),1)</f>
        <v>67.8692025</v>
      </c>
      <c r="P85" s="342">
        <f>1-(INDEX(Muuttujat!$O$5:$O$21,MATCH($C85,Muuttujat!$N$5:$N$21,0),1))</f>
        <v>0.97</v>
      </c>
      <c r="Q85" s="342">
        <f>INDEX(Muuttujat!$O$5:$O$21,MATCH($C85,Muuttujat!$N$5:$N$21,0),1)</f>
        <v>0.03</v>
      </c>
      <c r="R85" s="148">
        <f>INDEX(Muuttujat!$P$5:$P$21,MATCH($C85,Muuttujat!$N$5:$N$21,0),1)</f>
        <v>3.1355537414087732E-2</v>
      </c>
      <c r="S85" s="149">
        <f t="shared" si="21"/>
        <v>0</v>
      </c>
      <c r="T85" s="150">
        <f t="shared" si="22"/>
        <v>0</v>
      </c>
      <c r="U85" s="150">
        <f t="shared" si="23"/>
        <v>0</v>
      </c>
      <c r="V85" s="150">
        <f>IFERROR(INDEX(Työkonekanta!$J$3:$J$27,MATCH($A85,Työkonekanta!$A$3:$A$24,0),1)*$B85*ef_li_ion_akku/1000/1000/INDEX(Työkonekanta!$K$3:$K$27,MATCH($A85,Työkonekanta!$A$3:$A$24,0)),0)</f>
        <v>0</v>
      </c>
      <c r="W85" s="149">
        <f t="shared" si="24"/>
        <v>0</v>
      </c>
      <c r="X85" s="150">
        <f t="shared" si="33"/>
        <v>0</v>
      </c>
      <c r="Y85" s="151">
        <f t="shared" si="34"/>
        <v>0</v>
      </c>
      <c r="Z85" s="152">
        <f t="shared" si="28"/>
        <v>0</v>
      </c>
      <c r="AA85" s="153">
        <f t="shared" si="29"/>
        <v>0</v>
      </c>
      <c r="AB85" s="153">
        <f t="shared" si="30"/>
        <v>0</v>
      </c>
      <c r="AC85" s="154">
        <f t="shared" si="35"/>
        <v>0</v>
      </c>
      <c r="AD85" s="156">
        <f t="shared" si="31"/>
        <v>0</v>
      </c>
    </row>
    <row r="86" spans="1:30" s="144" customFormat="1">
      <c r="A86" s="139">
        <v>24</v>
      </c>
      <c r="B86" s="139">
        <f>IFERROR(INDEX(Työkonekanta!$F$3:$F$27,MATCH('S0a Baseline'!$A86,Työkonekanta!$A$3:$A$24,0),1),0)</f>
        <v>0</v>
      </c>
      <c r="C86" s="140">
        <v>2021</v>
      </c>
      <c r="D86" s="141" t="str">
        <f>IFERROR(INDEX(Työkonekanta!$D$3:$D$27,MATCH('S0a Baseline'!$A86,Työkonekanta!$A$3:$A$24,0),1),"undefined")</f>
        <v>undefined</v>
      </c>
      <c r="E86" s="145">
        <f>IFERROR(INDEX(Työkonekanta!$G$3:$G$27,MATCH($A86,Työkonekanta!$A$3:$A$24,0),1)*INDEX(Työkonekanta!$H$3:$H$27,MATCH($A86,Työkonekanta!$A$3:$A$24,0),1)*$B86,0)</f>
        <v>0</v>
      </c>
      <c r="F86" s="344">
        <f t="shared" si="18"/>
        <v>0</v>
      </c>
      <c r="G86" s="344">
        <f t="shared" si="25"/>
        <v>0</v>
      </c>
      <c r="H86" s="344">
        <f t="shared" si="26"/>
        <v>0</v>
      </c>
      <c r="I86" s="145">
        <f t="shared" si="19"/>
        <v>0</v>
      </c>
      <c r="J86" s="145">
        <f t="shared" si="20"/>
        <v>0</v>
      </c>
      <c r="K86" s="142" t="str">
        <f t="shared" si="27"/>
        <v>undefined</v>
      </c>
      <c r="L86" s="146">
        <f>IFERROR(INDEX(Työkonekanta!$I$3:$I$27,MATCH('S0a Baseline'!$A86,Työkonekanta!$A$3:$A$24,0),1)*(I86+J86)*f_adblue,0)</f>
        <v>0</v>
      </c>
      <c r="M86" s="146">
        <f t="shared" si="32"/>
        <v>0</v>
      </c>
      <c r="N86" s="143" t="str">
        <f>IF(tuulisähkö_vuosi&lt;='S0a Baseline'!C86,"tuulisähkö",ostosähkö_nyt)</f>
        <v>jäännössähkö</v>
      </c>
      <c r="O86" s="147">
        <f>INDEX(Muuttujat!$J$5:$J$21,MATCH($C86,Muuttujat!$H$5:$H$21,0),1)</f>
        <v>67.8692025</v>
      </c>
      <c r="P86" s="342">
        <f>1-(INDEX(Muuttujat!$O$5:$O$21,MATCH($C86,Muuttujat!$N$5:$N$21,0),1))</f>
        <v>0.97</v>
      </c>
      <c r="Q86" s="342">
        <f>INDEX(Muuttujat!$O$5:$O$21,MATCH($C86,Muuttujat!$N$5:$N$21,0),1)</f>
        <v>0.03</v>
      </c>
      <c r="R86" s="148">
        <f>INDEX(Muuttujat!$P$5:$P$21,MATCH($C86,Muuttujat!$N$5:$N$21,0),1)</f>
        <v>3.1355537414087732E-2</v>
      </c>
      <c r="S86" s="149">
        <f t="shared" si="21"/>
        <v>0</v>
      </c>
      <c r="T86" s="150">
        <f t="shared" si="22"/>
        <v>0</v>
      </c>
      <c r="U86" s="150">
        <f t="shared" si="23"/>
        <v>0</v>
      </c>
      <c r="V86" s="150">
        <f>IFERROR(INDEX(Työkonekanta!$J$3:$J$27,MATCH($A86,Työkonekanta!$A$3:$A$24,0),1)*$B86*ef_li_ion_akku/1000/1000/INDEX(Työkonekanta!$K$3:$K$27,MATCH($A86,Työkonekanta!$A$3:$A$24,0)),0)</f>
        <v>0</v>
      </c>
      <c r="W86" s="149">
        <f t="shared" si="24"/>
        <v>0</v>
      </c>
      <c r="X86" s="150">
        <f t="shared" si="33"/>
        <v>0</v>
      </c>
      <c r="Y86" s="151">
        <f t="shared" si="34"/>
        <v>0</v>
      </c>
      <c r="Z86" s="152">
        <f t="shared" si="28"/>
        <v>0</v>
      </c>
      <c r="AA86" s="153">
        <f t="shared" si="29"/>
        <v>0</v>
      </c>
      <c r="AB86" s="153">
        <f t="shared" si="30"/>
        <v>0</v>
      </c>
      <c r="AC86" s="154">
        <f t="shared" si="35"/>
        <v>0</v>
      </c>
      <c r="AD86" s="156">
        <f t="shared" si="31"/>
        <v>0</v>
      </c>
    </row>
    <row r="87" spans="1:30" s="144" customFormat="1">
      <c r="A87" s="139">
        <v>25</v>
      </c>
      <c r="B87" s="139">
        <f>IFERROR(INDEX(Työkonekanta!$F$3:$F$27,MATCH('S0a Baseline'!$A87,Työkonekanta!$A$3:$A$24,0),1),0)</f>
        <v>0</v>
      </c>
      <c r="C87" s="140">
        <v>2021</v>
      </c>
      <c r="D87" s="141" t="str">
        <f>IFERROR(INDEX(Työkonekanta!$D$3:$D$27,MATCH('S0a Baseline'!$A87,Työkonekanta!$A$3:$A$24,0),1),"undefined")</f>
        <v>undefined</v>
      </c>
      <c r="E87" s="145">
        <f>IFERROR(INDEX(Työkonekanta!$G$3:$G$27,MATCH($A87,Työkonekanta!$A$3:$A$24,0),1)*INDEX(Työkonekanta!$H$3:$H$27,MATCH($A87,Työkonekanta!$A$3:$A$24,0),1)*$B87,0)</f>
        <v>0</v>
      </c>
      <c r="F87" s="344">
        <f t="shared" si="18"/>
        <v>0</v>
      </c>
      <c r="G87" s="344">
        <f t="shared" si="25"/>
        <v>0</v>
      </c>
      <c r="H87" s="344">
        <f t="shared" si="26"/>
        <v>0</v>
      </c>
      <c r="I87" s="145">
        <f t="shared" si="19"/>
        <v>0</v>
      </c>
      <c r="J87" s="145">
        <f t="shared" si="20"/>
        <v>0</v>
      </c>
      <c r="K87" s="142" t="str">
        <f t="shared" si="27"/>
        <v>undefined</v>
      </c>
      <c r="L87" s="146">
        <f>IFERROR(INDEX(Työkonekanta!$I$3:$I$27,MATCH('S0a Baseline'!$A87,Työkonekanta!$A$3:$A$24,0),1)*(I87+J87)*f_adblue,0)</f>
        <v>0</v>
      </c>
      <c r="M87" s="146">
        <f t="shared" si="32"/>
        <v>0</v>
      </c>
      <c r="N87" s="143" t="str">
        <f>IF(tuulisähkö_vuosi&lt;='S0a Baseline'!C87,"tuulisähkö",ostosähkö_nyt)</f>
        <v>jäännössähkö</v>
      </c>
      <c r="O87" s="147">
        <f>INDEX(Muuttujat!$J$5:$J$21,MATCH($C87,Muuttujat!$H$5:$H$21,0),1)</f>
        <v>67.8692025</v>
      </c>
      <c r="P87" s="342">
        <f>1-(INDEX(Muuttujat!$O$5:$O$21,MATCH($C87,Muuttujat!$N$5:$N$21,0),1))</f>
        <v>0.97</v>
      </c>
      <c r="Q87" s="342">
        <f>INDEX(Muuttujat!$O$5:$O$21,MATCH($C87,Muuttujat!$N$5:$N$21,0),1)</f>
        <v>0.03</v>
      </c>
      <c r="R87" s="148">
        <f>INDEX(Muuttujat!$P$5:$P$21,MATCH($C87,Muuttujat!$N$5:$N$21,0),1)</f>
        <v>3.1355537414087732E-2</v>
      </c>
      <c r="S87" s="149">
        <f t="shared" si="21"/>
        <v>0</v>
      </c>
      <c r="T87" s="150">
        <f t="shared" si="22"/>
        <v>0</v>
      </c>
      <c r="U87" s="150">
        <f t="shared" si="23"/>
        <v>0</v>
      </c>
      <c r="V87" s="150">
        <f>IFERROR(INDEX(Työkonekanta!$J$3:$J$27,MATCH($A87,Työkonekanta!$A$3:$A$24,0),1)*$B87*ef_li_ion_akku/1000/1000/INDEX(Työkonekanta!$K$3:$K$27,MATCH($A87,Työkonekanta!$A$3:$A$24,0)),0)</f>
        <v>0</v>
      </c>
      <c r="W87" s="149">
        <f t="shared" si="24"/>
        <v>0</v>
      </c>
      <c r="X87" s="150">
        <f t="shared" si="33"/>
        <v>0</v>
      </c>
      <c r="Y87" s="151">
        <f t="shared" si="34"/>
        <v>0</v>
      </c>
      <c r="Z87" s="152">
        <f t="shared" si="28"/>
        <v>0</v>
      </c>
      <c r="AA87" s="153">
        <f t="shared" si="29"/>
        <v>0</v>
      </c>
      <c r="AB87" s="153">
        <f t="shared" si="30"/>
        <v>0</v>
      </c>
      <c r="AC87" s="154">
        <f t="shared" si="35"/>
        <v>0</v>
      </c>
      <c r="AD87" s="156">
        <f t="shared" si="31"/>
        <v>0</v>
      </c>
    </row>
    <row r="88" spans="1:30" s="144" customFormat="1">
      <c r="A88" s="139">
        <v>26</v>
      </c>
      <c r="B88" s="139">
        <f>IFERROR(INDEX(Työkonekanta!$F$3:$F$27,MATCH('S0a Baseline'!$A88,Työkonekanta!$A$3:$A$24,0),1),0)</f>
        <v>0</v>
      </c>
      <c r="C88" s="140">
        <v>2021</v>
      </c>
      <c r="D88" s="141" t="str">
        <f>IFERROR(INDEX(Työkonekanta!$D$3:$D$27,MATCH('S0a Baseline'!$A88,Työkonekanta!$A$3:$A$24,0),1),"undefined")</f>
        <v>undefined</v>
      </c>
      <c r="E88" s="145">
        <f>IFERROR(INDEX(Työkonekanta!$G$3:$G$27,MATCH($A88,Työkonekanta!$A$3:$A$24,0),1)*INDEX(Työkonekanta!$H$3:$H$27,MATCH($A88,Työkonekanta!$A$3:$A$24,0),1)*$B88,0)</f>
        <v>0</v>
      </c>
      <c r="F88" s="344">
        <f t="shared" si="18"/>
        <v>0</v>
      </c>
      <c r="G88" s="344">
        <f t="shared" si="25"/>
        <v>0</v>
      </c>
      <c r="H88" s="344">
        <f t="shared" si="26"/>
        <v>0</v>
      </c>
      <c r="I88" s="145">
        <f t="shared" si="19"/>
        <v>0</v>
      </c>
      <c r="J88" s="145">
        <f t="shared" si="20"/>
        <v>0</v>
      </c>
      <c r="K88" s="142" t="str">
        <f t="shared" si="27"/>
        <v>undefined</v>
      </c>
      <c r="L88" s="146">
        <f>IFERROR(INDEX(Työkonekanta!$I$3:$I$27,MATCH('S0a Baseline'!$A88,Työkonekanta!$A$3:$A$24,0),1)*(I88+J88)*f_adblue,0)</f>
        <v>0</v>
      </c>
      <c r="M88" s="146">
        <f t="shared" si="32"/>
        <v>0</v>
      </c>
      <c r="N88" s="143" t="str">
        <f>IF(tuulisähkö_vuosi&lt;='S0a Baseline'!C88,"tuulisähkö",ostosähkö_nyt)</f>
        <v>jäännössähkö</v>
      </c>
      <c r="O88" s="147">
        <f>INDEX(Muuttujat!$J$5:$J$21,MATCH($C88,Muuttujat!$H$5:$H$21,0),1)</f>
        <v>67.8692025</v>
      </c>
      <c r="P88" s="342">
        <f>1-(INDEX(Muuttujat!$O$5:$O$21,MATCH($C88,Muuttujat!$N$5:$N$21,0),1))</f>
        <v>0.97</v>
      </c>
      <c r="Q88" s="342">
        <f>INDEX(Muuttujat!$O$5:$O$21,MATCH($C88,Muuttujat!$N$5:$N$21,0),1)</f>
        <v>0.03</v>
      </c>
      <c r="R88" s="148">
        <f>INDEX(Muuttujat!$P$5:$P$21,MATCH($C88,Muuttujat!$N$5:$N$21,0),1)</f>
        <v>3.1355537414087732E-2</v>
      </c>
      <c r="S88" s="149">
        <f t="shared" si="21"/>
        <v>0</v>
      </c>
      <c r="T88" s="150">
        <f t="shared" si="22"/>
        <v>0</v>
      </c>
      <c r="U88" s="150">
        <f t="shared" si="23"/>
        <v>0</v>
      </c>
      <c r="V88" s="150">
        <f>IFERROR(INDEX(Työkonekanta!$J$3:$J$27,MATCH($A88,Työkonekanta!$A$3:$A$24,0),1)*$B88*ef_li_ion_akku/1000/1000/INDEX(Työkonekanta!$K$3:$K$27,MATCH($A88,Työkonekanta!$A$3:$A$24,0)),0)</f>
        <v>0</v>
      </c>
      <c r="W88" s="149">
        <f t="shared" si="24"/>
        <v>0</v>
      </c>
      <c r="X88" s="150">
        <f t="shared" si="33"/>
        <v>0</v>
      </c>
      <c r="Y88" s="151">
        <f t="shared" si="34"/>
        <v>0</v>
      </c>
      <c r="Z88" s="152">
        <f t="shared" si="28"/>
        <v>0</v>
      </c>
      <c r="AA88" s="153">
        <f t="shared" si="29"/>
        <v>0</v>
      </c>
      <c r="AB88" s="153">
        <f t="shared" si="30"/>
        <v>0</v>
      </c>
      <c r="AC88" s="154">
        <f t="shared" si="35"/>
        <v>0</v>
      </c>
      <c r="AD88" s="156">
        <f t="shared" si="31"/>
        <v>0</v>
      </c>
    </row>
    <row r="89" spans="1:30" s="144" customFormat="1">
      <c r="A89" s="139">
        <v>27</v>
      </c>
      <c r="B89" s="139">
        <f>IFERROR(INDEX(Työkonekanta!$F$3:$F$27,MATCH('S0a Baseline'!$A89,Työkonekanta!$A$3:$A$24,0),1),0)</f>
        <v>0</v>
      </c>
      <c r="C89" s="140">
        <v>2021</v>
      </c>
      <c r="D89" s="141" t="str">
        <f>IFERROR(INDEX(Työkonekanta!$D$3:$D$27,MATCH('S0a Baseline'!$A89,Työkonekanta!$A$3:$A$24,0),1),"undefined")</f>
        <v>undefined</v>
      </c>
      <c r="E89" s="145">
        <f>IFERROR(INDEX(Työkonekanta!$G$3:$G$27,MATCH($A89,Työkonekanta!$A$3:$A$24,0),1)*INDEX(Työkonekanta!$H$3:$H$27,MATCH($A89,Työkonekanta!$A$3:$A$24,0),1)*$B89,0)</f>
        <v>0</v>
      </c>
      <c r="F89" s="344">
        <f t="shared" si="18"/>
        <v>0</v>
      </c>
      <c r="G89" s="344">
        <f t="shared" si="25"/>
        <v>0</v>
      </c>
      <c r="H89" s="344">
        <f t="shared" si="26"/>
        <v>0</v>
      </c>
      <c r="I89" s="145">
        <f t="shared" si="19"/>
        <v>0</v>
      </c>
      <c r="J89" s="145">
        <f t="shared" si="20"/>
        <v>0</v>
      </c>
      <c r="K89" s="142" t="str">
        <f t="shared" si="27"/>
        <v>undefined</v>
      </c>
      <c r="L89" s="146">
        <f>IFERROR(INDEX(Työkonekanta!$I$3:$I$27,MATCH('S0a Baseline'!$A89,Työkonekanta!$A$3:$A$24,0),1)*(I89+J89)*f_adblue,0)</f>
        <v>0</v>
      </c>
      <c r="M89" s="146">
        <f t="shared" si="32"/>
        <v>0</v>
      </c>
      <c r="N89" s="143" t="str">
        <f>IF(tuulisähkö_vuosi&lt;='S0a Baseline'!C89,"tuulisähkö",ostosähkö_nyt)</f>
        <v>jäännössähkö</v>
      </c>
      <c r="O89" s="147">
        <f>INDEX(Muuttujat!$J$5:$J$21,MATCH($C89,Muuttujat!$H$5:$H$21,0),1)</f>
        <v>67.8692025</v>
      </c>
      <c r="P89" s="342">
        <f>1-(INDEX(Muuttujat!$O$5:$O$21,MATCH($C89,Muuttujat!$N$5:$N$21,0),1))</f>
        <v>0.97</v>
      </c>
      <c r="Q89" s="342">
        <f>INDEX(Muuttujat!$O$5:$O$21,MATCH($C89,Muuttujat!$N$5:$N$21,0),1)</f>
        <v>0.03</v>
      </c>
      <c r="R89" s="148">
        <f>INDEX(Muuttujat!$P$5:$P$21,MATCH($C89,Muuttujat!$N$5:$N$21,0),1)</f>
        <v>3.1355537414087732E-2</v>
      </c>
      <c r="S89" s="149">
        <f t="shared" si="21"/>
        <v>0</v>
      </c>
      <c r="T89" s="150">
        <f t="shared" si="22"/>
        <v>0</v>
      </c>
      <c r="U89" s="150">
        <f t="shared" si="23"/>
        <v>0</v>
      </c>
      <c r="V89" s="150">
        <f>IFERROR(INDEX(Työkonekanta!$J$3:$J$27,MATCH($A89,Työkonekanta!$A$3:$A$24,0),1)*$B89*ef_li_ion_akku/1000/1000/INDEX(Työkonekanta!$K$3:$K$27,MATCH($A89,Työkonekanta!$A$3:$A$24,0)),0)</f>
        <v>0</v>
      </c>
      <c r="W89" s="149">
        <f t="shared" si="24"/>
        <v>0</v>
      </c>
      <c r="X89" s="150">
        <f t="shared" si="33"/>
        <v>0</v>
      </c>
      <c r="Y89" s="151">
        <f t="shared" si="34"/>
        <v>0</v>
      </c>
      <c r="Z89" s="152">
        <f t="shared" si="28"/>
        <v>0</v>
      </c>
      <c r="AA89" s="153">
        <f t="shared" si="29"/>
        <v>0</v>
      </c>
      <c r="AB89" s="153">
        <f t="shared" si="30"/>
        <v>0</v>
      </c>
      <c r="AC89" s="154">
        <f t="shared" si="35"/>
        <v>0</v>
      </c>
      <c r="AD89" s="156">
        <f t="shared" si="31"/>
        <v>0</v>
      </c>
    </row>
    <row r="90" spans="1:30" s="144" customFormat="1">
      <c r="A90" s="139">
        <v>28</v>
      </c>
      <c r="B90" s="139">
        <f>IFERROR(INDEX(Työkonekanta!$F$3:$F$27,MATCH('S0a Baseline'!$A90,Työkonekanta!$A$3:$A$24,0),1),0)</f>
        <v>0</v>
      </c>
      <c r="C90" s="140">
        <v>2021</v>
      </c>
      <c r="D90" s="141" t="str">
        <f>IFERROR(INDEX(Työkonekanta!$D$3:$D$27,MATCH('S0a Baseline'!$A90,Työkonekanta!$A$3:$A$24,0),1),"undefined")</f>
        <v>undefined</v>
      </c>
      <c r="E90" s="145">
        <f>IFERROR(INDEX(Työkonekanta!$G$3:$G$27,MATCH($A90,Työkonekanta!$A$3:$A$24,0),1)*INDEX(Työkonekanta!$H$3:$H$27,MATCH($A90,Työkonekanta!$A$3:$A$24,0),1)*$B90,0)</f>
        <v>0</v>
      </c>
      <c r="F90" s="344">
        <f t="shared" si="18"/>
        <v>0</v>
      </c>
      <c r="G90" s="344">
        <f t="shared" si="25"/>
        <v>0</v>
      </c>
      <c r="H90" s="344">
        <f t="shared" si="26"/>
        <v>0</v>
      </c>
      <c r="I90" s="145">
        <f t="shared" si="19"/>
        <v>0</v>
      </c>
      <c r="J90" s="145">
        <f t="shared" si="20"/>
        <v>0</v>
      </c>
      <c r="K90" s="142" t="str">
        <f t="shared" si="27"/>
        <v>undefined</v>
      </c>
      <c r="L90" s="146">
        <f>IFERROR(INDEX(Työkonekanta!$I$3:$I$27,MATCH('S0a Baseline'!$A90,Työkonekanta!$A$3:$A$24,0),1)*(I90+J90)*f_adblue,0)</f>
        <v>0</v>
      </c>
      <c r="M90" s="146">
        <f t="shared" si="32"/>
        <v>0</v>
      </c>
      <c r="N90" s="143" t="str">
        <f>IF(tuulisähkö_vuosi&lt;='S0a Baseline'!C90,"tuulisähkö",ostosähkö_nyt)</f>
        <v>jäännössähkö</v>
      </c>
      <c r="O90" s="147">
        <f>INDEX(Muuttujat!$J$5:$J$21,MATCH($C90,Muuttujat!$H$5:$H$21,0),1)</f>
        <v>67.8692025</v>
      </c>
      <c r="P90" s="342">
        <f>1-(INDEX(Muuttujat!$O$5:$O$21,MATCH($C90,Muuttujat!$N$5:$N$21,0),1))</f>
        <v>0.97</v>
      </c>
      <c r="Q90" s="342">
        <f>INDEX(Muuttujat!$O$5:$O$21,MATCH($C90,Muuttujat!$N$5:$N$21,0),1)</f>
        <v>0.03</v>
      </c>
      <c r="R90" s="148">
        <f>INDEX(Muuttujat!$P$5:$P$21,MATCH($C90,Muuttujat!$N$5:$N$21,0),1)</f>
        <v>3.1355537414087732E-2</v>
      </c>
      <c r="S90" s="149">
        <f t="shared" si="21"/>
        <v>0</v>
      </c>
      <c r="T90" s="150">
        <f t="shared" si="22"/>
        <v>0</v>
      </c>
      <c r="U90" s="150">
        <f t="shared" si="23"/>
        <v>0</v>
      </c>
      <c r="V90" s="150">
        <f>IFERROR(INDEX(Työkonekanta!$J$3:$J$27,MATCH($A90,Työkonekanta!$A$3:$A$24,0),1)*$B90*ef_li_ion_akku/1000/1000/INDEX(Työkonekanta!$K$3:$K$27,MATCH($A90,Työkonekanta!$A$3:$A$24,0)),0)</f>
        <v>0</v>
      </c>
      <c r="W90" s="149">
        <f t="shared" si="24"/>
        <v>0</v>
      </c>
      <c r="X90" s="150">
        <f t="shared" si="33"/>
        <v>0</v>
      </c>
      <c r="Y90" s="151">
        <f t="shared" si="34"/>
        <v>0</v>
      </c>
      <c r="Z90" s="152">
        <f t="shared" si="28"/>
        <v>0</v>
      </c>
      <c r="AA90" s="153">
        <f t="shared" si="29"/>
        <v>0</v>
      </c>
      <c r="AB90" s="153">
        <f t="shared" si="30"/>
        <v>0</v>
      </c>
      <c r="AC90" s="154">
        <f t="shared" si="35"/>
        <v>0</v>
      </c>
      <c r="AD90" s="156">
        <f t="shared" si="31"/>
        <v>0</v>
      </c>
    </row>
    <row r="91" spans="1:30" s="144" customFormat="1">
      <c r="A91" s="139">
        <v>29</v>
      </c>
      <c r="B91" s="139">
        <f>IFERROR(INDEX(Työkonekanta!$F$3:$F$27,MATCH('S0a Baseline'!$A91,Työkonekanta!$A$3:$A$24,0),1),0)</f>
        <v>0</v>
      </c>
      <c r="C91" s="140">
        <v>2021</v>
      </c>
      <c r="D91" s="141" t="str">
        <f>IFERROR(INDEX(Työkonekanta!$D$3:$D$27,MATCH('S0a Baseline'!$A91,Työkonekanta!$A$3:$A$24,0),1),"undefined")</f>
        <v>undefined</v>
      </c>
      <c r="E91" s="145">
        <f>IFERROR(INDEX(Työkonekanta!$G$3:$G$27,MATCH($A91,Työkonekanta!$A$3:$A$24,0),1)*INDEX(Työkonekanta!$H$3:$H$27,MATCH($A91,Työkonekanta!$A$3:$A$24,0),1)*$B91,0)</f>
        <v>0</v>
      </c>
      <c r="F91" s="344">
        <f t="shared" si="18"/>
        <v>0</v>
      </c>
      <c r="G91" s="344">
        <f t="shared" si="25"/>
        <v>0</v>
      </c>
      <c r="H91" s="344">
        <f t="shared" si="26"/>
        <v>0</v>
      </c>
      <c r="I91" s="145">
        <f t="shared" si="19"/>
        <v>0</v>
      </c>
      <c r="J91" s="145">
        <f t="shared" si="20"/>
        <v>0</v>
      </c>
      <c r="K91" s="142" t="str">
        <f t="shared" si="27"/>
        <v>undefined</v>
      </c>
      <c r="L91" s="146">
        <f>IFERROR(INDEX(Työkonekanta!$I$3:$I$27,MATCH('S0a Baseline'!$A91,Työkonekanta!$A$3:$A$24,0),1)*(I91+J91)*f_adblue,0)</f>
        <v>0</v>
      </c>
      <c r="M91" s="146">
        <f t="shared" si="32"/>
        <v>0</v>
      </c>
      <c r="N91" s="143" t="str">
        <f>IF(tuulisähkö_vuosi&lt;='S0a Baseline'!C91,"tuulisähkö",ostosähkö_nyt)</f>
        <v>jäännössähkö</v>
      </c>
      <c r="O91" s="147">
        <f>INDEX(Muuttujat!$J$5:$J$21,MATCH($C91,Muuttujat!$H$5:$H$21,0),1)</f>
        <v>67.8692025</v>
      </c>
      <c r="P91" s="342">
        <f>1-(INDEX(Muuttujat!$O$5:$O$21,MATCH($C91,Muuttujat!$N$5:$N$21,0),1))</f>
        <v>0.97</v>
      </c>
      <c r="Q91" s="342">
        <f>INDEX(Muuttujat!$O$5:$O$21,MATCH($C91,Muuttujat!$N$5:$N$21,0),1)</f>
        <v>0.03</v>
      </c>
      <c r="R91" s="148">
        <f>INDEX(Muuttujat!$P$5:$P$21,MATCH($C91,Muuttujat!$N$5:$N$21,0),1)</f>
        <v>3.1355537414087732E-2</v>
      </c>
      <c r="S91" s="149">
        <f t="shared" si="21"/>
        <v>0</v>
      </c>
      <c r="T91" s="150">
        <f t="shared" si="22"/>
        <v>0</v>
      </c>
      <c r="U91" s="150">
        <f t="shared" si="23"/>
        <v>0</v>
      </c>
      <c r="V91" s="150">
        <f>IFERROR(INDEX(Työkonekanta!$J$3:$J$27,MATCH($A91,Työkonekanta!$A$3:$A$24,0),1)*$B91*ef_li_ion_akku/1000/1000/INDEX(Työkonekanta!$K$3:$K$27,MATCH($A91,Työkonekanta!$A$3:$A$24,0)),0)</f>
        <v>0</v>
      </c>
      <c r="W91" s="149">
        <f t="shared" si="24"/>
        <v>0</v>
      </c>
      <c r="X91" s="150">
        <f t="shared" si="33"/>
        <v>0</v>
      </c>
      <c r="Y91" s="151">
        <f t="shared" si="34"/>
        <v>0</v>
      </c>
      <c r="Z91" s="152">
        <f t="shared" si="28"/>
        <v>0</v>
      </c>
      <c r="AA91" s="153">
        <f t="shared" si="29"/>
        <v>0</v>
      </c>
      <c r="AB91" s="153">
        <f t="shared" si="30"/>
        <v>0</v>
      </c>
      <c r="AC91" s="154">
        <f t="shared" si="35"/>
        <v>0</v>
      </c>
      <c r="AD91" s="156">
        <f t="shared" si="31"/>
        <v>0</v>
      </c>
    </row>
    <row r="92" spans="1:30" s="144" customFormat="1">
      <c r="A92" s="139">
        <v>30</v>
      </c>
      <c r="B92" s="139">
        <f>IFERROR(INDEX(Työkonekanta!$F$3:$F$27,MATCH('S0a Baseline'!$A92,Työkonekanta!$A$3:$A$24,0),1),0)</f>
        <v>0</v>
      </c>
      <c r="C92" s="140">
        <v>2021</v>
      </c>
      <c r="D92" s="141" t="str">
        <f>IFERROR(INDEX(Työkonekanta!$D$3:$D$27,MATCH('S0a Baseline'!$A92,Työkonekanta!$A$3:$A$24,0),1),"undefined")</f>
        <v>undefined</v>
      </c>
      <c r="E92" s="145">
        <f>IFERROR(INDEX(Työkonekanta!$G$3:$G$27,MATCH($A92,Työkonekanta!$A$3:$A$24,0),1)*INDEX(Työkonekanta!$H$3:$H$27,MATCH($A92,Työkonekanta!$A$3:$A$24,0),1)*$B92,0)</f>
        <v>0</v>
      </c>
      <c r="F92" s="344">
        <f t="shared" si="18"/>
        <v>0</v>
      </c>
      <c r="G92" s="344">
        <f t="shared" si="25"/>
        <v>0</v>
      </c>
      <c r="H92" s="344">
        <f t="shared" si="26"/>
        <v>0</v>
      </c>
      <c r="I92" s="145">
        <f t="shared" si="19"/>
        <v>0</v>
      </c>
      <c r="J92" s="145">
        <f t="shared" si="20"/>
        <v>0</v>
      </c>
      <c r="K92" s="142" t="str">
        <f t="shared" si="27"/>
        <v>undefined</v>
      </c>
      <c r="L92" s="146">
        <f>IFERROR(INDEX(Työkonekanta!$I$3:$I$27,MATCH('S0a Baseline'!$A92,Työkonekanta!$A$3:$A$24,0),1)*(I92+J92)*f_adblue,0)</f>
        <v>0</v>
      </c>
      <c r="M92" s="146">
        <f t="shared" si="32"/>
        <v>0</v>
      </c>
      <c r="N92" s="143" t="str">
        <f>IF(tuulisähkö_vuosi&lt;='S0a Baseline'!C92,"tuulisähkö",ostosähkö_nyt)</f>
        <v>jäännössähkö</v>
      </c>
      <c r="O92" s="147">
        <f>INDEX(Muuttujat!$J$5:$J$21,MATCH($C92,Muuttujat!$H$5:$H$21,0),1)</f>
        <v>67.8692025</v>
      </c>
      <c r="P92" s="342">
        <f>1-(INDEX(Muuttujat!$O$5:$O$21,MATCH($C92,Muuttujat!$N$5:$N$21,0),1))</f>
        <v>0.97</v>
      </c>
      <c r="Q92" s="342">
        <f>INDEX(Muuttujat!$O$5:$O$21,MATCH($C92,Muuttujat!$N$5:$N$21,0),1)</f>
        <v>0.03</v>
      </c>
      <c r="R92" s="148">
        <f>INDEX(Muuttujat!$P$5:$P$21,MATCH($C92,Muuttujat!$N$5:$N$21,0),1)</f>
        <v>3.1355537414087732E-2</v>
      </c>
      <c r="S92" s="149">
        <f t="shared" si="21"/>
        <v>0</v>
      </c>
      <c r="T92" s="150">
        <f t="shared" si="22"/>
        <v>0</v>
      </c>
      <c r="U92" s="150">
        <f t="shared" si="23"/>
        <v>0</v>
      </c>
      <c r="V92" s="150">
        <f>IFERROR(INDEX(Työkonekanta!$J$3:$J$27,MATCH($A92,Työkonekanta!$A$3:$A$24,0),1)*$B92*ef_li_ion_akku/1000/1000/INDEX(Työkonekanta!$K$3:$K$27,MATCH($A92,Työkonekanta!$A$3:$A$24,0)),0)</f>
        <v>0</v>
      </c>
      <c r="W92" s="149">
        <f t="shared" si="24"/>
        <v>0</v>
      </c>
      <c r="X92" s="150">
        <f t="shared" si="33"/>
        <v>0</v>
      </c>
      <c r="Y92" s="151">
        <f t="shared" si="34"/>
        <v>0</v>
      </c>
      <c r="Z92" s="152">
        <f t="shared" si="28"/>
        <v>0</v>
      </c>
      <c r="AA92" s="153">
        <f t="shared" si="29"/>
        <v>0</v>
      </c>
      <c r="AB92" s="153">
        <f t="shared" si="30"/>
        <v>0</v>
      </c>
      <c r="AC92" s="154">
        <f t="shared" si="35"/>
        <v>0</v>
      </c>
      <c r="AD92" s="156">
        <f t="shared" si="31"/>
        <v>0</v>
      </c>
    </row>
    <row r="93" spans="1:30" s="144" customFormat="1">
      <c r="A93" s="139">
        <v>1</v>
      </c>
      <c r="B93" s="139">
        <f>IFERROR(INDEX(Työkonekanta!$F$3:$F$27,MATCH('S0a Baseline'!$A93,Työkonekanta!$A$3:$A$24,0),1),0)</f>
        <v>1</v>
      </c>
      <c r="C93" s="140">
        <v>2022</v>
      </c>
      <c r="D93" s="141" t="str">
        <f>IFERROR(INDEX(Työkonekanta!$D$3:$D$27,MATCH('S0a Baseline'!$A93,Työkonekanta!$A$3:$A$24,0),1),"undefined")</f>
        <v>pom</v>
      </c>
      <c r="E93" s="145">
        <f>IFERROR(INDEX(Työkonekanta!$G$3:$G$27,MATCH($A93,Työkonekanta!$A$3:$A$24,0),1)*INDEX(Työkonekanta!$H$3:$H$27,MATCH($A93,Työkonekanta!$A$3:$A$24,0),1)*$B93,0)</f>
        <v>10000</v>
      </c>
      <c r="F93" s="344">
        <f t="shared" si="18"/>
        <v>359000</v>
      </c>
      <c r="G93" s="344">
        <f t="shared" si="25"/>
        <v>344640</v>
      </c>
      <c r="H93" s="344">
        <f t="shared" si="26"/>
        <v>14360</v>
      </c>
      <c r="I93" s="145">
        <f t="shared" si="19"/>
        <v>9600</v>
      </c>
      <c r="J93" s="145">
        <f t="shared" si="20"/>
        <v>418.65889212827994</v>
      </c>
      <c r="K93" s="142" t="str">
        <f t="shared" si="27"/>
        <v>l</v>
      </c>
      <c r="L93" s="146">
        <f>IFERROR(INDEX(Työkonekanta!$I$3:$I$27,MATCH('S0a Baseline'!$A93,Työkonekanta!$A$3:$A$24,0),1)*(I93+J93)*f_adblue,0)</f>
        <v>500.93294460641403</v>
      </c>
      <c r="M93" s="146">
        <f t="shared" si="32"/>
        <v>0</v>
      </c>
      <c r="N93" s="143" t="str">
        <f>IF(tuulisähkö_vuosi&lt;='S0a Baseline'!C93,"tuulisähkö",ostosähkö_nyt)</f>
        <v>jäännössähkö</v>
      </c>
      <c r="O93" s="147">
        <f>INDEX(Muuttujat!$J$5:$J$21,MATCH($C93,Muuttujat!$H$5:$H$21,0),1)</f>
        <v>67.190510474999996</v>
      </c>
      <c r="P93" s="342">
        <f>1-(INDEX(Muuttujat!$O$5:$O$21,MATCH($C93,Muuttujat!$N$5:$N$21,0),1))</f>
        <v>0.96</v>
      </c>
      <c r="Q93" s="342">
        <f>INDEX(Muuttujat!$O$5:$O$21,MATCH($C93,Muuttujat!$N$5:$N$21,0),1)</f>
        <v>0.04</v>
      </c>
      <c r="R93" s="148">
        <f>INDEX(Muuttujat!$P$5:$P$21,MATCH($C93,Muuttujat!$N$5:$N$21,0),1)</f>
        <v>4.1787917527764125E-2</v>
      </c>
      <c r="S93" s="149">
        <f t="shared" si="21"/>
        <v>6.5136959999999986</v>
      </c>
      <c r="T93" s="150">
        <f t="shared" si="22"/>
        <v>0.89606399999999997</v>
      </c>
      <c r="U93" s="150">
        <f t="shared" si="23"/>
        <v>0</v>
      </c>
      <c r="V93" s="150">
        <f>IFERROR(INDEX(Työkonekanta!$J$3:$J$27,MATCH($A93,Työkonekanta!$A$3:$A$24,0),1)*$B93*ef_li_ion_akku/1000/1000/INDEX(Työkonekanta!$K$3:$K$27,MATCH($A93,Työkonekanta!$A$3:$A$24,0)),0)</f>
        <v>0</v>
      </c>
      <c r="W93" s="149">
        <f t="shared" si="24"/>
        <v>25.437276754559999</v>
      </c>
      <c r="X93" s="150">
        <f t="shared" si="33"/>
        <v>0.31774565999999999</v>
      </c>
      <c r="Y93" s="151">
        <f t="shared" si="34"/>
        <v>0.13024256559766767</v>
      </c>
      <c r="Z93" s="152">
        <f t="shared" si="28"/>
        <v>7.4097599999999986</v>
      </c>
      <c r="AA93" s="153">
        <f t="shared" si="29"/>
        <v>25.567519320157668</v>
      </c>
      <c r="AB93" s="153">
        <f t="shared" si="30"/>
        <v>25.885264980157668</v>
      </c>
      <c r="AC93" s="154">
        <f t="shared" si="35"/>
        <v>32.977279320157663</v>
      </c>
      <c r="AD93" s="156">
        <f t="shared" si="31"/>
        <v>33.295024980157663</v>
      </c>
    </row>
    <row r="94" spans="1:30" s="144" customFormat="1">
      <c r="A94" s="139">
        <v>2</v>
      </c>
      <c r="B94" s="139">
        <f>IFERROR(INDEX(Työkonekanta!$F$3:$F$27,MATCH('S0a Baseline'!$A94,Työkonekanta!$A$3:$A$24,0),1),0)</f>
        <v>1</v>
      </c>
      <c r="C94" s="140">
        <v>2022</v>
      </c>
      <c r="D94" s="141" t="str">
        <f>IFERROR(INDEX(Työkonekanta!$D$3:$D$27,MATCH('S0a Baseline'!$A94,Työkonekanta!$A$3:$A$24,0),1),"undefined")</f>
        <v>pom</v>
      </c>
      <c r="E94" s="145">
        <f>IFERROR(INDEX(Työkonekanta!$G$3:$G$27,MATCH($A94,Työkonekanta!$A$3:$A$24,0),1)*INDEX(Työkonekanta!$H$3:$H$27,MATCH($A94,Työkonekanta!$A$3:$A$24,0),1)*$B94,0)</f>
        <v>10000</v>
      </c>
      <c r="F94" s="344">
        <f t="shared" si="18"/>
        <v>359000</v>
      </c>
      <c r="G94" s="344">
        <f t="shared" si="25"/>
        <v>344640</v>
      </c>
      <c r="H94" s="344">
        <f t="shared" si="26"/>
        <v>14360</v>
      </c>
      <c r="I94" s="145">
        <f t="shared" si="19"/>
        <v>9600</v>
      </c>
      <c r="J94" s="145">
        <f t="shared" si="20"/>
        <v>418.65889212827994</v>
      </c>
      <c r="K94" s="142" t="str">
        <f t="shared" si="27"/>
        <v>l</v>
      </c>
      <c r="L94" s="146">
        <f>IFERROR(INDEX(Työkonekanta!$I$3:$I$27,MATCH('S0a Baseline'!$A94,Työkonekanta!$A$3:$A$24,0),1)*(I94+J94)*f_adblue,0)</f>
        <v>500.93294460641403</v>
      </c>
      <c r="M94" s="146">
        <f t="shared" si="32"/>
        <v>0</v>
      </c>
      <c r="N94" s="143" t="str">
        <f>IF(tuulisähkö_vuosi&lt;='S0a Baseline'!C94,"tuulisähkö",ostosähkö_nyt)</f>
        <v>jäännössähkö</v>
      </c>
      <c r="O94" s="147">
        <f>INDEX(Muuttujat!$J$5:$J$21,MATCH($C94,Muuttujat!$H$5:$H$21,0),1)</f>
        <v>67.190510474999996</v>
      </c>
      <c r="P94" s="342">
        <f>1-(INDEX(Muuttujat!$O$5:$O$21,MATCH($C94,Muuttujat!$N$5:$N$21,0),1))</f>
        <v>0.96</v>
      </c>
      <c r="Q94" s="342">
        <f>INDEX(Muuttujat!$O$5:$O$21,MATCH($C94,Muuttujat!$N$5:$N$21,0),1)</f>
        <v>0.04</v>
      </c>
      <c r="R94" s="148">
        <f>INDEX(Muuttujat!$P$5:$P$21,MATCH($C94,Muuttujat!$N$5:$N$21,0),1)</f>
        <v>4.1787917527764125E-2</v>
      </c>
      <c r="S94" s="149">
        <f t="shared" si="21"/>
        <v>6.5136959999999986</v>
      </c>
      <c r="T94" s="150">
        <f t="shared" si="22"/>
        <v>0.89606399999999997</v>
      </c>
      <c r="U94" s="150">
        <f t="shared" si="23"/>
        <v>0</v>
      </c>
      <c r="V94" s="150">
        <f>IFERROR(INDEX(Työkonekanta!$J$3:$J$27,MATCH($A94,Työkonekanta!$A$3:$A$24,0),1)*$B94*ef_li_ion_akku/1000/1000/INDEX(Työkonekanta!$K$3:$K$27,MATCH($A94,Työkonekanta!$A$3:$A$24,0)),0)</f>
        <v>0</v>
      </c>
      <c r="W94" s="149">
        <f t="shared" si="24"/>
        <v>25.437276754559999</v>
      </c>
      <c r="X94" s="150">
        <f t="shared" si="33"/>
        <v>0.31774565999999999</v>
      </c>
      <c r="Y94" s="151">
        <f t="shared" si="34"/>
        <v>0.13024256559766767</v>
      </c>
      <c r="Z94" s="152">
        <f t="shared" si="28"/>
        <v>7.4097599999999986</v>
      </c>
      <c r="AA94" s="153">
        <f t="shared" si="29"/>
        <v>25.567519320157668</v>
      </c>
      <c r="AB94" s="153">
        <f t="shared" si="30"/>
        <v>25.885264980157668</v>
      </c>
      <c r="AC94" s="154">
        <f t="shared" si="35"/>
        <v>32.977279320157663</v>
      </c>
      <c r="AD94" s="156">
        <f t="shared" si="31"/>
        <v>33.295024980157663</v>
      </c>
    </row>
    <row r="95" spans="1:30" s="144" customFormat="1">
      <c r="A95" s="139">
        <v>3</v>
      </c>
      <c r="B95" s="139">
        <f>IFERROR(INDEX(Työkonekanta!$F$3:$F$27,MATCH('S0a Baseline'!$A95,Työkonekanta!$A$3:$A$24,0),1),0)</f>
        <v>1</v>
      </c>
      <c r="C95" s="140">
        <v>2022</v>
      </c>
      <c r="D95" s="141" t="str">
        <f>IFERROR(INDEX(Työkonekanta!$D$3:$D$27,MATCH('S0a Baseline'!$A95,Työkonekanta!$A$3:$A$24,0),1),"undefined")</f>
        <v>pom</v>
      </c>
      <c r="E95" s="145">
        <f>IFERROR(INDEX(Työkonekanta!$G$3:$G$27,MATCH($A95,Työkonekanta!$A$3:$A$24,0),1)*INDEX(Työkonekanta!$H$3:$H$27,MATCH($A95,Työkonekanta!$A$3:$A$24,0),1)*$B95,0)</f>
        <v>10000</v>
      </c>
      <c r="F95" s="344">
        <f t="shared" si="18"/>
        <v>359000</v>
      </c>
      <c r="G95" s="344">
        <f t="shared" si="25"/>
        <v>344640</v>
      </c>
      <c r="H95" s="344">
        <f t="shared" si="26"/>
        <v>14360</v>
      </c>
      <c r="I95" s="145">
        <f t="shared" si="19"/>
        <v>9600</v>
      </c>
      <c r="J95" s="145">
        <f t="shared" si="20"/>
        <v>418.65889212827994</v>
      </c>
      <c r="K95" s="142" t="str">
        <f t="shared" si="27"/>
        <v>l</v>
      </c>
      <c r="L95" s="146">
        <f>IFERROR(INDEX(Työkonekanta!$I$3:$I$27,MATCH('S0a Baseline'!$A95,Työkonekanta!$A$3:$A$24,0),1)*(I95+J95)*f_adblue,0)</f>
        <v>500.93294460641403</v>
      </c>
      <c r="M95" s="146">
        <f t="shared" si="32"/>
        <v>0</v>
      </c>
      <c r="N95" s="143" t="str">
        <f>IF(tuulisähkö_vuosi&lt;='S0a Baseline'!C95,"tuulisähkö",ostosähkö_nyt)</f>
        <v>jäännössähkö</v>
      </c>
      <c r="O95" s="147">
        <f>INDEX(Muuttujat!$J$5:$J$21,MATCH($C95,Muuttujat!$H$5:$H$21,0),1)</f>
        <v>67.190510474999996</v>
      </c>
      <c r="P95" s="342">
        <f>1-(INDEX(Muuttujat!$O$5:$O$21,MATCH($C95,Muuttujat!$N$5:$N$21,0),1))</f>
        <v>0.96</v>
      </c>
      <c r="Q95" s="342">
        <f>INDEX(Muuttujat!$O$5:$O$21,MATCH($C95,Muuttujat!$N$5:$N$21,0),1)</f>
        <v>0.04</v>
      </c>
      <c r="R95" s="148">
        <f>INDEX(Muuttujat!$P$5:$P$21,MATCH($C95,Muuttujat!$N$5:$N$21,0),1)</f>
        <v>4.1787917527764125E-2</v>
      </c>
      <c r="S95" s="149">
        <f t="shared" si="21"/>
        <v>6.5136959999999986</v>
      </c>
      <c r="T95" s="150">
        <f t="shared" si="22"/>
        <v>0.89606399999999997</v>
      </c>
      <c r="U95" s="150">
        <f t="shared" si="23"/>
        <v>0</v>
      </c>
      <c r="V95" s="150">
        <f>IFERROR(INDEX(Työkonekanta!$J$3:$J$27,MATCH($A95,Työkonekanta!$A$3:$A$24,0),1)*$B95*ef_li_ion_akku/1000/1000/INDEX(Työkonekanta!$K$3:$K$27,MATCH($A95,Työkonekanta!$A$3:$A$24,0)),0)</f>
        <v>0</v>
      </c>
      <c r="W95" s="149">
        <f t="shared" si="24"/>
        <v>25.437276754559999</v>
      </c>
      <c r="X95" s="150">
        <f t="shared" si="33"/>
        <v>0.31774565999999999</v>
      </c>
      <c r="Y95" s="151">
        <f t="shared" si="34"/>
        <v>0.13024256559766767</v>
      </c>
      <c r="Z95" s="152">
        <f t="shared" si="28"/>
        <v>7.4097599999999986</v>
      </c>
      <c r="AA95" s="153">
        <f t="shared" si="29"/>
        <v>25.567519320157668</v>
      </c>
      <c r="AB95" s="153">
        <f t="shared" si="30"/>
        <v>25.885264980157668</v>
      </c>
      <c r="AC95" s="154">
        <f t="shared" si="35"/>
        <v>32.977279320157663</v>
      </c>
      <c r="AD95" s="156">
        <f t="shared" si="31"/>
        <v>33.295024980157663</v>
      </c>
    </row>
    <row r="96" spans="1:30" s="144" customFormat="1">
      <c r="A96" s="139">
        <v>4</v>
      </c>
      <c r="B96" s="139">
        <f>IFERROR(INDEX(Työkonekanta!$F$3:$F$27,MATCH('S0a Baseline'!$A96,Työkonekanta!$A$3:$A$24,0),1),0)</f>
        <v>1</v>
      </c>
      <c r="C96" s="140">
        <v>2022</v>
      </c>
      <c r="D96" s="141" t="str">
        <f>IFERROR(INDEX(Työkonekanta!$D$3:$D$27,MATCH('S0a Baseline'!$A96,Työkonekanta!$A$3:$A$24,0),1),"undefined")</f>
        <v>pom</v>
      </c>
      <c r="E96" s="145">
        <f>IFERROR(INDEX(Työkonekanta!$G$3:$G$27,MATCH($A96,Työkonekanta!$A$3:$A$24,0),1)*INDEX(Työkonekanta!$H$3:$H$27,MATCH($A96,Työkonekanta!$A$3:$A$24,0),1)*$B96,0)</f>
        <v>10000</v>
      </c>
      <c r="F96" s="344">
        <f t="shared" si="18"/>
        <v>359000</v>
      </c>
      <c r="G96" s="344">
        <f t="shared" si="25"/>
        <v>344640</v>
      </c>
      <c r="H96" s="344">
        <f t="shared" si="26"/>
        <v>14360</v>
      </c>
      <c r="I96" s="145">
        <f t="shared" si="19"/>
        <v>9600</v>
      </c>
      <c r="J96" s="145">
        <f t="shared" si="20"/>
        <v>418.65889212827994</v>
      </c>
      <c r="K96" s="142" t="str">
        <f t="shared" si="27"/>
        <v>l</v>
      </c>
      <c r="L96" s="146">
        <f>IFERROR(INDEX(Työkonekanta!$I$3:$I$27,MATCH('S0a Baseline'!$A96,Työkonekanta!$A$3:$A$24,0),1)*(I96+J96)*f_adblue,0)</f>
        <v>500.93294460641403</v>
      </c>
      <c r="M96" s="146">
        <f t="shared" si="32"/>
        <v>0</v>
      </c>
      <c r="N96" s="143" t="str">
        <f>IF(tuulisähkö_vuosi&lt;='S0a Baseline'!C96,"tuulisähkö",ostosähkö_nyt)</f>
        <v>jäännössähkö</v>
      </c>
      <c r="O96" s="147">
        <f>INDEX(Muuttujat!$J$5:$J$21,MATCH($C96,Muuttujat!$H$5:$H$21,0),1)</f>
        <v>67.190510474999996</v>
      </c>
      <c r="P96" s="342">
        <f>1-(INDEX(Muuttujat!$O$5:$O$21,MATCH($C96,Muuttujat!$N$5:$N$21,0),1))</f>
        <v>0.96</v>
      </c>
      <c r="Q96" s="342">
        <f>INDEX(Muuttujat!$O$5:$O$21,MATCH($C96,Muuttujat!$N$5:$N$21,0),1)</f>
        <v>0.04</v>
      </c>
      <c r="R96" s="148">
        <f>INDEX(Muuttujat!$P$5:$P$21,MATCH($C96,Muuttujat!$N$5:$N$21,0),1)</f>
        <v>4.1787917527764125E-2</v>
      </c>
      <c r="S96" s="149">
        <f t="shared" si="21"/>
        <v>6.5136959999999986</v>
      </c>
      <c r="T96" s="150">
        <f t="shared" si="22"/>
        <v>0.89606399999999997</v>
      </c>
      <c r="U96" s="150">
        <f t="shared" si="23"/>
        <v>0</v>
      </c>
      <c r="V96" s="150">
        <f>IFERROR(INDEX(Työkonekanta!$J$3:$J$27,MATCH($A96,Työkonekanta!$A$3:$A$24,0),1)*$B96*ef_li_ion_akku/1000/1000/INDEX(Työkonekanta!$K$3:$K$27,MATCH($A96,Työkonekanta!$A$3:$A$24,0)),0)</f>
        <v>0</v>
      </c>
      <c r="W96" s="149">
        <f t="shared" si="24"/>
        <v>25.437276754559999</v>
      </c>
      <c r="X96" s="150">
        <f t="shared" si="33"/>
        <v>0.31774565999999999</v>
      </c>
      <c r="Y96" s="151">
        <f t="shared" si="34"/>
        <v>0.13024256559766767</v>
      </c>
      <c r="Z96" s="152">
        <f t="shared" si="28"/>
        <v>7.4097599999999986</v>
      </c>
      <c r="AA96" s="153">
        <f t="shared" si="29"/>
        <v>25.567519320157668</v>
      </c>
      <c r="AB96" s="153">
        <f t="shared" si="30"/>
        <v>25.885264980157668</v>
      </c>
      <c r="AC96" s="154">
        <f t="shared" si="35"/>
        <v>32.977279320157663</v>
      </c>
      <c r="AD96" s="156">
        <f t="shared" si="31"/>
        <v>33.295024980157663</v>
      </c>
    </row>
    <row r="97" spans="1:30" s="144" customFormat="1">
      <c r="A97" s="139">
        <v>5</v>
      </c>
      <c r="B97" s="139">
        <f>IFERROR(INDEX(Työkonekanta!$F$3:$F$27,MATCH('S0a Baseline'!$A97,Työkonekanta!$A$3:$A$24,0),1),0)</f>
        <v>0</v>
      </c>
      <c r="C97" s="140">
        <v>2022</v>
      </c>
      <c r="D97" s="141" t="str">
        <f>IFERROR(INDEX(Työkonekanta!$D$3:$D$27,MATCH('S0a Baseline'!$A97,Työkonekanta!$A$3:$A$24,0),1),"undefined")</f>
        <v>sähkö</v>
      </c>
      <c r="E97" s="145">
        <f>IFERROR(INDEX(Työkonekanta!$G$3:$G$27,MATCH($A97,Työkonekanta!$A$3:$A$24,0),1)*INDEX(Työkonekanta!$H$3:$H$27,MATCH($A97,Työkonekanta!$A$3:$A$24,0),1)*$B97,0)</f>
        <v>0</v>
      </c>
      <c r="F97" s="344">
        <f t="shared" si="18"/>
        <v>0</v>
      </c>
      <c r="G97" s="344">
        <f t="shared" si="25"/>
        <v>0</v>
      </c>
      <c r="H97" s="344">
        <f t="shared" si="26"/>
        <v>0</v>
      </c>
      <c r="I97" s="145">
        <f t="shared" si="19"/>
        <v>0</v>
      </c>
      <c r="J97" s="145">
        <f t="shared" si="20"/>
        <v>0</v>
      </c>
      <c r="K97" s="142" t="str">
        <f t="shared" si="27"/>
        <v>kWh</v>
      </c>
      <c r="L97" s="146">
        <f>IFERROR(INDEX(Työkonekanta!$I$3:$I$27,MATCH('S0a Baseline'!$A97,Työkonekanta!$A$3:$A$24,0),1)*(I97+J97)*f_adblue,0)</f>
        <v>0</v>
      </c>
      <c r="M97" s="146">
        <f t="shared" si="32"/>
        <v>0</v>
      </c>
      <c r="N97" s="143" t="str">
        <f>IF(tuulisähkö_vuosi&lt;='S0a Baseline'!C97,"tuulisähkö",ostosähkö_nyt)</f>
        <v>jäännössähkö</v>
      </c>
      <c r="O97" s="147">
        <f>INDEX(Muuttujat!$J$5:$J$21,MATCH($C97,Muuttujat!$H$5:$H$21,0),1)</f>
        <v>67.190510474999996</v>
      </c>
      <c r="P97" s="342">
        <f>1-(INDEX(Muuttujat!$O$5:$O$21,MATCH($C97,Muuttujat!$N$5:$N$21,0),1))</f>
        <v>0.96</v>
      </c>
      <c r="Q97" s="342">
        <f>INDEX(Muuttujat!$O$5:$O$21,MATCH($C97,Muuttujat!$N$5:$N$21,0),1)</f>
        <v>0.04</v>
      </c>
      <c r="R97" s="148">
        <f>INDEX(Muuttujat!$P$5:$P$21,MATCH($C97,Muuttujat!$N$5:$N$21,0),1)</f>
        <v>4.1787917527764125E-2</v>
      </c>
      <c r="S97" s="149">
        <f t="shared" si="21"/>
        <v>0</v>
      </c>
      <c r="T97" s="150">
        <f t="shared" si="22"/>
        <v>0</v>
      </c>
      <c r="U97" s="150">
        <f t="shared" si="23"/>
        <v>0</v>
      </c>
      <c r="V97" s="150">
        <f>IFERROR(INDEX(Työkonekanta!$J$3:$J$27,MATCH($A97,Työkonekanta!$A$3:$A$24,0),1)*$B97*ef_li_ion_akku/1000/1000/INDEX(Työkonekanta!$K$3:$K$27,MATCH($A97,Työkonekanta!$A$3:$A$24,0)),0)</f>
        <v>0</v>
      </c>
      <c r="W97" s="149">
        <f t="shared" si="24"/>
        <v>0</v>
      </c>
      <c r="X97" s="150">
        <f t="shared" si="33"/>
        <v>0</v>
      </c>
      <c r="Y97" s="151">
        <f t="shared" si="34"/>
        <v>0</v>
      </c>
      <c r="Z97" s="152">
        <f t="shared" si="28"/>
        <v>0</v>
      </c>
      <c r="AA97" s="153">
        <f t="shared" si="29"/>
        <v>0</v>
      </c>
      <c r="AB97" s="153">
        <f t="shared" si="30"/>
        <v>0</v>
      </c>
      <c r="AC97" s="154">
        <f t="shared" si="35"/>
        <v>0</v>
      </c>
      <c r="AD97" s="156">
        <f t="shared" si="31"/>
        <v>0</v>
      </c>
    </row>
    <row r="98" spans="1:30" s="144" customFormat="1">
      <c r="A98" s="139">
        <v>6</v>
      </c>
      <c r="B98" s="139">
        <f>IFERROR(INDEX(Työkonekanta!$F$3:$F$27,MATCH('S0a Baseline'!$A98,Työkonekanta!$A$3:$A$24,0),1),0)</f>
        <v>0</v>
      </c>
      <c r="C98" s="140">
        <v>2022</v>
      </c>
      <c r="D98" s="141" t="str">
        <f>IFERROR(INDEX(Työkonekanta!$D$3:$D$27,MATCH('S0a Baseline'!$A98,Työkonekanta!$A$3:$A$24,0),1),"undefined")</f>
        <v>sähkö</v>
      </c>
      <c r="E98" s="145">
        <f>IFERROR(INDEX(Työkonekanta!$G$3:$G$27,MATCH($A98,Työkonekanta!$A$3:$A$24,0),1)*INDEX(Työkonekanta!$H$3:$H$27,MATCH($A98,Työkonekanta!$A$3:$A$24,0),1)*$B98,0)</f>
        <v>0</v>
      </c>
      <c r="F98" s="344">
        <f t="shared" si="18"/>
        <v>0</v>
      </c>
      <c r="G98" s="344">
        <f t="shared" si="25"/>
        <v>0</v>
      </c>
      <c r="H98" s="344">
        <f t="shared" si="26"/>
        <v>0</v>
      </c>
      <c r="I98" s="145">
        <f t="shared" si="19"/>
        <v>0</v>
      </c>
      <c r="J98" s="145">
        <f t="shared" si="20"/>
        <v>0</v>
      </c>
      <c r="K98" s="142" t="str">
        <f t="shared" si="27"/>
        <v>kWh</v>
      </c>
      <c r="L98" s="146">
        <f>IFERROR(INDEX(Työkonekanta!$I$3:$I$27,MATCH('S0a Baseline'!$A98,Työkonekanta!$A$3:$A$24,0),1)*(I98+J98)*f_adblue,0)</f>
        <v>0</v>
      </c>
      <c r="M98" s="146">
        <f t="shared" si="32"/>
        <v>0</v>
      </c>
      <c r="N98" s="143" t="str">
        <f>IF(tuulisähkö_vuosi&lt;='S0a Baseline'!C98,"tuulisähkö",ostosähkö_nyt)</f>
        <v>jäännössähkö</v>
      </c>
      <c r="O98" s="147">
        <f>INDEX(Muuttujat!$J$5:$J$21,MATCH($C98,Muuttujat!$H$5:$H$21,0),1)</f>
        <v>67.190510474999996</v>
      </c>
      <c r="P98" s="342">
        <f>1-(INDEX(Muuttujat!$O$5:$O$21,MATCH($C98,Muuttujat!$N$5:$N$21,0),1))</f>
        <v>0.96</v>
      </c>
      <c r="Q98" s="342">
        <f>INDEX(Muuttujat!$O$5:$O$21,MATCH($C98,Muuttujat!$N$5:$N$21,0),1)</f>
        <v>0.04</v>
      </c>
      <c r="R98" s="148">
        <f>INDEX(Muuttujat!$P$5:$P$21,MATCH($C98,Muuttujat!$N$5:$N$21,0),1)</f>
        <v>4.1787917527764125E-2</v>
      </c>
      <c r="S98" s="149">
        <f t="shared" si="21"/>
        <v>0</v>
      </c>
      <c r="T98" s="150">
        <f t="shared" si="22"/>
        <v>0</v>
      </c>
      <c r="U98" s="150">
        <f t="shared" si="23"/>
        <v>0</v>
      </c>
      <c r="V98" s="150">
        <f>IFERROR(INDEX(Työkonekanta!$J$3:$J$27,MATCH($A98,Työkonekanta!$A$3:$A$24,0),1)*$B98*ef_li_ion_akku/1000/1000/INDEX(Työkonekanta!$K$3:$K$27,MATCH($A98,Työkonekanta!$A$3:$A$24,0)),0)</f>
        <v>0</v>
      </c>
      <c r="W98" s="149">
        <f t="shared" si="24"/>
        <v>0</v>
      </c>
      <c r="X98" s="150">
        <f t="shared" si="33"/>
        <v>0</v>
      </c>
      <c r="Y98" s="151">
        <f t="shared" si="34"/>
        <v>0</v>
      </c>
      <c r="Z98" s="152">
        <f t="shared" si="28"/>
        <v>0</v>
      </c>
      <c r="AA98" s="153">
        <f t="shared" si="29"/>
        <v>0</v>
      </c>
      <c r="AB98" s="153">
        <f t="shared" si="30"/>
        <v>0</v>
      </c>
      <c r="AC98" s="154">
        <f t="shared" si="35"/>
        <v>0</v>
      </c>
      <c r="AD98" s="156">
        <f t="shared" si="31"/>
        <v>0</v>
      </c>
    </row>
    <row r="99" spans="1:30" s="144" customFormat="1">
      <c r="A99" s="139">
        <v>7</v>
      </c>
      <c r="B99" s="139">
        <f>IFERROR(INDEX(Työkonekanta!$F$3:$F$27,MATCH('S0a Baseline'!$A99,Työkonekanta!$A$3:$A$24,0),1),0)</f>
        <v>1</v>
      </c>
      <c r="C99" s="140">
        <v>2022</v>
      </c>
      <c r="D99" s="141" t="str">
        <f>IFERROR(INDEX(Työkonekanta!$D$3:$D$27,MATCH('S0a Baseline'!$A99,Työkonekanta!$A$3:$A$24,0),1),"undefined")</f>
        <v>pom</v>
      </c>
      <c r="E99" s="145">
        <f>IFERROR(INDEX(Työkonekanta!$G$3:$G$27,MATCH($A99,Työkonekanta!$A$3:$A$24,0),1)*INDEX(Työkonekanta!$H$3:$H$27,MATCH($A99,Työkonekanta!$A$3:$A$24,0),1)*$B99,0)</f>
        <v>10000</v>
      </c>
      <c r="F99" s="344">
        <f t="shared" si="18"/>
        <v>359000</v>
      </c>
      <c r="G99" s="344">
        <f t="shared" si="25"/>
        <v>344640</v>
      </c>
      <c r="H99" s="344">
        <f t="shared" si="26"/>
        <v>14360</v>
      </c>
      <c r="I99" s="145">
        <f t="shared" si="19"/>
        <v>9600</v>
      </c>
      <c r="J99" s="145">
        <f t="shared" si="20"/>
        <v>418.65889212827994</v>
      </c>
      <c r="K99" s="142" t="str">
        <f t="shared" si="27"/>
        <v>l</v>
      </c>
      <c r="L99" s="146">
        <f>IFERROR(INDEX(Työkonekanta!$I$3:$I$27,MATCH('S0a Baseline'!$A99,Työkonekanta!$A$3:$A$24,0),1)*(I99+J99)*f_adblue,0)</f>
        <v>0</v>
      </c>
      <c r="M99" s="146">
        <f t="shared" si="32"/>
        <v>0</v>
      </c>
      <c r="N99" s="143" t="str">
        <f>IF(tuulisähkö_vuosi&lt;='S0a Baseline'!C99,"tuulisähkö",ostosähkö_nyt)</f>
        <v>jäännössähkö</v>
      </c>
      <c r="O99" s="147">
        <f>INDEX(Muuttujat!$J$5:$J$21,MATCH($C99,Muuttujat!$H$5:$H$21,0),1)</f>
        <v>67.190510474999996</v>
      </c>
      <c r="P99" s="342">
        <f>1-(INDEX(Muuttujat!$O$5:$O$21,MATCH($C99,Muuttujat!$N$5:$N$21,0),1))</f>
        <v>0.96</v>
      </c>
      <c r="Q99" s="342">
        <f>INDEX(Muuttujat!$O$5:$O$21,MATCH($C99,Muuttujat!$N$5:$N$21,0),1)</f>
        <v>0.04</v>
      </c>
      <c r="R99" s="148">
        <f>INDEX(Muuttujat!$P$5:$P$21,MATCH($C99,Muuttujat!$N$5:$N$21,0),1)</f>
        <v>4.1787917527764125E-2</v>
      </c>
      <c r="S99" s="149">
        <f t="shared" si="21"/>
        <v>6.5136959999999986</v>
      </c>
      <c r="T99" s="150">
        <f t="shared" si="22"/>
        <v>0.89606399999999997</v>
      </c>
      <c r="U99" s="150">
        <f t="shared" si="23"/>
        <v>0</v>
      </c>
      <c r="V99" s="150">
        <f>IFERROR(INDEX(Työkonekanta!$J$3:$J$27,MATCH($A99,Työkonekanta!$A$3:$A$24,0),1)*$B99*ef_li_ion_akku/1000/1000/INDEX(Työkonekanta!$K$3:$K$27,MATCH($A99,Työkonekanta!$A$3:$A$24,0)),0)</f>
        <v>0</v>
      </c>
      <c r="W99" s="149">
        <f t="shared" si="24"/>
        <v>25.437276754559999</v>
      </c>
      <c r="X99" s="150">
        <f t="shared" si="33"/>
        <v>0.31774565999999999</v>
      </c>
      <c r="Y99" s="151">
        <f t="shared" si="34"/>
        <v>0</v>
      </c>
      <c r="Z99" s="152">
        <f t="shared" si="28"/>
        <v>7.4097599999999986</v>
      </c>
      <c r="AA99" s="153">
        <f t="shared" si="29"/>
        <v>25.437276754559999</v>
      </c>
      <c r="AB99" s="153">
        <f t="shared" si="30"/>
        <v>25.755022414559999</v>
      </c>
      <c r="AC99" s="154">
        <f t="shared" si="35"/>
        <v>32.847036754559994</v>
      </c>
      <c r="AD99" s="156">
        <f t="shared" si="31"/>
        <v>33.164782414559994</v>
      </c>
    </row>
    <row r="100" spans="1:30" s="144" customFormat="1">
      <c r="A100" s="139">
        <v>8</v>
      </c>
      <c r="B100" s="139">
        <f>IFERROR(INDEX(Työkonekanta!$F$3:$F$27,MATCH('S0a Baseline'!$A100,Työkonekanta!$A$3:$A$24,0),1),0)</f>
        <v>1</v>
      </c>
      <c r="C100" s="140">
        <v>2022</v>
      </c>
      <c r="D100" s="141" t="str">
        <f>IFERROR(INDEX(Työkonekanta!$D$3:$D$27,MATCH('S0a Baseline'!$A100,Työkonekanta!$A$3:$A$24,0),1),"undefined")</f>
        <v>pom</v>
      </c>
      <c r="E100" s="145">
        <f>IFERROR(INDEX(Työkonekanta!$G$3:$G$27,MATCH($A100,Työkonekanta!$A$3:$A$24,0),1)*INDEX(Työkonekanta!$H$3:$H$27,MATCH($A100,Työkonekanta!$A$3:$A$24,0),1)*$B100,0)</f>
        <v>10000</v>
      </c>
      <c r="F100" s="344">
        <f t="shared" si="18"/>
        <v>359000</v>
      </c>
      <c r="G100" s="344">
        <f t="shared" si="25"/>
        <v>344640</v>
      </c>
      <c r="H100" s="344">
        <f t="shared" si="26"/>
        <v>14360</v>
      </c>
      <c r="I100" s="145">
        <f t="shared" si="19"/>
        <v>9600</v>
      </c>
      <c r="J100" s="145">
        <f t="shared" si="20"/>
        <v>418.65889212827994</v>
      </c>
      <c r="K100" s="142" t="str">
        <f t="shared" si="27"/>
        <v>l</v>
      </c>
      <c r="L100" s="146">
        <f>IFERROR(INDEX(Työkonekanta!$I$3:$I$27,MATCH('S0a Baseline'!$A100,Työkonekanta!$A$3:$A$24,0),1)*(I100+J100)*f_adblue,0)</f>
        <v>500.93294460641403</v>
      </c>
      <c r="M100" s="146">
        <f t="shared" si="32"/>
        <v>0</v>
      </c>
      <c r="N100" s="143" t="str">
        <f>IF(tuulisähkö_vuosi&lt;='S0a Baseline'!C100,"tuulisähkö",ostosähkö_nyt)</f>
        <v>jäännössähkö</v>
      </c>
      <c r="O100" s="147">
        <f>INDEX(Muuttujat!$J$5:$J$21,MATCH($C100,Muuttujat!$H$5:$H$21,0),1)</f>
        <v>67.190510474999996</v>
      </c>
      <c r="P100" s="342">
        <f>1-(INDEX(Muuttujat!$O$5:$O$21,MATCH($C100,Muuttujat!$N$5:$N$21,0),1))</f>
        <v>0.96</v>
      </c>
      <c r="Q100" s="342">
        <f>INDEX(Muuttujat!$O$5:$O$21,MATCH($C100,Muuttujat!$N$5:$N$21,0),1)</f>
        <v>0.04</v>
      </c>
      <c r="R100" s="148">
        <f>INDEX(Muuttujat!$P$5:$P$21,MATCH($C100,Muuttujat!$N$5:$N$21,0),1)</f>
        <v>4.1787917527764125E-2</v>
      </c>
      <c r="S100" s="149">
        <f t="shared" si="21"/>
        <v>6.5136959999999986</v>
      </c>
      <c r="T100" s="150">
        <f t="shared" si="22"/>
        <v>0.89606399999999997</v>
      </c>
      <c r="U100" s="150">
        <f t="shared" si="23"/>
        <v>0</v>
      </c>
      <c r="V100" s="150">
        <f>IFERROR(INDEX(Työkonekanta!$J$3:$J$27,MATCH($A100,Työkonekanta!$A$3:$A$24,0),1)*$B100*ef_li_ion_akku/1000/1000/INDEX(Työkonekanta!$K$3:$K$27,MATCH($A100,Työkonekanta!$A$3:$A$24,0)),0)</f>
        <v>0</v>
      </c>
      <c r="W100" s="149">
        <f t="shared" si="24"/>
        <v>25.437276754559999</v>
      </c>
      <c r="X100" s="150">
        <f t="shared" si="33"/>
        <v>0.31774565999999999</v>
      </c>
      <c r="Y100" s="151">
        <f t="shared" si="34"/>
        <v>0.13024256559766767</v>
      </c>
      <c r="Z100" s="152">
        <f t="shared" si="28"/>
        <v>7.4097599999999986</v>
      </c>
      <c r="AA100" s="153">
        <f t="shared" si="29"/>
        <v>25.567519320157668</v>
      </c>
      <c r="AB100" s="153">
        <f t="shared" si="30"/>
        <v>25.885264980157668</v>
      </c>
      <c r="AC100" s="154">
        <f t="shared" si="35"/>
        <v>32.977279320157663</v>
      </c>
      <c r="AD100" s="156">
        <f t="shared" si="31"/>
        <v>33.295024980157663</v>
      </c>
    </row>
    <row r="101" spans="1:30" s="144" customFormat="1">
      <c r="A101" s="139">
        <v>9</v>
      </c>
      <c r="B101" s="139">
        <f>IFERROR(INDEX(Työkonekanta!$F$3:$F$27,MATCH('S0a Baseline'!$A101,Työkonekanta!$A$3:$A$24,0),1),0)</f>
        <v>0</v>
      </c>
      <c r="C101" s="140">
        <v>2022</v>
      </c>
      <c r="D101" s="141" t="str">
        <f>IFERROR(INDEX(Työkonekanta!$D$3:$D$27,MATCH('S0a Baseline'!$A101,Työkonekanta!$A$3:$A$24,0),1),"undefined")</f>
        <v>sähkö</v>
      </c>
      <c r="E101" s="145">
        <f>IFERROR(INDEX(Työkonekanta!$G$3:$G$27,MATCH($A101,Työkonekanta!$A$3:$A$24,0),1)*INDEX(Työkonekanta!$H$3:$H$27,MATCH($A101,Työkonekanta!$A$3:$A$24,0),1)*$B101,0)</f>
        <v>0</v>
      </c>
      <c r="F101" s="344">
        <f t="shared" si="18"/>
        <v>0</v>
      </c>
      <c r="G101" s="344">
        <f t="shared" si="25"/>
        <v>0</v>
      </c>
      <c r="H101" s="344">
        <f t="shared" si="26"/>
        <v>0</v>
      </c>
      <c r="I101" s="145">
        <f t="shared" si="19"/>
        <v>0</v>
      </c>
      <c r="J101" s="145">
        <f t="shared" si="20"/>
        <v>0</v>
      </c>
      <c r="K101" s="142" t="str">
        <f t="shared" si="27"/>
        <v>kWh</v>
      </c>
      <c r="L101" s="146">
        <f>IFERROR(INDEX(Työkonekanta!$I$3:$I$27,MATCH('S0a Baseline'!$A101,Työkonekanta!$A$3:$A$24,0),1)*(I101+J101)*f_adblue,0)</f>
        <v>0</v>
      </c>
      <c r="M101" s="146">
        <f t="shared" si="32"/>
        <v>0</v>
      </c>
      <c r="N101" s="143" t="str">
        <f>IF(tuulisähkö_vuosi&lt;='S0a Baseline'!C101,"tuulisähkö",ostosähkö_nyt)</f>
        <v>jäännössähkö</v>
      </c>
      <c r="O101" s="147">
        <f>INDEX(Muuttujat!$J$5:$J$21,MATCH($C101,Muuttujat!$H$5:$H$21,0),1)</f>
        <v>67.190510474999996</v>
      </c>
      <c r="P101" s="342">
        <f>1-(INDEX(Muuttujat!$O$5:$O$21,MATCH($C101,Muuttujat!$N$5:$N$21,0),1))</f>
        <v>0.96</v>
      </c>
      <c r="Q101" s="342">
        <f>INDEX(Muuttujat!$O$5:$O$21,MATCH($C101,Muuttujat!$N$5:$N$21,0),1)</f>
        <v>0.04</v>
      </c>
      <c r="R101" s="148">
        <f>INDEX(Muuttujat!$P$5:$P$21,MATCH($C101,Muuttujat!$N$5:$N$21,0),1)</f>
        <v>4.1787917527764125E-2</v>
      </c>
      <c r="S101" s="149">
        <f t="shared" si="21"/>
        <v>0</v>
      </c>
      <c r="T101" s="150">
        <f t="shared" si="22"/>
        <v>0</v>
      </c>
      <c r="U101" s="150">
        <f t="shared" si="23"/>
        <v>0</v>
      </c>
      <c r="V101" s="150">
        <f>IFERROR(INDEX(Työkonekanta!$J$3:$J$27,MATCH($A101,Työkonekanta!$A$3:$A$24,0),1)*$B101*ef_li_ion_akku/1000/1000/INDEX(Työkonekanta!$K$3:$K$27,MATCH($A101,Työkonekanta!$A$3:$A$24,0)),0)</f>
        <v>0</v>
      </c>
      <c r="W101" s="149">
        <f t="shared" si="24"/>
        <v>0</v>
      </c>
      <c r="X101" s="150">
        <f t="shared" si="33"/>
        <v>0</v>
      </c>
      <c r="Y101" s="151">
        <f t="shared" si="34"/>
        <v>0</v>
      </c>
      <c r="Z101" s="152">
        <f t="shared" si="28"/>
        <v>0</v>
      </c>
      <c r="AA101" s="153">
        <f t="shared" si="29"/>
        <v>0</v>
      </c>
      <c r="AB101" s="153">
        <f t="shared" si="30"/>
        <v>0</v>
      </c>
      <c r="AC101" s="154">
        <f t="shared" si="35"/>
        <v>0</v>
      </c>
      <c r="AD101" s="156">
        <f t="shared" si="31"/>
        <v>0</v>
      </c>
    </row>
    <row r="102" spans="1:30" s="144" customFormat="1">
      <c r="A102" s="139">
        <v>10</v>
      </c>
      <c r="B102" s="139">
        <f>IFERROR(INDEX(Työkonekanta!$F$3:$F$27,MATCH('S0a Baseline'!$A102,Työkonekanta!$A$3:$A$24,0),1),0)</f>
        <v>0</v>
      </c>
      <c r="C102" s="140">
        <v>2022</v>
      </c>
      <c r="D102" s="141" t="str">
        <f>IFERROR(INDEX(Työkonekanta!$D$3:$D$27,MATCH('S0a Baseline'!$A102,Työkonekanta!$A$3:$A$24,0),1),"undefined")</f>
        <v>sähkö</v>
      </c>
      <c r="E102" s="145">
        <f>IFERROR(INDEX(Työkonekanta!$G$3:$G$27,MATCH($A102,Työkonekanta!$A$3:$A$24,0),1)*INDEX(Työkonekanta!$H$3:$H$27,MATCH($A102,Työkonekanta!$A$3:$A$24,0),1)*$B102,0)</f>
        <v>0</v>
      </c>
      <c r="F102" s="344">
        <f t="shared" si="18"/>
        <v>0</v>
      </c>
      <c r="G102" s="344">
        <f t="shared" si="25"/>
        <v>0</v>
      </c>
      <c r="H102" s="344">
        <f t="shared" si="26"/>
        <v>0</v>
      </c>
      <c r="I102" s="145">
        <f t="shared" si="19"/>
        <v>0</v>
      </c>
      <c r="J102" s="145">
        <f t="shared" si="20"/>
        <v>0</v>
      </c>
      <c r="K102" s="142" t="str">
        <f t="shared" si="27"/>
        <v>kWh</v>
      </c>
      <c r="L102" s="146">
        <f>IFERROR(INDEX(Työkonekanta!$I$3:$I$27,MATCH('S0a Baseline'!$A102,Työkonekanta!$A$3:$A$24,0),1)*(I102+J102)*f_adblue,0)</f>
        <v>0</v>
      </c>
      <c r="M102" s="146">
        <f t="shared" si="32"/>
        <v>0</v>
      </c>
      <c r="N102" s="143" t="str">
        <f>IF(tuulisähkö_vuosi&lt;='S0a Baseline'!C102,"tuulisähkö",ostosähkö_nyt)</f>
        <v>jäännössähkö</v>
      </c>
      <c r="O102" s="147">
        <f>INDEX(Muuttujat!$J$5:$J$21,MATCH($C102,Muuttujat!$H$5:$H$21,0),1)</f>
        <v>67.190510474999996</v>
      </c>
      <c r="P102" s="342">
        <f>1-(INDEX(Muuttujat!$O$5:$O$21,MATCH($C102,Muuttujat!$N$5:$N$21,0),1))</f>
        <v>0.96</v>
      </c>
      <c r="Q102" s="342">
        <f>INDEX(Muuttujat!$O$5:$O$21,MATCH($C102,Muuttujat!$N$5:$N$21,0),1)</f>
        <v>0.04</v>
      </c>
      <c r="R102" s="148">
        <f>INDEX(Muuttujat!$P$5:$P$21,MATCH($C102,Muuttujat!$N$5:$N$21,0),1)</f>
        <v>4.1787917527764125E-2</v>
      </c>
      <c r="S102" s="149">
        <f t="shared" si="21"/>
        <v>0</v>
      </c>
      <c r="T102" s="150">
        <f t="shared" si="22"/>
        <v>0</v>
      </c>
      <c r="U102" s="150">
        <f t="shared" si="23"/>
        <v>0</v>
      </c>
      <c r="V102" s="150">
        <f>IFERROR(INDEX(Työkonekanta!$J$3:$J$27,MATCH($A102,Työkonekanta!$A$3:$A$24,0),1)*$B102*ef_li_ion_akku/1000/1000/INDEX(Työkonekanta!$K$3:$K$27,MATCH($A102,Työkonekanta!$A$3:$A$24,0)),0)</f>
        <v>0</v>
      </c>
      <c r="W102" s="149">
        <f t="shared" si="24"/>
        <v>0</v>
      </c>
      <c r="X102" s="150">
        <f t="shared" si="33"/>
        <v>0</v>
      </c>
      <c r="Y102" s="151">
        <f t="shared" si="34"/>
        <v>0</v>
      </c>
      <c r="Z102" s="152">
        <f t="shared" si="28"/>
        <v>0</v>
      </c>
      <c r="AA102" s="153">
        <f t="shared" si="29"/>
        <v>0</v>
      </c>
      <c r="AB102" s="153">
        <f t="shared" si="30"/>
        <v>0</v>
      </c>
      <c r="AC102" s="154">
        <f t="shared" si="35"/>
        <v>0</v>
      </c>
      <c r="AD102" s="156">
        <f t="shared" si="31"/>
        <v>0</v>
      </c>
    </row>
    <row r="103" spans="1:30" s="144" customFormat="1">
      <c r="A103" s="139">
        <v>11</v>
      </c>
      <c r="B103" s="139">
        <f>IFERROR(INDEX(Työkonekanta!$F$3:$F$27,MATCH('S0a Baseline'!$A103,Työkonekanta!$A$3:$A$24,0),1),0)</f>
        <v>1</v>
      </c>
      <c r="C103" s="140">
        <v>2022</v>
      </c>
      <c r="D103" s="141" t="str">
        <f>IFERROR(INDEX(Työkonekanta!$D$3:$D$27,MATCH('S0a Baseline'!$A103,Työkonekanta!$A$3:$A$24,0),1),"undefined")</f>
        <v>pom</v>
      </c>
      <c r="E103" s="145">
        <f>IFERROR(INDEX(Työkonekanta!$G$3:$G$27,MATCH($A103,Työkonekanta!$A$3:$A$24,0),1)*INDEX(Työkonekanta!$H$3:$H$27,MATCH($A103,Työkonekanta!$A$3:$A$24,0),1)*$B103,0)</f>
        <v>10000</v>
      </c>
      <c r="F103" s="344">
        <f t="shared" si="18"/>
        <v>359000</v>
      </c>
      <c r="G103" s="344">
        <f t="shared" si="25"/>
        <v>344640</v>
      </c>
      <c r="H103" s="344">
        <f t="shared" si="26"/>
        <v>14360</v>
      </c>
      <c r="I103" s="145">
        <f t="shared" si="19"/>
        <v>9600</v>
      </c>
      <c r="J103" s="145">
        <f t="shared" si="20"/>
        <v>418.65889212827994</v>
      </c>
      <c r="K103" s="142" t="str">
        <f t="shared" si="27"/>
        <v>l</v>
      </c>
      <c r="L103" s="146">
        <f>IFERROR(INDEX(Työkonekanta!$I$3:$I$27,MATCH('S0a Baseline'!$A103,Työkonekanta!$A$3:$A$24,0),1)*(I103+J103)*f_adblue,0)</f>
        <v>500.93294460641403</v>
      </c>
      <c r="M103" s="146">
        <f t="shared" si="32"/>
        <v>0</v>
      </c>
      <c r="N103" s="143" t="str">
        <f>IF(tuulisähkö_vuosi&lt;='S0a Baseline'!C103,"tuulisähkö",ostosähkö_nyt)</f>
        <v>jäännössähkö</v>
      </c>
      <c r="O103" s="147">
        <f>INDEX(Muuttujat!$J$5:$J$21,MATCH($C103,Muuttujat!$H$5:$H$21,0),1)</f>
        <v>67.190510474999996</v>
      </c>
      <c r="P103" s="342">
        <f>1-(INDEX(Muuttujat!$O$5:$O$21,MATCH($C103,Muuttujat!$N$5:$N$21,0),1))</f>
        <v>0.96</v>
      </c>
      <c r="Q103" s="342">
        <f>INDEX(Muuttujat!$O$5:$O$21,MATCH($C103,Muuttujat!$N$5:$N$21,0),1)</f>
        <v>0.04</v>
      </c>
      <c r="R103" s="148">
        <f>INDEX(Muuttujat!$P$5:$P$21,MATCH($C103,Muuttujat!$N$5:$N$21,0),1)</f>
        <v>4.1787917527764125E-2</v>
      </c>
      <c r="S103" s="149">
        <f t="shared" si="21"/>
        <v>6.5136959999999986</v>
      </c>
      <c r="T103" s="150">
        <f t="shared" si="22"/>
        <v>0.89606399999999997</v>
      </c>
      <c r="U103" s="150">
        <f t="shared" si="23"/>
        <v>0</v>
      </c>
      <c r="V103" s="150">
        <f>IFERROR(INDEX(Työkonekanta!$J$3:$J$27,MATCH($A103,Työkonekanta!$A$3:$A$24,0),1)*$B103*ef_li_ion_akku/1000/1000/INDEX(Työkonekanta!$K$3:$K$27,MATCH($A103,Työkonekanta!$A$3:$A$24,0)),0)</f>
        <v>0</v>
      </c>
      <c r="W103" s="149">
        <f t="shared" si="24"/>
        <v>25.437276754559999</v>
      </c>
      <c r="X103" s="150">
        <f t="shared" si="33"/>
        <v>0.31774565999999999</v>
      </c>
      <c r="Y103" s="151">
        <f t="shared" si="34"/>
        <v>0.13024256559766767</v>
      </c>
      <c r="Z103" s="152">
        <f t="shared" si="28"/>
        <v>7.4097599999999986</v>
      </c>
      <c r="AA103" s="153">
        <f t="shared" si="29"/>
        <v>25.567519320157668</v>
      </c>
      <c r="AB103" s="153">
        <f t="shared" si="30"/>
        <v>25.885264980157668</v>
      </c>
      <c r="AC103" s="154">
        <f t="shared" si="35"/>
        <v>32.977279320157663</v>
      </c>
      <c r="AD103" s="156">
        <f t="shared" si="31"/>
        <v>33.295024980157663</v>
      </c>
    </row>
    <row r="104" spans="1:30" s="144" customFormat="1">
      <c r="A104" s="139">
        <v>12</v>
      </c>
      <c r="B104" s="139">
        <f>IFERROR(INDEX(Työkonekanta!$F$3:$F$27,MATCH('S0a Baseline'!$A104,Työkonekanta!$A$3:$A$24,0),1),0)</f>
        <v>1</v>
      </c>
      <c r="C104" s="140">
        <v>2022</v>
      </c>
      <c r="D104" s="141" t="str">
        <f>IFERROR(INDEX(Työkonekanta!$D$3:$D$27,MATCH('S0a Baseline'!$A104,Työkonekanta!$A$3:$A$24,0),1),"undefined")</f>
        <v>pom</v>
      </c>
      <c r="E104" s="145">
        <f>IFERROR(INDEX(Työkonekanta!$G$3:$G$27,MATCH($A104,Työkonekanta!$A$3:$A$24,0),1)*INDEX(Työkonekanta!$H$3:$H$27,MATCH($A104,Työkonekanta!$A$3:$A$24,0),1)*$B104,0)</f>
        <v>10000</v>
      </c>
      <c r="F104" s="344">
        <f t="shared" si="18"/>
        <v>359000</v>
      </c>
      <c r="G104" s="344">
        <f t="shared" si="25"/>
        <v>344640</v>
      </c>
      <c r="H104" s="344">
        <f t="shared" si="26"/>
        <v>14360</v>
      </c>
      <c r="I104" s="145">
        <f t="shared" si="19"/>
        <v>9600</v>
      </c>
      <c r="J104" s="145">
        <f t="shared" si="20"/>
        <v>418.65889212827994</v>
      </c>
      <c r="K104" s="142" t="str">
        <f t="shared" si="27"/>
        <v>l</v>
      </c>
      <c r="L104" s="146">
        <f>IFERROR(INDEX(Työkonekanta!$I$3:$I$27,MATCH('S0a Baseline'!$A104,Työkonekanta!$A$3:$A$24,0),1)*(I104+J104)*f_adblue,0)</f>
        <v>500.93294460641403</v>
      </c>
      <c r="M104" s="146">
        <f t="shared" si="32"/>
        <v>0</v>
      </c>
      <c r="N104" s="143" t="str">
        <f>IF(tuulisähkö_vuosi&lt;='S0a Baseline'!C104,"tuulisähkö",ostosähkö_nyt)</f>
        <v>jäännössähkö</v>
      </c>
      <c r="O104" s="147">
        <f>INDEX(Muuttujat!$J$5:$J$21,MATCH($C104,Muuttujat!$H$5:$H$21,0),1)</f>
        <v>67.190510474999996</v>
      </c>
      <c r="P104" s="342">
        <f>1-(INDEX(Muuttujat!$O$5:$O$21,MATCH($C104,Muuttujat!$N$5:$N$21,0),1))</f>
        <v>0.96</v>
      </c>
      <c r="Q104" s="342">
        <f>INDEX(Muuttujat!$O$5:$O$21,MATCH($C104,Muuttujat!$N$5:$N$21,0),1)</f>
        <v>0.04</v>
      </c>
      <c r="R104" s="148">
        <f>INDEX(Muuttujat!$P$5:$P$21,MATCH($C104,Muuttujat!$N$5:$N$21,0),1)</f>
        <v>4.1787917527764125E-2</v>
      </c>
      <c r="S104" s="149">
        <f t="shared" si="21"/>
        <v>6.5136959999999986</v>
      </c>
      <c r="T104" s="150">
        <f t="shared" si="22"/>
        <v>0.89606399999999997</v>
      </c>
      <c r="U104" s="150">
        <f t="shared" si="23"/>
        <v>0</v>
      </c>
      <c r="V104" s="150">
        <f>IFERROR(INDEX(Työkonekanta!$J$3:$J$27,MATCH($A104,Työkonekanta!$A$3:$A$24,0),1)*$B104*ef_li_ion_akku/1000/1000/INDEX(Työkonekanta!$K$3:$K$27,MATCH($A104,Työkonekanta!$A$3:$A$24,0)),0)</f>
        <v>0</v>
      </c>
      <c r="W104" s="149">
        <f t="shared" si="24"/>
        <v>25.437276754559999</v>
      </c>
      <c r="X104" s="150">
        <f t="shared" si="33"/>
        <v>0.31774565999999999</v>
      </c>
      <c r="Y104" s="151">
        <f t="shared" si="34"/>
        <v>0.13024256559766767</v>
      </c>
      <c r="Z104" s="152">
        <f t="shared" si="28"/>
        <v>7.4097599999999986</v>
      </c>
      <c r="AA104" s="153">
        <f t="shared" si="29"/>
        <v>25.567519320157668</v>
      </c>
      <c r="AB104" s="153">
        <f t="shared" si="30"/>
        <v>25.885264980157668</v>
      </c>
      <c r="AC104" s="154">
        <f t="shared" si="35"/>
        <v>32.977279320157663</v>
      </c>
      <c r="AD104" s="156">
        <f t="shared" si="31"/>
        <v>33.295024980157663</v>
      </c>
    </row>
    <row r="105" spans="1:30" s="144" customFormat="1">
      <c r="A105" s="139">
        <v>13</v>
      </c>
      <c r="B105" s="139">
        <f>IFERROR(INDEX(Työkonekanta!$F$3:$F$27,MATCH('S0a Baseline'!$A105,Työkonekanta!$A$3:$A$24,0),1),0)</f>
        <v>0</v>
      </c>
      <c r="C105" s="140">
        <v>2022</v>
      </c>
      <c r="D105" s="141" t="str">
        <f>IFERROR(INDEX(Työkonekanta!$D$3:$D$27,MATCH('S0a Baseline'!$A105,Työkonekanta!$A$3:$A$24,0),1),"undefined")</f>
        <v>pom</v>
      </c>
      <c r="E105" s="145">
        <f>IFERROR(INDEX(Työkonekanta!$G$3:$G$27,MATCH($A105,Työkonekanta!$A$3:$A$24,0),1)*INDEX(Työkonekanta!$H$3:$H$27,MATCH($A105,Työkonekanta!$A$3:$A$24,0),1)*$B105,0)</f>
        <v>0</v>
      </c>
      <c r="F105" s="344">
        <f t="shared" si="18"/>
        <v>0</v>
      </c>
      <c r="G105" s="344">
        <f t="shared" si="25"/>
        <v>0</v>
      </c>
      <c r="H105" s="344">
        <f t="shared" si="26"/>
        <v>0</v>
      </c>
      <c r="I105" s="145">
        <f t="shared" si="19"/>
        <v>0</v>
      </c>
      <c r="J105" s="145">
        <f t="shared" si="20"/>
        <v>0</v>
      </c>
      <c r="K105" s="142" t="str">
        <f t="shared" si="27"/>
        <v>l</v>
      </c>
      <c r="L105" s="146">
        <f>IFERROR(INDEX(Työkonekanta!$I$3:$I$27,MATCH('S0a Baseline'!$A105,Työkonekanta!$A$3:$A$24,0),1)*(I105+J105)*f_adblue,0)</f>
        <v>0</v>
      </c>
      <c r="M105" s="146">
        <f t="shared" si="32"/>
        <v>0</v>
      </c>
      <c r="N105" s="143" t="str">
        <f>IF(tuulisähkö_vuosi&lt;='S0a Baseline'!C105,"tuulisähkö",ostosähkö_nyt)</f>
        <v>jäännössähkö</v>
      </c>
      <c r="O105" s="147">
        <f>INDEX(Muuttujat!$J$5:$J$21,MATCH($C105,Muuttujat!$H$5:$H$21,0),1)</f>
        <v>67.190510474999996</v>
      </c>
      <c r="P105" s="342">
        <f>1-(INDEX(Muuttujat!$O$5:$O$21,MATCH($C105,Muuttujat!$N$5:$N$21,0),1))</f>
        <v>0.96</v>
      </c>
      <c r="Q105" s="342">
        <f>INDEX(Muuttujat!$O$5:$O$21,MATCH($C105,Muuttujat!$N$5:$N$21,0),1)</f>
        <v>0.04</v>
      </c>
      <c r="R105" s="148">
        <f>INDEX(Muuttujat!$P$5:$P$21,MATCH($C105,Muuttujat!$N$5:$N$21,0),1)</f>
        <v>4.1787917527764125E-2</v>
      </c>
      <c r="S105" s="149">
        <f t="shared" si="21"/>
        <v>0</v>
      </c>
      <c r="T105" s="150">
        <f t="shared" si="22"/>
        <v>0</v>
      </c>
      <c r="U105" s="150">
        <f t="shared" si="23"/>
        <v>0</v>
      </c>
      <c r="V105" s="150">
        <f>IFERROR(INDEX(Työkonekanta!$J$3:$J$27,MATCH($A105,Työkonekanta!$A$3:$A$24,0),1)*$B105*ef_li_ion_akku/1000/1000/INDEX(Työkonekanta!$K$3:$K$27,MATCH($A105,Työkonekanta!$A$3:$A$24,0)),0)</f>
        <v>0</v>
      </c>
      <c r="W105" s="149">
        <f t="shared" si="24"/>
        <v>0</v>
      </c>
      <c r="X105" s="150">
        <f t="shared" si="33"/>
        <v>0</v>
      </c>
      <c r="Y105" s="151">
        <f t="shared" si="34"/>
        <v>0</v>
      </c>
      <c r="Z105" s="152">
        <f t="shared" si="28"/>
        <v>0</v>
      </c>
      <c r="AA105" s="153">
        <f t="shared" si="29"/>
        <v>0</v>
      </c>
      <c r="AB105" s="153">
        <f t="shared" si="30"/>
        <v>0</v>
      </c>
      <c r="AC105" s="154">
        <f t="shared" si="35"/>
        <v>0</v>
      </c>
      <c r="AD105" s="156">
        <f t="shared" si="31"/>
        <v>0</v>
      </c>
    </row>
    <row r="106" spans="1:30" s="144" customFormat="1">
      <c r="A106" s="139">
        <v>14</v>
      </c>
      <c r="B106" s="139">
        <f>IFERROR(INDEX(Työkonekanta!$F$3:$F$27,MATCH('S0a Baseline'!$A106,Työkonekanta!$A$3:$A$24,0),1),0)</f>
        <v>0</v>
      </c>
      <c r="C106" s="140">
        <v>2022</v>
      </c>
      <c r="D106" s="141" t="str">
        <f>IFERROR(INDEX(Työkonekanta!$D$3:$D$27,MATCH('S0a Baseline'!$A106,Työkonekanta!$A$3:$A$24,0),1),"undefined")</f>
        <v>pom</v>
      </c>
      <c r="E106" s="145">
        <f>IFERROR(INDEX(Työkonekanta!$G$3:$G$27,MATCH($A106,Työkonekanta!$A$3:$A$24,0),1)*INDEX(Työkonekanta!$H$3:$H$27,MATCH($A106,Työkonekanta!$A$3:$A$24,0),1)*$B106,0)</f>
        <v>0</v>
      </c>
      <c r="F106" s="344">
        <f t="shared" si="18"/>
        <v>0</v>
      </c>
      <c r="G106" s="344">
        <f t="shared" si="25"/>
        <v>0</v>
      </c>
      <c r="H106" s="344">
        <f t="shared" si="26"/>
        <v>0</v>
      </c>
      <c r="I106" s="145">
        <f t="shared" si="19"/>
        <v>0</v>
      </c>
      <c r="J106" s="145">
        <f t="shared" si="20"/>
        <v>0</v>
      </c>
      <c r="K106" s="142" t="str">
        <f t="shared" si="27"/>
        <v>l</v>
      </c>
      <c r="L106" s="146">
        <f>IFERROR(INDEX(Työkonekanta!$I$3:$I$27,MATCH('S0a Baseline'!$A106,Työkonekanta!$A$3:$A$24,0),1)*(I106+J106)*f_adblue,0)</f>
        <v>0</v>
      </c>
      <c r="M106" s="146">
        <f t="shared" si="32"/>
        <v>0</v>
      </c>
      <c r="N106" s="143" t="str">
        <f>IF(tuulisähkö_vuosi&lt;='S0a Baseline'!C106,"tuulisähkö",ostosähkö_nyt)</f>
        <v>jäännössähkö</v>
      </c>
      <c r="O106" s="147">
        <f>INDEX(Muuttujat!$J$5:$J$21,MATCH($C106,Muuttujat!$H$5:$H$21,0),1)</f>
        <v>67.190510474999996</v>
      </c>
      <c r="P106" s="342">
        <f>1-(INDEX(Muuttujat!$O$5:$O$21,MATCH($C106,Muuttujat!$N$5:$N$21,0),1))</f>
        <v>0.96</v>
      </c>
      <c r="Q106" s="342">
        <f>INDEX(Muuttujat!$O$5:$O$21,MATCH($C106,Muuttujat!$N$5:$N$21,0),1)</f>
        <v>0.04</v>
      </c>
      <c r="R106" s="148">
        <f>INDEX(Muuttujat!$P$5:$P$21,MATCH($C106,Muuttujat!$N$5:$N$21,0),1)</f>
        <v>4.1787917527764125E-2</v>
      </c>
      <c r="S106" s="149">
        <f t="shared" si="21"/>
        <v>0</v>
      </c>
      <c r="T106" s="150">
        <f t="shared" si="22"/>
        <v>0</v>
      </c>
      <c r="U106" s="150">
        <f t="shared" si="23"/>
        <v>0</v>
      </c>
      <c r="V106" s="150">
        <f>IFERROR(INDEX(Työkonekanta!$J$3:$J$27,MATCH($A106,Työkonekanta!$A$3:$A$24,0),1)*$B106*ef_li_ion_akku/1000/1000/INDEX(Työkonekanta!$K$3:$K$27,MATCH($A106,Työkonekanta!$A$3:$A$24,0)),0)</f>
        <v>0</v>
      </c>
      <c r="W106" s="149">
        <f t="shared" si="24"/>
        <v>0</v>
      </c>
      <c r="X106" s="150">
        <f t="shared" si="33"/>
        <v>0</v>
      </c>
      <c r="Y106" s="151">
        <f t="shared" si="34"/>
        <v>0</v>
      </c>
      <c r="Z106" s="152">
        <f t="shared" si="28"/>
        <v>0</v>
      </c>
      <c r="AA106" s="153">
        <f t="shared" si="29"/>
        <v>0</v>
      </c>
      <c r="AB106" s="153">
        <f t="shared" si="30"/>
        <v>0</v>
      </c>
      <c r="AC106" s="154">
        <f t="shared" si="35"/>
        <v>0</v>
      </c>
      <c r="AD106" s="156">
        <f t="shared" si="31"/>
        <v>0</v>
      </c>
    </row>
    <row r="107" spans="1:30" s="144" customFormat="1">
      <c r="A107" s="139">
        <v>15</v>
      </c>
      <c r="B107" s="139">
        <f>IFERROR(INDEX(Työkonekanta!$F$3:$F$27,MATCH('S0a Baseline'!$A107,Työkonekanta!$A$3:$A$24,0),1),0)</f>
        <v>0</v>
      </c>
      <c r="C107" s="140">
        <v>2022</v>
      </c>
      <c r="D107" s="141" t="str">
        <f>IFERROR(INDEX(Työkonekanta!$D$3:$D$27,MATCH('S0a Baseline'!$A107,Työkonekanta!$A$3:$A$24,0),1),"undefined")</f>
        <v>sähkö</v>
      </c>
      <c r="E107" s="145">
        <f>IFERROR(INDEX(Työkonekanta!$G$3:$G$27,MATCH($A107,Työkonekanta!$A$3:$A$24,0),1)*INDEX(Työkonekanta!$H$3:$H$27,MATCH($A107,Työkonekanta!$A$3:$A$24,0),1)*$B107,0)</f>
        <v>0</v>
      </c>
      <c r="F107" s="344">
        <f t="shared" si="18"/>
        <v>0</v>
      </c>
      <c r="G107" s="344">
        <f t="shared" si="25"/>
        <v>0</v>
      </c>
      <c r="H107" s="344">
        <f t="shared" si="26"/>
        <v>0</v>
      </c>
      <c r="I107" s="145">
        <f t="shared" si="19"/>
        <v>0</v>
      </c>
      <c r="J107" s="145">
        <f t="shared" si="20"/>
        <v>0</v>
      </c>
      <c r="K107" s="142" t="str">
        <f t="shared" si="27"/>
        <v>kWh</v>
      </c>
      <c r="L107" s="146">
        <f>IFERROR(INDEX(Työkonekanta!$I$3:$I$27,MATCH('S0a Baseline'!$A107,Työkonekanta!$A$3:$A$24,0),1)*(I107+J107)*f_adblue,0)</f>
        <v>0</v>
      </c>
      <c r="M107" s="146">
        <f t="shared" si="32"/>
        <v>0</v>
      </c>
      <c r="N107" s="143" t="str">
        <f>IF(tuulisähkö_vuosi&lt;='S0a Baseline'!C107,"tuulisähkö",ostosähkö_nyt)</f>
        <v>jäännössähkö</v>
      </c>
      <c r="O107" s="147">
        <f>INDEX(Muuttujat!$J$5:$J$21,MATCH($C107,Muuttujat!$H$5:$H$21,0),1)</f>
        <v>67.190510474999996</v>
      </c>
      <c r="P107" s="342">
        <f>1-(INDEX(Muuttujat!$O$5:$O$21,MATCH($C107,Muuttujat!$N$5:$N$21,0),1))</f>
        <v>0.96</v>
      </c>
      <c r="Q107" s="342">
        <f>INDEX(Muuttujat!$O$5:$O$21,MATCH($C107,Muuttujat!$N$5:$N$21,0),1)</f>
        <v>0.04</v>
      </c>
      <c r="R107" s="148">
        <f>INDEX(Muuttujat!$P$5:$P$21,MATCH($C107,Muuttujat!$N$5:$N$21,0),1)</f>
        <v>4.1787917527764125E-2</v>
      </c>
      <c r="S107" s="149">
        <f t="shared" si="21"/>
        <v>0</v>
      </c>
      <c r="T107" s="150">
        <f t="shared" si="22"/>
        <v>0</v>
      </c>
      <c r="U107" s="150">
        <f t="shared" si="23"/>
        <v>0</v>
      </c>
      <c r="V107" s="150">
        <f>IFERROR(INDEX(Työkonekanta!$J$3:$J$27,MATCH($A107,Työkonekanta!$A$3:$A$24,0),1)*$B107*ef_li_ion_akku/1000/1000/INDEX(Työkonekanta!$K$3:$K$27,MATCH($A107,Työkonekanta!$A$3:$A$24,0)),0)</f>
        <v>0</v>
      </c>
      <c r="W107" s="149">
        <f t="shared" si="24"/>
        <v>0</v>
      </c>
      <c r="X107" s="150">
        <f t="shared" si="33"/>
        <v>0</v>
      </c>
      <c r="Y107" s="151">
        <f t="shared" si="34"/>
        <v>0</v>
      </c>
      <c r="Z107" s="152">
        <f t="shared" si="28"/>
        <v>0</v>
      </c>
      <c r="AA107" s="153">
        <f t="shared" si="29"/>
        <v>0</v>
      </c>
      <c r="AB107" s="153">
        <f t="shared" si="30"/>
        <v>0</v>
      </c>
      <c r="AC107" s="154">
        <f t="shared" si="35"/>
        <v>0</v>
      </c>
      <c r="AD107" s="156">
        <f t="shared" si="31"/>
        <v>0</v>
      </c>
    </row>
    <row r="108" spans="1:30" s="144" customFormat="1">
      <c r="A108" s="139">
        <v>16</v>
      </c>
      <c r="B108" s="139">
        <f>IFERROR(INDEX(Työkonekanta!$F$3:$F$27,MATCH('S0a Baseline'!$A108,Työkonekanta!$A$3:$A$24,0),1),0)</f>
        <v>0</v>
      </c>
      <c r="C108" s="140">
        <v>2022</v>
      </c>
      <c r="D108" s="141" t="str">
        <f>IFERROR(INDEX(Työkonekanta!$D$3:$D$27,MATCH('S0a Baseline'!$A108,Työkonekanta!$A$3:$A$24,0),1),"undefined")</f>
        <v>sähkö</v>
      </c>
      <c r="E108" s="145">
        <f>IFERROR(INDEX(Työkonekanta!$G$3:$G$27,MATCH($A108,Työkonekanta!$A$3:$A$24,0),1)*INDEX(Työkonekanta!$H$3:$H$27,MATCH($A108,Työkonekanta!$A$3:$A$24,0),1)*$B108,0)</f>
        <v>0</v>
      </c>
      <c r="F108" s="344">
        <f t="shared" si="18"/>
        <v>0</v>
      </c>
      <c r="G108" s="344">
        <f t="shared" si="25"/>
        <v>0</v>
      </c>
      <c r="H108" s="344">
        <f t="shared" si="26"/>
        <v>0</v>
      </c>
      <c r="I108" s="145">
        <f t="shared" si="19"/>
        <v>0</v>
      </c>
      <c r="J108" s="145">
        <f t="shared" si="20"/>
        <v>0</v>
      </c>
      <c r="K108" s="142" t="str">
        <f t="shared" si="27"/>
        <v>kWh</v>
      </c>
      <c r="L108" s="146">
        <f>IFERROR(INDEX(Työkonekanta!$I$3:$I$27,MATCH('S0a Baseline'!$A108,Työkonekanta!$A$3:$A$24,0),1)*(I108+J108)*f_adblue,0)</f>
        <v>0</v>
      </c>
      <c r="M108" s="146">
        <f t="shared" si="32"/>
        <v>0</v>
      </c>
      <c r="N108" s="143" t="str">
        <f>IF(tuulisähkö_vuosi&lt;='S0a Baseline'!C108,"tuulisähkö",ostosähkö_nyt)</f>
        <v>jäännössähkö</v>
      </c>
      <c r="O108" s="147">
        <f>INDEX(Muuttujat!$J$5:$J$21,MATCH($C108,Muuttujat!$H$5:$H$21,0),1)</f>
        <v>67.190510474999996</v>
      </c>
      <c r="P108" s="342">
        <f>1-(INDEX(Muuttujat!$O$5:$O$21,MATCH($C108,Muuttujat!$N$5:$N$21,0),1))</f>
        <v>0.96</v>
      </c>
      <c r="Q108" s="342">
        <f>INDEX(Muuttujat!$O$5:$O$21,MATCH($C108,Muuttujat!$N$5:$N$21,0),1)</f>
        <v>0.04</v>
      </c>
      <c r="R108" s="148">
        <f>INDEX(Muuttujat!$P$5:$P$21,MATCH($C108,Muuttujat!$N$5:$N$21,0),1)</f>
        <v>4.1787917527764125E-2</v>
      </c>
      <c r="S108" s="149">
        <f t="shared" si="21"/>
        <v>0</v>
      </c>
      <c r="T108" s="150">
        <f t="shared" si="22"/>
        <v>0</v>
      </c>
      <c r="U108" s="150">
        <f t="shared" si="23"/>
        <v>0</v>
      </c>
      <c r="V108" s="150">
        <f>IFERROR(INDEX(Työkonekanta!$J$3:$J$27,MATCH($A108,Työkonekanta!$A$3:$A$24,0),1)*$B108*ef_li_ion_akku/1000/1000/INDEX(Työkonekanta!$K$3:$K$27,MATCH($A108,Työkonekanta!$A$3:$A$24,0)),0)</f>
        <v>0</v>
      </c>
      <c r="W108" s="149">
        <f t="shared" si="24"/>
        <v>0</v>
      </c>
      <c r="X108" s="150">
        <f t="shared" si="33"/>
        <v>0</v>
      </c>
      <c r="Y108" s="151">
        <f t="shared" si="34"/>
        <v>0</v>
      </c>
      <c r="Z108" s="152">
        <f t="shared" si="28"/>
        <v>0</v>
      </c>
      <c r="AA108" s="153">
        <f t="shared" si="29"/>
        <v>0</v>
      </c>
      <c r="AB108" s="153">
        <f t="shared" si="30"/>
        <v>0</v>
      </c>
      <c r="AC108" s="154">
        <f t="shared" si="35"/>
        <v>0</v>
      </c>
      <c r="AD108" s="156">
        <f t="shared" si="31"/>
        <v>0</v>
      </c>
    </row>
    <row r="109" spans="1:30" s="144" customFormat="1">
      <c r="A109" s="139">
        <v>17</v>
      </c>
      <c r="B109" s="139">
        <f>IFERROR(INDEX(Työkonekanta!$F$3:$F$27,MATCH('S0a Baseline'!$A109,Työkonekanta!$A$3:$A$24,0),1),0)</f>
        <v>1</v>
      </c>
      <c r="C109" s="140">
        <v>2022</v>
      </c>
      <c r="D109" s="141" t="str">
        <f>IFERROR(INDEX(Työkonekanta!$D$3:$D$27,MATCH('S0a Baseline'!$A109,Työkonekanta!$A$3:$A$24,0),1),"undefined")</f>
        <v>pom</v>
      </c>
      <c r="E109" s="145">
        <f>IFERROR(INDEX(Työkonekanta!$G$3:$G$27,MATCH($A109,Työkonekanta!$A$3:$A$24,0),1)*INDEX(Työkonekanta!$H$3:$H$27,MATCH($A109,Työkonekanta!$A$3:$A$24,0),1)*$B109,0)</f>
        <v>10000</v>
      </c>
      <c r="F109" s="344">
        <f t="shared" si="18"/>
        <v>359000</v>
      </c>
      <c r="G109" s="344">
        <f t="shared" si="25"/>
        <v>344640</v>
      </c>
      <c r="H109" s="344">
        <f t="shared" si="26"/>
        <v>14360</v>
      </c>
      <c r="I109" s="145">
        <f t="shared" si="19"/>
        <v>9600</v>
      </c>
      <c r="J109" s="145">
        <f t="shared" si="20"/>
        <v>418.65889212827994</v>
      </c>
      <c r="K109" s="142" t="str">
        <f t="shared" si="27"/>
        <v>l</v>
      </c>
      <c r="L109" s="146">
        <f>IFERROR(INDEX(Työkonekanta!$I$3:$I$27,MATCH('S0a Baseline'!$A109,Työkonekanta!$A$3:$A$24,0),1)*(I109+J109)*f_adblue,0)</f>
        <v>500.93294460641403</v>
      </c>
      <c r="M109" s="146">
        <f t="shared" si="32"/>
        <v>0</v>
      </c>
      <c r="N109" s="143" t="str">
        <f>IF(tuulisähkö_vuosi&lt;='S0a Baseline'!C109,"tuulisähkö",ostosähkö_nyt)</f>
        <v>jäännössähkö</v>
      </c>
      <c r="O109" s="147">
        <f>INDEX(Muuttujat!$J$5:$J$21,MATCH($C109,Muuttujat!$H$5:$H$21,0),1)</f>
        <v>67.190510474999996</v>
      </c>
      <c r="P109" s="342">
        <f>1-(INDEX(Muuttujat!$O$5:$O$21,MATCH($C109,Muuttujat!$N$5:$N$21,0),1))</f>
        <v>0.96</v>
      </c>
      <c r="Q109" s="342">
        <f>INDEX(Muuttujat!$O$5:$O$21,MATCH($C109,Muuttujat!$N$5:$N$21,0),1)</f>
        <v>0.04</v>
      </c>
      <c r="R109" s="148">
        <f>INDEX(Muuttujat!$P$5:$P$21,MATCH($C109,Muuttujat!$N$5:$N$21,0),1)</f>
        <v>4.1787917527764125E-2</v>
      </c>
      <c r="S109" s="149">
        <f t="shared" si="21"/>
        <v>6.5136959999999986</v>
      </c>
      <c r="T109" s="150">
        <f t="shared" si="22"/>
        <v>0.89606399999999997</v>
      </c>
      <c r="U109" s="150">
        <f t="shared" si="23"/>
        <v>0</v>
      </c>
      <c r="V109" s="150">
        <f>IFERROR(INDEX(Työkonekanta!$J$3:$J$27,MATCH($A109,Työkonekanta!$A$3:$A$24,0),1)*$B109*ef_li_ion_akku/1000/1000/INDEX(Työkonekanta!$K$3:$K$27,MATCH($A109,Työkonekanta!$A$3:$A$24,0)),0)</f>
        <v>0</v>
      </c>
      <c r="W109" s="149">
        <f t="shared" si="24"/>
        <v>25.437276754559999</v>
      </c>
      <c r="X109" s="150">
        <f t="shared" si="33"/>
        <v>0.31774565999999999</v>
      </c>
      <c r="Y109" s="151">
        <f t="shared" si="34"/>
        <v>0.13024256559766767</v>
      </c>
      <c r="Z109" s="152">
        <f t="shared" si="28"/>
        <v>7.4097599999999986</v>
      </c>
      <c r="AA109" s="153">
        <f t="shared" si="29"/>
        <v>25.567519320157668</v>
      </c>
      <c r="AB109" s="153">
        <f t="shared" si="30"/>
        <v>25.885264980157668</v>
      </c>
      <c r="AC109" s="154">
        <f t="shared" si="35"/>
        <v>32.977279320157663</v>
      </c>
      <c r="AD109" s="156">
        <f t="shared" si="31"/>
        <v>33.295024980157663</v>
      </c>
    </row>
    <row r="110" spans="1:30" s="144" customFormat="1">
      <c r="A110" s="139">
        <v>18</v>
      </c>
      <c r="B110" s="139">
        <f>IFERROR(INDEX(Työkonekanta!$F$3:$F$27,MATCH('S0a Baseline'!$A110,Työkonekanta!$A$3:$A$24,0),1),0)</f>
        <v>1</v>
      </c>
      <c r="C110" s="140">
        <v>2022</v>
      </c>
      <c r="D110" s="141" t="str">
        <f>IFERROR(INDEX(Työkonekanta!$D$3:$D$27,MATCH('S0a Baseline'!$A110,Työkonekanta!$A$3:$A$24,0),1),"undefined")</f>
        <v>pom</v>
      </c>
      <c r="E110" s="145">
        <f>IFERROR(INDEX(Työkonekanta!$G$3:$G$27,MATCH($A110,Työkonekanta!$A$3:$A$24,0),1)*INDEX(Työkonekanta!$H$3:$H$27,MATCH($A110,Työkonekanta!$A$3:$A$24,0),1)*$B110,0)</f>
        <v>10000</v>
      </c>
      <c r="F110" s="344">
        <f t="shared" si="18"/>
        <v>359000</v>
      </c>
      <c r="G110" s="344">
        <f t="shared" si="25"/>
        <v>344640</v>
      </c>
      <c r="H110" s="344">
        <f t="shared" si="26"/>
        <v>14360</v>
      </c>
      <c r="I110" s="145">
        <f t="shared" si="19"/>
        <v>9600</v>
      </c>
      <c r="J110" s="145">
        <f t="shared" si="20"/>
        <v>418.65889212827994</v>
      </c>
      <c r="K110" s="142" t="str">
        <f t="shared" si="27"/>
        <v>l</v>
      </c>
      <c r="L110" s="146">
        <f>IFERROR(INDEX(Työkonekanta!$I$3:$I$27,MATCH('S0a Baseline'!$A110,Työkonekanta!$A$3:$A$24,0),1)*(I110+J110)*f_adblue,0)</f>
        <v>400.74635568513122</v>
      </c>
      <c r="M110" s="146">
        <f t="shared" si="32"/>
        <v>0</v>
      </c>
      <c r="N110" s="143" t="str">
        <f>IF(tuulisähkö_vuosi&lt;='S0a Baseline'!C110,"tuulisähkö",ostosähkö_nyt)</f>
        <v>jäännössähkö</v>
      </c>
      <c r="O110" s="147">
        <f>INDEX(Muuttujat!$J$5:$J$21,MATCH($C110,Muuttujat!$H$5:$H$21,0),1)</f>
        <v>67.190510474999996</v>
      </c>
      <c r="P110" s="342">
        <f>1-(INDEX(Muuttujat!$O$5:$O$21,MATCH($C110,Muuttujat!$N$5:$N$21,0),1))</f>
        <v>0.96</v>
      </c>
      <c r="Q110" s="342">
        <f>INDEX(Muuttujat!$O$5:$O$21,MATCH($C110,Muuttujat!$N$5:$N$21,0),1)</f>
        <v>0.04</v>
      </c>
      <c r="R110" s="148">
        <f>INDEX(Muuttujat!$P$5:$P$21,MATCH($C110,Muuttujat!$N$5:$N$21,0),1)</f>
        <v>4.1787917527764125E-2</v>
      </c>
      <c r="S110" s="149">
        <f t="shared" si="21"/>
        <v>6.5136959999999986</v>
      </c>
      <c r="T110" s="150">
        <f t="shared" si="22"/>
        <v>0.89606399999999997</v>
      </c>
      <c r="U110" s="150">
        <f t="shared" si="23"/>
        <v>0</v>
      </c>
      <c r="V110" s="150">
        <f>IFERROR(INDEX(Työkonekanta!$J$3:$J$27,MATCH($A110,Työkonekanta!$A$3:$A$24,0),1)*$B110*ef_li_ion_akku/1000/1000/INDEX(Työkonekanta!$K$3:$K$27,MATCH($A110,Työkonekanta!$A$3:$A$24,0)),0)</f>
        <v>0</v>
      </c>
      <c r="W110" s="149">
        <f t="shared" si="24"/>
        <v>25.437276754559999</v>
      </c>
      <c r="X110" s="150">
        <f t="shared" si="33"/>
        <v>0.31774565999999999</v>
      </c>
      <c r="Y110" s="151">
        <f t="shared" si="34"/>
        <v>0.10419405247813412</v>
      </c>
      <c r="Z110" s="152">
        <f t="shared" si="28"/>
        <v>7.4097599999999986</v>
      </c>
      <c r="AA110" s="153">
        <f t="shared" si="29"/>
        <v>25.541470807038134</v>
      </c>
      <c r="AB110" s="153">
        <f t="shared" si="30"/>
        <v>25.859216467038134</v>
      </c>
      <c r="AC110" s="154">
        <f t="shared" si="35"/>
        <v>32.951230807038129</v>
      </c>
      <c r="AD110" s="156">
        <f t="shared" si="31"/>
        <v>33.268976467038129</v>
      </c>
    </row>
    <row r="111" spans="1:30" s="144" customFormat="1">
      <c r="A111" s="139">
        <v>19</v>
      </c>
      <c r="B111" s="139">
        <f>IFERROR(INDEX(Työkonekanta!$F$3:$F$27,MATCH('S0a Baseline'!$A111,Työkonekanta!$A$3:$A$24,0),1),0)</f>
        <v>0</v>
      </c>
      <c r="C111" s="140">
        <v>2022</v>
      </c>
      <c r="D111" s="141" t="str">
        <f>IFERROR(INDEX(Työkonekanta!$D$3:$D$27,MATCH('S0a Baseline'!$A111,Työkonekanta!$A$3:$A$24,0),1),"undefined")</f>
        <v>pom</v>
      </c>
      <c r="E111" s="145">
        <f>IFERROR(INDEX(Työkonekanta!$G$3:$G$27,MATCH($A111,Työkonekanta!$A$3:$A$24,0),1)*INDEX(Työkonekanta!$H$3:$H$27,MATCH($A111,Työkonekanta!$A$3:$A$24,0),1)*$B111,0)</f>
        <v>0</v>
      </c>
      <c r="F111" s="344">
        <f t="shared" si="18"/>
        <v>0</v>
      </c>
      <c r="G111" s="344">
        <f t="shared" si="25"/>
        <v>0</v>
      </c>
      <c r="H111" s="344">
        <f t="shared" si="26"/>
        <v>0</v>
      </c>
      <c r="I111" s="145">
        <f t="shared" si="19"/>
        <v>0</v>
      </c>
      <c r="J111" s="145">
        <f t="shared" si="20"/>
        <v>0</v>
      </c>
      <c r="K111" s="142" t="str">
        <f t="shared" si="27"/>
        <v>l</v>
      </c>
      <c r="L111" s="146">
        <f>IFERROR(INDEX(Työkonekanta!$I$3:$I$27,MATCH('S0a Baseline'!$A111,Työkonekanta!$A$3:$A$24,0),1)*(I111+J111)*f_adblue,0)</f>
        <v>0</v>
      </c>
      <c r="M111" s="146">
        <f t="shared" si="32"/>
        <v>0</v>
      </c>
      <c r="N111" s="143" t="str">
        <f>IF(tuulisähkö_vuosi&lt;='S0a Baseline'!C111,"tuulisähkö",ostosähkö_nyt)</f>
        <v>jäännössähkö</v>
      </c>
      <c r="O111" s="147">
        <f>INDEX(Muuttujat!$J$5:$J$21,MATCH($C111,Muuttujat!$H$5:$H$21,0),1)</f>
        <v>67.190510474999996</v>
      </c>
      <c r="P111" s="342">
        <f>1-(INDEX(Muuttujat!$O$5:$O$21,MATCH($C111,Muuttujat!$N$5:$N$21,0),1))</f>
        <v>0.96</v>
      </c>
      <c r="Q111" s="342">
        <f>INDEX(Muuttujat!$O$5:$O$21,MATCH($C111,Muuttujat!$N$5:$N$21,0),1)</f>
        <v>0.04</v>
      </c>
      <c r="R111" s="148">
        <f>INDEX(Muuttujat!$P$5:$P$21,MATCH($C111,Muuttujat!$N$5:$N$21,0),1)</f>
        <v>4.1787917527764125E-2</v>
      </c>
      <c r="S111" s="149">
        <f t="shared" si="21"/>
        <v>0</v>
      </c>
      <c r="T111" s="150">
        <f t="shared" si="22"/>
        <v>0</v>
      </c>
      <c r="U111" s="150">
        <f t="shared" si="23"/>
        <v>0</v>
      </c>
      <c r="V111" s="150">
        <f>IFERROR(INDEX(Työkonekanta!$J$3:$J$27,MATCH($A111,Työkonekanta!$A$3:$A$24,0),1)*$B111*ef_li_ion_akku/1000/1000/INDEX(Työkonekanta!$K$3:$K$27,MATCH($A111,Työkonekanta!$A$3:$A$24,0)),0)</f>
        <v>0</v>
      </c>
      <c r="W111" s="149">
        <f t="shared" si="24"/>
        <v>0</v>
      </c>
      <c r="X111" s="150">
        <f t="shared" si="33"/>
        <v>0</v>
      </c>
      <c r="Y111" s="151">
        <f t="shared" si="34"/>
        <v>0</v>
      </c>
      <c r="Z111" s="152">
        <f t="shared" si="28"/>
        <v>0</v>
      </c>
      <c r="AA111" s="153">
        <f t="shared" si="29"/>
        <v>0</v>
      </c>
      <c r="AB111" s="153">
        <f t="shared" si="30"/>
        <v>0</v>
      </c>
      <c r="AC111" s="154">
        <f t="shared" si="35"/>
        <v>0</v>
      </c>
      <c r="AD111" s="156">
        <f t="shared" si="31"/>
        <v>0</v>
      </c>
    </row>
    <row r="112" spans="1:30" s="144" customFormat="1">
      <c r="A112" s="139">
        <v>20</v>
      </c>
      <c r="B112" s="139">
        <f>IFERROR(INDEX(Työkonekanta!$F$3:$F$27,MATCH('S0a Baseline'!$A112,Työkonekanta!$A$3:$A$24,0),1),0)</f>
        <v>0</v>
      </c>
      <c r="C112" s="140">
        <v>2022</v>
      </c>
      <c r="D112" s="141" t="str">
        <f>IFERROR(INDEX(Työkonekanta!$D$3:$D$27,MATCH('S0a Baseline'!$A112,Työkonekanta!$A$3:$A$24,0),1),"undefined")</f>
        <v>pom</v>
      </c>
      <c r="E112" s="145">
        <f>IFERROR(INDEX(Työkonekanta!$G$3:$G$27,MATCH($A112,Työkonekanta!$A$3:$A$24,0),1)*INDEX(Työkonekanta!$H$3:$H$27,MATCH($A112,Työkonekanta!$A$3:$A$24,0),1)*$B112,0)</f>
        <v>0</v>
      </c>
      <c r="F112" s="344">
        <f t="shared" si="18"/>
        <v>0</v>
      </c>
      <c r="G112" s="344">
        <f t="shared" si="25"/>
        <v>0</v>
      </c>
      <c r="H112" s="344">
        <f t="shared" si="26"/>
        <v>0</v>
      </c>
      <c r="I112" s="145">
        <f t="shared" si="19"/>
        <v>0</v>
      </c>
      <c r="J112" s="145">
        <f t="shared" si="20"/>
        <v>0</v>
      </c>
      <c r="K112" s="142" t="str">
        <f t="shared" si="27"/>
        <v>l</v>
      </c>
      <c r="L112" s="146">
        <f>IFERROR(INDEX(Työkonekanta!$I$3:$I$27,MATCH('S0a Baseline'!$A112,Työkonekanta!$A$3:$A$24,0),1)*(I112+J112)*f_adblue,0)</f>
        <v>0</v>
      </c>
      <c r="M112" s="146">
        <f t="shared" si="32"/>
        <v>0</v>
      </c>
      <c r="N112" s="143" t="str">
        <f>IF(tuulisähkö_vuosi&lt;='S0a Baseline'!C112,"tuulisähkö",ostosähkö_nyt)</f>
        <v>jäännössähkö</v>
      </c>
      <c r="O112" s="147">
        <f>INDEX(Muuttujat!$J$5:$J$21,MATCH($C112,Muuttujat!$H$5:$H$21,0),1)</f>
        <v>67.190510474999996</v>
      </c>
      <c r="P112" s="342">
        <f>1-(INDEX(Muuttujat!$O$5:$O$21,MATCH($C112,Muuttujat!$N$5:$N$21,0),1))</f>
        <v>0.96</v>
      </c>
      <c r="Q112" s="342">
        <f>INDEX(Muuttujat!$O$5:$O$21,MATCH($C112,Muuttujat!$N$5:$N$21,0),1)</f>
        <v>0.04</v>
      </c>
      <c r="R112" s="148">
        <f>INDEX(Muuttujat!$P$5:$P$21,MATCH($C112,Muuttujat!$N$5:$N$21,0),1)</f>
        <v>4.1787917527764125E-2</v>
      </c>
      <c r="S112" s="149">
        <f t="shared" si="21"/>
        <v>0</v>
      </c>
      <c r="T112" s="150">
        <f t="shared" si="22"/>
        <v>0</v>
      </c>
      <c r="U112" s="150">
        <f t="shared" si="23"/>
        <v>0</v>
      </c>
      <c r="V112" s="150">
        <f>IFERROR(INDEX(Työkonekanta!$J$3:$J$27,MATCH($A112,Työkonekanta!$A$3:$A$24,0),1)*$B112*ef_li_ion_akku/1000/1000/INDEX(Työkonekanta!$K$3:$K$27,MATCH($A112,Työkonekanta!$A$3:$A$24,0)),0)</f>
        <v>0</v>
      </c>
      <c r="W112" s="149">
        <f t="shared" si="24"/>
        <v>0</v>
      </c>
      <c r="X112" s="150">
        <f t="shared" si="33"/>
        <v>0</v>
      </c>
      <c r="Y112" s="151">
        <f t="shared" si="34"/>
        <v>0</v>
      </c>
      <c r="Z112" s="152">
        <f t="shared" si="28"/>
        <v>0</v>
      </c>
      <c r="AA112" s="153">
        <f t="shared" si="29"/>
        <v>0</v>
      </c>
      <c r="AB112" s="153">
        <f t="shared" si="30"/>
        <v>0</v>
      </c>
      <c r="AC112" s="154">
        <f t="shared" si="35"/>
        <v>0</v>
      </c>
      <c r="AD112" s="156">
        <f t="shared" si="31"/>
        <v>0</v>
      </c>
    </row>
    <row r="113" spans="1:30" s="144" customFormat="1">
      <c r="A113" s="139">
        <v>21</v>
      </c>
      <c r="B113" s="139">
        <f>IFERROR(INDEX(Työkonekanta!$F$3:$F$27,MATCH('S0a Baseline'!$A113,Työkonekanta!$A$3:$A$24,0),1),0)</f>
        <v>35</v>
      </c>
      <c r="C113" s="140">
        <v>2022</v>
      </c>
      <c r="D113" s="141" t="str">
        <f>IFERROR(INDEX(Työkonekanta!$D$3:$D$27,MATCH('S0a Baseline'!$A113,Työkonekanta!$A$3:$A$24,0),1),"undefined")</f>
        <v>sähkö</v>
      </c>
      <c r="E113" s="145">
        <f>IFERROR(INDEX(Työkonekanta!$G$3:$G$27,MATCH($A113,Työkonekanta!$A$3:$A$24,0),1)*INDEX(Työkonekanta!$H$3:$H$27,MATCH($A113,Työkonekanta!$A$3:$A$24,0),1)*$B113,0)</f>
        <v>407199.07407407404</v>
      </c>
      <c r="F113" s="344">
        <f t="shared" si="18"/>
        <v>0</v>
      </c>
      <c r="G113" s="344">
        <f t="shared" si="25"/>
        <v>0</v>
      </c>
      <c r="H113" s="344">
        <f t="shared" si="26"/>
        <v>0</v>
      </c>
      <c r="I113" s="145">
        <f t="shared" si="19"/>
        <v>0</v>
      </c>
      <c r="J113" s="145">
        <f t="shared" si="20"/>
        <v>0</v>
      </c>
      <c r="K113" s="142" t="str">
        <f t="shared" si="27"/>
        <v>kWh</v>
      </c>
      <c r="L113" s="146">
        <f>IFERROR(INDEX(Työkonekanta!$I$3:$I$27,MATCH('S0a Baseline'!$A113,Työkonekanta!$A$3:$A$24,0),1)*(I113+J113)*f_adblue,0)</f>
        <v>0</v>
      </c>
      <c r="M113" s="146">
        <f t="shared" si="32"/>
        <v>1465916.6666666665</v>
      </c>
      <c r="N113" s="143" t="str">
        <f>IF(tuulisähkö_vuosi&lt;='S0a Baseline'!C113,"tuulisähkö",ostosähkö_nyt)</f>
        <v>jäännössähkö</v>
      </c>
      <c r="O113" s="147">
        <f>INDEX(Muuttujat!$J$5:$J$21,MATCH($C113,Muuttujat!$H$5:$H$21,0),1)</f>
        <v>67.190510474999996</v>
      </c>
      <c r="P113" s="342">
        <f>1-(INDEX(Muuttujat!$O$5:$O$21,MATCH($C113,Muuttujat!$N$5:$N$21,0),1))</f>
        <v>0.96</v>
      </c>
      <c r="Q113" s="342">
        <f>INDEX(Muuttujat!$O$5:$O$21,MATCH($C113,Muuttujat!$N$5:$N$21,0),1)</f>
        <v>0.04</v>
      </c>
      <c r="R113" s="148">
        <f>INDEX(Muuttujat!$P$5:$P$21,MATCH($C113,Muuttujat!$N$5:$N$21,0),1)</f>
        <v>4.1787917527764125E-2</v>
      </c>
      <c r="S113" s="149">
        <f t="shared" si="21"/>
        <v>0</v>
      </c>
      <c r="T113" s="150">
        <f t="shared" si="22"/>
        <v>0</v>
      </c>
      <c r="U113" s="150">
        <f t="shared" si="23"/>
        <v>98.495689147143736</v>
      </c>
      <c r="V113" s="150">
        <f>IFERROR(INDEX(Työkonekanta!$J$3:$J$27,MATCH($A113,Työkonekanta!$A$3:$A$24,0),1)*$B113*ef_li_ion_akku/1000/1000/INDEX(Työkonekanta!$K$3:$K$27,MATCH($A113,Työkonekanta!$A$3:$A$24,0)),0)</f>
        <v>43.121723076923082</v>
      </c>
      <c r="W113" s="149">
        <f t="shared" si="24"/>
        <v>0</v>
      </c>
      <c r="X113" s="150">
        <f t="shared" si="33"/>
        <v>0</v>
      </c>
      <c r="Y113" s="151">
        <f t="shared" si="34"/>
        <v>0</v>
      </c>
      <c r="Z113" s="152">
        <f t="shared" si="28"/>
        <v>141.61741222406681</v>
      </c>
      <c r="AA113" s="153">
        <f t="shared" si="29"/>
        <v>0</v>
      </c>
      <c r="AB113" s="153">
        <f t="shared" si="30"/>
        <v>0</v>
      </c>
      <c r="AC113" s="154">
        <f t="shared" si="35"/>
        <v>141.61741222406681</v>
      </c>
      <c r="AD113" s="156">
        <f t="shared" si="31"/>
        <v>141.61741222406681</v>
      </c>
    </row>
    <row r="114" spans="1:30" s="144" customFormat="1">
      <c r="A114" s="139">
        <v>22</v>
      </c>
      <c r="B114" s="139">
        <f>IFERROR(INDEX(Työkonekanta!$F$3:$F$27,MATCH('S0a Baseline'!$A114,Työkonekanta!$A$3:$A$24,0),1),0)</f>
        <v>0</v>
      </c>
      <c r="C114" s="140">
        <v>2022</v>
      </c>
      <c r="D114" s="141" t="str">
        <f>IFERROR(INDEX(Työkonekanta!$D$3:$D$27,MATCH('S0a Baseline'!$A114,Työkonekanta!$A$3:$A$24,0),1),"undefined")</f>
        <v>sähkö</v>
      </c>
      <c r="E114" s="145">
        <f>IFERROR(INDEX(Työkonekanta!$G$3:$G$27,MATCH($A114,Työkonekanta!$A$3:$A$24,0),1)*INDEX(Työkonekanta!$H$3:$H$27,MATCH($A114,Työkonekanta!$A$3:$A$24,0),1)*$B114,0)</f>
        <v>0</v>
      </c>
      <c r="F114" s="344">
        <f t="shared" si="18"/>
        <v>0</v>
      </c>
      <c r="G114" s="344">
        <f t="shared" si="25"/>
        <v>0</v>
      </c>
      <c r="H114" s="344">
        <f t="shared" si="26"/>
        <v>0</v>
      </c>
      <c r="I114" s="145">
        <f t="shared" si="19"/>
        <v>0</v>
      </c>
      <c r="J114" s="145">
        <f t="shared" si="20"/>
        <v>0</v>
      </c>
      <c r="K114" s="142" t="str">
        <f t="shared" si="27"/>
        <v>kWh</v>
      </c>
      <c r="L114" s="146">
        <f>IFERROR(INDEX(Työkonekanta!$I$3:$I$27,MATCH('S0a Baseline'!$A114,Työkonekanta!$A$3:$A$24,0),1)*(I114+J114)*f_adblue,0)</f>
        <v>0</v>
      </c>
      <c r="M114" s="146">
        <f t="shared" si="32"/>
        <v>0</v>
      </c>
      <c r="N114" s="143" t="str">
        <f>IF(tuulisähkö_vuosi&lt;='S0a Baseline'!C114,"tuulisähkö",ostosähkö_nyt)</f>
        <v>jäännössähkö</v>
      </c>
      <c r="O114" s="147">
        <f>INDEX(Muuttujat!$J$5:$J$21,MATCH($C114,Muuttujat!$H$5:$H$21,0),1)</f>
        <v>67.190510474999996</v>
      </c>
      <c r="P114" s="342">
        <f>1-(INDEX(Muuttujat!$O$5:$O$21,MATCH($C114,Muuttujat!$N$5:$N$21,0),1))</f>
        <v>0.96</v>
      </c>
      <c r="Q114" s="342">
        <f>INDEX(Muuttujat!$O$5:$O$21,MATCH($C114,Muuttujat!$N$5:$N$21,0),1)</f>
        <v>0.04</v>
      </c>
      <c r="R114" s="148">
        <f>INDEX(Muuttujat!$P$5:$P$21,MATCH($C114,Muuttujat!$N$5:$N$21,0),1)</f>
        <v>4.1787917527764125E-2</v>
      </c>
      <c r="S114" s="149">
        <f t="shared" si="21"/>
        <v>0</v>
      </c>
      <c r="T114" s="150">
        <f t="shared" si="22"/>
        <v>0</v>
      </c>
      <c r="U114" s="150">
        <f t="shared" si="23"/>
        <v>0</v>
      </c>
      <c r="V114" s="150">
        <f>IFERROR(INDEX(Työkonekanta!$J$3:$J$27,MATCH($A114,Työkonekanta!$A$3:$A$24,0),1)*$B114*ef_li_ion_akku/1000/1000/INDEX(Työkonekanta!$K$3:$K$27,MATCH($A114,Työkonekanta!$A$3:$A$24,0)),0)</f>
        <v>0</v>
      </c>
      <c r="W114" s="149">
        <f t="shared" si="24"/>
        <v>0</v>
      </c>
      <c r="X114" s="150">
        <f t="shared" si="33"/>
        <v>0</v>
      </c>
      <c r="Y114" s="151">
        <f t="shared" si="34"/>
        <v>0</v>
      </c>
      <c r="Z114" s="152">
        <f t="shared" si="28"/>
        <v>0</v>
      </c>
      <c r="AA114" s="153">
        <f t="shared" si="29"/>
        <v>0</v>
      </c>
      <c r="AB114" s="153">
        <f t="shared" si="30"/>
        <v>0</v>
      </c>
      <c r="AC114" s="154">
        <f t="shared" si="35"/>
        <v>0</v>
      </c>
      <c r="AD114" s="156">
        <f t="shared" si="31"/>
        <v>0</v>
      </c>
    </row>
    <row r="115" spans="1:30" s="144" customFormat="1">
      <c r="A115" s="139">
        <v>23</v>
      </c>
      <c r="B115" s="139">
        <f>IFERROR(INDEX(Työkonekanta!$F$3:$F$27,MATCH('S0a Baseline'!$A115,Työkonekanta!$A$3:$A$24,0),1),0)</f>
        <v>0</v>
      </c>
      <c r="C115" s="140">
        <v>2022</v>
      </c>
      <c r="D115" s="141" t="str">
        <f>IFERROR(INDEX(Työkonekanta!$D$3:$D$27,MATCH('S0a Baseline'!$A115,Työkonekanta!$A$3:$A$24,0),1),"undefined")</f>
        <v>undefined</v>
      </c>
      <c r="E115" s="145">
        <f>IFERROR(INDEX(Työkonekanta!$G$3:$G$27,MATCH($A115,Työkonekanta!$A$3:$A$24,0),1)*INDEX(Työkonekanta!$H$3:$H$27,MATCH($A115,Työkonekanta!$A$3:$A$24,0),1)*$B115,0)</f>
        <v>0</v>
      </c>
      <c r="F115" s="344">
        <f t="shared" si="18"/>
        <v>0</v>
      </c>
      <c r="G115" s="344">
        <f t="shared" si="25"/>
        <v>0</v>
      </c>
      <c r="H115" s="344">
        <f t="shared" si="26"/>
        <v>0</v>
      </c>
      <c r="I115" s="145">
        <f t="shared" si="19"/>
        <v>0</v>
      </c>
      <c r="J115" s="145">
        <f t="shared" si="20"/>
        <v>0</v>
      </c>
      <c r="K115" s="142" t="str">
        <f t="shared" si="27"/>
        <v>undefined</v>
      </c>
      <c r="L115" s="146">
        <f>IFERROR(INDEX(Työkonekanta!$I$3:$I$27,MATCH('S0a Baseline'!$A115,Työkonekanta!$A$3:$A$24,0),1)*(I115+J115)*f_adblue,0)</f>
        <v>0</v>
      </c>
      <c r="M115" s="146">
        <f t="shared" si="32"/>
        <v>0</v>
      </c>
      <c r="N115" s="143" t="str">
        <f>IF(tuulisähkö_vuosi&lt;='S0a Baseline'!C115,"tuulisähkö",ostosähkö_nyt)</f>
        <v>jäännössähkö</v>
      </c>
      <c r="O115" s="147">
        <f>INDEX(Muuttujat!$J$5:$J$21,MATCH($C115,Muuttujat!$H$5:$H$21,0),1)</f>
        <v>67.190510474999996</v>
      </c>
      <c r="P115" s="342">
        <f>1-(INDEX(Muuttujat!$O$5:$O$21,MATCH($C115,Muuttujat!$N$5:$N$21,0),1))</f>
        <v>0.96</v>
      </c>
      <c r="Q115" s="342">
        <f>INDEX(Muuttujat!$O$5:$O$21,MATCH($C115,Muuttujat!$N$5:$N$21,0),1)</f>
        <v>0.04</v>
      </c>
      <c r="R115" s="148">
        <f>INDEX(Muuttujat!$P$5:$P$21,MATCH($C115,Muuttujat!$N$5:$N$21,0),1)</f>
        <v>4.1787917527764125E-2</v>
      </c>
      <c r="S115" s="149">
        <f t="shared" si="21"/>
        <v>0</v>
      </c>
      <c r="T115" s="150">
        <f t="shared" si="22"/>
        <v>0</v>
      </c>
      <c r="U115" s="150">
        <f t="shared" si="23"/>
        <v>0</v>
      </c>
      <c r="V115" s="150">
        <f>IFERROR(INDEX(Työkonekanta!$J$3:$J$27,MATCH($A115,Työkonekanta!$A$3:$A$24,0),1)*$B115*ef_li_ion_akku/1000/1000/INDEX(Työkonekanta!$K$3:$K$27,MATCH($A115,Työkonekanta!$A$3:$A$24,0)),0)</f>
        <v>0</v>
      </c>
      <c r="W115" s="149">
        <f t="shared" si="24"/>
        <v>0</v>
      </c>
      <c r="X115" s="150">
        <f t="shared" si="33"/>
        <v>0</v>
      </c>
      <c r="Y115" s="151">
        <f t="shared" si="34"/>
        <v>0</v>
      </c>
      <c r="Z115" s="152">
        <f t="shared" si="28"/>
        <v>0</v>
      </c>
      <c r="AA115" s="153">
        <f t="shared" si="29"/>
        <v>0</v>
      </c>
      <c r="AB115" s="153">
        <f t="shared" si="30"/>
        <v>0</v>
      </c>
      <c r="AC115" s="154">
        <f t="shared" si="35"/>
        <v>0</v>
      </c>
      <c r="AD115" s="156">
        <f t="shared" si="31"/>
        <v>0</v>
      </c>
    </row>
    <row r="116" spans="1:30" s="144" customFormat="1">
      <c r="A116" s="139">
        <v>24</v>
      </c>
      <c r="B116" s="139">
        <f>IFERROR(INDEX(Työkonekanta!$F$3:$F$27,MATCH('S0a Baseline'!$A116,Työkonekanta!$A$3:$A$24,0),1),0)</f>
        <v>0</v>
      </c>
      <c r="C116" s="140">
        <v>2022</v>
      </c>
      <c r="D116" s="141" t="str">
        <f>IFERROR(INDEX(Työkonekanta!$D$3:$D$27,MATCH('S0a Baseline'!$A116,Työkonekanta!$A$3:$A$24,0),1),"undefined")</f>
        <v>undefined</v>
      </c>
      <c r="E116" s="145">
        <f>IFERROR(INDEX(Työkonekanta!$G$3:$G$27,MATCH($A116,Työkonekanta!$A$3:$A$24,0),1)*INDEX(Työkonekanta!$H$3:$H$27,MATCH($A116,Työkonekanta!$A$3:$A$24,0),1)*$B116,0)</f>
        <v>0</v>
      </c>
      <c r="F116" s="344">
        <f t="shared" si="18"/>
        <v>0</v>
      </c>
      <c r="G116" s="344">
        <f t="shared" si="25"/>
        <v>0</v>
      </c>
      <c r="H116" s="344">
        <f t="shared" si="26"/>
        <v>0</v>
      </c>
      <c r="I116" s="145">
        <f t="shared" si="19"/>
        <v>0</v>
      </c>
      <c r="J116" s="145">
        <f t="shared" si="20"/>
        <v>0</v>
      </c>
      <c r="K116" s="142" t="str">
        <f t="shared" si="27"/>
        <v>undefined</v>
      </c>
      <c r="L116" s="146">
        <f>IFERROR(INDEX(Työkonekanta!$I$3:$I$27,MATCH('S0a Baseline'!$A116,Työkonekanta!$A$3:$A$24,0),1)*(I116+J116)*f_adblue,0)</f>
        <v>0</v>
      </c>
      <c r="M116" s="146">
        <f t="shared" si="32"/>
        <v>0</v>
      </c>
      <c r="N116" s="143" t="str">
        <f>IF(tuulisähkö_vuosi&lt;='S0a Baseline'!C116,"tuulisähkö",ostosähkö_nyt)</f>
        <v>jäännössähkö</v>
      </c>
      <c r="O116" s="147">
        <f>INDEX(Muuttujat!$J$5:$J$21,MATCH($C116,Muuttujat!$H$5:$H$21,0),1)</f>
        <v>67.190510474999996</v>
      </c>
      <c r="P116" s="342">
        <f>1-(INDEX(Muuttujat!$O$5:$O$21,MATCH($C116,Muuttujat!$N$5:$N$21,0),1))</f>
        <v>0.96</v>
      </c>
      <c r="Q116" s="342">
        <f>INDEX(Muuttujat!$O$5:$O$21,MATCH($C116,Muuttujat!$N$5:$N$21,0),1)</f>
        <v>0.04</v>
      </c>
      <c r="R116" s="148">
        <f>INDEX(Muuttujat!$P$5:$P$21,MATCH($C116,Muuttujat!$N$5:$N$21,0),1)</f>
        <v>4.1787917527764125E-2</v>
      </c>
      <c r="S116" s="149">
        <f t="shared" si="21"/>
        <v>0</v>
      </c>
      <c r="T116" s="150">
        <f t="shared" si="22"/>
        <v>0</v>
      </c>
      <c r="U116" s="150">
        <f t="shared" si="23"/>
        <v>0</v>
      </c>
      <c r="V116" s="150">
        <f>IFERROR(INDEX(Työkonekanta!$J$3:$J$27,MATCH($A116,Työkonekanta!$A$3:$A$24,0),1)*$B116*ef_li_ion_akku/1000/1000/INDEX(Työkonekanta!$K$3:$K$27,MATCH($A116,Työkonekanta!$A$3:$A$24,0)),0)</f>
        <v>0</v>
      </c>
      <c r="W116" s="149">
        <f t="shared" si="24"/>
        <v>0</v>
      </c>
      <c r="X116" s="150">
        <f t="shared" si="33"/>
        <v>0</v>
      </c>
      <c r="Y116" s="151">
        <f t="shared" si="34"/>
        <v>0</v>
      </c>
      <c r="Z116" s="152">
        <f t="shared" si="28"/>
        <v>0</v>
      </c>
      <c r="AA116" s="153">
        <f t="shared" si="29"/>
        <v>0</v>
      </c>
      <c r="AB116" s="153">
        <f t="shared" si="30"/>
        <v>0</v>
      </c>
      <c r="AC116" s="154">
        <f t="shared" si="35"/>
        <v>0</v>
      </c>
      <c r="AD116" s="156">
        <f t="shared" si="31"/>
        <v>0</v>
      </c>
    </row>
    <row r="117" spans="1:30" s="144" customFormat="1">
      <c r="A117" s="139">
        <v>25</v>
      </c>
      <c r="B117" s="139">
        <f>IFERROR(INDEX(Työkonekanta!$F$3:$F$27,MATCH('S0a Baseline'!$A117,Työkonekanta!$A$3:$A$24,0),1),0)</f>
        <v>0</v>
      </c>
      <c r="C117" s="140">
        <v>2022</v>
      </c>
      <c r="D117" s="141" t="str">
        <f>IFERROR(INDEX(Työkonekanta!$D$3:$D$27,MATCH('S0a Baseline'!$A117,Työkonekanta!$A$3:$A$24,0),1),"undefined")</f>
        <v>undefined</v>
      </c>
      <c r="E117" s="145">
        <f>IFERROR(INDEX(Työkonekanta!$G$3:$G$27,MATCH($A117,Työkonekanta!$A$3:$A$24,0),1)*INDEX(Työkonekanta!$H$3:$H$27,MATCH($A117,Työkonekanta!$A$3:$A$24,0),1)*$B117,0)</f>
        <v>0</v>
      </c>
      <c r="F117" s="344">
        <f t="shared" si="18"/>
        <v>0</v>
      </c>
      <c r="G117" s="344">
        <f t="shared" si="25"/>
        <v>0</v>
      </c>
      <c r="H117" s="344">
        <f t="shared" si="26"/>
        <v>0</v>
      </c>
      <c r="I117" s="145">
        <f t="shared" si="19"/>
        <v>0</v>
      </c>
      <c r="J117" s="145">
        <f t="shared" si="20"/>
        <v>0</v>
      </c>
      <c r="K117" s="142" t="str">
        <f t="shared" si="27"/>
        <v>undefined</v>
      </c>
      <c r="L117" s="146">
        <f>IFERROR(INDEX(Työkonekanta!$I$3:$I$27,MATCH('S0a Baseline'!$A117,Työkonekanta!$A$3:$A$24,0),1)*(I117+J117)*f_adblue,0)</f>
        <v>0</v>
      </c>
      <c r="M117" s="146">
        <f t="shared" si="32"/>
        <v>0</v>
      </c>
      <c r="N117" s="143" t="str">
        <f>IF(tuulisähkö_vuosi&lt;='S0a Baseline'!C117,"tuulisähkö",ostosähkö_nyt)</f>
        <v>jäännössähkö</v>
      </c>
      <c r="O117" s="147">
        <f>INDEX(Muuttujat!$J$5:$J$21,MATCH($C117,Muuttujat!$H$5:$H$21,0),1)</f>
        <v>67.190510474999996</v>
      </c>
      <c r="P117" s="342">
        <f>1-(INDEX(Muuttujat!$O$5:$O$21,MATCH($C117,Muuttujat!$N$5:$N$21,0),1))</f>
        <v>0.96</v>
      </c>
      <c r="Q117" s="342">
        <f>INDEX(Muuttujat!$O$5:$O$21,MATCH($C117,Muuttujat!$N$5:$N$21,0),1)</f>
        <v>0.04</v>
      </c>
      <c r="R117" s="148">
        <f>INDEX(Muuttujat!$P$5:$P$21,MATCH($C117,Muuttujat!$N$5:$N$21,0),1)</f>
        <v>4.1787917527764125E-2</v>
      </c>
      <c r="S117" s="149">
        <f t="shared" si="21"/>
        <v>0</v>
      </c>
      <c r="T117" s="150">
        <f t="shared" si="22"/>
        <v>0</v>
      </c>
      <c r="U117" s="150">
        <f t="shared" si="23"/>
        <v>0</v>
      </c>
      <c r="V117" s="150">
        <f>IFERROR(INDEX(Työkonekanta!$J$3:$J$27,MATCH($A117,Työkonekanta!$A$3:$A$24,0),1)*$B117*ef_li_ion_akku/1000/1000/INDEX(Työkonekanta!$K$3:$K$27,MATCH($A117,Työkonekanta!$A$3:$A$24,0)),0)</f>
        <v>0</v>
      </c>
      <c r="W117" s="149">
        <f t="shared" si="24"/>
        <v>0</v>
      </c>
      <c r="X117" s="150">
        <f t="shared" si="33"/>
        <v>0</v>
      </c>
      <c r="Y117" s="151">
        <f t="shared" si="34"/>
        <v>0</v>
      </c>
      <c r="Z117" s="152">
        <f t="shared" si="28"/>
        <v>0</v>
      </c>
      <c r="AA117" s="153">
        <f t="shared" si="29"/>
        <v>0</v>
      </c>
      <c r="AB117" s="153">
        <f t="shared" si="30"/>
        <v>0</v>
      </c>
      <c r="AC117" s="154">
        <f t="shared" si="35"/>
        <v>0</v>
      </c>
      <c r="AD117" s="156">
        <f t="shared" si="31"/>
        <v>0</v>
      </c>
    </row>
    <row r="118" spans="1:30" s="144" customFormat="1">
      <c r="A118" s="139">
        <v>26</v>
      </c>
      <c r="B118" s="139">
        <f>IFERROR(INDEX(Työkonekanta!$F$3:$F$27,MATCH('S0a Baseline'!$A118,Työkonekanta!$A$3:$A$24,0),1),0)</f>
        <v>0</v>
      </c>
      <c r="C118" s="140">
        <v>2022</v>
      </c>
      <c r="D118" s="141" t="str">
        <f>IFERROR(INDEX(Työkonekanta!$D$3:$D$27,MATCH('S0a Baseline'!$A118,Työkonekanta!$A$3:$A$24,0),1),"undefined")</f>
        <v>undefined</v>
      </c>
      <c r="E118" s="145">
        <f>IFERROR(INDEX(Työkonekanta!$G$3:$G$27,MATCH($A118,Työkonekanta!$A$3:$A$24,0),1)*INDEX(Työkonekanta!$H$3:$H$27,MATCH($A118,Työkonekanta!$A$3:$A$24,0),1)*$B118,0)</f>
        <v>0</v>
      </c>
      <c r="F118" s="344">
        <f t="shared" si="18"/>
        <v>0</v>
      </c>
      <c r="G118" s="344">
        <f t="shared" si="25"/>
        <v>0</v>
      </c>
      <c r="H118" s="344">
        <f t="shared" si="26"/>
        <v>0</v>
      </c>
      <c r="I118" s="145">
        <f t="shared" si="19"/>
        <v>0</v>
      </c>
      <c r="J118" s="145">
        <f t="shared" si="20"/>
        <v>0</v>
      </c>
      <c r="K118" s="142" t="str">
        <f t="shared" si="27"/>
        <v>undefined</v>
      </c>
      <c r="L118" s="146">
        <f>IFERROR(INDEX(Työkonekanta!$I$3:$I$27,MATCH('S0a Baseline'!$A118,Työkonekanta!$A$3:$A$24,0),1)*(I118+J118)*f_adblue,0)</f>
        <v>0</v>
      </c>
      <c r="M118" s="146">
        <f t="shared" si="32"/>
        <v>0</v>
      </c>
      <c r="N118" s="143" t="str">
        <f>IF(tuulisähkö_vuosi&lt;='S0a Baseline'!C118,"tuulisähkö",ostosähkö_nyt)</f>
        <v>jäännössähkö</v>
      </c>
      <c r="O118" s="147">
        <f>INDEX(Muuttujat!$J$5:$J$21,MATCH($C118,Muuttujat!$H$5:$H$21,0),1)</f>
        <v>67.190510474999996</v>
      </c>
      <c r="P118" s="342">
        <f>1-(INDEX(Muuttujat!$O$5:$O$21,MATCH($C118,Muuttujat!$N$5:$N$21,0),1))</f>
        <v>0.96</v>
      </c>
      <c r="Q118" s="342">
        <f>INDEX(Muuttujat!$O$5:$O$21,MATCH($C118,Muuttujat!$N$5:$N$21,0),1)</f>
        <v>0.04</v>
      </c>
      <c r="R118" s="148">
        <f>INDEX(Muuttujat!$P$5:$P$21,MATCH($C118,Muuttujat!$N$5:$N$21,0),1)</f>
        <v>4.1787917527764125E-2</v>
      </c>
      <c r="S118" s="149">
        <f t="shared" si="21"/>
        <v>0</v>
      </c>
      <c r="T118" s="150">
        <f t="shared" si="22"/>
        <v>0</v>
      </c>
      <c r="U118" s="150">
        <f t="shared" si="23"/>
        <v>0</v>
      </c>
      <c r="V118" s="150">
        <f>IFERROR(INDEX(Työkonekanta!$J$3:$J$27,MATCH($A118,Työkonekanta!$A$3:$A$24,0),1)*$B118*ef_li_ion_akku/1000/1000/INDEX(Työkonekanta!$K$3:$K$27,MATCH($A118,Työkonekanta!$A$3:$A$24,0)),0)</f>
        <v>0</v>
      </c>
      <c r="W118" s="149">
        <f t="shared" si="24"/>
        <v>0</v>
      </c>
      <c r="X118" s="150">
        <f t="shared" si="33"/>
        <v>0</v>
      </c>
      <c r="Y118" s="151">
        <f t="shared" si="34"/>
        <v>0</v>
      </c>
      <c r="Z118" s="152">
        <f t="shared" si="28"/>
        <v>0</v>
      </c>
      <c r="AA118" s="153">
        <f t="shared" si="29"/>
        <v>0</v>
      </c>
      <c r="AB118" s="153">
        <f t="shared" si="30"/>
        <v>0</v>
      </c>
      <c r="AC118" s="154">
        <f t="shared" si="35"/>
        <v>0</v>
      </c>
      <c r="AD118" s="156">
        <f t="shared" si="31"/>
        <v>0</v>
      </c>
    </row>
    <row r="119" spans="1:30" s="144" customFormat="1">
      <c r="A119" s="139">
        <v>27</v>
      </c>
      <c r="B119" s="139">
        <f>IFERROR(INDEX(Työkonekanta!$F$3:$F$27,MATCH('S0a Baseline'!$A119,Työkonekanta!$A$3:$A$24,0),1),0)</f>
        <v>0</v>
      </c>
      <c r="C119" s="140">
        <v>2022</v>
      </c>
      <c r="D119" s="141" t="str">
        <f>IFERROR(INDEX(Työkonekanta!$D$3:$D$27,MATCH('S0a Baseline'!$A119,Työkonekanta!$A$3:$A$24,0),1),"undefined")</f>
        <v>undefined</v>
      </c>
      <c r="E119" s="145">
        <f>IFERROR(INDEX(Työkonekanta!$G$3:$G$27,MATCH($A119,Työkonekanta!$A$3:$A$24,0),1)*INDEX(Työkonekanta!$H$3:$H$27,MATCH($A119,Työkonekanta!$A$3:$A$24,0),1)*$B119,0)</f>
        <v>0</v>
      </c>
      <c r="F119" s="344">
        <f t="shared" si="18"/>
        <v>0</v>
      </c>
      <c r="G119" s="344">
        <f t="shared" si="25"/>
        <v>0</v>
      </c>
      <c r="H119" s="344">
        <f t="shared" si="26"/>
        <v>0</v>
      </c>
      <c r="I119" s="145">
        <f t="shared" si="19"/>
        <v>0</v>
      </c>
      <c r="J119" s="145">
        <f t="shared" si="20"/>
        <v>0</v>
      </c>
      <c r="K119" s="142" t="str">
        <f t="shared" si="27"/>
        <v>undefined</v>
      </c>
      <c r="L119" s="146">
        <f>IFERROR(INDEX(Työkonekanta!$I$3:$I$27,MATCH('S0a Baseline'!$A119,Työkonekanta!$A$3:$A$24,0),1)*(I119+J119)*f_adblue,0)</f>
        <v>0</v>
      </c>
      <c r="M119" s="146">
        <f t="shared" si="32"/>
        <v>0</v>
      </c>
      <c r="N119" s="143" t="str">
        <f>IF(tuulisähkö_vuosi&lt;='S0a Baseline'!C119,"tuulisähkö",ostosähkö_nyt)</f>
        <v>jäännössähkö</v>
      </c>
      <c r="O119" s="147">
        <f>INDEX(Muuttujat!$J$5:$J$21,MATCH($C119,Muuttujat!$H$5:$H$21,0),1)</f>
        <v>67.190510474999996</v>
      </c>
      <c r="P119" s="342">
        <f>1-(INDEX(Muuttujat!$O$5:$O$21,MATCH($C119,Muuttujat!$N$5:$N$21,0),1))</f>
        <v>0.96</v>
      </c>
      <c r="Q119" s="342">
        <f>INDEX(Muuttujat!$O$5:$O$21,MATCH($C119,Muuttujat!$N$5:$N$21,0),1)</f>
        <v>0.04</v>
      </c>
      <c r="R119" s="148">
        <f>INDEX(Muuttujat!$P$5:$P$21,MATCH($C119,Muuttujat!$N$5:$N$21,0),1)</f>
        <v>4.1787917527764125E-2</v>
      </c>
      <c r="S119" s="149">
        <f t="shared" si="21"/>
        <v>0</v>
      </c>
      <c r="T119" s="150">
        <f t="shared" si="22"/>
        <v>0</v>
      </c>
      <c r="U119" s="150">
        <f t="shared" si="23"/>
        <v>0</v>
      </c>
      <c r="V119" s="150">
        <f>IFERROR(INDEX(Työkonekanta!$J$3:$J$27,MATCH($A119,Työkonekanta!$A$3:$A$24,0),1)*$B119*ef_li_ion_akku/1000/1000/INDEX(Työkonekanta!$K$3:$K$27,MATCH($A119,Työkonekanta!$A$3:$A$24,0)),0)</f>
        <v>0</v>
      </c>
      <c r="W119" s="149">
        <f t="shared" si="24"/>
        <v>0</v>
      </c>
      <c r="X119" s="150">
        <f t="shared" si="33"/>
        <v>0</v>
      </c>
      <c r="Y119" s="151">
        <f t="shared" si="34"/>
        <v>0</v>
      </c>
      <c r="Z119" s="152">
        <f t="shared" si="28"/>
        <v>0</v>
      </c>
      <c r="AA119" s="153">
        <f t="shared" si="29"/>
        <v>0</v>
      </c>
      <c r="AB119" s="153">
        <f t="shared" si="30"/>
        <v>0</v>
      </c>
      <c r="AC119" s="154">
        <f t="shared" si="35"/>
        <v>0</v>
      </c>
      <c r="AD119" s="156">
        <f t="shared" si="31"/>
        <v>0</v>
      </c>
    </row>
    <row r="120" spans="1:30" s="144" customFormat="1">
      <c r="A120" s="139">
        <v>28</v>
      </c>
      <c r="B120" s="139">
        <f>IFERROR(INDEX(Työkonekanta!$F$3:$F$27,MATCH('S0a Baseline'!$A120,Työkonekanta!$A$3:$A$24,0),1),0)</f>
        <v>0</v>
      </c>
      <c r="C120" s="140">
        <v>2022</v>
      </c>
      <c r="D120" s="141" t="str">
        <f>IFERROR(INDEX(Työkonekanta!$D$3:$D$27,MATCH('S0a Baseline'!$A120,Työkonekanta!$A$3:$A$24,0),1),"undefined")</f>
        <v>undefined</v>
      </c>
      <c r="E120" s="145">
        <f>IFERROR(INDEX(Työkonekanta!$G$3:$G$27,MATCH($A120,Työkonekanta!$A$3:$A$24,0),1)*INDEX(Työkonekanta!$H$3:$H$27,MATCH($A120,Työkonekanta!$A$3:$A$24,0),1)*$B120,0)</f>
        <v>0</v>
      </c>
      <c r="F120" s="344">
        <f t="shared" si="18"/>
        <v>0</v>
      </c>
      <c r="G120" s="344">
        <f t="shared" si="25"/>
        <v>0</v>
      </c>
      <c r="H120" s="344">
        <f t="shared" si="26"/>
        <v>0</v>
      </c>
      <c r="I120" s="145">
        <f t="shared" si="19"/>
        <v>0</v>
      </c>
      <c r="J120" s="145">
        <f t="shared" si="20"/>
        <v>0</v>
      </c>
      <c r="K120" s="142" t="str">
        <f t="shared" si="27"/>
        <v>undefined</v>
      </c>
      <c r="L120" s="146">
        <f>IFERROR(INDEX(Työkonekanta!$I$3:$I$27,MATCH('S0a Baseline'!$A120,Työkonekanta!$A$3:$A$24,0),1)*(I120+J120)*f_adblue,0)</f>
        <v>0</v>
      </c>
      <c r="M120" s="146">
        <f t="shared" si="32"/>
        <v>0</v>
      </c>
      <c r="N120" s="143" t="str">
        <f>IF(tuulisähkö_vuosi&lt;='S0a Baseline'!C120,"tuulisähkö",ostosähkö_nyt)</f>
        <v>jäännössähkö</v>
      </c>
      <c r="O120" s="147">
        <f>INDEX(Muuttujat!$J$5:$J$21,MATCH($C120,Muuttujat!$H$5:$H$21,0),1)</f>
        <v>67.190510474999996</v>
      </c>
      <c r="P120" s="342">
        <f>1-(INDEX(Muuttujat!$O$5:$O$21,MATCH($C120,Muuttujat!$N$5:$N$21,0),1))</f>
        <v>0.96</v>
      </c>
      <c r="Q120" s="342">
        <f>INDEX(Muuttujat!$O$5:$O$21,MATCH($C120,Muuttujat!$N$5:$N$21,0),1)</f>
        <v>0.04</v>
      </c>
      <c r="R120" s="148">
        <f>INDEX(Muuttujat!$P$5:$P$21,MATCH($C120,Muuttujat!$N$5:$N$21,0),1)</f>
        <v>4.1787917527764125E-2</v>
      </c>
      <c r="S120" s="149">
        <f t="shared" si="21"/>
        <v>0</v>
      </c>
      <c r="T120" s="150">
        <f t="shared" si="22"/>
        <v>0</v>
      </c>
      <c r="U120" s="150">
        <f t="shared" si="23"/>
        <v>0</v>
      </c>
      <c r="V120" s="150">
        <f>IFERROR(INDEX(Työkonekanta!$J$3:$J$27,MATCH($A120,Työkonekanta!$A$3:$A$24,0),1)*$B120*ef_li_ion_akku/1000/1000/INDEX(Työkonekanta!$K$3:$K$27,MATCH($A120,Työkonekanta!$A$3:$A$24,0)),0)</f>
        <v>0</v>
      </c>
      <c r="W120" s="149">
        <f t="shared" si="24"/>
        <v>0</v>
      </c>
      <c r="X120" s="150">
        <f t="shared" si="33"/>
        <v>0</v>
      </c>
      <c r="Y120" s="151">
        <f t="shared" si="34"/>
        <v>0</v>
      </c>
      <c r="Z120" s="152">
        <f t="shared" si="28"/>
        <v>0</v>
      </c>
      <c r="AA120" s="153">
        <f t="shared" si="29"/>
        <v>0</v>
      </c>
      <c r="AB120" s="153">
        <f t="shared" si="30"/>
        <v>0</v>
      </c>
      <c r="AC120" s="154">
        <f t="shared" si="35"/>
        <v>0</v>
      </c>
      <c r="AD120" s="156">
        <f t="shared" si="31"/>
        <v>0</v>
      </c>
    </row>
    <row r="121" spans="1:30" s="144" customFormat="1">
      <c r="A121" s="139">
        <v>29</v>
      </c>
      <c r="B121" s="139">
        <f>IFERROR(INDEX(Työkonekanta!$F$3:$F$27,MATCH('S0a Baseline'!$A121,Työkonekanta!$A$3:$A$24,0),1),0)</f>
        <v>0</v>
      </c>
      <c r="C121" s="140">
        <v>2022</v>
      </c>
      <c r="D121" s="141" t="str">
        <f>IFERROR(INDEX(Työkonekanta!$D$3:$D$27,MATCH('S0a Baseline'!$A121,Työkonekanta!$A$3:$A$24,0),1),"undefined")</f>
        <v>undefined</v>
      </c>
      <c r="E121" s="145">
        <f>IFERROR(INDEX(Työkonekanta!$G$3:$G$27,MATCH($A121,Työkonekanta!$A$3:$A$24,0),1)*INDEX(Työkonekanta!$H$3:$H$27,MATCH($A121,Työkonekanta!$A$3:$A$24,0),1)*$B121,0)</f>
        <v>0</v>
      </c>
      <c r="F121" s="344">
        <f t="shared" si="18"/>
        <v>0</v>
      </c>
      <c r="G121" s="344">
        <f t="shared" si="25"/>
        <v>0</v>
      </c>
      <c r="H121" s="344">
        <f t="shared" si="26"/>
        <v>0</v>
      </c>
      <c r="I121" s="145">
        <f t="shared" si="19"/>
        <v>0</v>
      </c>
      <c r="J121" s="145">
        <f t="shared" si="20"/>
        <v>0</v>
      </c>
      <c r="K121" s="142" t="str">
        <f t="shared" si="27"/>
        <v>undefined</v>
      </c>
      <c r="L121" s="146">
        <f>IFERROR(INDEX(Työkonekanta!$I$3:$I$27,MATCH('S0a Baseline'!$A121,Työkonekanta!$A$3:$A$24,0),1)*(I121+J121)*f_adblue,0)</f>
        <v>0</v>
      </c>
      <c r="M121" s="146">
        <f t="shared" si="32"/>
        <v>0</v>
      </c>
      <c r="N121" s="143" t="str">
        <f>IF(tuulisähkö_vuosi&lt;='S0a Baseline'!C121,"tuulisähkö",ostosähkö_nyt)</f>
        <v>jäännössähkö</v>
      </c>
      <c r="O121" s="147">
        <f>INDEX(Muuttujat!$J$5:$J$21,MATCH($C121,Muuttujat!$H$5:$H$21,0),1)</f>
        <v>67.190510474999996</v>
      </c>
      <c r="P121" s="342">
        <f>1-(INDEX(Muuttujat!$O$5:$O$21,MATCH($C121,Muuttujat!$N$5:$N$21,0),1))</f>
        <v>0.96</v>
      </c>
      <c r="Q121" s="342">
        <f>INDEX(Muuttujat!$O$5:$O$21,MATCH($C121,Muuttujat!$N$5:$N$21,0),1)</f>
        <v>0.04</v>
      </c>
      <c r="R121" s="148">
        <f>INDEX(Muuttujat!$P$5:$P$21,MATCH($C121,Muuttujat!$N$5:$N$21,0),1)</f>
        <v>4.1787917527764125E-2</v>
      </c>
      <c r="S121" s="149">
        <f t="shared" si="21"/>
        <v>0</v>
      </c>
      <c r="T121" s="150">
        <f t="shared" si="22"/>
        <v>0</v>
      </c>
      <c r="U121" s="150">
        <f t="shared" si="23"/>
        <v>0</v>
      </c>
      <c r="V121" s="150">
        <f>IFERROR(INDEX(Työkonekanta!$J$3:$J$27,MATCH($A121,Työkonekanta!$A$3:$A$24,0),1)*$B121*ef_li_ion_akku/1000/1000/INDEX(Työkonekanta!$K$3:$K$27,MATCH($A121,Työkonekanta!$A$3:$A$24,0)),0)</f>
        <v>0</v>
      </c>
      <c r="W121" s="149">
        <f t="shared" si="24"/>
        <v>0</v>
      </c>
      <c r="X121" s="150">
        <f t="shared" si="33"/>
        <v>0</v>
      </c>
      <c r="Y121" s="151">
        <f t="shared" si="34"/>
        <v>0</v>
      </c>
      <c r="Z121" s="152">
        <f t="shared" si="28"/>
        <v>0</v>
      </c>
      <c r="AA121" s="153">
        <f t="shared" si="29"/>
        <v>0</v>
      </c>
      <c r="AB121" s="153">
        <f t="shared" si="30"/>
        <v>0</v>
      </c>
      <c r="AC121" s="154">
        <f t="shared" si="35"/>
        <v>0</v>
      </c>
      <c r="AD121" s="156">
        <f t="shared" si="31"/>
        <v>0</v>
      </c>
    </row>
    <row r="122" spans="1:30" s="144" customFormat="1">
      <c r="A122" s="139">
        <v>30</v>
      </c>
      <c r="B122" s="139">
        <f>IFERROR(INDEX(Työkonekanta!$F$3:$F$27,MATCH('S0a Baseline'!$A122,Työkonekanta!$A$3:$A$24,0),1),0)</f>
        <v>0</v>
      </c>
      <c r="C122" s="140">
        <v>2022</v>
      </c>
      <c r="D122" s="141" t="str">
        <f>IFERROR(INDEX(Työkonekanta!$D$3:$D$27,MATCH('S0a Baseline'!$A122,Työkonekanta!$A$3:$A$24,0),1),"undefined")</f>
        <v>undefined</v>
      </c>
      <c r="E122" s="145">
        <f>IFERROR(INDEX(Työkonekanta!$G$3:$G$27,MATCH($A122,Työkonekanta!$A$3:$A$24,0),1)*INDEX(Työkonekanta!$H$3:$H$27,MATCH($A122,Työkonekanta!$A$3:$A$24,0),1)*$B122,0)</f>
        <v>0</v>
      </c>
      <c r="F122" s="344">
        <f t="shared" si="18"/>
        <v>0</v>
      </c>
      <c r="G122" s="344">
        <f t="shared" si="25"/>
        <v>0</v>
      </c>
      <c r="H122" s="344">
        <f t="shared" si="26"/>
        <v>0</v>
      </c>
      <c r="I122" s="145">
        <f t="shared" si="19"/>
        <v>0</v>
      </c>
      <c r="J122" s="145">
        <f t="shared" si="20"/>
        <v>0</v>
      </c>
      <c r="K122" s="142" t="str">
        <f t="shared" si="27"/>
        <v>undefined</v>
      </c>
      <c r="L122" s="146">
        <f>IFERROR(INDEX(Työkonekanta!$I$3:$I$27,MATCH('S0a Baseline'!$A122,Työkonekanta!$A$3:$A$24,0),1)*(I122+J122)*f_adblue,0)</f>
        <v>0</v>
      </c>
      <c r="M122" s="146">
        <f t="shared" si="32"/>
        <v>0</v>
      </c>
      <c r="N122" s="143" t="str">
        <f>IF(tuulisähkö_vuosi&lt;='S0a Baseline'!C122,"tuulisähkö",ostosähkö_nyt)</f>
        <v>jäännössähkö</v>
      </c>
      <c r="O122" s="147">
        <f>INDEX(Muuttujat!$J$5:$J$21,MATCH($C122,Muuttujat!$H$5:$H$21,0),1)</f>
        <v>67.190510474999996</v>
      </c>
      <c r="P122" s="342">
        <f>1-(INDEX(Muuttujat!$O$5:$O$21,MATCH($C122,Muuttujat!$N$5:$N$21,0),1))</f>
        <v>0.96</v>
      </c>
      <c r="Q122" s="342">
        <f>INDEX(Muuttujat!$O$5:$O$21,MATCH($C122,Muuttujat!$N$5:$N$21,0),1)</f>
        <v>0.04</v>
      </c>
      <c r="R122" s="148">
        <f>INDEX(Muuttujat!$P$5:$P$21,MATCH($C122,Muuttujat!$N$5:$N$21,0),1)</f>
        <v>4.1787917527764125E-2</v>
      </c>
      <c r="S122" s="149">
        <f t="shared" si="21"/>
        <v>0</v>
      </c>
      <c r="T122" s="150">
        <f t="shared" si="22"/>
        <v>0</v>
      </c>
      <c r="U122" s="150">
        <f t="shared" si="23"/>
        <v>0</v>
      </c>
      <c r="V122" s="150">
        <f>IFERROR(INDEX(Työkonekanta!$J$3:$J$27,MATCH($A122,Työkonekanta!$A$3:$A$24,0),1)*$B122*ef_li_ion_akku/1000/1000/INDEX(Työkonekanta!$K$3:$K$27,MATCH($A122,Työkonekanta!$A$3:$A$24,0)),0)</f>
        <v>0</v>
      </c>
      <c r="W122" s="149">
        <f t="shared" si="24"/>
        <v>0</v>
      </c>
      <c r="X122" s="150">
        <f t="shared" si="33"/>
        <v>0</v>
      </c>
      <c r="Y122" s="151">
        <f t="shared" si="34"/>
        <v>0</v>
      </c>
      <c r="Z122" s="152">
        <f t="shared" si="28"/>
        <v>0</v>
      </c>
      <c r="AA122" s="153">
        <f t="shared" si="29"/>
        <v>0</v>
      </c>
      <c r="AB122" s="153">
        <f t="shared" si="30"/>
        <v>0</v>
      </c>
      <c r="AC122" s="154">
        <f t="shared" si="35"/>
        <v>0</v>
      </c>
      <c r="AD122" s="156">
        <f t="shared" si="31"/>
        <v>0</v>
      </c>
    </row>
    <row r="123" spans="1:30" s="144" customFormat="1">
      <c r="A123" s="139">
        <v>1</v>
      </c>
      <c r="B123" s="139">
        <f>IFERROR(INDEX(Työkonekanta!$F$3:$F$27,MATCH('S0a Baseline'!$A123,Työkonekanta!$A$3:$A$24,0),1),0)</f>
        <v>1</v>
      </c>
      <c r="C123" s="140">
        <v>2023</v>
      </c>
      <c r="D123" s="141" t="str">
        <f>IFERROR(INDEX(Työkonekanta!$D$3:$D$27,MATCH('S0a Baseline'!$A123,Työkonekanta!$A$3:$A$24,0),1),"undefined")</f>
        <v>pom</v>
      </c>
      <c r="E123" s="145">
        <f>IFERROR(INDEX(Työkonekanta!$G$3:$G$27,MATCH($A123,Työkonekanta!$A$3:$A$24,0),1)*INDEX(Työkonekanta!$H$3:$H$27,MATCH($A123,Työkonekanta!$A$3:$A$24,0),1)*$B123,0)</f>
        <v>10000</v>
      </c>
      <c r="F123" s="344">
        <f t="shared" si="18"/>
        <v>359000</v>
      </c>
      <c r="G123" s="344">
        <f t="shared" si="25"/>
        <v>341050</v>
      </c>
      <c r="H123" s="344">
        <f t="shared" si="26"/>
        <v>17950</v>
      </c>
      <c r="I123" s="145">
        <f t="shared" si="19"/>
        <v>9500</v>
      </c>
      <c r="J123" s="145">
        <f t="shared" si="20"/>
        <v>523.32361516034985</v>
      </c>
      <c r="K123" s="142" t="str">
        <f t="shared" si="27"/>
        <v>l</v>
      </c>
      <c r="L123" s="146">
        <f>IFERROR(INDEX(Työkonekanta!$I$3:$I$27,MATCH('S0a Baseline'!$A123,Työkonekanta!$A$3:$A$24,0),1)*(I123+J123)*f_adblue,0)</f>
        <v>501.16618075801756</v>
      </c>
      <c r="M123" s="146">
        <f t="shared" si="32"/>
        <v>0</v>
      </c>
      <c r="N123" s="143" t="str">
        <f>IF(tuulisähkö_vuosi&lt;='S0a Baseline'!C123,"tuulisähkö",ostosähkö_nyt)</f>
        <v>jäännössähkö</v>
      </c>
      <c r="O123" s="147">
        <f>INDEX(Muuttujat!$J$5:$J$21,MATCH($C123,Muuttujat!$H$5:$H$21,0),1)</f>
        <v>66.51860537025</v>
      </c>
      <c r="P123" s="342">
        <f>1-(INDEX(Muuttujat!$O$5:$O$21,MATCH($C123,Muuttujat!$N$5:$N$21,0),1))</f>
        <v>0.95</v>
      </c>
      <c r="Q123" s="342">
        <f>INDEX(Muuttujat!$O$5:$O$21,MATCH($C123,Muuttujat!$N$5:$N$21,0),1)</f>
        <v>0.05</v>
      </c>
      <c r="R123" s="148">
        <f>INDEX(Muuttujat!$P$5:$P$21,MATCH($C123,Muuttujat!$N$5:$N$21,0),1)</f>
        <v>5.2210587442409327E-2</v>
      </c>
      <c r="S123" s="149">
        <f t="shared" si="21"/>
        <v>6.4458449999999994</v>
      </c>
      <c r="T123" s="150">
        <f t="shared" si="22"/>
        <v>1.12008</v>
      </c>
      <c r="U123" s="150">
        <f t="shared" si="23"/>
        <v>0</v>
      </c>
      <c r="V123" s="150">
        <f>IFERROR(INDEX(Työkonekanta!$J$3:$J$27,MATCH($A123,Työkonekanta!$A$3:$A$24,0),1)*$B123*ef_li_ion_akku/1000/1000/INDEX(Työkonekanta!$K$3:$K$27,MATCH($A123,Työkonekanta!$A$3:$A$24,0)),0)</f>
        <v>0</v>
      </c>
      <c r="W123" s="149">
        <f t="shared" si="24"/>
        <v>25.172305121699999</v>
      </c>
      <c r="X123" s="150">
        <f t="shared" si="33"/>
        <v>0.31774565999999999</v>
      </c>
      <c r="Y123" s="151">
        <f t="shared" si="34"/>
        <v>0.13030320699708459</v>
      </c>
      <c r="Z123" s="152">
        <f t="shared" si="28"/>
        <v>7.5659249999999991</v>
      </c>
      <c r="AA123" s="153">
        <f t="shared" si="29"/>
        <v>25.302608328697083</v>
      </c>
      <c r="AB123" s="153">
        <f t="shared" si="30"/>
        <v>25.620353988697083</v>
      </c>
      <c r="AC123" s="154">
        <f t="shared" si="35"/>
        <v>32.868533328697083</v>
      </c>
      <c r="AD123" s="156">
        <f t="shared" si="31"/>
        <v>33.186278988697083</v>
      </c>
    </row>
    <row r="124" spans="1:30" s="144" customFormat="1">
      <c r="A124" s="139">
        <v>2</v>
      </c>
      <c r="B124" s="139">
        <f>IFERROR(INDEX(Työkonekanta!$F$3:$F$27,MATCH('S0a Baseline'!$A124,Työkonekanta!$A$3:$A$24,0),1),0)</f>
        <v>1</v>
      </c>
      <c r="C124" s="140">
        <v>2023</v>
      </c>
      <c r="D124" s="141" t="str">
        <f>IFERROR(INDEX(Työkonekanta!$D$3:$D$27,MATCH('S0a Baseline'!$A124,Työkonekanta!$A$3:$A$24,0),1),"undefined")</f>
        <v>pom</v>
      </c>
      <c r="E124" s="145">
        <f>IFERROR(INDEX(Työkonekanta!$G$3:$G$27,MATCH($A124,Työkonekanta!$A$3:$A$24,0),1)*INDEX(Työkonekanta!$H$3:$H$27,MATCH($A124,Työkonekanta!$A$3:$A$24,0),1)*$B124,0)</f>
        <v>10000</v>
      </c>
      <c r="F124" s="344">
        <f t="shared" si="18"/>
        <v>359000</v>
      </c>
      <c r="G124" s="344">
        <f t="shared" si="25"/>
        <v>341050</v>
      </c>
      <c r="H124" s="344">
        <f t="shared" si="26"/>
        <v>17950</v>
      </c>
      <c r="I124" s="145">
        <f t="shared" si="19"/>
        <v>9500</v>
      </c>
      <c r="J124" s="145">
        <f t="shared" si="20"/>
        <v>523.32361516034985</v>
      </c>
      <c r="K124" s="142" t="str">
        <f t="shared" si="27"/>
        <v>l</v>
      </c>
      <c r="L124" s="146">
        <f>IFERROR(INDEX(Työkonekanta!$I$3:$I$27,MATCH('S0a Baseline'!$A124,Työkonekanta!$A$3:$A$24,0),1)*(I124+J124)*f_adblue,0)</f>
        <v>501.16618075801756</v>
      </c>
      <c r="M124" s="146">
        <f t="shared" si="32"/>
        <v>0</v>
      </c>
      <c r="N124" s="143" t="str">
        <f>IF(tuulisähkö_vuosi&lt;='S0a Baseline'!C124,"tuulisähkö",ostosähkö_nyt)</f>
        <v>jäännössähkö</v>
      </c>
      <c r="O124" s="147">
        <f>INDEX(Muuttujat!$J$5:$J$21,MATCH($C124,Muuttujat!$H$5:$H$21,0),1)</f>
        <v>66.51860537025</v>
      </c>
      <c r="P124" s="342">
        <f>1-(INDEX(Muuttujat!$O$5:$O$21,MATCH($C124,Muuttujat!$N$5:$N$21,0),1))</f>
        <v>0.95</v>
      </c>
      <c r="Q124" s="342">
        <f>INDEX(Muuttujat!$O$5:$O$21,MATCH($C124,Muuttujat!$N$5:$N$21,0),1)</f>
        <v>0.05</v>
      </c>
      <c r="R124" s="148">
        <f>INDEX(Muuttujat!$P$5:$P$21,MATCH($C124,Muuttujat!$N$5:$N$21,0),1)</f>
        <v>5.2210587442409327E-2</v>
      </c>
      <c r="S124" s="149">
        <f t="shared" si="21"/>
        <v>6.4458449999999994</v>
      </c>
      <c r="T124" s="150">
        <f t="shared" si="22"/>
        <v>1.12008</v>
      </c>
      <c r="U124" s="150">
        <f t="shared" si="23"/>
        <v>0</v>
      </c>
      <c r="V124" s="150">
        <f>IFERROR(INDEX(Työkonekanta!$J$3:$J$27,MATCH($A124,Työkonekanta!$A$3:$A$24,0),1)*$B124*ef_li_ion_akku/1000/1000/INDEX(Työkonekanta!$K$3:$K$27,MATCH($A124,Työkonekanta!$A$3:$A$24,0)),0)</f>
        <v>0</v>
      </c>
      <c r="W124" s="149">
        <f t="shared" si="24"/>
        <v>25.172305121699999</v>
      </c>
      <c r="X124" s="150">
        <f t="shared" si="33"/>
        <v>0.31774565999999999</v>
      </c>
      <c r="Y124" s="151">
        <f t="shared" si="34"/>
        <v>0.13030320699708459</v>
      </c>
      <c r="Z124" s="152">
        <f t="shared" si="28"/>
        <v>7.5659249999999991</v>
      </c>
      <c r="AA124" s="153">
        <f t="shared" si="29"/>
        <v>25.302608328697083</v>
      </c>
      <c r="AB124" s="153">
        <f t="shared" si="30"/>
        <v>25.620353988697083</v>
      </c>
      <c r="AC124" s="154">
        <f t="shared" si="35"/>
        <v>32.868533328697083</v>
      </c>
      <c r="AD124" s="156">
        <f t="shared" si="31"/>
        <v>33.186278988697083</v>
      </c>
    </row>
    <row r="125" spans="1:30" s="144" customFormat="1">
      <c r="A125" s="139">
        <v>3</v>
      </c>
      <c r="B125" s="139">
        <f>IFERROR(INDEX(Työkonekanta!$F$3:$F$27,MATCH('S0a Baseline'!$A125,Työkonekanta!$A$3:$A$24,0),1),0)</f>
        <v>1</v>
      </c>
      <c r="C125" s="140">
        <v>2023</v>
      </c>
      <c r="D125" s="141" t="str">
        <f>IFERROR(INDEX(Työkonekanta!$D$3:$D$27,MATCH('S0a Baseline'!$A125,Työkonekanta!$A$3:$A$24,0),1),"undefined")</f>
        <v>pom</v>
      </c>
      <c r="E125" s="145">
        <f>IFERROR(INDEX(Työkonekanta!$G$3:$G$27,MATCH($A125,Työkonekanta!$A$3:$A$24,0),1)*INDEX(Työkonekanta!$H$3:$H$27,MATCH($A125,Työkonekanta!$A$3:$A$24,0),1)*$B125,0)</f>
        <v>10000</v>
      </c>
      <c r="F125" s="344">
        <f t="shared" si="18"/>
        <v>359000</v>
      </c>
      <c r="G125" s="344">
        <f t="shared" si="25"/>
        <v>341050</v>
      </c>
      <c r="H125" s="344">
        <f t="shared" si="26"/>
        <v>17950</v>
      </c>
      <c r="I125" s="145">
        <f t="shared" si="19"/>
        <v>9500</v>
      </c>
      <c r="J125" s="145">
        <f t="shared" si="20"/>
        <v>523.32361516034985</v>
      </c>
      <c r="K125" s="142" t="str">
        <f t="shared" si="27"/>
        <v>l</v>
      </c>
      <c r="L125" s="146">
        <f>IFERROR(INDEX(Työkonekanta!$I$3:$I$27,MATCH('S0a Baseline'!$A125,Työkonekanta!$A$3:$A$24,0),1)*(I125+J125)*f_adblue,0)</f>
        <v>501.16618075801756</v>
      </c>
      <c r="M125" s="146">
        <f t="shared" si="32"/>
        <v>0</v>
      </c>
      <c r="N125" s="143" t="str">
        <f>IF(tuulisähkö_vuosi&lt;='S0a Baseline'!C125,"tuulisähkö",ostosähkö_nyt)</f>
        <v>jäännössähkö</v>
      </c>
      <c r="O125" s="147">
        <f>INDEX(Muuttujat!$J$5:$J$21,MATCH($C125,Muuttujat!$H$5:$H$21,0),1)</f>
        <v>66.51860537025</v>
      </c>
      <c r="P125" s="342">
        <f>1-(INDEX(Muuttujat!$O$5:$O$21,MATCH($C125,Muuttujat!$N$5:$N$21,0),1))</f>
        <v>0.95</v>
      </c>
      <c r="Q125" s="342">
        <f>INDEX(Muuttujat!$O$5:$O$21,MATCH($C125,Muuttujat!$N$5:$N$21,0),1)</f>
        <v>0.05</v>
      </c>
      <c r="R125" s="148">
        <f>INDEX(Muuttujat!$P$5:$P$21,MATCH($C125,Muuttujat!$N$5:$N$21,0),1)</f>
        <v>5.2210587442409327E-2</v>
      </c>
      <c r="S125" s="149">
        <f t="shared" si="21"/>
        <v>6.4458449999999994</v>
      </c>
      <c r="T125" s="150">
        <f t="shared" si="22"/>
        <v>1.12008</v>
      </c>
      <c r="U125" s="150">
        <f t="shared" si="23"/>
        <v>0</v>
      </c>
      <c r="V125" s="150">
        <f>IFERROR(INDEX(Työkonekanta!$J$3:$J$27,MATCH($A125,Työkonekanta!$A$3:$A$24,0),1)*$B125*ef_li_ion_akku/1000/1000/INDEX(Työkonekanta!$K$3:$K$27,MATCH($A125,Työkonekanta!$A$3:$A$24,0)),0)</f>
        <v>0</v>
      </c>
      <c r="W125" s="149">
        <f t="shared" si="24"/>
        <v>25.172305121699999</v>
      </c>
      <c r="X125" s="150">
        <f t="shared" si="33"/>
        <v>0.31774565999999999</v>
      </c>
      <c r="Y125" s="151">
        <f t="shared" si="34"/>
        <v>0.13030320699708459</v>
      </c>
      <c r="Z125" s="152">
        <f t="shared" si="28"/>
        <v>7.5659249999999991</v>
      </c>
      <c r="AA125" s="153">
        <f t="shared" si="29"/>
        <v>25.302608328697083</v>
      </c>
      <c r="AB125" s="153">
        <f t="shared" si="30"/>
        <v>25.620353988697083</v>
      </c>
      <c r="AC125" s="154">
        <f t="shared" si="35"/>
        <v>32.868533328697083</v>
      </c>
      <c r="AD125" s="156">
        <f t="shared" si="31"/>
        <v>33.186278988697083</v>
      </c>
    </row>
    <row r="126" spans="1:30" s="144" customFormat="1">
      <c r="A126" s="139">
        <v>4</v>
      </c>
      <c r="B126" s="139">
        <f>IFERROR(INDEX(Työkonekanta!$F$3:$F$27,MATCH('S0a Baseline'!$A126,Työkonekanta!$A$3:$A$24,0),1),0)</f>
        <v>1</v>
      </c>
      <c r="C126" s="140">
        <v>2023</v>
      </c>
      <c r="D126" s="141" t="str">
        <f>IFERROR(INDEX(Työkonekanta!$D$3:$D$27,MATCH('S0a Baseline'!$A126,Työkonekanta!$A$3:$A$24,0),1),"undefined")</f>
        <v>pom</v>
      </c>
      <c r="E126" s="145">
        <f>IFERROR(INDEX(Työkonekanta!$G$3:$G$27,MATCH($A126,Työkonekanta!$A$3:$A$24,0),1)*INDEX(Työkonekanta!$H$3:$H$27,MATCH($A126,Työkonekanta!$A$3:$A$24,0),1)*$B126,0)</f>
        <v>10000</v>
      </c>
      <c r="F126" s="344">
        <f t="shared" si="18"/>
        <v>359000</v>
      </c>
      <c r="G126" s="344">
        <f t="shared" si="25"/>
        <v>341050</v>
      </c>
      <c r="H126" s="344">
        <f t="shared" si="26"/>
        <v>17950</v>
      </c>
      <c r="I126" s="145">
        <f t="shared" si="19"/>
        <v>9500</v>
      </c>
      <c r="J126" s="145">
        <f t="shared" si="20"/>
        <v>523.32361516034985</v>
      </c>
      <c r="K126" s="142" t="str">
        <f t="shared" si="27"/>
        <v>l</v>
      </c>
      <c r="L126" s="146">
        <f>IFERROR(INDEX(Työkonekanta!$I$3:$I$27,MATCH('S0a Baseline'!$A126,Työkonekanta!$A$3:$A$24,0),1)*(I126+J126)*f_adblue,0)</f>
        <v>501.16618075801756</v>
      </c>
      <c r="M126" s="146">
        <f t="shared" si="32"/>
        <v>0</v>
      </c>
      <c r="N126" s="143" t="str">
        <f>IF(tuulisähkö_vuosi&lt;='S0a Baseline'!C126,"tuulisähkö",ostosähkö_nyt)</f>
        <v>jäännössähkö</v>
      </c>
      <c r="O126" s="147">
        <f>INDEX(Muuttujat!$J$5:$J$21,MATCH($C126,Muuttujat!$H$5:$H$21,0),1)</f>
        <v>66.51860537025</v>
      </c>
      <c r="P126" s="342">
        <f>1-(INDEX(Muuttujat!$O$5:$O$21,MATCH($C126,Muuttujat!$N$5:$N$21,0),1))</f>
        <v>0.95</v>
      </c>
      <c r="Q126" s="342">
        <f>INDEX(Muuttujat!$O$5:$O$21,MATCH($C126,Muuttujat!$N$5:$N$21,0),1)</f>
        <v>0.05</v>
      </c>
      <c r="R126" s="148">
        <f>INDEX(Muuttujat!$P$5:$P$21,MATCH($C126,Muuttujat!$N$5:$N$21,0),1)</f>
        <v>5.2210587442409327E-2</v>
      </c>
      <c r="S126" s="149">
        <f t="shared" si="21"/>
        <v>6.4458449999999994</v>
      </c>
      <c r="T126" s="150">
        <f t="shared" si="22"/>
        <v>1.12008</v>
      </c>
      <c r="U126" s="150">
        <f t="shared" si="23"/>
        <v>0</v>
      </c>
      <c r="V126" s="150">
        <f>IFERROR(INDEX(Työkonekanta!$J$3:$J$27,MATCH($A126,Työkonekanta!$A$3:$A$24,0),1)*$B126*ef_li_ion_akku/1000/1000/INDEX(Työkonekanta!$K$3:$K$27,MATCH($A126,Työkonekanta!$A$3:$A$24,0)),0)</f>
        <v>0</v>
      </c>
      <c r="W126" s="149">
        <f t="shared" si="24"/>
        <v>25.172305121699999</v>
      </c>
      <c r="X126" s="150">
        <f t="shared" si="33"/>
        <v>0.31774565999999999</v>
      </c>
      <c r="Y126" s="151">
        <f t="shared" si="34"/>
        <v>0.13030320699708459</v>
      </c>
      <c r="Z126" s="152">
        <f t="shared" si="28"/>
        <v>7.5659249999999991</v>
      </c>
      <c r="AA126" s="153">
        <f t="shared" si="29"/>
        <v>25.302608328697083</v>
      </c>
      <c r="AB126" s="153">
        <f t="shared" si="30"/>
        <v>25.620353988697083</v>
      </c>
      <c r="AC126" s="154">
        <f t="shared" si="35"/>
        <v>32.868533328697083</v>
      </c>
      <c r="AD126" s="156">
        <f t="shared" si="31"/>
        <v>33.186278988697083</v>
      </c>
    </row>
    <row r="127" spans="1:30" s="144" customFormat="1">
      <c r="A127" s="139">
        <v>5</v>
      </c>
      <c r="B127" s="139">
        <f>IFERROR(INDEX(Työkonekanta!$F$3:$F$27,MATCH('S0a Baseline'!$A127,Työkonekanta!$A$3:$A$24,0),1),0)</f>
        <v>0</v>
      </c>
      <c r="C127" s="140">
        <v>2023</v>
      </c>
      <c r="D127" s="141" t="str">
        <f>IFERROR(INDEX(Työkonekanta!$D$3:$D$27,MATCH('S0a Baseline'!$A127,Työkonekanta!$A$3:$A$24,0),1),"undefined")</f>
        <v>sähkö</v>
      </c>
      <c r="E127" s="145">
        <f>IFERROR(INDEX(Työkonekanta!$G$3:$G$27,MATCH($A127,Työkonekanta!$A$3:$A$24,0),1)*INDEX(Työkonekanta!$H$3:$H$27,MATCH($A127,Työkonekanta!$A$3:$A$24,0),1)*$B127,0)</f>
        <v>0</v>
      </c>
      <c r="F127" s="344">
        <f t="shared" si="18"/>
        <v>0</v>
      </c>
      <c r="G127" s="344">
        <f t="shared" si="25"/>
        <v>0</v>
      </c>
      <c r="H127" s="344">
        <f t="shared" si="26"/>
        <v>0</v>
      </c>
      <c r="I127" s="145">
        <f t="shared" si="19"/>
        <v>0</v>
      </c>
      <c r="J127" s="145">
        <f t="shared" si="20"/>
        <v>0</v>
      </c>
      <c r="K127" s="142" t="str">
        <f t="shared" si="27"/>
        <v>kWh</v>
      </c>
      <c r="L127" s="146">
        <f>IFERROR(INDEX(Työkonekanta!$I$3:$I$27,MATCH('S0a Baseline'!$A127,Työkonekanta!$A$3:$A$24,0),1)*(I127+J127)*f_adblue,0)</f>
        <v>0</v>
      </c>
      <c r="M127" s="146">
        <f t="shared" si="32"/>
        <v>0</v>
      </c>
      <c r="N127" s="143" t="str">
        <f>IF(tuulisähkö_vuosi&lt;='S0a Baseline'!C127,"tuulisähkö",ostosähkö_nyt)</f>
        <v>jäännössähkö</v>
      </c>
      <c r="O127" s="147">
        <f>INDEX(Muuttujat!$J$5:$J$21,MATCH($C127,Muuttujat!$H$5:$H$21,0),1)</f>
        <v>66.51860537025</v>
      </c>
      <c r="P127" s="342">
        <f>1-(INDEX(Muuttujat!$O$5:$O$21,MATCH($C127,Muuttujat!$N$5:$N$21,0),1))</f>
        <v>0.95</v>
      </c>
      <c r="Q127" s="342">
        <f>INDEX(Muuttujat!$O$5:$O$21,MATCH($C127,Muuttujat!$N$5:$N$21,0),1)</f>
        <v>0.05</v>
      </c>
      <c r="R127" s="148">
        <f>INDEX(Muuttujat!$P$5:$P$21,MATCH($C127,Muuttujat!$N$5:$N$21,0),1)</f>
        <v>5.2210587442409327E-2</v>
      </c>
      <c r="S127" s="149">
        <f t="shared" si="21"/>
        <v>0</v>
      </c>
      <c r="T127" s="150">
        <f t="shared" si="22"/>
        <v>0</v>
      </c>
      <c r="U127" s="150">
        <f t="shared" si="23"/>
        <v>0</v>
      </c>
      <c r="V127" s="150">
        <f>IFERROR(INDEX(Työkonekanta!$J$3:$J$27,MATCH($A127,Työkonekanta!$A$3:$A$24,0),1)*$B127*ef_li_ion_akku/1000/1000/INDEX(Työkonekanta!$K$3:$K$27,MATCH($A127,Työkonekanta!$A$3:$A$24,0)),0)</f>
        <v>0</v>
      </c>
      <c r="W127" s="149">
        <f t="shared" si="24"/>
        <v>0</v>
      </c>
      <c r="X127" s="150">
        <f t="shared" si="33"/>
        <v>0</v>
      </c>
      <c r="Y127" s="151">
        <f t="shared" si="34"/>
        <v>0</v>
      </c>
      <c r="Z127" s="152">
        <f t="shared" si="28"/>
        <v>0</v>
      </c>
      <c r="AA127" s="153">
        <f t="shared" si="29"/>
        <v>0</v>
      </c>
      <c r="AB127" s="153">
        <f t="shared" si="30"/>
        <v>0</v>
      </c>
      <c r="AC127" s="154">
        <f t="shared" si="35"/>
        <v>0</v>
      </c>
      <c r="AD127" s="156">
        <f t="shared" si="31"/>
        <v>0</v>
      </c>
    </row>
    <row r="128" spans="1:30" s="144" customFormat="1">
      <c r="A128" s="139">
        <v>6</v>
      </c>
      <c r="B128" s="139">
        <f>IFERROR(INDEX(Työkonekanta!$F$3:$F$27,MATCH('S0a Baseline'!$A128,Työkonekanta!$A$3:$A$24,0),1),0)</f>
        <v>0</v>
      </c>
      <c r="C128" s="140">
        <v>2023</v>
      </c>
      <c r="D128" s="141" t="str">
        <f>IFERROR(INDEX(Työkonekanta!$D$3:$D$27,MATCH('S0a Baseline'!$A128,Työkonekanta!$A$3:$A$24,0),1),"undefined")</f>
        <v>sähkö</v>
      </c>
      <c r="E128" s="145">
        <f>IFERROR(INDEX(Työkonekanta!$G$3:$G$27,MATCH($A128,Työkonekanta!$A$3:$A$24,0),1)*INDEX(Työkonekanta!$H$3:$H$27,MATCH($A128,Työkonekanta!$A$3:$A$24,0),1)*$B128,0)</f>
        <v>0</v>
      </c>
      <c r="F128" s="344">
        <f t="shared" si="18"/>
        <v>0</v>
      </c>
      <c r="G128" s="344">
        <f t="shared" si="25"/>
        <v>0</v>
      </c>
      <c r="H128" s="344">
        <f t="shared" si="26"/>
        <v>0</v>
      </c>
      <c r="I128" s="145">
        <f t="shared" si="19"/>
        <v>0</v>
      </c>
      <c r="J128" s="145">
        <f t="shared" si="20"/>
        <v>0</v>
      </c>
      <c r="K128" s="142" t="str">
        <f t="shared" si="27"/>
        <v>kWh</v>
      </c>
      <c r="L128" s="146">
        <f>IFERROR(INDEX(Työkonekanta!$I$3:$I$27,MATCH('S0a Baseline'!$A128,Työkonekanta!$A$3:$A$24,0),1)*(I128+J128)*f_adblue,0)</f>
        <v>0</v>
      </c>
      <c r="M128" s="146">
        <f t="shared" si="32"/>
        <v>0</v>
      </c>
      <c r="N128" s="143" t="str">
        <f>IF(tuulisähkö_vuosi&lt;='S0a Baseline'!C128,"tuulisähkö",ostosähkö_nyt)</f>
        <v>jäännössähkö</v>
      </c>
      <c r="O128" s="147">
        <f>INDEX(Muuttujat!$J$5:$J$21,MATCH($C128,Muuttujat!$H$5:$H$21,0),1)</f>
        <v>66.51860537025</v>
      </c>
      <c r="P128" s="342">
        <f>1-(INDEX(Muuttujat!$O$5:$O$21,MATCH($C128,Muuttujat!$N$5:$N$21,0),1))</f>
        <v>0.95</v>
      </c>
      <c r="Q128" s="342">
        <f>INDEX(Muuttujat!$O$5:$O$21,MATCH($C128,Muuttujat!$N$5:$N$21,0),1)</f>
        <v>0.05</v>
      </c>
      <c r="R128" s="148">
        <f>INDEX(Muuttujat!$P$5:$P$21,MATCH($C128,Muuttujat!$N$5:$N$21,0),1)</f>
        <v>5.2210587442409327E-2</v>
      </c>
      <c r="S128" s="149">
        <f t="shared" si="21"/>
        <v>0</v>
      </c>
      <c r="T128" s="150">
        <f t="shared" si="22"/>
        <v>0</v>
      </c>
      <c r="U128" s="150">
        <f t="shared" si="23"/>
        <v>0</v>
      </c>
      <c r="V128" s="150">
        <f>IFERROR(INDEX(Työkonekanta!$J$3:$J$27,MATCH($A128,Työkonekanta!$A$3:$A$24,0),1)*$B128*ef_li_ion_akku/1000/1000/INDEX(Työkonekanta!$K$3:$K$27,MATCH($A128,Työkonekanta!$A$3:$A$24,0)),0)</f>
        <v>0</v>
      </c>
      <c r="W128" s="149">
        <f t="shared" si="24"/>
        <v>0</v>
      </c>
      <c r="X128" s="150">
        <f t="shared" si="33"/>
        <v>0</v>
      </c>
      <c r="Y128" s="151">
        <f t="shared" si="34"/>
        <v>0</v>
      </c>
      <c r="Z128" s="152">
        <f t="shared" si="28"/>
        <v>0</v>
      </c>
      <c r="AA128" s="153">
        <f t="shared" si="29"/>
        <v>0</v>
      </c>
      <c r="AB128" s="153">
        <f t="shared" si="30"/>
        <v>0</v>
      </c>
      <c r="AC128" s="154">
        <f t="shared" si="35"/>
        <v>0</v>
      </c>
      <c r="AD128" s="156">
        <f t="shared" si="31"/>
        <v>0</v>
      </c>
    </row>
    <row r="129" spans="1:30" s="144" customFormat="1">
      <c r="A129" s="139">
        <v>7</v>
      </c>
      <c r="B129" s="139">
        <f>IFERROR(INDEX(Työkonekanta!$F$3:$F$27,MATCH('S0a Baseline'!$A129,Työkonekanta!$A$3:$A$24,0),1),0)</f>
        <v>1</v>
      </c>
      <c r="C129" s="140">
        <v>2023</v>
      </c>
      <c r="D129" s="141" t="str">
        <f>IFERROR(INDEX(Työkonekanta!$D$3:$D$27,MATCH('S0a Baseline'!$A129,Työkonekanta!$A$3:$A$24,0),1),"undefined")</f>
        <v>pom</v>
      </c>
      <c r="E129" s="145">
        <f>IFERROR(INDEX(Työkonekanta!$G$3:$G$27,MATCH($A129,Työkonekanta!$A$3:$A$24,0),1)*INDEX(Työkonekanta!$H$3:$H$27,MATCH($A129,Työkonekanta!$A$3:$A$24,0),1)*$B129,0)</f>
        <v>10000</v>
      </c>
      <c r="F129" s="344">
        <f t="shared" si="18"/>
        <v>359000</v>
      </c>
      <c r="G129" s="344">
        <f t="shared" si="25"/>
        <v>341050</v>
      </c>
      <c r="H129" s="344">
        <f t="shared" si="26"/>
        <v>17950</v>
      </c>
      <c r="I129" s="145">
        <f t="shared" si="19"/>
        <v>9500</v>
      </c>
      <c r="J129" s="145">
        <f t="shared" si="20"/>
        <v>523.32361516034985</v>
      </c>
      <c r="K129" s="142" t="str">
        <f t="shared" si="27"/>
        <v>l</v>
      </c>
      <c r="L129" s="146">
        <f>IFERROR(INDEX(Työkonekanta!$I$3:$I$27,MATCH('S0a Baseline'!$A129,Työkonekanta!$A$3:$A$24,0),1)*(I129+J129)*f_adblue,0)</f>
        <v>0</v>
      </c>
      <c r="M129" s="146">
        <f t="shared" si="32"/>
        <v>0</v>
      </c>
      <c r="N129" s="143" t="str">
        <f>IF(tuulisähkö_vuosi&lt;='S0a Baseline'!C129,"tuulisähkö",ostosähkö_nyt)</f>
        <v>jäännössähkö</v>
      </c>
      <c r="O129" s="147">
        <f>INDEX(Muuttujat!$J$5:$J$21,MATCH($C129,Muuttujat!$H$5:$H$21,0),1)</f>
        <v>66.51860537025</v>
      </c>
      <c r="P129" s="342">
        <f>1-(INDEX(Muuttujat!$O$5:$O$21,MATCH($C129,Muuttujat!$N$5:$N$21,0),1))</f>
        <v>0.95</v>
      </c>
      <c r="Q129" s="342">
        <f>INDEX(Muuttujat!$O$5:$O$21,MATCH($C129,Muuttujat!$N$5:$N$21,0),1)</f>
        <v>0.05</v>
      </c>
      <c r="R129" s="148">
        <f>INDEX(Muuttujat!$P$5:$P$21,MATCH($C129,Muuttujat!$N$5:$N$21,0),1)</f>
        <v>5.2210587442409327E-2</v>
      </c>
      <c r="S129" s="149">
        <f t="shared" si="21"/>
        <v>6.4458449999999994</v>
      </c>
      <c r="T129" s="150">
        <f t="shared" si="22"/>
        <v>1.12008</v>
      </c>
      <c r="U129" s="150">
        <f t="shared" si="23"/>
        <v>0</v>
      </c>
      <c r="V129" s="150">
        <f>IFERROR(INDEX(Työkonekanta!$J$3:$J$27,MATCH($A129,Työkonekanta!$A$3:$A$24,0),1)*$B129*ef_li_ion_akku/1000/1000/INDEX(Työkonekanta!$K$3:$K$27,MATCH($A129,Työkonekanta!$A$3:$A$24,0)),0)</f>
        <v>0</v>
      </c>
      <c r="W129" s="149">
        <f t="shared" si="24"/>
        <v>25.172305121699999</v>
      </c>
      <c r="X129" s="150">
        <f t="shared" si="33"/>
        <v>0.31774565999999999</v>
      </c>
      <c r="Y129" s="151">
        <f t="shared" si="34"/>
        <v>0</v>
      </c>
      <c r="Z129" s="152">
        <f t="shared" si="28"/>
        <v>7.5659249999999991</v>
      </c>
      <c r="AA129" s="153">
        <f t="shared" si="29"/>
        <v>25.172305121699999</v>
      </c>
      <c r="AB129" s="153">
        <f t="shared" si="30"/>
        <v>25.490050781699999</v>
      </c>
      <c r="AC129" s="154">
        <f t="shared" si="35"/>
        <v>32.738230121699999</v>
      </c>
      <c r="AD129" s="156">
        <f t="shared" si="31"/>
        <v>33.055975781699999</v>
      </c>
    </row>
    <row r="130" spans="1:30" s="144" customFormat="1">
      <c r="A130" s="139">
        <v>8</v>
      </c>
      <c r="B130" s="139">
        <f>IFERROR(INDEX(Työkonekanta!$F$3:$F$27,MATCH('S0a Baseline'!$A130,Työkonekanta!$A$3:$A$24,0),1),0)</f>
        <v>1</v>
      </c>
      <c r="C130" s="140">
        <v>2023</v>
      </c>
      <c r="D130" s="141" t="str">
        <f>IFERROR(INDEX(Työkonekanta!$D$3:$D$27,MATCH('S0a Baseline'!$A130,Työkonekanta!$A$3:$A$24,0),1),"undefined")</f>
        <v>pom</v>
      </c>
      <c r="E130" s="145">
        <f>IFERROR(INDEX(Työkonekanta!$G$3:$G$27,MATCH($A130,Työkonekanta!$A$3:$A$24,0),1)*INDEX(Työkonekanta!$H$3:$H$27,MATCH($A130,Työkonekanta!$A$3:$A$24,0),1)*$B130,0)</f>
        <v>10000</v>
      </c>
      <c r="F130" s="344">
        <f t="shared" si="18"/>
        <v>359000</v>
      </c>
      <c r="G130" s="344">
        <f t="shared" si="25"/>
        <v>341050</v>
      </c>
      <c r="H130" s="344">
        <f t="shared" si="26"/>
        <v>17950</v>
      </c>
      <c r="I130" s="145">
        <f t="shared" si="19"/>
        <v>9500</v>
      </c>
      <c r="J130" s="145">
        <f t="shared" si="20"/>
        <v>523.32361516034985</v>
      </c>
      <c r="K130" s="142" t="str">
        <f t="shared" si="27"/>
        <v>l</v>
      </c>
      <c r="L130" s="146">
        <f>IFERROR(INDEX(Työkonekanta!$I$3:$I$27,MATCH('S0a Baseline'!$A130,Työkonekanta!$A$3:$A$24,0),1)*(I130+J130)*f_adblue,0)</f>
        <v>501.16618075801756</v>
      </c>
      <c r="M130" s="146">
        <f t="shared" si="32"/>
        <v>0</v>
      </c>
      <c r="N130" s="143" t="str">
        <f>IF(tuulisähkö_vuosi&lt;='S0a Baseline'!C130,"tuulisähkö",ostosähkö_nyt)</f>
        <v>jäännössähkö</v>
      </c>
      <c r="O130" s="147">
        <f>INDEX(Muuttujat!$J$5:$J$21,MATCH($C130,Muuttujat!$H$5:$H$21,0),1)</f>
        <v>66.51860537025</v>
      </c>
      <c r="P130" s="342">
        <f>1-(INDEX(Muuttujat!$O$5:$O$21,MATCH($C130,Muuttujat!$N$5:$N$21,0),1))</f>
        <v>0.95</v>
      </c>
      <c r="Q130" s="342">
        <f>INDEX(Muuttujat!$O$5:$O$21,MATCH($C130,Muuttujat!$N$5:$N$21,0),1)</f>
        <v>0.05</v>
      </c>
      <c r="R130" s="148">
        <f>INDEX(Muuttujat!$P$5:$P$21,MATCH($C130,Muuttujat!$N$5:$N$21,0),1)</f>
        <v>5.2210587442409327E-2</v>
      </c>
      <c r="S130" s="149">
        <f t="shared" si="21"/>
        <v>6.4458449999999994</v>
      </c>
      <c r="T130" s="150">
        <f t="shared" si="22"/>
        <v>1.12008</v>
      </c>
      <c r="U130" s="150">
        <f t="shared" si="23"/>
        <v>0</v>
      </c>
      <c r="V130" s="150">
        <f>IFERROR(INDEX(Työkonekanta!$J$3:$J$27,MATCH($A130,Työkonekanta!$A$3:$A$24,0),1)*$B130*ef_li_ion_akku/1000/1000/INDEX(Työkonekanta!$K$3:$K$27,MATCH($A130,Työkonekanta!$A$3:$A$24,0)),0)</f>
        <v>0</v>
      </c>
      <c r="W130" s="149">
        <f t="shared" si="24"/>
        <v>25.172305121699999</v>
      </c>
      <c r="X130" s="150">
        <f t="shared" si="33"/>
        <v>0.31774565999999999</v>
      </c>
      <c r="Y130" s="151">
        <f t="shared" si="34"/>
        <v>0.13030320699708459</v>
      </c>
      <c r="Z130" s="152">
        <f t="shared" si="28"/>
        <v>7.5659249999999991</v>
      </c>
      <c r="AA130" s="153">
        <f t="shared" si="29"/>
        <v>25.302608328697083</v>
      </c>
      <c r="AB130" s="153">
        <f t="shared" si="30"/>
        <v>25.620353988697083</v>
      </c>
      <c r="AC130" s="154">
        <f t="shared" si="35"/>
        <v>32.868533328697083</v>
      </c>
      <c r="AD130" s="156">
        <f t="shared" si="31"/>
        <v>33.186278988697083</v>
      </c>
    </row>
    <row r="131" spans="1:30" s="144" customFormat="1">
      <c r="A131" s="139">
        <v>9</v>
      </c>
      <c r="B131" s="139">
        <f>IFERROR(INDEX(Työkonekanta!$F$3:$F$27,MATCH('S0a Baseline'!$A131,Työkonekanta!$A$3:$A$24,0),1),0)</f>
        <v>0</v>
      </c>
      <c r="C131" s="140">
        <v>2023</v>
      </c>
      <c r="D131" s="141" t="str">
        <f>IFERROR(INDEX(Työkonekanta!$D$3:$D$27,MATCH('S0a Baseline'!$A131,Työkonekanta!$A$3:$A$24,0),1),"undefined")</f>
        <v>sähkö</v>
      </c>
      <c r="E131" s="145">
        <f>IFERROR(INDEX(Työkonekanta!$G$3:$G$27,MATCH($A131,Työkonekanta!$A$3:$A$24,0),1)*INDEX(Työkonekanta!$H$3:$H$27,MATCH($A131,Työkonekanta!$A$3:$A$24,0),1)*$B131,0)</f>
        <v>0</v>
      </c>
      <c r="F131" s="344">
        <f t="shared" ref="F131:F194" si="36">IF(D131="pom",$E131*hv_pom,0)</f>
        <v>0</v>
      </c>
      <c r="G131" s="344">
        <f t="shared" si="25"/>
        <v>0</v>
      </c>
      <c r="H131" s="344">
        <f t="shared" si="26"/>
        <v>0</v>
      </c>
      <c r="I131" s="145">
        <f t="shared" ref="I131:I194" si="37">$G131/hv_pom</f>
        <v>0</v>
      </c>
      <c r="J131" s="145">
        <f t="shared" ref="J131:J194" si="38">$H131/hv_biodies</f>
        <v>0</v>
      </c>
      <c r="K131" s="142" t="str">
        <f t="shared" si="27"/>
        <v>kWh</v>
      </c>
      <c r="L131" s="146">
        <f>IFERROR(INDEX(Työkonekanta!$I$3:$I$27,MATCH('S0a Baseline'!$A131,Työkonekanta!$A$3:$A$24,0),1)*(I131+J131)*f_adblue,0)</f>
        <v>0</v>
      </c>
      <c r="M131" s="146">
        <f t="shared" si="32"/>
        <v>0</v>
      </c>
      <c r="N131" s="143" t="str">
        <f>IF(tuulisähkö_vuosi&lt;='S0a Baseline'!C131,"tuulisähkö",ostosähkö_nyt)</f>
        <v>jäännössähkö</v>
      </c>
      <c r="O131" s="147">
        <f>INDEX(Muuttujat!$J$5:$J$21,MATCH($C131,Muuttujat!$H$5:$H$21,0),1)</f>
        <v>66.51860537025</v>
      </c>
      <c r="P131" s="342">
        <f>1-(INDEX(Muuttujat!$O$5:$O$21,MATCH($C131,Muuttujat!$N$5:$N$21,0),1))</f>
        <v>0.95</v>
      </c>
      <c r="Q131" s="342">
        <f>INDEX(Muuttujat!$O$5:$O$21,MATCH($C131,Muuttujat!$N$5:$N$21,0),1)</f>
        <v>0.05</v>
      </c>
      <c r="R131" s="148">
        <f>INDEX(Muuttujat!$P$5:$P$21,MATCH($C131,Muuttujat!$N$5:$N$21,0),1)</f>
        <v>5.2210587442409327E-2</v>
      </c>
      <c r="S131" s="149">
        <f t="shared" ref="S131:S194" si="39">wtt_ef_e_co2_dies*$G131/1000/1000</f>
        <v>0</v>
      </c>
      <c r="T131" s="150">
        <f t="shared" ref="T131:T194" si="40">wtt_ef_e_co2_biodies*$H131/1000/1000</f>
        <v>0</v>
      </c>
      <c r="U131" s="150">
        <f t="shared" ref="U131:U194" si="41">IF(N131="jäännössähkö",$O131,IF(N131="tuulisähkö",wtt_ef_e_co2_el_wind,0))*$M131/1000/1000</f>
        <v>0</v>
      </c>
      <c r="V131" s="150">
        <f>IFERROR(INDEX(Työkonekanta!$J$3:$J$27,MATCH($A131,Työkonekanta!$A$3:$A$24,0),1)*$B131*ef_li_ion_akku/1000/1000/INDEX(Työkonekanta!$K$3:$K$27,MATCH($A131,Työkonekanta!$A$3:$A$24,0)),0)</f>
        <v>0</v>
      </c>
      <c r="W131" s="149">
        <f t="shared" ref="W131:W194" si="42">($I131*IF($D131="pom",ef_v_co2_pom,0))/1000/1000</f>
        <v>0</v>
      </c>
      <c r="X131" s="150">
        <f t="shared" si="33"/>
        <v>0</v>
      </c>
      <c r="Y131" s="151">
        <f t="shared" si="34"/>
        <v>0</v>
      </c>
      <c r="Z131" s="152">
        <f t="shared" si="28"/>
        <v>0</v>
      </c>
      <c r="AA131" s="153">
        <f t="shared" si="29"/>
        <v>0</v>
      </c>
      <c r="AB131" s="153">
        <f t="shared" si="30"/>
        <v>0</v>
      </c>
      <c r="AC131" s="154">
        <f t="shared" si="35"/>
        <v>0</v>
      </c>
      <c r="AD131" s="156">
        <f t="shared" si="31"/>
        <v>0</v>
      </c>
    </row>
    <row r="132" spans="1:30" s="144" customFormat="1">
      <c r="A132" s="139">
        <v>10</v>
      </c>
      <c r="B132" s="139">
        <f>IFERROR(INDEX(Työkonekanta!$F$3:$F$27,MATCH('S0a Baseline'!$A132,Työkonekanta!$A$3:$A$24,0),1),0)</f>
        <v>0</v>
      </c>
      <c r="C132" s="140">
        <v>2023</v>
      </c>
      <c r="D132" s="141" t="str">
        <f>IFERROR(INDEX(Työkonekanta!$D$3:$D$27,MATCH('S0a Baseline'!$A132,Työkonekanta!$A$3:$A$24,0),1),"undefined")</f>
        <v>sähkö</v>
      </c>
      <c r="E132" s="145">
        <f>IFERROR(INDEX(Työkonekanta!$G$3:$G$27,MATCH($A132,Työkonekanta!$A$3:$A$24,0),1)*INDEX(Työkonekanta!$H$3:$H$27,MATCH($A132,Työkonekanta!$A$3:$A$24,0),1)*$B132,0)</f>
        <v>0</v>
      </c>
      <c r="F132" s="344">
        <f t="shared" si="36"/>
        <v>0</v>
      </c>
      <c r="G132" s="344">
        <f t="shared" ref="G132:G195" si="43">$F132*$P132</f>
        <v>0</v>
      </c>
      <c r="H132" s="344">
        <f t="shared" ref="H132:H195" si="44">$F132*$Q132</f>
        <v>0</v>
      </c>
      <c r="I132" s="145">
        <f t="shared" si="37"/>
        <v>0</v>
      </c>
      <c r="J132" s="145">
        <f t="shared" si="38"/>
        <v>0</v>
      </c>
      <c r="K132" s="142" t="str">
        <f t="shared" ref="K132:K195" si="45">IF($D132="sähkö","kWh",IF($D132="pom","l","undefined"))</f>
        <v>kWh</v>
      </c>
      <c r="L132" s="146">
        <f>IFERROR(INDEX(Työkonekanta!$I$3:$I$27,MATCH('S0a Baseline'!$A132,Työkonekanta!$A$3:$A$24,0),1)*(I132+J132)*f_adblue,0)</f>
        <v>0</v>
      </c>
      <c r="M132" s="146">
        <f t="shared" si="32"/>
        <v>0</v>
      </c>
      <c r="N132" s="143" t="str">
        <f>IF(tuulisähkö_vuosi&lt;='S0a Baseline'!C132,"tuulisähkö",ostosähkö_nyt)</f>
        <v>jäännössähkö</v>
      </c>
      <c r="O132" s="147">
        <f>INDEX(Muuttujat!$J$5:$J$21,MATCH($C132,Muuttujat!$H$5:$H$21,0),1)</f>
        <v>66.51860537025</v>
      </c>
      <c r="P132" s="342">
        <f>1-(INDEX(Muuttujat!$O$5:$O$21,MATCH($C132,Muuttujat!$N$5:$N$21,0),1))</f>
        <v>0.95</v>
      </c>
      <c r="Q132" s="342">
        <f>INDEX(Muuttujat!$O$5:$O$21,MATCH($C132,Muuttujat!$N$5:$N$21,0),1)</f>
        <v>0.05</v>
      </c>
      <c r="R132" s="148">
        <f>INDEX(Muuttujat!$P$5:$P$21,MATCH($C132,Muuttujat!$N$5:$N$21,0),1)</f>
        <v>5.2210587442409327E-2</v>
      </c>
      <c r="S132" s="149">
        <f t="shared" si="39"/>
        <v>0</v>
      </c>
      <c r="T132" s="150">
        <f t="shared" si="40"/>
        <v>0</v>
      </c>
      <c r="U132" s="150">
        <f t="shared" si="41"/>
        <v>0</v>
      </c>
      <c r="V132" s="150">
        <f>IFERROR(INDEX(Työkonekanta!$J$3:$J$27,MATCH($A132,Työkonekanta!$A$3:$A$24,0),1)*$B132*ef_li_ion_akku/1000/1000/INDEX(Työkonekanta!$K$3:$K$27,MATCH($A132,Työkonekanta!$A$3:$A$24,0)),0)</f>
        <v>0</v>
      </c>
      <c r="W132" s="149">
        <f t="shared" si="42"/>
        <v>0</v>
      </c>
      <c r="X132" s="150">
        <f t="shared" si="33"/>
        <v>0</v>
      </c>
      <c r="Y132" s="151">
        <f t="shared" si="34"/>
        <v>0</v>
      </c>
      <c r="Z132" s="152">
        <f t="shared" ref="Z132:Z195" si="46">SUM($S132:$V132)</f>
        <v>0</v>
      </c>
      <c r="AA132" s="153">
        <f t="shared" ref="AA132:AA195" si="47">$W132+$Y132</f>
        <v>0</v>
      </c>
      <c r="AB132" s="153">
        <f t="shared" ref="AB132:AB195" si="48">SUM($W132:$Y132)</f>
        <v>0</v>
      </c>
      <c r="AC132" s="154">
        <f t="shared" si="35"/>
        <v>0</v>
      </c>
      <c r="AD132" s="156">
        <f t="shared" ref="AD132:AD195" si="49">$Z132+$AB132</f>
        <v>0</v>
      </c>
    </row>
    <row r="133" spans="1:30" s="144" customFormat="1">
      <c r="A133" s="139">
        <v>11</v>
      </c>
      <c r="B133" s="139">
        <f>IFERROR(INDEX(Työkonekanta!$F$3:$F$27,MATCH('S0a Baseline'!$A133,Työkonekanta!$A$3:$A$24,0),1),0)</f>
        <v>1</v>
      </c>
      <c r="C133" s="140">
        <v>2023</v>
      </c>
      <c r="D133" s="141" t="str">
        <f>IFERROR(INDEX(Työkonekanta!$D$3:$D$27,MATCH('S0a Baseline'!$A133,Työkonekanta!$A$3:$A$24,0),1),"undefined")</f>
        <v>pom</v>
      </c>
      <c r="E133" s="145">
        <f>IFERROR(INDEX(Työkonekanta!$G$3:$G$27,MATCH($A133,Työkonekanta!$A$3:$A$24,0),1)*INDEX(Työkonekanta!$H$3:$H$27,MATCH($A133,Työkonekanta!$A$3:$A$24,0),1)*$B133,0)</f>
        <v>10000</v>
      </c>
      <c r="F133" s="344">
        <f t="shared" si="36"/>
        <v>359000</v>
      </c>
      <c r="G133" s="344">
        <f t="shared" si="43"/>
        <v>341050</v>
      </c>
      <c r="H133" s="344">
        <f t="shared" si="44"/>
        <v>17950</v>
      </c>
      <c r="I133" s="145">
        <f t="shared" si="37"/>
        <v>9500</v>
      </c>
      <c r="J133" s="145">
        <f t="shared" si="38"/>
        <v>523.32361516034985</v>
      </c>
      <c r="K133" s="142" t="str">
        <f t="shared" si="45"/>
        <v>l</v>
      </c>
      <c r="L133" s="146">
        <f>IFERROR(INDEX(Työkonekanta!$I$3:$I$27,MATCH('S0a Baseline'!$A133,Työkonekanta!$A$3:$A$24,0),1)*(I133+J133)*f_adblue,0)</f>
        <v>501.16618075801756</v>
      </c>
      <c r="M133" s="146">
        <f t="shared" si="32"/>
        <v>0</v>
      </c>
      <c r="N133" s="143" t="str">
        <f>IF(tuulisähkö_vuosi&lt;='S0a Baseline'!C133,"tuulisähkö",ostosähkö_nyt)</f>
        <v>jäännössähkö</v>
      </c>
      <c r="O133" s="147">
        <f>INDEX(Muuttujat!$J$5:$J$21,MATCH($C133,Muuttujat!$H$5:$H$21,0),1)</f>
        <v>66.51860537025</v>
      </c>
      <c r="P133" s="342">
        <f>1-(INDEX(Muuttujat!$O$5:$O$21,MATCH($C133,Muuttujat!$N$5:$N$21,0),1))</f>
        <v>0.95</v>
      </c>
      <c r="Q133" s="342">
        <f>INDEX(Muuttujat!$O$5:$O$21,MATCH($C133,Muuttujat!$N$5:$N$21,0),1)</f>
        <v>0.05</v>
      </c>
      <c r="R133" s="148">
        <f>INDEX(Muuttujat!$P$5:$P$21,MATCH($C133,Muuttujat!$N$5:$N$21,0),1)</f>
        <v>5.2210587442409327E-2</v>
      </c>
      <c r="S133" s="149">
        <f t="shared" si="39"/>
        <v>6.4458449999999994</v>
      </c>
      <c r="T133" s="150">
        <f t="shared" si="40"/>
        <v>1.12008</v>
      </c>
      <c r="U133" s="150">
        <f t="shared" si="41"/>
        <v>0</v>
      </c>
      <c r="V133" s="150">
        <f>IFERROR(INDEX(Työkonekanta!$J$3:$J$27,MATCH($A133,Työkonekanta!$A$3:$A$24,0),1)*$B133*ef_li_ion_akku/1000/1000/INDEX(Työkonekanta!$K$3:$K$27,MATCH($A133,Työkonekanta!$A$3:$A$24,0)),0)</f>
        <v>0</v>
      </c>
      <c r="W133" s="149">
        <f t="shared" si="42"/>
        <v>25.172305121699999</v>
      </c>
      <c r="X133" s="150">
        <f t="shared" si="33"/>
        <v>0.31774565999999999</v>
      </c>
      <c r="Y133" s="151">
        <f t="shared" si="34"/>
        <v>0.13030320699708459</v>
      </c>
      <c r="Z133" s="152">
        <f t="shared" si="46"/>
        <v>7.5659249999999991</v>
      </c>
      <c r="AA133" s="153">
        <f t="shared" si="47"/>
        <v>25.302608328697083</v>
      </c>
      <c r="AB133" s="153">
        <f t="shared" si="48"/>
        <v>25.620353988697083</v>
      </c>
      <c r="AC133" s="154">
        <f t="shared" si="35"/>
        <v>32.868533328697083</v>
      </c>
      <c r="AD133" s="156">
        <f t="shared" si="49"/>
        <v>33.186278988697083</v>
      </c>
    </row>
    <row r="134" spans="1:30" s="144" customFormat="1">
      <c r="A134" s="139">
        <v>12</v>
      </c>
      <c r="B134" s="139">
        <f>IFERROR(INDEX(Työkonekanta!$F$3:$F$27,MATCH('S0a Baseline'!$A134,Työkonekanta!$A$3:$A$24,0),1),0)</f>
        <v>1</v>
      </c>
      <c r="C134" s="140">
        <v>2023</v>
      </c>
      <c r="D134" s="141" t="str">
        <f>IFERROR(INDEX(Työkonekanta!$D$3:$D$27,MATCH('S0a Baseline'!$A134,Työkonekanta!$A$3:$A$24,0),1),"undefined")</f>
        <v>pom</v>
      </c>
      <c r="E134" s="145">
        <f>IFERROR(INDEX(Työkonekanta!$G$3:$G$27,MATCH($A134,Työkonekanta!$A$3:$A$24,0),1)*INDEX(Työkonekanta!$H$3:$H$27,MATCH($A134,Työkonekanta!$A$3:$A$24,0),1)*$B134,0)</f>
        <v>10000</v>
      </c>
      <c r="F134" s="344">
        <f t="shared" si="36"/>
        <v>359000</v>
      </c>
      <c r="G134" s="344">
        <f t="shared" si="43"/>
        <v>341050</v>
      </c>
      <c r="H134" s="344">
        <f t="shared" si="44"/>
        <v>17950</v>
      </c>
      <c r="I134" s="145">
        <f t="shared" si="37"/>
        <v>9500</v>
      </c>
      <c r="J134" s="145">
        <f t="shared" si="38"/>
        <v>523.32361516034985</v>
      </c>
      <c r="K134" s="142" t="str">
        <f t="shared" si="45"/>
        <v>l</v>
      </c>
      <c r="L134" s="146">
        <f>IFERROR(INDEX(Työkonekanta!$I$3:$I$27,MATCH('S0a Baseline'!$A134,Työkonekanta!$A$3:$A$24,0),1)*(I134+J134)*f_adblue,0)</f>
        <v>501.16618075801756</v>
      </c>
      <c r="M134" s="146">
        <f t="shared" si="32"/>
        <v>0</v>
      </c>
      <c r="N134" s="143" t="str">
        <f>IF(tuulisähkö_vuosi&lt;='S0a Baseline'!C134,"tuulisähkö",ostosähkö_nyt)</f>
        <v>jäännössähkö</v>
      </c>
      <c r="O134" s="147">
        <f>INDEX(Muuttujat!$J$5:$J$21,MATCH($C134,Muuttujat!$H$5:$H$21,0),1)</f>
        <v>66.51860537025</v>
      </c>
      <c r="P134" s="342">
        <f>1-(INDEX(Muuttujat!$O$5:$O$21,MATCH($C134,Muuttujat!$N$5:$N$21,0),1))</f>
        <v>0.95</v>
      </c>
      <c r="Q134" s="342">
        <f>INDEX(Muuttujat!$O$5:$O$21,MATCH($C134,Muuttujat!$N$5:$N$21,0),1)</f>
        <v>0.05</v>
      </c>
      <c r="R134" s="148">
        <f>INDEX(Muuttujat!$P$5:$P$21,MATCH($C134,Muuttujat!$N$5:$N$21,0),1)</f>
        <v>5.2210587442409327E-2</v>
      </c>
      <c r="S134" s="149">
        <f t="shared" si="39"/>
        <v>6.4458449999999994</v>
      </c>
      <c r="T134" s="150">
        <f t="shared" si="40"/>
        <v>1.12008</v>
      </c>
      <c r="U134" s="150">
        <f t="shared" si="41"/>
        <v>0</v>
      </c>
      <c r="V134" s="150">
        <f>IFERROR(INDEX(Työkonekanta!$J$3:$J$27,MATCH($A134,Työkonekanta!$A$3:$A$24,0),1)*$B134*ef_li_ion_akku/1000/1000/INDEX(Työkonekanta!$K$3:$K$27,MATCH($A134,Työkonekanta!$A$3:$A$24,0)),0)</f>
        <v>0</v>
      </c>
      <c r="W134" s="149">
        <f t="shared" si="42"/>
        <v>25.172305121699999</v>
      </c>
      <c r="X134" s="150">
        <f t="shared" si="33"/>
        <v>0.31774565999999999</v>
      </c>
      <c r="Y134" s="151">
        <f t="shared" si="34"/>
        <v>0.13030320699708459</v>
      </c>
      <c r="Z134" s="152">
        <f t="shared" si="46"/>
        <v>7.5659249999999991</v>
      </c>
      <c r="AA134" s="153">
        <f t="shared" si="47"/>
        <v>25.302608328697083</v>
      </c>
      <c r="AB134" s="153">
        <f t="shared" si="48"/>
        <v>25.620353988697083</v>
      </c>
      <c r="AC134" s="154">
        <f t="shared" si="35"/>
        <v>32.868533328697083</v>
      </c>
      <c r="AD134" s="156">
        <f t="shared" si="49"/>
        <v>33.186278988697083</v>
      </c>
    </row>
    <row r="135" spans="1:30" s="144" customFormat="1">
      <c r="A135" s="139">
        <v>13</v>
      </c>
      <c r="B135" s="139">
        <f>IFERROR(INDEX(Työkonekanta!$F$3:$F$27,MATCH('S0a Baseline'!$A135,Työkonekanta!$A$3:$A$24,0),1),0)</f>
        <v>0</v>
      </c>
      <c r="C135" s="140">
        <v>2023</v>
      </c>
      <c r="D135" s="141" t="str">
        <f>IFERROR(INDEX(Työkonekanta!$D$3:$D$27,MATCH('S0a Baseline'!$A135,Työkonekanta!$A$3:$A$24,0),1),"undefined")</f>
        <v>pom</v>
      </c>
      <c r="E135" s="145">
        <f>IFERROR(INDEX(Työkonekanta!$G$3:$G$27,MATCH($A135,Työkonekanta!$A$3:$A$24,0),1)*INDEX(Työkonekanta!$H$3:$H$27,MATCH($A135,Työkonekanta!$A$3:$A$24,0),1)*$B135,0)</f>
        <v>0</v>
      </c>
      <c r="F135" s="344">
        <f t="shared" si="36"/>
        <v>0</v>
      </c>
      <c r="G135" s="344">
        <f t="shared" si="43"/>
        <v>0</v>
      </c>
      <c r="H135" s="344">
        <f t="shared" si="44"/>
        <v>0</v>
      </c>
      <c r="I135" s="145">
        <f t="shared" si="37"/>
        <v>0</v>
      </c>
      <c r="J135" s="145">
        <f t="shared" si="38"/>
        <v>0</v>
      </c>
      <c r="K135" s="142" t="str">
        <f t="shared" si="45"/>
        <v>l</v>
      </c>
      <c r="L135" s="146">
        <f>IFERROR(INDEX(Työkonekanta!$I$3:$I$27,MATCH('S0a Baseline'!$A135,Työkonekanta!$A$3:$A$24,0),1)*(I135+J135)*f_adblue,0)</f>
        <v>0</v>
      </c>
      <c r="M135" s="146">
        <f t="shared" si="32"/>
        <v>0</v>
      </c>
      <c r="N135" s="143" t="str">
        <f>IF(tuulisähkö_vuosi&lt;='S0a Baseline'!C135,"tuulisähkö",ostosähkö_nyt)</f>
        <v>jäännössähkö</v>
      </c>
      <c r="O135" s="147">
        <f>INDEX(Muuttujat!$J$5:$J$21,MATCH($C135,Muuttujat!$H$5:$H$21,0),1)</f>
        <v>66.51860537025</v>
      </c>
      <c r="P135" s="342">
        <f>1-(INDEX(Muuttujat!$O$5:$O$21,MATCH($C135,Muuttujat!$N$5:$N$21,0),1))</f>
        <v>0.95</v>
      </c>
      <c r="Q135" s="342">
        <f>INDEX(Muuttujat!$O$5:$O$21,MATCH($C135,Muuttujat!$N$5:$N$21,0),1)</f>
        <v>0.05</v>
      </c>
      <c r="R135" s="148">
        <f>INDEX(Muuttujat!$P$5:$P$21,MATCH($C135,Muuttujat!$N$5:$N$21,0),1)</f>
        <v>5.2210587442409327E-2</v>
      </c>
      <c r="S135" s="149">
        <f t="shared" si="39"/>
        <v>0</v>
      </c>
      <c r="T135" s="150">
        <f t="shared" si="40"/>
        <v>0</v>
      </c>
      <c r="U135" s="150">
        <f t="shared" si="41"/>
        <v>0</v>
      </c>
      <c r="V135" s="150">
        <f>IFERROR(INDEX(Työkonekanta!$J$3:$J$27,MATCH($A135,Työkonekanta!$A$3:$A$24,0),1)*$B135*ef_li_ion_akku/1000/1000/INDEX(Työkonekanta!$K$3:$K$27,MATCH($A135,Työkonekanta!$A$3:$A$24,0)),0)</f>
        <v>0</v>
      </c>
      <c r="W135" s="149">
        <f t="shared" si="42"/>
        <v>0</v>
      </c>
      <c r="X135" s="150">
        <f t="shared" si="33"/>
        <v>0</v>
      </c>
      <c r="Y135" s="151">
        <f t="shared" si="34"/>
        <v>0</v>
      </c>
      <c r="Z135" s="152">
        <f t="shared" si="46"/>
        <v>0</v>
      </c>
      <c r="AA135" s="153">
        <f t="shared" si="47"/>
        <v>0</v>
      </c>
      <c r="AB135" s="153">
        <f t="shared" si="48"/>
        <v>0</v>
      </c>
      <c r="AC135" s="154">
        <f t="shared" si="35"/>
        <v>0</v>
      </c>
      <c r="AD135" s="156">
        <f t="shared" si="49"/>
        <v>0</v>
      </c>
    </row>
    <row r="136" spans="1:30" s="144" customFormat="1">
      <c r="A136" s="139">
        <v>14</v>
      </c>
      <c r="B136" s="139">
        <f>IFERROR(INDEX(Työkonekanta!$F$3:$F$27,MATCH('S0a Baseline'!$A136,Työkonekanta!$A$3:$A$24,0),1),0)</f>
        <v>0</v>
      </c>
      <c r="C136" s="140">
        <v>2023</v>
      </c>
      <c r="D136" s="141" t="str">
        <f>IFERROR(INDEX(Työkonekanta!$D$3:$D$27,MATCH('S0a Baseline'!$A136,Työkonekanta!$A$3:$A$24,0),1),"undefined")</f>
        <v>pom</v>
      </c>
      <c r="E136" s="145">
        <f>IFERROR(INDEX(Työkonekanta!$G$3:$G$27,MATCH($A136,Työkonekanta!$A$3:$A$24,0),1)*INDEX(Työkonekanta!$H$3:$H$27,MATCH($A136,Työkonekanta!$A$3:$A$24,0),1)*$B136,0)</f>
        <v>0</v>
      </c>
      <c r="F136" s="344">
        <f t="shared" si="36"/>
        <v>0</v>
      </c>
      <c r="G136" s="344">
        <f t="shared" si="43"/>
        <v>0</v>
      </c>
      <c r="H136" s="344">
        <f t="shared" si="44"/>
        <v>0</v>
      </c>
      <c r="I136" s="145">
        <f t="shared" si="37"/>
        <v>0</v>
      </c>
      <c r="J136" s="145">
        <f t="shared" si="38"/>
        <v>0</v>
      </c>
      <c r="K136" s="142" t="str">
        <f t="shared" si="45"/>
        <v>l</v>
      </c>
      <c r="L136" s="146">
        <f>IFERROR(INDEX(Työkonekanta!$I$3:$I$27,MATCH('S0a Baseline'!$A136,Työkonekanta!$A$3:$A$24,0),1)*(I136+J136)*f_adblue,0)</f>
        <v>0</v>
      </c>
      <c r="M136" s="146">
        <f t="shared" si="32"/>
        <v>0</v>
      </c>
      <c r="N136" s="143" t="str">
        <f>IF(tuulisähkö_vuosi&lt;='S0a Baseline'!C136,"tuulisähkö",ostosähkö_nyt)</f>
        <v>jäännössähkö</v>
      </c>
      <c r="O136" s="147">
        <f>INDEX(Muuttujat!$J$5:$J$21,MATCH($C136,Muuttujat!$H$5:$H$21,0),1)</f>
        <v>66.51860537025</v>
      </c>
      <c r="P136" s="342">
        <f>1-(INDEX(Muuttujat!$O$5:$O$21,MATCH($C136,Muuttujat!$N$5:$N$21,0),1))</f>
        <v>0.95</v>
      </c>
      <c r="Q136" s="342">
        <f>INDEX(Muuttujat!$O$5:$O$21,MATCH($C136,Muuttujat!$N$5:$N$21,0),1)</f>
        <v>0.05</v>
      </c>
      <c r="R136" s="148">
        <f>INDEX(Muuttujat!$P$5:$P$21,MATCH($C136,Muuttujat!$N$5:$N$21,0),1)</f>
        <v>5.2210587442409327E-2</v>
      </c>
      <c r="S136" s="149">
        <f t="shared" si="39"/>
        <v>0</v>
      </c>
      <c r="T136" s="150">
        <f t="shared" si="40"/>
        <v>0</v>
      </c>
      <c r="U136" s="150">
        <f t="shared" si="41"/>
        <v>0</v>
      </c>
      <c r="V136" s="150">
        <f>IFERROR(INDEX(Työkonekanta!$J$3:$J$27,MATCH($A136,Työkonekanta!$A$3:$A$24,0),1)*$B136*ef_li_ion_akku/1000/1000/INDEX(Työkonekanta!$K$3:$K$27,MATCH($A136,Työkonekanta!$A$3:$A$24,0)),0)</f>
        <v>0</v>
      </c>
      <c r="W136" s="149">
        <f t="shared" si="42"/>
        <v>0</v>
      </c>
      <c r="X136" s="150">
        <f t="shared" si="33"/>
        <v>0</v>
      </c>
      <c r="Y136" s="151">
        <f t="shared" si="34"/>
        <v>0</v>
      </c>
      <c r="Z136" s="152">
        <f t="shared" si="46"/>
        <v>0</v>
      </c>
      <c r="AA136" s="153">
        <f t="shared" si="47"/>
        <v>0</v>
      </c>
      <c r="AB136" s="153">
        <f t="shared" si="48"/>
        <v>0</v>
      </c>
      <c r="AC136" s="154">
        <f t="shared" si="35"/>
        <v>0</v>
      </c>
      <c r="AD136" s="156">
        <f t="shared" si="49"/>
        <v>0</v>
      </c>
    </row>
    <row r="137" spans="1:30" s="144" customFormat="1">
      <c r="A137" s="139">
        <v>15</v>
      </c>
      <c r="B137" s="139">
        <f>IFERROR(INDEX(Työkonekanta!$F$3:$F$27,MATCH('S0a Baseline'!$A137,Työkonekanta!$A$3:$A$24,0),1),0)</f>
        <v>0</v>
      </c>
      <c r="C137" s="140">
        <v>2023</v>
      </c>
      <c r="D137" s="141" t="str">
        <f>IFERROR(INDEX(Työkonekanta!$D$3:$D$27,MATCH('S0a Baseline'!$A137,Työkonekanta!$A$3:$A$24,0),1),"undefined")</f>
        <v>sähkö</v>
      </c>
      <c r="E137" s="145">
        <f>IFERROR(INDEX(Työkonekanta!$G$3:$G$27,MATCH($A137,Työkonekanta!$A$3:$A$24,0),1)*INDEX(Työkonekanta!$H$3:$H$27,MATCH($A137,Työkonekanta!$A$3:$A$24,0),1)*$B137,0)</f>
        <v>0</v>
      </c>
      <c r="F137" s="344">
        <f t="shared" si="36"/>
        <v>0</v>
      </c>
      <c r="G137" s="344">
        <f t="shared" si="43"/>
        <v>0</v>
      </c>
      <c r="H137" s="344">
        <f t="shared" si="44"/>
        <v>0</v>
      </c>
      <c r="I137" s="145">
        <f t="shared" si="37"/>
        <v>0</v>
      </c>
      <c r="J137" s="145">
        <f t="shared" si="38"/>
        <v>0</v>
      </c>
      <c r="K137" s="142" t="str">
        <f t="shared" si="45"/>
        <v>kWh</v>
      </c>
      <c r="L137" s="146">
        <f>IFERROR(INDEX(Työkonekanta!$I$3:$I$27,MATCH('S0a Baseline'!$A137,Työkonekanta!$A$3:$A$24,0),1)*(I137+J137)*f_adblue,0)</f>
        <v>0</v>
      </c>
      <c r="M137" s="146">
        <f t="shared" si="32"/>
        <v>0</v>
      </c>
      <c r="N137" s="143" t="str">
        <f>IF(tuulisähkö_vuosi&lt;='S0a Baseline'!C137,"tuulisähkö",ostosähkö_nyt)</f>
        <v>jäännössähkö</v>
      </c>
      <c r="O137" s="147">
        <f>INDEX(Muuttujat!$J$5:$J$21,MATCH($C137,Muuttujat!$H$5:$H$21,0),1)</f>
        <v>66.51860537025</v>
      </c>
      <c r="P137" s="342">
        <f>1-(INDEX(Muuttujat!$O$5:$O$21,MATCH($C137,Muuttujat!$N$5:$N$21,0),1))</f>
        <v>0.95</v>
      </c>
      <c r="Q137" s="342">
        <f>INDEX(Muuttujat!$O$5:$O$21,MATCH($C137,Muuttujat!$N$5:$N$21,0),1)</f>
        <v>0.05</v>
      </c>
      <c r="R137" s="148">
        <f>INDEX(Muuttujat!$P$5:$P$21,MATCH($C137,Muuttujat!$N$5:$N$21,0),1)</f>
        <v>5.2210587442409327E-2</v>
      </c>
      <c r="S137" s="149">
        <f t="shared" si="39"/>
        <v>0</v>
      </c>
      <c r="T137" s="150">
        <f t="shared" si="40"/>
        <v>0</v>
      </c>
      <c r="U137" s="150">
        <f t="shared" si="41"/>
        <v>0</v>
      </c>
      <c r="V137" s="150">
        <f>IFERROR(INDEX(Työkonekanta!$J$3:$J$27,MATCH($A137,Työkonekanta!$A$3:$A$24,0),1)*$B137*ef_li_ion_akku/1000/1000/INDEX(Työkonekanta!$K$3:$K$27,MATCH($A137,Työkonekanta!$A$3:$A$24,0)),0)</f>
        <v>0</v>
      </c>
      <c r="W137" s="149">
        <f t="shared" si="42"/>
        <v>0</v>
      </c>
      <c r="X137" s="150">
        <f t="shared" si="33"/>
        <v>0</v>
      </c>
      <c r="Y137" s="151">
        <f t="shared" si="34"/>
        <v>0</v>
      </c>
      <c r="Z137" s="152">
        <f t="shared" si="46"/>
        <v>0</v>
      </c>
      <c r="AA137" s="153">
        <f t="shared" si="47"/>
        <v>0</v>
      </c>
      <c r="AB137" s="153">
        <f t="shared" si="48"/>
        <v>0</v>
      </c>
      <c r="AC137" s="154">
        <f t="shared" si="35"/>
        <v>0</v>
      </c>
      <c r="AD137" s="156">
        <f t="shared" si="49"/>
        <v>0</v>
      </c>
    </row>
    <row r="138" spans="1:30" s="144" customFormat="1">
      <c r="A138" s="139">
        <v>16</v>
      </c>
      <c r="B138" s="139">
        <f>IFERROR(INDEX(Työkonekanta!$F$3:$F$27,MATCH('S0a Baseline'!$A138,Työkonekanta!$A$3:$A$24,0),1),0)</f>
        <v>0</v>
      </c>
      <c r="C138" s="140">
        <v>2023</v>
      </c>
      <c r="D138" s="141" t="str">
        <f>IFERROR(INDEX(Työkonekanta!$D$3:$D$27,MATCH('S0a Baseline'!$A138,Työkonekanta!$A$3:$A$24,0),1),"undefined")</f>
        <v>sähkö</v>
      </c>
      <c r="E138" s="145">
        <f>IFERROR(INDEX(Työkonekanta!$G$3:$G$27,MATCH($A138,Työkonekanta!$A$3:$A$24,0),1)*INDEX(Työkonekanta!$H$3:$H$27,MATCH($A138,Työkonekanta!$A$3:$A$24,0),1)*$B138,0)</f>
        <v>0</v>
      </c>
      <c r="F138" s="344">
        <f t="shared" si="36"/>
        <v>0</v>
      </c>
      <c r="G138" s="344">
        <f t="shared" si="43"/>
        <v>0</v>
      </c>
      <c r="H138" s="344">
        <f t="shared" si="44"/>
        <v>0</v>
      </c>
      <c r="I138" s="145">
        <f t="shared" si="37"/>
        <v>0</v>
      </c>
      <c r="J138" s="145">
        <f t="shared" si="38"/>
        <v>0</v>
      </c>
      <c r="K138" s="142" t="str">
        <f t="shared" si="45"/>
        <v>kWh</v>
      </c>
      <c r="L138" s="146">
        <f>IFERROR(INDEX(Työkonekanta!$I$3:$I$27,MATCH('S0a Baseline'!$A138,Työkonekanta!$A$3:$A$24,0),1)*(I138+J138)*f_adblue,0)</f>
        <v>0</v>
      </c>
      <c r="M138" s="146">
        <f t="shared" si="32"/>
        <v>0</v>
      </c>
      <c r="N138" s="143" t="str">
        <f>IF(tuulisähkö_vuosi&lt;='S0a Baseline'!C138,"tuulisähkö",ostosähkö_nyt)</f>
        <v>jäännössähkö</v>
      </c>
      <c r="O138" s="147">
        <f>INDEX(Muuttujat!$J$5:$J$21,MATCH($C138,Muuttujat!$H$5:$H$21,0),1)</f>
        <v>66.51860537025</v>
      </c>
      <c r="P138" s="342">
        <f>1-(INDEX(Muuttujat!$O$5:$O$21,MATCH($C138,Muuttujat!$N$5:$N$21,0),1))</f>
        <v>0.95</v>
      </c>
      <c r="Q138" s="342">
        <f>INDEX(Muuttujat!$O$5:$O$21,MATCH($C138,Muuttujat!$N$5:$N$21,0),1)</f>
        <v>0.05</v>
      </c>
      <c r="R138" s="148">
        <f>INDEX(Muuttujat!$P$5:$P$21,MATCH($C138,Muuttujat!$N$5:$N$21,0),1)</f>
        <v>5.2210587442409327E-2</v>
      </c>
      <c r="S138" s="149">
        <f t="shared" si="39"/>
        <v>0</v>
      </c>
      <c r="T138" s="150">
        <f t="shared" si="40"/>
        <v>0</v>
      </c>
      <c r="U138" s="150">
        <f t="shared" si="41"/>
        <v>0</v>
      </c>
      <c r="V138" s="150">
        <f>IFERROR(INDEX(Työkonekanta!$J$3:$J$27,MATCH($A138,Työkonekanta!$A$3:$A$24,0),1)*$B138*ef_li_ion_akku/1000/1000/INDEX(Työkonekanta!$K$3:$K$27,MATCH($A138,Työkonekanta!$A$3:$A$24,0)),0)</f>
        <v>0</v>
      </c>
      <c r="W138" s="149">
        <f t="shared" si="42"/>
        <v>0</v>
      </c>
      <c r="X138" s="150">
        <f t="shared" si="33"/>
        <v>0</v>
      </c>
      <c r="Y138" s="151">
        <f t="shared" si="34"/>
        <v>0</v>
      </c>
      <c r="Z138" s="152">
        <f t="shared" si="46"/>
        <v>0</v>
      </c>
      <c r="AA138" s="153">
        <f t="shared" si="47"/>
        <v>0</v>
      </c>
      <c r="AB138" s="153">
        <f t="shared" si="48"/>
        <v>0</v>
      </c>
      <c r="AC138" s="154">
        <f t="shared" si="35"/>
        <v>0</v>
      </c>
      <c r="AD138" s="156">
        <f t="shared" si="49"/>
        <v>0</v>
      </c>
    </row>
    <row r="139" spans="1:30" s="144" customFormat="1">
      <c r="A139" s="139">
        <v>17</v>
      </c>
      <c r="B139" s="139">
        <f>IFERROR(INDEX(Työkonekanta!$F$3:$F$27,MATCH('S0a Baseline'!$A139,Työkonekanta!$A$3:$A$24,0),1),0)</f>
        <v>1</v>
      </c>
      <c r="C139" s="140">
        <v>2023</v>
      </c>
      <c r="D139" s="141" t="str">
        <f>IFERROR(INDEX(Työkonekanta!$D$3:$D$27,MATCH('S0a Baseline'!$A139,Työkonekanta!$A$3:$A$24,0),1),"undefined")</f>
        <v>pom</v>
      </c>
      <c r="E139" s="145">
        <f>IFERROR(INDEX(Työkonekanta!$G$3:$G$27,MATCH($A139,Työkonekanta!$A$3:$A$24,0),1)*INDEX(Työkonekanta!$H$3:$H$27,MATCH($A139,Työkonekanta!$A$3:$A$24,0),1)*$B139,0)</f>
        <v>10000</v>
      </c>
      <c r="F139" s="344">
        <f t="shared" si="36"/>
        <v>359000</v>
      </c>
      <c r="G139" s="344">
        <f t="shared" si="43"/>
        <v>341050</v>
      </c>
      <c r="H139" s="344">
        <f t="shared" si="44"/>
        <v>17950</v>
      </c>
      <c r="I139" s="145">
        <f t="shared" si="37"/>
        <v>9500</v>
      </c>
      <c r="J139" s="145">
        <f t="shared" si="38"/>
        <v>523.32361516034985</v>
      </c>
      <c r="K139" s="142" t="str">
        <f t="shared" si="45"/>
        <v>l</v>
      </c>
      <c r="L139" s="146">
        <f>IFERROR(INDEX(Työkonekanta!$I$3:$I$27,MATCH('S0a Baseline'!$A139,Työkonekanta!$A$3:$A$24,0),1)*(I139+J139)*f_adblue,0)</f>
        <v>501.16618075801756</v>
      </c>
      <c r="M139" s="146">
        <f t="shared" si="32"/>
        <v>0</v>
      </c>
      <c r="N139" s="143" t="str">
        <f>IF(tuulisähkö_vuosi&lt;='S0a Baseline'!C139,"tuulisähkö",ostosähkö_nyt)</f>
        <v>jäännössähkö</v>
      </c>
      <c r="O139" s="147">
        <f>INDEX(Muuttujat!$J$5:$J$21,MATCH($C139,Muuttujat!$H$5:$H$21,0),1)</f>
        <v>66.51860537025</v>
      </c>
      <c r="P139" s="342">
        <f>1-(INDEX(Muuttujat!$O$5:$O$21,MATCH($C139,Muuttujat!$N$5:$N$21,0),1))</f>
        <v>0.95</v>
      </c>
      <c r="Q139" s="342">
        <f>INDEX(Muuttujat!$O$5:$O$21,MATCH($C139,Muuttujat!$N$5:$N$21,0),1)</f>
        <v>0.05</v>
      </c>
      <c r="R139" s="148">
        <f>INDEX(Muuttujat!$P$5:$P$21,MATCH($C139,Muuttujat!$N$5:$N$21,0),1)</f>
        <v>5.2210587442409327E-2</v>
      </c>
      <c r="S139" s="149">
        <f t="shared" si="39"/>
        <v>6.4458449999999994</v>
      </c>
      <c r="T139" s="150">
        <f t="shared" si="40"/>
        <v>1.12008</v>
      </c>
      <c r="U139" s="150">
        <f t="shared" si="41"/>
        <v>0</v>
      </c>
      <c r="V139" s="150">
        <f>IFERROR(INDEX(Työkonekanta!$J$3:$J$27,MATCH($A139,Työkonekanta!$A$3:$A$24,0),1)*$B139*ef_li_ion_akku/1000/1000/INDEX(Työkonekanta!$K$3:$K$27,MATCH($A139,Työkonekanta!$A$3:$A$24,0)),0)</f>
        <v>0</v>
      </c>
      <c r="W139" s="149">
        <f t="shared" si="42"/>
        <v>25.172305121699999</v>
      </c>
      <c r="X139" s="150">
        <f t="shared" si="33"/>
        <v>0.31774565999999999</v>
      </c>
      <c r="Y139" s="151">
        <f t="shared" si="34"/>
        <v>0.13030320699708459</v>
      </c>
      <c r="Z139" s="152">
        <f t="shared" si="46"/>
        <v>7.5659249999999991</v>
      </c>
      <c r="AA139" s="153">
        <f t="shared" si="47"/>
        <v>25.302608328697083</v>
      </c>
      <c r="AB139" s="153">
        <f t="shared" si="48"/>
        <v>25.620353988697083</v>
      </c>
      <c r="AC139" s="154">
        <f t="shared" si="35"/>
        <v>32.868533328697083</v>
      </c>
      <c r="AD139" s="156">
        <f t="shared" si="49"/>
        <v>33.186278988697083</v>
      </c>
    </row>
    <row r="140" spans="1:30" s="144" customFormat="1">
      <c r="A140" s="139">
        <v>18</v>
      </c>
      <c r="B140" s="139">
        <f>IFERROR(INDEX(Työkonekanta!$F$3:$F$27,MATCH('S0a Baseline'!$A140,Työkonekanta!$A$3:$A$24,0),1),0)</f>
        <v>1</v>
      </c>
      <c r="C140" s="140">
        <v>2023</v>
      </c>
      <c r="D140" s="141" t="str">
        <f>IFERROR(INDEX(Työkonekanta!$D$3:$D$27,MATCH('S0a Baseline'!$A140,Työkonekanta!$A$3:$A$24,0),1),"undefined")</f>
        <v>pom</v>
      </c>
      <c r="E140" s="145">
        <f>IFERROR(INDEX(Työkonekanta!$G$3:$G$27,MATCH($A140,Työkonekanta!$A$3:$A$24,0),1)*INDEX(Työkonekanta!$H$3:$H$27,MATCH($A140,Työkonekanta!$A$3:$A$24,0),1)*$B140,0)</f>
        <v>10000</v>
      </c>
      <c r="F140" s="344">
        <f t="shared" si="36"/>
        <v>359000</v>
      </c>
      <c r="G140" s="344">
        <f t="shared" si="43"/>
        <v>341050</v>
      </c>
      <c r="H140" s="344">
        <f t="shared" si="44"/>
        <v>17950</v>
      </c>
      <c r="I140" s="145">
        <f t="shared" si="37"/>
        <v>9500</v>
      </c>
      <c r="J140" s="145">
        <f t="shared" si="38"/>
        <v>523.32361516034985</v>
      </c>
      <c r="K140" s="142" t="str">
        <f t="shared" si="45"/>
        <v>l</v>
      </c>
      <c r="L140" s="146">
        <f>IFERROR(INDEX(Työkonekanta!$I$3:$I$27,MATCH('S0a Baseline'!$A140,Työkonekanta!$A$3:$A$24,0),1)*(I140+J140)*f_adblue,0)</f>
        <v>400.93294460641408</v>
      </c>
      <c r="M140" s="146">
        <f t="shared" si="32"/>
        <v>0</v>
      </c>
      <c r="N140" s="143" t="str">
        <f>IF(tuulisähkö_vuosi&lt;='S0a Baseline'!C140,"tuulisähkö",ostosähkö_nyt)</f>
        <v>jäännössähkö</v>
      </c>
      <c r="O140" s="147">
        <f>INDEX(Muuttujat!$J$5:$J$21,MATCH($C140,Muuttujat!$H$5:$H$21,0),1)</f>
        <v>66.51860537025</v>
      </c>
      <c r="P140" s="342">
        <f>1-(INDEX(Muuttujat!$O$5:$O$21,MATCH($C140,Muuttujat!$N$5:$N$21,0),1))</f>
        <v>0.95</v>
      </c>
      <c r="Q140" s="342">
        <f>INDEX(Muuttujat!$O$5:$O$21,MATCH($C140,Muuttujat!$N$5:$N$21,0),1)</f>
        <v>0.05</v>
      </c>
      <c r="R140" s="148">
        <f>INDEX(Muuttujat!$P$5:$P$21,MATCH($C140,Muuttujat!$N$5:$N$21,0),1)</f>
        <v>5.2210587442409327E-2</v>
      </c>
      <c r="S140" s="149">
        <f t="shared" si="39"/>
        <v>6.4458449999999994</v>
      </c>
      <c r="T140" s="150">
        <f t="shared" si="40"/>
        <v>1.12008</v>
      </c>
      <c r="U140" s="150">
        <f t="shared" si="41"/>
        <v>0</v>
      </c>
      <c r="V140" s="150">
        <f>IFERROR(INDEX(Työkonekanta!$J$3:$J$27,MATCH($A140,Työkonekanta!$A$3:$A$24,0),1)*$B140*ef_li_ion_akku/1000/1000/INDEX(Työkonekanta!$K$3:$K$27,MATCH($A140,Työkonekanta!$A$3:$A$24,0)),0)</f>
        <v>0</v>
      </c>
      <c r="W140" s="149">
        <f t="shared" si="42"/>
        <v>25.172305121699999</v>
      </c>
      <c r="X140" s="150">
        <f t="shared" si="33"/>
        <v>0.31774565999999999</v>
      </c>
      <c r="Y140" s="151">
        <f t="shared" si="34"/>
        <v>0.10424256559766766</v>
      </c>
      <c r="Z140" s="152">
        <f t="shared" si="46"/>
        <v>7.5659249999999991</v>
      </c>
      <c r="AA140" s="153">
        <f t="shared" si="47"/>
        <v>25.276547687297668</v>
      </c>
      <c r="AB140" s="153">
        <f t="shared" si="48"/>
        <v>25.594293347297668</v>
      </c>
      <c r="AC140" s="154">
        <f t="shared" si="35"/>
        <v>32.842472687297665</v>
      </c>
      <c r="AD140" s="156">
        <f t="shared" si="49"/>
        <v>33.160218347297665</v>
      </c>
    </row>
    <row r="141" spans="1:30" s="144" customFormat="1">
      <c r="A141" s="139">
        <v>19</v>
      </c>
      <c r="B141" s="139">
        <f>IFERROR(INDEX(Työkonekanta!$F$3:$F$27,MATCH('S0a Baseline'!$A141,Työkonekanta!$A$3:$A$24,0),1),0)</f>
        <v>0</v>
      </c>
      <c r="C141" s="140">
        <v>2023</v>
      </c>
      <c r="D141" s="141" t="str">
        <f>IFERROR(INDEX(Työkonekanta!$D$3:$D$27,MATCH('S0a Baseline'!$A141,Työkonekanta!$A$3:$A$24,0),1),"undefined")</f>
        <v>pom</v>
      </c>
      <c r="E141" s="145">
        <f>IFERROR(INDEX(Työkonekanta!$G$3:$G$27,MATCH($A141,Työkonekanta!$A$3:$A$24,0),1)*INDEX(Työkonekanta!$H$3:$H$27,MATCH($A141,Työkonekanta!$A$3:$A$24,0),1)*$B141,0)</f>
        <v>0</v>
      </c>
      <c r="F141" s="344">
        <f t="shared" si="36"/>
        <v>0</v>
      </c>
      <c r="G141" s="344">
        <f t="shared" si="43"/>
        <v>0</v>
      </c>
      <c r="H141" s="344">
        <f t="shared" si="44"/>
        <v>0</v>
      </c>
      <c r="I141" s="145">
        <f t="shared" si="37"/>
        <v>0</v>
      </c>
      <c r="J141" s="145">
        <f t="shared" si="38"/>
        <v>0</v>
      </c>
      <c r="K141" s="142" t="str">
        <f t="shared" si="45"/>
        <v>l</v>
      </c>
      <c r="L141" s="146">
        <f>IFERROR(INDEX(Työkonekanta!$I$3:$I$27,MATCH('S0a Baseline'!$A141,Työkonekanta!$A$3:$A$24,0),1)*(I141+J141)*f_adblue,0)</f>
        <v>0</v>
      </c>
      <c r="M141" s="146">
        <f t="shared" si="32"/>
        <v>0</v>
      </c>
      <c r="N141" s="143" t="str">
        <f>IF(tuulisähkö_vuosi&lt;='S0a Baseline'!C141,"tuulisähkö",ostosähkö_nyt)</f>
        <v>jäännössähkö</v>
      </c>
      <c r="O141" s="147">
        <f>INDEX(Muuttujat!$J$5:$J$21,MATCH($C141,Muuttujat!$H$5:$H$21,0),1)</f>
        <v>66.51860537025</v>
      </c>
      <c r="P141" s="342">
        <f>1-(INDEX(Muuttujat!$O$5:$O$21,MATCH($C141,Muuttujat!$N$5:$N$21,0),1))</f>
        <v>0.95</v>
      </c>
      <c r="Q141" s="342">
        <f>INDEX(Muuttujat!$O$5:$O$21,MATCH($C141,Muuttujat!$N$5:$N$21,0),1)</f>
        <v>0.05</v>
      </c>
      <c r="R141" s="148">
        <f>INDEX(Muuttujat!$P$5:$P$21,MATCH($C141,Muuttujat!$N$5:$N$21,0),1)</f>
        <v>5.2210587442409327E-2</v>
      </c>
      <c r="S141" s="149">
        <f t="shared" si="39"/>
        <v>0</v>
      </c>
      <c r="T141" s="150">
        <f t="shared" si="40"/>
        <v>0</v>
      </c>
      <c r="U141" s="150">
        <f t="shared" si="41"/>
        <v>0</v>
      </c>
      <c r="V141" s="150">
        <f>IFERROR(INDEX(Työkonekanta!$J$3:$J$27,MATCH($A141,Työkonekanta!$A$3:$A$24,0),1)*$B141*ef_li_ion_akku/1000/1000/INDEX(Työkonekanta!$K$3:$K$27,MATCH($A141,Työkonekanta!$A$3:$A$24,0)),0)</f>
        <v>0</v>
      </c>
      <c r="W141" s="149">
        <f t="shared" si="42"/>
        <v>0</v>
      </c>
      <c r="X141" s="150">
        <f t="shared" si="33"/>
        <v>0</v>
      </c>
      <c r="Y141" s="151">
        <f t="shared" si="34"/>
        <v>0</v>
      </c>
      <c r="Z141" s="152">
        <f t="shared" si="46"/>
        <v>0</v>
      </c>
      <c r="AA141" s="153">
        <f t="shared" si="47"/>
        <v>0</v>
      </c>
      <c r="AB141" s="153">
        <f t="shared" si="48"/>
        <v>0</v>
      </c>
      <c r="AC141" s="154">
        <f t="shared" si="35"/>
        <v>0</v>
      </c>
      <c r="AD141" s="156">
        <f t="shared" si="49"/>
        <v>0</v>
      </c>
    </row>
    <row r="142" spans="1:30" s="144" customFormat="1">
      <c r="A142" s="139">
        <v>20</v>
      </c>
      <c r="B142" s="139">
        <f>IFERROR(INDEX(Työkonekanta!$F$3:$F$27,MATCH('S0a Baseline'!$A142,Työkonekanta!$A$3:$A$24,0),1),0)</f>
        <v>0</v>
      </c>
      <c r="C142" s="140">
        <v>2023</v>
      </c>
      <c r="D142" s="141" t="str">
        <f>IFERROR(INDEX(Työkonekanta!$D$3:$D$27,MATCH('S0a Baseline'!$A142,Työkonekanta!$A$3:$A$24,0),1),"undefined")</f>
        <v>pom</v>
      </c>
      <c r="E142" s="145">
        <f>IFERROR(INDEX(Työkonekanta!$G$3:$G$27,MATCH($A142,Työkonekanta!$A$3:$A$24,0),1)*INDEX(Työkonekanta!$H$3:$H$27,MATCH($A142,Työkonekanta!$A$3:$A$24,0),1)*$B142,0)</f>
        <v>0</v>
      </c>
      <c r="F142" s="344">
        <f t="shared" si="36"/>
        <v>0</v>
      </c>
      <c r="G142" s="344">
        <f t="shared" si="43"/>
        <v>0</v>
      </c>
      <c r="H142" s="344">
        <f t="shared" si="44"/>
        <v>0</v>
      </c>
      <c r="I142" s="145">
        <f t="shared" si="37"/>
        <v>0</v>
      </c>
      <c r="J142" s="145">
        <f t="shared" si="38"/>
        <v>0</v>
      </c>
      <c r="K142" s="142" t="str">
        <f t="shared" si="45"/>
        <v>l</v>
      </c>
      <c r="L142" s="146">
        <f>IFERROR(INDEX(Työkonekanta!$I$3:$I$27,MATCH('S0a Baseline'!$A142,Työkonekanta!$A$3:$A$24,0),1)*(I142+J142)*f_adblue,0)</f>
        <v>0</v>
      </c>
      <c r="M142" s="146">
        <f t="shared" si="32"/>
        <v>0</v>
      </c>
      <c r="N142" s="143" t="str">
        <f>IF(tuulisähkö_vuosi&lt;='S0a Baseline'!C142,"tuulisähkö",ostosähkö_nyt)</f>
        <v>jäännössähkö</v>
      </c>
      <c r="O142" s="147">
        <f>INDEX(Muuttujat!$J$5:$J$21,MATCH($C142,Muuttujat!$H$5:$H$21,0),1)</f>
        <v>66.51860537025</v>
      </c>
      <c r="P142" s="342">
        <f>1-(INDEX(Muuttujat!$O$5:$O$21,MATCH($C142,Muuttujat!$N$5:$N$21,0),1))</f>
        <v>0.95</v>
      </c>
      <c r="Q142" s="342">
        <f>INDEX(Muuttujat!$O$5:$O$21,MATCH($C142,Muuttujat!$N$5:$N$21,0),1)</f>
        <v>0.05</v>
      </c>
      <c r="R142" s="148">
        <f>INDEX(Muuttujat!$P$5:$P$21,MATCH($C142,Muuttujat!$N$5:$N$21,0),1)</f>
        <v>5.2210587442409327E-2</v>
      </c>
      <c r="S142" s="149">
        <f t="shared" si="39"/>
        <v>0</v>
      </c>
      <c r="T142" s="150">
        <f t="shared" si="40"/>
        <v>0</v>
      </c>
      <c r="U142" s="150">
        <f t="shared" si="41"/>
        <v>0</v>
      </c>
      <c r="V142" s="150">
        <f>IFERROR(INDEX(Työkonekanta!$J$3:$J$27,MATCH($A142,Työkonekanta!$A$3:$A$24,0),1)*$B142*ef_li_ion_akku/1000/1000/INDEX(Työkonekanta!$K$3:$K$27,MATCH($A142,Työkonekanta!$A$3:$A$24,0)),0)</f>
        <v>0</v>
      </c>
      <c r="W142" s="149">
        <f t="shared" si="42"/>
        <v>0</v>
      </c>
      <c r="X142" s="150">
        <f t="shared" si="33"/>
        <v>0</v>
      </c>
      <c r="Y142" s="151">
        <f t="shared" si="34"/>
        <v>0</v>
      </c>
      <c r="Z142" s="152">
        <f t="shared" si="46"/>
        <v>0</v>
      </c>
      <c r="AA142" s="153">
        <f t="shared" si="47"/>
        <v>0</v>
      </c>
      <c r="AB142" s="153">
        <f t="shared" si="48"/>
        <v>0</v>
      </c>
      <c r="AC142" s="154">
        <f t="shared" si="35"/>
        <v>0</v>
      </c>
      <c r="AD142" s="156">
        <f t="shared" si="49"/>
        <v>0</v>
      </c>
    </row>
    <row r="143" spans="1:30" s="144" customFormat="1">
      <c r="A143" s="139">
        <v>21</v>
      </c>
      <c r="B143" s="139">
        <f>IFERROR(INDEX(Työkonekanta!$F$3:$F$27,MATCH('S0a Baseline'!$A143,Työkonekanta!$A$3:$A$24,0),1),0)</f>
        <v>35</v>
      </c>
      <c r="C143" s="140">
        <v>2023</v>
      </c>
      <c r="D143" s="141" t="str">
        <f>IFERROR(INDEX(Työkonekanta!$D$3:$D$27,MATCH('S0a Baseline'!$A143,Työkonekanta!$A$3:$A$24,0),1),"undefined")</f>
        <v>sähkö</v>
      </c>
      <c r="E143" s="145">
        <f>IFERROR(INDEX(Työkonekanta!$G$3:$G$27,MATCH($A143,Työkonekanta!$A$3:$A$24,0),1)*INDEX(Työkonekanta!$H$3:$H$27,MATCH($A143,Työkonekanta!$A$3:$A$24,0),1)*$B143,0)</f>
        <v>407199.07407407404</v>
      </c>
      <c r="F143" s="344">
        <f t="shared" si="36"/>
        <v>0</v>
      </c>
      <c r="G143" s="344">
        <f t="shared" si="43"/>
        <v>0</v>
      </c>
      <c r="H143" s="344">
        <f t="shared" si="44"/>
        <v>0</v>
      </c>
      <c r="I143" s="145">
        <f t="shared" si="37"/>
        <v>0</v>
      </c>
      <c r="J143" s="145">
        <f t="shared" si="38"/>
        <v>0</v>
      </c>
      <c r="K143" s="142" t="str">
        <f t="shared" si="45"/>
        <v>kWh</v>
      </c>
      <c r="L143" s="146">
        <f>IFERROR(INDEX(Työkonekanta!$I$3:$I$27,MATCH('S0a Baseline'!$A143,Työkonekanta!$A$3:$A$24,0),1)*(I143+J143)*f_adblue,0)</f>
        <v>0</v>
      </c>
      <c r="M143" s="146">
        <f t="shared" si="32"/>
        <v>1465916.6666666665</v>
      </c>
      <c r="N143" s="143" t="str">
        <f>IF(tuulisähkö_vuosi&lt;='S0a Baseline'!C143,"tuulisähkö",ostosähkö_nyt)</f>
        <v>jäännössähkö</v>
      </c>
      <c r="O143" s="147">
        <f>INDEX(Muuttujat!$J$5:$J$21,MATCH($C143,Muuttujat!$H$5:$H$21,0),1)</f>
        <v>66.51860537025</v>
      </c>
      <c r="P143" s="342">
        <f>1-(INDEX(Muuttujat!$O$5:$O$21,MATCH($C143,Muuttujat!$N$5:$N$21,0),1))</f>
        <v>0.95</v>
      </c>
      <c r="Q143" s="342">
        <f>INDEX(Muuttujat!$O$5:$O$21,MATCH($C143,Muuttujat!$N$5:$N$21,0),1)</f>
        <v>0.05</v>
      </c>
      <c r="R143" s="148">
        <f>INDEX(Muuttujat!$P$5:$P$21,MATCH($C143,Muuttujat!$N$5:$N$21,0),1)</f>
        <v>5.2210587442409327E-2</v>
      </c>
      <c r="S143" s="149">
        <f t="shared" si="39"/>
        <v>0</v>
      </c>
      <c r="T143" s="150">
        <f t="shared" si="40"/>
        <v>0</v>
      </c>
      <c r="U143" s="150">
        <f t="shared" si="41"/>
        <v>97.510732255672309</v>
      </c>
      <c r="V143" s="150">
        <f>IFERROR(INDEX(Työkonekanta!$J$3:$J$27,MATCH($A143,Työkonekanta!$A$3:$A$24,0),1)*$B143*ef_li_ion_akku/1000/1000/INDEX(Työkonekanta!$K$3:$K$27,MATCH($A143,Työkonekanta!$A$3:$A$24,0)),0)</f>
        <v>43.121723076923082</v>
      </c>
      <c r="W143" s="149">
        <f t="shared" si="42"/>
        <v>0</v>
      </c>
      <c r="X143" s="150">
        <f t="shared" si="33"/>
        <v>0</v>
      </c>
      <c r="Y143" s="151">
        <f t="shared" si="34"/>
        <v>0</v>
      </c>
      <c r="Z143" s="152">
        <f t="shared" si="46"/>
        <v>140.63245533259538</v>
      </c>
      <c r="AA143" s="153">
        <f t="shared" si="47"/>
        <v>0</v>
      </c>
      <c r="AB143" s="153">
        <f t="shared" si="48"/>
        <v>0</v>
      </c>
      <c r="AC143" s="154">
        <f t="shared" si="35"/>
        <v>140.63245533259538</v>
      </c>
      <c r="AD143" s="156">
        <f t="shared" si="49"/>
        <v>140.63245533259538</v>
      </c>
    </row>
    <row r="144" spans="1:30" s="144" customFormat="1">
      <c r="A144" s="139">
        <v>22</v>
      </c>
      <c r="B144" s="139">
        <f>IFERROR(INDEX(Työkonekanta!$F$3:$F$27,MATCH('S0a Baseline'!$A144,Työkonekanta!$A$3:$A$24,0),1),0)</f>
        <v>0</v>
      </c>
      <c r="C144" s="140">
        <v>2023</v>
      </c>
      <c r="D144" s="141" t="str">
        <f>IFERROR(INDEX(Työkonekanta!$D$3:$D$27,MATCH('S0a Baseline'!$A144,Työkonekanta!$A$3:$A$24,0),1),"undefined")</f>
        <v>sähkö</v>
      </c>
      <c r="E144" s="145">
        <f>IFERROR(INDEX(Työkonekanta!$G$3:$G$27,MATCH($A144,Työkonekanta!$A$3:$A$24,0),1)*INDEX(Työkonekanta!$H$3:$H$27,MATCH($A144,Työkonekanta!$A$3:$A$24,0),1)*$B144,0)</f>
        <v>0</v>
      </c>
      <c r="F144" s="344">
        <f t="shared" si="36"/>
        <v>0</v>
      </c>
      <c r="G144" s="344">
        <f t="shared" si="43"/>
        <v>0</v>
      </c>
      <c r="H144" s="344">
        <f t="shared" si="44"/>
        <v>0</v>
      </c>
      <c r="I144" s="145">
        <f t="shared" si="37"/>
        <v>0</v>
      </c>
      <c r="J144" s="145">
        <f t="shared" si="38"/>
        <v>0</v>
      </c>
      <c r="K144" s="142" t="str">
        <f t="shared" si="45"/>
        <v>kWh</v>
      </c>
      <c r="L144" s="146">
        <f>IFERROR(INDEX(Työkonekanta!$I$3:$I$27,MATCH('S0a Baseline'!$A144,Työkonekanta!$A$3:$A$24,0),1)*(I144+J144)*f_adblue,0)</f>
        <v>0</v>
      </c>
      <c r="M144" s="146">
        <f t="shared" si="32"/>
        <v>0</v>
      </c>
      <c r="N144" s="143" t="str">
        <f>IF(tuulisähkö_vuosi&lt;='S0a Baseline'!C144,"tuulisähkö",ostosähkö_nyt)</f>
        <v>jäännössähkö</v>
      </c>
      <c r="O144" s="147">
        <f>INDEX(Muuttujat!$J$5:$J$21,MATCH($C144,Muuttujat!$H$5:$H$21,0),1)</f>
        <v>66.51860537025</v>
      </c>
      <c r="P144" s="342">
        <f>1-(INDEX(Muuttujat!$O$5:$O$21,MATCH($C144,Muuttujat!$N$5:$N$21,0),1))</f>
        <v>0.95</v>
      </c>
      <c r="Q144" s="342">
        <f>INDEX(Muuttujat!$O$5:$O$21,MATCH($C144,Muuttujat!$N$5:$N$21,0),1)</f>
        <v>0.05</v>
      </c>
      <c r="R144" s="148">
        <f>INDEX(Muuttujat!$P$5:$P$21,MATCH($C144,Muuttujat!$N$5:$N$21,0),1)</f>
        <v>5.2210587442409327E-2</v>
      </c>
      <c r="S144" s="149">
        <f t="shared" si="39"/>
        <v>0</v>
      </c>
      <c r="T144" s="150">
        <f t="shared" si="40"/>
        <v>0</v>
      </c>
      <c r="U144" s="150">
        <f t="shared" si="41"/>
        <v>0</v>
      </c>
      <c r="V144" s="150">
        <f>IFERROR(INDEX(Työkonekanta!$J$3:$J$27,MATCH($A144,Työkonekanta!$A$3:$A$24,0),1)*$B144*ef_li_ion_akku/1000/1000/INDEX(Työkonekanta!$K$3:$K$27,MATCH($A144,Työkonekanta!$A$3:$A$24,0)),0)</f>
        <v>0</v>
      </c>
      <c r="W144" s="149">
        <f t="shared" si="42"/>
        <v>0</v>
      </c>
      <c r="X144" s="150">
        <f t="shared" si="33"/>
        <v>0</v>
      </c>
      <c r="Y144" s="151">
        <f t="shared" si="34"/>
        <v>0</v>
      </c>
      <c r="Z144" s="152">
        <f t="shared" si="46"/>
        <v>0</v>
      </c>
      <c r="AA144" s="153">
        <f t="shared" si="47"/>
        <v>0</v>
      </c>
      <c r="AB144" s="153">
        <f t="shared" si="48"/>
        <v>0</v>
      </c>
      <c r="AC144" s="154">
        <f t="shared" si="35"/>
        <v>0</v>
      </c>
      <c r="AD144" s="156">
        <f t="shared" si="49"/>
        <v>0</v>
      </c>
    </row>
    <row r="145" spans="1:30" s="144" customFormat="1">
      <c r="A145" s="139">
        <v>23</v>
      </c>
      <c r="B145" s="139">
        <f>IFERROR(INDEX(Työkonekanta!$F$3:$F$27,MATCH('S0a Baseline'!$A145,Työkonekanta!$A$3:$A$24,0),1),0)</f>
        <v>0</v>
      </c>
      <c r="C145" s="140">
        <v>2023</v>
      </c>
      <c r="D145" s="141" t="str">
        <f>IFERROR(INDEX(Työkonekanta!$D$3:$D$27,MATCH('S0a Baseline'!$A145,Työkonekanta!$A$3:$A$24,0),1),"undefined")</f>
        <v>undefined</v>
      </c>
      <c r="E145" s="145">
        <f>IFERROR(INDEX(Työkonekanta!$G$3:$G$27,MATCH($A145,Työkonekanta!$A$3:$A$24,0),1)*INDEX(Työkonekanta!$H$3:$H$27,MATCH($A145,Työkonekanta!$A$3:$A$24,0),1)*$B145,0)</f>
        <v>0</v>
      </c>
      <c r="F145" s="344">
        <f t="shared" si="36"/>
        <v>0</v>
      </c>
      <c r="G145" s="344">
        <f t="shared" si="43"/>
        <v>0</v>
      </c>
      <c r="H145" s="344">
        <f t="shared" si="44"/>
        <v>0</v>
      </c>
      <c r="I145" s="145">
        <f t="shared" si="37"/>
        <v>0</v>
      </c>
      <c r="J145" s="145">
        <f t="shared" si="38"/>
        <v>0</v>
      </c>
      <c r="K145" s="142" t="str">
        <f t="shared" si="45"/>
        <v>undefined</v>
      </c>
      <c r="L145" s="146">
        <f>IFERROR(INDEX(Työkonekanta!$I$3:$I$27,MATCH('S0a Baseline'!$A145,Työkonekanta!$A$3:$A$24,0),1)*(I145+J145)*f_adblue,0)</f>
        <v>0</v>
      </c>
      <c r="M145" s="146">
        <f t="shared" si="32"/>
        <v>0</v>
      </c>
      <c r="N145" s="143" t="str">
        <f>IF(tuulisähkö_vuosi&lt;='S0a Baseline'!C145,"tuulisähkö",ostosähkö_nyt)</f>
        <v>jäännössähkö</v>
      </c>
      <c r="O145" s="147">
        <f>INDEX(Muuttujat!$J$5:$J$21,MATCH($C145,Muuttujat!$H$5:$H$21,0),1)</f>
        <v>66.51860537025</v>
      </c>
      <c r="P145" s="342">
        <f>1-(INDEX(Muuttujat!$O$5:$O$21,MATCH($C145,Muuttujat!$N$5:$N$21,0),1))</f>
        <v>0.95</v>
      </c>
      <c r="Q145" s="342">
        <f>INDEX(Muuttujat!$O$5:$O$21,MATCH($C145,Muuttujat!$N$5:$N$21,0),1)</f>
        <v>0.05</v>
      </c>
      <c r="R145" s="148">
        <f>INDEX(Muuttujat!$P$5:$P$21,MATCH($C145,Muuttujat!$N$5:$N$21,0),1)</f>
        <v>5.2210587442409327E-2</v>
      </c>
      <c r="S145" s="149">
        <f t="shared" si="39"/>
        <v>0</v>
      </c>
      <c r="T145" s="150">
        <f t="shared" si="40"/>
        <v>0</v>
      </c>
      <c r="U145" s="150">
        <f t="shared" si="41"/>
        <v>0</v>
      </c>
      <c r="V145" s="150">
        <f>IFERROR(INDEX(Työkonekanta!$J$3:$J$27,MATCH($A145,Työkonekanta!$A$3:$A$24,0),1)*$B145*ef_li_ion_akku/1000/1000/INDEX(Työkonekanta!$K$3:$K$27,MATCH($A145,Työkonekanta!$A$3:$A$24,0)),0)</f>
        <v>0</v>
      </c>
      <c r="W145" s="149">
        <f t="shared" si="42"/>
        <v>0</v>
      </c>
      <c r="X145" s="150">
        <f t="shared" si="33"/>
        <v>0</v>
      </c>
      <c r="Y145" s="151">
        <f t="shared" si="34"/>
        <v>0</v>
      </c>
      <c r="Z145" s="152">
        <f t="shared" si="46"/>
        <v>0</v>
      </c>
      <c r="AA145" s="153">
        <f t="shared" si="47"/>
        <v>0</v>
      </c>
      <c r="AB145" s="153">
        <f t="shared" si="48"/>
        <v>0</v>
      </c>
      <c r="AC145" s="154">
        <f t="shared" si="35"/>
        <v>0</v>
      </c>
      <c r="AD145" s="156">
        <f t="shared" si="49"/>
        <v>0</v>
      </c>
    </row>
    <row r="146" spans="1:30" s="144" customFormat="1">
      <c r="A146" s="139">
        <v>24</v>
      </c>
      <c r="B146" s="139">
        <f>IFERROR(INDEX(Työkonekanta!$F$3:$F$27,MATCH('S0a Baseline'!$A146,Työkonekanta!$A$3:$A$24,0),1),0)</f>
        <v>0</v>
      </c>
      <c r="C146" s="140">
        <v>2023</v>
      </c>
      <c r="D146" s="141" t="str">
        <f>IFERROR(INDEX(Työkonekanta!$D$3:$D$27,MATCH('S0a Baseline'!$A146,Työkonekanta!$A$3:$A$24,0),1),"undefined")</f>
        <v>undefined</v>
      </c>
      <c r="E146" s="145">
        <f>IFERROR(INDEX(Työkonekanta!$G$3:$G$27,MATCH($A146,Työkonekanta!$A$3:$A$24,0),1)*INDEX(Työkonekanta!$H$3:$H$27,MATCH($A146,Työkonekanta!$A$3:$A$24,0),1)*$B146,0)</f>
        <v>0</v>
      </c>
      <c r="F146" s="344">
        <f t="shared" si="36"/>
        <v>0</v>
      </c>
      <c r="G146" s="344">
        <f t="shared" si="43"/>
        <v>0</v>
      </c>
      <c r="H146" s="344">
        <f t="shared" si="44"/>
        <v>0</v>
      </c>
      <c r="I146" s="145">
        <f t="shared" si="37"/>
        <v>0</v>
      </c>
      <c r="J146" s="145">
        <f t="shared" si="38"/>
        <v>0</v>
      </c>
      <c r="K146" s="142" t="str">
        <f t="shared" si="45"/>
        <v>undefined</v>
      </c>
      <c r="L146" s="146">
        <f>IFERROR(INDEX(Työkonekanta!$I$3:$I$27,MATCH('S0a Baseline'!$A146,Työkonekanta!$A$3:$A$24,0),1)*(I146+J146)*f_adblue,0)</f>
        <v>0</v>
      </c>
      <c r="M146" s="146">
        <f t="shared" si="32"/>
        <v>0</v>
      </c>
      <c r="N146" s="143" t="str">
        <f>IF(tuulisähkö_vuosi&lt;='S0a Baseline'!C146,"tuulisähkö",ostosähkö_nyt)</f>
        <v>jäännössähkö</v>
      </c>
      <c r="O146" s="147">
        <f>INDEX(Muuttujat!$J$5:$J$21,MATCH($C146,Muuttujat!$H$5:$H$21,0),1)</f>
        <v>66.51860537025</v>
      </c>
      <c r="P146" s="342">
        <f>1-(INDEX(Muuttujat!$O$5:$O$21,MATCH($C146,Muuttujat!$N$5:$N$21,0),1))</f>
        <v>0.95</v>
      </c>
      <c r="Q146" s="342">
        <f>INDEX(Muuttujat!$O$5:$O$21,MATCH($C146,Muuttujat!$N$5:$N$21,0),1)</f>
        <v>0.05</v>
      </c>
      <c r="R146" s="148">
        <f>INDEX(Muuttujat!$P$5:$P$21,MATCH($C146,Muuttujat!$N$5:$N$21,0),1)</f>
        <v>5.2210587442409327E-2</v>
      </c>
      <c r="S146" s="149">
        <f t="shared" si="39"/>
        <v>0</v>
      </c>
      <c r="T146" s="150">
        <f t="shared" si="40"/>
        <v>0</v>
      </c>
      <c r="U146" s="150">
        <f t="shared" si="41"/>
        <v>0</v>
      </c>
      <c r="V146" s="150">
        <f>IFERROR(INDEX(Työkonekanta!$J$3:$J$27,MATCH($A146,Työkonekanta!$A$3:$A$24,0),1)*$B146*ef_li_ion_akku/1000/1000/INDEX(Työkonekanta!$K$3:$K$27,MATCH($A146,Työkonekanta!$A$3:$A$24,0)),0)</f>
        <v>0</v>
      </c>
      <c r="W146" s="149">
        <f t="shared" si="42"/>
        <v>0</v>
      </c>
      <c r="X146" s="150">
        <f t="shared" si="33"/>
        <v>0</v>
      </c>
      <c r="Y146" s="151">
        <f t="shared" si="34"/>
        <v>0</v>
      </c>
      <c r="Z146" s="152">
        <f t="shared" si="46"/>
        <v>0</v>
      </c>
      <c r="AA146" s="153">
        <f t="shared" si="47"/>
        <v>0</v>
      </c>
      <c r="AB146" s="153">
        <f t="shared" si="48"/>
        <v>0</v>
      </c>
      <c r="AC146" s="154">
        <f t="shared" si="35"/>
        <v>0</v>
      </c>
      <c r="AD146" s="156">
        <f t="shared" si="49"/>
        <v>0</v>
      </c>
    </row>
    <row r="147" spans="1:30" s="144" customFormat="1">
      <c r="A147" s="139">
        <v>25</v>
      </c>
      <c r="B147" s="139">
        <f>IFERROR(INDEX(Työkonekanta!$F$3:$F$27,MATCH('S0a Baseline'!$A147,Työkonekanta!$A$3:$A$24,0),1),0)</f>
        <v>0</v>
      </c>
      <c r="C147" s="140">
        <v>2023</v>
      </c>
      <c r="D147" s="141" t="str">
        <f>IFERROR(INDEX(Työkonekanta!$D$3:$D$27,MATCH('S0a Baseline'!$A147,Työkonekanta!$A$3:$A$24,0),1),"undefined")</f>
        <v>undefined</v>
      </c>
      <c r="E147" s="145">
        <f>IFERROR(INDEX(Työkonekanta!$G$3:$G$27,MATCH($A147,Työkonekanta!$A$3:$A$24,0),1)*INDEX(Työkonekanta!$H$3:$H$27,MATCH($A147,Työkonekanta!$A$3:$A$24,0),1)*$B147,0)</f>
        <v>0</v>
      </c>
      <c r="F147" s="344">
        <f t="shared" si="36"/>
        <v>0</v>
      </c>
      <c r="G147" s="344">
        <f t="shared" si="43"/>
        <v>0</v>
      </c>
      <c r="H147" s="344">
        <f t="shared" si="44"/>
        <v>0</v>
      </c>
      <c r="I147" s="145">
        <f t="shared" si="37"/>
        <v>0</v>
      </c>
      <c r="J147" s="145">
        <f t="shared" si="38"/>
        <v>0</v>
      </c>
      <c r="K147" s="142" t="str">
        <f t="shared" si="45"/>
        <v>undefined</v>
      </c>
      <c r="L147" s="146">
        <f>IFERROR(INDEX(Työkonekanta!$I$3:$I$27,MATCH('S0a Baseline'!$A147,Työkonekanta!$A$3:$A$24,0),1)*(I147+J147)*f_adblue,0)</f>
        <v>0</v>
      </c>
      <c r="M147" s="146">
        <f t="shared" ref="M147:M210" si="50">IF($D147="sähkö",conv_kwh_mj*$E147,0)</f>
        <v>0</v>
      </c>
      <c r="N147" s="143" t="str">
        <f>IF(tuulisähkö_vuosi&lt;='S0a Baseline'!C147,"tuulisähkö",ostosähkö_nyt)</f>
        <v>jäännössähkö</v>
      </c>
      <c r="O147" s="147">
        <f>INDEX(Muuttujat!$J$5:$J$21,MATCH($C147,Muuttujat!$H$5:$H$21,0),1)</f>
        <v>66.51860537025</v>
      </c>
      <c r="P147" s="342">
        <f>1-(INDEX(Muuttujat!$O$5:$O$21,MATCH($C147,Muuttujat!$N$5:$N$21,0),1))</f>
        <v>0.95</v>
      </c>
      <c r="Q147" s="342">
        <f>INDEX(Muuttujat!$O$5:$O$21,MATCH($C147,Muuttujat!$N$5:$N$21,0),1)</f>
        <v>0.05</v>
      </c>
      <c r="R147" s="148">
        <f>INDEX(Muuttujat!$P$5:$P$21,MATCH($C147,Muuttujat!$N$5:$N$21,0),1)</f>
        <v>5.2210587442409327E-2</v>
      </c>
      <c r="S147" s="149">
        <f t="shared" si="39"/>
        <v>0</v>
      </c>
      <c r="T147" s="150">
        <f t="shared" si="40"/>
        <v>0</v>
      </c>
      <c r="U147" s="150">
        <f t="shared" si="41"/>
        <v>0</v>
      </c>
      <c r="V147" s="150">
        <f>IFERROR(INDEX(Työkonekanta!$J$3:$J$27,MATCH($A147,Työkonekanta!$A$3:$A$24,0),1)*$B147*ef_li_ion_akku/1000/1000/INDEX(Työkonekanta!$K$3:$K$27,MATCH($A147,Työkonekanta!$A$3:$A$24,0)),0)</f>
        <v>0</v>
      </c>
      <c r="W147" s="149">
        <f t="shared" si="42"/>
        <v>0</v>
      </c>
      <c r="X147" s="150">
        <f t="shared" ref="X147:X210" si="51">($E147*(IF($D147="pom",ef_v_ch4_pom,0)*gwp100_ch4+IF($D147="pom",ef_v_n2o_pom,0)*gwp100_n2o))/1000/1000</f>
        <v>0</v>
      </c>
      <c r="Y147" s="151">
        <f t="shared" ref="Y147:Y210" si="52">$L147*ef_v_co2_adblue/1000/1000</f>
        <v>0</v>
      </c>
      <c r="Z147" s="152">
        <f t="shared" si="46"/>
        <v>0</v>
      </c>
      <c r="AA147" s="153">
        <f t="shared" si="47"/>
        <v>0</v>
      </c>
      <c r="AB147" s="153">
        <f t="shared" si="48"/>
        <v>0</v>
      </c>
      <c r="AC147" s="154">
        <f t="shared" ref="AC147:AC210" si="53">$Z147+$AA147</f>
        <v>0</v>
      </c>
      <c r="AD147" s="156">
        <f t="shared" si="49"/>
        <v>0</v>
      </c>
    </row>
    <row r="148" spans="1:30" s="144" customFormat="1">
      <c r="A148" s="139">
        <v>26</v>
      </c>
      <c r="B148" s="139">
        <f>IFERROR(INDEX(Työkonekanta!$F$3:$F$27,MATCH('S0a Baseline'!$A148,Työkonekanta!$A$3:$A$24,0),1),0)</f>
        <v>0</v>
      </c>
      <c r="C148" s="140">
        <v>2023</v>
      </c>
      <c r="D148" s="141" t="str">
        <f>IFERROR(INDEX(Työkonekanta!$D$3:$D$27,MATCH('S0a Baseline'!$A148,Työkonekanta!$A$3:$A$24,0),1),"undefined")</f>
        <v>undefined</v>
      </c>
      <c r="E148" s="145">
        <f>IFERROR(INDEX(Työkonekanta!$G$3:$G$27,MATCH($A148,Työkonekanta!$A$3:$A$24,0),1)*INDEX(Työkonekanta!$H$3:$H$27,MATCH($A148,Työkonekanta!$A$3:$A$24,0),1)*$B148,0)</f>
        <v>0</v>
      </c>
      <c r="F148" s="344">
        <f t="shared" si="36"/>
        <v>0</v>
      </c>
      <c r="G148" s="344">
        <f t="shared" si="43"/>
        <v>0</v>
      </c>
      <c r="H148" s="344">
        <f t="shared" si="44"/>
        <v>0</v>
      </c>
      <c r="I148" s="145">
        <f t="shared" si="37"/>
        <v>0</v>
      </c>
      <c r="J148" s="145">
        <f t="shared" si="38"/>
        <v>0</v>
      </c>
      <c r="K148" s="142" t="str">
        <f t="shared" si="45"/>
        <v>undefined</v>
      </c>
      <c r="L148" s="146">
        <f>IFERROR(INDEX(Työkonekanta!$I$3:$I$27,MATCH('S0a Baseline'!$A148,Työkonekanta!$A$3:$A$24,0),1)*(I148+J148)*f_adblue,0)</f>
        <v>0</v>
      </c>
      <c r="M148" s="146">
        <f t="shared" si="50"/>
        <v>0</v>
      </c>
      <c r="N148" s="143" t="str">
        <f>IF(tuulisähkö_vuosi&lt;='S0a Baseline'!C148,"tuulisähkö",ostosähkö_nyt)</f>
        <v>jäännössähkö</v>
      </c>
      <c r="O148" s="147">
        <f>INDEX(Muuttujat!$J$5:$J$21,MATCH($C148,Muuttujat!$H$5:$H$21,0),1)</f>
        <v>66.51860537025</v>
      </c>
      <c r="P148" s="342">
        <f>1-(INDEX(Muuttujat!$O$5:$O$21,MATCH($C148,Muuttujat!$N$5:$N$21,0),1))</f>
        <v>0.95</v>
      </c>
      <c r="Q148" s="342">
        <f>INDEX(Muuttujat!$O$5:$O$21,MATCH($C148,Muuttujat!$N$5:$N$21,0),1)</f>
        <v>0.05</v>
      </c>
      <c r="R148" s="148">
        <f>INDEX(Muuttujat!$P$5:$P$21,MATCH($C148,Muuttujat!$N$5:$N$21,0),1)</f>
        <v>5.2210587442409327E-2</v>
      </c>
      <c r="S148" s="149">
        <f t="shared" si="39"/>
        <v>0</v>
      </c>
      <c r="T148" s="150">
        <f t="shared" si="40"/>
        <v>0</v>
      </c>
      <c r="U148" s="150">
        <f t="shared" si="41"/>
        <v>0</v>
      </c>
      <c r="V148" s="150">
        <f>IFERROR(INDEX(Työkonekanta!$J$3:$J$27,MATCH($A148,Työkonekanta!$A$3:$A$24,0),1)*$B148*ef_li_ion_akku/1000/1000/INDEX(Työkonekanta!$K$3:$K$27,MATCH($A148,Työkonekanta!$A$3:$A$24,0)),0)</f>
        <v>0</v>
      </c>
      <c r="W148" s="149">
        <f t="shared" si="42"/>
        <v>0</v>
      </c>
      <c r="X148" s="150">
        <f t="shared" si="51"/>
        <v>0</v>
      </c>
      <c r="Y148" s="151">
        <f t="shared" si="52"/>
        <v>0</v>
      </c>
      <c r="Z148" s="152">
        <f t="shared" si="46"/>
        <v>0</v>
      </c>
      <c r="AA148" s="153">
        <f t="shared" si="47"/>
        <v>0</v>
      </c>
      <c r="AB148" s="153">
        <f t="shared" si="48"/>
        <v>0</v>
      </c>
      <c r="AC148" s="154">
        <f t="shared" si="53"/>
        <v>0</v>
      </c>
      <c r="AD148" s="156">
        <f t="shared" si="49"/>
        <v>0</v>
      </c>
    </row>
    <row r="149" spans="1:30" s="144" customFormat="1">
      <c r="A149" s="139">
        <v>27</v>
      </c>
      <c r="B149" s="139">
        <f>IFERROR(INDEX(Työkonekanta!$F$3:$F$27,MATCH('S0a Baseline'!$A149,Työkonekanta!$A$3:$A$24,0),1),0)</f>
        <v>0</v>
      </c>
      <c r="C149" s="140">
        <v>2023</v>
      </c>
      <c r="D149" s="141" t="str">
        <f>IFERROR(INDEX(Työkonekanta!$D$3:$D$27,MATCH('S0a Baseline'!$A149,Työkonekanta!$A$3:$A$24,0),1),"undefined")</f>
        <v>undefined</v>
      </c>
      <c r="E149" s="145">
        <f>IFERROR(INDEX(Työkonekanta!$G$3:$G$27,MATCH($A149,Työkonekanta!$A$3:$A$24,0),1)*INDEX(Työkonekanta!$H$3:$H$27,MATCH($A149,Työkonekanta!$A$3:$A$24,0),1)*$B149,0)</f>
        <v>0</v>
      </c>
      <c r="F149" s="344">
        <f t="shared" si="36"/>
        <v>0</v>
      </c>
      <c r="G149" s="344">
        <f t="shared" si="43"/>
        <v>0</v>
      </c>
      <c r="H149" s="344">
        <f t="shared" si="44"/>
        <v>0</v>
      </c>
      <c r="I149" s="145">
        <f t="shared" si="37"/>
        <v>0</v>
      </c>
      <c r="J149" s="145">
        <f t="shared" si="38"/>
        <v>0</v>
      </c>
      <c r="K149" s="142" t="str">
        <f t="shared" si="45"/>
        <v>undefined</v>
      </c>
      <c r="L149" s="146">
        <f>IFERROR(INDEX(Työkonekanta!$I$3:$I$27,MATCH('S0a Baseline'!$A149,Työkonekanta!$A$3:$A$24,0),1)*(I149+J149)*f_adblue,0)</f>
        <v>0</v>
      </c>
      <c r="M149" s="146">
        <f t="shared" si="50"/>
        <v>0</v>
      </c>
      <c r="N149" s="143" t="str">
        <f>IF(tuulisähkö_vuosi&lt;='S0a Baseline'!C149,"tuulisähkö",ostosähkö_nyt)</f>
        <v>jäännössähkö</v>
      </c>
      <c r="O149" s="147">
        <f>INDEX(Muuttujat!$J$5:$J$21,MATCH($C149,Muuttujat!$H$5:$H$21,0),1)</f>
        <v>66.51860537025</v>
      </c>
      <c r="P149" s="342">
        <f>1-(INDEX(Muuttujat!$O$5:$O$21,MATCH($C149,Muuttujat!$N$5:$N$21,0),1))</f>
        <v>0.95</v>
      </c>
      <c r="Q149" s="342">
        <f>INDEX(Muuttujat!$O$5:$O$21,MATCH($C149,Muuttujat!$N$5:$N$21,0),1)</f>
        <v>0.05</v>
      </c>
      <c r="R149" s="148">
        <f>INDEX(Muuttujat!$P$5:$P$21,MATCH($C149,Muuttujat!$N$5:$N$21,0),1)</f>
        <v>5.2210587442409327E-2</v>
      </c>
      <c r="S149" s="149">
        <f t="shared" si="39"/>
        <v>0</v>
      </c>
      <c r="T149" s="150">
        <f t="shared" si="40"/>
        <v>0</v>
      </c>
      <c r="U149" s="150">
        <f t="shared" si="41"/>
        <v>0</v>
      </c>
      <c r="V149" s="150">
        <f>IFERROR(INDEX(Työkonekanta!$J$3:$J$27,MATCH($A149,Työkonekanta!$A$3:$A$24,0),1)*$B149*ef_li_ion_akku/1000/1000/INDEX(Työkonekanta!$K$3:$K$27,MATCH($A149,Työkonekanta!$A$3:$A$24,0)),0)</f>
        <v>0</v>
      </c>
      <c r="W149" s="149">
        <f t="shared" si="42"/>
        <v>0</v>
      </c>
      <c r="X149" s="150">
        <f t="shared" si="51"/>
        <v>0</v>
      </c>
      <c r="Y149" s="151">
        <f t="shared" si="52"/>
        <v>0</v>
      </c>
      <c r="Z149" s="152">
        <f t="shared" si="46"/>
        <v>0</v>
      </c>
      <c r="AA149" s="153">
        <f t="shared" si="47"/>
        <v>0</v>
      </c>
      <c r="AB149" s="153">
        <f t="shared" si="48"/>
        <v>0</v>
      </c>
      <c r="AC149" s="154">
        <f t="shared" si="53"/>
        <v>0</v>
      </c>
      <c r="AD149" s="156">
        <f t="shared" si="49"/>
        <v>0</v>
      </c>
    </row>
    <row r="150" spans="1:30" s="144" customFormat="1">
      <c r="A150" s="139">
        <v>28</v>
      </c>
      <c r="B150" s="139">
        <f>IFERROR(INDEX(Työkonekanta!$F$3:$F$27,MATCH('S0a Baseline'!$A150,Työkonekanta!$A$3:$A$24,0),1),0)</f>
        <v>0</v>
      </c>
      <c r="C150" s="140">
        <v>2023</v>
      </c>
      <c r="D150" s="141" t="str">
        <f>IFERROR(INDEX(Työkonekanta!$D$3:$D$27,MATCH('S0a Baseline'!$A150,Työkonekanta!$A$3:$A$24,0),1),"undefined")</f>
        <v>undefined</v>
      </c>
      <c r="E150" s="145">
        <f>IFERROR(INDEX(Työkonekanta!$G$3:$G$27,MATCH($A150,Työkonekanta!$A$3:$A$24,0),1)*INDEX(Työkonekanta!$H$3:$H$27,MATCH($A150,Työkonekanta!$A$3:$A$24,0),1)*$B150,0)</f>
        <v>0</v>
      </c>
      <c r="F150" s="344">
        <f t="shared" si="36"/>
        <v>0</v>
      </c>
      <c r="G150" s="344">
        <f t="shared" si="43"/>
        <v>0</v>
      </c>
      <c r="H150" s="344">
        <f t="shared" si="44"/>
        <v>0</v>
      </c>
      <c r="I150" s="145">
        <f t="shared" si="37"/>
        <v>0</v>
      </c>
      <c r="J150" s="145">
        <f t="shared" si="38"/>
        <v>0</v>
      </c>
      <c r="K150" s="142" t="str">
        <f t="shared" si="45"/>
        <v>undefined</v>
      </c>
      <c r="L150" s="146">
        <f>IFERROR(INDEX(Työkonekanta!$I$3:$I$27,MATCH('S0a Baseline'!$A150,Työkonekanta!$A$3:$A$24,0),1)*(I150+J150)*f_adblue,0)</f>
        <v>0</v>
      </c>
      <c r="M150" s="146">
        <f t="shared" si="50"/>
        <v>0</v>
      </c>
      <c r="N150" s="143" t="str">
        <f>IF(tuulisähkö_vuosi&lt;='S0a Baseline'!C150,"tuulisähkö",ostosähkö_nyt)</f>
        <v>jäännössähkö</v>
      </c>
      <c r="O150" s="147">
        <f>INDEX(Muuttujat!$J$5:$J$21,MATCH($C150,Muuttujat!$H$5:$H$21,0),1)</f>
        <v>66.51860537025</v>
      </c>
      <c r="P150" s="342">
        <f>1-(INDEX(Muuttujat!$O$5:$O$21,MATCH($C150,Muuttujat!$N$5:$N$21,0),1))</f>
        <v>0.95</v>
      </c>
      <c r="Q150" s="342">
        <f>INDEX(Muuttujat!$O$5:$O$21,MATCH($C150,Muuttujat!$N$5:$N$21,0),1)</f>
        <v>0.05</v>
      </c>
      <c r="R150" s="148">
        <f>INDEX(Muuttujat!$P$5:$P$21,MATCH($C150,Muuttujat!$N$5:$N$21,0),1)</f>
        <v>5.2210587442409327E-2</v>
      </c>
      <c r="S150" s="149">
        <f t="shared" si="39"/>
        <v>0</v>
      </c>
      <c r="T150" s="150">
        <f t="shared" si="40"/>
        <v>0</v>
      </c>
      <c r="U150" s="150">
        <f t="shared" si="41"/>
        <v>0</v>
      </c>
      <c r="V150" s="150">
        <f>IFERROR(INDEX(Työkonekanta!$J$3:$J$27,MATCH($A150,Työkonekanta!$A$3:$A$24,0),1)*$B150*ef_li_ion_akku/1000/1000/INDEX(Työkonekanta!$K$3:$K$27,MATCH($A150,Työkonekanta!$A$3:$A$24,0)),0)</f>
        <v>0</v>
      </c>
      <c r="W150" s="149">
        <f t="shared" si="42"/>
        <v>0</v>
      </c>
      <c r="X150" s="150">
        <f t="shared" si="51"/>
        <v>0</v>
      </c>
      <c r="Y150" s="151">
        <f t="shared" si="52"/>
        <v>0</v>
      </c>
      <c r="Z150" s="152">
        <f t="shared" si="46"/>
        <v>0</v>
      </c>
      <c r="AA150" s="153">
        <f t="shared" si="47"/>
        <v>0</v>
      </c>
      <c r="AB150" s="153">
        <f t="shared" si="48"/>
        <v>0</v>
      </c>
      <c r="AC150" s="154">
        <f t="shared" si="53"/>
        <v>0</v>
      </c>
      <c r="AD150" s="156">
        <f t="shared" si="49"/>
        <v>0</v>
      </c>
    </row>
    <row r="151" spans="1:30" s="144" customFormat="1">
      <c r="A151" s="139">
        <v>29</v>
      </c>
      <c r="B151" s="139">
        <f>IFERROR(INDEX(Työkonekanta!$F$3:$F$27,MATCH('S0a Baseline'!$A151,Työkonekanta!$A$3:$A$24,0),1),0)</f>
        <v>0</v>
      </c>
      <c r="C151" s="140">
        <v>2023</v>
      </c>
      <c r="D151" s="141" t="str">
        <f>IFERROR(INDEX(Työkonekanta!$D$3:$D$27,MATCH('S0a Baseline'!$A151,Työkonekanta!$A$3:$A$24,0),1),"undefined")</f>
        <v>undefined</v>
      </c>
      <c r="E151" s="145">
        <f>IFERROR(INDEX(Työkonekanta!$G$3:$G$27,MATCH($A151,Työkonekanta!$A$3:$A$24,0),1)*INDEX(Työkonekanta!$H$3:$H$27,MATCH($A151,Työkonekanta!$A$3:$A$24,0),1)*$B151,0)</f>
        <v>0</v>
      </c>
      <c r="F151" s="344">
        <f t="shared" si="36"/>
        <v>0</v>
      </c>
      <c r="G151" s="344">
        <f t="shared" si="43"/>
        <v>0</v>
      </c>
      <c r="H151" s="344">
        <f t="shared" si="44"/>
        <v>0</v>
      </c>
      <c r="I151" s="145">
        <f t="shared" si="37"/>
        <v>0</v>
      </c>
      <c r="J151" s="145">
        <f t="shared" si="38"/>
        <v>0</v>
      </c>
      <c r="K151" s="142" t="str">
        <f t="shared" si="45"/>
        <v>undefined</v>
      </c>
      <c r="L151" s="146">
        <f>IFERROR(INDEX(Työkonekanta!$I$3:$I$27,MATCH('S0a Baseline'!$A151,Työkonekanta!$A$3:$A$24,0),1)*(I151+J151)*f_adblue,0)</f>
        <v>0</v>
      </c>
      <c r="M151" s="146">
        <f t="shared" si="50"/>
        <v>0</v>
      </c>
      <c r="N151" s="143" t="str">
        <f>IF(tuulisähkö_vuosi&lt;='S0a Baseline'!C151,"tuulisähkö",ostosähkö_nyt)</f>
        <v>jäännössähkö</v>
      </c>
      <c r="O151" s="147">
        <f>INDEX(Muuttujat!$J$5:$J$21,MATCH($C151,Muuttujat!$H$5:$H$21,0),1)</f>
        <v>66.51860537025</v>
      </c>
      <c r="P151" s="342">
        <f>1-(INDEX(Muuttujat!$O$5:$O$21,MATCH($C151,Muuttujat!$N$5:$N$21,0),1))</f>
        <v>0.95</v>
      </c>
      <c r="Q151" s="342">
        <f>INDEX(Muuttujat!$O$5:$O$21,MATCH($C151,Muuttujat!$N$5:$N$21,0),1)</f>
        <v>0.05</v>
      </c>
      <c r="R151" s="148">
        <f>INDEX(Muuttujat!$P$5:$P$21,MATCH($C151,Muuttujat!$N$5:$N$21,0),1)</f>
        <v>5.2210587442409327E-2</v>
      </c>
      <c r="S151" s="149">
        <f t="shared" si="39"/>
        <v>0</v>
      </c>
      <c r="T151" s="150">
        <f t="shared" si="40"/>
        <v>0</v>
      </c>
      <c r="U151" s="150">
        <f t="shared" si="41"/>
        <v>0</v>
      </c>
      <c r="V151" s="150">
        <f>IFERROR(INDEX(Työkonekanta!$J$3:$J$27,MATCH($A151,Työkonekanta!$A$3:$A$24,0),1)*$B151*ef_li_ion_akku/1000/1000/INDEX(Työkonekanta!$K$3:$K$27,MATCH($A151,Työkonekanta!$A$3:$A$24,0)),0)</f>
        <v>0</v>
      </c>
      <c r="W151" s="149">
        <f t="shared" si="42"/>
        <v>0</v>
      </c>
      <c r="X151" s="150">
        <f t="shared" si="51"/>
        <v>0</v>
      </c>
      <c r="Y151" s="151">
        <f t="shared" si="52"/>
        <v>0</v>
      </c>
      <c r="Z151" s="152">
        <f t="shared" si="46"/>
        <v>0</v>
      </c>
      <c r="AA151" s="153">
        <f t="shared" si="47"/>
        <v>0</v>
      </c>
      <c r="AB151" s="153">
        <f t="shared" si="48"/>
        <v>0</v>
      </c>
      <c r="AC151" s="154">
        <f t="shared" si="53"/>
        <v>0</v>
      </c>
      <c r="AD151" s="156">
        <f t="shared" si="49"/>
        <v>0</v>
      </c>
    </row>
    <row r="152" spans="1:30" s="144" customFormat="1">
      <c r="A152" s="139">
        <v>30</v>
      </c>
      <c r="B152" s="139">
        <f>IFERROR(INDEX(Työkonekanta!$F$3:$F$27,MATCH('S0a Baseline'!$A152,Työkonekanta!$A$3:$A$24,0),1),0)</f>
        <v>0</v>
      </c>
      <c r="C152" s="140">
        <v>2023</v>
      </c>
      <c r="D152" s="141" t="str">
        <f>IFERROR(INDEX(Työkonekanta!$D$3:$D$27,MATCH('S0a Baseline'!$A152,Työkonekanta!$A$3:$A$24,0),1),"undefined")</f>
        <v>undefined</v>
      </c>
      <c r="E152" s="145">
        <f>IFERROR(INDEX(Työkonekanta!$G$3:$G$27,MATCH($A152,Työkonekanta!$A$3:$A$24,0),1)*INDEX(Työkonekanta!$H$3:$H$27,MATCH($A152,Työkonekanta!$A$3:$A$24,0),1)*$B152,0)</f>
        <v>0</v>
      </c>
      <c r="F152" s="344">
        <f t="shared" si="36"/>
        <v>0</v>
      </c>
      <c r="G152" s="344">
        <f t="shared" si="43"/>
        <v>0</v>
      </c>
      <c r="H152" s="344">
        <f t="shared" si="44"/>
        <v>0</v>
      </c>
      <c r="I152" s="145">
        <f t="shared" si="37"/>
        <v>0</v>
      </c>
      <c r="J152" s="145">
        <f t="shared" si="38"/>
        <v>0</v>
      </c>
      <c r="K152" s="142" t="str">
        <f t="shared" si="45"/>
        <v>undefined</v>
      </c>
      <c r="L152" s="146">
        <f>IFERROR(INDEX(Työkonekanta!$I$3:$I$27,MATCH('S0a Baseline'!$A152,Työkonekanta!$A$3:$A$24,0),1)*(I152+J152)*f_adblue,0)</f>
        <v>0</v>
      </c>
      <c r="M152" s="146">
        <f t="shared" si="50"/>
        <v>0</v>
      </c>
      <c r="N152" s="143" t="str">
        <f>IF(tuulisähkö_vuosi&lt;='S0a Baseline'!C152,"tuulisähkö",ostosähkö_nyt)</f>
        <v>jäännössähkö</v>
      </c>
      <c r="O152" s="147">
        <f>INDEX(Muuttujat!$J$5:$J$21,MATCH($C152,Muuttujat!$H$5:$H$21,0),1)</f>
        <v>66.51860537025</v>
      </c>
      <c r="P152" s="342">
        <f>1-(INDEX(Muuttujat!$O$5:$O$21,MATCH($C152,Muuttujat!$N$5:$N$21,0),1))</f>
        <v>0.95</v>
      </c>
      <c r="Q152" s="342">
        <f>INDEX(Muuttujat!$O$5:$O$21,MATCH($C152,Muuttujat!$N$5:$N$21,0),1)</f>
        <v>0.05</v>
      </c>
      <c r="R152" s="148">
        <f>INDEX(Muuttujat!$P$5:$P$21,MATCH($C152,Muuttujat!$N$5:$N$21,0),1)</f>
        <v>5.2210587442409327E-2</v>
      </c>
      <c r="S152" s="149">
        <f t="shared" si="39"/>
        <v>0</v>
      </c>
      <c r="T152" s="150">
        <f t="shared" si="40"/>
        <v>0</v>
      </c>
      <c r="U152" s="150">
        <f t="shared" si="41"/>
        <v>0</v>
      </c>
      <c r="V152" s="150">
        <f>IFERROR(INDEX(Työkonekanta!$J$3:$J$27,MATCH($A152,Työkonekanta!$A$3:$A$24,0),1)*$B152*ef_li_ion_akku/1000/1000/INDEX(Työkonekanta!$K$3:$K$27,MATCH($A152,Työkonekanta!$A$3:$A$24,0)),0)</f>
        <v>0</v>
      </c>
      <c r="W152" s="149">
        <f t="shared" si="42"/>
        <v>0</v>
      </c>
      <c r="X152" s="150">
        <f t="shared" si="51"/>
        <v>0</v>
      </c>
      <c r="Y152" s="151">
        <f t="shared" si="52"/>
        <v>0</v>
      </c>
      <c r="Z152" s="152">
        <f t="shared" si="46"/>
        <v>0</v>
      </c>
      <c r="AA152" s="153">
        <f t="shared" si="47"/>
        <v>0</v>
      </c>
      <c r="AB152" s="153">
        <f t="shared" si="48"/>
        <v>0</v>
      </c>
      <c r="AC152" s="154">
        <f t="shared" si="53"/>
        <v>0</v>
      </c>
      <c r="AD152" s="156">
        <f t="shared" si="49"/>
        <v>0</v>
      </c>
    </row>
    <row r="153" spans="1:30" s="144" customFormat="1">
      <c r="A153" s="139">
        <v>1</v>
      </c>
      <c r="B153" s="139">
        <f>IFERROR(INDEX(Työkonekanta!$F$3:$F$27,MATCH('S0a Baseline'!$A153,Työkonekanta!$A$3:$A$24,0),1),0)</f>
        <v>1</v>
      </c>
      <c r="C153" s="140">
        <v>2024</v>
      </c>
      <c r="D153" s="141" t="str">
        <f>IFERROR(INDEX(Työkonekanta!$D$3:$D$27,MATCH('S0a Baseline'!$A153,Työkonekanta!$A$3:$A$24,0),1),"undefined")</f>
        <v>pom</v>
      </c>
      <c r="E153" s="145">
        <f>IFERROR(INDEX(Työkonekanta!$G$3:$G$27,MATCH($A153,Työkonekanta!$A$3:$A$24,0),1)*INDEX(Työkonekanta!$H$3:$H$27,MATCH($A153,Työkonekanta!$A$3:$A$24,0),1)*$B153,0)</f>
        <v>10000</v>
      </c>
      <c r="F153" s="344">
        <f t="shared" si="36"/>
        <v>359000</v>
      </c>
      <c r="G153" s="344">
        <f t="shared" si="43"/>
        <v>337460</v>
      </c>
      <c r="H153" s="344">
        <f t="shared" si="44"/>
        <v>21540</v>
      </c>
      <c r="I153" s="145">
        <f t="shared" si="37"/>
        <v>9400</v>
      </c>
      <c r="J153" s="145">
        <f t="shared" si="38"/>
        <v>627.98833819241986</v>
      </c>
      <c r="K153" s="142" t="str">
        <f t="shared" si="45"/>
        <v>l</v>
      </c>
      <c r="L153" s="146">
        <f>IFERROR(INDEX(Työkonekanta!$I$3:$I$27,MATCH('S0a Baseline'!$A153,Työkonekanta!$A$3:$A$24,0),1)*(I153+J153)*f_adblue,0)</f>
        <v>501.39941690962098</v>
      </c>
      <c r="M153" s="146">
        <f t="shared" si="50"/>
        <v>0</v>
      </c>
      <c r="N153" s="143" t="str">
        <f>IF(tuulisähkö_vuosi&lt;='S0a Baseline'!C153,"tuulisähkö",ostosähkö_nyt)</f>
        <v>jäännössähkö</v>
      </c>
      <c r="O153" s="147">
        <f>INDEX(Muuttujat!$J$5:$J$21,MATCH($C153,Muuttujat!$H$5:$H$21,0),1)</f>
        <v>65.853419316547502</v>
      </c>
      <c r="P153" s="342">
        <f>1-(INDEX(Muuttujat!$O$5:$O$21,MATCH($C153,Muuttujat!$N$5:$N$21,0),1))</f>
        <v>0.94</v>
      </c>
      <c r="Q153" s="342">
        <f>INDEX(Muuttujat!$O$5:$O$21,MATCH($C153,Muuttujat!$N$5:$N$21,0),1)</f>
        <v>0.06</v>
      </c>
      <c r="R153" s="148">
        <f>INDEX(Muuttujat!$P$5:$P$21,MATCH($C153,Muuttujat!$N$5:$N$21,0),1)</f>
        <v>6.2623560726971367E-2</v>
      </c>
      <c r="S153" s="149">
        <f t="shared" si="39"/>
        <v>6.3779939999999984</v>
      </c>
      <c r="T153" s="150">
        <f t="shared" si="40"/>
        <v>1.344096</v>
      </c>
      <c r="U153" s="150">
        <f t="shared" si="41"/>
        <v>0</v>
      </c>
      <c r="V153" s="150">
        <f>IFERROR(INDEX(Työkonekanta!$J$3:$J$27,MATCH($A153,Työkonekanta!$A$3:$A$24,0),1)*$B153*ef_li_ion_akku/1000/1000/INDEX(Työkonekanta!$K$3:$K$27,MATCH($A153,Työkonekanta!$A$3:$A$24,0)),0)</f>
        <v>0</v>
      </c>
      <c r="W153" s="149">
        <f t="shared" si="42"/>
        <v>24.907333488839999</v>
      </c>
      <c r="X153" s="150">
        <f t="shared" si="51"/>
        <v>0.31774565999999999</v>
      </c>
      <c r="Y153" s="151">
        <f t="shared" si="52"/>
        <v>0.13036384839650145</v>
      </c>
      <c r="Z153" s="152">
        <f t="shared" si="46"/>
        <v>7.7220899999999979</v>
      </c>
      <c r="AA153" s="153">
        <f t="shared" si="47"/>
        <v>25.037697337236501</v>
      </c>
      <c r="AB153" s="153">
        <f t="shared" si="48"/>
        <v>25.355442997236501</v>
      </c>
      <c r="AC153" s="154">
        <f t="shared" si="53"/>
        <v>32.759787337236503</v>
      </c>
      <c r="AD153" s="156">
        <f t="shared" si="49"/>
        <v>33.077532997236503</v>
      </c>
    </row>
    <row r="154" spans="1:30" s="144" customFormat="1">
      <c r="A154" s="139">
        <v>2</v>
      </c>
      <c r="B154" s="139">
        <f>IFERROR(INDEX(Työkonekanta!$F$3:$F$27,MATCH('S0a Baseline'!$A154,Työkonekanta!$A$3:$A$24,0),1),0)</f>
        <v>1</v>
      </c>
      <c r="C154" s="140">
        <v>2024</v>
      </c>
      <c r="D154" s="141" t="str">
        <f>IFERROR(INDEX(Työkonekanta!$D$3:$D$27,MATCH('S0a Baseline'!$A154,Työkonekanta!$A$3:$A$24,0),1),"undefined")</f>
        <v>pom</v>
      </c>
      <c r="E154" s="145">
        <f>IFERROR(INDEX(Työkonekanta!$G$3:$G$27,MATCH($A154,Työkonekanta!$A$3:$A$24,0),1)*INDEX(Työkonekanta!$H$3:$H$27,MATCH($A154,Työkonekanta!$A$3:$A$24,0),1)*$B154,0)</f>
        <v>10000</v>
      </c>
      <c r="F154" s="344">
        <f t="shared" si="36"/>
        <v>359000</v>
      </c>
      <c r="G154" s="344">
        <f t="shared" si="43"/>
        <v>337460</v>
      </c>
      <c r="H154" s="344">
        <f t="shared" si="44"/>
        <v>21540</v>
      </c>
      <c r="I154" s="145">
        <f t="shared" si="37"/>
        <v>9400</v>
      </c>
      <c r="J154" s="145">
        <f t="shared" si="38"/>
        <v>627.98833819241986</v>
      </c>
      <c r="K154" s="142" t="str">
        <f t="shared" si="45"/>
        <v>l</v>
      </c>
      <c r="L154" s="146">
        <f>IFERROR(INDEX(Työkonekanta!$I$3:$I$27,MATCH('S0a Baseline'!$A154,Työkonekanta!$A$3:$A$24,0),1)*(I154+J154)*f_adblue,0)</f>
        <v>501.39941690962098</v>
      </c>
      <c r="M154" s="146">
        <f t="shared" si="50"/>
        <v>0</v>
      </c>
      <c r="N154" s="143" t="str">
        <f>IF(tuulisähkö_vuosi&lt;='S0a Baseline'!C154,"tuulisähkö",ostosähkö_nyt)</f>
        <v>jäännössähkö</v>
      </c>
      <c r="O154" s="147">
        <f>INDEX(Muuttujat!$J$5:$J$21,MATCH($C154,Muuttujat!$H$5:$H$21,0),1)</f>
        <v>65.853419316547502</v>
      </c>
      <c r="P154" s="342">
        <f>1-(INDEX(Muuttujat!$O$5:$O$21,MATCH($C154,Muuttujat!$N$5:$N$21,0),1))</f>
        <v>0.94</v>
      </c>
      <c r="Q154" s="342">
        <f>INDEX(Muuttujat!$O$5:$O$21,MATCH($C154,Muuttujat!$N$5:$N$21,0),1)</f>
        <v>0.06</v>
      </c>
      <c r="R154" s="148">
        <f>INDEX(Muuttujat!$P$5:$P$21,MATCH($C154,Muuttujat!$N$5:$N$21,0),1)</f>
        <v>6.2623560726971367E-2</v>
      </c>
      <c r="S154" s="149">
        <f t="shared" si="39"/>
        <v>6.3779939999999984</v>
      </c>
      <c r="T154" s="150">
        <f t="shared" si="40"/>
        <v>1.344096</v>
      </c>
      <c r="U154" s="150">
        <f t="shared" si="41"/>
        <v>0</v>
      </c>
      <c r="V154" s="150">
        <f>IFERROR(INDEX(Työkonekanta!$J$3:$J$27,MATCH($A154,Työkonekanta!$A$3:$A$24,0),1)*$B154*ef_li_ion_akku/1000/1000/INDEX(Työkonekanta!$K$3:$K$27,MATCH($A154,Työkonekanta!$A$3:$A$24,0)),0)</f>
        <v>0</v>
      </c>
      <c r="W154" s="149">
        <f t="shared" si="42"/>
        <v>24.907333488839999</v>
      </c>
      <c r="X154" s="150">
        <f t="shared" si="51"/>
        <v>0.31774565999999999</v>
      </c>
      <c r="Y154" s="151">
        <f t="shared" si="52"/>
        <v>0.13036384839650145</v>
      </c>
      <c r="Z154" s="152">
        <f t="shared" si="46"/>
        <v>7.7220899999999979</v>
      </c>
      <c r="AA154" s="153">
        <f t="shared" si="47"/>
        <v>25.037697337236501</v>
      </c>
      <c r="AB154" s="153">
        <f t="shared" si="48"/>
        <v>25.355442997236501</v>
      </c>
      <c r="AC154" s="154">
        <f t="shared" si="53"/>
        <v>32.759787337236503</v>
      </c>
      <c r="AD154" s="156">
        <f t="shared" si="49"/>
        <v>33.077532997236503</v>
      </c>
    </row>
    <row r="155" spans="1:30" s="144" customFormat="1">
      <c r="A155" s="139">
        <v>3</v>
      </c>
      <c r="B155" s="139">
        <f>IFERROR(INDEX(Työkonekanta!$F$3:$F$27,MATCH('S0a Baseline'!$A155,Työkonekanta!$A$3:$A$24,0),1),0)</f>
        <v>1</v>
      </c>
      <c r="C155" s="140">
        <v>2024</v>
      </c>
      <c r="D155" s="141" t="str">
        <f>IFERROR(INDEX(Työkonekanta!$D$3:$D$27,MATCH('S0a Baseline'!$A155,Työkonekanta!$A$3:$A$24,0),1),"undefined")</f>
        <v>pom</v>
      </c>
      <c r="E155" s="145">
        <f>IFERROR(INDEX(Työkonekanta!$G$3:$G$27,MATCH($A155,Työkonekanta!$A$3:$A$24,0),1)*INDEX(Työkonekanta!$H$3:$H$27,MATCH($A155,Työkonekanta!$A$3:$A$24,0),1)*$B155,0)</f>
        <v>10000</v>
      </c>
      <c r="F155" s="344">
        <f t="shared" si="36"/>
        <v>359000</v>
      </c>
      <c r="G155" s="344">
        <f t="shared" si="43"/>
        <v>337460</v>
      </c>
      <c r="H155" s="344">
        <f t="shared" si="44"/>
        <v>21540</v>
      </c>
      <c r="I155" s="145">
        <f t="shared" si="37"/>
        <v>9400</v>
      </c>
      <c r="J155" s="145">
        <f t="shared" si="38"/>
        <v>627.98833819241986</v>
      </c>
      <c r="K155" s="142" t="str">
        <f t="shared" si="45"/>
        <v>l</v>
      </c>
      <c r="L155" s="146">
        <f>IFERROR(INDEX(Työkonekanta!$I$3:$I$27,MATCH('S0a Baseline'!$A155,Työkonekanta!$A$3:$A$24,0),1)*(I155+J155)*f_adblue,0)</f>
        <v>501.39941690962098</v>
      </c>
      <c r="M155" s="146">
        <f t="shared" si="50"/>
        <v>0</v>
      </c>
      <c r="N155" s="143" t="str">
        <f>IF(tuulisähkö_vuosi&lt;='S0a Baseline'!C155,"tuulisähkö",ostosähkö_nyt)</f>
        <v>jäännössähkö</v>
      </c>
      <c r="O155" s="147">
        <f>INDEX(Muuttujat!$J$5:$J$21,MATCH($C155,Muuttujat!$H$5:$H$21,0),1)</f>
        <v>65.853419316547502</v>
      </c>
      <c r="P155" s="342">
        <f>1-(INDEX(Muuttujat!$O$5:$O$21,MATCH($C155,Muuttujat!$N$5:$N$21,0),1))</f>
        <v>0.94</v>
      </c>
      <c r="Q155" s="342">
        <f>INDEX(Muuttujat!$O$5:$O$21,MATCH($C155,Muuttujat!$N$5:$N$21,0),1)</f>
        <v>0.06</v>
      </c>
      <c r="R155" s="148">
        <f>INDEX(Muuttujat!$P$5:$P$21,MATCH($C155,Muuttujat!$N$5:$N$21,0),1)</f>
        <v>6.2623560726971367E-2</v>
      </c>
      <c r="S155" s="149">
        <f t="shared" si="39"/>
        <v>6.3779939999999984</v>
      </c>
      <c r="T155" s="150">
        <f t="shared" si="40"/>
        <v>1.344096</v>
      </c>
      <c r="U155" s="150">
        <f t="shared" si="41"/>
        <v>0</v>
      </c>
      <c r="V155" s="150">
        <f>IFERROR(INDEX(Työkonekanta!$J$3:$J$27,MATCH($A155,Työkonekanta!$A$3:$A$24,0),1)*$B155*ef_li_ion_akku/1000/1000/INDEX(Työkonekanta!$K$3:$K$27,MATCH($A155,Työkonekanta!$A$3:$A$24,0)),0)</f>
        <v>0</v>
      </c>
      <c r="W155" s="149">
        <f t="shared" si="42"/>
        <v>24.907333488839999</v>
      </c>
      <c r="X155" s="150">
        <f t="shared" si="51"/>
        <v>0.31774565999999999</v>
      </c>
      <c r="Y155" s="151">
        <f t="shared" si="52"/>
        <v>0.13036384839650145</v>
      </c>
      <c r="Z155" s="152">
        <f t="shared" si="46"/>
        <v>7.7220899999999979</v>
      </c>
      <c r="AA155" s="153">
        <f t="shared" si="47"/>
        <v>25.037697337236501</v>
      </c>
      <c r="AB155" s="153">
        <f t="shared" si="48"/>
        <v>25.355442997236501</v>
      </c>
      <c r="AC155" s="154">
        <f t="shared" si="53"/>
        <v>32.759787337236503</v>
      </c>
      <c r="AD155" s="156">
        <f t="shared" si="49"/>
        <v>33.077532997236503</v>
      </c>
    </row>
    <row r="156" spans="1:30" s="144" customFormat="1">
      <c r="A156" s="139">
        <v>4</v>
      </c>
      <c r="B156" s="139">
        <f>IFERROR(INDEX(Työkonekanta!$F$3:$F$27,MATCH('S0a Baseline'!$A156,Työkonekanta!$A$3:$A$24,0),1),0)</f>
        <v>1</v>
      </c>
      <c r="C156" s="140">
        <v>2024</v>
      </c>
      <c r="D156" s="141" t="str">
        <f>IFERROR(INDEX(Työkonekanta!$D$3:$D$27,MATCH('S0a Baseline'!$A156,Työkonekanta!$A$3:$A$24,0),1),"undefined")</f>
        <v>pom</v>
      </c>
      <c r="E156" s="145">
        <f>IFERROR(INDEX(Työkonekanta!$G$3:$G$27,MATCH($A156,Työkonekanta!$A$3:$A$24,0),1)*INDEX(Työkonekanta!$H$3:$H$27,MATCH($A156,Työkonekanta!$A$3:$A$24,0),1)*$B156,0)</f>
        <v>10000</v>
      </c>
      <c r="F156" s="344">
        <f t="shared" si="36"/>
        <v>359000</v>
      </c>
      <c r="G156" s="344">
        <f t="shared" si="43"/>
        <v>337460</v>
      </c>
      <c r="H156" s="344">
        <f t="shared" si="44"/>
        <v>21540</v>
      </c>
      <c r="I156" s="145">
        <f t="shared" si="37"/>
        <v>9400</v>
      </c>
      <c r="J156" s="145">
        <f t="shared" si="38"/>
        <v>627.98833819241986</v>
      </c>
      <c r="K156" s="142" t="str">
        <f t="shared" si="45"/>
        <v>l</v>
      </c>
      <c r="L156" s="146">
        <f>IFERROR(INDEX(Työkonekanta!$I$3:$I$27,MATCH('S0a Baseline'!$A156,Työkonekanta!$A$3:$A$24,0),1)*(I156+J156)*f_adblue,0)</f>
        <v>501.39941690962098</v>
      </c>
      <c r="M156" s="146">
        <f t="shared" si="50"/>
        <v>0</v>
      </c>
      <c r="N156" s="143" t="str">
        <f>IF(tuulisähkö_vuosi&lt;='S0a Baseline'!C156,"tuulisähkö",ostosähkö_nyt)</f>
        <v>jäännössähkö</v>
      </c>
      <c r="O156" s="147">
        <f>INDEX(Muuttujat!$J$5:$J$21,MATCH($C156,Muuttujat!$H$5:$H$21,0),1)</f>
        <v>65.853419316547502</v>
      </c>
      <c r="P156" s="342">
        <f>1-(INDEX(Muuttujat!$O$5:$O$21,MATCH($C156,Muuttujat!$N$5:$N$21,0),1))</f>
        <v>0.94</v>
      </c>
      <c r="Q156" s="342">
        <f>INDEX(Muuttujat!$O$5:$O$21,MATCH($C156,Muuttujat!$N$5:$N$21,0),1)</f>
        <v>0.06</v>
      </c>
      <c r="R156" s="148">
        <f>INDEX(Muuttujat!$P$5:$P$21,MATCH($C156,Muuttujat!$N$5:$N$21,0),1)</f>
        <v>6.2623560726971367E-2</v>
      </c>
      <c r="S156" s="149">
        <f t="shared" si="39"/>
        <v>6.3779939999999984</v>
      </c>
      <c r="T156" s="150">
        <f t="shared" si="40"/>
        <v>1.344096</v>
      </c>
      <c r="U156" s="150">
        <f t="shared" si="41"/>
        <v>0</v>
      </c>
      <c r="V156" s="150">
        <f>IFERROR(INDEX(Työkonekanta!$J$3:$J$27,MATCH($A156,Työkonekanta!$A$3:$A$24,0),1)*$B156*ef_li_ion_akku/1000/1000/INDEX(Työkonekanta!$K$3:$K$27,MATCH($A156,Työkonekanta!$A$3:$A$24,0)),0)</f>
        <v>0</v>
      </c>
      <c r="W156" s="149">
        <f t="shared" si="42"/>
        <v>24.907333488839999</v>
      </c>
      <c r="X156" s="150">
        <f t="shared" si="51"/>
        <v>0.31774565999999999</v>
      </c>
      <c r="Y156" s="151">
        <f t="shared" si="52"/>
        <v>0.13036384839650145</v>
      </c>
      <c r="Z156" s="152">
        <f t="shared" si="46"/>
        <v>7.7220899999999979</v>
      </c>
      <c r="AA156" s="153">
        <f t="shared" si="47"/>
        <v>25.037697337236501</v>
      </c>
      <c r="AB156" s="153">
        <f t="shared" si="48"/>
        <v>25.355442997236501</v>
      </c>
      <c r="AC156" s="154">
        <f t="shared" si="53"/>
        <v>32.759787337236503</v>
      </c>
      <c r="AD156" s="156">
        <f t="shared" si="49"/>
        <v>33.077532997236503</v>
      </c>
    </row>
    <row r="157" spans="1:30" s="144" customFormat="1">
      <c r="A157" s="139">
        <v>5</v>
      </c>
      <c r="B157" s="139">
        <f>IFERROR(INDEX(Työkonekanta!$F$3:$F$27,MATCH('S0a Baseline'!$A157,Työkonekanta!$A$3:$A$24,0),1),0)</f>
        <v>0</v>
      </c>
      <c r="C157" s="140">
        <v>2024</v>
      </c>
      <c r="D157" s="141" t="str">
        <f>IFERROR(INDEX(Työkonekanta!$D$3:$D$27,MATCH('S0a Baseline'!$A157,Työkonekanta!$A$3:$A$24,0),1),"undefined")</f>
        <v>sähkö</v>
      </c>
      <c r="E157" s="145">
        <f>IFERROR(INDEX(Työkonekanta!$G$3:$G$27,MATCH($A157,Työkonekanta!$A$3:$A$24,0),1)*INDEX(Työkonekanta!$H$3:$H$27,MATCH($A157,Työkonekanta!$A$3:$A$24,0),1)*$B157,0)</f>
        <v>0</v>
      </c>
      <c r="F157" s="344">
        <f t="shared" si="36"/>
        <v>0</v>
      </c>
      <c r="G157" s="344">
        <f t="shared" si="43"/>
        <v>0</v>
      </c>
      <c r="H157" s="344">
        <f t="shared" si="44"/>
        <v>0</v>
      </c>
      <c r="I157" s="145">
        <f t="shared" si="37"/>
        <v>0</v>
      </c>
      <c r="J157" s="145">
        <f t="shared" si="38"/>
        <v>0</v>
      </c>
      <c r="K157" s="142" t="str">
        <f t="shared" si="45"/>
        <v>kWh</v>
      </c>
      <c r="L157" s="146">
        <f>IFERROR(INDEX(Työkonekanta!$I$3:$I$27,MATCH('S0a Baseline'!$A157,Työkonekanta!$A$3:$A$24,0),1)*(I157+J157)*f_adblue,0)</f>
        <v>0</v>
      </c>
      <c r="M157" s="146">
        <f t="shared" si="50"/>
        <v>0</v>
      </c>
      <c r="N157" s="143" t="str">
        <f>IF(tuulisähkö_vuosi&lt;='S0a Baseline'!C157,"tuulisähkö",ostosähkö_nyt)</f>
        <v>jäännössähkö</v>
      </c>
      <c r="O157" s="147">
        <f>INDEX(Muuttujat!$J$5:$J$21,MATCH($C157,Muuttujat!$H$5:$H$21,0),1)</f>
        <v>65.853419316547502</v>
      </c>
      <c r="P157" s="342">
        <f>1-(INDEX(Muuttujat!$O$5:$O$21,MATCH($C157,Muuttujat!$N$5:$N$21,0),1))</f>
        <v>0.94</v>
      </c>
      <c r="Q157" s="342">
        <f>INDEX(Muuttujat!$O$5:$O$21,MATCH($C157,Muuttujat!$N$5:$N$21,0),1)</f>
        <v>0.06</v>
      </c>
      <c r="R157" s="148">
        <f>INDEX(Muuttujat!$P$5:$P$21,MATCH($C157,Muuttujat!$N$5:$N$21,0),1)</f>
        <v>6.2623560726971367E-2</v>
      </c>
      <c r="S157" s="149">
        <f t="shared" si="39"/>
        <v>0</v>
      </c>
      <c r="T157" s="150">
        <f t="shared" si="40"/>
        <v>0</v>
      </c>
      <c r="U157" s="150">
        <f t="shared" si="41"/>
        <v>0</v>
      </c>
      <c r="V157" s="150">
        <f>IFERROR(INDEX(Työkonekanta!$J$3:$J$27,MATCH($A157,Työkonekanta!$A$3:$A$24,0),1)*$B157*ef_li_ion_akku/1000/1000/INDEX(Työkonekanta!$K$3:$K$27,MATCH($A157,Työkonekanta!$A$3:$A$24,0)),0)</f>
        <v>0</v>
      </c>
      <c r="W157" s="149">
        <f t="shared" si="42"/>
        <v>0</v>
      </c>
      <c r="X157" s="150">
        <f t="shared" si="51"/>
        <v>0</v>
      </c>
      <c r="Y157" s="151">
        <f t="shared" si="52"/>
        <v>0</v>
      </c>
      <c r="Z157" s="152">
        <f t="shared" si="46"/>
        <v>0</v>
      </c>
      <c r="AA157" s="153">
        <f t="shared" si="47"/>
        <v>0</v>
      </c>
      <c r="AB157" s="153">
        <f t="shared" si="48"/>
        <v>0</v>
      </c>
      <c r="AC157" s="154">
        <f t="shared" si="53"/>
        <v>0</v>
      </c>
      <c r="AD157" s="156">
        <f t="shared" si="49"/>
        <v>0</v>
      </c>
    </row>
    <row r="158" spans="1:30" s="144" customFormat="1">
      <c r="A158" s="139">
        <v>6</v>
      </c>
      <c r="B158" s="139">
        <f>IFERROR(INDEX(Työkonekanta!$F$3:$F$27,MATCH('S0a Baseline'!$A158,Työkonekanta!$A$3:$A$24,0),1),0)</f>
        <v>0</v>
      </c>
      <c r="C158" s="140">
        <v>2024</v>
      </c>
      <c r="D158" s="141" t="str">
        <f>IFERROR(INDEX(Työkonekanta!$D$3:$D$27,MATCH('S0a Baseline'!$A158,Työkonekanta!$A$3:$A$24,0),1),"undefined")</f>
        <v>sähkö</v>
      </c>
      <c r="E158" s="145">
        <f>IFERROR(INDEX(Työkonekanta!$G$3:$G$27,MATCH($A158,Työkonekanta!$A$3:$A$24,0),1)*INDEX(Työkonekanta!$H$3:$H$27,MATCH($A158,Työkonekanta!$A$3:$A$24,0),1)*$B158,0)</f>
        <v>0</v>
      </c>
      <c r="F158" s="344">
        <f t="shared" si="36"/>
        <v>0</v>
      </c>
      <c r="G158" s="344">
        <f t="shared" si="43"/>
        <v>0</v>
      </c>
      <c r="H158" s="344">
        <f t="shared" si="44"/>
        <v>0</v>
      </c>
      <c r="I158" s="145">
        <f t="shared" si="37"/>
        <v>0</v>
      </c>
      <c r="J158" s="145">
        <f t="shared" si="38"/>
        <v>0</v>
      </c>
      <c r="K158" s="142" t="str">
        <f t="shared" si="45"/>
        <v>kWh</v>
      </c>
      <c r="L158" s="146">
        <f>IFERROR(INDEX(Työkonekanta!$I$3:$I$27,MATCH('S0a Baseline'!$A158,Työkonekanta!$A$3:$A$24,0),1)*(I158+J158)*f_adblue,0)</f>
        <v>0</v>
      </c>
      <c r="M158" s="146">
        <f t="shared" si="50"/>
        <v>0</v>
      </c>
      <c r="N158" s="143" t="str">
        <f>IF(tuulisähkö_vuosi&lt;='S0a Baseline'!C158,"tuulisähkö",ostosähkö_nyt)</f>
        <v>jäännössähkö</v>
      </c>
      <c r="O158" s="147">
        <f>INDEX(Muuttujat!$J$5:$J$21,MATCH($C158,Muuttujat!$H$5:$H$21,0),1)</f>
        <v>65.853419316547502</v>
      </c>
      <c r="P158" s="342">
        <f>1-(INDEX(Muuttujat!$O$5:$O$21,MATCH($C158,Muuttujat!$N$5:$N$21,0),1))</f>
        <v>0.94</v>
      </c>
      <c r="Q158" s="342">
        <f>INDEX(Muuttujat!$O$5:$O$21,MATCH($C158,Muuttujat!$N$5:$N$21,0),1)</f>
        <v>0.06</v>
      </c>
      <c r="R158" s="148">
        <f>INDEX(Muuttujat!$P$5:$P$21,MATCH($C158,Muuttujat!$N$5:$N$21,0),1)</f>
        <v>6.2623560726971367E-2</v>
      </c>
      <c r="S158" s="149">
        <f t="shared" si="39"/>
        <v>0</v>
      </c>
      <c r="T158" s="150">
        <f t="shared" si="40"/>
        <v>0</v>
      </c>
      <c r="U158" s="150">
        <f t="shared" si="41"/>
        <v>0</v>
      </c>
      <c r="V158" s="150">
        <f>IFERROR(INDEX(Työkonekanta!$J$3:$J$27,MATCH($A158,Työkonekanta!$A$3:$A$24,0),1)*$B158*ef_li_ion_akku/1000/1000/INDEX(Työkonekanta!$K$3:$K$27,MATCH($A158,Työkonekanta!$A$3:$A$24,0)),0)</f>
        <v>0</v>
      </c>
      <c r="W158" s="149">
        <f t="shared" si="42"/>
        <v>0</v>
      </c>
      <c r="X158" s="150">
        <f t="shared" si="51"/>
        <v>0</v>
      </c>
      <c r="Y158" s="151">
        <f t="shared" si="52"/>
        <v>0</v>
      </c>
      <c r="Z158" s="152">
        <f t="shared" si="46"/>
        <v>0</v>
      </c>
      <c r="AA158" s="153">
        <f t="shared" si="47"/>
        <v>0</v>
      </c>
      <c r="AB158" s="153">
        <f t="shared" si="48"/>
        <v>0</v>
      </c>
      <c r="AC158" s="154">
        <f t="shared" si="53"/>
        <v>0</v>
      </c>
      <c r="AD158" s="156">
        <f t="shared" si="49"/>
        <v>0</v>
      </c>
    </row>
    <row r="159" spans="1:30" s="144" customFormat="1">
      <c r="A159" s="139">
        <v>7</v>
      </c>
      <c r="B159" s="139">
        <f>IFERROR(INDEX(Työkonekanta!$F$3:$F$27,MATCH('S0a Baseline'!$A159,Työkonekanta!$A$3:$A$24,0),1),0)</f>
        <v>1</v>
      </c>
      <c r="C159" s="140">
        <v>2024</v>
      </c>
      <c r="D159" s="141" t="str">
        <f>IFERROR(INDEX(Työkonekanta!$D$3:$D$27,MATCH('S0a Baseline'!$A159,Työkonekanta!$A$3:$A$24,0),1),"undefined")</f>
        <v>pom</v>
      </c>
      <c r="E159" s="145">
        <f>IFERROR(INDEX(Työkonekanta!$G$3:$G$27,MATCH($A159,Työkonekanta!$A$3:$A$24,0),1)*INDEX(Työkonekanta!$H$3:$H$27,MATCH($A159,Työkonekanta!$A$3:$A$24,0),1)*$B159,0)</f>
        <v>10000</v>
      </c>
      <c r="F159" s="344">
        <f t="shared" si="36"/>
        <v>359000</v>
      </c>
      <c r="G159" s="344">
        <f t="shared" si="43"/>
        <v>337460</v>
      </c>
      <c r="H159" s="344">
        <f t="shared" si="44"/>
        <v>21540</v>
      </c>
      <c r="I159" s="145">
        <f t="shared" si="37"/>
        <v>9400</v>
      </c>
      <c r="J159" s="145">
        <f t="shared" si="38"/>
        <v>627.98833819241986</v>
      </c>
      <c r="K159" s="142" t="str">
        <f t="shared" si="45"/>
        <v>l</v>
      </c>
      <c r="L159" s="146">
        <f>IFERROR(INDEX(Työkonekanta!$I$3:$I$27,MATCH('S0a Baseline'!$A159,Työkonekanta!$A$3:$A$24,0),1)*(I159+J159)*f_adblue,0)</f>
        <v>0</v>
      </c>
      <c r="M159" s="146">
        <f t="shared" si="50"/>
        <v>0</v>
      </c>
      <c r="N159" s="143" t="str">
        <f>IF(tuulisähkö_vuosi&lt;='S0a Baseline'!C159,"tuulisähkö",ostosähkö_nyt)</f>
        <v>jäännössähkö</v>
      </c>
      <c r="O159" s="147">
        <f>INDEX(Muuttujat!$J$5:$J$21,MATCH($C159,Muuttujat!$H$5:$H$21,0),1)</f>
        <v>65.853419316547502</v>
      </c>
      <c r="P159" s="342">
        <f>1-(INDEX(Muuttujat!$O$5:$O$21,MATCH($C159,Muuttujat!$N$5:$N$21,0),1))</f>
        <v>0.94</v>
      </c>
      <c r="Q159" s="342">
        <f>INDEX(Muuttujat!$O$5:$O$21,MATCH($C159,Muuttujat!$N$5:$N$21,0),1)</f>
        <v>0.06</v>
      </c>
      <c r="R159" s="148">
        <f>INDEX(Muuttujat!$P$5:$P$21,MATCH($C159,Muuttujat!$N$5:$N$21,0),1)</f>
        <v>6.2623560726971367E-2</v>
      </c>
      <c r="S159" s="149">
        <f t="shared" si="39"/>
        <v>6.3779939999999984</v>
      </c>
      <c r="T159" s="150">
        <f t="shared" si="40"/>
        <v>1.344096</v>
      </c>
      <c r="U159" s="150">
        <f t="shared" si="41"/>
        <v>0</v>
      </c>
      <c r="V159" s="150">
        <f>IFERROR(INDEX(Työkonekanta!$J$3:$J$27,MATCH($A159,Työkonekanta!$A$3:$A$24,0),1)*$B159*ef_li_ion_akku/1000/1000/INDEX(Työkonekanta!$K$3:$K$27,MATCH($A159,Työkonekanta!$A$3:$A$24,0)),0)</f>
        <v>0</v>
      </c>
      <c r="W159" s="149">
        <f t="shared" si="42"/>
        <v>24.907333488839999</v>
      </c>
      <c r="X159" s="150">
        <f t="shared" si="51"/>
        <v>0.31774565999999999</v>
      </c>
      <c r="Y159" s="151">
        <f t="shared" si="52"/>
        <v>0</v>
      </c>
      <c r="Z159" s="152">
        <f t="shared" si="46"/>
        <v>7.7220899999999979</v>
      </c>
      <c r="AA159" s="153">
        <f t="shared" si="47"/>
        <v>24.907333488839999</v>
      </c>
      <c r="AB159" s="153">
        <f t="shared" si="48"/>
        <v>25.225079148839999</v>
      </c>
      <c r="AC159" s="154">
        <f t="shared" si="53"/>
        <v>32.629423488839997</v>
      </c>
      <c r="AD159" s="156">
        <f t="shared" si="49"/>
        <v>32.947169148839997</v>
      </c>
    </row>
    <row r="160" spans="1:30" s="144" customFormat="1">
      <c r="A160" s="139">
        <v>8</v>
      </c>
      <c r="B160" s="139">
        <f>IFERROR(INDEX(Työkonekanta!$F$3:$F$27,MATCH('S0a Baseline'!$A160,Työkonekanta!$A$3:$A$24,0),1),0)</f>
        <v>1</v>
      </c>
      <c r="C160" s="140">
        <v>2024</v>
      </c>
      <c r="D160" s="141" t="str">
        <f>IFERROR(INDEX(Työkonekanta!$D$3:$D$27,MATCH('S0a Baseline'!$A160,Työkonekanta!$A$3:$A$24,0),1),"undefined")</f>
        <v>pom</v>
      </c>
      <c r="E160" s="145">
        <f>IFERROR(INDEX(Työkonekanta!$G$3:$G$27,MATCH($A160,Työkonekanta!$A$3:$A$24,0),1)*INDEX(Työkonekanta!$H$3:$H$27,MATCH($A160,Työkonekanta!$A$3:$A$24,0),1)*$B160,0)</f>
        <v>10000</v>
      </c>
      <c r="F160" s="344">
        <f t="shared" si="36"/>
        <v>359000</v>
      </c>
      <c r="G160" s="344">
        <f t="shared" si="43"/>
        <v>337460</v>
      </c>
      <c r="H160" s="344">
        <f t="shared" si="44"/>
        <v>21540</v>
      </c>
      <c r="I160" s="145">
        <f t="shared" si="37"/>
        <v>9400</v>
      </c>
      <c r="J160" s="145">
        <f t="shared" si="38"/>
        <v>627.98833819241986</v>
      </c>
      <c r="K160" s="142" t="str">
        <f t="shared" si="45"/>
        <v>l</v>
      </c>
      <c r="L160" s="146">
        <f>IFERROR(INDEX(Työkonekanta!$I$3:$I$27,MATCH('S0a Baseline'!$A160,Työkonekanta!$A$3:$A$24,0),1)*(I160+J160)*f_adblue,0)</f>
        <v>501.39941690962098</v>
      </c>
      <c r="M160" s="146">
        <f t="shared" si="50"/>
        <v>0</v>
      </c>
      <c r="N160" s="143" t="str">
        <f>IF(tuulisähkö_vuosi&lt;='S0a Baseline'!C160,"tuulisähkö",ostosähkö_nyt)</f>
        <v>jäännössähkö</v>
      </c>
      <c r="O160" s="147">
        <f>INDEX(Muuttujat!$J$5:$J$21,MATCH($C160,Muuttujat!$H$5:$H$21,0),1)</f>
        <v>65.853419316547502</v>
      </c>
      <c r="P160" s="342">
        <f>1-(INDEX(Muuttujat!$O$5:$O$21,MATCH($C160,Muuttujat!$N$5:$N$21,0),1))</f>
        <v>0.94</v>
      </c>
      <c r="Q160" s="342">
        <f>INDEX(Muuttujat!$O$5:$O$21,MATCH($C160,Muuttujat!$N$5:$N$21,0),1)</f>
        <v>0.06</v>
      </c>
      <c r="R160" s="148">
        <f>INDEX(Muuttujat!$P$5:$P$21,MATCH($C160,Muuttujat!$N$5:$N$21,0),1)</f>
        <v>6.2623560726971367E-2</v>
      </c>
      <c r="S160" s="149">
        <f t="shared" si="39"/>
        <v>6.3779939999999984</v>
      </c>
      <c r="T160" s="150">
        <f t="shared" si="40"/>
        <v>1.344096</v>
      </c>
      <c r="U160" s="150">
        <f t="shared" si="41"/>
        <v>0</v>
      </c>
      <c r="V160" s="150">
        <f>IFERROR(INDEX(Työkonekanta!$J$3:$J$27,MATCH($A160,Työkonekanta!$A$3:$A$24,0),1)*$B160*ef_li_ion_akku/1000/1000/INDEX(Työkonekanta!$K$3:$K$27,MATCH($A160,Työkonekanta!$A$3:$A$24,0)),0)</f>
        <v>0</v>
      </c>
      <c r="W160" s="149">
        <f t="shared" si="42"/>
        <v>24.907333488839999</v>
      </c>
      <c r="X160" s="150">
        <f t="shared" si="51"/>
        <v>0.31774565999999999</v>
      </c>
      <c r="Y160" s="151">
        <f t="shared" si="52"/>
        <v>0.13036384839650145</v>
      </c>
      <c r="Z160" s="152">
        <f t="shared" si="46"/>
        <v>7.7220899999999979</v>
      </c>
      <c r="AA160" s="153">
        <f t="shared" si="47"/>
        <v>25.037697337236501</v>
      </c>
      <c r="AB160" s="153">
        <f t="shared" si="48"/>
        <v>25.355442997236501</v>
      </c>
      <c r="AC160" s="154">
        <f t="shared" si="53"/>
        <v>32.759787337236503</v>
      </c>
      <c r="AD160" s="156">
        <f t="shared" si="49"/>
        <v>33.077532997236503</v>
      </c>
    </row>
    <row r="161" spans="1:30" s="144" customFormat="1">
      <c r="A161" s="139">
        <v>9</v>
      </c>
      <c r="B161" s="139">
        <f>IFERROR(INDEX(Työkonekanta!$F$3:$F$27,MATCH('S0a Baseline'!$A161,Työkonekanta!$A$3:$A$24,0),1),0)</f>
        <v>0</v>
      </c>
      <c r="C161" s="140">
        <v>2024</v>
      </c>
      <c r="D161" s="141" t="str">
        <f>IFERROR(INDEX(Työkonekanta!$D$3:$D$27,MATCH('S0a Baseline'!$A161,Työkonekanta!$A$3:$A$24,0),1),"undefined")</f>
        <v>sähkö</v>
      </c>
      <c r="E161" s="145">
        <f>IFERROR(INDEX(Työkonekanta!$G$3:$G$27,MATCH($A161,Työkonekanta!$A$3:$A$24,0),1)*INDEX(Työkonekanta!$H$3:$H$27,MATCH($A161,Työkonekanta!$A$3:$A$24,0),1)*$B161,0)</f>
        <v>0</v>
      </c>
      <c r="F161" s="344">
        <f t="shared" si="36"/>
        <v>0</v>
      </c>
      <c r="G161" s="344">
        <f t="shared" si="43"/>
        <v>0</v>
      </c>
      <c r="H161" s="344">
        <f t="shared" si="44"/>
        <v>0</v>
      </c>
      <c r="I161" s="145">
        <f t="shared" si="37"/>
        <v>0</v>
      </c>
      <c r="J161" s="145">
        <f t="shared" si="38"/>
        <v>0</v>
      </c>
      <c r="K161" s="142" t="str">
        <f t="shared" si="45"/>
        <v>kWh</v>
      </c>
      <c r="L161" s="146">
        <f>IFERROR(INDEX(Työkonekanta!$I$3:$I$27,MATCH('S0a Baseline'!$A161,Työkonekanta!$A$3:$A$24,0),1)*(I161+J161)*f_adblue,0)</f>
        <v>0</v>
      </c>
      <c r="M161" s="146">
        <f t="shared" si="50"/>
        <v>0</v>
      </c>
      <c r="N161" s="143" t="str">
        <f>IF(tuulisähkö_vuosi&lt;='S0a Baseline'!C161,"tuulisähkö",ostosähkö_nyt)</f>
        <v>jäännössähkö</v>
      </c>
      <c r="O161" s="147">
        <f>INDEX(Muuttujat!$J$5:$J$21,MATCH($C161,Muuttujat!$H$5:$H$21,0),1)</f>
        <v>65.853419316547502</v>
      </c>
      <c r="P161" s="342">
        <f>1-(INDEX(Muuttujat!$O$5:$O$21,MATCH($C161,Muuttujat!$N$5:$N$21,0),1))</f>
        <v>0.94</v>
      </c>
      <c r="Q161" s="342">
        <f>INDEX(Muuttujat!$O$5:$O$21,MATCH($C161,Muuttujat!$N$5:$N$21,0),1)</f>
        <v>0.06</v>
      </c>
      <c r="R161" s="148">
        <f>INDEX(Muuttujat!$P$5:$P$21,MATCH($C161,Muuttujat!$N$5:$N$21,0),1)</f>
        <v>6.2623560726971367E-2</v>
      </c>
      <c r="S161" s="149">
        <f t="shared" si="39"/>
        <v>0</v>
      </c>
      <c r="T161" s="150">
        <f t="shared" si="40"/>
        <v>0</v>
      </c>
      <c r="U161" s="150">
        <f t="shared" si="41"/>
        <v>0</v>
      </c>
      <c r="V161" s="150">
        <f>IFERROR(INDEX(Työkonekanta!$J$3:$J$27,MATCH($A161,Työkonekanta!$A$3:$A$24,0),1)*$B161*ef_li_ion_akku/1000/1000/INDEX(Työkonekanta!$K$3:$K$27,MATCH($A161,Työkonekanta!$A$3:$A$24,0)),0)</f>
        <v>0</v>
      </c>
      <c r="W161" s="149">
        <f t="shared" si="42"/>
        <v>0</v>
      </c>
      <c r="X161" s="150">
        <f t="shared" si="51"/>
        <v>0</v>
      </c>
      <c r="Y161" s="151">
        <f t="shared" si="52"/>
        <v>0</v>
      </c>
      <c r="Z161" s="152">
        <f t="shared" si="46"/>
        <v>0</v>
      </c>
      <c r="AA161" s="153">
        <f t="shared" si="47"/>
        <v>0</v>
      </c>
      <c r="AB161" s="153">
        <f t="shared" si="48"/>
        <v>0</v>
      </c>
      <c r="AC161" s="154">
        <f t="shared" si="53"/>
        <v>0</v>
      </c>
      <c r="AD161" s="156">
        <f t="shared" si="49"/>
        <v>0</v>
      </c>
    </row>
    <row r="162" spans="1:30" s="144" customFormat="1">
      <c r="A162" s="139">
        <v>10</v>
      </c>
      <c r="B162" s="139">
        <f>IFERROR(INDEX(Työkonekanta!$F$3:$F$27,MATCH('S0a Baseline'!$A162,Työkonekanta!$A$3:$A$24,0),1),0)</f>
        <v>0</v>
      </c>
      <c r="C162" s="140">
        <v>2024</v>
      </c>
      <c r="D162" s="141" t="str">
        <f>IFERROR(INDEX(Työkonekanta!$D$3:$D$27,MATCH('S0a Baseline'!$A162,Työkonekanta!$A$3:$A$24,0),1),"undefined")</f>
        <v>sähkö</v>
      </c>
      <c r="E162" s="145">
        <f>IFERROR(INDEX(Työkonekanta!$G$3:$G$27,MATCH($A162,Työkonekanta!$A$3:$A$24,0),1)*INDEX(Työkonekanta!$H$3:$H$27,MATCH($A162,Työkonekanta!$A$3:$A$24,0),1)*$B162,0)</f>
        <v>0</v>
      </c>
      <c r="F162" s="344">
        <f t="shared" si="36"/>
        <v>0</v>
      </c>
      <c r="G162" s="344">
        <f t="shared" si="43"/>
        <v>0</v>
      </c>
      <c r="H162" s="344">
        <f t="shared" si="44"/>
        <v>0</v>
      </c>
      <c r="I162" s="145">
        <f t="shared" si="37"/>
        <v>0</v>
      </c>
      <c r="J162" s="145">
        <f t="shared" si="38"/>
        <v>0</v>
      </c>
      <c r="K162" s="142" t="str">
        <f t="shared" si="45"/>
        <v>kWh</v>
      </c>
      <c r="L162" s="146">
        <f>IFERROR(INDEX(Työkonekanta!$I$3:$I$27,MATCH('S0a Baseline'!$A162,Työkonekanta!$A$3:$A$24,0),1)*(I162+J162)*f_adblue,0)</f>
        <v>0</v>
      </c>
      <c r="M162" s="146">
        <f t="shared" si="50"/>
        <v>0</v>
      </c>
      <c r="N162" s="143" t="str">
        <f>IF(tuulisähkö_vuosi&lt;='S0a Baseline'!C162,"tuulisähkö",ostosähkö_nyt)</f>
        <v>jäännössähkö</v>
      </c>
      <c r="O162" s="147">
        <f>INDEX(Muuttujat!$J$5:$J$21,MATCH($C162,Muuttujat!$H$5:$H$21,0),1)</f>
        <v>65.853419316547502</v>
      </c>
      <c r="P162" s="342">
        <f>1-(INDEX(Muuttujat!$O$5:$O$21,MATCH($C162,Muuttujat!$N$5:$N$21,0),1))</f>
        <v>0.94</v>
      </c>
      <c r="Q162" s="342">
        <f>INDEX(Muuttujat!$O$5:$O$21,MATCH($C162,Muuttujat!$N$5:$N$21,0),1)</f>
        <v>0.06</v>
      </c>
      <c r="R162" s="148">
        <f>INDEX(Muuttujat!$P$5:$P$21,MATCH($C162,Muuttujat!$N$5:$N$21,0),1)</f>
        <v>6.2623560726971367E-2</v>
      </c>
      <c r="S162" s="149">
        <f t="shared" si="39"/>
        <v>0</v>
      </c>
      <c r="T162" s="150">
        <f t="shared" si="40"/>
        <v>0</v>
      </c>
      <c r="U162" s="150">
        <f t="shared" si="41"/>
        <v>0</v>
      </c>
      <c r="V162" s="150">
        <f>IFERROR(INDEX(Työkonekanta!$J$3:$J$27,MATCH($A162,Työkonekanta!$A$3:$A$24,0),1)*$B162*ef_li_ion_akku/1000/1000/INDEX(Työkonekanta!$K$3:$K$27,MATCH($A162,Työkonekanta!$A$3:$A$24,0)),0)</f>
        <v>0</v>
      </c>
      <c r="W162" s="149">
        <f t="shared" si="42"/>
        <v>0</v>
      </c>
      <c r="X162" s="150">
        <f t="shared" si="51"/>
        <v>0</v>
      </c>
      <c r="Y162" s="151">
        <f t="shared" si="52"/>
        <v>0</v>
      </c>
      <c r="Z162" s="152">
        <f t="shared" si="46"/>
        <v>0</v>
      </c>
      <c r="AA162" s="153">
        <f t="shared" si="47"/>
        <v>0</v>
      </c>
      <c r="AB162" s="153">
        <f t="shared" si="48"/>
        <v>0</v>
      </c>
      <c r="AC162" s="154">
        <f t="shared" si="53"/>
        <v>0</v>
      </c>
      <c r="AD162" s="156">
        <f t="shared" si="49"/>
        <v>0</v>
      </c>
    </row>
    <row r="163" spans="1:30" s="144" customFormat="1">
      <c r="A163" s="139">
        <v>11</v>
      </c>
      <c r="B163" s="139">
        <f>IFERROR(INDEX(Työkonekanta!$F$3:$F$27,MATCH('S0a Baseline'!$A163,Työkonekanta!$A$3:$A$24,0),1),0)</f>
        <v>1</v>
      </c>
      <c r="C163" s="140">
        <v>2024</v>
      </c>
      <c r="D163" s="141" t="str">
        <f>IFERROR(INDEX(Työkonekanta!$D$3:$D$27,MATCH('S0a Baseline'!$A163,Työkonekanta!$A$3:$A$24,0),1),"undefined")</f>
        <v>pom</v>
      </c>
      <c r="E163" s="145">
        <f>IFERROR(INDEX(Työkonekanta!$G$3:$G$27,MATCH($A163,Työkonekanta!$A$3:$A$24,0),1)*INDEX(Työkonekanta!$H$3:$H$27,MATCH($A163,Työkonekanta!$A$3:$A$24,0),1)*$B163,0)</f>
        <v>10000</v>
      </c>
      <c r="F163" s="344">
        <f t="shared" si="36"/>
        <v>359000</v>
      </c>
      <c r="G163" s="344">
        <f t="shared" si="43"/>
        <v>337460</v>
      </c>
      <c r="H163" s="344">
        <f t="shared" si="44"/>
        <v>21540</v>
      </c>
      <c r="I163" s="145">
        <f t="shared" si="37"/>
        <v>9400</v>
      </c>
      <c r="J163" s="145">
        <f t="shared" si="38"/>
        <v>627.98833819241986</v>
      </c>
      <c r="K163" s="142" t="str">
        <f t="shared" si="45"/>
        <v>l</v>
      </c>
      <c r="L163" s="146">
        <f>IFERROR(INDEX(Työkonekanta!$I$3:$I$27,MATCH('S0a Baseline'!$A163,Työkonekanta!$A$3:$A$24,0),1)*(I163+J163)*f_adblue,0)</f>
        <v>501.39941690962098</v>
      </c>
      <c r="M163" s="146">
        <f t="shared" si="50"/>
        <v>0</v>
      </c>
      <c r="N163" s="143" t="str">
        <f>IF(tuulisähkö_vuosi&lt;='S0a Baseline'!C163,"tuulisähkö",ostosähkö_nyt)</f>
        <v>jäännössähkö</v>
      </c>
      <c r="O163" s="147">
        <f>INDEX(Muuttujat!$J$5:$J$21,MATCH($C163,Muuttujat!$H$5:$H$21,0),1)</f>
        <v>65.853419316547502</v>
      </c>
      <c r="P163" s="342">
        <f>1-(INDEX(Muuttujat!$O$5:$O$21,MATCH($C163,Muuttujat!$N$5:$N$21,0),1))</f>
        <v>0.94</v>
      </c>
      <c r="Q163" s="342">
        <f>INDEX(Muuttujat!$O$5:$O$21,MATCH($C163,Muuttujat!$N$5:$N$21,0),1)</f>
        <v>0.06</v>
      </c>
      <c r="R163" s="148">
        <f>INDEX(Muuttujat!$P$5:$P$21,MATCH($C163,Muuttujat!$N$5:$N$21,0),1)</f>
        <v>6.2623560726971367E-2</v>
      </c>
      <c r="S163" s="149">
        <f t="shared" si="39"/>
        <v>6.3779939999999984</v>
      </c>
      <c r="T163" s="150">
        <f t="shared" si="40"/>
        <v>1.344096</v>
      </c>
      <c r="U163" s="150">
        <f t="shared" si="41"/>
        <v>0</v>
      </c>
      <c r="V163" s="150">
        <f>IFERROR(INDEX(Työkonekanta!$J$3:$J$27,MATCH($A163,Työkonekanta!$A$3:$A$24,0),1)*$B163*ef_li_ion_akku/1000/1000/INDEX(Työkonekanta!$K$3:$K$27,MATCH($A163,Työkonekanta!$A$3:$A$24,0)),0)</f>
        <v>0</v>
      </c>
      <c r="W163" s="149">
        <f t="shared" si="42"/>
        <v>24.907333488839999</v>
      </c>
      <c r="X163" s="150">
        <f t="shared" si="51"/>
        <v>0.31774565999999999</v>
      </c>
      <c r="Y163" s="151">
        <f t="shared" si="52"/>
        <v>0.13036384839650145</v>
      </c>
      <c r="Z163" s="152">
        <f t="shared" si="46"/>
        <v>7.7220899999999979</v>
      </c>
      <c r="AA163" s="153">
        <f t="shared" si="47"/>
        <v>25.037697337236501</v>
      </c>
      <c r="AB163" s="153">
        <f t="shared" si="48"/>
        <v>25.355442997236501</v>
      </c>
      <c r="AC163" s="154">
        <f t="shared" si="53"/>
        <v>32.759787337236503</v>
      </c>
      <c r="AD163" s="156">
        <f t="shared" si="49"/>
        <v>33.077532997236503</v>
      </c>
    </row>
    <row r="164" spans="1:30" s="144" customFormat="1">
      <c r="A164" s="139">
        <v>12</v>
      </c>
      <c r="B164" s="139">
        <f>IFERROR(INDEX(Työkonekanta!$F$3:$F$27,MATCH('S0a Baseline'!$A164,Työkonekanta!$A$3:$A$24,0),1),0)</f>
        <v>1</v>
      </c>
      <c r="C164" s="140">
        <v>2024</v>
      </c>
      <c r="D164" s="141" t="str">
        <f>IFERROR(INDEX(Työkonekanta!$D$3:$D$27,MATCH('S0a Baseline'!$A164,Työkonekanta!$A$3:$A$24,0),1),"undefined")</f>
        <v>pom</v>
      </c>
      <c r="E164" s="145">
        <f>IFERROR(INDEX(Työkonekanta!$G$3:$G$27,MATCH($A164,Työkonekanta!$A$3:$A$24,0),1)*INDEX(Työkonekanta!$H$3:$H$27,MATCH($A164,Työkonekanta!$A$3:$A$24,0),1)*$B164,0)</f>
        <v>10000</v>
      </c>
      <c r="F164" s="344">
        <f t="shared" si="36"/>
        <v>359000</v>
      </c>
      <c r="G164" s="344">
        <f t="shared" si="43"/>
        <v>337460</v>
      </c>
      <c r="H164" s="344">
        <f t="shared" si="44"/>
        <v>21540</v>
      </c>
      <c r="I164" s="145">
        <f t="shared" si="37"/>
        <v>9400</v>
      </c>
      <c r="J164" s="145">
        <f t="shared" si="38"/>
        <v>627.98833819241986</v>
      </c>
      <c r="K164" s="142" t="str">
        <f t="shared" si="45"/>
        <v>l</v>
      </c>
      <c r="L164" s="146">
        <f>IFERROR(INDEX(Työkonekanta!$I$3:$I$27,MATCH('S0a Baseline'!$A164,Työkonekanta!$A$3:$A$24,0),1)*(I164+J164)*f_adblue,0)</f>
        <v>501.39941690962098</v>
      </c>
      <c r="M164" s="146">
        <f t="shared" si="50"/>
        <v>0</v>
      </c>
      <c r="N164" s="143" t="str">
        <f>IF(tuulisähkö_vuosi&lt;='S0a Baseline'!C164,"tuulisähkö",ostosähkö_nyt)</f>
        <v>jäännössähkö</v>
      </c>
      <c r="O164" s="147">
        <f>INDEX(Muuttujat!$J$5:$J$21,MATCH($C164,Muuttujat!$H$5:$H$21,0),1)</f>
        <v>65.853419316547502</v>
      </c>
      <c r="P164" s="342">
        <f>1-(INDEX(Muuttujat!$O$5:$O$21,MATCH($C164,Muuttujat!$N$5:$N$21,0),1))</f>
        <v>0.94</v>
      </c>
      <c r="Q164" s="342">
        <f>INDEX(Muuttujat!$O$5:$O$21,MATCH($C164,Muuttujat!$N$5:$N$21,0),1)</f>
        <v>0.06</v>
      </c>
      <c r="R164" s="148">
        <f>INDEX(Muuttujat!$P$5:$P$21,MATCH($C164,Muuttujat!$N$5:$N$21,0),1)</f>
        <v>6.2623560726971367E-2</v>
      </c>
      <c r="S164" s="149">
        <f t="shared" si="39"/>
        <v>6.3779939999999984</v>
      </c>
      <c r="T164" s="150">
        <f t="shared" si="40"/>
        <v>1.344096</v>
      </c>
      <c r="U164" s="150">
        <f t="shared" si="41"/>
        <v>0</v>
      </c>
      <c r="V164" s="150">
        <f>IFERROR(INDEX(Työkonekanta!$J$3:$J$27,MATCH($A164,Työkonekanta!$A$3:$A$24,0),1)*$B164*ef_li_ion_akku/1000/1000/INDEX(Työkonekanta!$K$3:$K$27,MATCH($A164,Työkonekanta!$A$3:$A$24,0)),0)</f>
        <v>0</v>
      </c>
      <c r="W164" s="149">
        <f t="shared" si="42"/>
        <v>24.907333488839999</v>
      </c>
      <c r="X164" s="150">
        <f t="shared" si="51"/>
        <v>0.31774565999999999</v>
      </c>
      <c r="Y164" s="151">
        <f t="shared" si="52"/>
        <v>0.13036384839650145</v>
      </c>
      <c r="Z164" s="152">
        <f t="shared" si="46"/>
        <v>7.7220899999999979</v>
      </c>
      <c r="AA164" s="153">
        <f t="shared" si="47"/>
        <v>25.037697337236501</v>
      </c>
      <c r="AB164" s="153">
        <f t="shared" si="48"/>
        <v>25.355442997236501</v>
      </c>
      <c r="AC164" s="154">
        <f t="shared" si="53"/>
        <v>32.759787337236503</v>
      </c>
      <c r="AD164" s="156">
        <f t="shared" si="49"/>
        <v>33.077532997236503</v>
      </c>
    </row>
    <row r="165" spans="1:30" s="144" customFormat="1">
      <c r="A165" s="139">
        <v>13</v>
      </c>
      <c r="B165" s="139">
        <f>IFERROR(INDEX(Työkonekanta!$F$3:$F$27,MATCH('S0a Baseline'!$A165,Työkonekanta!$A$3:$A$24,0),1),0)</f>
        <v>0</v>
      </c>
      <c r="C165" s="140">
        <v>2024</v>
      </c>
      <c r="D165" s="141" t="str">
        <f>IFERROR(INDEX(Työkonekanta!$D$3:$D$27,MATCH('S0a Baseline'!$A165,Työkonekanta!$A$3:$A$24,0),1),"undefined")</f>
        <v>pom</v>
      </c>
      <c r="E165" s="145">
        <f>IFERROR(INDEX(Työkonekanta!$G$3:$G$27,MATCH($A165,Työkonekanta!$A$3:$A$24,0),1)*INDEX(Työkonekanta!$H$3:$H$27,MATCH($A165,Työkonekanta!$A$3:$A$24,0),1)*$B165,0)</f>
        <v>0</v>
      </c>
      <c r="F165" s="344">
        <f t="shared" si="36"/>
        <v>0</v>
      </c>
      <c r="G165" s="344">
        <f t="shared" si="43"/>
        <v>0</v>
      </c>
      <c r="H165" s="344">
        <f t="shared" si="44"/>
        <v>0</v>
      </c>
      <c r="I165" s="145">
        <f t="shared" si="37"/>
        <v>0</v>
      </c>
      <c r="J165" s="145">
        <f t="shared" si="38"/>
        <v>0</v>
      </c>
      <c r="K165" s="142" t="str">
        <f t="shared" si="45"/>
        <v>l</v>
      </c>
      <c r="L165" s="146">
        <f>IFERROR(INDEX(Työkonekanta!$I$3:$I$27,MATCH('S0a Baseline'!$A165,Työkonekanta!$A$3:$A$24,0),1)*(I165+J165)*f_adblue,0)</f>
        <v>0</v>
      </c>
      <c r="M165" s="146">
        <f t="shared" si="50"/>
        <v>0</v>
      </c>
      <c r="N165" s="143" t="str">
        <f>IF(tuulisähkö_vuosi&lt;='S0a Baseline'!C165,"tuulisähkö",ostosähkö_nyt)</f>
        <v>jäännössähkö</v>
      </c>
      <c r="O165" s="147">
        <f>INDEX(Muuttujat!$J$5:$J$21,MATCH($C165,Muuttujat!$H$5:$H$21,0),1)</f>
        <v>65.853419316547502</v>
      </c>
      <c r="P165" s="342">
        <f>1-(INDEX(Muuttujat!$O$5:$O$21,MATCH($C165,Muuttujat!$N$5:$N$21,0),1))</f>
        <v>0.94</v>
      </c>
      <c r="Q165" s="342">
        <f>INDEX(Muuttujat!$O$5:$O$21,MATCH($C165,Muuttujat!$N$5:$N$21,0),1)</f>
        <v>0.06</v>
      </c>
      <c r="R165" s="148">
        <f>INDEX(Muuttujat!$P$5:$P$21,MATCH($C165,Muuttujat!$N$5:$N$21,0),1)</f>
        <v>6.2623560726971367E-2</v>
      </c>
      <c r="S165" s="149">
        <f t="shared" si="39"/>
        <v>0</v>
      </c>
      <c r="T165" s="150">
        <f t="shared" si="40"/>
        <v>0</v>
      </c>
      <c r="U165" s="150">
        <f t="shared" si="41"/>
        <v>0</v>
      </c>
      <c r="V165" s="150">
        <f>IFERROR(INDEX(Työkonekanta!$J$3:$J$27,MATCH($A165,Työkonekanta!$A$3:$A$24,0),1)*$B165*ef_li_ion_akku/1000/1000/INDEX(Työkonekanta!$K$3:$K$27,MATCH($A165,Työkonekanta!$A$3:$A$24,0)),0)</f>
        <v>0</v>
      </c>
      <c r="W165" s="149">
        <f t="shared" si="42"/>
        <v>0</v>
      </c>
      <c r="X165" s="150">
        <f t="shared" si="51"/>
        <v>0</v>
      </c>
      <c r="Y165" s="151">
        <f t="shared" si="52"/>
        <v>0</v>
      </c>
      <c r="Z165" s="152">
        <f t="shared" si="46"/>
        <v>0</v>
      </c>
      <c r="AA165" s="153">
        <f t="shared" si="47"/>
        <v>0</v>
      </c>
      <c r="AB165" s="153">
        <f t="shared" si="48"/>
        <v>0</v>
      </c>
      <c r="AC165" s="154">
        <f t="shared" si="53"/>
        <v>0</v>
      </c>
      <c r="AD165" s="156">
        <f t="shared" si="49"/>
        <v>0</v>
      </c>
    </row>
    <row r="166" spans="1:30" s="144" customFormat="1">
      <c r="A166" s="139">
        <v>14</v>
      </c>
      <c r="B166" s="139">
        <f>IFERROR(INDEX(Työkonekanta!$F$3:$F$27,MATCH('S0a Baseline'!$A166,Työkonekanta!$A$3:$A$24,0),1),0)</f>
        <v>0</v>
      </c>
      <c r="C166" s="140">
        <v>2024</v>
      </c>
      <c r="D166" s="141" t="str">
        <f>IFERROR(INDEX(Työkonekanta!$D$3:$D$27,MATCH('S0a Baseline'!$A166,Työkonekanta!$A$3:$A$24,0),1),"undefined")</f>
        <v>pom</v>
      </c>
      <c r="E166" s="145">
        <f>IFERROR(INDEX(Työkonekanta!$G$3:$G$27,MATCH($A166,Työkonekanta!$A$3:$A$24,0),1)*INDEX(Työkonekanta!$H$3:$H$27,MATCH($A166,Työkonekanta!$A$3:$A$24,0),1)*$B166,0)</f>
        <v>0</v>
      </c>
      <c r="F166" s="344">
        <f t="shared" si="36"/>
        <v>0</v>
      </c>
      <c r="G166" s="344">
        <f t="shared" si="43"/>
        <v>0</v>
      </c>
      <c r="H166" s="344">
        <f t="shared" si="44"/>
        <v>0</v>
      </c>
      <c r="I166" s="145">
        <f t="shared" si="37"/>
        <v>0</v>
      </c>
      <c r="J166" s="145">
        <f t="shared" si="38"/>
        <v>0</v>
      </c>
      <c r="K166" s="142" t="str">
        <f t="shared" si="45"/>
        <v>l</v>
      </c>
      <c r="L166" s="146">
        <f>IFERROR(INDEX(Työkonekanta!$I$3:$I$27,MATCH('S0a Baseline'!$A166,Työkonekanta!$A$3:$A$24,0),1)*(I166+J166)*f_adblue,0)</f>
        <v>0</v>
      </c>
      <c r="M166" s="146">
        <f t="shared" si="50"/>
        <v>0</v>
      </c>
      <c r="N166" s="143" t="str">
        <f>IF(tuulisähkö_vuosi&lt;='S0a Baseline'!C166,"tuulisähkö",ostosähkö_nyt)</f>
        <v>jäännössähkö</v>
      </c>
      <c r="O166" s="147">
        <f>INDEX(Muuttujat!$J$5:$J$21,MATCH($C166,Muuttujat!$H$5:$H$21,0),1)</f>
        <v>65.853419316547502</v>
      </c>
      <c r="P166" s="342">
        <f>1-(INDEX(Muuttujat!$O$5:$O$21,MATCH($C166,Muuttujat!$N$5:$N$21,0),1))</f>
        <v>0.94</v>
      </c>
      <c r="Q166" s="342">
        <f>INDEX(Muuttujat!$O$5:$O$21,MATCH($C166,Muuttujat!$N$5:$N$21,0),1)</f>
        <v>0.06</v>
      </c>
      <c r="R166" s="148">
        <f>INDEX(Muuttujat!$P$5:$P$21,MATCH($C166,Muuttujat!$N$5:$N$21,0),1)</f>
        <v>6.2623560726971367E-2</v>
      </c>
      <c r="S166" s="149">
        <f t="shared" si="39"/>
        <v>0</v>
      </c>
      <c r="T166" s="150">
        <f t="shared" si="40"/>
        <v>0</v>
      </c>
      <c r="U166" s="150">
        <f t="shared" si="41"/>
        <v>0</v>
      </c>
      <c r="V166" s="150">
        <f>IFERROR(INDEX(Työkonekanta!$J$3:$J$27,MATCH($A166,Työkonekanta!$A$3:$A$24,0),1)*$B166*ef_li_ion_akku/1000/1000/INDEX(Työkonekanta!$K$3:$K$27,MATCH($A166,Työkonekanta!$A$3:$A$24,0)),0)</f>
        <v>0</v>
      </c>
      <c r="W166" s="149">
        <f t="shared" si="42"/>
        <v>0</v>
      </c>
      <c r="X166" s="150">
        <f t="shared" si="51"/>
        <v>0</v>
      </c>
      <c r="Y166" s="151">
        <f t="shared" si="52"/>
        <v>0</v>
      </c>
      <c r="Z166" s="152">
        <f t="shared" si="46"/>
        <v>0</v>
      </c>
      <c r="AA166" s="153">
        <f t="shared" si="47"/>
        <v>0</v>
      </c>
      <c r="AB166" s="153">
        <f t="shared" si="48"/>
        <v>0</v>
      </c>
      <c r="AC166" s="154">
        <f t="shared" si="53"/>
        <v>0</v>
      </c>
      <c r="AD166" s="156">
        <f t="shared" si="49"/>
        <v>0</v>
      </c>
    </row>
    <row r="167" spans="1:30" s="144" customFormat="1">
      <c r="A167" s="139">
        <v>15</v>
      </c>
      <c r="B167" s="139">
        <f>IFERROR(INDEX(Työkonekanta!$F$3:$F$27,MATCH('S0a Baseline'!$A167,Työkonekanta!$A$3:$A$24,0),1),0)</f>
        <v>0</v>
      </c>
      <c r="C167" s="140">
        <v>2024</v>
      </c>
      <c r="D167" s="141" t="str">
        <f>IFERROR(INDEX(Työkonekanta!$D$3:$D$27,MATCH('S0a Baseline'!$A167,Työkonekanta!$A$3:$A$24,0),1),"undefined")</f>
        <v>sähkö</v>
      </c>
      <c r="E167" s="145">
        <f>IFERROR(INDEX(Työkonekanta!$G$3:$G$27,MATCH($A167,Työkonekanta!$A$3:$A$24,0),1)*INDEX(Työkonekanta!$H$3:$H$27,MATCH($A167,Työkonekanta!$A$3:$A$24,0),1)*$B167,0)</f>
        <v>0</v>
      </c>
      <c r="F167" s="344">
        <f t="shared" si="36"/>
        <v>0</v>
      </c>
      <c r="G167" s="344">
        <f t="shared" si="43"/>
        <v>0</v>
      </c>
      <c r="H167" s="344">
        <f t="shared" si="44"/>
        <v>0</v>
      </c>
      <c r="I167" s="145">
        <f t="shared" si="37"/>
        <v>0</v>
      </c>
      <c r="J167" s="145">
        <f t="shared" si="38"/>
        <v>0</v>
      </c>
      <c r="K167" s="142" t="str">
        <f t="shared" si="45"/>
        <v>kWh</v>
      </c>
      <c r="L167" s="146">
        <f>IFERROR(INDEX(Työkonekanta!$I$3:$I$27,MATCH('S0a Baseline'!$A167,Työkonekanta!$A$3:$A$24,0),1)*(I167+J167)*f_adblue,0)</f>
        <v>0</v>
      </c>
      <c r="M167" s="146">
        <f t="shared" si="50"/>
        <v>0</v>
      </c>
      <c r="N167" s="143" t="str">
        <f>IF(tuulisähkö_vuosi&lt;='S0a Baseline'!C167,"tuulisähkö",ostosähkö_nyt)</f>
        <v>jäännössähkö</v>
      </c>
      <c r="O167" s="147">
        <f>INDEX(Muuttujat!$J$5:$J$21,MATCH($C167,Muuttujat!$H$5:$H$21,0),1)</f>
        <v>65.853419316547502</v>
      </c>
      <c r="P167" s="342">
        <f>1-(INDEX(Muuttujat!$O$5:$O$21,MATCH($C167,Muuttujat!$N$5:$N$21,0),1))</f>
        <v>0.94</v>
      </c>
      <c r="Q167" s="342">
        <f>INDEX(Muuttujat!$O$5:$O$21,MATCH($C167,Muuttujat!$N$5:$N$21,0),1)</f>
        <v>0.06</v>
      </c>
      <c r="R167" s="148">
        <f>INDEX(Muuttujat!$P$5:$P$21,MATCH($C167,Muuttujat!$N$5:$N$21,0),1)</f>
        <v>6.2623560726971367E-2</v>
      </c>
      <c r="S167" s="149">
        <f t="shared" si="39"/>
        <v>0</v>
      </c>
      <c r="T167" s="150">
        <f t="shared" si="40"/>
        <v>0</v>
      </c>
      <c r="U167" s="150">
        <f t="shared" si="41"/>
        <v>0</v>
      </c>
      <c r="V167" s="150">
        <f>IFERROR(INDEX(Työkonekanta!$J$3:$J$27,MATCH($A167,Työkonekanta!$A$3:$A$24,0),1)*$B167*ef_li_ion_akku/1000/1000/INDEX(Työkonekanta!$K$3:$K$27,MATCH($A167,Työkonekanta!$A$3:$A$24,0)),0)</f>
        <v>0</v>
      </c>
      <c r="W167" s="149">
        <f t="shared" si="42"/>
        <v>0</v>
      </c>
      <c r="X167" s="150">
        <f t="shared" si="51"/>
        <v>0</v>
      </c>
      <c r="Y167" s="151">
        <f t="shared" si="52"/>
        <v>0</v>
      </c>
      <c r="Z167" s="152">
        <f t="shared" si="46"/>
        <v>0</v>
      </c>
      <c r="AA167" s="153">
        <f t="shared" si="47"/>
        <v>0</v>
      </c>
      <c r="AB167" s="153">
        <f t="shared" si="48"/>
        <v>0</v>
      </c>
      <c r="AC167" s="154">
        <f t="shared" si="53"/>
        <v>0</v>
      </c>
      <c r="AD167" s="156">
        <f t="shared" si="49"/>
        <v>0</v>
      </c>
    </row>
    <row r="168" spans="1:30" s="144" customFormat="1">
      <c r="A168" s="139">
        <v>16</v>
      </c>
      <c r="B168" s="139">
        <f>IFERROR(INDEX(Työkonekanta!$F$3:$F$27,MATCH('S0a Baseline'!$A168,Työkonekanta!$A$3:$A$24,0),1),0)</f>
        <v>0</v>
      </c>
      <c r="C168" s="140">
        <v>2024</v>
      </c>
      <c r="D168" s="141" t="str">
        <f>IFERROR(INDEX(Työkonekanta!$D$3:$D$27,MATCH('S0a Baseline'!$A168,Työkonekanta!$A$3:$A$24,0),1),"undefined")</f>
        <v>sähkö</v>
      </c>
      <c r="E168" s="145">
        <f>IFERROR(INDEX(Työkonekanta!$G$3:$G$27,MATCH($A168,Työkonekanta!$A$3:$A$24,0),1)*INDEX(Työkonekanta!$H$3:$H$27,MATCH($A168,Työkonekanta!$A$3:$A$24,0),1)*$B168,0)</f>
        <v>0</v>
      </c>
      <c r="F168" s="344">
        <f t="shared" si="36"/>
        <v>0</v>
      </c>
      <c r="G168" s="344">
        <f t="shared" si="43"/>
        <v>0</v>
      </c>
      <c r="H168" s="344">
        <f t="shared" si="44"/>
        <v>0</v>
      </c>
      <c r="I168" s="145">
        <f t="shared" si="37"/>
        <v>0</v>
      </c>
      <c r="J168" s="145">
        <f t="shared" si="38"/>
        <v>0</v>
      </c>
      <c r="K168" s="142" t="str">
        <f t="shared" si="45"/>
        <v>kWh</v>
      </c>
      <c r="L168" s="146">
        <f>IFERROR(INDEX(Työkonekanta!$I$3:$I$27,MATCH('S0a Baseline'!$A168,Työkonekanta!$A$3:$A$24,0),1)*(I168+J168)*f_adblue,0)</f>
        <v>0</v>
      </c>
      <c r="M168" s="146">
        <f t="shared" si="50"/>
        <v>0</v>
      </c>
      <c r="N168" s="143" t="str">
        <f>IF(tuulisähkö_vuosi&lt;='S0a Baseline'!C168,"tuulisähkö",ostosähkö_nyt)</f>
        <v>jäännössähkö</v>
      </c>
      <c r="O168" s="147">
        <f>INDEX(Muuttujat!$J$5:$J$21,MATCH($C168,Muuttujat!$H$5:$H$21,0),1)</f>
        <v>65.853419316547502</v>
      </c>
      <c r="P168" s="342">
        <f>1-(INDEX(Muuttujat!$O$5:$O$21,MATCH($C168,Muuttujat!$N$5:$N$21,0),1))</f>
        <v>0.94</v>
      </c>
      <c r="Q168" s="342">
        <f>INDEX(Muuttujat!$O$5:$O$21,MATCH($C168,Muuttujat!$N$5:$N$21,0),1)</f>
        <v>0.06</v>
      </c>
      <c r="R168" s="148">
        <f>INDEX(Muuttujat!$P$5:$P$21,MATCH($C168,Muuttujat!$N$5:$N$21,0),1)</f>
        <v>6.2623560726971367E-2</v>
      </c>
      <c r="S168" s="149">
        <f t="shared" si="39"/>
        <v>0</v>
      </c>
      <c r="T168" s="150">
        <f t="shared" si="40"/>
        <v>0</v>
      </c>
      <c r="U168" s="150">
        <f t="shared" si="41"/>
        <v>0</v>
      </c>
      <c r="V168" s="150">
        <f>IFERROR(INDEX(Työkonekanta!$J$3:$J$27,MATCH($A168,Työkonekanta!$A$3:$A$24,0),1)*$B168*ef_li_ion_akku/1000/1000/INDEX(Työkonekanta!$K$3:$K$27,MATCH($A168,Työkonekanta!$A$3:$A$24,0)),0)</f>
        <v>0</v>
      </c>
      <c r="W168" s="149">
        <f t="shared" si="42"/>
        <v>0</v>
      </c>
      <c r="X168" s="150">
        <f t="shared" si="51"/>
        <v>0</v>
      </c>
      <c r="Y168" s="151">
        <f t="shared" si="52"/>
        <v>0</v>
      </c>
      <c r="Z168" s="152">
        <f t="shared" si="46"/>
        <v>0</v>
      </c>
      <c r="AA168" s="153">
        <f t="shared" si="47"/>
        <v>0</v>
      </c>
      <c r="AB168" s="153">
        <f t="shared" si="48"/>
        <v>0</v>
      </c>
      <c r="AC168" s="154">
        <f t="shared" si="53"/>
        <v>0</v>
      </c>
      <c r="AD168" s="156">
        <f t="shared" si="49"/>
        <v>0</v>
      </c>
    </row>
    <row r="169" spans="1:30" s="144" customFormat="1">
      <c r="A169" s="139">
        <v>17</v>
      </c>
      <c r="B169" s="139">
        <f>IFERROR(INDEX(Työkonekanta!$F$3:$F$27,MATCH('S0a Baseline'!$A169,Työkonekanta!$A$3:$A$24,0),1),0)</f>
        <v>1</v>
      </c>
      <c r="C169" s="140">
        <v>2024</v>
      </c>
      <c r="D169" s="141" t="str">
        <f>IFERROR(INDEX(Työkonekanta!$D$3:$D$27,MATCH('S0a Baseline'!$A169,Työkonekanta!$A$3:$A$24,0),1),"undefined")</f>
        <v>pom</v>
      </c>
      <c r="E169" s="145">
        <f>IFERROR(INDEX(Työkonekanta!$G$3:$G$27,MATCH($A169,Työkonekanta!$A$3:$A$24,0),1)*INDEX(Työkonekanta!$H$3:$H$27,MATCH($A169,Työkonekanta!$A$3:$A$24,0),1)*$B169,0)</f>
        <v>10000</v>
      </c>
      <c r="F169" s="344">
        <f t="shared" si="36"/>
        <v>359000</v>
      </c>
      <c r="G169" s="344">
        <f t="shared" si="43"/>
        <v>337460</v>
      </c>
      <c r="H169" s="344">
        <f t="shared" si="44"/>
        <v>21540</v>
      </c>
      <c r="I169" s="145">
        <f t="shared" si="37"/>
        <v>9400</v>
      </c>
      <c r="J169" s="145">
        <f t="shared" si="38"/>
        <v>627.98833819241986</v>
      </c>
      <c r="K169" s="142" t="str">
        <f t="shared" si="45"/>
        <v>l</v>
      </c>
      <c r="L169" s="146">
        <f>IFERROR(INDEX(Työkonekanta!$I$3:$I$27,MATCH('S0a Baseline'!$A169,Työkonekanta!$A$3:$A$24,0),1)*(I169+J169)*f_adblue,0)</f>
        <v>501.39941690962098</v>
      </c>
      <c r="M169" s="146">
        <f t="shared" si="50"/>
        <v>0</v>
      </c>
      <c r="N169" s="143" t="str">
        <f>IF(tuulisähkö_vuosi&lt;='S0a Baseline'!C169,"tuulisähkö",ostosähkö_nyt)</f>
        <v>jäännössähkö</v>
      </c>
      <c r="O169" s="147">
        <f>INDEX(Muuttujat!$J$5:$J$21,MATCH($C169,Muuttujat!$H$5:$H$21,0),1)</f>
        <v>65.853419316547502</v>
      </c>
      <c r="P169" s="342">
        <f>1-(INDEX(Muuttujat!$O$5:$O$21,MATCH($C169,Muuttujat!$N$5:$N$21,0),1))</f>
        <v>0.94</v>
      </c>
      <c r="Q169" s="342">
        <f>INDEX(Muuttujat!$O$5:$O$21,MATCH($C169,Muuttujat!$N$5:$N$21,0),1)</f>
        <v>0.06</v>
      </c>
      <c r="R169" s="148">
        <f>INDEX(Muuttujat!$P$5:$P$21,MATCH($C169,Muuttujat!$N$5:$N$21,0),1)</f>
        <v>6.2623560726971367E-2</v>
      </c>
      <c r="S169" s="149">
        <f t="shared" si="39"/>
        <v>6.3779939999999984</v>
      </c>
      <c r="T169" s="150">
        <f t="shared" si="40"/>
        <v>1.344096</v>
      </c>
      <c r="U169" s="150">
        <f t="shared" si="41"/>
        <v>0</v>
      </c>
      <c r="V169" s="150">
        <f>IFERROR(INDEX(Työkonekanta!$J$3:$J$27,MATCH($A169,Työkonekanta!$A$3:$A$24,0),1)*$B169*ef_li_ion_akku/1000/1000/INDEX(Työkonekanta!$K$3:$K$27,MATCH($A169,Työkonekanta!$A$3:$A$24,0)),0)</f>
        <v>0</v>
      </c>
      <c r="W169" s="149">
        <f t="shared" si="42"/>
        <v>24.907333488839999</v>
      </c>
      <c r="X169" s="150">
        <f t="shared" si="51"/>
        <v>0.31774565999999999</v>
      </c>
      <c r="Y169" s="151">
        <f t="shared" si="52"/>
        <v>0.13036384839650145</v>
      </c>
      <c r="Z169" s="152">
        <f t="shared" si="46"/>
        <v>7.7220899999999979</v>
      </c>
      <c r="AA169" s="153">
        <f t="shared" si="47"/>
        <v>25.037697337236501</v>
      </c>
      <c r="AB169" s="153">
        <f t="shared" si="48"/>
        <v>25.355442997236501</v>
      </c>
      <c r="AC169" s="154">
        <f t="shared" si="53"/>
        <v>32.759787337236503</v>
      </c>
      <c r="AD169" s="156">
        <f t="shared" si="49"/>
        <v>33.077532997236503</v>
      </c>
    </row>
    <row r="170" spans="1:30" s="144" customFormat="1">
      <c r="A170" s="139">
        <v>18</v>
      </c>
      <c r="B170" s="139">
        <f>IFERROR(INDEX(Työkonekanta!$F$3:$F$27,MATCH('S0a Baseline'!$A170,Työkonekanta!$A$3:$A$24,0),1),0)</f>
        <v>1</v>
      </c>
      <c r="C170" s="140">
        <v>2024</v>
      </c>
      <c r="D170" s="141" t="str">
        <f>IFERROR(INDEX(Työkonekanta!$D$3:$D$27,MATCH('S0a Baseline'!$A170,Työkonekanta!$A$3:$A$24,0),1),"undefined")</f>
        <v>pom</v>
      </c>
      <c r="E170" s="145">
        <f>IFERROR(INDEX(Työkonekanta!$G$3:$G$27,MATCH($A170,Työkonekanta!$A$3:$A$24,0),1)*INDEX(Työkonekanta!$H$3:$H$27,MATCH($A170,Työkonekanta!$A$3:$A$24,0),1)*$B170,0)</f>
        <v>10000</v>
      </c>
      <c r="F170" s="344">
        <f t="shared" si="36"/>
        <v>359000</v>
      </c>
      <c r="G170" s="344">
        <f t="shared" si="43"/>
        <v>337460</v>
      </c>
      <c r="H170" s="344">
        <f t="shared" si="44"/>
        <v>21540</v>
      </c>
      <c r="I170" s="145">
        <f t="shared" si="37"/>
        <v>9400</v>
      </c>
      <c r="J170" s="145">
        <f t="shared" si="38"/>
        <v>627.98833819241986</v>
      </c>
      <c r="K170" s="142" t="str">
        <f t="shared" si="45"/>
        <v>l</v>
      </c>
      <c r="L170" s="146">
        <f>IFERROR(INDEX(Työkonekanta!$I$3:$I$27,MATCH('S0a Baseline'!$A170,Työkonekanta!$A$3:$A$24,0),1)*(I170+J170)*f_adblue,0)</f>
        <v>401.11953352769683</v>
      </c>
      <c r="M170" s="146">
        <f t="shared" si="50"/>
        <v>0</v>
      </c>
      <c r="N170" s="143" t="str">
        <f>IF(tuulisähkö_vuosi&lt;='S0a Baseline'!C170,"tuulisähkö",ostosähkö_nyt)</f>
        <v>jäännössähkö</v>
      </c>
      <c r="O170" s="147">
        <f>INDEX(Muuttujat!$J$5:$J$21,MATCH($C170,Muuttujat!$H$5:$H$21,0),1)</f>
        <v>65.853419316547502</v>
      </c>
      <c r="P170" s="342">
        <f>1-(INDEX(Muuttujat!$O$5:$O$21,MATCH($C170,Muuttujat!$N$5:$N$21,0),1))</f>
        <v>0.94</v>
      </c>
      <c r="Q170" s="342">
        <f>INDEX(Muuttujat!$O$5:$O$21,MATCH($C170,Muuttujat!$N$5:$N$21,0),1)</f>
        <v>0.06</v>
      </c>
      <c r="R170" s="148">
        <f>INDEX(Muuttujat!$P$5:$P$21,MATCH($C170,Muuttujat!$N$5:$N$21,0),1)</f>
        <v>6.2623560726971367E-2</v>
      </c>
      <c r="S170" s="149">
        <f t="shared" si="39"/>
        <v>6.3779939999999984</v>
      </c>
      <c r="T170" s="150">
        <f t="shared" si="40"/>
        <v>1.344096</v>
      </c>
      <c r="U170" s="150">
        <f t="shared" si="41"/>
        <v>0</v>
      </c>
      <c r="V170" s="150">
        <f>IFERROR(INDEX(Työkonekanta!$J$3:$J$27,MATCH($A170,Työkonekanta!$A$3:$A$24,0),1)*$B170*ef_li_ion_akku/1000/1000/INDEX(Työkonekanta!$K$3:$K$27,MATCH($A170,Työkonekanta!$A$3:$A$24,0)),0)</f>
        <v>0</v>
      </c>
      <c r="W170" s="149">
        <f t="shared" si="42"/>
        <v>24.907333488839999</v>
      </c>
      <c r="X170" s="150">
        <f t="shared" si="51"/>
        <v>0.31774565999999999</v>
      </c>
      <c r="Y170" s="151">
        <f t="shared" si="52"/>
        <v>0.10429107871720117</v>
      </c>
      <c r="Z170" s="152">
        <f t="shared" si="46"/>
        <v>7.7220899999999979</v>
      </c>
      <c r="AA170" s="153">
        <f t="shared" si="47"/>
        <v>25.011624567557199</v>
      </c>
      <c r="AB170" s="153">
        <f t="shared" si="48"/>
        <v>25.329370227557199</v>
      </c>
      <c r="AC170" s="154">
        <f t="shared" si="53"/>
        <v>32.7337145675572</v>
      </c>
      <c r="AD170" s="156">
        <f t="shared" si="49"/>
        <v>33.0514602275572</v>
      </c>
    </row>
    <row r="171" spans="1:30" s="144" customFormat="1">
      <c r="A171" s="139">
        <v>19</v>
      </c>
      <c r="B171" s="139">
        <f>IFERROR(INDEX(Työkonekanta!$F$3:$F$27,MATCH('S0a Baseline'!$A171,Työkonekanta!$A$3:$A$24,0),1),0)</f>
        <v>0</v>
      </c>
      <c r="C171" s="140">
        <v>2024</v>
      </c>
      <c r="D171" s="141" t="str">
        <f>IFERROR(INDEX(Työkonekanta!$D$3:$D$27,MATCH('S0a Baseline'!$A171,Työkonekanta!$A$3:$A$24,0),1),"undefined")</f>
        <v>pom</v>
      </c>
      <c r="E171" s="145">
        <f>IFERROR(INDEX(Työkonekanta!$G$3:$G$27,MATCH($A171,Työkonekanta!$A$3:$A$24,0),1)*INDEX(Työkonekanta!$H$3:$H$27,MATCH($A171,Työkonekanta!$A$3:$A$24,0),1)*$B171,0)</f>
        <v>0</v>
      </c>
      <c r="F171" s="344">
        <f t="shared" si="36"/>
        <v>0</v>
      </c>
      <c r="G171" s="344">
        <f t="shared" si="43"/>
        <v>0</v>
      </c>
      <c r="H171" s="344">
        <f t="shared" si="44"/>
        <v>0</v>
      </c>
      <c r="I171" s="145">
        <f t="shared" si="37"/>
        <v>0</v>
      </c>
      <c r="J171" s="145">
        <f t="shared" si="38"/>
        <v>0</v>
      </c>
      <c r="K171" s="142" t="str">
        <f t="shared" si="45"/>
        <v>l</v>
      </c>
      <c r="L171" s="146">
        <f>IFERROR(INDEX(Työkonekanta!$I$3:$I$27,MATCH('S0a Baseline'!$A171,Työkonekanta!$A$3:$A$24,0),1)*(I171+J171)*f_adblue,0)</f>
        <v>0</v>
      </c>
      <c r="M171" s="146">
        <f t="shared" si="50"/>
        <v>0</v>
      </c>
      <c r="N171" s="143" t="str">
        <f>IF(tuulisähkö_vuosi&lt;='S0a Baseline'!C171,"tuulisähkö",ostosähkö_nyt)</f>
        <v>jäännössähkö</v>
      </c>
      <c r="O171" s="147">
        <f>INDEX(Muuttujat!$J$5:$J$21,MATCH($C171,Muuttujat!$H$5:$H$21,0),1)</f>
        <v>65.853419316547502</v>
      </c>
      <c r="P171" s="342">
        <f>1-(INDEX(Muuttujat!$O$5:$O$21,MATCH($C171,Muuttujat!$N$5:$N$21,0),1))</f>
        <v>0.94</v>
      </c>
      <c r="Q171" s="342">
        <f>INDEX(Muuttujat!$O$5:$O$21,MATCH($C171,Muuttujat!$N$5:$N$21,0),1)</f>
        <v>0.06</v>
      </c>
      <c r="R171" s="148">
        <f>INDEX(Muuttujat!$P$5:$P$21,MATCH($C171,Muuttujat!$N$5:$N$21,0),1)</f>
        <v>6.2623560726971367E-2</v>
      </c>
      <c r="S171" s="149">
        <f t="shared" si="39"/>
        <v>0</v>
      </c>
      <c r="T171" s="150">
        <f t="shared" si="40"/>
        <v>0</v>
      </c>
      <c r="U171" s="150">
        <f t="shared" si="41"/>
        <v>0</v>
      </c>
      <c r="V171" s="150">
        <f>IFERROR(INDEX(Työkonekanta!$J$3:$J$27,MATCH($A171,Työkonekanta!$A$3:$A$24,0),1)*$B171*ef_li_ion_akku/1000/1000/INDEX(Työkonekanta!$K$3:$K$27,MATCH($A171,Työkonekanta!$A$3:$A$24,0)),0)</f>
        <v>0</v>
      </c>
      <c r="W171" s="149">
        <f t="shared" si="42"/>
        <v>0</v>
      </c>
      <c r="X171" s="150">
        <f t="shared" si="51"/>
        <v>0</v>
      </c>
      <c r="Y171" s="151">
        <f t="shared" si="52"/>
        <v>0</v>
      </c>
      <c r="Z171" s="152">
        <f t="shared" si="46"/>
        <v>0</v>
      </c>
      <c r="AA171" s="153">
        <f t="shared" si="47"/>
        <v>0</v>
      </c>
      <c r="AB171" s="153">
        <f t="shared" si="48"/>
        <v>0</v>
      </c>
      <c r="AC171" s="154">
        <f t="shared" si="53"/>
        <v>0</v>
      </c>
      <c r="AD171" s="156">
        <f t="shared" si="49"/>
        <v>0</v>
      </c>
    </row>
    <row r="172" spans="1:30" s="144" customFormat="1">
      <c r="A172" s="139">
        <v>20</v>
      </c>
      <c r="B172" s="139">
        <f>IFERROR(INDEX(Työkonekanta!$F$3:$F$27,MATCH('S0a Baseline'!$A172,Työkonekanta!$A$3:$A$24,0),1),0)</f>
        <v>0</v>
      </c>
      <c r="C172" s="140">
        <v>2024</v>
      </c>
      <c r="D172" s="141" t="str">
        <f>IFERROR(INDEX(Työkonekanta!$D$3:$D$27,MATCH('S0a Baseline'!$A172,Työkonekanta!$A$3:$A$24,0),1),"undefined")</f>
        <v>pom</v>
      </c>
      <c r="E172" s="145">
        <f>IFERROR(INDEX(Työkonekanta!$G$3:$G$27,MATCH($A172,Työkonekanta!$A$3:$A$24,0),1)*INDEX(Työkonekanta!$H$3:$H$27,MATCH($A172,Työkonekanta!$A$3:$A$24,0),1)*$B172,0)</f>
        <v>0</v>
      </c>
      <c r="F172" s="344">
        <f t="shared" si="36"/>
        <v>0</v>
      </c>
      <c r="G172" s="344">
        <f t="shared" si="43"/>
        <v>0</v>
      </c>
      <c r="H172" s="344">
        <f t="shared" si="44"/>
        <v>0</v>
      </c>
      <c r="I172" s="145">
        <f t="shared" si="37"/>
        <v>0</v>
      </c>
      <c r="J172" s="145">
        <f t="shared" si="38"/>
        <v>0</v>
      </c>
      <c r="K172" s="142" t="str">
        <f t="shared" si="45"/>
        <v>l</v>
      </c>
      <c r="L172" s="146">
        <f>IFERROR(INDEX(Työkonekanta!$I$3:$I$27,MATCH('S0a Baseline'!$A172,Työkonekanta!$A$3:$A$24,0),1)*(I172+J172)*f_adblue,0)</f>
        <v>0</v>
      </c>
      <c r="M172" s="146">
        <f t="shared" si="50"/>
        <v>0</v>
      </c>
      <c r="N172" s="143" t="str">
        <f>IF(tuulisähkö_vuosi&lt;='S0a Baseline'!C172,"tuulisähkö",ostosähkö_nyt)</f>
        <v>jäännössähkö</v>
      </c>
      <c r="O172" s="147">
        <f>INDEX(Muuttujat!$J$5:$J$21,MATCH($C172,Muuttujat!$H$5:$H$21,0),1)</f>
        <v>65.853419316547502</v>
      </c>
      <c r="P172" s="342">
        <f>1-(INDEX(Muuttujat!$O$5:$O$21,MATCH($C172,Muuttujat!$N$5:$N$21,0),1))</f>
        <v>0.94</v>
      </c>
      <c r="Q172" s="342">
        <f>INDEX(Muuttujat!$O$5:$O$21,MATCH($C172,Muuttujat!$N$5:$N$21,0),1)</f>
        <v>0.06</v>
      </c>
      <c r="R172" s="148">
        <f>INDEX(Muuttujat!$P$5:$P$21,MATCH($C172,Muuttujat!$N$5:$N$21,0),1)</f>
        <v>6.2623560726971367E-2</v>
      </c>
      <c r="S172" s="149">
        <f t="shared" si="39"/>
        <v>0</v>
      </c>
      <c r="T172" s="150">
        <f t="shared" si="40"/>
        <v>0</v>
      </c>
      <c r="U172" s="150">
        <f t="shared" si="41"/>
        <v>0</v>
      </c>
      <c r="V172" s="150">
        <f>IFERROR(INDEX(Työkonekanta!$J$3:$J$27,MATCH($A172,Työkonekanta!$A$3:$A$24,0),1)*$B172*ef_li_ion_akku/1000/1000/INDEX(Työkonekanta!$K$3:$K$27,MATCH($A172,Työkonekanta!$A$3:$A$24,0)),0)</f>
        <v>0</v>
      </c>
      <c r="W172" s="149">
        <f t="shared" si="42"/>
        <v>0</v>
      </c>
      <c r="X172" s="150">
        <f t="shared" si="51"/>
        <v>0</v>
      </c>
      <c r="Y172" s="151">
        <f t="shared" si="52"/>
        <v>0</v>
      </c>
      <c r="Z172" s="152">
        <f t="shared" si="46"/>
        <v>0</v>
      </c>
      <c r="AA172" s="153">
        <f t="shared" si="47"/>
        <v>0</v>
      </c>
      <c r="AB172" s="153">
        <f t="shared" si="48"/>
        <v>0</v>
      </c>
      <c r="AC172" s="154">
        <f t="shared" si="53"/>
        <v>0</v>
      </c>
      <c r="AD172" s="156">
        <f t="shared" si="49"/>
        <v>0</v>
      </c>
    </row>
    <row r="173" spans="1:30" s="144" customFormat="1">
      <c r="A173" s="139">
        <v>21</v>
      </c>
      <c r="B173" s="139">
        <f>IFERROR(INDEX(Työkonekanta!$F$3:$F$27,MATCH('S0a Baseline'!$A173,Työkonekanta!$A$3:$A$24,0),1),0)</f>
        <v>35</v>
      </c>
      <c r="C173" s="140">
        <v>2024</v>
      </c>
      <c r="D173" s="141" t="str">
        <f>IFERROR(INDEX(Työkonekanta!$D$3:$D$27,MATCH('S0a Baseline'!$A173,Työkonekanta!$A$3:$A$24,0),1),"undefined")</f>
        <v>sähkö</v>
      </c>
      <c r="E173" s="145">
        <f>IFERROR(INDEX(Työkonekanta!$G$3:$G$27,MATCH($A173,Työkonekanta!$A$3:$A$24,0),1)*INDEX(Työkonekanta!$H$3:$H$27,MATCH($A173,Työkonekanta!$A$3:$A$24,0),1)*$B173,0)</f>
        <v>407199.07407407404</v>
      </c>
      <c r="F173" s="344">
        <f t="shared" si="36"/>
        <v>0</v>
      </c>
      <c r="G173" s="344">
        <f t="shared" si="43"/>
        <v>0</v>
      </c>
      <c r="H173" s="344">
        <f t="shared" si="44"/>
        <v>0</v>
      </c>
      <c r="I173" s="145">
        <f t="shared" si="37"/>
        <v>0</v>
      </c>
      <c r="J173" s="145">
        <f t="shared" si="38"/>
        <v>0</v>
      </c>
      <c r="K173" s="142" t="str">
        <f t="shared" si="45"/>
        <v>kWh</v>
      </c>
      <c r="L173" s="146">
        <f>IFERROR(INDEX(Työkonekanta!$I$3:$I$27,MATCH('S0a Baseline'!$A173,Työkonekanta!$A$3:$A$24,0),1)*(I173+J173)*f_adblue,0)</f>
        <v>0</v>
      </c>
      <c r="M173" s="146">
        <f t="shared" si="50"/>
        <v>1465916.6666666665</v>
      </c>
      <c r="N173" s="143" t="str">
        <f>IF(tuulisähkö_vuosi&lt;='S0a Baseline'!C173,"tuulisähkö",ostosähkö_nyt)</f>
        <v>jäännössähkö</v>
      </c>
      <c r="O173" s="147">
        <f>INDEX(Muuttujat!$J$5:$J$21,MATCH($C173,Muuttujat!$H$5:$H$21,0),1)</f>
        <v>65.853419316547502</v>
      </c>
      <c r="P173" s="342">
        <f>1-(INDEX(Muuttujat!$O$5:$O$21,MATCH($C173,Muuttujat!$N$5:$N$21,0),1))</f>
        <v>0.94</v>
      </c>
      <c r="Q173" s="342">
        <f>INDEX(Muuttujat!$O$5:$O$21,MATCH($C173,Muuttujat!$N$5:$N$21,0),1)</f>
        <v>0.06</v>
      </c>
      <c r="R173" s="148">
        <f>INDEX(Muuttujat!$P$5:$P$21,MATCH($C173,Muuttujat!$N$5:$N$21,0),1)</f>
        <v>6.2623560726971367E-2</v>
      </c>
      <c r="S173" s="149">
        <f t="shared" si="39"/>
        <v>0</v>
      </c>
      <c r="T173" s="150">
        <f t="shared" si="40"/>
        <v>0</v>
      </c>
      <c r="U173" s="150">
        <f t="shared" si="41"/>
        <v>96.535624933115585</v>
      </c>
      <c r="V173" s="150">
        <f>IFERROR(INDEX(Työkonekanta!$J$3:$J$27,MATCH($A173,Työkonekanta!$A$3:$A$24,0),1)*$B173*ef_li_ion_akku/1000/1000/INDEX(Työkonekanta!$K$3:$K$27,MATCH($A173,Työkonekanta!$A$3:$A$24,0)),0)</f>
        <v>43.121723076923082</v>
      </c>
      <c r="W173" s="149">
        <f t="shared" si="42"/>
        <v>0</v>
      </c>
      <c r="X173" s="150">
        <f t="shared" si="51"/>
        <v>0</v>
      </c>
      <c r="Y173" s="151">
        <f t="shared" si="52"/>
        <v>0</v>
      </c>
      <c r="Z173" s="152">
        <f t="shared" si="46"/>
        <v>139.65734801003867</v>
      </c>
      <c r="AA173" s="153">
        <f t="shared" si="47"/>
        <v>0</v>
      </c>
      <c r="AB173" s="153">
        <f t="shared" si="48"/>
        <v>0</v>
      </c>
      <c r="AC173" s="154">
        <f t="shared" si="53"/>
        <v>139.65734801003867</v>
      </c>
      <c r="AD173" s="156">
        <f t="shared" si="49"/>
        <v>139.65734801003867</v>
      </c>
    </row>
    <row r="174" spans="1:30" s="144" customFormat="1">
      <c r="A174" s="139">
        <v>22</v>
      </c>
      <c r="B174" s="139">
        <f>IFERROR(INDEX(Työkonekanta!$F$3:$F$27,MATCH('S0a Baseline'!$A174,Työkonekanta!$A$3:$A$24,0),1),0)</f>
        <v>0</v>
      </c>
      <c r="C174" s="140">
        <v>2024</v>
      </c>
      <c r="D174" s="141" t="str">
        <f>IFERROR(INDEX(Työkonekanta!$D$3:$D$27,MATCH('S0a Baseline'!$A174,Työkonekanta!$A$3:$A$24,0),1),"undefined")</f>
        <v>sähkö</v>
      </c>
      <c r="E174" s="145">
        <f>IFERROR(INDEX(Työkonekanta!$G$3:$G$27,MATCH($A174,Työkonekanta!$A$3:$A$24,0),1)*INDEX(Työkonekanta!$H$3:$H$27,MATCH($A174,Työkonekanta!$A$3:$A$24,0),1)*$B174,0)</f>
        <v>0</v>
      </c>
      <c r="F174" s="344">
        <f t="shared" si="36"/>
        <v>0</v>
      </c>
      <c r="G174" s="344">
        <f t="shared" si="43"/>
        <v>0</v>
      </c>
      <c r="H174" s="344">
        <f t="shared" si="44"/>
        <v>0</v>
      </c>
      <c r="I174" s="145">
        <f t="shared" si="37"/>
        <v>0</v>
      </c>
      <c r="J174" s="145">
        <f t="shared" si="38"/>
        <v>0</v>
      </c>
      <c r="K174" s="142" t="str">
        <f t="shared" si="45"/>
        <v>kWh</v>
      </c>
      <c r="L174" s="146">
        <f>IFERROR(INDEX(Työkonekanta!$I$3:$I$27,MATCH('S0a Baseline'!$A174,Työkonekanta!$A$3:$A$24,0),1)*(I174+J174)*f_adblue,0)</f>
        <v>0</v>
      </c>
      <c r="M174" s="146">
        <f t="shared" si="50"/>
        <v>0</v>
      </c>
      <c r="N174" s="143" t="str">
        <f>IF(tuulisähkö_vuosi&lt;='S0a Baseline'!C174,"tuulisähkö",ostosähkö_nyt)</f>
        <v>jäännössähkö</v>
      </c>
      <c r="O174" s="147">
        <f>INDEX(Muuttujat!$J$5:$J$21,MATCH($C174,Muuttujat!$H$5:$H$21,0),1)</f>
        <v>65.853419316547502</v>
      </c>
      <c r="P174" s="342">
        <f>1-(INDEX(Muuttujat!$O$5:$O$21,MATCH($C174,Muuttujat!$N$5:$N$21,0),1))</f>
        <v>0.94</v>
      </c>
      <c r="Q174" s="342">
        <f>INDEX(Muuttujat!$O$5:$O$21,MATCH($C174,Muuttujat!$N$5:$N$21,0),1)</f>
        <v>0.06</v>
      </c>
      <c r="R174" s="148">
        <f>INDEX(Muuttujat!$P$5:$P$21,MATCH($C174,Muuttujat!$N$5:$N$21,0),1)</f>
        <v>6.2623560726971367E-2</v>
      </c>
      <c r="S174" s="149">
        <f t="shared" si="39"/>
        <v>0</v>
      </c>
      <c r="T174" s="150">
        <f t="shared" si="40"/>
        <v>0</v>
      </c>
      <c r="U174" s="150">
        <f t="shared" si="41"/>
        <v>0</v>
      </c>
      <c r="V174" s="150">
        <f>IFERROR(INDEX(Työkonekanta!$J$3:$J$27,MATCH($A174,Työkonekanta!$A$3:$A$24,0),1)*$B174*ef_li_ion_akku/1000/1000/INDEX(Työkonekanta!$K$3:$K$27,MATCH($A174,Työkonekanta!$A$3:$A$24,0)),0)</f>
        <v>0</v>
      </c>
      <c r="W174" s="149">
        <f t="shared" si="42"/>
        <v>0</v>
      </c>
      <c r="X174" s="150">
        <f t="shared" si="51"/>
        <v>0</v>
      </c>
      <c r="Y174" s="151">
        <f t="shared" si="52"/>
        <v>0</v>
      </c>
      <c r="Z174" s="152">
        <f t="shared" si="46"/>
        <v>0</v>
      </c>
      <c r="AA174" s="153">
        <f t="shared" si="47"/>
        <v>0</v>
      </c>
      <c r="AB174" s="153">
        <f t="shared" si="48"/>
        <v>0</v>
      </c>
      <c r="AC174" s="154">
        <f t="shared" si="53"/>
        <v>0</v>
      </c>
      <c r="AD174" s="156">
        <f t="shared" si="49"/>
        <v>0</v>
      </c>
    </row>
    <row r="175" spans="1:30" s="144" customFormat="1">
      <c r="A175" s="139">
        <v>23</v>
      </c>
      <c r="B175" s="139">
        <f>IFERROR(INDEX(Työkonekanta!$F$3:$F$27,MATCH('S0a Baseline'!$A175,Työkonekanta!$A$3:$A$24,0),1),0)</f>
        <v>0</v>
      </c>
      <c r="C175" s="140">
        <v>2024</v>
      </c>
      <c r="D175" s="141" t="str">
        <f>IFERROR(INDEX(Työkonekanta!$D$3:$D$27,MATCH('S0a Baseline'!$A175,Työkonekanta!$A$3:$A$24,0),1),"undefined")</f>
        <v>undefined</v>
      </c>
      <c r="E175" s="145">
        <f>IFERROR(INDEX(Työkonekanta!$G$3:$G$27,MATCH($A175,Työkonekanta!$A$3:$A$24,0),1)*INDEX(Työkonekanta!$H$3:$H$27,MATCH($A175,Työkonekanta!$A$3:$A$24,0),1)*$B175,0)</f>
        <v>0</v>
      </c>
      <c r="F175" s="344">
        <f t="shared" si="36"/>
        <v>0</v>
      </c>
      <c r="G175" s="344">
        <f t="shared" si="43"/>
        <v>0</v>
      </c>
      <c r="H175" s="344">
        <f t="shared" si="44"/>
        <v>0</v>
      </c>
      <c r="I175" s="145">
        <f t="shared" si="37"/>
        <v>0</v>
      </c>
      <c r="J175" s="145">
        <f t="shared" si="38"/>
        <v>0</v>
      </c>
      <c r="K175" s="142" t="str">
        <f t="shared" si="45"/>
        <v>undefined</v>
      </c>
      <c r="L175" s="146">
        <f>IFERROR(INDEX(Työkonekanta!$I$3:$I$27,MATCH('S0a Baseline'!$A175,Työkonekanta!$A$3:$A$24,0),1)*(I175+J175)*f_adblue,0)</f>
        <v>0</v>
      </c>
      <c r="M175" s="146">
        <f t="shared" si="50"/>
        <v>0</v>
      </c>
      <c r="N175" s="143" t="str">
        <f>IF(tuulisähkö_vuosi&lt;='S0a Baseline'!C175,"tuulisähkö",ostosähkö_nyt)</f>
        <v>jäännössähkö</v>
      </c>
      <c r="O175" s="147">
        <f>INDEX(Muuttujat!$J$5:$J$21,MATCH($C175,Muuttujat!$H$5:$H$21,0),1)</f>
        <v>65.853419316547502</v>
      </c>
      <c r="P175" s="342">
        <f>1-(INDEX(Muuttujat!$O$5:$O$21,MATCH($C175,Muuttujat!$N$5:$N$21,0),1))</f>
        <v>0.94</v>
      </c>
      <c r="Q175" s="342">
        <f>INDEX(Muuttujat!$O$5:$O$21,MATCH($C175,Muuttujat!$N$5:$N$21,0),1)</f>
        <v>0.06</v>
      </c>
      <c r="R175" s="148">
        <f>INDEX(Muuttujat!$P$5:$P$21,MATCH($C175,Muuttujat!$N$5:$N$21,0),1)</f>
        <v>6.2623560726971367E-2</v>
      </c>
      <c r="S175" s="149">
        <f t="shared" si="39"/>
        <v>0</v>
      </c>
      <c r="T175" s="150">
        <f t="shared" si="40"/>
        <v>0</v>
      </c>
      <c r="U175" s="150">
        <f t="shared" si="41"/>
        <v>0</v>
      </c>
      <c r="V175" s="150">
        <f>IFERROR(INDEX(Työkonekanta!$J$3:$J$27,MATCH($A175,Työkonekanta!$A$3:$A$24,0),1)*$B175*ef_li_ion_akku/1000/1000/INDEX(Työkonekanta!$K$3:$K$27,MATCH($A175,Työkonekanta!$A$3:$A$24,0)),0)</f>
        <v>0</v>
      </c>
      <c r="W175" s="149">
        <f t="shared" si="42"/>
        <v>0</v>
      </c>
      <c r="X175" s="150">
        <f t="shared" si="51"/>
        <v>0</v>
      </c>
      <c r="Y175" s="151">
        <f t="shared" si="52"/>
        <v>0</v>
      </c>
      <c r="Z175" s="152">
        <f t="shared" si="46"/>
        <v>0</v>
      </c>
      <c r="AA175" s="153">
        <f t="shared" si="47"/>
        <v>0</v>
      </c>
      <c r="AB175" s="153">
        <f t="shared" si="48"/>
        <v>0</v>
      </c>
      <c r="AC175" s="154">
        <f t="shared" si="53"/>
        <v>0</v>
      </c>
      <c r="AD175" s="156">
        <f t="shared" si="49"/>
        <v>0</v>
      </c>
    </row>
    <row r="176" spans="1:30" s="144" customFormat="1">
      <c r="A176" s="139">
        <v>24</v>
      </c>
      <c r="B176" s="139">
        <f>IFERROR(INDEX(Työkonekanta!$F$3:$F$27,MATCH('S0a Baseline'!$A176,Työkonekanta!$A$3:$A$24,0),1),0)</f>
        <v>0</v>
      </c>
      <c r="C176" s="140">
        <v>2024</v>
      </c>
      <c r="D176" s="141" t="str">
        <f>IFERROR(INDEX(Työkonekanta!$D$3:$D$27,MATCH('S0a Baseline'!$A176,Työkonekanta!$A$3:$A$24,0),1),"undefined")</f>
        <v>undefined</v>
      </c>
      <c r="E176" s="145">
        <f>IFERROR(INDEX(Työkonekanta!$G$3:$G$27,MATCH($A176,Työkonekanta!$A$3:$A$24,0),1)*INDEX(Työkonekanta!$H$3:$H$27,MATCH($A176,Työkonekanta!$A$3:$A$24,0),1)*$B176,0)</f>
        <v>0</v>
      </c>
      <c r="F176" s="344">
        <f t="shared" si="36"/>
        <v>0</v>
      </c>
      <c r="G176" s="344">
        <f t="shared" si="43"/>
        <v>0</v>
      </c>
      <c r="H176" s="344">
        <f t="shared" si="44"/>
        <v>0</v>
      </c>
      <c r="I176" s="145">
        <f t="shared" si="37"/>
        <v>0</v>
      </c>
      <c r="J176" s="145">
        <f t="shared" si="38"/>
        <v>0</v>
      </c>
      <c r="K176" s="142" t="str">
        <f t="shared" si="45"/>
        <v>undefined</v>
      </c>
      <c r="L176" s="146">
        <f>IFERROR(INDEX(Työkonekanta!$I$3:$I$27,MATCH('S0a Baseline'!$A176,Työkonekanta!$A$3:$A$24,0),1)*(I176+J176)*f_adblue,0)</f>
        <v>0</v>
      </c>
      <c r="M176" s="146">
        <f t="shared" si="50"/>
        <v>0</v>
      </c>
      <c r="N176" s="143" t="str">
        <f>IF(tuulisähkö_vuosi&lt;='S0a Baseline'!C176,"tuulisähkö",ostosähkö_nyt)</f>
        <v>jäännössähkö</v>
      </c>
      <c r="O176" s="147">
        <f>INDEX(Muuttujat!$J$5:$J$21,MATCH($C176,Muuttujat!$H$5:$H$21,0),1)</f>
        <v>65.853419316547502</v>
      </c>
      <c r="P176" s="342">
        <f>1-(INDEX(Muuttujat!$O$5:$O$21,MATCH($C176,Muuttujat!$N$5:$N$21,0),1))</f>
        <v>0.94</v>
      </c>
      <c r="Q176" s="342">
        <f>INDEX(Muuttujat!$O$5:$O$21,MATCH($C176,Muuttujat!$N$5:$N$21,0),1)</f>
        <v>0.06</v>
      </c>
      <c r="R176" s="148">
        <f>INDEX(Muuttujat!$P$5:$P$21,MATCH($C176,Muuttujat!$N$5:$N$21,0),1)</f>
        <v>6.2623560726971367E-2</v>
      </c>
      <c r="S176" s="149">
        <f t="shared" si="39"/>
        <v>0</v>
      </c>
      <c r="T176" s="150">
        <f t="shared" si="40"/>
        <v>0</v>
      </c>
      <c r="U176" s="150">
        <f t="shared" si="41"/>
        <v>0</v>
      </c>
      <c r="V176" s="150">
        <f>IFERROR(INDEX(Työkonekanta!$J$3:$J$27,MATCH($A176,Työkonekanta!$A$3:$A$24,0),1)*$B176*ef_li_ion_akku/1000/1000/INDEX(Työkonekanta!$K$3:$K$27,MATCH($A176,Työkonekanta!$A$3:$A$24,0)),0)</f>
        <v>0</v>
      </c>
      <c r="W176" s="149">
        <f t="shared" si="42"/>
        <v>0</v>
      </c>
      <c r="X176" s="150">
        <f t="shared" si="51"/>
        <v>0</v>
      </c>
      <c r="Y176" s="151">
        <f t="shared" si="52"/>
        <v>0</v>
      </c>
      <c r="Z176" s="152">
        <f t="shared" si="46"/>
        <v>0</v>
      </c>
      <c r="AA176" s="153">
        <f t="shared" si="47"/>
        <v>0</v>
      </c>
      <c r="AB176" s="153">
        <f t="shared" si="48"/>
        <v>0</v>
      </c>
      <c r="AC176" s="154">
        <f t="shared" si="53"/>
        <v>0</v>
      </c>
      <c r="AD176" s="156">
        <f t="shared" si="49"/>
        <v>0</v>
      </c>
    </row>
    <row r="177" spans="1:30" s="144" customFormat="1">
      <c r="A177" s="139">
        <v>25</v>
      </c>
      <c r="B177" s="139">
        <f>IFERROR(INDEX(Työkonekanta!$F$3:$F$27,MATCH('S0a Baseline'!$A177,Työkonekanta!$A$3:$A$24,0),1),0)</f>
        <v>0</v>
      </c>
      <c r="C177" s="140">
        <v>2024</v>
      </c>
      <c r="D177" s="141" t="str">
        <f>IFERROR(INDEX(Työkonekanta!$D$3:$D$27,MATCH('S0a Baseline'!$A177,Työkonekanta!$A$3:$A$24,0),1),"undefined")</f>
        <v>undefined</v>
      </c>
      <c r="E177" s="145">
        <f>IFERROR(INDEX(Työkonekanta!$G$3:$G$27,MATCH($A177,Työkonekanta!$A$3:$A$24,0),1)*INDEX(Työkonekanta!$H$3:$H$27,MATCH($A177,Työkonekanta!$A$3:$A$24,0),1)*$B177,0)</f>
        <v>0</v>
      </c>
      <c r="F177" s="344">
        <f t="shared" si="36"/>
        <v>0</v>
      </c>
      <c r="G177" s="344">
        <f t="shared" si="43"/>
        <v>0</v>
      </c>
      <c r="H177" s="344">
        <f t="shared" si="44"/>
        <v>0</v>
      </c>
      <c r="I177" s="145">
        <f t="shared" si="37"/>
        <v>0</v>
      </c>
      <c r="J177" s="145">
        <f t="shared" si="38"/>
        <v>0</v>
      </c>
      <c r="K177" s="142" t="str">
        <f t="shared" si="45"/>
        <v>undefined</v>
      </c>
      <c r="L177" s="146">
        <f>IFERROR(INDEX(Työkonekanta!$I$3:$I$27,MATCH('S0a Baseline'!$A177,Työkonekanta!$A$3:$A$24,0),1)*(I177+J177)*f_adblue,0)</f>
        <v>0</v>
      </c>
      <c r="M177" s="146">
        <f t="shared" si="50"/>
        <v>0</v>
      </c>
      <c r="N177" s="143" t="str">
        <f>IF(tuulisähkö_vuosi&lt;='S0a Baseline'!C177,"tuulisähkö",ostosähkö_nyt)</f>
        <v>jäännössähkö</v>
      </c>
      <c r="O177" s="147">
        <f>INDEX(Muuttujat!$J$5:$J$21,MATCH($C177,Muuttujat!$H$5:$H$21,0),1)</f>
        <v>65.853419316547502</v>
      </c>
      <c r="P177" s="342">
        <f>1-(INDEX(Muuttujat!$O$5:$O$21,MATCH($C177,Muuttujat!$N$5:$N$21,0),1))</f>
        <v>0.94</v>
      </c>
      <c r="Q177" s="342">
        <f>INDEX(Muuttujat!$O$5:$O$21,MATCH($C177,Muuttujat!$N$5:$N$21,0),1)</f>
        <v>0.06</v>
      </c>
      <c r="R177" s="148">
        <f>INDEX(Muuttujat!$P$5:$P$21,MATCH($C177,Muuttujat!$N$5:$N$21,0),1)</f>
        <v>6.2623560726971367E-2</v>
      </c>
      <c r="S177" s="149">
        <f t="shared" si="39"/>
        <v>0</v>
      </c>
      <c r="T177" s="150">
        <f t="shared" si="40"/>
        <v>0</v>
      </c>
      <c r="U177" s="150">
        <f t="shared" si="41"/>
        <v>0</v>
      </c>
      <c r="V177" s="150">
        <f>IFERROR(INDEX(Työkonekanta!$J$3:$J$27,MATCH($A177,Työkonekanta!$A$3:$A$24,0),1)*$B177*ef_li_ion_akku/1000/1000/INDEX(Työkonekanta!$K$3:$K$27,MATCH($A177,Työkonekanta!$A$3:$A$24,0)),0)</f>
        <v>0</v>
      </c>
      <c r="W177" s="149">
        <f t="shared" si="42"/>
        <v>0</v>
      </c>
      <c r="X177" s="150">
        <f t="shared" si="51"/>
        <v>0</v>
      </c>
      <c r="Y177" s="151">
        <f t="shared" si="52"/>
        <v>0</v>
      </c>
      <c r="Z177" s="152">
        <f t="shared" si="46"/>
        <v>0</v>
      </c>
      <c r="AA177" s="153">
        <f t="shared" si="47"/>
        <v>0</v>
      </c>
      <c r="AB177" s="153">
        <f t="shared" si="48"/>
        <v>0</v>
      </c>
      <c r="AC177" s="154">
        <f t="shared" si="53"/>
        <v>0</v>
      </c>
      <c r="AD177" s="156">
        <f t="shared" si="49"/>
        <v>0</v>
      </c>
    </row>
    <row r="178" spans="1:30" s="144" customFormat="1">
      <c r="A178" s="139">
        <v>26</v>
      </c>
      <c r="B178" s="139">
        <f>IFERROR(INDEX(Työkonekanta!$F$3:$F$27,MATCH('S0a Baseline'!$A178,Työkonekanta!$A$3:$A$24,0),1),0)</f>
        <v>0</v>
      </c>
      <c r="C178" s="140">
        <v>2024</v>
      </c>
      <c r="D178" s="141" t="str">
        <f>IFERROR(INDEX(Työkonekanta!$D$3:$D$27,MATCH('S0a Baseline'!$A178,Työkonekanta!$A$3:$A$24,0),1),"undefined")</f>
        <v>undefined</v>
      </c>
      <c r="E178" s="145">
        <f>IFERROR(INDEX(Työkonekanta!$G$3:$G$27,MATCH($A178,Työkonekanta!$A$3:$A$24,0),1)*INDEX(Työkonekanta!$H$3:$H$27,MATCH($A178,Työkonekanta!$A$3:$A$24,0),1)*$B178,0)</f>
        <v>0</v>
      </c>
      <c r="F178" s="344">
        <f t="shared" si="36"/>
        <v>0</v>
      </c>
      <c r="G178" s="344">
        <f t="shared" si="43"/>
        <v>0</v>
      </c>
      <c r="H178" s="344">
        <f t="shared" si="44"/>
        <v>0</v>
      </c>
      <c r="I178" s="145">
        <f t="shared" si="37"/>
        <v>0</v>
      </c>
      <c r="J178" s="145">
        <f t="shared" si="38"/>
        <v>0</v>
      </c>
      <c r="K178" s="142" t="str">
        <f t="shared" si="45"/>
        <v>undefined</v>
      </c>
      <c r="L178" s="146">
        <f>IFERROR(INDEX(Työkonekanta!$I$3:$I$27,MATCH('S0a Baseline'!$A178,Työkonekanta!$A$3:$A$24,0),1)*(I178+J178)*f_adblue,0)</f>
        <v>0</v>
      </c>
      <c r="M178" s="146">
        <f t="shared" si="50"/>
        <v>0</v>
      </c>
      <c r="N178" s="143" t="str">
        <f>IF(tuulisähkö_vuosi&lt;='S0a Baseline'!C178,"tuulisähkö",ostosähkö_nyt)</f>
        <v>jäännössähkö</v>
      </c>
      <c r="O178" s="147">
        <f>INDEX(Muuttujat!$J$5:$J$21,MATCH($C178,Muuttujat!$H$5:$H$21,0),1)</f>
        <v>65.853419316547502</v>
      </c>
      <c r="P178" s="342">
        <f>1-(INDEX(Muuttujat!$O$5:$O$21,MATCH($C178,Muuttujat!$N$5:$N$21,0),1))</f>
        <v>0.94</v>
      </c>
      <c r="Q178" s="342">
        <f>INDEX(Muuttujat!$O$5:$O$21,MATCH($C178,Muuttujat!$N$5:$N$21,0),1)</f>
        <v>0.06</v>
      </c>
      <c r="R178" s="148">
        <f>INDEX(Muuttujat!$P$5:$P$21,MATCH($C178,Muuttujat!$N$5:$N$21,0),1)</f>
        <v>6.2623560726971367E-2</v>
      </c>
      <c r="S178" s="149">
        <f t="shared" si="39"/>
        <v>0</v>
      </c>
      <c r="T178" s="150">
        <f t="shared" si="40"/>
        <v>0</v>
      </c>
      <c r="U178" s="150">
        <f t="shared" si="41"/>
        <v>0</v>
      </c>
      <c r="V178" s="150">
        <f>IFERROR(INDEX(Työkonekanta!$J$3:$J$27,MATCH($A178,Työkonekanta!$A$3:$A$24,0),1)*$B178*ef_li_ion_akku/1000/1000/INDEX(Työkonekanta!$K$3:$K$27,MATCH($A178,Työkonekanta!$A$3:$A$24,0)),0)</f>
        <v>0</v>
      </c>
      <c r="W178" s="149">
        <f t="shared" si="42"/>
        <v>0</v>
      </c>
      <c r="X178" s="150">
        <f t="shared" si="51"/>
        <v>0</v>
      </c>
      <c r="Y178" s="151">
        <f t="shared" si="52"/>
        <v>0</v>
      </c>
      <c r="Z178" s="152">
        <f t="shared" si="46"/>
        <v>0</v>
      </c>
      <c r="AA178" s="153">
        <f t="shared" si="47"/>
        <v>0</v>
      </c>
      <c r="AB178" s="153">
        <f t="shared" si="48"/>
        <v>0</v>
      </c>
      <c r="AC178" s="154">
        <f t="shared" si="53"/>
        <v>0</v>
      </c>
      <c r="AD178" s="156">
        <f t="shared" si="49"/>
        <v>0</v>
      </c>
    </row>
    <row r="179" spans="1:30" s="144" customFormat="1">
      <c r="A179" s="139">
        <v>27</v>
      </c>
      <c r="B179" s="139">
        <f>IFERROR(INDEX(Työkonekanta!$F$3:$F$27,MATCH('S0a Baseline'!$A179,Työkonekanta!$A$3:$A$24,0),1),0)</f>
        <v>0</v>
      </c>
      <c r="C179" s="140">
        <v>2024</v>
      </c>
      <c r="D179" s="141" t="str">
        <f>IFERROR(INDEX(Työkonekanta!$D$3:$D$27,MATCH('S0a Baseline'!$A179,Työkonekanta!$A$3:$A$24,0),1),"undefined")</f>
        <v>undefined</v>
      </c>
      <c r="E179" s="145">
        <f>IFERROR(INDEX(Työkonekanta!$G$3:$G$27,MATCH($A179,Työkonekanta!$A$3:$A$24,0),1)*INDEX(Työkonekanta!$H$3:$H$27,MATCH($A179,Työkonekanta!$A$3:$A$24,0),1)*$B179,0)</f>
        <v>0</v>
      </c>
      <c r="F179" s="344">
        <f t="shared" si="36"/>
        <v>0</v>
      </c>
      <c r="G179" s="344">
        <f t="shared" si="43"/>
        <v>0</v>
      </c>
      <c r="H179" s="344">
        <f t="shared" si="44"/>
        <v>0</v>
      </c>
      <c r="I179" s="145">
        <f t="shared" si="37"/>
        <v>0</v>
      </c>
      <c r="J179" s="145">
        <f t="shared" si="38"/>
        <v>0</v>
      </c>
      <c r="K179" s="142" t="str">
        <f t="shared" si="45"/>
        <v>undefined</v>
      </c>
      <c r="L179" s="146">
        <f>IFERROR(INDEX(Työkonekanta!$I$3:$I$27,MATCH('S0a Baseline'!$A179,Työkonekanta!$A$3:$A$24,0),1)*(I179+J179)*f_adblue,0)</f>
        <v>0</v>
      </c>
      <c r="M179" s="146">
        <f t="shared" si="50"/>
        <v>0</v>
      </c>
      <c r="N179" s="143" t="str">
        <f>IF(tuulisähkö_vuosi&lt;='S0a Baseline'!C179,"tuulisähkö",ostosähkö_nyt)</f>
        <v>jäännössähkö</v>
      </c>
      <c r="O179" s="147">
        <f>INDEX(Muuttujat!$J$5:$J$21,MATCH($C179,Muuttujat!$H$5:$H$21,0),1)</f>
        <v>65.853419316547502</v>
      </c>
      <c r="P179" s="342">
        <f>1-(INDEX(Muuttujat!$O$5:$O$21,MATCH($C179,Muuttujat!$N$5:$N$21,0),1))</f>
        <v>0.94</v>
      </c>
      <c r="Q179" s="342">
        <f>INDEX(Muuttujat!$O$5:$O$21,MATCH($C179,Muuttujat!$N$5:$N$21,0),1)</f>
        <v>0.06</v>
      </c>
      <c r="R179" s="148">
        <f>INDEX(Muuttujat!$P$5:$P$21,MATCH($C179,Muuttujat!$N$5:$N$21,0),1)</f>
        <v>6.2623560726971367E-2</v>
      </c>
      <c r="S179" s="149">
        <f t="shared" si="39"/>
        <v>0</v>
      </c>
      <c r="T179" s="150">
        <f t="shared" si="40"/>
        <v>0</v>
      </c>
      <c r="U179" s="150">
        <f t="shared" si="41"/>
        <v>0</v>
      </c>
      <c r="V179" s="150">
        <f>IFERROR(INDEX(Työkonekanta!$J$3:$J$27,MATCH($A179,Työkonekanta!$A$3:$A$24,0),1)*$B179*ef_li_ion_akku/1000/1000/INDEX(Työkonekanta!$K$3:$K$27,MATCH($A179,Työkonekanta!$A$3:$A$24,0)),0)</f>
        <v>0</v>
      </c>
      <c r="W179" s="149">
        <f t="shared" si="42"/>
        <v>0</v>
      </c>
      <c r="X179" s="150">
        <f t="shared" si="51"/>
        <v>0</v>
      </c>
      <c r="Y179" s="151">
        <f t="shared" si="52"/>
        <v>0</v>
      </c>
      <c r="Z179" s="152">
        <f t="shared" si="46"/>
        <v>0</v>
      </c>
      <c r="AA179" s="153">
        <f t="shared" si="47"/>
        <v>0</v>
      </c>
      <c r="AB179" s="153">
        <f t="shared" si="48"/>
        <v>0</v>
      </c>
      <c r="AC179" s="154">
        <f t="shared" si="53"/>
        <v>0</v>
      </c>
      <c r="AD179" s="156">
        <f t="shared" si="49"/>
        <v>0</v>
      </c>
    </row>
    <row r="180" spans="1:30" s="144" customFormat="1">
      <c r="A180" s="139">
        <v>28</v>
      </c>
      <c r="B180" s="139">
        <f>IFERROR(INDEX(Työkonekanta!$F$3:$F$27,MATCH('S0a Baseline'!$A180,Työkonekanta!$A$3:$A$24,0),1),0)</f>
        <v>0</v>
      </c>
      <c r="C180" s="140">
        <v>2024</v>
      </c>
      <c r="D180" s="141" t="str">
        <f>IFERROR(INDEX(Työkonekanta!$D$3:$D$27,MATCH('S0a Baseline'!$A180,Työkonekanta!$A$3:$A$24,0),1),"undefined")</f>
        <v>undefined</v>
      </c>
      <c r="E180" s="145">
        <f>IFERROR(INDEX(Työkonekanta!$G$3:$G$27,MATCH($A180,Työkonekanta!$A$3:$A$24,0),1)*INDEX(Työkonekanta!$H$3:$H$27,MATCH($A180,Työkonekanta!$A$3:$A$24,0),1)*$B180,0)</f>
        <v>0</v>
      </c>
      <c r="F180" s="344">
        <f t="shared" si="36"/>
        <v>0</v>
      </c>
      <c r="G180" s="344">
        <f t="shared" si="43"/>
        <v>0</v>
      </c>
      <c r="H180" s="344">
        <f t="shared" si="44"/>
        <v>0</v>
      </c>
      <c r="I180" s="145">
        <f t="shared" si="37"/>
        <v>0</v>
      </c>
      <c r="J180" s="145">
        <f t="shared" si="38"/>
        <v>0</v>
      </c>
      <c r="K180" s="142" t="str">
        <f t="shared" si="45"/>
        <v>undefined</v>
      </c>
      <c r="L180" s="146">
        <f>IFERROR(INDEX(Työkonekanta!$I$3:$I$27,MATCH('S0a Baseline'!$A180,Työkonekanta!$A$3:$A$24,0),1)*(I180+J180)*f_adblue,0)</f>
        <v>0</v>
      </c>
      <c r="M180" s="146">
        <f t="shared" si="50"/>
        <v>0</v>
      </c>
      <c r="N180" s="143" t="str">
        <f>IF(tuulisähkö_vuosi&lt;='S0a Baseline'!C180,"tuulisähkö",ostosähkö_nyt)</f>
        <v>jäännössähkö</v>
      </c>
      <c r="O180" s="147">
        <f>INDEX(Muuttujat!$J$5:$J$21,MATCH($C180,Muuttujat!$H$5:$H$21,0),1)</f>
        <v>65.853419316547502</v>
      </c>
      <c r="P180" s="342">
        <f>1-(INDEX(Muuttujat!$O$5:$O$21,MATCH($C180,Muuttujat!$N$5:$N$21,0),1))</f>
        <v>0.94</v>
      </c>
      <c r="Q180" s="342">
        <f>INDEX(Muuttujat!$O$5:$O$21,MATCH($C180,Muuttujat!$N$5:$N$21,0),1)</f>
        <v>0.06</v>
      </c>
      <c r="R180" s="148">
        <f>INDEX(Muuttujat!$P$5:$P$21,MATCH($C180,Muuttujat!$N$5:$N$21,0),1)</f>
        <v>6.2623560726971367E-2</v>
      </c>
      <c r="S180" s="149">
        <f t="shared" si="39"/>
        <v>0</v>
      </c>
      <c r="T180" s="150">
        <f t="shared" si="40"/>
        <v>0</v>
      </c>
      <c r="U180" s="150">
        <f t="shared" si="41"/>
        <v>0</v>
      </c>
      <c r="V180" s="150">
        <f>IFERROR(INDEX(Työkonekanta!$J$3:$J$27,MATCH($A180,Työkonekanta!$A$3:$A$24,0),1)*$B180*ef_li_ion_akku/1000/1000/INDEX(Työkonekanta!$K$3:$K$27,MATCH($A180,Työkonekanta!$A$3:$A$24,0)),0)</f>
        <v>0</v>
      </c>
      <c r="W180" s="149">
        <f t="shared" si="42"/>
        <v>0</v>
      </c>
      <c r="X180" s="150">
        <f t="shared" si="51"/>
        <v>0</v>
      </c>
      <c r="Y180" s="151">
        <f t="shared" si="52"/>
        <v>0</v>
      </c>
      <c r="Z180" s="152">
        <f t="shared" si="46"/>
        <v>0</v>
      </c>
      <c r="AA180" s="153">
        <f t="shared" si="47"/>
        <v>0</v>
      </c>
      <c r="AB180" s="153">
        <f t="shared" si="48"/>
        <v>0</v>
      </c>
      <c r="AC180" s="154">
        <f t="shared" si="53"/>
        <v>0</v>
      </c>
      <c r="AD180" s="156">
        <f t="shared" si="49"/>
        <v>0</v>
      </c>
    </row>
    <row r="181" spans="1:30" s="144" customFormat="1">
      <c r="A181" s="139">
        <v>29</v>
      </c>
      <c r="B181" s="139">
        <f>IFERROR(INDEX(Työkonekanta!$F$3:$F$27,MATCH('S0a Baseline'!$A181,Työkonekanta!$A$3:$A$24,0),1),0)</f>
        <v>0</v>
      </c>
      <c r="C181" s="140">
        <v>2024</v>
      </c>
      <c r="D181" s="141" t="str">
        <f>IFERROR(INDEX(Työkonekanta!$D$3:$D$27,MATCH('S0a Baseline'!$A181,Työkonekanta!$A$3:$A$24,0),1),"undefined")</f>
        <v>undefined</v>
      </c>
      <c r="E181" s="145">
        <f>IFERROR(INDEX(Työkonekanta!$G$3:$G$27,MATCH($A181,Työkonekanta!$A$3:$A$24,0),1)*INDEX(Työkonekanta!$H$3:$H$27,MATCH($A181,Työkonekanta!$A$3:$A$24,0),1)*$B181,0)</f>
        <v>0</v>
      </c>
      <c r="F181" s="344">
        <f t="shared" si="36"/>
        <v>0</v>
      </c>
      <c r="G181" s="344">
        <f t="shared" si="43"/>
        <v>0</v>
      </c>
      <c r="H181" s="344">
        <f t="shared" si="44"/>
        <v>0</v>
      </c>
      <c r="I181" s="145">
        <f t="shared" si="37"/>
        <v>0</v>
      </c>
      <c r="J181" s="145">
        <f t="shared" si="38"/>
        <v>0</v>
      </c>
      <c r="K181" s="142" t="str">
        <f t="shared" si="45"/>
        <v>undefined</v>
      </c>
      <c r="L181" s="146">
        <f>IFERROR(INDEX(Työkonekanta!$I$3:$I$27,MATCH('S0a Baseline'!$A181,Työkonekanta!$A$3:$A$24,0),1)*(I181+J181)*f_adblue,0)</f>
        <v>0</v>
      </c>
      <c r="M181" s="146">
        <f t="shared" si="50"/>
        <v>0</v>
      </c>
      <c r="N181" s="143" t="str">
        <f>IF(tuulisähkö_vuosi&lt;='S0a Baseline'!C181,"tuulisähkö",ostosähkö_nyt)</f>
        <v>jäännössähkö</v>
      </c>
      <c r="O181" s="147">
        <f>INDEX(Muuttujat!$J$5:$J$21,MATCH($C181,Muuttujat!$H$5:$H$21,0),1)</f>
        <v>65.853419316547502</v>
      </c>
      <c r="P181" s="342">
        <f>1-(INDEX(Muuttujat!$O$5:$O$21,MATCH($C181,Muuttujat!$N$5:$N$21,0),1))</f>
        <v>0.94</v>
      </c>
      <c r="Q181" s="342">
        <f>INDEX(Muuttujat!$O$5:$O$21,MATCH($C181,Muuttujat!$N$5:$N$21,0),1)</f>
        <v>0.06</v>
      </c>
      <c r="R181" s="148">
        <f>INDEX(Muuttujat!$P$5:$P$21,MATCH($C181,Muuttujat!$N$5:$N$21,0),1)</f>
        <v>6.2623560726971367E-2</v>
      </c>
      <c r="S181" s="149">
        <f t="shared" si="39"/>
        <v>0</v>
      </c>
      <c r="T181" s="150">
        <f t="shared" si="40"/>
        <v>0</v>
      </c>
      <c r="U181" s="150">
        <f t="shared" si="41"/>
        <v>0</v>
      </c>
      <c r="V181" s="150">
        <f>IFERROR(INDEX(Työkonekanta!$J$3:$J$27,MATCH($A181,Työkonekanta!$A$3:$A$24,0),1)*$B181*ef_li_ion_akku/1000/1000/INDEX(Työkonekanta!$K$3:$K$27,MATCH($A181,Työkonekanta!$A$3:$A$24,0)),0)</f>
        <v>0</v>
      </c>
      <c r="W181" s="149">
        <f t="shared" si="42"/>
        <v>0</v>
      </c>
      <c r="X181" s="150">
        <f t="shared" si="51"/>
        <v>0</v>
      </c>
      <c r="Y181" s="151">
        <f t="shared" si="52"/>
        <v>0</v>
      </c>
      <c r="Z181" s="152">
        <f t="shared" si="46"/>
        <v>0</v>
      </c>
      <c r="AA181" s="153">
        <f t="shared" si="47"/>
        <v>0</v>
      </c>
      <c r="AB181" s="153">
        <f t="shared" si="48"/>
        <v>0</v>
      </c>
      <c r="AC181" s="154">
        <f t="shared" si="53"/>
        <v>0</v>
      </c>
      <c r="AD181" s="156">
        <f t="shared" si="49"/>
        <v>0</v>
      </c>
    </row>
    <row r="182" spans="1:30" s="144" customFormat="1">
      <c r="A182" s="139">
        <v>30</v>
      </c>
      <c r="B182" s="139">
        <f>IFERROR(INDEX(Työkonekanta!$F$3:$F$27,MATCH('S0a Baseline'!$A182,Työkonekanta!$A$3:$A$24,0),1),0)</f>
        <v>0</v>
      </c>
      <c r="C182" s="140">
        <v>2024</v>
      </c>
      <c r="D182" s="141" t="str">
        <f>IFERROR(INDEX(Työkonekanta!$D$3:$D$27,MATCH('S0a Baseline'!$A182,Työkonekanta!$A$3:$A$24,0),1),"undefined")</f>
        <v>undefined</v>
      </c>
      <c r="E182" s="145">
        <f>IFERROR(INDEX(Työkonekanta!$G$3:$G$27,MATCH($A182,Työkonekanta!$A$3:$A$24,0),1)*INDEX(Työkonekanta!$H$3:$H$27,MATCH($A182,Työkonekanta!$A$3:$A$24,0),1)*$B182,0)</f>
        <v>0</v>
      </c>
      <c r="F182" s="344">
        <f t="shared" si="36"/>
        <v>0</v>
      </c>
      <c r="G182" s="344">
        <f t="shared" si="43"/>
        <v>0</v>
      </c>
      <c r="H182" s="344">
        <f t="shared" si="44"/>
        <v>0</v>
      </c>
      <c r="I182" s="145">
        <f t="shared" si="37"/>
        <v>0</v>
      </c>
      <c r="J182" s="145">
        <f t="shared" si="38"/>
        <v>0</v>
      </c>
      <c r="K182" s="142" t="str">
        <f t="shared" si="45"/>
        <v>undefined</v>
      </c>
      <c r="L182" s="146">
        <f>IFERROR(INDEX(Työkonekanta!$I$3:$I$27,MATCH('S0a Baseline'!$A182,Työkonekanta!$A$3:$A$24,0),1)*(I182+J182)*f_adblue,0)</f>
        <v>0</v>
      </c>
      <c r="M182" s="146">
        <f t="shared" si="50"/>
        <v>0</v>
      </c>
      <c r="N182" s="143" t="str">
        <f>IF(tuulisähkö_vuosi&lt;='S0a Baseline'!C182,"tuulisähkö",ostosähkö_nyt)</f>
        <v>jäännössähkö</v>
      </c>
      <c r="O182" s="147">
        <f>INDEX(Muuttujat!$J$5:$J$21,MATCH($C182,Muuttujat!$H$5:$H$21,0),1)</f>
        <v>65.853419316547502</v>
      </c>
      <c r="P182" s="342">
        <f>1-(INDEX(Muuttujat!$O$5:$O$21,MATCH($C182,Muuttujat!$N$5:$N$21,0),1))</f>
        <v>0.94</v>
      </c>
      <c r="Q182" s="342">
        <f>INDEX(Muuttujat!$O$5:$O$21,MATCH($C182,Muuttujat!$N$5:$N$21,0),1)</f>
        <v>0.06</v>
      </c>
      <c r="R182" s="148">
        <f>INDEX(Muuttujat!$P$5:$P$21,MATCH($C182,Muuttujat!$N$5:$N$21,0),1)</f>
        <v>6.2623560726971367E-2</v>
      </c>
      <c r="S182" s="149">
        <f t="shared" si="39"/>
        <v>0</v>
      </c>
      <c r="T182" s="150">
        <f t="shared" si="40"/>
        <v>0</v>
      </c>
      <c r="U182" s="150">
        <f t="shared" si="41"/>
        <v>0</v>
      </c>
      <c r="V182" s="150">
        <f>IFERROR(INDEX(Työkonekanta!$J$3:$J$27,MATCH($A182,Työkonekanta!$A$3:$A$24,0),1)*$B182*ef_li_ion_akku/1000/1000/INDEX(Työkonekanta!$K$3:$K$27,MATCH($A182,Työkonekanta!$A$3:$A$24,0)),0)</f>
        <v>0</v>
      </c>
      <c r="W182" s="149">
        <f t="shared" si="42"/>
        <v>0</v>
      </c>
      <c r="X182" s="150">
        <f t="shared" si="51"/>
        <v>0</v>
      </c>
      <c r="Y182" s="151">
        <f t="shared" si="52"/>
        <v>0</v>
      </c>
      <c r="Z182" s="152">
        <f t="shared" si="46"/>
        <v>0</v>
      </c>
      <c r="AA182" s="153">
        <f t="shared" si="47"/>
        <v>0</v>
      </c>
      <c r="AB182" s="153">
        <f t="shared" si="48"/>
        <v>0</v>
      </c>
      <c r="AC182" s="154">
        <f t="shared" si="53"/>
        <v>0</v>
      </c>
      <c r="AD182" s="156">
        <f t="shared" si="49"/>
        <v>0</v>
      </c>
    </row>
    <row r="183" spans="1:30" s="144" customFormat="1">
      <c r="A183" s="139">
        <v>1</v>
      </c>
      <c r="B183" s="139">
        <f>IFERROR(INDEX(Työkonekanta!$F$3:$F$27,MATCH('S0a Baseline'!$A183,Työkonekanta!$A$3:$A$24,0),1),0)</f>
        <v>1</v>
      </c>
      <c r="C183" s="140">
        <v>2025</v>
      </c>
      <c r="D183" s="141" t="str">
        <f>IFERROR(INDEX(Työkonekanta!$D$3:$D$27,MATCH('S0a Baseline'!$A183,Työkonekanta!$A$3:$A$24,0),1),"undefined")</f>
        <v>pom</v>
      </c>
      <c r="E183" s="145">
        <f>IFERROR(INDEX(Työkonekanta!$G$3:$G$27,MATCH($A183,Työkonekanta!$A$3:$A$24,0),1)*INDEX(Työkonekanta!$H$3:$H$27,MATCH($A183,Työkonekanta!$A$3:$A$24,0),1)*$B183,0)</f>
        <v>10000</v>
      </c>
      <c r="F183" s="344">
        <f t="shared" si="36"/>
        <v>359000</v>
      </c>
      <c r="G183" s="344">
        <f t="shared" si="43"/>
        <v>333870</v>
      </c>
      <c r="H183" s="344">
        <f t="shared" si="44"/>
        <v>25130.000000000004</v>
      </c>
      <c r="I183" s="145">
        <f t="shared" si="37"/>
        <v>9300</v>
      </c>
      <c r="J183" s="145">
        <f t="shared" si="38"/>
        <v>732.65306122448999</v>
      </c>
      <c r="K183" s="142" t="str">
        <f t="shared" si="45"/>
        <v>l</v>
      </c>
      <c r="L183" s="146">
        <f>IFERROR(INDEX(Työkonekanta!$I$3:$I$27,MATCH('S0a Baseline'!$A183,Työkonekanta!$A$3:$A$24,0),1)*(I183+J183)*f_adblue,0)</f>
        <v>501.63265306122452</v>
      </c>
      <c r="M183" s="146">
        <f t="shared" si="50"/>
        <v>0</v>
      </c>
      <c r="N183" s="143" t="str">
        <f>IF(tuulisähkö_vuosi&lt;='S0a Baseline'!C183,"tuulisähkö",ostosähkö_nyt)</f>
        <v>jäännössähkö</v>
      </c>
      <c r="O183" s="147">
        <f>INDEX(Muuttujat!$J$5:$J$21,MATCH($C183,Muuttujat!$H$5:$H$21,0),1)</f>
        <v>65.194885123382022</v>
      </c>
      <c r="P183" s="342">
        <f>1-(INDEX(Muuttujat!$O$5:$O$21,MATCH($C183,Muuttujat!$N$5:$N$21,0),1))</f>
        <v>0.92999999999999994</v>
      </c>
      <c r="Q183" s="342">
        <f>INDEX(Muuttujat!$O$5:$O$21,MATCH($C183,Muuttujat!$N$5:$N$21,0),1)</f>
        <v>7.0000000000000007E-2</v>
      </c>
      <c r="R183" s="148">
        <f>INDEX(Muuttujat!$P$5:$P$21,MATCH($C183,Muuttujat!$N$5:$N$21,0),1)</f>
        <v>7.3026850896560899E-2</v>
      </c>
      <c r="S183" s="149">
        <f t="shared" si="39"/>
        <v>6.3101429999999992</v>
      </c>
      <c r="T183" s="150">
        <f t="shared" si="40"/>
        <v>1.5681120000000004</v>
      </c>
      <c r="U183" s="150">
        <f t="shared" si="41"/>
        <v>0</v>
      </c>
      <c r="V183" s="150">
        <f>IFERROR(INDEX(Työkonekanta!$J$3:$J$27,MATCH($A183,Työkonekanta!$A$3:$A$24,0),1)*$B183*ef_li_ion_akku/1000/1000/INDEX(Työkonekanta!$K$3:$K$27,MATCH($A183,Työkonekanta!$A$3:$A$24,0)),0)</f>
        <v>0</v>
      </c>
      <c r="W183" s="149">
        <f t="shared" si="42"/>
        <v>24.642361855980003</v>
      </c>
      <c r="X183" s="150">
        <f t="shared" si="51"/>
        <v>0.31774565999999999</v>
      </c>
      <c r="Y183" s="151">
        <f t="shared" si="52"/>
        <v>0.13042448979591836</v>
      </c>
      <c r="Z183" s="152">
        <f t="shared" si="46"/>
        <v>7.8782549999999993</v>
      </c>
      <c r="AA183" s="153">
        <f t="shared" si="47"/>
        <v>24.77278634577592</v>
      </c>
      <c r="AB183" s="153">
        <f t="shared" si="48"/>
        <v>25.09053200577592</v>
      </c>
      <c r="AC183" s="154">
        <f t="shared" si="53"/>
        <v>32.651041345775923</v>
      </c>
      <c r="AD183" s="156">
        <f t="shared" si="49"/>
        <v>32.968787005775923</v>
      </c>
    </row>
    <row r="184" spans="1:30" s="144" customFormat="1">
      <c r="A184" s="139">
        <v>2</v>
      </c>
      <c r="B184" s="139">
        <f>IFERROR(INDEX(Työkonekanta!$F$3:$F$27,MATCH('S0a Baseline'!$A184,Työkonekanta!$A$3:$A$24,0),1),0)</f>
        <v>1</v>
      </c>
      <c r="C184" s="140">
        <v>2025</v>
      </c>
      <c r="D184" s="141" t="str">
        <f>IFERROR(INDEX(Työkonekanta!$D$3:$D$27,MATCH('S0a Baseline'!$A184,Työkonekanta!$A$3:$A$24,0),1),"undefined")</f>
        <v>pom</v>
      </c>
      <c r="E184" s="145">
        <f>IFERROR(INDEX(Työkonekanta!$G$3:$G$27,MATCH($A184,Työkonekanta!$A$3:$A$24,0),1)*INDEX(Työkonekanta!$H$3:$H$27,MATCH($A184,Työkonekanta!$A$3:$A$24,0),1)*$B184,0)</f>
        <v>10000</v>
      </c>
      <c r="F184" s="344">
        <f t="shared" si="36"/>
        <v>359000</v>
      </c>
      <c r="G184" s="344">
        <f t="shared" si="43"/>
        <v>333870</v>
      </c>
      <c r="H184" s="344">
        <f t="shared" si="44"/>
        <v>25130.000000000004</v>
      </c>
      <c r="I184" s="145">
        <f t="shared" si="37"/>
        <v>9300</v>
      </c>
      <c r="J184" s="145">
        <f t="shared" si="38"/>
        <v>732.65306122448999</v>
      </c>
      <c r="K184" s="142" t="str">
        <f t="shared" si="45"/>
        <v>l</v>
      </c>
      <c r="L184" s="146">
        <f>IFERROR(INDEX(Työkonekanta!$I$3:$I$27,MATCH('S0a Baseline'!$A184,Työkonekanta!$A$3:$A$24,0),1)*(I184+J184)*f_adblue,0)</f>
        <v>501.63265306122452</v>
      </c>
      <c r="M184" s="146">
        <f t="shared" si="50"/>
        <v>0</v>
      </c>
      <c r="N184" s="143" t="str">
        <f>IF(tuulisähkö_vuosi&lt;='S0a Baseline'!C184,"tuulisähkö",ostosähkö_nyt)</f>
        <v>jäännössähkö</v>
      </c>
      <c r="O184" s="147">
        <f>INDEX(Muuttujat!$J$5:$J$21,MATCH($C184,Muuttujat!$H$5:$H$21,0),1)</f>
        <v>65.194885123382022</v>
      </c>
      <c r="P184" s="342">
        <f>1-(INDEX(Muuttujat!$O$5:$O$21,MATCH($C184,Muuttujat!$N$5:$N$21,0),1))</f>
        <v>0.92999999999999994</v>
      </c>
      <c r="Q184" s="342">
        <f>INDEX(Muuttujat!$O$5:$O$21,MATCH($C184,Muuttujat!$N$5:$N$21,0),1)</f>
        <v>7.0000000000000007E-2</v>
      </c>
      <c r="R184" s="148">
        <f>INDEX(Muuttujat!$P$5:$P$21,MATCH($C184,Muuttujat!$N$5:$N$21,0),1)</f>
        <v>7.3026850896560899E-2</v>
      </c>
      <c r="S184" s="149">
        <f t="shared" si="39"/>
        <v>6.3101429999999992</v>
      </c>
      <c r="T184" s="150">
        <f t="shared" si="40"/>
        <v>1.5681120000000004</v>
      </c>
      <c r="U184" s="150">
        <f t="shared" si="41"/>
        <v>0</v>
      </c>
      <c r="V184" s="150">
        <f>IFERROR(INDEX(Työkonekanta!$J$3:$J$27,MATCH($A184,Työkonekanta!$A$3:$A$24,0),1)*$B184*ef_li_ion_akku/1000/1000/INDEX(Työkonekanta!$K$3:$K$27,MATCH($A184,Työkonekanta!$A$3:$A$24,0)),0)</f>
        <v>0</v>
      </c>
      <c r="W184" s="149">
        <f t="shared" si="42"/>
        <v>24.642361855980003</v>
      </c>
      <c r="X184" s="150">
        <f t="shared" si="51"/>
        <v>0.31774565999999999</v>
      </c>
      <c r="Y184" s="151">
        <f t="shared" si="52"/>
        <v>0.13042448979591836</v>
      </c>
      <c r="Z184" s="152">
        <f t="shared" si="46"/>
        <v>7.8782549999999993</v>
      </c>
      <c r="AA184" s="153">
        <f t="shared" si="47"/>
        <v>24.77278634577592</v>
      </c>
      <c r="AB184" s="153">
        <f t="shared" si="48"/>
        <v>25.09053200577592</v>
      </c>
      <c r="AC184" s="154">
        <f t="shared" si="53"/>
        <v>32.651041345775923</v>
      </c>
      <c r="AD184" s="156">
        <f t="shared" si="49"/>
        <v>32.968787005775923</v>
      </c>
    </row>
    <row r="185" spans="1:30" s="144" customFormat="1">
      <c r="A185" s="139">
        <v>3</v>
      </c>
      <c r="B185" s="139">
        <f>IFERROR(INDEX(Työkonekanta!$F$3:$F$27,MATCH('S0a Baseline'!$A185,Työkonekanta!$A$3:$A$24,0),1),0)</f>
        <v>1</v>
      </c>
      <c r="C185" s="140">
        <v>2025</v>
      </c>
      <c r="D185" s="141" t="str">
        <f>IFERROR(INDEX(Työkonekanta!$D$3:$D$27,MATCH('S0a Baseline'!$A185,Työkonekanta!$A$3:$A$24,0),1),"undefined")</f>
        <v>pom</v>
      </c>
      <c r="E185" s="145">
        <f>IFERROR(INDEX(Työkonekanta!$G$3:$G$27,MATCH($A185,Työkonekanta!$A$3:$A$24,0),1)*INDEX(Työkonekanta!$H$3:$H$27,MATCH($A185,Työkonekanta!$A$3:$A$24,0),1)*$B185,0)</f>
        <v>10000</v>
      </c>
      <c r="F185" s="344">
        <f t="shared" si="36"/>
        <v>359000</v>
      </c>
      <c r="G185" s="344">
        <f t="shared" si="43"/>
        <v>333870</v>
      </c>
      <c r="H185" s="344">
        <f t="shared" si="44"/>
        <v>25130.000000000004</v>
      </c>
      <c r="I185" s="145">
        <f t="shared" si="37"/>
        <v>9300</v>
      </c>
      <c r="J185" s="145">
        <f t="shared" si="38"/>
        <v>732.65306122448999</v>
      </c>
      <c r="K185" s="142" t="str">
        <f t="shared" si="45"/>
        <v>l</v>
      </c>
      <c r="L185" s="146">
        <f>IFERROR(INDEX(Työkonekanta!$I$3:$I$27,MATCH('S0a Baseline'!$A185,Työkonekanta!$A$3:$A$24,0),1)*(I185+J185)*f_adblue,0)</f>
        <v>501.63265306122452</v>
      </c>
      <c r="M185" s="146">
        <f t="shared" si="50"/>
        <v>0</v>
      </c>
      <c r="N185" s="143" t="str">
        <f>IF(tuulisähkö_vuosi&lt;='S0a Baseline'!C185,"tuulisähkö",ostosähkö_nyt)</f>
        <v>jäännössähkö</v>
      </c>
      <c r="O185" s="147">
        <f>INDEX(Muuttujat!$J$5:$J$21,MATCH($C185,Muuttujat!$H$5:$H$21,0),1)</f>
        <v>65.194885123382022</v>
      </c>
      <c r="P185" s="342">
        <f>1-(INDEX(Muuttujat!$O$5:$O$21,MATCH($C185,Muuttujat!$N$5:$N$21,0),1))</f>
        <v>0.92999999999999994</v>
      </c>
      <c r="Q185" s="342">
        <f>INDEX(Muuttujat!$O$5:$O$21,MATCH($C185,Muuttujat!$N$5:$N$21,0),1)</f>
        <v>7.0000000000000007E-2</v>
      </c>
      <c r="R185" s="148">
        <f>INDEX(Muuttujat!$P$5:$P$21,MATCH($C185,Muuttujat!$N$5:$N$21,0),1)</f>
        <v>7.3026850896560899E-2</v>
      </c>
      <c r="S185" s="149">
        <f t="shared" si="39"/>
        <v>6.3101429999999992</v>
      </c>
      <c r="T185" s="150">
        <f t="shared" si="40"/>
        <v>1.5681120000000004</v>
      </c>
      <c r="U185" s="150">
        <f t="shared" si="41"/>
        <v>0</v>
      </c>
      <c r="V185" s="150">
        <f>IFERROR(INDEX(Työkonekanta!$J$3:$J$27,MATCH($A185,Työkonekanta!$A$3:$A$24,0),1)*$B185*ef_li_ion_akku/1000/1000/INDEX(Työkonekanta!$K$3:$K$27,MATCH($A185,Työkonekanta!$A$3:$A$24,0)),0)</f>
        <v>0</v>
      </c>
      <c r="W185" s="149">
        <f t="shared" si="42"/>
        <v>24.642361855980003</v>
      </c>
      <c r="X185" s="150">
        <f t="shared" si="51"/>
        <v>0.31774565999999999</v>
      </c>
      <c r="Y185" s="151">
        <f t="shared" si="52"/>
        <v>0.13042448979591836</v>
      </c>
      <c r="Z185" s="152">
        <f t="shared" si="46"/>
        <v>7.8782549999999993</v>
      </c>
      <c r="AA185" s="153">
        <f t="shared" si="47"/>
        <v>24.77278634577592</v>
      </c>
      <c r="AB185" s="153">
        <f t="shared" si="48"/>
        <v>25.09053200577592</v>
      </c>
      <c r="AC185" s="154">
        <f t="shared" si="53"/>
        <v>32.651041345775923</v>
      </c>
      <c r="AD185" s="156">
        <f t="shared" si="49"/>
        <v>32.968787005775923</v>
      </c>
    </row>
    <row r="186" spans="1:30" s="144" customFormat="1">
      <c r="A186" s="139">
        <v>4</v>
      </c>
      <c r="B186" s="139">
        <f>IFERROR(INDEX(Työkonekanta!$F$3:$F$27,MATCH('S0a Baseline'!$A186,Työkonekanta!$A$3:$A$24,0),1),0)</f>
        <v>1</v>
      </c>
      <c r="C186" s="140">
        <v>2025</v>
      </c>
      <c r="D186" s="141" t="str">
        <f>IFERROR(INDEX(Työkonekanta!$D$3:$D$27,MATCH('S0a Baseline'!$A186,Työkonekanta!$A$3:$A$24,0),1),"undefined")</f>
        <v>pom</v>
      </c>
      <c r="E186" s="145">
        <f>IFERROR(INDEX(Työkonekanta!$G$3:$G$27,MATCH($A186,Työkonekanta!$A$3:$A$24,0),1)*INDEX(Työkonekanta!$H$3:$H$27,MATCH($A186,Työkonekanta!$A$3:$A$24,0),1)*$B186,0)</f>
        <v>10000</v>
      </c>
      <c r="F186" s="344">
        <f t="shared" si="36"/>
        <v>359000</v>
      </c>
      <c r="G186" s="344">
        <f t="shared" si="43"/>
        <v>333870</v>
      </c>
      <c r="H186" s="344">
        <f t="shared" si="44"/>
        <v>25130.000000000004</v>
      </c>
      <c r="I186" s="145">
        <f t="shared" si="37"/>
        <v>9300</v>
      </c>
      <c r="J186" s="145">
        <f t="shared" si="38"/>
        <v>732.65306122448999</v>
      </c>
      <c r="K186" s="142" t="str">
        <f t="shared" si="45"/>
        <v>l</v>
      </c>
      <c r="L186" s="146">
        <f>IFERROR(INDEX(Työkonekanta!$I$3:$I$27,MATCH('S0a Baseline'!$A186,Työkonekanta!$A$3:$A$24,0),1)*(I186+J186)*f_adblue,0)</f>
        <v>501.63265306122452</v>
      </c>
      <c r="M186" s="146">
        <f t="shared" si="50"/>
        <v>0</v>
      </c>
      <c r="N186" s="143" t="str">
        <f>IF(tuulisähkö_vuosi&lt;='S0a Baseline'!C186,"tuulisähkö",ostosähkö_nyt)</f>
        <v>jäännössähkö</v>
      </c>
      <c r="O186" s="147">
        <f>INDEX(Muuttujat!$J$5:$J$21,MATCH($C186,Muuttujat!$H$5:$H$21,0),1)</f>
        <v>65.194885123382022</v>
      </c>
      <c r="P186" s="342">
        <f>1-(INDEX(Muuttujat!$O$5:$O$21,MATCH($C186,Muuttujat!$N$5:$N$21,0),1))</f>
        <v>0.92999999999999994</v>
      </c>
      <c r="Q186" s="342">
        <f>INDEX(Muuttujat!$O$5:$O$21,MATCH($C186,Muuttujat!$N$5:$N$21,0),1)</f>
        <v>7.0000000000000007E-2</v>
      </c>
      <c r="R186" s="148">
        <f>INDEX(Muuttujat!$P$5:$P$21,MATCH($C186,Muuttujat!$N$5:$N$21,0),1)</f>
        <v>7.3026850896560899E-2</v>
      </c>
      <c r="S186" s="149">
        <f t="shared" si="39"/>
        <v>6.3101429999999992</v>
      </c>
      <c r="T186" s="150">
        <f t="shared" si="40"/>
        <v>1.5681120000000004</v>
      </c>
      <c r="U186" s="150">
        <f t="shared" si="41"/>
        <v>0</v>
      </c>
      <c r="V186" s="150">
        <f>IFERROR(INDEX(Työkonekanta!$J$3:$J$27,MATCH($A186,Työkonekanta!$A$3:$A$24,0),1)*$B186*ef_li_ion_akku/1000/1000/INDEX(Työkonekanta!$K$3:$K$27,MATCH($A186,Työkonekanta!$A$3:$A$24,0)),0)</f>
        <v>0</v>
      </c>
      <c r="W186" s="149">
        <f t="shared" si="42"/>
        <v>24.642361855980003</v>
      </c>
      <c r="X186" s="150">
        <f t="shared" si="51"/>
        <v>0.31774565999999999</v>
      </c>
      <c r="Y186" s="151">
        <f t="shared" si="52"/>
        <v>0.13042448979591836</v>
      </c>
      <c r="Z186" s="152">
        <f t="shared" si="46"/>
        <v>7.8782549999999993</v>
      </c>
      <c r="AA186" s="153">
        <f t="shared" si="47"/>
        <v>24.77278634577592</v>
      </c>
      <c r="AB186" s="153">
        <f t="shared" si="48"/>
        <v>25.09053200577592</v>
      </c>
      <c r="AC186" s="154">
        <f t="shared" si="53"/>
        <v>32.651041345775923</v>
      </c>
      <c r="AD186" s="156">
        <f t="shared" si="49"/>
        <v>32.968787005775923</v>
      </c>
    </row>
    <row r="187" spans="1:30" s="144" customFormat="1">
      <c r="A187" s="139">
        <v>5</v>
      </c>
      <c r="B187" s="139">
        <f>IFERROR(INDEX(Työkonekanta!$F$3:$F$27,MATCH('S0a Baseline'!$A187,Työkonekanta!$A$3:$A$24,0),1),0)</f>
        <v>0</v>
      </c>
      <c r="C187" s="140">
        <v>2025</v>
      </c>
      <c r="D187" s="141" t="str">
        <f>IFERROR(INDEX(Työkonekanta!$D$3:$D$27,MATCH('S0a Baseline'!$A187,Työkonekanta!$A$3:$A$24,0),1),"undefined")</f>
        <v>sähkö</v>
      </c>
      <c r="E187" s="145">
        <f>IFERROR(INDEX(Työkonekanta!$G$3:$G$27,MATCH($A187,Työkonekanta!$A$3:$A$24,0),1)*INDEX(Työkonekanta!$H$3:$H$27,MATCH($A187,Työkonekanta!$A$3:$A$24,0),1)*$B187,0)</f>
        <v>0</v>
      </c>
      <c r="F187" s="344">
        <f t="shared" si="36"/>
        <v>0</v>
      </c>
      <c r="G187" s="344">
        <f t="shared" si="43"/>
        <v>0</v>
      </c>
      <c r="H187" s="344">
        <f t="shared" si="44"/>
        <v>0</v>
      </c>
      <c r="I187" s="145">
        <f t="shared" si="37"/>
        <v>0</v>
      </c>
      <c r="J187" s="145">
        <f t="shared" si="38"/>
        <v>0</v>
      </c>
      <c r="K187" s="142" t="str">
        <f t="shared" si="45"/>
        <v>kWh</v>
      </c>
      <c r="L187" s="146">
        <f>IFERROR(INDEX(Työkonekanta!$I$3:$I$27,MATCH('S0a Baseline'!$A187,Työkonekanta!$A$3:$A$24,0),1)*(I187+J187)*f_adblue,0)</f>
        <v>0</v>
      </c>
      <c r="M187" s="146">
        <f t="shared" si="50"/>
        <v>0</v>
      </c>
      <c r="N187" s="143" t="str">
        <f>IF(tuulisähkö_vuosi&lt;='S0a Baseline'!C187,"tuulisähkö",ostosähkö_nyt)</f>
        <v>jäännössähkö</v>
      </c>
      <c r="O187" s="147">
        <f>INDEX(Muuttujat!$J$5:$J$21,MATCH($C187,Muuttujat!$H$5:$H$21,0),1)</f>
        <v>65.194885123382022</v>
      </c>
      <c r="P187" s="342">
        <f>1-(INDEX(Muuttujat!$O$5:$O$21,MATCH($C187,Muuttujat!$N$5:$N$21,0),1))</f>
        <v>0.92999999999999994</v>
      </c>
      <c r="Q187" s="342">
        <f>INDEX(Muuttujat!$O$5:$O$21,MATCH($C187,Muuttujat!$N$5:$N$21,0),1)</f>
        <v>7.0000000000000007E-2</v>
      </c>
      <c r="R187" s="148">
        <f>INDEX(Muuttujat!$P$5:$P$21,MATCH($C187,Muuttujat!$N$5:$N$21,0),1)</f>
        <v>7.3026850896560899E-2</v>
      </c>
      <c r="S187" s="149">
        <f t="shared" si="39"/>
        <v>0</v>
      </c>
      <c r="T187" s="150">
        <f t="shared" si="40"/>
        <v>0</v>
      </c>
      <c r="U187" s="150">
        <f t="shared" si="41"/>
        <v>0</v>
      </c>
      <c r="V187" s="150">
        <f>IFERROR(INDEX(Työkonekanta!$J$3:$J$27,MATCH($A187,Työkonekanta!$A$3:$A$24,0),1)*$B187*ef_li_ion_akku/1000/1000/INDEX(Työkonekanta!$K$3:$K$27,MATCH($A187,Työkonekanta!$A$3:$A$24,0)),0)</f>
        <v>0</v>
      </c>
      <c r="W187" s="149">
        <f t="shared" si="42"/>
        <v>0</v>
      </c>
      <c r="X187" s="150">
        <f t="shared" si="51"/>
        <v>0</v>
      </c>
      <c r="Y187" s="151">
        <f t="shared" si="52"/>
        <v>0</v>
      </c>
      <c r="Z187" s="152">
        <f t="shared" si="46"/>
        <v>0</v>
      </c>
      <c r="AA187" s="153">
        <f t="shared" si="47"/>
        <v>0</v>
      </c>
      <c r="AB187" s="153">
        <f t="shared" si="48"/>
        <v>0</v>
      </c>
      <c r="AC187" s="154">
        <f t="shared" si="53"/>
        <v>0</v>
      </c>
      <c r="AD187" s="156">
        <f t="shared" si="49"/>
        <v>0</v>
      </c>
    </row>
    <row r="188" spans="1:30" s="144" customFormat="1">
      <c r="A188" s="139">
        <v>6</v>
      </c>
      <c r="B188" s="139">
        <f>IFERROR(INDEX(Työkonekanta!$F$3:$F$27,MATCH('S0a Baseline'!$A188,Työkonekanta!$A$3:$A$24,0),1),0)</f>
        <v>0</v>
      </c>
      <c r="C188" s="140">
        <v>2025</v>
      </c>
      <c r="D188" s="141" t="str">
        <f>IFERROR(INDEX(Työkonekanta!$D$3:$D$27,MATCH('S0a Baseline'!$A188,Työkonekanta!$A$3:$A$24,0),1),"undefined")</f>
        <v>sähkö</v>
      </c>
      <c r="E188" s="145">
        <f>IFERROR(INDEX(Työkonekanta!$G$3:$G$27,MATCH($A188,Työkonekanta!$A$3:$A$24,0),1)*INDEX(Työkonekanta!$H$3:$H$27,MATCH($A188,Työkonekanta!$A$3:$A$24,0),1)*$B188,0)</f>
        <v>0</v>
      </c>
      <c r="F188" s="344">
        <f t="shared" si="36"/>
        <v>0</v>
      </c>
      <c r="G188" s="344">
        <f t="shared" si="43"/>
        <v>0</v>
      </c>
      <c r="H188" s="344">
        <f t="shared" si="44"/>
        <v>0</v>
      </c>
      <c r="I188" s="145">
        <f t="shared" si="37"/>
        <v>0</v>
      </c>
      <c r="J188" s="145">
        <f t="shared" si="38"/>
        <v>0</v>
      </c>
      <c r="K188" s="142" t="str">
        <f t="shared" si="45"/>
        <v>kWh</v>
      </c>
      <c r="L188" s="146">
        <f>IFERROR(INDEX(Työkonekanta!$I$3:$I$27,MATCH('S0a Baseline'!$A188,Työkonekanta!$A$3:$A$24,0),1)*(I188+J188)*f_adblue,0)</f>
        <v>0</v>
      </c>
      <c r="M188" s="146">
        <f t="shared" si="50"/>
        <v>0</v>
      </c>
      <c r="N188" s="143" t="str">
        <f>IF(tuulisähkö_vuosi&lt;='S0a Baseline'!C188,"tuulisähkö",ostosähkö_nyt)</f>
        <v>jäännössähkö</v>
      </c>
      <c r="O188" s="147">
        <f>INDEX(Muuttujat!$J$5:$J$21,MATCH($C188,Muuttujat!$H$5:$H$21,0),1)</f>
        <v>65.194885123382022</v>
      </c>
      <c r="P188" s="342">
        <f>1-(INDEX(Muuttujat!$O$5:$O$21,MATCH($C188,Muuttujat!$N$5:$N$21,0),1))</f>
        <v>0.92999999999999994</v>
      </c>
      <c r="Q188" s="342">
        <f>INDEX(Muuttujat!$O$5:$O$21,MATCH($C188,Muuttujat!$N$5:$N$21,0),1)</f>
        <v>7.0000000000000007E-2</v>
      </c>
      <c r="R188" s="148">
        <f>INDEX(Muuttujat!$P$5:$P$21,MATCH($C188,Muuttujat!$N$5:$N$21,0),1)</f>
        <v>7.3026850896560899E-2</v>
      </c>
      <c r="S188" s="149">
        <f t="shared" si="39"/>
        <v>0</v>
      </c>
      <c r="T188" s="150">
        <f t="shared" si="40"/>
        <v>0</v>
      </c>
      <c r="U188" s="150">
        <f t="shared" si="41"/>
        <v>0</v>
      </c>
      <c r="V188" s="150">
        <f>IFERROR(INDEX(Työkonekanta!$J$3:$J$27,MATCH($A188,Työkonekanta!$A$3:$A$24,0),1)*$B188*ef_li_ion_akku/1000/1000/INDEX(Työkonekanta!$K$3:$K$27,MATCH($A188,Työkonekanta!$A$3:$A$24,0)),0)</f>
        <v>0</v>
      </c>
      <c r="W188" s="149">
        <f t="shared" si="42"/>
        <v>0</v>
      </c>
      <c r="X188" s="150">
        <f t="shared" si="51"/>
        <v>0</v>
      </c>
      <c r="Y188" s="151">
        <f t="shared" si="52"/>
        <v>0</v>
      </c>
      <c r="Z188" s="152">
        <f t="shared" si="46"/>
        <v>0</v>
      </c>
      <c r="AA188" s="153">
        <f t="shared" si="47"/>
        <v>0</v>
      </c>
      <c r="AB188" s="153">
        <f t="shared" si="48"/>
        <v>0</v>
      </c>
      <c r="AC188" s="154">
        <f t="shared" si="53"/>
        <v>0</v>
      </c>
      <c r="AD188" s="156">
        <f t="shared" si="49"/>
        <v>0</v>
      </c>
    </row>
    <row r="189" spans="1:30" s="144" customFormat="1">
      <c r="A189" s="139">
        <v>7</v>
      </c>
      <c r="B189" s="139">
        <f>IFERROR(INDEX(Työkonekanta!$F$3:$F$27,MATCH('S0a Baseline'!$A189,Työkonekanta!$A$3:$A$24,0),1),0)</f>
        <v>1</v>
      </c>
      <c r="C189" s="140">
        <v>2025</v>
      </c>
      <c r="D189" s="141" t="str">
        <f>IFERROR(INDEX(Työkonekanta!$D$3:$D$27,MATCH('S0a Baseline'!$A189,Työkonekanta!$A$3:$A$24,0),1),"undefined")</f>
        <v>pom</v>
      </c>
      <c r="E189" s="145">
        <f>IFERROR(INDEX(Työkonekanta!$G$3:$G$27,MATCH($A189,Työkonekanta!$A$3:$A$24,0),1)*INDEX(Työkonekanta!$H$3:$H$27,MATCH($A189,Työkonekanta!$A$3:$A$24,0),1)*$B189,0)</f>
        <v>10000</v>
      </c>
      <c r="F189" s="344">
        <f t="shared" si="36"/>
        <v>359000</v>
      </c>
      <c r="G189" s="344">
        <f t="shared" si="43"/>
        <v>333870</v>
      </c>
      <c r="H189" s="344">
        <f t="shared" si="44"/>
        <v>25130.000000000004</v>
      </c>
      <c r="I189" s="145">
        <f t="shared" si="37"/>
        <v>9300</v>
      </c>
      <c r="J189" s="145">
        <f t="shared" si="38"/>
        <v>732.65306122448999</v>
      </c>
      <c r="K189" s="142" t="str">
        <f t="shared" si="45"/>
        <v>l</v>
      </c>
      <c r="L189" s="146">
        <f>IFERROR(INDEX(Työkonekanta!$I$3:$I$27,MATCH('S0a Baseline'!$A189,Työkonekanta!$A$3:$A$24,0),1)*(I189+J189)*f_adblue,0)</f>
        <v>0</v>
      </c>
      <c r="M189" s="146">
        <f t="shared" si="50"/>
        <v>0</v>
      </c>
      <c r="N189" s="143" t="str">
        <f>IF(tuulisähkö_vuosi&lt;='S0a Baseline'!C189,"tuulisähkö",ostosähkö_nyt)</f>
        <v>jäännössähkö</v>
      </c>
      <c r="O189" s="147">
        <f>INDEX(Muuttujat!$J$5:$J$21,MATCH($C189,Muuttujat!$H$5:$H$21,0),1)</f>
        <v>65.194885123382022</v>
      </c>
      <c r="P189" s="342">
        <f>1-(INDEX(Muuttujat!$O$5:$O$21,MATCH($C189,Muuttujat!$N$5:$N$21,0),1))</f>
        <v>0.92999999999999994</v>
      </c>
      <c r="Q189" s="342">
        <f>INDEX(Muuttujat!$O$5:$O$21,MATCH($C189,Muuttujat!$N$5:$N$21,0),1)</f>
        <v>7.0000000000000007E-2</v>
      </c>
      <c r="R189" s="148">
        <f>INDEX(Muuttujat!$P$5:$P$21,MATCH($C189,Muuttujat!$N$5:$N$21,0),1)</f>
        <v>7.3026850896560899E-2</v>
      </c>
      <c r="S189" s="149">
        <f t="shared" si="39"/>
        <v>6.3101429999999992</v>
      </c>
      <c r="T189" s="150">
        <f t="shared" si="40"/>
        <v>1.5681120000000004</v>
      </c>
      <c r="U189" s="150">
        <f t="shared" si="41"/>
        <v>0</v>
      </c>
      <c r="V189" s="150">
        <f>IFERROR(INDEX(Työkonekanta!$J$3:$J$27,MATCH($A189,Työkonekanta!$A$3:$A$24,0),1)*$B189*ef_li_ion_akku/1000/1000/INDEX(Työkonekanta!$K$3:$K$27,MATCH($A189,Työkonekanta!$A$3:$A$24,0)),0)</f>
        <v>0</v>
      </c>
      <c r="W189" s="149">
        <f t="shared" si="42"/>
        <v>24.642361855980003</v>
      </c>
      <c r="X189" s="150">
        <f t="shared" si="51"/>
        <v>0.31774565999999999</v>
      </c>
      <c r="Y189" s="151">
        <f t="shared" si="52"/>
        <v>0</v>
      </c>
      <c r="Z189" s="152">
        <f t="shared" si="46"/>
        <v>7.8782549999999993</v>
      </c>
      <c r="AA189" s="153">
        <f t="shared" si="47"/>
        <v>24.642361855980003</v>
      </c>
      <c r="AB189" s="153">
        <f t="shared" si="48"/>
        <v>24.960107515980003</v>
      </c>
      <c r="AC189" s="154">
        <f t="shared" si="53"/>
        <v>32.520616855980002</v>
      </c>
      <c r="AD189" s="156">
        <f t="shared" si="49"/>
        <v>32.838362515980002</v>
      </c>
    </row>
    <row r="190" spans="1:30" s="144" customFormat="1">
      <c r="A190" s="139">
        <v>8</v>
      </c>
      <c r="B190" s="139">
        <f>IFERROR(INDEX(Työkonekanta!$F$3:$F$27,MATCH('S0a Baseline'!$A190,Työkonekanta!$A$3:$A$24,0),1),0)</f>
        <v>1</v>
      </c>
      <c r="C190" s="140">
        <v>2025</v>
      </c>
      <c r="D190" s="141" t="str">
        <f>IFERROR(INDEX(Työkonekanta!$D$3:$D$27,MATCH('S0a Baseline'!$A190,Työkonekanta!$A$3:$A$24,0),1),"undefined")</f>
        <v>pom</v>
      </c>
      <c r="E190" s="145">
        <f>IFERROR(INDEX(Työkonekanta!$G$3:$G$27,MATCH($A190,Työkonekanta!$A$3:$A$24,0),1)*INDEX(Työkonekanta!$H$3:$H$27,MATCH($A190,Työkonekanta!$A$3:$A$24,0),1)*$B190,0)</f>
        <v>10000</v>
      </c>
      <c r="F190" s="344">
        <f t="shared" si="36"/>
        <v>359000</v>
      </c>
      <c r="G190" s="344">
        <f t="shared" si="43"/>
        <v>333870</v>
      </c>
      <c r="H190" s="344">
        <f t="shared" si="44"/>
        <v>25130.000000000004</v>
      </c>
      <c r="I190" s="145">
        <f t="shared" si="37"/>
        <v>9300</v>
      </c>
      <c r="J190" s="145">
        <f t="shared" si="38"/>
        <v>732.65306122448999</v>
      </c>
      <c r="K190" s="142" t="str">
        <f t="shared" si="45"/>
        <v>l</v>
      </c>
      <c r="L190" s="146">
        <f>IFERROR(INDEX(Työkonekanta!$I$3:$I$27,MATCH('S0a Baseline'!$A190,Työkonekanta!$A$3:$A$24,0),1)*(I190+J190)*f_adblue,0)</f>
        <v>501.63265306122452</v>
      </c>
      <c r="M190" s="146">
        <f t="shared" si="50"/>
        <v>0</v>
      </c>
      <c r="N190" s="143" t="str">
        <f>IF(tuulisähkö_vuosi&lt;='S0a Baseline'!C190,"tuulisähkö",ostosähkö_nyt)</f>
        <v>jäännössähkö</v>
      </c>
      <c r="O190" s="147">
        <f>INDEX(Muuttujat!$J$5:$J$21,MATCH($C190,Muuttujat!$H$5:$H$21,0),1)</f>
        <v>65.194885123382022</v>
      </c>
      <c r="P190" s="342">
        <f>1-(INDEX(Muuttujat!$O$5:$O$21,MATCH($C190,Muuttujat!$N$5:$N$21,0),1))</f>
        <v>0.92999999999999994</v>
      </c>
      <c r="Q190" s="342">
        <f>INDEX(Muuttujat!$O$5:$O$21,MATCH($C190,Muuttujat!$N$5:$N$21,0),1)</f>
        <v>7.0000000000000007E-2</v>
      </c>
      <c r="R190" s="148">
        <f>INDEX(Muuttujat!$P$5:$P$21,MATCH($C190,Muuttujat!$N$5:$N$21,0),1)</f>
        <v>7.3026850896560899E-2</v>
      </c>
      <c r="S190" s="149">
        <f t="shared" si="39"/>
        <v>6.3101429999999992</v>
      </c>
      <c r="T190" s="150">
        <f t="shared" si="40"/>
        <v>1.5681120000000004</v>
      </c>
      <c r="U190" s="150">
        <f t="shared" si="41"/>
        <v>0</v>
      </c>
      <c r="V190" s="150">
        <f>IFERROR(INDEX(Työkonekanta!$J$3:$J$27,MATCH($A190,Työkonekanta!$A$3:$A$24,0),1)*$B190*ef_li_ion_akku/1000/1000/INDEX(Työkonekanta!$K$3:$K$27,MATCH($A190,Työkonekanta!$A$3:$A$24,0)),0)</f>
        <v>0</v>
      </c>
      <c r="W190" s="149">
        <f t="shared" si="42"/>
        <v>24.642361855980003</v>
      </c>
      <c r="X190" s="150">
        <f t="shared" si="51"/>
        <v>0.31774565999999999</v>
      </c>
      <c r="Y190" s="151">
        <f t="shared" si="52"/>
        <v>0.13042448979591836</v>
      </c>
      <c r="Z190" s="152">
        <f t="shared" si="46"/>
        <v>7.8782549999999993</v>
      </c>
      <c r="AA190" s="153">
        <f t="shared" si="47"/>
        <v>24.77278634577592</v>
      </c>
      <c r="AB190" s="153">
        <f t="shared" si="48"/>
        <v>25.09053200577592</v>
      </c>
      <c r="AC190" s="154">
        <f t="shared" si="53"/>
        <v>32.651041345775923</v>
      </c>
      <c r="AD190" s="156">
        <f t="shared" si="49"/>
        <v>32.968787005775923</v>
      </c>
    </row>
    <row r="191" spans="1:30" s="144" customFormat="1">
      <c r="A191" s="139">
        <v>9</v>
      </c>
      <c r="B191" s="139">
        <f>IFERROR(INDEX(Työkonekanta!$F$3:$F$27,MATCH('S0a Baseline'!$A191,Työkonekanta!$A$3:$A$24,0),1),0)</f>
        <v>0</v>
      </c>
      <c r="C191" s="140">
        <v>2025</v>
      </c>
      <c r="D191" s="141" t="str">
        <f>IFERROR(INDEX(Työkonekanta!$D$3:$D$27,MATCH('S0a Baseline'!$A191,Työkonekanta!$A$3:$A$24,0),1),"undefined")</f>
        <v>sähkö</v>
      </c>
      <c r="E191" s="145">
        <f>IFERROR(INDEX(Työkonekanta!$G$3:$G$27,MATCH($A191,Työkonekanta!$A$3:$A$24,0),1)*INDEX(Työkonekanta!$H$3:$H$27,MATCH($A191,Työkonekanta!$A$3:$A$24,0),1)*$B191,0)</f>
        <v>0</v>
      </c>
      <c r="F191" s="344">
        <f t="shared" si="36"/>
        <v>0</v>
      </c>
      <c r="G191" s="344">
        <f t="shared" si="43"/>
        <v>0</v>
      </c>
      <c r="H191" s="344">
        <f t="shared" si="44"/>
        <v>0</v>
      </c>
      <c r="I191" s="145">
        <f t="shared" si="37"/>
        <v>0</v>
      </c>
      <c r="J191" s="145">
        <f t="shared" si="38"/>
        <v>0</v>
      </c>
      <c r="K191" s="142" t="str">
        <f t="shared" si="45"/>
        <v>kWh</v>
      </c>
      <c r="L191" s="146">
        <f>IFERROR(INDEX(Työkonekanta!$I$3:$I$27,MATCH('S0a Baseline'!$A191,Työkonekanta!$A$3:$A$24,0),1)*(I191+J191)*f_adblue,0)</f>
        <v>0</v>
      </c>
      <c r="M191" s="146">
        <f t="shared" si="50"/>
        <v>0</v>
      </c>
      <c r="N191" s="143" t="str">
        <f>IF(tuulisähkö_vuosi&lt;='S0a Baseline'!C191,"tuulisähkö",ostosähkö_nyt)</f>
        <v>jäännössähkö</v>
      </c>
      <c r="O191" s="147">
        <f>INDEX(Muuttujat!$J$5:$J$21,MATCH($C191,Muuttujat!$H$5:$H$21,0),1)</f>
        <v>65.194885123382022</v>
      </c>
      <c r="P191" s="342">
        <f>1-(INDEX(Muuttujat!$O$5:$O$21,MATCH($C191,Muuttujat!$N$5:$N$21,0),1))</f>
        <v>0.92999999999999994</v>
      </c>
      <c r="Q191" s="342">
        <f>INDEX(Muuttujat!$O$5:$O$21,MATCH($C191,Muuttujat!$N$5:$N$21,0),1)</f>
        <v>7.0000000000000007E-2</v>
      </c>
      <c r="R191" s="148">
        <f>INDEX(Muuttujat!$P$5:$P$21,MATCH($C191,Muuttujat!$N$5:$N$21,0),1)</f>
        <v>7.3026850896560899E-2</v>
      </c>
      <c r="S191" s="149">
        <f t="shared" si="39"/>
        <v>0</v>
      </c>
      <c r="T191" s="150">
        <f t="shared" si="40"/>
        <v>0</v>
      </c>
      <c r="U191" s="150">
        <f t="shared" si="41"/>
        <v>0</v>
      </c>
      <c r="V191" s="150">
        <f>IFERROR(INDEX(Työkonekanta!$J$3:$J$27,MATCH($A191,Työkonekanta!$A$3:$A$24,0),1)*$B191*ef_li_ion_akku/1000/1000/INDEX(Työkonekanta!$K$3:$K$27,MATCH($A191,Työkonekanta!$A$3:$A$24,0)),0)</f>
        <v>0</v>
      </c>
      <c r="W191" s="149">
        <f t="shared" si="42"/>
        <v>0</v>
      </c>
      <c r="X191" s="150">
        <f t="shared" si="51"/>
        <v>0</v>
      </c>
      <c r="Y191" s="151">
        <f t="shared" si="52"/>
        <v>0</v>
      </c>
      <c r="Z191" s="152">
        <f t="shared" si="46"/>
        <v>0</v>
      </c>
      <c r="AA191" s="153">
        <f t="shared" si="47"/>
        <v>0</v>
      </c>
      <c r="AB191" s="153">
        <f t="shared" si="48"/>
        <v>0</v>
      </c>
      <c r="AC191" s="154">
        <f t="shared" si="53"/>
        <v>0</v>
      </c>
      <c r="AD191" s="156">
        <f t="shared" si="49"/>
        <v>0</v>
      </c>
    </row>
    <row r="192" spans="1:30" s="144" customFormat="1">
      <c r="A192" s="139">
        <v>10</v>
      </c>
      <c r="B192" s="139">
        <f>IFERROR(INDEX(Työkonekanta!$F$3:$F$27,MATCH('S0a Baseline'!$A192,Työkonekanta!$A$3:$A$24,0),1),0)</f>
        <v>0</v>
      </c>
      <c r="C192" s="140">
        <v>2025</v>
      </c>
      <c r="D192" s="141" t="str">
        <f>IFERROR(INDEX(Työkonekanta!$D$3:$D$27,MATCH('S0a Baseline'!$A192,Työkonekanta!$A$3:$A$24,0),1),"undefined")</f>
        <v>sähkö</v>
      </c>
      <c r="E192" s="145">
        <f>IFERROR(INDEX(Työkonekanta!$G$3:$G$27,MATCH($A192,Työkonekanta!$A$3:$A$24,0),1)*INDEX(Työkonekanta!$H$3:$H$27,MATCH($A192,Työkonekanta!$A$3:$A$24,0),1)*$B192,0)</f>
        <v>0</v>
      </c>
      <c r="F192" s="344">
        <f t="shared" si="36"/>
        <v>0</v>
      </c>
      <c r="G192" s="344">
        <f t="shared" si="43"/>
        <v>0</v>
      </c>
      <c r="H192" s="344">
        <f t="shared" si="44"/>
        <v>0</v>
      </c>
      <c r="I192" s="145">
        <f t="shared" si="37"/>
        <v>0</v>
      </c>
      <c r="J192" s="145">
        <f t="shared" si="38"/>
        <v>0</v>
      </c>
      <c r="K192" s="142" t="str">
        <f t="shared" si="45"/>
        <v>kWh</v>
      </c>
      <c r="L192" s="146">
        <f>IFERROR(INDEX(Työkonekanta!$I$3:$I$27,MATCH('S0a Baseline'!$A192,Työkonekanta!$A$3:$A$24,0),1)*(I192+J192)*f_adblue,0)</f>
        <v>0</v>
      </c>
      <c r="M192" s="146">
        <f t="shared" si="50"/>
        <v>0</v>
      </c>
      <c r="N192" s="143" t="str">
        <f>IF(tuulisähkö_vuosi&lt;='S0a Baseline'!C192,"tuulisähkö",ostosähkö_nyt)</f>
        <v>jäännössähkö</v>
      </c>
      <c r="O192" s="147">
        <f>INDEX(Muuttujat!$J$5:$J$21,MATCH($C192,Muuttujat!$H$5:$H$21,0),1)</f>
        <v>65.194885123382022</v>
      </c>
      <c r="P192" s="342">
        <f>1-(INDEX(Muuttujat!$O$5:$O$21,MATCH($C192,Muuttujat!$N$5:$N$21,0),1))</f>
        <v>0.92999999999999994</v>
      </c>
      <c r="Q192" s="342">
        <f>INDEX(Muuttujat!$O$5:$O$21,MATCH($C192,Muuttujat!$N$5:$N$21,0),1)</f>
        <v>7.0000000000000007E-2</v>
      </c>
      <c r="R192" s="148">
        <f>INDEX(Muuttujat!$P$5:$P$21,MATCH($C192,Muuttujat!$N$5:$N$21,0),1)</f>
        <v>7.3026850896560899E-2</v>
      </c>
      <c r="S192" s="149">
        <f t="shared" si="39"/>
        <v>0</v>
      </c>
      <c r="T192" s="150">
        <f t="shared" si="40"/>
        <v>0</v>
      </c>
      <c r="U192" s="150">
        <f t="shared" si="41"/>
        <v>0</v>
      </c>
      <c r="V192" s="150">
        <f>IFERROR(INDEX(Työkonekanta!$J$3:$J$27,MATCH($A192,Työkonekanta!$A$3:$A$24,0),1)*$B192*ef_li_ion_akku/1000/1000/INDEX(Työkonekanta!$K$3:$K$27,MATCH($A192,Työkonekanta!$A$3:$A$24,0)),0)</f>
        <v>0</v>
      </c>
      <c r="W192" s="149">
        <f t="shared" si="42"/>
        <v>0</v>
      </c>
      <c r="X192" s="150">
        <f t="shared" si="51"/>
        <v>0</v>
      </c>
      <c r="Y192" s="151">
        <f t="shared" si="52"/>
        <v>0</v>
      </c>
      <c r="Z192" s="152">
        <f t="shared" si="46"/>
        <v>0</v>
      </c>
      <c r="AA192" s="153">
        <f t="shared" si="47"/>
        <v>0</v>
      </c>
      <c r="AB192" s="153">
        <f t="shared" si="48"/>
        <v>0</v>
      </c>
      <c r="AC192" s="154">
        <f t="shared" si="53"/>
        <v>0</v>
      </c>
      <c r="AD192" s="156">
        <f t="shared" si="49"/>
        <v>0</v>
      </c>
    </row>
    <row r="193" spans="1:30" s="144" customFormat="1">
      <c r="A193" s="139">
        <v>11</v>
      </c>
      <c r="B193" s="139">
        <f>IFERROR(INDEX(Työkonekanta!$F$3:$F$27,MATCH('S0a Baseline'!$A193,Työkonekanta!$A$3:$A$24,0),1),0)</f>
        <v>1</v>
      </c>
      <c r="C193" s="140">
        <v>2025</v>
      </c>
      <c r="D193" s="141" t="str">
        <f>IFERROR(INDEX(Työkonekanta!$D$3:$D$27,MATCH('S0a Baseline'!$A193,Työkonekanta!$A$3:$A$24,0),1),"undefined")</f>
        <v>pom</v>
      </c>
      <c r="E193" s="145">
        <f>IFERROR(INDEX(Työkonekanta!$G$3:$G$27,MATCH($A193,Työkonekanta!$A$3:$A$24,0),1)*INDEX(Työkonekanta!$H$3:$H$27,MATCH($A193,Työkonekanta!$A$3:$A$24,0),1)*$B193,0)</f>
        <v>10000</v>
      </c>
      <c r="F193" s="344">
        <f t="shared" si="36"/>
        <v>359000</v>
      </c>
      <c r="G193" s="344">
        <f t="shared" si="43"/>
        <v>333870</v>
      </c>
      <c r="H193" s="344">
        <f t="shared" si="44"/>
        <v>25130.000000000004</v>
      </c>
      <c r="I193" s="145">
        <f t="shared" si="37"/>
        <v>9300</v>
      </c>
      <c r="J193" s="145">
        <f t="shared" si="38"/>
        <v>732.65306122448999</v>
      </c>
      <c r="K193" s="142" t="str">
        <f t="shared" si="45"/>
        <v>l</v>
      </c>
      <c r="L193" s="146">
        <f>IFERROR(INDEX(Työkonekanta!$I$3:$I$27,MATCH('S0a Baseline'!$A193,Työkonekanta!$A$3:$A$24,0),1)*(I193+J193)*f_adblue,0)</f>
        <v>501.63265306122452</v>
      </c>
      <c r="M193" s="146">
        <f t="shared" si="50"/>
        <v>0</v>
      </c>
      <c r="N193" s="143" t="str">
        <f>IF(tuulisähkö_vuosi&lt;='S0a Baseline'!C193,"tuulisähkö",ostosähkö_nyt)</f>
        <v>jäännössähkö</v>
      </c>
      <c r="O193" s="147">
        <f>INDEX(Muuttujat!$J$5:$J$21,MATCH($C193,Muuttujat!$H$5:$H$21,0),1)</f>
        <v>65.194885123382022</v>
      </c>
      <c r="P193" s="342">
        <f>1-(INDEX(Muuttujat!$O$5:$O$21,MATCH($C193,Muuttujat!$N$5:$N$21,0),1))</f>
        <v>0.92999999999999994</v>
      </c>
      <c r="Q193" s="342">
        <f>INDEX(Muuttujat!$O$5:$O$21,MATCH($C193,Muuttujat!$N$5:$N$21,0),1)</f>
        <v>7.0000000000000007E-2</v>
      </c>
      <c r="R193" s="148">
        <f>INDEX(Muuttujat!$P$5:$P$21,MATCH($C193,Muuttujat!$N$5:$N$21,0),1)</f>
        <v>7.3026850896560899E-2</v>
      </c>
      <c r="S193" s="149">
        <f t="shared" si="39"/>
        <v>6.3101429999999992</v>
      </c>
      <c r="T193" s="150">
        <f t="shared" si="40"/>
        <v>1.5681120000000004</v>
      </c>
      <c r="U193" s="150">
        <f t="shared" si="41"/>
        <v>0</v>
      </c>
      <c r="V193" s="150">
        <f>IFERROR(INDEX(Työkonekanta!$J$3:$J$27,MATCH($A193,Työkonekanta!$A$3:$A$24,0),1)*$B193*ef_li_ion_akku/1000/1000/INDEX(Työkonekanta!$K$3:$K$27,MATCH($A193,Työkonekanta!$A$3:$A$24,0)),0)</f>
        <v>0</v>
      </c>
      <c r="W193" s="149">
        <f t="shared" si="42"/>
        <v>24.642361855980003</v>
      </c>
      <c r="X193" s="150">
        <f t="shared" si="51"/>
        <v>0.31774565999999999</v>
      </c>
      <c r="Y193" s="151">
        <f t="shared" si="52"/>
        <v>0.13042448979591836</v>
      </c>
      <c r="Z193" s="152">
        <f t="shared" si="46"/>
        <v>7.8782549999999993</v>
      </c>
      <c r="AA193" s="153">
        <f t="shared" si="47"/>
        <v>24.77278634577592</v>
      </c>
      <c r="AB193" s="153">
        <f t="shared" si="48"/>
        <v>25.09053200577592</v>
      </c>
      <c r="AC193" s="154">
        <f t="shared" si="53"/>
        <v>32.651041345775923</v>
      </c>
      <c r="AD193" s="156">
        <f t="shared" si="49"/>
        <v>32.968787005775923</v>
      </c>
    </row>
    <row r="194" spans="1:30" s="144" customFormat="1">
      <c r="A194" s="139">
        <v>12</v>
      </c>
      <c r="B194" s="139">
        <f>IFERROR(INDEX(Työkonekanta!$F$3:$F$27,MATCH('S0a Baseline'!$A194,Työkonekanta!$A$3:$A$24,0),1),0)</f>
        <v>1</v>
      </c>
      <c r="C194" s="140">
        <v>2025</v>
      </c>
      <c r="D194" s="141" t="str">
        <f>IFERROR(INDEX(Työkonekanta!$D$3:$D$27,MATCH('S0a Baseline'!$A194,Työkonekanta!$A$3:$A$24,0),1),"undefined")</f>
        <v>pom</v>
      </c>
      <c r="E194" s="145">
        <f>IFERROR(INDEX(Työkonekanta!$G$3:$G$27,MATCH($A194,Työkonekanta!$A$3:$A$24,0),1)*INDEX(Työkonekanta!$H$3:$H$27,MATCH($A194,Työkonekanta!$A$3:$A$24,0),1)*$B194,0)</f>
        <v>10000</v>
      </c>
      <c r="F194" s="344">
        <f t="shared" si="36"/>
        <v>359000</v>
      </c>
      <c r="G194" s="344">
        <f t="shared" si="43"/>
        <v>333870</v>
      </c>
      <c r="H194" s="344">
        <f t="shared" si="44"/>
        <v>25130.000000000004</v>
      </c>
      <c r="I194" s="145">
        <f t="shared" si="37"/>
        <v>9300</v>
      </c>
      <c r="J194" s="145">
        <f t="shared" si="38"/>
        <v>732.65306122448999</v>
      </c>
      <c r="K194" s="142" t="str">
        <f t="shared" si="45"/>
        <v>l</v>
      </c>
      <c r="L194" s="146">
        <f>IFERROR(INDEX(Työkonekanta!$I$3:$I$27,MATCH('S0a Baseline'!$A194,Työkonekanta!$A$3:$A$24,0),1)*(I194+J194)*f_adblue,0)</f>
        <v>501.63265306122452</v>
      </c>
      <c r="M194" s="146">
        <f t="shared" si="50"/>
        <v>0</v>
      </c>
      <c r="N194" s="143" t="str">
        <f>IF(tuulisähkö_vuosi&lt;='S0a Baseline'!C194,"tuulisähkö",ostosähkö_nyt)</f>
        <v>jäännössähkö</v>
      </c>
      <c r="O194" s="147">
        <f>INDEX(Muuttujat!$J$5:$J$21,MATCH($C194,Muuttujat!$H$5:$H$21,0),1)</f>
        <v>65.194885123382022</v>
      </c>
      <c r="P194" s="342">
        <f>1-(INDEX(Muuttujat!$O$5:$O$21,MATCH($C194,Muuttujat!$N$5:$N$21,0),1))</f>
        <v>0.92999999999999994</v>
      </c>
      <c r="Q194" s="342">
        <f>INDEX(Muuttujat!$O$5:$O$21,MATCH($C194,Muuttujat!$N$5:$N$21,0),1)</f>
        <v>7.0000000000000007E-2</v>
      </c>
      <c r="R194" s="148">
        <f>INDEX(Muuttujat!$P$5:$P$21,MATCH($C194,Muuttujat!$N$5:$N$21,0),1)</f>
        <v>7.3026850896560899E-2</v>
      </c>
      <c r="S194" s="149">
        <f t="shared" si="39"/>
        <v>6.3101429999999992</v>
      </c>
      <c r="T194" s="150">
        <f t="shared" si="40"/>
        <v>1.5681120000000004</v>
      </c>
      <c r="U194" s="150">
        <f t="shared" si="41"/>
        <v>0</v>
      </c>
      <c r="V194" s="150">
        <f>IFERROR(INDEX(Työkonekanta!$J$3:$J$27,MATCH($A194,Työkonekanta!$A$3:$A$24,0),1)*$B194*ef_li_ion_akku/1000/1000/INDEX(Työkonekanta!$K$3:$K$27,MATCH($A194,Työkonekanta!$A$3:$A$24,0)),0)</f>
        <v>0</v>
      </c>
      <c r="W194" s="149">
        <f t="shared" si="42"/>
        <v>24.642361855980003</v>
      </c>
      <c r="X194" s="150">
        <f t="shared" si="51"/>
        <v>0.31774565999999999</v>
      </c>
      <c r="Y194" s="151">
        <f t="shared" si="52"/>
        <v>0.13042448979591836</v>
      </c>
      <c r="Z194" s="152">
        <f t="shared" si="46"/>
        <v>7.8782549999999993</v>
      </c>
      <c r="AA194" s="153">
        <f t="shared" si="47"/>
        <v>24.77278634577592</v>
      </c>
      <c r="AB194" s="153">
        <f t="shared" si="48"/>
        <v>25.09053200577592</v>
      </c>
      <c r="AC194" s="154">
        <f t="shared" si="53"/>
        <v>32.651041345775923</v>
      </c>
      <c r="AD194" s="156">
        <f t="shared" si="49"/>
        <v>32.968787005775923</v>
      </c>
    </row>
    <row r="195" spans="1:30" s="144" customFormat="1">
      <c r="A195" s="139">
        <v>13</v>
      </c>
      <c r="B195" s="139">
        <f>IFERROR(INDEX(Työkonekanta!$F$3:$F$27,MATCH('S0a Baseline'!$A195,Työkonekanta!$A$3:$A$24,0),1),0)</f>
        <v>0</v>
      </c>
      <c r="C195" s="140">
        <v>2025</v>
      </c>
      <c r="D195" s="141" t="str">
        <f>IFERROR(INDEX(Työkonekanta!$D$3:$D$27,MATCH('S0a Baseline'!$A195,Työkonekanta!$A$3:$A$24,0),1),"undefined")</f>
        <v>pom</v>
      </c>
      <c r="E195" s="145">
        <f>IFERROR(INDEX(Työkonekanta!$G$3:$G$27,MATCH($A195,Työkonekanta!$A$3:$A$24,0),1)*INDEX(Työkonekanta!$H$3:$H$27,MATCH($A195,Työkonekanta!$A$3:$A$24,0),1)*$B195,0)</f>
        <v>0</v>
      </c>
      <c r="F195" s="344">
        <f t="shared" ref="F195:F258" si="54">IF(D195="pom",$E195*hv_pom,0)</f>
        <v>0</v>
      </c>
      <c r="G195" s="344">
        <f t="shared" si="43"/>
        <v>0</v>
      </c>
      <c r="H195" s="344">
        <f t="shared" si="44"/>
        <v>0</v>
      </c>
      <c r="I195" s="145">
        <f t="shared" ref="I195:I258" si="55">$G195/hv_pom</f>
        <v>0</v>
      </c>
      <c r="J195" s="145">
        <f t="shared" ref="J195:J258" si="56">$H195/hv_biodies</f>
        <v>0</v>
      </c>
      <c r="K195" s="142" t="str">
        <f t="shared" si="45"/>
        <v>l</v>
      </c>
      <c r="L195" s="146">
        <f>IFERROR(INDEX(Työkonekanta!$I$3:$I$27,MATCH('S0a Baseline'!$A195,Työkonekanta!$A$3:$A$24,0),1)*(I195+J195)*f_adblue,0)</f>
        <v>0</v>
      </c>
      <c r="M195" s="146">
        <f t="shared" si="50"/>
        <v>0</v>
      </c>
      <c r="N195" s="143" t="str">
        <f>IF(tuulisähkö_vuosi&lt;='S0a Baseline'!C195,"tuulisähkö",ostosähkö_nyt)</f>
        <v>jäännössähkö</v>
      </c>
      <c r="O195" s="147">
        <f>INDEX(Muuttujat!$J$5:$J$21,MATCH($C195,Muuttujat!$H$5:$H$21,0),1)</f>
        <v>65.194885123382022</v>
      </c>
      <c r="P195" s="342">
        <f>1-(INDEX(Muuttujat!$O$5:$O$21,MATCH($C195,Muuttujat!$N$5:$N$21,0),1))</f>
        <v>0.92999999999999994</v>
      </c>
      <c r="Q195" s="342">
        <f>INDEX(Muuttujat!$O$5:$O$21,MATCH($C195,Muuttujat!$N$5:$N$21,0),1)</f>
        <v>7.0000000000000007E-2</v>
      </c>
      <c r="R195" s="148">
        <f>INDEX(Muuttujat!$P$5:$P$21,MATCH($C195,Muuttujat!$N$5:$N$21,0),1)</f>
        <v>7.3026850896560899E-2</v>
      </c>
      <c r="S195" s="149">
        <f t="shared" ref="S195:S258" si="57">wtt_ef_e_co2_dies*$G195/1000/1000</f>
        <v>0</v>
      </c>
      <c r="T195" s="150">
        <f t="shared" ref="T195:T258" si="58">wtt_ef_e_co2_biodies*$H195/1000/1000</f>
        <v>0</v>
      </c>
      <c r="U195" s="150">
        <f t="shared" ref="U195:U258" si="59">IF(N195="jäännössähkö",$O195,IF(N195="tuulisähkö",wtt_ef_e_co2_el_wind,0))*$M195/1000/1000</f>
        <v>0</v>
      </c>
      <c r="V195" s="150">
        <f>IFERROR(INDEX(Työkonekanta!$J$3:$J$27,MATCH($A195,Työkonekanta!$A$3:$A$24,0),1)*$B195*ef_li_ion_akku/1000/1000/INDEX(Työkonekanta!$K$3:$K$27,MATCH($A195,Työkonekanta!$A$3:$A$24,0)),0)</f>
        <v>0</v>
      </c>
      <c r="W195" s="149">
        <f t="shared" ref="W195:W258" si="60">($I195*IF($D195="pom",ef_v_co2_pom,0))/1000/1000</f>
        <v>0</v>
      </c>
      <c r="X195" s="150">
        <f t="shared" si="51"/>
        <v>0</v>
      </c>
      <c r="Y195" s="151">
        <f t="shared" si="52"/>
        <v>0</v>
      </c>
      <c r="Z195" s="152">
        <f t="shared" si="46"/>
        <v>0</v>
      </c>
      <c r="AA195" s="153">
        <f t="shared" si="47"/>
        <v>0</v>
      </c>
      <c r="AB195" s="153">
        <f t="shared" si="48"/>
        <v>0</v>
      </c>
      <c r="AC195" s="154">
        <f t="shared" si="53"/>
        <v>0</v>
      </c>
      <c r="AD195" s="156">
        <f t="shared" si="49"/>
        <v>0</v>
      </c>
    </row>
    <row r="196" spans="1:30" s="144" customFormat="1">
      <c r="A196" s="139">
        <v>14</v>
      </c>
      <c r="B196" s="139">
        <f>IFERROR(INDEX(Työkonekanta!$F$3:$F$27,MATCH('S0a Baseline'!$A196,Työkonekanta!$A$3:$A$24,0),1),0)</f>
        <v>0</v>
      </c>
      <c r="C196" s="140">
        <v>2025</v>
      </c>
      <c r="D196" s="141" t="str">
        <f>IFERROR(INDEX(Työkonekanta!$D$3:$D$27,MATCH('S0a Baseline'!$A196,Työkonekanta!$A$3:$A$24,0),1),"undefined")</f>
        <v>pom</v>
      </c>
      <c r="E196" s="145">
        <f>IFERROR(INDEX(Työkonekanta!$G$3:$G$27,MATCH($A196,Työkonekanta!$A$3:$A$24,0),1)*INDEX(Työkonekanta!$H$3:$H$27,MATCH($A196,Työkonekanta!$A$3:$A$24,0),1)*$B196,0)</f>
        <v>0</v>
      </c>
      <c r="F196" s="344">
        <f t="shared" si="54"/>
        <v>0</v>
      </c>
      <c r="G196" s="344">
        <f t="shared" ref="G196:G259" si="61">$F196*$P196</f>
        <v>0</v>
      </c>
      <c r="H196" s="344">
        <f t="shared" ref="H196:H259" si="62">$F196*$Q196</f>
        <v>0</v>
      </c>
      <c r="I196" s="145">
        <f t="shared" si="55"/>
        <v>0</v>
      </c>
      <c r="J196" s="145">
        <f t="shared" si="56"/>
        <v>0</v>
      </c>
      <c r="K196" s="142" t="str">
        <f t="shared" ref="K196:K242" si="63">IF($D196="sähkö","kWh",IF($D196="pom","l","undefined"))</f>
        <v>l</v>
      </c>
      <c r="L196" s="146">
        <f>IFERROR(INDEX(Työkonekanta!$I$3:$I$27,MATCH('S0a Baseline'!$A196,Työkonekanta!$A$3:$A$24,0),1)*(I196+J196)*f_adblue,0)</f>
        <v>0</v>
      </c>
      <c r="M196" s="146">
        <f t="shared" si="50"/>
        <v>0</v>
      </c>
      <c r="N196" s="143" t="str">
        <f>IF(tuulisähkö_vuosi&lt;='S0a Baseline'!C196,"tuulisähkö",ostosähkö_nyt)</f>
        <v>jäännössähkö</v>
      </c>
      <c r="O196" s="147">
        <f>INDEX(Muuttujat!$J$5:$J$21,MATCH($C196,Muuttujat!$H$5:$H$21,0),1)</f>
        <v>65.194885123382022</v>
      </c>
      <c r="P196" s="342">
        <f>1-(INDEX(Muuttujat!$O$5:$O$21,MATCH($C196,Muuttujat!$N$5:$N$21,0),1))</f>
        <v>0.92999999999999994</v>
      </c>
      <c r="Q196" s="342">
        <f>INDEX(Muuttujat!$O$5:$O$21,MATCH($C196,Muuttujat!$N$5:$N$21,0),1)</f>
        <v>7.0000000000000007E-2</v>
      </c>
      <c r="R196" s="148">
        <f>INDEX(Muuttujat!$P$5:$P$21,MATCH($C196,Muuttujat!$N$5:$N$21,0),1)</f>
        <v>7.3026850896560899E-2</v>
      </c>
      <c r="S196" s="149">
        <f t="shared" si="57"/>
        <v>0</v>
      </c>
      <c r="T196" s="150">
        <f t="shared" si="58"/>
        <v>0</v>
      </c>
      <c r="U196" s="150">
        <f t="shared" si="59"/>
        <v>0</v>
      </c>
      <c r="V196" s="150">
        <f>IFERROR(INDEX(Työkonekanta!$J$3:$J$27,MATCH($A196,Työkonekanta!$A$3:$A$24,0),1)*$B196*ef_li_ion_akku/1000/1000/INDEX(Työkonekanta!$K$3:$K$27,MATCH($A196,Työkonekanta!$A$3:$A$24,0)),0)</f>
        <v>0</v>
      </c>
      <c r="W196" s="149">
        <f t="shared" si="60"/>
        <v>0</v>
      </c>
      <c r="X196" s="150">
        <f t="shared" si="51"/>
        <v>0</v>
      </c>
      <c r="Y196" s="151">
        <f t="shared" si="52"/>
        <v>0</v>
      </c>
      <c r="Z196" s="152">
        <f t="shared" ref="Z196:Z259" si="64">SUM($S196:$V196)</f>
        <v>0</v>
      </c>
      <c r="AA196" s="153">
        <f t="shared" ref="AA196:AA242" si="65">$W196+$Y196</f>
        <v>0</v>
      </c>
      <c r="AB196" s="153">
        <f t="shared" ref="AB196:AB242" si="66">SUM($W196:$Y196)</f>
        <v>0</v>
      </c>
      <c r="AC196" s="154">
        <f t="shared" si="53"/>
        <v>0</v>
      </c>
      <c r="AD196" s="156">
        <f t="shared" ref="AD196:AD242" si="67">$Z196+$AB196</f>
        <v>0</v>
      </c>
    </row>
    <row r="197" spans="1:30" s="144" customFormat="1">
      <c r="A197" s="139">
        <v>15</v>
      </c>
      <c r="B197" s="139">
        <f>IFERROR(INDEX(Työkonekanta!$F$3:$F$27,MATCH('S0a Baseline'!$A197,Työkonekanta!$A$3:$A$24,0),1),0)</f>
        <v>0</v>
      </c>
      <c r="C197" s="140">
        <v>2025</v>
      </c>
      <c r="D197" s="141" t="str">
        <f>IFERROR(INDEX(Työkonekanta!$D$3:$D$27,MATCH('S0a Baseline'!$A197,Työkonekanta!$A$3:$A$24,0),1),"undefined")</f>
        <v>sähkö</v>
      </c>
      <c r="E197" s="145">
        <f>IFERROR(INDEX(Työkonekanta!$G$3:$G$27,MATCH($A197,Työkonekanta!$A$3:$A$24,0),1)*INDEX(Työkonekanta!$H$3:$H$27,MATCH($A197,Työkonekanta!$A$3:$A$24,0),1)*$B197,0)</f>
        <v>0</v>
      </c>
      <c r="F197" s="344">
        <f t="shared" si="54"/>
        <v>0</v>
      </c>
      <c r="G197" s="344">
        <f t="shared" si="61"/>
        <v>0</v>
      </c>
      <c r="H197" s="344">
        <f t="shared" si="62"/>
        <v>0</v>
      </c>
      <c r="I197" s="145">
        <f t="shared" si="55"/>
        <v>0</v>
      </c>
      <c r="J197" s="145">
        <f t="shared" si="56"/>
        <v>0</v>
      </c>
      <c r="K197" s="142" t="str">
        <f t="shared" si="63"/>
        <v>kWh</v>
      </c>
      <c r="L197" s="146">
        <f>IFERROR(INDEX(Työkonekanta!$I$3:$I$27,MATCH('S0a Baseline'!$A197,Työkonekanta!$A$3:$A$24,0),1)*(I197+J197)*f_adblue,0)</f>
        <v>0</v>
      </c>
      <c r="M197" s="146">
        <f t="shared" si="50"/>
        <v>0</v>
      </c>
      <c r="N197" s="143" t="str">
        <f>IF(tuulisähkö_vuosi&lt;='S0a Baseline'!C197,"tuulisähkö",ostosähkö_nyt)</f>
        <v>jäännössähkö</v>
      </c>
      <c r="O197" s="147">
        <f>INDEX(Muuttujat!$J$5:$J$21,MATCH($C197,Muuttujat!$H$5:$H$21,0),1)</f>
        <v>65.194885123382022</v>
      </c>
      <c r="P197" s="342">
        <f>1-(INDEX(Muuttujat!$O$5:$O$21,MATCH($C197,Muuttujat!$N$5:$N$21,0),1))</f>
        <v>0.92999999999999994</v>
      </c>
      <c r="Q197" s="342">
        <f>INDEX(Muuttujat!$O$5:$O$21,MATCH($C197,Muuttujat!$N$5:$N$21,0),1)</f>
        <v>7.0000000000000007E-2</v>
      </c>
      <c r="R197" s="148">
        <f>INDEX(Muuttujat!$P$5:$P$21,MATCH($C197,Muuttujat!$N$5:$N$21,0),1)</f>
        <v>7.3026850896560899E-2</v>
      </c>
      <c r="S197" s="149">
        <f t="shared" si="57"/>
        <v>0</v>
      </c>
      <c r="T197" s="150">
        <f t="shared" si="58"/>
        <v>0</v>
      </c>
      <c r="U197" s="150">
        <f t="shared" si="59"/>
        <v>0</v>
      </c>
      <c r="V197" s="150">
        <f>IFERROR(INDEX(Työkonekanta!$J$3:$J$27,MATCH($A197,Työkonekanta!$A$3:$A$24,0),1)*$B197*ef_li_ion_akku/1000/1000/INDEX(Työkonekanta!$K$3:$K$27,MATCH($A197,Työkonekanta!$A$3:$A$24,0)),0)</f>
        <v>0</v>
      </c>
      <c r="W197" s="149">
        <f t="shared" si="60"/>
        <v>0</v>
      </c>
      <c r="X197" s="150">
        <f t="shared" si="51"/>
        <v>0</v>
      </c>
      <c r="Y197" s="151">
        <f t="shared" si="52"/>
        <v>0</v>
      </c>
      <c r="Z197" s="152">
        <f t="shared" si="64"/>
        <v>0</v>
      </c>
      <c r="AA197" s="153">
        <f t="shared" si="65"/>
        <v>0</v>
      </c>
      <c r="AB197" s="153">
        <f t="shared" si="66"/>
        <v>0</v>
      </c>
      <c r="AC197" s="154">
        <f t="shared" si="53"/>
        <v>0</v>
      </c>
      <c r="AD197" s="156">
        <f t="shared" si="67"/>
        <v>0</v>
      </c>
    </row>
    <row r="198" spans="1:30" s="144" customFormat="1">
      <c r="A198" s="139">
        <v>16</v>
      </c>
      <c r="B198" s="139">
        <f>IFERROR(INDEX(Työkonekanta!$F$3:$F$27,MATCH('S0a Baseline'!$A198,Työkonekanta!$A$3:$A$24,0),1),0)</f>
        <v>0</v>
      </c>
      <c r="C198" s="140">
        <v>2025</v>
      </c>
      <c r="D198" s="141" t="str">
        <f>IFERROR(INDEX(Työkonekanta!$D$3:$D$27,MATCH('S0a Baseline'!$A198,Työkonekanta!$A$3:$A$24,0),1),"undefined")</f>
        <v>sähkö</v>
      </c>
      <c r="E198" s="145">
        <f>IFERROR(INDEX(Työkonekanta!$G$3:$G$27,MATCH($A198,Työkonekanta!$A$3:$A$24,0),1)*INDEX(Työkonekanta!$H$3:$H$27,MATCH($A198,Työkonekanta!$A$3:$A$24,0),1)*$B198,0)</f>
        <v>0</v>
      </c>
      <c r="F198" s="344">
        <f t="shared" si="54"/>
        <v>0</v>
      </c>
      <c r="G198" s="344">
        <f t="shared" si="61"/>
        <v>0</v>
      </c>
      <c r="H198" s="344">
        <f t="shared" si="62"/>
        <v>0</v>
      </c>
      <c r="I198" s="145">
        <f t="shared" si="55"/>
        <v>0</v>
      </c>
      <c r="J198" s="145">
        <f t="shared" si="56"/>
        <v>0</v>
      </c>
      <c r="K198" s="142" t="str">
        <f t="shared" si="63"/>
        <v>kWh</v>
      </c>
      <c r="L198" s="146">
        <f>IFERROR(INDEX(Työkonekanta!$I$3:$I$27,MATCH('S0a Baseline'!$A198,Työkonekanta!$A$3:$A$24,0),1)*(I198+J198)*f_adblue,0)</f>
        <v>0</v>
      </c>
      <c r="M198" s="146">
        <f t="shared" si="50"/>
        <v>0</v>
      </c>
      <c r="N198" s="143" t="str">
        <f>IF(tuulisähkö_vuosi&lt;='S0a Baseline'!C198,"tuulisähkö",ostosähkö_nyt)</f>
        <v>jäännössähkö</v>
      </c>
      <c r="O198" s="147">
        <f>INDEX(Muuttujat!$J$5:$J$21,MATCH($C198,Muuttujat!$H$5:$H$21,0),1)</f>
        <v>65.194885123382022</v>
      </c>
      <c r="P198" s="342">
        <f>1-(INDEX(Muuttujat!$O$5:$O$21,MATCH($C198,Muuttujat!$N$5:$N$21,0),1))</f>
        <v>0.92999999999999994</v>
      </c>
      <c r="Q198" s="342">
        <f>INDEX(Muuttujat!$O$5:$O$21,MATCH($C198,Muuttujat!$N$5:$N$21,0),1)</f>
        <v>7.0000000000000007E-2</v>
      </c>
      <c r="R198" s="148">
        <f>INDEX(Muuttujat!$P$5:$P$21,MATCH($C198,Muuttujat!$N$5:$N$21,0),1)</f>
        <v>7.3026850896560899E-2</v>
      </c>
      <c r="S198" s="149">
        <f t="shared" si="57"/>
        <v>0</v>
      </c>
      <c r="T198" s="150">
        <f t="shared" si="58"/>
        <v>0</v>
      </c>
      <c r="U198" s="150">
        <f t="shared" si="59"/>
        <v>0</v>
      </c>
      <c r="V198" s="150">
        <f>IFERROR(INDEX(Työkonekanta!$J$3:$J$27,MATCH($A198,Työkonekanta!$A$3:$A$24,0),1)*$B198*ef_li_ion_akku/1000/1000/INDEX(Työkonekanta!$K$3:$K$27,MATCH($A198,Työkonekanta!$A$3:$A$24,0)),0)</f>
        <v>0</v>
      </c>
      <c r="W198" s="149">
        <f t="shared" si="60"/>
        <v>0</v>
      </c>
      <c r="X198" s="150">
        <f t="shared" si="51"/>
        <v>0</v>
      </c>
      <c r="Y198" s="151">
        <f t="shared" si="52"/>
        <v>0</v>
      </c>
      <c r="Z198" s="152">
        <f t="shared" si="64"/>
        <v>0</v>
      </c>
      <c r="AA198" s="153">
        <f t="shared" si="65"/>
        <v>0</v>
      </c>
      <c r="AB198" s="153">
        <f t="shared" si="66"/>
        <v>0</v>
      </c>
      <c r="AC198" s="154">
        <f t="shared" si="53"/>
        <v>0</v>
      </c>
      <c r="AD198" s="156">
        <f t="shared" si="67"/>
        <v>0</v>
      </c>
    </row>
    <row r="199" spans="1:30" s="144" customFormat="1">
      <c r="A199" s="139">
        <v>17</v>
      </c>
      <c r="B199" s="139">
        <f>IFERROR(INDEX(Työkonekanta!$F$3:$F$27,MATCH('S0a Baseline'!$A199,Työkonekanta!$A$3:$A$24,0),1),0)</f>
        <v>1</v>
      </c>
      <c r="C199" s="140">
        <v>2025</v>
      </c>
      <c r="D199" s="141" t="str">
        <f>IFERROR(INDEX(Työkonekanta!$D$3:$D$27,MATCH('S0a Baseline'!$A199,Työkonekanta!$A$3:$A$24,0),1),"undefined")</f>
        <v>pom</v>
      </c>
      <c r="E199" s="145">
        <f>IFERROR(INDEX(Työkonekanta!$G$3:$G$27,MATCH($A199,Työkonekanta!$A$3:$A$24,0),1)*INDEX(Työkonekanta!$H$3:$H$27,MATCH($A199,Työkonekanta!$A$3:$A$24,0),1)*$B199,0)</f>
        <v>10000</v>
      </c>
      <c r="F199" s="344">
        <f t="shared" si="54"/>
        <v>359000</v>
      </c>
      <c r="G199" s="344">
        <f t="shared" si="61"/>
        <v>333870</v>
      </c>
      <c r="H199" s="344">
        <f t="shared" si="62"/>
        <v>25130.000000000004</v>
      </c>
      <c r="I199" s="145">
        <f t="shared" si="55"/>
        <v>9300</v>
      </c>
      <c r="J199" s="145">
        <f t="shared" si="56"/>
        <v>732.65306122448999</v>
      </c>
      <c r="K199" s="142" t="str">
        <f t="shared" si="63"/>
        <v>l</v>
      </c>
      <c r="L199" s="146">
        <f>IFERROR(INDEX(Työkonekanta!$I$3:$I$27,MATCH('S0a Baseline'!$A199,Työkonekanta!$A$3:$A$24,0),1)*(I199+J199)*f_adblue,0)</f>
        <v>501.63265306122452</v>
      </c>
      <c r="M199" s="146">
        <f t="shared" si="50"/>
        <v>0</v>
      </c>
      <c r="N199" s="143" t="str">
        <f>IF(tuulisähkö_vuosi&lt;='S0a Baseline'!C199,"tuulisähkö",ostosähkö_nyt)</f>
        <v>jäännössähkö</v>
      </c>
      <c r="O199" s="147">
        <f>INDEX(Muuttujat!$J$5:$J$21,MATCH($C199,Muuttujat!$H$5:$H$21,0),1)</f>
        <v>65.194885123382022</v>
      </c>
      <c r="P199" s="342">
        <f>1-(INDEX(Muuttujat!$O$5:$O$21,MATCH($C199,Muuttujat!$N$5:$N$21,0),1))</f>
        <v>0.92999999999999994</v>
      </c>
      <c r="Q199" s="342">
        <f>INDEX(Muuttujat!$O$5:$O$21,MATCH($C199,Muuttujat!$N$5:$N$21,0),1)</f>
        <v>7.0000000000000007E-2</v>
      </c>
      <c r="R199" s="148">
        <f>INDEX(Muuttujat!$P$5:$P$21,MATCH($C199,Muuttujat!$N$5:$N$21,0),1)</f>
        <v>7.3026850896560899E-2</v>
      </c>
      <c r="S199" s="149">
        <f t="shared" si="57"/>
        <v>6.3101429999999992</v>
      </c>
      <c r="T199" s="150">
        <f t="shared" si="58"/>
        <v>1.5681120000000004</v>
      </c>
      <c r="U199" s="150">
        <f t="shared" si="59"/>
        <v>0</v>
      </c>
      <c r="V199" s="150">
        <f>IFERROR(INDEX(Työkonekanta!$J$3:$J$27,MATCH($A199,Työkonekanta!$A$3:$A$24,0),1)*$B199*ef_li_ion_akku/1000/1000/INDEX(Työkonekanta!$K$3:$K$27,MATCH($A199,Työkonekanta!$A$3:$A$24,0)),0)</f>
        <v>0</v>
      </c>
      <c r="W199" s="149">
        <f t="shared" si="60"/>
        <v>24.642361855980003</v>
      </c>
      <c r="X199" s="150">
        <f t="shared" si="51"/>
        <v>0.31774565999999999</v>
      </c>
      <c r="Y199" s="151">
        <f t="shared" si="52"/>
        <v>0.13042448979591836</v>
      </c>
      <c r="Z199" s="152">
        <f t="shared" si="64"/>
        <v>7.8782549999999993</v>
      </c>
      <c r="AA199" s="153">
        <f t="shared" si="65"/>
        <v>24.77278634577592</v>
      </c>
      <c r="AB199" s="153">
        <f t="shared" si="66"/>
        <v>25.09053200577592</v>
      </c>
      <c r="AC199" s="154">
        <f t="shared" si="53"/>
        <v>32.651041345775923</v>
      </c>
      <c r="AD199" s="156">
        <f t="shared" si="67"/>
        <v>32.968787005775923</v>
      </c>
    </row>
    <row r="200" spans="1:30" s="144" customFormat="1">
      <c r="A200" s="139">
        <v>18</v>
      </c>
      <c r="B200" s="139">
        <f>IFERROR(INDEX(Työkonekanta!$F$3:$F$27,MATCH('S0a Baseline'!$A200,Työkonekanta!$A$3:$A$24,0),1),0)</f>
        <v>1</v>
      </c>
      <c r="C200" s="140">
        <v>2025</v>
      </c>
      <c r="D200" s="141" t="str">
        <f>IFERROR(INDEX(Työkonekanta!$D$3:$D$27,MATCH('S0a Baseline'!$A200,Työkonekanta!$A$3:$A$24,0),1),"undefined")</f>
        <v>pom</v>
      </c>
      <c r="E200" s="145">
        <f>IFERROR(INDEX(Työkonekanta!$G$3:$G$27,MATCH($A200,Työkonekanta!$A$3:$A$24,0),1)*INDEX(Työkonekanta!$H$3:$H$27,MATCH($A200,Työkonekanta!$A$3:$A$24,0),1)*$B200,0)</f>
        <v>10000</v>
      </c>
      <c r="F200" s="344">
        <f t="shared" si="54"/>
        <v>359000</v>
      </c>
      <c r="G200" s="344">
        <f t="shared" si="61"/>
        <v>333870</v>
      </c>
      <c r="H200" s="344">
        <f t="shared" si="62"/>
        <v>25130.000000000004</v>
      </c>
      <c r="I200" s="145">
        <f t="shared" si="55"/>
        <v>9300</v>
      </c>
      <c r="J200" s="145">
        <f t="shared" si="56"/>
        <v>732.65306122448999</v>
      </c>
      <c r="K200" s="142" t="str">
        <f t="shared" si="63"/>
        <v>l</v>
      </c>
      <c r="L200" s="146">
        <f>IFERROR(INDEX(Työkonekanta!$I$3:$I$27,MATCH('S0a Baseline'!$A200,Työkonekanta!$A$3:$A$24,0),1)*(I200+J200)*f_adblue,0)</f>
        <v>401.30612244897964</v>
      </c>
      <c r="M200" s="146">
        <f t="shared" si="50"/>
        <v>0</v>
      </c>
      <c r="N200" s="143" t="str">
        <f>IF(tuulisähkö_vuosi&lt;='S0a Baseline'!C200,"tuulisähkö",ostosähkö_nyt)</f>
        <v>jäännössähkö</v>
      </c>
      <c r="O200" s="147">
        <f>INDEX(Muuttujat!$J$5:$J$21,MATCH($C200,Muuttujat!$H$5:$H$21,0),1)</f>
        <v>65.194885123382022</v>
      </c>
      <c r="P200" s="342">
        <f>1-(INDEX(Muuttujat!$O$5:$O$21,MATCH($C200,Muuttujat!$N$5:$N$21,0),1))</f>
        <v>0.92999999999999994</v>
      </c>
      <c r="Q200" s="342">
        <f>INDEX(Muuttujat!$O$5:$O$21,MATCH($C200,Muuttujat!$N$5:$N$21,0),1)</f>
        <v>7.0000000000000007E-2</v>
      </c>
      <c r="R200" s="148">
        <f>INDEX(Muuttujat!$P$5:$P$21,MATCH($C200,Muuttujat!$N$5:$N$21,0),1)</f>
        <v>7.3026850896560899E-2</v>
      </c>
      <c r="S200" s="149">
        <f t="shared" si="57"/>
        <v>6.3101429999999992</v>
      </c>
      <c r="T200" s="150">
        <f t="shared" si="58"/>
        <v>1.5681120000000004</v>
      </c>
      <c r="U200" s="150">
        <f t="shared" si="59"/>
        <v>0</v>
      </c>
      <c r="V200" s="150">
        <f>IFERROR(INDEX(Työkonekanta!$J$3:$J$27,MATCH($A200,Työkonekanta!$A$3:$A$24,0),1)*$B200*ef_li_ion_akku/1000/1000/INDEX(Työkonekanta!$K$3:$K$27,MATCH($A200,Työkonekanta!$A$3:$A$24,0)),0)</f>
        <v>0</v>
      </c>
      <c r="W200" s="149">
        <f t="shared" si="60"/>
        <v>24.642361855980003</v>
      </c>
      <c r="X200" s="150">
        <f t="shared" si="51"/>
        <v>0.31774565999999999</v>
      </c>
      <c r="Y200" s="151">
        <f t="shared" si="52"/>
        <v>0.1043395918367347</v>
      </c>
      <c r="Z200" s="152">
        <f t="shared" si="64"/>
        <v>7.8782549999999993</v>
      </c>
      <c r="AA200" s="153">
        <f t="shared" si="65"/>
        <v>24.746701447816736</v>
      </c>
      <c r="AB200" s="153">
        <f t="shared" si="66"/>
        <v>25.064447107816736</v>
      </c>
      <c r="AC200" s="154">
        <f t="shared" si="53"/>
        <v>32.624956447816736</v>
      </c>
      <c r="AD200" s="156">
        <f t="shared" si="67"/>
        <v>32.942702107816736</v>
      </c>
    </row>
    <row r="201" spans="1:30" s="144" customFormat="1">
      <c r="A201" s="139">
        <v>19</v>
      </c>
      <c r="B201" s="139">
        <f>IFERROR(INDEX(Työkonekanta!$F$3:$F$27,MATCH('S0a Baseline'!$A201,Työkonekanta!$A$3:$A$24,0),1),0)</f>
        <v>0</v>
      </c>
      <c r="C201" s="140">
        <v>2025</v>
      </c>
      <c r="D201" s="141" t="str">
        <f>IFERROR(INDEX(Työkonekanta!$D$3:$D$27,MATCH('S0a Baseline'!$A201,Työkonekanta!$A$3:$A$24,0),1),"undefined")</f>
        <v>pom</v>
      </c>
      <c r="E201" s="145">
        <f>IFERROR(INDEX(Työkonekanta!$G$3:$G$27,MATCH($A201,Työkonekanta!$A$3:$A$24,0),1)*INDEX(Työkonekanta!$H$3:$H$27,MATCH($A201,Työkonekanta!$A$3:$A$24,0),1)*$B201,0)</f>
        <v>0</v>
      </c>
      <c r="F201" s="344">
        <f t="shared" si="54"/>
        <v>0</v>
      </c>
      <c r="G201" s="344">
        <f t="shared" si="61"/>
        <v>0</v>
      </c>
      <c r="H201" s="344">
        <f t="shared" si="62"/>
        <v>0</v>
      </c>
      <c r="I201" s="145">
        <f t="shared" si="55"/>
        <v>0</v>
      </c>
      <c r="J201" s="145">
        <f t="shared" si="56"/>
        <v>0</v>
      </c>
      <c r="K201" s="142" t="str">
        <f t="shared" si="63"/>
        <v>l</v>
      </c>
      <c r="L201" s="146">
        <f>IFERROR(INDEX(Työkonekanta!$I$3:$I$27,MATCH('S0a Baseline'!$A201,Työkonekanta!$A$3:$A$24,0),1)*(I201+J201)*f_adblue,0)</f>
        <v>0</v>
      </c>
      <c r="M201" s="146">
        <f t="shared" si="50"/>
        <v>0</v>
      </c>
      <c r="N201" s="143" t="str">
        <f>IF(tuulisähkö_vuosi&lt;='S0a Baseline'!C201,"tuulisähkö",ostosähkö_nyt)</f>
        <v>jäännössähkö</v>
      </c>
      <c r="O201" s="147">
        <f>INDEX(Muuttujat!$J$5:$J$21,MATCH($C201,Muuttujat!$H$5:$H$21,0),1)</f>
        <v>65.194885123382022</v>
      </c>
      <c r="P201" s="342">
        <f>1-(INDEX(Muuttujat!$O$5:$O$21,MATCH($C201,Muuttujat!$N$5:$N$21,0),1))</f>
        <v>0.92999999999999994</v>
      </c>
      <c r="Q201" s="342">
        <f>INDEX(Muuttujat!$O$5:$O$21,MATCH($C201,Muuttujat!$N$5:$N$21,0),1)</f>
        <v>7.0000000000000007E-2</v>
      </c>
      <c r="R201" s="148">
        <f>INDEX(Muuttujat!$P$5:$P$21,MATCH($C201,Muuttujat!$N$5:$N$21,0),1)</f>
        <v>7.3026850896560899E-2</v>
      </c>
      <c r="S201" s="149">
        <f t="shared" si="57"/>
        <v>0</v>
      </c>
      <c r="T201" s="150">
        <f t="shared" si="58"/>
        <v>0</v>
      </c>
      <c r="U201" s="150">
        <f t="shared" si="59"/>
        <v>0</v>
      </c>
      <c r="V201" s="150">
        <f>IFERROR(INDEX(Työkonekanta!$J$3:$J$27,MATCH($A201,Työkonekanta!$A$3:$A$24,0),1)*$B201*ef_li_ion_akku/1000/1000/INDEX(Työkonekanta!$K$3:$K$27,MATCH($A201,Työkonekanta!$A$3:$A$24,0)),0)</f>
        <v>0</v>
      </c>
      <c r="W201" s="149">
        <f t="shared" si="60"/>
        <v>0</v>
      </c>
      <c r="X201" s="150">
        <f t="shared" si="51"/>
        <v>0</v>
      </c>
      <c r="Y201" s="151">
        <f t="shared" si="52"/>
        <v>0</v>
      </c>
      <c r="Z201" s="152">
        <f t="shared" si="64"/>
        <v>0</v>
      </c>
      <c r="AA201" s="153">
        <f t="shared" si="65"/>
        <v>0</v>
      </c>
      <c r="AB201" s="153">
        <f t="shared" si="66"/>
        <v>0</v>
      </c>
      <c r="AC201" s="154">
        <f t="shared" si="53"/>
        <v>0</v>
      </c>
      <c r="AD201" s="156">
        <f t="shared" si="67"/>
        <v>0</v>
      </c>
    </row>
    <row r="202" spans="1:30" s="144" customFormat="1">
      <c r="A202" s="139">
        <v>20</v>
      </c>
      <c r="B202" s="139">
        <f>IFERROR(INDEX(Työkonekanta!$F$3:$F$27,MATCH('S0a Baseline'!$A202,Työkonekanta!$A$3:$A$24,0),1),0)</f>
        <v>0</v>
      </c>
      <c r="C202" s="140">
        <v>2025</v>
      </c>
      <c r="D202" s="141" t="str">
        <f>IFERROR(INDEX(Työkonekanta!$D$3:$D$27,MATCH('S0a Baseline'!$A202,Työkonekanta!$A$3:$A$24,0),1),"undefined")</f>
        <v>pom</v>
      </c>
      <c r="E202" s="145">
        <f>IFERROR(INDEX(Työkonekanta!$G$3:$G$27,MATCH($A202,Työkonekanta!$A$3:$A$24,0),1)*INDEX(Työkonekanta!$H$3:$H$27,MATCH($A202,Työkonekanta!$A$3:$A$24,0),1)*$B202,0)</f>
        <v>0</v>
      </c>
      <c r="F202" s="344">
        <f t="shared" si="54"/>
        <v>0</v>
      </c>
      <c r="G202" s="344">
        <f t="shared" si="61"/>
        <v>0</v>
      </c>
      <c r="H202" s="344">
        <f t="shared" si="62"/>
        <v>0</v>
      </c>
      <c r="I202" s="145">
        <f t="shared" si="55"/>
        <v>0</v>
      </c>
      <c r="J202" s="145">
        <f t="shared" si="56"/>
        <v>0</v>
      </c>
      <c r="K202" s="142" t="str">
        <f t="shared" si="63"/>
        <v>l</v>
      </c>
      <c r="L202" s="146">
        <f>IFERROR(INDEX(Työkonekanta!$I$3:$I$27,MATCH('S0a Baseline'!$A202,Työkonekanta!$A$3:$A$24,0),1)*(I202+J202)*f_adblue,0)</f>
        <v>0</v>
      </c>
      <c r="M202" s="146">
        <f t="shared" si="50"/>
        <v>0</v>
      </c>
      <c r="N202" s="143" t="str">
        <f>IF(tuulisähkö_vuosi&lt;='S0a Baseline'!C202,"tuulisähkö",ostosähkö_nyt)</f>
        <v>jäännössähkö</v>
      </c>
      <c r="O202" s="147">
        <f>INDEX(Muuttujat!$J$5:$J$21,MATCH($C202,Muuttujat!$H$5:$H$21,0),1)</f>
        <v>65.194885123382022</v>
      </c>
      <c r="P202" s="342">
        <f>1-(INDEX(Muuttujat!$O$5:$O$21,MATCH($C202,Muuttujat!$N$5:$N$21,0),1))</f>
        <v>0.92999999999999994</v>
      </c>
      <c r="Q202" s="342">
        <f>INDEX(Muuttujat!$O$5:$O$21,MATCH($C202,Muuttujat!$N$5:$N$21,0),1)</f>
        <v>7.0000000000000007E-2</v>
      </c>
      <c r="R202" s="148">
        <f>INDEX(Muuttujat!$P$5:$P$21,MATCH($C202,Muuttujat!$N$5:$N$21,0),1)</f>
        <v>7.3026850896560899E-2</v>
      </c>
      <c r="S202" s="149">
        <f t="shared" si="57"/>
        <v>0</v>
      </c>
      <c r="T202" s="150">
        <f t="shared" si="58"/>
        <v>0</v>
      </c>
      <c r="U202" s="150">
        <f t="shared" si="59"/>
        <v>0</v>
      </c>
      <c r="V202" s="150">
        <f>IFERROR(INDEX(Työkonekanta!$J$3:$J$27,MATCH($A202,Työkonekanta!$A$3:$A$24,0),1)*$B202*ef_li_ion_akku/1000/1000/INDEX(Työkonekanta!$K$3:$K$27,MATCH($A202,Työkonekanta!$A$3:$A$24,0)),0)</f>
        <v>0</v>
      </c>
      <c r="W202" s="149">
        <f t="shared" si="60"/>
        <v>0</v>
      </c>
      <c r="X202" s="150">
        <f t="shared" si="51"/>
        <v>0</v>
      </c>
      <c r="Y202" s="151">
        <f t="shared" si="52"/>
        <v>0</v>
      </c>
      <c r="Z202" s="152">
        <f t="shared" si="64"/>
        <v>0</v>
      </c>
      <c r="AA202" s="153">
        <f t="shared" si="65"/>
        <v>0</v>
      </c>
      <c r="AB202" s="153">
        <f t="shared" si="66"/>
        <v>0</v>
      </c>
      <c r="AC202" s="154">
        <f t="shared" si="53"/>
        <v>0</v>
      </c>
      <c r="AD202" s="156">
        <f t="shared" si="67"/>
        <v>0</v>
      </c>
    </row>
    <row r="203" spans="1:30" s="144" customFormat="1">
      <c r="A203" s="139">
        <v>21</v>
      </c>
      <c r="B203" s="139">
        <f>IFERROR(INDEX(Työkonekanta!$F$3:$F$27,MATCH('S0a Baseline'!$A203,Työkonekanta!$A$3:$A$24,0),1),0)</f>
        <v>35</v>
      </c>
      <c r="C203" s="140">
        <v>2025</v>
      </c>
      <c r="D203" s="141" t="str">
        <f>IFERROR(INDEX(Työkonekanta!$D$3:$D$27,MATCH('S0a Baseline'!$A203,Työkonekanta!$A$3:$A$24,0),1),"undefined")</f>
        <v>sähkö</v>
      </c>
      <c r="E203" s="145">
        <f>IFERROR(INDEX(Työkonekanta!$G$3:$G$27,MATCH($A203,Työkonekanta!$A$3:$A$24,0),1)*INDEX(Työkonekanta!$H$3:$H$27,MATCH($A203,Työkonekanta!$A$3:$A$24,0),1)*$B203,0)</f>
        <v>407199.07407407404</v>
      </c>
      <c r="F203" s="344">
        <f t="shared" si="54"/>
        <v>0</v>
      </c>
      <c r="G203" s="344">
        <f t="shared" si="61"/>
        <v>0</v>
      </c>
      <c r="H203" s="344">
        <f t="shared" si="62"/>
        <v>0</v>
      </c>
      <c r="I203" s="145">
        <f t="shared" si="55"/>
        <v>0</v>
      </c>
      <c r="J203" s="145">
        <f t="shared" si="56"/>
        <v>0</v>
      </c>
      <c r="K203" s="142" t="str">
        <f t="shared" si="63"/>
        <v>kWh</v>
      </c>
      <c r="L203" s="146">
        <f>IFERROR(INDEX(Työkonekanta!$I$3:$I$27,MATCH('S0a Baseline'!$A203,Työkonekanta!$A$3:$A$24,0),1)*(I203+J203)*f_adblue,0)</f>
        <v>0</v>
      </c>
      <c r="M203" s="146">
        <f t="shared" si="50"/>
        <v>1465916.6666666665</v>
      </c>
      <c r="N203" s="143" t="str">
        <f>IF(tuulisähkö_vuosi&lt;='S0a Baseline'!C203,"tuulisähkö",ostosähkö_nyt)</f>
        <v>jäännössähkö</v>
      </c>
      <c r="O203" s="147">
        <f>INDEX(Muuttujat!$J$5:$J$21,MATCH($C203,Muuttujat!$H$5:$H$21,0),1)</f>
        <v>65.194885123382022</v>
      </c>
      <c r="P203" s="342">
        <f>1-(INDEX(Muuttujat!$O$5:$O$21,MATCH($C203,Muuttujat!$N$5:$N$21,0),1))</f>
        <v>0.92999999999999994</v>
      </c>
      <c r="Q203" s="342">
        <f>INDEX(Muuttujat!$O$5:$O$21,MATCH($C203,Muuttujat!$N$5:$N$21,0),1)</f>
        <v>7.0000000000000007E-2</v>
      </c>
      <c r="R203" s="148">
        <f>INDEX(Muuttujat!$P$5:$P$21,MATCH($C203,Muuttujat!$N$5:$N$21,0),1)</f>
        <v>7.3026850896560899E-2</v>
      </c>
      <c r="S203" s="149">
        <f t="shared" si="57"/>
        <v>0</v>
      </c>
      <c r="T203" s="150">
        <f t="shared" si="58"/>
        <v>0</v>
      </c>
      <c r="U203" s="150">
        <f t="shared" si="59"/>
        <v>95.57026868378442</v>
      </c>
      <c r="V203" s="150">
        <f>IFERROR(INDEX(Työkonekanta!$J$3:$J$27,MATCH($A203,Työkonekanta!$A$3:$A$24,0),1)*$B203*ef_li_ion_akku/1000/1000/INDEX(Työkonekanta!$K$3:$K$27,MATCH($A203,Työkonekanta!$A$3:$A$24,0)),0)</f>
        <v>43.121723076923082</v>
      </c>
      <c r="W203" s="149">
        <f t="shared" si="60"/>
        <v>0</v>
      </c>
      <c r="X203" s="150">
        <f t="shared" si="51"/>
        <v>0</v>
      </c>
      <c r="Y203" s="151">
        <f t="shared" si="52"/>
        <v>0</v>
      </c>
      <c r="Z203" s="152">
        <f t="shared" si="64"/>
        <v>138.69199176070751</v>
      </c>
      <c r="AA203" s="153">
        <f t="shared" si="65"/>
        <v>0</v>
      </c>
      <c r="AB203" s="153">
        <f t="shared" si="66"/>
        <v>0</v>
      </c>
      <c r="AC203" s="154">
        <f t="shared" si="53"/>
        <v>138.69199176070751</v>
      </c>
      <c r="AD203" s="156">
        <f t="shared" si="67"/>
        <v>138.69199176070751</v>
      </c>
    </row>
    <row r="204" spans="1:30" s="144" customFormat="1">
      <c r="A204" s="139">
        <v>22</v>
      </c>
      <c r="B204" s="139">
        <f>IFERROR(INDEX(Työkonekanta!$F$3:$F$27,MATCH('S0a Baseline'!$A204,Työkonekanta!$A$3:$A$24,0),1),0)</f>
        <v>0</v>
      </c>
      <c r="C204" s="140">
        <v>2025</v>
      </c>
      <c r="D204" s="141" t="str">
        <f>IFERROR(INDEX(Työkonekanta!$D$3:$D$27,MATCH('S0a Baseline'!$A204,Työkonekanta!$A$3:$A$24,0),1),"undefined")</f>
        <v>sähkö</v>
      </c>
      <c r="E204" s="145">
        <f>IFERROR(INDEX(Työkonekanta!$G$3:$G$27,MATCH($A204,Työkonekanta!$A$3:$A$24,0),1)*INDEX(Työkonekanta!$H$3:$H$27,MATCH($A204,Työkonekanta!$A$3:$A$24,0),1)*$B204,0)</f>
        <v>0</v>
      </c>
      <c r="F204" s="344">
        <f t="shared" si="54"/>
        <v>0</v>
      </c>
      <c r="G204" s="344">
        <f t="shared" si="61"/>
        <v>0</v>
      </c>
      <c r="H204" s="344">
        <f t="shared" si="62"/>
        <v>0</v>
      </c>
      <c r="I204" s="145">
        <f t="shared" si="55"/>
        <v>0</v>
      </c>
      <c r="J204" s="145">
        <f t="shared" si="56"/>
        <v>0</v>
      </c>
      <c r="K204" s="142" t="str">
        <f t="shared" si="63"/>
        <v>kWh</v>
      </c>
      <c r="L204" s="146">
        <f>IFERROR(INDEX(Työkonekanta!$I$3:$I$27,MATCH('S0a Baseline'!$A204,Työkonekanta!$A$3:$A$24,0),1)*(I204+J204)*f_adblue,0)</f>
        <v>0</v>
      </c>
      <c r="M204" s="146">
        <f t="shared" si="50"/>
        <v>0</v>
      </c>
      <c r="N204" s="143" t="str">
        <f>IF(tuulisähkö_vuosi&lt;='S0a Baseline'!C204,"tuulisähkö",ostosähkö_nyt)</f>
        <v>jäännössähkö</v>
      </c>
      <c r="O204" s="147">
        <f>INDEX(Muuttujat!$J$5:$J$21,MATCH($C204,Muuttujat!$H$5:$H$21,0),1)</f>
        <v>65.194885123382022</v>
      </c>
      <c r="P204" s="342">
        <f>1-(INDEX(Muuttujat!$O$5:$O$21,MATCH($C204,Muuttujat!$N$5:$N$21,0),1))</f>
        <v>0.92999999999999994</v>
      </c>
      <c r="Q204" s="342">
        <f>INDEX(Muuttujat!$O$5:$O$21,MATCH($C204,Muuttujat!$N$5:$N$21,0),1)</f>
        <v>7.0000000000000007E-2</v>
      </c>
      <c r="R204" s="148">
        <f>INDEX(Muuttujat!$P$5:$P$21,MATCH($C204,Muuttujat!$N$5:$N$21,0),1)</f>
        <v>7.3026850896560899E-2</v>
      </c>
      <c r="S204" s="149">
        <f t="shared" si="57"/>
        <v>0</v>
      </c>
      <c r="T204" s="150">
        <f t="shared" si="58"/>
        <v>0</v>
      </c>
      <c r="U204" s="150">
        <f t="shared" si="59"/>
        <v>0</v>
      </c>
      <c r="V204" s="150">
        <f>IFERROR(INDEX(Työkonekanta!$J$3:$J$27,MATCH($A204,Työkonekanta!$A$3:$A$24,0),1)*$B204*ef_li_ion_akku/1000/1000/INDEX(Työkonekanta!$K$3:$K$27,MATCH($A204,Työkonekanta!$A$3:$A$24,0)),0)</f>
        <v>0</v>
      </c>
      <c r="W204" s="149">
        <f t="shared" si="60"/>
        <v>0</v>
      </c>
      <c r="X204" s="150">
        <f t="shared" si="51"/>
        <v>0</v>
      </c>
      <c r="Y204" s="151">
        <f t="shared" si="52"/>
        <v>0</v>
      </c>
      <c r="Z204" s="152">
        <f t="shared" si="64"/>
        <v>0</v>
      </c>
      <c r="AA204" s="153">
        <f t="shared" si="65"/>
        <v>0</v>
      </c>
      <c r="AB204" s="153">
        <f t="shared" si="66"/>
        <v>0</v>
      </c>
      <c r="AC204" s="154">
        <f t="shared" si="53"/>
        <v>0</v>
      </c>
      <c r="AD204" s="156">
        <f t="shared" si="67"/>
        <v>0</v>
      </c>
    </row>
    <row r="205" spans="1:30" s="144" customFormat="1">
      <c r="A205" s="139">
        <v>23</v>
      </c>
      <c r="B205" s="139">
        <f>IFERROR(INDEX(Työkonekanta!$F$3:$F$27,MATCH('S0a Baseline'!$A205,Työkonekanta!$A$3:$A$24,0),1),0)</f>
        <v>0</v>
      </c>
      <c r="C205" s="140">
        <v>2025</v>
      </c>
      <c r="D205" s="141" t="str">
        <f>IFERROR(INDEX(Työkonekanta!$D$3:$D$27,MATCH('S0a Baseline'!$A205,Työkonekanta!$A$3:$A$24,0),1),"undefined")</f>
        <v>undefined</v>
      </c>
      <c r="E205" s="145">
        <f>IFERROR(INDEX(Työkonekanta!$G$3:$G$27,MATCH($A205,Työkonekanta!$A$3:$A$24,0),1)*INDEX(Työkonekanta!$H$3:$H$27,MATCH($A205,Työkonekanta!$A$3:$A$24,0),1)*$B205,0)</f>
        <v>0</v>
      </c>
      <c r="F205" s="344">
        <f t="shared" si="54"/>
        <v>0</v>
      </c>
      <c r="G205" s="344">
        <f t="shared" si="61"/>
        <v>0</v>
      </c>
      <c r="H205" s="344">
        <f t="shared" si="62"/>
        <v>0</v>
      </c>
      <c r="I205" s="145">
        <f t="shared" si="55"/>
        <v>0</v>
      </c>
      <c r="J205" s="145">
        <f t="shared" si="56"/>
        <v>0</v>
      </c>
      <c r="K205" s="142" t="str">
        <f t="shared" si="63"/>
        <v>undefined</v>
      </c>
      <c r="L205" s="146">
        <f>IFERROR(INDEX(Työkonekanta!$I$3:$I$27,MATCH('S0a Baseline'!$A205,Työkonekanta!$A$3:$A$24,0),1)*(I205+J205)*f_adblue,0)</f>
        <v>0</v>
      </c>
      <c r="M205" s="146">
        <f t="shared" si="50"/>
        <v>0</v>
      </c>
      <c r="N205" s="143" t="str">
        <f>IF(tuulisähkö_vuosi&lt;='S0a Baseline'!C205,"tuulisähkö",ostosähkö_nyt)</f>
        <v>jäännössähkö</v>
      </c>
      <c r="O205" s="147">
        <f>INDEX(Muuttujat!$J$5:$J$21,MATCH($C205,Muuttujat!$H$5:$H$21,0),1)</f>
        <v>65.194885123382022</v>
      </c>
      <c r="P205" s="342">
        <f>1-(INDEX(Muuttujat!$O$5:$O$21,MATCH($C205,Muuttujat!$N$5:$N$21,0),1))</f>
        <v>0.92999999999999994</v>
      </c>
      <c r="Q205" s="342">
        <f>INDEX(Muuttujat!$O$5:$O$21,MATCH($C205,Muuttujat!$N$5:$N$21,0),1)</f>
        <v>7.0000000000000007E-2</v>
      </c>
      <c r="R205" s="148">
        <f>INDEX(Muuttujat!$P$5:$P$21,MATCH($C205,Muuttujat!$N$5:$N$21,0),1)</f>
        <v>7.3026850896560899E-2</v>
      </c>
      <c r="S205" s="149">
        <f t="shared" si="57"/>
        <v>0</v>
      </c>
      <c r="T205" s="150">
        <f t="shared" si="58"/>
        <v>0</v>
      </c>
      <c r="U205" s="150">
        <f t="shared" si="59"/>
        <v>0</v>
      </c>
      <c r="V205" s="150">
        <f>IFERROR(INDEX(Työkonekanta!$J$3:$J$27,MATCH($A205,Työkonekanta!$A$3:$A$24,0),1)*$B205*ef_li_ion_akku/1000/1000/INDEX(Työkonekanta!$K$3:$K$27,MATCH($A205,Työkonekanta!$A$3:$A$24,0)),0)</f>
        <v>0</v>
      </c>
      <c r="W205" s="149">
        <f t="shared" si="60"/>
        <v>0</v>
      </c>
      <c r="X205" s="150">
        <f t="shared" si="51"/>
        <v>0</v>
      </c>
      <c r="Y205" s="151">
        <f t="shared" si="52"/>
        <v>0</v>
      </c>
      <c r="Z205" s="152">
        <f t="shared" si="64"/>
        <v>0</v>
      </c>
      <c r="AA205" s="153">
        <f t="shared" si="65"/>
        <v>0</v>
      </c>
      <c r="AB205" s="153">
        <f t="shared" si="66"/>
        <v>0</v>
      </c>
      <c r="AC205" s="154">
        <f t="shared" si="53"/>
        <v>0</v>
      </c>
      <c r="AD205" s="156">
        <f t="shared" si="67"/>
        <v>0</v>
      </c>
    </row>
    <row r="206" spans="1:30" s="144" customFormat="1">
      <c r="A206" s="139">
        <v>24</v>
      </c>
      <c r="B206" s="139">
        <f>IFERROR(INDEX(Työkonekanta!$F$3:$F$27,MATCH('S0a Baseline'!$A206,Työkonekanta!$A$3:$A$24,0),1),0)</f>
        <v>0</v>
      </c>
      <c r="C206" s="140">
        <v>2025</v>
      </c>
      <c r="D206" s="141" t="str">
        <f>IFERROR(INDEX(Työkonekanta!$D$3:$D$27,MATCH('S0a Baseline'!$A206,Työkonekanta!$A$3:$A$24,0),1),"undefined")</f>
        <v>undefined</v>
      </c>
      <c r="E206" s="145">
        <f>IFERROR(INDEX(Työkonekanta!$G$3:$G$27,MATCH($A206,Työkonekanta!$A$3:$A$24,0),1)*INDEX(Työkonekanta!$H$3:$H$27,MATCH($A206,Työkonekanta!$A$3:$A$24,0),1)*$B206,0)</f>
        <v>0</v>
      </c>
      <c r="F206" s="344">
        <f t="shared" si="54"/>
        <v>0</v>
      </c>
      <c r="G206" s="344">
        <f t="shared" si="61"/>
        <v>0</v>
      </c>
      <c r="H206" s="344">
        <f t="shared" si="62"/>
        <v>0</v>
      </c>
      <c r="I206" s="145">
        <f t="shared" si="55"/>
        <v>0</v>
      </c>
      <c r="J206" s="145">
        <f t="shared" si="56"/>
        <v>0</v>
      </c>
      <c r="K206" s="142" t="str">
        <f t="shared" si="63"/>
        <v>undefined</v>
      </c>
      <c r="L206" s="146">
        <f>IFERROR(INDEX(Työkonekanta!$I$3:$I$27,MATCH('S0a Baseline'!$A206,Työkonekanta!$A$3:$A$24,0),1)*(I206+J206)*f_adblue,0)</f>
        <v>0</v>
      </c>
      <c r="M206" s="146">
        <f t="shared" si="50"/>
        <v>0</v>
      </c>
      <c r="N206" s="143" t="str">
        <f>IF(tuulisähkö_vuosi&lt;='S0a Baseline'!C206,"tuulisähkö",ostosähkö_nyt)</f>
        <v>jäännössähkö</v>
      </c>
      <c r="O206" s="147">
        <f>INDEX(Muuttujat!$J$5:$J$21,MATCH($C206,Muuttujat!$H$5:$H$21,0),1)</f>
        <v>65.194885123382022</v>
      </c>
      <c r="P206" s="342">
        <f>1-(INDEX(Muuttujat!$O$5:$O$21,MATCH($C206,Muuttujat!$N$5:$N$21,0),1))</f>
        <v>0.92999999999999994</v>
      </c>
      <c r="Q206" s="342">
        <f>INDEX(Muuttujat!$O$5:$O$21,MATCH($C206,Muuttujat!$N$5:$N$21,0),1)</f>
        <v>7.0000000000000007E-2</v>
      </c>
      <c r="R206" s="148">
        <f>INDEX(Muuttujat!$P$5:$P$21,MATCH($C206,Muuttujat!$N$5:$N$21,0),1)</f>
        <v>7.3026850896560899E-2</v>
      </c>
      <c r="S206" s="149">
        <f t="shared" si="57"/>
        <v>0</v>
      </c>
      <c r="T206" s="150">
        <f t="shared" si="58"/>
        <v>0</v>
      </c>
      <c r="U206" s="150">
        <f t="shared" si="59"/>
        <v>0</v>
      </c>
      <c r="V206" s="150">
        <f>IFERROR(INDEX(Työkonekanta!$J$3:$J$27,MATCH($A206,Työkonekanta!$A$3:$A$24,0),1)*$B206*ef_li_ion_akku/1000/1000/INDEX(Työkonekanta!$K$3:$K$27,MATCH($A206,Työkonekanta!$A$3:$A$24,0)),0)</f>
        <v>0</v>
      </c>
      <c r="W206" s="149">
        <f t="shared" si="60"/>
        <v>0</v>
      </c>
      <c r="X206" s="150">
        <f t="shared" si="51"/>
        <v>0</v>
      </c>
      <c r="Y206" s="151">
        <f t="shared" si="52"/>
        <v>0</v>
      </c>
      <c r="Z206" s="152">
        <f t="shared" si="64"/>
        <v>0</v>
      </c>
      <c r="AA206" s="153">
        <f t="shared" si="65"/>
        <v>0</v>
      </c>
      <c r="AB206" s="153">
        <f t="shared" si="66"/>
        <v>0</v>
      </c>
      <c r="AC206" s="154">
        <f t="shared" si="53"/>
        <v>0</v>
      </c>
      <c r="AD206" s="156">
        <f t="shared" si="67"/>
        <v>0</v>
      </c>
    </row>
    <row r="207" spans="1:30" s="144" customFormat="1">
      <c r="A207" s="139">
        <v>25</v>
      </c>
      <c r="B207" s="139">
        <f>IFERROR(INDEX(Työkonekanta!$F$3:$F$27,MATCH('S0a Baseline'!$A207,Työkonekanta!$A$3:$A$24,0),1),0)</f>
        <v>0</v>
      </c>
      <c r="C207" s="140">
        <v>2025</v>
      </c>
      <c r="D207" s="141" t="str">
        <f>IFERROR(INDEX(Työkonekanta!$D$3:$D$27,MATCH('S0a Baseline'!$A207,Työkonekanta!$A$3:$A$24,0),1),"undefined")</f>
        <v>undefined</v>
      </c>
      <c r="E207" s="145">
        <f>IFERROR(INDEX(Työkonekanta!$G$3:$G$27,MATCH($A207,Työkonekanta!$A$3:$A$24,0),1)*INDEX(Työkonekanta!$H$3:$H$27,MATCH($A207,Työkonekanta!$A$3:$A$24,0),1)*$B207,0)</f>
        <v>0</v>
      </c>
      <c r="F207" s="344">
        <f t="shared" si="54"/>
        <v>0</v>
      </c>
      <c r="G207" s="344">
        <f t="shared" si="61"/>
        <v>0</v>
      </c>
      <c r="H207" s="344">
        <f t="shared" si="62"/>
        <v>0</v>
      </c>
      <c r="I207" s="145">
        <f t="shared" si="55"/>
        <v>0</v>
      </c>
      <c r="J207" s="145">
        <f t="shared" si="56"/>
        <v>0</v>
      </c>
      <c r="K207" s="142" t="str">
        <f t="shared" si="63"/>
        <v>undefined</v>
      </c>
      <c r="L207" s="146">
        <f>IFERROR(INDEX(Työkonekanta!$I$3:$I$27,MATCH('S0a Baseline'!$A207,Työkonekanta!$A$3:$A$24,0),1)*(I207+J207)*f_adblue,0)</f>
        <v>0</v>
      </c>
      <c r="M207" s="146">
        <f t="shared" si="50"/>
        <v>0</v>
      </c>
      <c r="N207" s="143" t="str">
        <f>IF(tuulisähkö_vuosi&lt;='S0a Baseline'!C207,"tuulisähkö",ostosähkö_nyt)</f>
        <v>jäännössähkö</v>
      </c>
      <c r="O207" s="147">
        <f>INDEX(Muuttujat!$J$5:$J$21,MATCH($C207,Muuttujat!$H$5:$H$21,0),1)</f>
        <v>65.194885123382022</v>
      </c>
      <c r="P207" s="342">
        <f>1-(INDEX(Muuttujat!$O$5:$O$21,MATCH($C207,Muuttujat!$N$5:$N$21,0),1))</f>
        <v>0.92999999999999994</v>
      </c>
      <c r="Q207" s="342">
        <f>INDEX(Muuttujat!$O$5:$O$21,MATCH($C207,Muuttujat!$N$5:$N$21,0),1)</f>
        <v>7.0000000000000007E-2</v>
      </c>
      <c r="R207" s="148">
        <f>INDEX(Muuttujat!$P$5:$P$21,MATCH($C207,Muuttujat!$N$5:$N$21,0),1)</f>
        <v>7.3026850896560899E-2</v>
      </c>
      <c r="S207" s="149">
        <f t="shared" si="57"/>
        <v>0</v>
      </c>
      <c r="T207" s="150">
        <f t="shared" si="58"/>
        <v>0</v>
      </c>
      <c r="U207" s="150">
        <f t="shared" si="59"/>
        <v>0</v>
      </c>
      <c r="V207" s="150">
        <f>IFERROR(INDEX(Työkonekanta!$J$3:$J$27,MATCH($A207,Työkonekanta!$A$3:$A$24,0),1)*$B207*ef_li_ion_akku/1000/1000/INDEX(Työkonekanta!$K$3:$K$27,MATCH($A207,Työkonekanta!$A$3:$A$24,0)),0)</f>
        <v>0</v>
      </c>
      <c r="W207" s="149">
        <f t="shared" si="60"/>
        <v>0</v>
      </c>
      <c r="X207" s="150">
        <f t="shared" si="51"/>
        <v>0</v>
      </c>
      <c r="Y207" s="151">
        <f t="shared" si="52"/>
        <v>0</v>
      </c>
      <c r="Z207" s="152">
        <f t="shared" si="64"/>
        <v>0</v>
      </c>
      <c r="AA207" s="153">
        <f t="shared" si="65"/>
        <v>0</v>
      </c>
      <c r="AB207" s="153">
        <f t="shared" si="66"/>
        <v>0</v>
      </c>
      <c r="AC207" s="154">
        <f t="shared" si="53"/>
        <v>0</v>
      </c>
      <c r="AD207" s="156">
        <f t="shared" si="67"/>
        <v>0</v>
      </c>
    </row>
    <row r="208" spans="1:30" s="144" customFormat="1">
      <c r="A208" s="139">
        <v>26</v>
      </c>
      <c r="B208" s="139">
        <f>IFERROR(INDEX(Työkonekanta!$F$3:$F$27,MATCH('S0a Baseline'!$A208,Työkonekanta!$A$3:$A$24,0),1),0)</f>
        <v>0</v>
      </c>
      <c r="C208" s="140">
        <v>2025</v>
      </c>
      <c r="D208" s="141" t="str">
        <f>IFERROR(INDEX(Työkonekanta!$D$3:$D$27,MATCH('S0a Baseline'!$A208,Työkonekanta!$A$3:$A$24,0),1),"undefined")</f>
        <v>undefined</v>
      </c>
      <c r="E208" s="145">
        <f>IFERROR(INDEX(Työkonekanta!$G$3:$G$27,MATCH($A208,Työkonekanta!$A$3:$A$24,0),1)*INDEX(Työkonekanta!$H$3:$H$27,MATCH($A208,Työkonekanta!$A$3:$A$24,0),1)*$B208,0)</f>
        <v>0</v>
      </c>
      <c r="F208" s="344">
        <f t="shared" si="54"/>
        <v>0</v>
      </c>
      <c r="G208" s="344">
        <f t="shared" si="61"/>
        <v>0</v>
      </c>
      <c r="H208" s="344">
        <f t="shared" si="62"/>
        <v>0</v>
      </c>
      <c r="I208" s="145">
        <f t="shared" si="55"/>
        <v>0</v>
      </c>
      <c r="J208" s="145">
        <f t="shared" si="56"/>
        <v>0</v>
      </c>
      <c r="K208" s="142" t="str">
        <f t="shared" si="63"/>
        <v>undefined</v>
      </c>
      <c r="L208" s="146">
        <f>IFERROR(INDEX(Työkonekanta!$I$3:$I$27,MATCH('S0a Baseline'!$A208,Työkonekanta!$A$3:$A$24,0),1)*(I208+J208)*f_adblue,0)</f>
        <v>0</v>
      </c>
      <c r="M208" s="146">
        <f t="shared" si="50"/>
        <v>0</v>
      </c>
      <c r="N208" s="143" t="str">
        <f>IF(tuulisähkö_vuosi&lt;='S0a Baseline'!C208,"tuulisähkö",ostosähkö_nyt)</f>
        <v>jäännössähkö</v>
      </c>
      <c r="O208" s="147">
        <f>INDEX(Muuttujat!$J$5:$J$21,MATCH($C208,Muuttujat!$H$5:$H$21,0),1)</f>
        <v>65.194885123382022</v>
      </c>
      <c r="P208" s="342">
        <f>1-(INDEX(Muuttujat!$O$5:$O$21,MATCH($C208,Muuttujat!$N$5:$N$21,0),1))</f>
        <v>0.92999999999999994</v>
      </c>
      <c r="Q208" s="342">
        <f>INDEX(Muuttujat!$O$5:$O$21,MATCH($C208,Muuttujat!$N$5:$N$21,0),1)</f>
        <v>7.0000000000000007E-2</v>
      </c>
      <c r="R208" s="148">
        <f>INDEX(Muuttujat!$P$5:$P$21,MATCH($C208,Muuttujat!$N$5:$N$21,0),1)</f>
        <v>7.3026850896560899E-2</v>
      </c>
      <c r="S208" s="149">
        <f t="shared" si="57"/>
        <v>0</v>
      </c>
      <c r="T208" s="150">
        <f t="shared" si="58"/>
        <v>0</v>
      </c>
      <c r="U208" s="150">
        <f t="shared" si="59"/>
        <v>0</v>
      </c>
      <c r="V208" s="150">
        <f>IFERROR(INDEX(Työkonekanta!$J$3:$J$27,MATCH($A208,Työkonekanta!$A$3:$A$24,0),1)*$B208*ef_li_ion_akku/1000/1000/INDEX(Työkonekanta!$K$3:$K$27,MATCH($A208,Työkonekanta!$A$3:$A$24,0)),0)</f>
        <v>0</v>
      </c>
      <c r="W208" s="149">
        <f t="shared" si="60"/>
        <v>0</v>
      </c>
      <c r="X208" s="150">
        <f t="shared" si="51"/>
        <v>0</v>
      </c>
      <c r="Y208" s="151">
        <f t="shared" si="52"/>
        <v>0</v>
      </c>
      <c r="Z208" s="152">
        <f t="shared" si="64"/>
        <v>0</v>
      </c>
      <c r="AA208" s="153">
        <f t="shared" si="65"/>
        <v>0</v>
      </c>
      <c r="AB208" s="153">
        <f t="shared" si="66"/>
        <v>0</v>
      </c>
      <c r="AC208" s="154">
        <f t="shared" si="53"/>
        <v>0</v>
      </c>
      <c r="AD208" s="156">
        <f t="shared" si="67"/>
        <v>0</v>
      </c>
    </row>
    <row r="209" spans="1:30" s="144" customFormat="1">
      <c r="A209" s="139">
        <v>27</v>
      </c>
      <c r="B209" s="139">
        <f>IFERROR(INDEX(Työkonekanta!$F$3:$F$27,MATCH('S0a Baseline'!$A209,Työkonekanta!$A$3:$A$24,0),1),0)</f>
        <v>0</v>
      </c>
      <c r="C209" s="140">
        <v>2025</v>
      </c>
      <c r="D209" s="141" t="str">
        <f>IFERROR(INDEX(Työkonekanta!$D$3:$D$27,MATCH('S0a Baseline'!$A209,Työkonekanta!$A$3:$A$24,0),1),"undefined")</f>
        <v>undefined</v>
      </c>
      <c r="E209" s="145">
        <f>IFERROR(INDEX(Työkonekanta!$G$3:$G$27,MATCH($A209,Työkonekanta!$A$3:$A$24,0),1)*INDEX(Työkonekanta!$H$3:$H$27,MATCH($A209,Työkonekanta!$A$3:$A$24,0),1)*$B209,0)</f>
        <v>0</v>
      </c>
      <c r="F209" s="344">
        <f t="shared" si="54"/>
        <v>0</v>
      </c>
      <c r="G209" s="344">
        <f t="shared" si="61"/>
        <v>0</v>
      </c>
      <c r="H209" s="344">
        <f t="shared" si="62"/>
        <v>0</v>
      </c>
      <c r="I209" s="145">
        <f t="shared" si="55"/>
        <v>0</v>
      </c>
      <c r="J209" s="145">
        <f t="shared" si="56"/>
        <v>0</v>
      </c>
      <c r="K209" s="142" t="str">
        <f t="shared" si="63"/>
        <v>undefined</v>
      </c>
      <c r="L209" s="146">
        <f>IFERROR(INDEX(Työkonekanta!$I$3:$I$27,MATCH('S0a Baseline'!$A209,Työkonekanta!$A$3:$A$24,0),1)*(I209+J209)*f_adblue,0)</f>
        <v>0</v>
      </c>
      <c r="M209" s="146">
        <f t="shared" si="50"/>
        <v>0</v>
      </c>
      <c r="N209" s="143" t="str">
        <f>IF(tuulisähkö_vuosi&lt;='S0a Baseline'!C209,"tuulisähkö",ostosähkö_nyt)</f>
        <v>jäännössähkö</v>
      </c>
      <c r="O209" s="147">
        <f>INDEX(Muuttujat!$J$5:$J$21,MATCH($C209,Muuttujat!$H$5:$H$21,0),1)</f>
        <v>65.194885123382022</v>
      </c>
      <c r="P209" s="342">
        <f>1-(INDEX(Muuttujat!$O$5:$O$21,MATCH($C209,Muuttujat!$N$5:$N$21,0),1))</f>
        <v>0.92999999999999994</v>
      </c>
      <c r="Q209" s="342">
        <f>INDEX(Muuttujat!$O$5:$O$21,MATCH($C209,Muuttujat!$N$5:$N$21,0),1)</f>
        <v>7.0000000000000007E-2</v>
      </c>
      <c r="R209" s="148">
        <f>INDEX(Muuttujat!$P$5:$P$21,MATCH($C209,Muuttujat!$N$5:$N$21,0),1)</f>
        <v>7.3026850896560899E-2</v>
      </c>
      <c r="S209" s="149">
        <f t="shared" si="57"/>
        <v>0</v>
      </c>
      <c r="T209" s="150">
        <f t="shared" si="58"/>
        <v>0</v>
      </c>
      <c r="U209" s="150">
        <f t="shared" si="59"/>
        <v>0</v>
      </c>
      <c r="V209" s="150">
        <f>IFERROR(INDEX(Työkonekanta!$J$3:$J$27,MATCH($A209,Työkonekanta!$A$3:$A$24,0),1)*$B209*ef_li_ion_akku/1000/1000/INDEX(Työkonekanta!$K$3:$K$27,MATCH($A209,Työkonekanta!$A$3:$A$24,0)),0)</f>
        <v>0</v>
      </c>
      <c r="W209" s="149">
        <f t="shared" si="60"/>
        <v>0</v>
      </c>
      <c r="X209" s="150">
        <f t="shared" si="51"/>
        <v>0</v>
      </c>
      <c r="Y209" s="151">
        <f t="shared" si="52"/>
        <v>0</v>
      </c>
      <c r="Z209" s="152">
        <f t="shared" si="64"/>
        <v>0</v>
      </c>
      <c r="AA209" s="153">
        <f t="shared" si="65"/>
        <v>0</v>
      </c>
      <c r="AB209" s="153">
        <f t="shared" si="66"/>
        <v>0</v>
      </c>
      <c r="AC209" s="154">
        <f t="shared" si="53"/>
        <v>0</v>
      </c>
      <c r="AD209" s="156">
        <f t="shared" si="67"/>
        <v>0</v>
      </c>
    </row>
    <row r="210" spans="1:30" s="144" customFormat="1">
      <c r="A210" s="139">
        <v>28</v>
      </c>
      <c r="B210" s="139">
        <f>IFERROR(INDEX(Työkonekanta!$F$3:$F$27,MATCH('S0a Baseline'!$A210,Työkonekanta!$A$3:$A$24,0),1),0)</f>
        <v>0</v>
      </c>
      <c r="C210" s="140">
        <v>2025</v>
      </c>
      <c r="D210" s="141" t="str">
        <f>IFERROR(INDEX(Työkonekanta!$D$3:$D$27,MATCH('S0a Baseline'!$A210,Työkonekanta!$A$3:$A$24,0),1),"undefined")</f>
        <v>undefined</v>
      </c>
      <c r="E210" s="145">
        <f>IFERROR(INDEX(Työkonekanta!$G$3:$G$27,MATCH($A210,Työkonekanta!$A$3:$A$24,0),1)*INDEX(Työkonekanta!$H$3:$H$27,MATCH($A210,Työkonekanta!$A$3:$A$24,0),1)*$B210,0)</f>
        <v>0</v>
      </c>
      <c r="F210" s="344">
        <f t="shared" si="54"/>
        <v>0</v>
      </c>
      <c r="G210" s="344">
        <f t="shared" si="61"/>
        <v>0</v>
      </c>
      <c r="H210" s="344">
        <f t="shared" si="62"/>
        <v>0</v>
      </c>
      <c r="I210" s="145">
        <f t="shared" si="55"/>
        <v>0</v>
      </c>
      <c r="J210" s="145">
        <f t="shared" si="56"/>
        <v>0</v>
      </c>
      <c r="K210" s="142" t="str">
        <f t="shared" si="63"/>
        <v>undefined</v>
      </c>
      <c r="L210" s="146">
        <f>IFERROR(INDEX(Työkonekanta!$I$3:$I$27,MATCH('S0a Baseline'!$A210,Työkonekanta!$A$3:$A$24,0),1)*(I210+J210)*f_adblue,0)</f>
        <v>0</v>
      </c>
      <c r="M210" s="146">
        <f t="shared" si="50"/>
        <v>0</v>
      </c>
      <c r="N210" s="143" t="str">
        <f>IF(tuulisähkö_vuosi&lt;='S0a Baseline'!C210,"tuulisähkö",ostosähkö_nyt)</f>
        <v>jäännössähkö</v>
      </c>
      <c r="O210" s="147">
        <f>INDEX(Muuttujat!$J$5:$J$21,MATCH($C210,Muuttujat!$H$5:$H$21,0),1)</f>
        <v>65.194885123382022</v>
      </c>
      <c r="P210" s="342">
        <f>1-(INDEX(Muuttujat!$O$5:$O$21,MATCH($C210,Muuttujat!$N$5:$N$21,0),1))</f>
        <v>0.92999999999999994</v>
      </c>
      <c r="Q210" s="342">
        <f>INDEX(Muuttujat!$O$5:$O$21,MATCH($C210,Muuttujat!$N$5:$N$21,0),1)</f>
        <v>7.0000000000000007E-2</v>
      </c>
      <c r="R210" s="148">
        <f>INDEX(Muuttujat!$P$5:$P$21,MATCH($C210,Muuttujat!$N$5:$N$21,0),1)</f>
        <v>7.3026850896560899E-2</v>
      </c>
      <c r="S210" s="149">
        <f t="shared" si="57"/>
        <v>0</v>
      </c>
      <c r="T210" s="150">
        <f t="shared" si="58"/>
        <v>0</v>
      </c>
      <c r="U210" s="150">
        <f t="shared" si="59"/>
        <v>0</v>
      </c>
      <c r="V210" s="150">
        <f>IFERROR(INDEX(Työkonekanta!$J$3:$J$27,MATCH($A210,Työkonekanta!$A$3:$A$24,0),1)*$B210*ef_li_ion_akku/1000/1000/INDEX(Työkonekanta!$K$3:$K$27,MATCH($A210,Työkonekanta!$A$3:$A$24,0)),0)</f>
        <v>0</v>
      </c>
      <c r="W210" s="149">
        <f t="shared" si="60"/>
        <v>0</v>
      </c>
      <c r="X210" s="150">
        <f t="shared" si="51"/>
        <v>0</v>
      </c>
      <c r="Y210" s="151">
        <f t="shared" si="52"/>
        <v>0</v>
      </c>
      <c r="Z210" s="152">
        <f t="shared" si="64"/>
        <v>0</v>
      </c>
      <c r="AA210" s="153">
        <f t="shared" si="65"/>
        <v>0</v>
      </c>
      <c r="AB210" s="153">
        <f t="shared" si="66"/>
        <v>0</v>
      </c>
      <c r="AC210" s="154">
        <f t="shared" si="53"/>
        <v>0</v>
      </c>
      <c r="AD210" s="156">
        <f t="shared" si="67"/>
        <v>0</v>
      </c>
    </row>
    <row r="211" spans="1:30" s="144" customFormat="1">
      <c r="A211" s="139">
        <v>29</v>
      </c>
      <c r="B211" s="139">
        <f>IFERROR(INDEX(Työkonekanta!$F$3:$F$27,MATCH('S0a Baseline'!$A211,Työkonekanta!$A$3:$A$24,0),1),0)</f>
        <v>0</v>
      </c>
      <c r="C211" s="140">
        <v>2025</v>
      </c>
      <c r="D211" s="141" t="str">
        <f>IFERROR(INDEX(Työkonekanta!$D$3:$D$27,MATCH('S0a Baseline'!$A211,Työkonekanta!$A$3:$A$24,0),1),"undefined")</f>
        <v>undefined</v>
      </c>
      <c r="E211" s="145">
        <f>IFERROR(INDEX(Työkonekanta!$G$3:$G$27,MATCH($A211,Työkonekanta!$A$3:$A$24,0),1)*INDEX(Työkonekanta!$H$3:$H$27,MATCH($A211,Työkonekanta!$A$3:$A$24,0),1)*$B211,0)</f>
        <v>0</v>
      </c>
      <c r="F211" s="344">
        <f t="shared" si="54"/>
        <v>0</v>
      </c>
      <c r="G211" s="344">
        <f t="shared" si="61"/>
        <v>0</v>
      </c>
      <c r="H211" s="344">
        <f t="shared" si="62"/>
        <v>0</v>
      </c>
      <c r="I211" s="145">
        <f t="shared" si="55"/>
        <v>0</v>
      </c>
      <c r="J211" s="145">
        <f t="shared" si="56"/>
        <v>0</v>
      </c>
      <c r="K211" s="142" t="str">
        <f t="shared" si="63"/>
        <v>undefined</v>
      </c>
      <c r="L211" s="146">
        <f>IFERROR(INDEX(Työkonekanta!$I$3:$I$27,MATCH('S0a Baseline'!$A211,Työkonekanta!$A$3:$A$24,0),1)*(I211+J211)*f_adblue,0)</f>
        <v>0</v>
      </c>
      <c r="M211" s="146">
        <f t="shared" ref="M211:M242" si="68">IF($D211="sähkö",conv_kwh_mj*$E211,0)</f>
        <v>0</v>
      </c>
      <c r="N211" s="143" t="str">
        <f>IF(tuulisähkö_vuosi&lt;='S0a Baseline'!C211,"tuulisähkö",ostosähkö_nyt)</f>
        <v>jäännössähkö</v>
      </c>
      <c r="O211" s="147">
        <f>INDEX(Muuttujat!$J$5:$J$21,MATCH($C211,Muuttujat!$H$5:$H$21,0),1)</f>
        <v>65.194885123382022</v>
      </c>
      <c r="P211" s="342">
        <f>1-(INDEX(Muuttujat!$O$5:$O$21,MATCH($C211,Muuttujat!$N$5:$N$21,0),1))</f>
        <v>0.92999999999999994</v>
      </c>
      <c r="Q211" s="342">
        <f>INDEX(Muuttujat!$O$5:$O$21,MATCH($C211,Muuttujat!$N$5:$N$21,0),1)</f>
        <v>7.0000000000000007E-2</v>
      </c>
      <c r="R211" s="148">
        <f>INDEX(Muuttujat!$P$5:$P$21,MATCH($C211,Muuttujat!$N$5:$N$21,0),1)</f>
        <v>7.3026850896560899E-2</v>
      </c>
      <c r="S211" s="149">
        <f t="shared" si="57"/>
        <v>0</v>
      </c>
      <c r="T211" s="150">
        <f t="shared" si="58"/>
        <v>0</v>
      </c>
      <c r="U211" s="150">
        <f t="shared" si="59"/>
        <v>0</v>
      </c>
      <c r="V211" s="150">
        <f>IFERROR(INDEX(Työkonekanta!$J$3:$J$27,MATCH($A211,Työkonekanta!$A$3:$A$24,0),1)*$B211*ef_li_ion_akku/1000/1000/INDEX(Työkonekanta!$K$3:$K$27,MATCH($A211,Työkonekanta!$A$3:$A$24,0)),0)</f>
        <v>0</v>
      </c>
      <c r="W211" s="149">
        <f t="shared" si="60"/>
        <v>0</v>
      </c>
      <c r="X211" s="150">
        <f t="shared" ref="X211:X242" si="69">($E211*(IF($D211="pom",ef_v_ch4_pom,0)*gwp100_ch4+IF($D211="pom",ef_v_n2o_pom,0)*gwp100_n2o))/1000/1000</f>
        <v>0</v>
      </c>
      <c r="Y211" s="151">
        <f t="shared" ref="Y211:Y242" si="70">$L211*ef_v_co2_adblue/1000/1000</f>
        <v>0</v>
      </c>
      <c r="Z211" s="152">
        <f t="shared" si="64"/>
        <v>0</v>
      </c>
      <c r="AA211" s="153">
        <f t="shared" si="65"/>
        <v>0</v>
      </c>
      <c r="AB211" s="153">
        <f t="shared" si="66"/>
        <v>0</v>
      </c>
      <c r="AC211" s="154">
        <f t="shared" ref="AC211:AC242" si="71">$Z211+$AA211</f>
        <v>0</v>
      </c>
      <c r="AD211" s="156">
        <f t="shared" si="67"/>
        <v>0</v>
      </c>
    </row>
    <row r="212" spans="1:30" s="144" customFormat="1">
      <c r="A212" s="139">
        <v>30</v>
      </c>
      <c r="B212" s="139">
        <f>IFERROR(INDEX(Työkonekanta!$F$3:$F$27,MATCH('S0a Baseline'!$A212,Työkonekanta!$A$3:$A$24,0),1),0)</f>
        <v>0</v>
      </c>
      <c r="C212" s="140">
        <v>2025</v>
      </c>
      <c r="D212" s="141" t="str">
        <f>IFERROR(INDEX(Työkonekanta!$D$3:$D$27,MATCH('S0a Baseline'!$A212,Työkonekanta!$A$3:$A$24,0),1),"undefined")</f>
        <v>undefined</v>
      </c>
      <c r="E212" s="145">
        <f>IFERROR(INDEX(Työkonekanta!$G$3:$G$27,MATCH($A212,Työkonekanta!$A$3:$A$24,0),1)*INDEX(Työkonekanta!$H$3:$H$27,MATCH($A212,Työkonekanta!$A$3:$A$24,0),1)*$B212,0)</f>
        <v>0</v>
      </c>
      <c r="F212" s="344">
        <f t="shared" si="54"/>
        <v>0</v>
      </c>
      <c r="G212" s="344">
        <f t="shared" si="61"/>
        <v>0</v>
      </c>
      <c r="H212" s="344">
        <f t="shared" si="62"/>
        <v>0</v>
      </c>
      <c r="I212" s="145">
        <f t="shared" si="55"/>
        <v>0</v>
      </c>
      <c r="J212" s="145">
        <f t="shared" si="56"/>
        <v>0</v>
      </c>
      <c r="K212" s="142" t="str">
        <f t="shared" si="63"/>
        <v>undefined</v>
      </c>
      <c r="L212" s="146">
        <f>IFERROR(INDEX(Työkonekanta!$I$3:$I$27,MATCH('S0a Baseline'!$A212,Työkonekanta!$A$3:$A$24,0),1)*(I212+J212)*f_adblue,0)</f>
        <v>0</v>
      </c>
      <c r="M212" s="146">
        <f t="shared" si="68"/>
        <v>0</v>
      </c>
      <c r="N212" s="143" t="str">
        <f>IF(tuulisähkö_vuosi&lt;='S0a Baseline'!C212,"tuulisähkö",ostosähkö_nyt)</f>
        <v>jäännössähkö</v>
      </c>
      <c r="O212" s="147">
        <f>INDEX(Muuttujat!$J$5:$J$21,MATCH($C212,Muuttujat!$H$5:$H$21,0),1)</f>
        <v>65.194885123382022</v>
      </c>
      <c r="P212" s="342">
        <f>1-(INDEX(Muuttujat!$O$5:$O$21,MATCH($C212,Muuttujat!$N$5:$N$21,0),1))</f>
        <v>0.92999999999999994</v>
      </c>
      <c r="Q212" s="342">
        <f>INDEX(Muuttujat!$O$5:$O$21,MATCH($C212,Muuttujat!$N$5:$N$21,0),1)</f>
        <v>7.0000000000000007E-2</v>
      </c>
      <c r="R212" s="148">
        <f>INDEX(Muuttujat!$P$5:$P$21,MATCH($C212,Muuttujat!$N$5:$N$21,0),1)</f>
        <v>7.3026850896560899E-2</v>
      </c>
      <c r="S212" s="149">
        <f t="shared" si="57"/>
        <v>0</v>
      </c>
      <c r="T212" s="150">
        <f t="shared" si="58"/>
        <v>0</v>
      </c>
      <c r="U212" s="150">
        <f t="shared" si="59"/>
        <v>0</v>
      </c>
      <c r="V212" s="150">
        <f>IFERROR(INDEX(Työkonekanta!$J$3:$J$27,MATCH($A212,Työkonekanta!$A$3:$A$24,0),1)*$B212*ef_li_ion_akku/1000/1000/INDEX(Työkonekanta!$K$3:$K$27,MATCH($A212,Työkonekanta!$A$3:$A$24,0)),0)</f>
        <v>0</v>
      </c>
      <c r="W212" s="149">
        <f t="shared" si="60"/>
        <v>0</v>
      </c>
      <c r="X212" s="150">
        <f t="shared" si="69"/>
        <v>0</v>
      </c>
      <c r="Y212" s="151">
        <f t="shared" si="70"/>
        <v>0</v>
      </c>
      <c r="Z212" s="152">
        <f t="shared" si="64"/>
        <v>0</v>
      </c>
      <c r="AA212" s="153">
        <f t="shared" si="65"/>
        <v>0</v>
      </c>
      <c r="AB212" s="153">
        <f t="shared" si="66"/>
        <v>0</v>
      </c>
      <c r="AC212" s="154">
        <f t="shared" si="71"/>
        <v>0</v>
      </c>
      <c r="AD212" s="156">
        <f t="shared" si="67"/>
        <v>0</v>
      </c>
    </row>
    <row r="213" spans="1:30" s="144" customFormat="1">
      <c r="A213" s="139">
        <v>1</v>
      </c>
      <c r="B213" s="139">
        <f>IFERROR(INDEX(Työkonekanta!$F$3:$F$27,MATCH('S0a Baseline'!$A213,Työkonekanta!$A$3:$A$24,0),1),0)</f>
        <v>1</v>
      </c>
      <c r="C213" s="140">
        <v>2026</v>
      </c>
      <c r="D213" s="141" t="str">
        <f>IFERROR(INDEX(Työkonekanta!$D$3:$D$27,MATCH('S0a Baseline'!$A213,Työkonekanta!$A$3:$A$24,0),1),"undefined")</f>
        <v>pom</v>
      </c>
      <c r="E213" s="145">
        <f>IFERROR(INDEX(Työkonekanta!$G$3:$G$27,MATCH($A213,Työkonekanta!$A$3:$A$24,0),1)*INDEX(Työkonekanta!$H$3:$H$27,MATCH($A213,Työkonekanta!$A$3:$A$24,0),1)*$B213,0)</f>
        <v>10000</v>
      </c>
      <c r="F213" s="344">
        <f t="shared" si="54"/>
        <v>359000</v>
      </c>
      <c r="G213" s="344">
        <f t="shared" si="61"/>
        <v>330280</v>
      </c>
      <c r="H213" s="344">
        <f t="shared" si="62"/>
        <v>28720</v>
      </c>
      <c r="I213" s="145">
        <f t="shared" si="55"/>
        <v>9200</v>
      </c>
      <c r="J213" s="145">
        <f t="shared" si="56"/>
        <v>837.31778425655989</v>
      </c>
      <c r="K213" s="142" t="str">
        <f t="shared" si="63"/>
        <v>l</v>
      </c>
      <c r="L213" s="146">
        <f>IFERROR(INDEX(Työkonekanta!$I$3:$I$27,MATCH('S0a Baseline'!$A213,Työkonekanta!$A$3:$A$24,0),1)*(I213+J213)*f_adblue,0)</f>
        <v>501.86588921282805</v>
      </c>
      <c r="M213" s="146">
        <f t="shared" si="68"/>
        <v>0</v>
      </c>
      <c r="N213" s="143" t="str">
        <f>IF(tuulisähkö_vuosi&lt;='S0a Baseline'!C213,"tuulisähkö",ostosähkö_nyt)</f>
        <v>jäännössähkö</v>
      </c>
      <c r="O213" s="147">
        <f>INDEX(Muuttujat!$J$5:$J$21,MATCH($C213,Muuttujat!$H$5:$H$21,0),1)</f>
        <v>64.542936272148211</v>
      </c>
      <c r="P213" s="342">
        <f>1-(INDEX(Muuttujat!$O$5:$O$21,MATCH($C213,Muuttujat!$N$5:$N$21,0),1))</f>
        <v>0.92</v>
      </c>
      <c r="Q213" s="342">
        <f>INDEX(Muuttujat!$O$5:$O$21,MATCH($C213,Muuttujat!$N$5:$N$21,0),1)</f>
        <v>0.08</v>
      </c>
      <c r="R213" s="148">
        <f>INDEX(Muuttujat!$P$5:$P$21,MATCH($C213,Muuttujat!$N$5:$N$21,0),1)</f>
        <v>8.3420471452195388E-2</v>
      </c>
      <c r="S213" s="149">
        <f t="shared" si="57"/>
        <v>6.2422919999999991</v>
      </c>
      <c r="T213" s="150">
        <f t="shared" si="58"/>
        <v>1.7921279999999999</v>
      </c>
      <c r="U213" s="150">
        <f t="shared" si="59"/>
        <v>0</v>
      </c>
      <c r="V213" s="150">
        <f>IFERROR(INDEX(Työkonekanta!$J$3:$J$27,MATCH($A213,Työkonekanta!$A$3:$A$24,0),1)*$B213*ef_li_ion_akku/1000/1000/INDEX(Työkonekanta!$K$3:$K$27,MATCH($A213,Työkonekanta!$A$3:$A$24,0)),0)</f>
        <v>0</v>
      </c>
      <c r="W213" s="149">
        <f t="shared" si="60"/>
        <v>24.377390223120003</v>
      </c>
      <c r="X213" s="150">
        <f t="shared" si="69"/>
        <v>0.31774565999999999</v>
      </c>
      <c r="Y213" s="151">
        <f t="shared" si="70"/>
        <v>0.13048513119533531</v>
      </c>
      <c r="Z213" s="152">
        <f t="shared" si="64"/>
        <v>8.034419999999999</v>
      </c>
      <c r="AA213" s="153">
        <f t="shared" si="65"/>
        <v>24.507875354315338</v>
      </c>
      <c r="AB213" s="153">
        <f t="shared" si="66"/>
        <v>24.825621014315338</v>
      </c>
      <c r="AC213" s="154">
        <f t="shared" si="71"/>
        <v>32.542295354315335</v>
      </c>
      <c r="AD213" s="156">
        <f t="shared" si="67"/>
        <v>32.860041014315335</v>
      </c>
    </row>
    <row r="214" spans="1:30" s="144" customFormat="1">
      <c r="A214" s="139">
        <v>2</v>
      </c>
      <c r="B214" s="139">
        <f>IFERROR(INDEX(Työkonekanta!$F$3:$F$27,MATCH('S0a Baseline'!$A214,Työkonekanta!$A$3:$A$24,0),1),0)</f>
        <v>1</v>
      </c>
      <c r="C214" s="140">
        <v>2026</v>
      </c>
      <c r="D214" s="141" t="str">
        <f>IFERROR(INDEX(Työkonekanta!$D$3:$D$27,MATCH('S0a Baseline'!$A214,Työkonekanta!$A$3:$A$24,0),1),"undefined")</f>
        <v>pom</v>
      </c>
      <c r="E214" s="145">
        <f>IFERROR(INDEX(Työkonekanta!$G$3:$G$27,MATCH($A214,Työkonekanta!$A$3:$A$24,0),1)*INDEX(Työkonekanta!$H$3:$H$27,MATCH($A214,Työkonekanta!$A$3:$A$24,0),1)*$B214,0)</f>
        <v>10000</v>
      </c>
      <c r="F214" s="344">
        <f t="shared" si="54"/>
        <v>359000</v>
      </c>
      <c r="G214" s="344">
        <f t="shared" si="61"/>
        <v>330280</v>
      </c>
      <c r="H214" s="344">
        <f t="shared" si="62"/>
        <v>28720</v>
      </c>
      <c r="I214" s="145">
        <f t="shared" si="55"/>
        <v>9200</v>
      </c>
      <c r="J214" s="145">
        <f t="shared" si="56"/>
        <v>837.31778425655989</v>
      </c>
      <c r="K214" s="142" t="str">
        <f t="shared" si="63"/>
        <v>l</v>
      </c>
      <c r="L214" s="146">
        <f>IFERROR(INDEX(Työkonekanta!$I$3:$I$27,MATCH('S0a Baseline'!$A214,Työkonekanta!$A$3:$A$24,0),1)*(I214+J214)*f_adblue,0)</f>
        <v>501.86588921282805</v>
      </c>
      <c r="M214" s="146">
        <f t="shared" si="68"/>
        <v>0</v>
      </c>
      <c r="N214" s="143" t="str">
        <f>IF(tuulisähkö_vuosi&lt;='S0a Baseline'!C214,"tuulisähkö",ostosähkö_nyt)</f>
        <v>jäännössähkö</v>
      </c>
      <c r="O214" s="147">
        <f>INDEX(Muuttujat!$J$5:$J$21,MATCH($C214,Muuttujat!$H$5:$H$21,0),1)</f>
        <v>64.542936272148211</v>
      </c>
      <c r="P214" s="342">
        <f>1-(INDEX(Muuttujat!$O$5:$O$21,MATCH($C214,Muuttujat!$N$5:$N$21,0),1))</f>
        <v>0.92</v>
      </c>
      <c r="Q214" s="342">
        <f>INDEX(Muuttujat!$O$5:$O$21,MATCH($C214,Muuttujat!$N$5:$N$21,0),1)</f>
        <v>0.08</v>
      </c>
      <c r="R214" s="148">
        <f>INDEX(Muuttujat!$P$5:$P$21,MATCH($C214,Muuttujat!$N$5:$N$21,0),1)</f>
        <v>8.3420471452195388E-2</v>
      </c>
      <c r="S214" s="149">
        <f t="shared" si="57"/>
        <v>6.2422919999999991</v>
      </c>
      <c r="T214" s="150">
        <f t="shared" si="58"/>
        <v>1.7921279999999999</v>
      </c>
      <c r="U214" s="150">
        <f t="shared" si="59"/>
        <v>0</v>
      </c>
      <c r="V214" s="150">
        <f>IFERROR(INDEX(Työkonekanta!$J$3:$J$27,MATCH($A214,Työkonekanta!$A$3:$A$24,0),1)*$B214*ef_li_ion_akku/1000/1000/INDEX(Työkonekanta!$K$3:$K$27,MATCH($A214,Työkonekanta!$A$3:$A$24,0)),0)</f>
        <v>0</v>
      </c>
      <c r="W214" s="149">
        <f t="shared" si="60"/>
        <v>24.377390223120003</v>
      </c>
      <c r="X214" s="150">
        <f t="shared" si="69"/>
        <v>0.31774565999999999</v>
      </c>
      <c r="Y214" s="151">
        <f t="shared" si="70"/>
        <v>0.13048513119533531</v>
      </c>
      <c r="Z214" s="152">
        <f t="shared" si="64"/>
        <v>8.034419999999999</v>
      </c>
      <c r="AA214" s="153">
        <f t="shared" si="65"/>
        <v>24.507875354315338</v>
      </c>
      <c r="AB214" s="153">
        <f t="shared" si="66"/>
        <v>24.825621014315338</v>
      </c>
      <c r="AC214" s="154">
        <f t="shared" si="71"/>
        <v>32.542295354315335</v>
      </c>
      <c r="AD214" s="156">
        <f t="shared" si="67"/>
        <v>32.860041014315335</v>
      </c>
    </row>
    <row r="215" spans="1:30" s="144" customFormat="1">
      <c r="A215" s="139">
        <v>3</v>
      </c>
      <c r="B215" s="139">
        <f>IFERROR(INDEX(Työkonekanta!$F$3:$F$27,MATCH('S0a Baseline'!$A215,Työkonekanta!$A$3:$A$24,0),1),0)</f>
        <v>1</v>
      </c>
      <c r="C215" s="140">
        <v>2026</v>
      </c>
      <c r="D215" s="141" t="str">
        <f>IFERROR(INDEX(Työkonekanta!$D$3:$D$27,MATCH('S0a Baseline'!$A215,Työkonekanta!$A$3:$A$24,0),1),"undefined")</f>
        <v>pom</v>
      </c>
      <c r="E215" s="145">
        <f>IFERROR(INDEX(Työkonekanta!$G$3:$G$27,MATCH($A215,Työkonekanta!$A$3:$A$24,0),1)*INDEX(Työkonekanta!$H$3:$H$27,MATCH($A215,Työkonekanta!$A$3:$A$24,0),1)*$B215,0)</f>
        <v>10000</v>
      </c>
      <c r="F215" s="344">
        <f t="shared" si="54"/>
        <v>359000</v>
      </c>
      <c r="G215" s="344">
        <f t="shared" si="61"/>
        <v>330280</v>
      </c>
      <c r="H215" s="344">
        <f t="shared" si="62"/>
        <v>28720</v>
      </c>
      <c r="I215" s="145">
        <f t="shared" si="55"/>
        <v>9200</v>
      </c>
      <c r="J215" s="145">
        <f t="shared" si="56"/>
        <v>837.31778425655989</v>
      </c>
      <c r="K215" s="142" t="str">
        <f t="shared" si="63"/>
        <v>l</v>
      </c>
      <c r="L215" s="146">
        <f>IFERROR(INDEX(Työkonekanta!$I$3:$I$27,MATCH('S0a Baseline'!$A215,Työkonekanta!$A$3:$A$24,0),1)*(I215+J215)*f_adblue,0)</f>
        <v>501.86588921282805</v>
      </c>
      <c r="M215" s="146">
        <f t="shared" si="68"/>
        <v>0</v>
      </c>
      <c r="N215" s="143" t="str">
        <f>IF(tuulisähkö_vuosi&lt;='S0a Baseline'!C215,"tuulisähkö",ostosähkö_nyt)</f>
        <v>jäännössähkö</v>
      </c>
      <c r="O215" s="147">
        <f>INDEX(Muuttujat!$J$5:$J$21,MATCH($C215,Muuttujat!$H$5:$H$21,0),1)</f>
        <v>64.542936272148211</v>
      </c>
      <c r="P215" s="342">
        <f>1-(INDEX(Muuttujat!$O$5:$O$21,MATCH($C215,Muuttujat!$N$5:$N$21,0),1))</f>
        <v>0.92</v>
      </c>
      <c r="Q215" s="342">
        <f>INDEX(Muuttujat!$O$5:$O$21,MATCH($C215,Muuttujat!$N$5:$N$21,0),1)</f>
        <v>0.08</v>
      </c>
      <c r="R215" s="148">
        <f>INDEX(Muuttujat!$P$5:$P$21,MATCH($C215,Muuttujat!$N$5:$N$21,0),1)</f>
        <v>8.3420471452195388E-2</v>
      </c>
      <c r="S215" s="149">
        <f t="shared" si="57"/>
        <v>6.2422919999999991</v>
      </c>
      <c r="T215" s="150">
        <f t="shared" si="58"/>
        <v>1.7921279999999999</v>
      </c>
      <c r="U215" s="150">
        <f t="shared" si="59"/>
        <v>0</v>
      </c>
      <c r="V215" s="150">
        <f>IFERROR(INDEX(Työkonekanta!$J$3:$J$27,MATCH($A215,Työkonekanta!$A$3:$A$24,0),1)*$B215*ef_li_ion_akku/1000/1000/INDEX(Työkonekanta!$K$3:$K$27,MATCH($A215,Työkonekanta!$A$3:$A$24,0)),0)</f>
        <v>0</v>
      </c>
      <c r="W215" s="149">
        <f t="shared" si="60"/>
        <v>24.377390223120003</v>
      </c>
      <c r="X215" s="150">
        <f t="shared" si="69"/>
        <v>0.31774565999999999</v>
      </c>
      <c r="Y215" s="151">
        <f t="shared" si="70"/>
        <v>0.13048513119533531</v>
      </c>
      <c r="Z215" s="152">
        <f t="shared" si="64"/>
        <v>8.034419999999999</v>
      </c>
      <c r="AA215" s="153">
        <f t="shared" si="65"/>
        <v>24.507875354315338</v>
      </c>
      <c r="AB215" s="153">
        <f t="shared" si="66"/>
        <v>24.825621014315338</v>
      </c>
      <c r="AC215" s="154">
        <f t="shared" si="71"/>
        <v>32.542295354315335</v>
      </c>
      <c r="AD215" s="156">
        <f t="shared" si="67"/>
        <v>32.860041014315335</v>
      </c>
    </row>
    <row r="216" spans="1:30" s="144" customFormat="1">
      <c r="A216" s="139">
        <v>4</v>
      </c>
      <c r="B216" s="139">
        <f>IFERROR(INDEX(Työkonekanta!$F$3:$F$27,MATCH('S0a Baseline'!$A216,Työkonekanta!$A$3:$A$24,0),1),0)</f>
        <v>1</v>
      </c>
      <c r="C216" s="140">
        <v>2026</v>
      </c>
      <c r="D216" s="141" t="str">
        <f>IFERROR(INDEX(Työkonekanta!$D$3:$D$27,MATCH('S0a Baseline'!$A216,Työkonekanta!$A$3:$A$24,0),1),"undefined")</f>
        <v>pom</v>
      </c>
      <c r="E216" s="145">
        <f>IFERROR(INDEX(Työkonekanta!$G$3:$G$27,MATCH($A216,Työkonekanta!$A$3:$A$24,0),1)*INDEX(Työkonekanta!$H$3:$H$27,MATCH($A216,Työkonekanta!$A$3:$A$24,0),1)*$B216,0)</f>
        <v>10000</v>
      </c>
      <c r="F216" s="344">
        <f t="shared" si="54"/>
        <v>359000</v>
      </c>
      <c r="G216" s="344">
        <f t="shared" si="61"/>
        <v>330280</v>
      </c>
      <c r="H216" s="344">
        <f t="shared" si="62"/>
        <v>28720</v>
      </c>
      <c r="I216" s="145">
        <f t="shared" si="55"/>
        <v>9200</v>
      </c>
      <c r="J216" s="145">
        <f t="shared" si="56"/>
        <v>837.31778425655989</v>
      </c>
      <c r="K216" s="142" t="str">
        <f t="shared" si="63"/>
        <v>l</v>
      </c>
      <c r="L216" s="146">
        <f>IFERROR(INDEX(Työkonekanta!$I$3:$I$27,MATCH('S0a Baseline'!$A216,Työkonekanta!$A$3:$A$24,0),1)*(I216+J216)*f_adblue,0)</f>
        <v>501.86588921282805</v>
      </c>
      <c r="M216" s="146">
        <f t="shared" si="68"/>
        <v>0</v>
      </c>
      <c r="N216" s="143" t="str">
        <f>IF(tuulisähkö_vuosi&lt;='S0a Baseline'!C216,"tuulisähkö",ostosähkö_nyt)</f>
        <v>jäännössähkö</v>
      </c>
      <c r="O216" s="147">
        <f>INDEX(Muuttujat!$J$5:$J$21,MATCH($C216,Muuttujat!$H$5:$H$21,0),1)</f>
        <v>64.542936272148211</v>
      </c>
      <c r="P216" s="342">
        <f>1-(INDEX(Muuttujat!$O$5:$O$21,MATCH($C216,Muuttujat!$N$5:$N$21,0),1))</f>
        <v>0.92</v>
      </c>
      <c r="Q216" s="342">
        <f>INDEX(Muuttujat!$O$5:$O$21,MATCH($C216,Muuttujat!$N$5:$N$21,0),1)</f>
        <v>0.08</v>
      </c>
      <c r="R216" s="148">
        <f>INDEX(Muuttujat!$P$5:$P$21,MATCH($C216,Muuttujat!$N$5:$N$21,0),1)</f>
        <v>8.3420471452195388E-2</v>
      </c>
      <c r="S216" s="149">
        <f t="shared" si="57"/>
        <v>6.2422919999999991</v>
      </c>
      <c r="T216" s="150">
        <f t="shared" si="58"/>
        <v>1.7921279999999999</v>
      </c>
      <c r="U216" s="150">
        <f t="shared" si="59"/>
        <v>0</v>
      </c>
      <c r="V216" s="150">
        <f>IFERROR(INDEX(Työkonekanta!$J$3:$J$27,MATCH($A216,Työkonekanta!$A$3:$A$24,0),1)*$B216*ef_li_ion_akku/1000/1000/INDEX(Työkonekanta!$K$3:$K$27,MATCH($A216,Työkonekanta!$A$3:$A$24,0)),0)</f>
        <v>0</v>
      </c>
      <c r="W216" s="149">
        <f t="shared" si="60"/>
        <v>24.377390223120003</v>
      </c>
      <c r="X216" s="150">
        <f t="shared" si="69"/>
        <v>0.31774565999999999</v>
      </c>
      <c r="Y216" s="151">
        <f t="shared" si="70"/>
        <v>0.13048513119533531</v>
      </c>
      <c r="Z216" s="152">
        <f t="shared" si="64"/>
        <v>8.034419999999999</v>
      </c>
      <c r="AA216" s="153">
        <f t="shared" si="65"/>
        <v>24.507875354315338</v>
      </c>
      <c r="AB216" s="153">
        <f t="shared" si="66"/>
        <v>24.825621014315338</v>
      </c>
      <c r="AC216" s="154">
        <f t="shared" si="71"/>
        <v>32.542295354315335</v>
      </c>
      <c r="AD216" s="156">
        <f t="shared" si="67"/>
        <v>32.860041014315335</v>
      </c>
    </row>
    <row r="217" spans="1:30" s="144" customFormat="1">
      <c r="A217" s="139">
        <v>5</v>
      </c>
      <c r="B217" s="139">
        <f>IFERROR(INDEX(Työkonekanta!$F$3:$F$27,MATCH('S0a Baseline'!$A217,Työkonekanta!$A$3:$A$24,0),1),0)</f>
        <v>0</v>
      </c>
      <c r="C217" s="140">
        <v>2026</v>
      </c>
      <c r="D217" s="141" t="str">
        <f>IFERROR(INDEX(Työkonekanta!$D$3:$D$27,MATCH('S0a Baseline'!$A217,Työkonekanta!$A$3:$A$24,0),1),"undefined")</f>
        <v>sähkö</v>
      </c>
      <c r="E217" s="145">
        <f>IFERROR(INDEX(Työkonekanta!$G$3:$G$27,MATCH($A217,Työkonekanta!$A$3:$A$24,0),1)*INDEX(Työkonekanta!$H$3:$H$27,MATCH($A217,Työkonekanta!$A$3:$A$24,0),1)*$B217,0)</f>
        <v>0</v>
      </c>
      <c r="F217" s="344">
        <f t="shared" si="54"/>
        <v>0</v>
      </c>
      <c r="G217" s="344">
        <f t="shared" si="61"/>
        <v>0</v>
      </c>
      <c r="H217" s="344">
        <f t="shared" si="62"/>
        <v>0</v>
      </c>
      <c r="I217" s="145">
        <f t="shared" si="55"/>
        <v>0</v>
      </c>
      <c r="J217" s="145">
        <f t="shared" si="56"/>
        <v>0</v>
      </c>
      <c r="K217" s="142" t="str">
        <f t="shared" si="63"/>
        <v>kWh</v>
      </c>
      <c r="L217" s="146">
        <f>IFERROR(INDEX(Työkonekanta!$I$3:$I$27,MATCH('S0a Baseline'!$A217,Työkonekanta!$A$3:$A$24,0),1)*(I217+J217)*f_adblue,0)</f>
        <v>0</v>
      </c>
      <c r="M217" s="146">
        <f t="shared" si="68"/>
        <v>0</v>
      </c>
      <c r="N217" s="143" t="str">
        <f>IF(tuulisähkö_vuosi&lt;='S0a Baseline'!C217,"tuulisähkö",ostosähkö_nyt)</f>
        <v>jäännössähkö</v>
      </c>
      <c r="O217" s="147">
        <f>INDEX(Muuttujat!$J$5:$J$21,MATCH($C217,Muuttujat!$H$5:$H$21,0),1)</f>
        <v>64.542936272148211</v>
      </c>
      <c r="P217" s="342">
        <f>1-(INDEX(Muuttujat!$O$5:$O$21,MATCH($C217,Muuttujat!$N$5:$N$21,0),1))</f>
        <v>0.92</v>
      </c>
      <c r="Q217" s="342">
        <f>INDEX(Muuttujat!$O$5:$O$21,MATCH($C217,Muuttujat!$N$5:$N$21,0),1)</f>
        <v>0.08</v>
      </c>
      <c r="R217" s="148">
        <f>INDEX(Muuttujat!$P$5:$P$21,MATCH($C217,Muuttujat!$N$5:$N$21,0),1)</f>
        <v>8.3420471452195388E-2</v>
      </c>
      <c r="S217" s="149">
        <f t="shared" si="57"/>
        <v>0</v>
      </c>
      <c r="T217" s="150">
        <f t="shared" si="58"/>
        <v>0</v>
      </c>
      <c r="U217" s="150">
        <f t="shared" si="59"/>
        <v>0</v>
      </c>
      <c r="V217" s="150">
        <f>IFERROR(INDEX(Työkonekanta!$J$3:$J$27,MATCH($A217,Työkonekanta!$A$3:$A$24,0),1)*$B217*ef_li_ion_akku/1000/1000/INDEX(Työkonekanta!$K$3:$K$27,MATCH($A217,Työkonekanta!$A$3:$A$24,0)),0)</f>
        <v>0</v>
      </c>
      <c r="W217" s="149">
        <f t="shared" si="60"/>
        <v>0</v>
      </c>
      <c r="X217" s="150">
        <f t="shared" si="69"/>
        <v>0</v>
      </c>
      <c r="Y217" s="151">
        <f t="shared" si="70"/>
        <v>0</v>
      </c>
      <c r="Z217" s="152">
        <f t="shared" si="64"/>
        <v>0</v>
      </c>
      <c r="AA217" s="153">
        <f t="shared" si="65"/>
        <v>0</v>
      </c>
      <c r="AB217" s="153">
        <f t="shared" si="66"/>
        <v>0</v>
      </c>
      <c r="AC217" s="154">
        <f t="shared" si="71"/>
        <v>0</v>
      </c>
      <c r="AD217" s="156">
        <f t="shared" si="67"/>
        <v>0</v>
      </c>
    </row>
    <row r="218" spans="1:30" s="144" customFormat="1">
      <c r="A218" s="139">
        <v>6</v>
      </c>
      <c r="B218" s="139">
        <f>IFERROR(INDEX(Työkonekanta!$F$3:$F$27,MATCH('S0a Baseline'!$A218,Työkonekanta!$A$3:$A$24,0),1),0)</f>
        <v>0</v>
      </c>
      <c r="C218" s="140">
        <v>2026</v>
      </c>
      <c r="D218" s="141" t="str">
        <f>IFERROR(INDEX(Työkonekanta!$D$3:$D$27,MATCH('S0a Baseline'!$A218,Työkonekanta!$A$3:$A$24,0),1),"undefined")</f>
        <v>sähkö</v>
      </c>
      <c r="E218" s="145">
        <f>IFERROR(INDEX(Työkonekanta!$G$3:$G$27,MATCH($A218,Työkonekanta!$A$3:$A$24,0),1)*INDEX(Työkonekanta!$H$3:$H$27,MATCH($A218,Työkonekanta!$A$3:$A$24,0),1)*$B218,0)</f>
        <v>0</v>
      </c>
      <c r="F218" s="344">
        <f t="shared" si="54"/>
        <v>0</v>
      </c>
      <c r="G218" s="344">
        <f t="shared" si="61"/>
        <v>0</v>
      </c>
      <c r="H218" s="344">
        <f t="shared" si="62"/>
        <v>0</v>
      </c>
      <c r="I218" s="145">
        <f t="shared" si="55"/>
        <v>0</v>
      </c>
      <c r="J218" s="145">
        <f t="shared" si="56"/>
        <v>0</v>
      </c>
      <c r="K218" s="142" t="str">
        <f t="shared" si="63"/>
        <v>kWh</v>
      </c>
      <c r="L218" s="146">
        <f>IFERROR(INDEX(Työkonekanta!$I$3:$I$27,MATCH('S0a Baseline'!$A218,Työkonekanta!$A$3:$A$24,0),1)*(I218+J218)*f_adblue,0)</f>
        <v>0</v>
      </c>
      <c r="M218" s="146">
        <f t="shared" si="68"/>
        <v>0</v>
      </c>
      <c r="N218" s="143" t="str">
        <f>IF(tuulisähkö_vuosi&lt;='S0a Baseline'!C218,"tuulisähkö",ostosähkö_nyt)</f>
        <v>jäännössähkö</v>
      </c>
      <c r="O218" s="147">
        <f>INDEX(Muuttujat!$J$5:$J$21,MATCH($C218,Muuttujat!$H$5:$H$21,0),1)</f>
        <v>64.542936272148211</v>
      </c>
      <c r="P218" s="342">
        <f>1-(INDEX(Muuttujat!$O$5:$O$21,MATCH($C218,Muuttujat!$N$5:$N$21,0),1))</f>
        <v>0.92</v>
      </c>
      <c r="Q218" s="342">
        <f>INDEX(Muuttujat!$O$5:$O$21,MATCH($C218,Muuttujat!$N$5:$N$21,0),1)</f>
        <v>0.08</v>
      </c>
      <c r="R218" s="148">
        <f>INDEX(Muuttujat!$P$5:$P$21,MATCH($C218,Muuttujat!$N$5:$N$21,0),1)</f>
        <v>8.3420471452195388E-2</v>
      </c>
      <c r="S218" s="149">
        <f t="shared" si="57"/>
        <v>0</v>
      </c>
      <c r="T218" s="150">
        <f t="shared" si="58"/>
        <v>0</v>
      </c>
      <c r="U218" s="150">
        <f t="shared" si="59"/>
        <v>0</v>
      </c>
      <c r="V218" s="150">
        <f>IFERROR(INDEX(Työkonekanta!$J$3:$J$27,MATCH($A218,Työkonekanta!$A$3:$A$24,0),1)*$B218*ef_li_ion_akku/1000/1000/INDEX(Työkonekanta!$K$3:$K$27,MATCH($A218,Työkonekanta!$A$3:$A$24,0)),0)</f>
        <v>0</v>
      </c>
      <c r="W218" s="149">
        <f t="shared" si="60"/>
        <v>0</v>
      </c>
      <c r="X218" s="150">
        <f t="shared" si="69"/>
        <v>0</v>
      </c>
      <c r="Y218" s="151">
        <f t="shared" si="70"/>
        <v>0</v>
      </c>
      <c r="Z218" s="152">
        <f t="shared" si="64"/>
        <v>0</v>
      </c>
      <c r="AA218" s="153">
        <f t="shared" si="65"/>
        <v>0</v>
      </c>
      <c r="AB218" s="153">
        <f t="shared" si="66"/>
        <v>0</v>
      </c>
      <c r="AC218" s="154">
        <f t="shared" si="71"/>
        <v>0</v>
      </c>
      <c r="AD218" s="156">
        <f t="shared" si="67"/>
        <v>0</v>
      </c>
    </row>
    <row r="219" spans="1:30" s="144" customFormat="1">
      <c r="A219" s="139">
        <v>7</v>
      </c>
      <c r="B219" s="139">
        <f>IFERROR(INDEX(Työkonekanta!$F$3:$F$27,MATCH('S0a Baseline'!$A219,Työkonekanta!$A$3:$A$24,0),1),0)</f>
        <v>1</v>
      </c>
      <c r="C219" s="140">
        <v>2026</v>
      </c>
      <c r="D219" s="141" t="str">
        <f>IFERROR(INDEX(Työkonekanta!$D$3:$D$27,MATCH('S0a Baseline'!$A219,Työkonekanta!$A$3:$A$24,0),1),"undefined")</f>
        <v>pom</v>
      </c>
      <c r="E219" s="145">
        <f>IFERROR(INDEX(Työkonekanta!$G$3:$G$27,MATCH($A219,Työkonekanta!$A$3:$A$24,0),1)*INDEX(Työkonekanta!$H$3:$H$27,MATCH($A219,Työkonekanta!$A$3:$A$24,0),1)*$B219,0)</f>
        <v>10000</v>
      </c>
      <c r="F219" s="344">
        <f t="shared" si="54"/>
        <v>359000</v>
      </c>
      <c r="G219" s="344">
        <f t="shared" si="61"/>
        <v>330280</v>
      </c>
      <c r="H219" s="344">
        <f t="shared" si="62"/>
        <v>28720</v>
      </c>
      <c r="I219" s="145">
        <f t="shared" si="55"/>
        <v>9200</v>
      </c>
      <c r="J219" s="145">
        <f t="shared" si="56"/>
        <v>837.31778425655989</v>
      </c>
      <c r="K219" s="142" t="str">
        <f t="shared" si="63"/>
        <v>l</v>
      </c>
      <c r="L219" s="146">
        <f>IFERROR(INDEX(Työkonekanta!$I$3:$I$27,MATCH('S0a Baseline'!$A219,Työkonekanta!$A$3:$A$24,0),1)*(I219+J219)*f_adblue,0)</f>
        <v>0</v>
      </c>
      <c r="M219" s="146">
        <f t="shared" si="68"/>
        <v>0</v>
      </c>
      <c r="N219" s="143" t="str">
        <f>IF(tuulisähkö_vuosi&lt;='S0a Baseline'!C219,"tuulisähkö",ostosähkö_nyt)</f>
        <v>jäännössähkö</v>
      </c>
      <c r="O219" s="147">
        <f>INDEX(Muuttujat!$J$5:$J$21,MATCH($C219,Muuttujat!$H$5:$H$21,0),1)</f>
        <v>64.542936272148211</v>
      </c>
      <c r="P219" s="342">
        <f>1-(INDEX(Muuttujat!$O$5:$O$21,MATCH($C219,Muuttujat!$N$5:$N$21,0),1))</f>
        <v>0.92</v>
      </c>
      <c r="Q219" s="342">
        <f>INDEX(Muuttujat!$O$5:$O$21,MATCH($C219,Muuttujat!$N$5:$N$21,0),1)</f>
        <v>0.08</v>
      </c>
      <c r="R219" s="148">
        <f>INDEX(Muuttujat!$P$5:$P$21,MATCH($C219,Muuttujat!$N$5:$N$21,0),1)</f>
        <v>8.3420471452195388E-2</v>
      </c>
      <c r="S219" s="149">
        <f t="shared" si="57"/>
        <v>6.2422919999999991</v>
      </c>
      <c r="T219" s="150">
        <f t="shared" si="58"/>
        <v>1.7921279999999999</v>
      </c>
      <c r="U219" s="150">
        <f t="shared" si="59"/>
        <v>0</v>
      </c>
      <c r="V219" s="150">
        <f>IFERROR(INDEX(Työkonekanta!$J$3:$J$27,MATCH($A219,Työkonekanta!$A$3:$A$24,0),1)*$B219*ef_li_ion_akku/1000/1000/INDEX(Työkonekanta!$K$3:$K$27,MATCH($A219,Työkonekanta!$A$3:$A$24,0)),0)</f>
        <v>0</v>
      </c>
      <c r="W219" s="149">
        <f t="shared" si="60"/>
        <v>24.377390223120003</v>
      </c>
      <c r="X219" s="150">
        <f t="shared" si="69"/>
        <v>0.31774565999999999</v>
      </c>
      <c r="Y219" s="151">
        <f t="shared" si="70"/>
        <v>0</v>
      </c>
      <c r="Z219" s="152">
        <f t="shared" si="64"/>
        <v>8.034419999999999</v>
      </c>
      <c r="AA219" s="153">
        <f t="shared" si="65"/>
        <v>24.377390223120003</v>
      </c>
      <c r="AB219" s="153">
        <f t="shared" si="66"/>
        <v>24.695135883120003</v>
      </c>
      <c r="AC219" s="154">
        <f t="shared" si="71"/>
        <v>32.41181022312</v>
      </c>
      <c r="AD219" s="156">
        <f t="shared" si="67"/>
        <v>32.72955588312</v>
      </c>
    </row>
    <row r="220" spans="1:30" s="144" customFormat="1">
      <c r="A220" s="139">
        <v>8</v>
      </c>
      <c r="B220" s="139">
        <f>IFERROR(INDEX(Työkonekanta!$F$3:$F$27,MATCH('S0a Baseline'!$A220,Työkonekanta!$A$3:$A$24,0),1),0)</f>
        <v>1</v>
      </c>
      <c r="C220" s="140">
        <v>2026</v>
      </c>
      <c r="D220" s="141" t="str">
        <f>IFERROR(INDEX(Työkonekanta!$D$3:$D$27,MATCH('S0a Baseline'!$A220,Työkonekanta!$A$3:$A$24,0),1),"undefined")</f>
        <v>pom</v>
      </c>
      <c r="E220" s="145">
        <f>IFERROR(INDEX(Työkonekanta!$G$3:$G$27,MATCH($A220,Työkonekanta!$A$3:$A$24,0),1)*INDEX(Työkonekanta!$H$3:$H$27,MATCH($A220,Työkonekanta!$A$3:$A$24,0),1)*$B220,0)</f>
        <v>10000</v>
      </c>
      <c r="F220" s="344">
        <f t="shared" si="54"/>
        <v>359000</v>
      </c>
      <c r="G220" s="344">
        <f t="shared" si="61"/>
        <v>330280</v>
      </c>
      <c r="H220" s="344">
        <f t="shared" si="62"/>
        <v>28720</v>
      </c>
      <c r="I220" s="145">
        <f t="shared" si="55"/>
        <v>9200</v>
      </c>
      <c r="J220" s="145">
        <f t="shared" si="56"/>
        <v>837.31778425655989</v>
      </c>
      <c r="K220" s="142" t="str">
        <f t="shared" si="63"/>
        <v>l</v>
      </c>
      <c r="L220" s="146">
        <f>IFERROR(INDEX(Työkonekanta!$I$3:$I$27,MATCH('S0a Baseline'!$A220,Työkonekanta!$A$3:$A$24,0),1)*(I220+J220)*f_adblue,0)</f>
        <v>501.86588921282805</v>
      </c>
      <c r="M220" s="146">
        <f t="shared" si="68"/>
        <v>0</v>
      </c>
      <c r="N220" s="143" t="str">
        <f>IF(tuulisähkö_vuosi&lt;='S0a Baseline'!C220,"tuulisähkö",ostosähkö_nyt)</f>
        <v>jäännössähkö</v>
      </c>
      <c r="O220" s="147">
        <f>INDEX(Muuttujat!$J$5:$J$21,MATCH($C220,Muuttujat!$H$5:$H$21,0),1)</f>
        <v>64.542936272148211</v>
      </c>
      <c r="P220" s="342">
        <f>1-(INDEX(Muuttujat!$O$5:$O$21,MATCH($C220,Muuttujat!$N$5:$N$21,0),1))</f>
        <v>0.92</v>
      </c>
      <c r="Q220" s="342">
        <f>INDEX(Muuttujat!$O$5:$O$21,MATCH($C220,Muuttujat!$N$5:$N$21,0),1)</f>
        <v>0.08</v>
      </c>
      <c r="R220" s="148">
        <f>INDEX(Muuttujat!$P$5:$P$21,MATCH($C220,Muuttujat!$N$5:$N$21,0),1)</f>
        <v>8.3420471452195388E-2</v>
      </c>
      <c r="S220" s="149">
        <f t="shared" si="57"/>
        <v>6.2422919999999991</v>
      </c>
      <c r="T220" s="150">
        <f t="shared" si="58"/>
        <v>1.7921279999999999</v>
      </c>
      <c r="U220" s="150">
        <f t="shared" si="59"/>
        <v>0</v>
      </c>
      <c r="V220" s="150">
        <f>IFERROR(INDEX(Työkonekanta!$J$3:$J$27,MATCH($A220,Työkonekanta!$A$3:$A$24,0),1)*$B220*ef_li_ion_akku/1000/1000/INDEX(Työkonekanta!$K$3:$K$27,MATCH($A220,Työkonekanta!$A$3:$A$24,0)),0)</f>
        <v>0</v>
      </c>
      <c r="W220" s="149">
        <f t="shared" si="60"/>
        <v>24.377390223120003</v>
      </c>
      <c r="X220" s="150">
        <f t="shared" si="69"/>
        <v>0.31774565999999999</v>
      </c>
      <c r="Y220" s="151">
        <f t="shared" si="70"/>
        <v>0.13048513119533531</v>
      </c>
      <c r="Z220" s="152">
        <f t="shared" si="64"/>
        <v>8.034419999999999</v>
      </c>
      <c r="AA220" s="153">
        <f t="shared" si="65"/>
        <v>24.507875354315338</v>
      </c>
      <c r="AB220" s="153">
        <f t="shared" si="66"/>
        <v>24.825621014315338</v>
      </c>
      <c r="AC220" s="154">
        <f t="shared" si="71"/>
        <v>32.542295354315335</v>
      </c>
      <c r="AD220" s="156">
        <f t="shared" si="67"/>
        <v>32.860041014315335</v>
      </c>
    </row>
    <row r="221" spans="1:30" s="144" customFormat="1">
      <c r="A221" s="139">
        <v>9</v>
      </c>
      <c r="B221" s="139">
        <f>IFERROR(INDEX(Työkonekanta!$F$3:$F$27,MATCH('S0a Baseline'!$A221,Työkonekanta!$A$3:$A$24,0),1),0)</f>
        <v>0</v>
      </c>
      <c r="C221" s="140">
        <v>2026</v>
      </c>
      <c r="D221" s="141" t="str">
        <f>IFERROR(INDEX(Työkonekanta!$D$3:$D$27,MATCH('S0a Baseline'!$A221,Työkonekanta!$A$3:$A$24,0),1),"undefined")</f>
        <v>sähkö</v>
      </c>
      <c r="E221" s="145">
        <f>IFERROR(INDEX(Työkonekanta!$G$3:$G$27,MATCH($A221,Työkonekanta!$A$3:$A$24,0),1)*INDEX(Työkonekanta!$H$3:$H$27,MATCH($A221,Työkonekanta!$A$3:$A$24,0),1)*$B221,0)</f>
        <v>0</v>
      </c>
      <c r="F221" s="344">
        <f t="shared" si="54"/>
        <v>0</v>
      </c>
      <c r="G221" s="344">
        <f t="shared" si="61"/>
        <v>0</v>
      </c>
      <c r="H221" s="344">
        <f t="shared" si="62"/>
        <v>0</v>
      </c>
      <c r="I221" s="145">
        <f t="shared" si="55"/>
        <v>0</v>
      </c>
      <c r="J221" s="145">
        <f t="shared" si="56"/>
        <v>0</v>
      </c>
      <c r="K221" s="142" t="str">
        <f t="shared" si="63"/>
        <v>kWh</v>
      </c>
      <c r="L221" s="146">
        <f>IFERROR(INDEX(Työkonekanta!$I$3:$I$27,MATCH('S0a Baseline'!$A221,Työkonekanta!$A$3:$A$24,0),1)*(I221+J221)*f_adblue,0)</f>
        <v>0</v>
      </c>
      <c r="M221" s="146">
        <f t="shared" si="68"/>
        <v>0</v>
      </c>
      <c r="N221" s="143" t="str">
        <f>IF(tuulisähkö_vuosi&lt;='S0a Baseline'!C221,"tuulisähkö",ostosähkö_nyt)</f>
        <v>jäännössähkö</v>
      </c>
      <c r="O221" s="147">
        <f>INDEX(Muuttujat!$J$5:$J$21,MATCH($C221,Muuttujat!$H$5:$H$21,0),1)</f>
        <v>64.542936272148211</v>
      </c>
      <c r="P221" s="342">
        <f>1-(INDEX(Muuttujat!$O$5:$O$21,MATCH($C221,Muuttujat!$N$5:$N$21,0),1))</f>
        <v>0.92</v>
      </c>
      <c r="Q221" s="342">
        <f>INDEX(Muuttujat!$O$5:$O$21,MATCH($C221,Muuttujat!$N$5:$N$21,0),1)</f>
        <v>0.08</v>
      </c>
      <c r="R221" s="148">
        <f>INDEX(Muuttujat!$P$5:$P$21,MATCH($C221,Muuttujat!$N$5:$N$21,0),1)</f>
        <v>8.3420471452195388E-2</v>
      </c>
      <c r="S221" s="149">
        <f t="shared" si="57"/>
        <v>0</v>
      </c>
      <c r="T221" s="150">
        <f t="shared" si="58"/>
        <v>0</v>
      </c>
      <c r="U221" s="150">
        <f t="shared" si="59"/>
        <v>0</v>
      </c>
      <c r="V221" s="150">
        <f>IFERROR(INDEX(Työkonekanta!$J$3:$J$27,MATCH($A221,Työkonekanta!$A$3:$A$24,0),1)*$B221*ef_li_ion_akku/1000/1000/INDEX(Työkonekanta!$K$3:$K$27,MATCH($A221,Työkonekanta!$A$3:$A$24,0)),0)</f>
        <v>0</v>
      </c>
      <c r="W221" s="149">
        <f t="shared" si="60"/>
        <v>0</v>
      </c>
      <c r="X221" s="150">
        <f t="shared" si="69"/>
        <v>0</v>
      </c>
      <c r="Y221" s="151">
        <f t="shared" si="70"/>
        <v>0</v>
      </c>
      <c r="Z221" s="152">
        <f t="shared" si="64"/>
        <v>0</v>
      </c>
      <c r="AA221" s="153">
        <f t="shared" si="65"/>
        <v>0</v>
      </c>
      <c r="AB221" s="153">
        <f t="shared" si="66"/>
        <v>0</v>
      </c>
      <c r="AC221" s="154">
        <f t="shared" si="71"/>
        <v>0</v>
      </c>
      <c r="AD221" s="156">
        <f t="shared" si="67"/>
        <v>0</v>
      </c>
    </row>
    <row r="222" spans="1:30" s="144" customFormat="1">
      <c r="A222" s="139">
        <v>10</v>
      </c>
      <c r="B222" s="139">
        <f>IFERROR(INDEX(Työkonekanta!$F$3:$F$27,MATCH('S0a Baseline'!$A222,Työkonekanta!$A$3:$A$24,0),1),0)</f>
        <v>0</v>
      </c>
      <c r="C222" s="140">
        <v>2026</v>
      </c>
      <c r="D222" s="141" t="str">
        <f>IFERROR(INDEX(Työkonekanta!$D$3:$D$27,MATCH('S0a Baseline'!$A222,Työkonekanta!$A$3:$A$24,0),1),"undefined")</f>
        <v>sähkö</v>
      </c>
      <c r="E222" s="145">
        <f>IFERROR(INDEX(Työkonekanta!$G$3:$G$27,MATCH($A222,Työkonekanta!$A$3:$A$24,0),1)*INDEX(Työkonekanta!$H$3:$H$27,MATCH($A222,Työkonekanta!$A$3:$A$24,0),1)*$B222,0)</f>
        <v>0</v>
      </c>
      <c r="F222" s="344">
        <f t="shared" si="54"/>
        <v>0</v>
      </c>
      <c r="G222" s="344">
        <f t="shared" si="61"/>
        <v>0</v>
      </c>
      <c r="H222" s="344">
        <f t="shared" si="62"/>
        <v>0</v>
      </c>
      <c r="I222" s="145">
        <f t="shared" si="55"/>
        <v>0</v>
      </c>
      <c r="J222" s="145">
        <f t="shared" si="56"/>
        <v>0</v>
      </c>
      <c r="K222" s="142" t="str">
        <f t="shared" si="63"/>
        <v>kWh</v>
      </c>
      <c r="L222" s="146">
        <f>IFERROR(INDEX(Työkonekanta!$I$3:$I$27,MATCH('S0a Baseline'!$A222,Työkonekanta!$A$3:$A$24,0),1)*(I222+J222)*f_adblue,0)</f>
        <v>0</v>
      </c>
      <c r="M222" s="146">
        <f t="shared" si="68"/>
        <v>0</v>
      </c>
      <c r="N222" s="143" t="str">
        <f>IF(tuulisähkö_vuosi&lt;='S0a Baseline'!C222,"tuulisähkö",ostosähkö_nyt)</f>
        <v>jäännössähkö</v>
      </c>
      <c r="O222" s="147">
        <f>INDEX(Muuttujat!$J$5:$J$21,MATCH($C222,Muuttujat!$H$5:$H$21,0),1)</f>
        <v>64.542936272148211</v>
      </c>
      <c r="P222" s="342">
        <f>1-(INDEX(Muuttujat!$O$5:$O$21,MATCH($C222,Muuttujat!$N$5:$N$21,0),1))</f>
        <v>0.92</v>
      </c>
      <c r="Q222" s="342">
        <f>INDEX(Muuttujat!$O$5:$O$21,MATCH($C222,Muuttujat!$N$5:$N$21,0),1)</f>
        <v>0.08</v>
      </c>
      <c r="R222" s="148">
        <f>INDEX(Muuttujat!$P$5:$P$21,MATCH($C222,Muuttujat!$N$5:$N$21,0),1)</f>
        <v>8.3420471452195388E-2</v>
      </c>
      <c r="S222" s="149">
        <f t="shared" si="57"/>
        <v>0</v>
      </c>
      <c r="T222" s="150">
        <f t="shared" si="58"/>
        <v>0</v>
      </c>
      <c r="U222" s="150">
        <f t="shared" si="59"/>
        <v>0</v>
      </c>
      <c r="V222" s="150">
        <f>IFERROR(INDEX(Työkonekanta!$J$3:$J$27,MATCH($A222,Työkonekanta!$A$3:$A$24,0),1)*$B222*ef_li_ion_akku/1000/1000/INDEX(Työkonekanta!$K$3:$K$27,MATCH($A222,Työkonekanta!$A$3:$A$24,0)),0)</f>
        <v>0</v>
      </c>
      <c r="W222" s="149">
        <f t="shared" si="60"/>
        <v>0</v>
      </c>
      <c r="X222" s="150">
        <f t="shared" si="69"/>
        <v>0</v>
      </c>
      <c r="Y222" s="151">
        <f t="shared" si="70"/>
        <v>0</v>
      </c>
      <c r="Z222" s="152">
        <f t="shared" si="64"/>
        <v>0</v>
      </c>
      <c r="AA222" s="153">
        <f t="shared" si="65"/>
        <v>0</v>
      </c>
      <c r="AB222" s="153">
        <f t="shared" si="66"/>
        <v>0</v>
      </c>
      <c r="AC222" s="154">
        <f t="shared" si="71"/>
        <v>0</v>
      </c>
      <c r="AD222" s="156">
        <f t="shared" si="67"/>
        <v>0</v>
      </c>
    </row>
    <row r="223" spans="1:30" s="144" customFormat="1">
      <c r="A223" s="139">
        <v>11</v>
      </c>
      <c r="B223" s="139">
        <f>IFERROR(INDEX(Työkonekanta!$F$3:$F$27,MATCH('S0a Baseline'!$A223,Työkonekanta!$A$3:$A$24,0),1),0)</f>
        <v>1</v>
      </c>
      <c r="C223" s="140">
        <v>2026</v>
      </c>
      <c r="D223" s="141" t="str">
        <f>IFERROR(INDEX(Työkonekanta!$D$3:$D$27,MATCH('S0a Baseline'!$A223,Työkonekanta!$A$3:$A$24,0),1),"undefined")</f>
        <v>pom</v>
      </c>
      <c r="E223" s="145">
        <f>IFERROR(INDEX(Työkonekanta!$G$3:$G$27,MATCH($A223,Työkonekanta!$A$3:$A$24,0),1)*INDEX(Työkonekanta!$H$3:$H$27,MATCH($A223,Työkonekanta!$A$3:$A$24,0),1)*$B223,0)</f>
        <v>10000</v>
      </c>
      <c r="F223" s="344">
        <f t="shared" si="54"/>
        <v>359000</v>
      </c>
      <c r="G223" s="344">
        <f t="shared" si="61"/>
        <v>330280</v>
      </c>
      <c r="H223" s="344">
        <f t="shared" si="62"/>
        <v>28720</v>
      </c>
      <c r="I223" s="145">
        <f t="shared" si="55"/>
        <v>9200</v>
      </c>
      <c r="J223" s="145">
        <f t="shared" si="56"/>
        <v>837.31778425655989</v>
      </c>
      <c r="K223" s="142" t="str">
        <f t="shared" si="63"/>
        <v>l</v>
      </c>
      <c r="L223" s="146">
        <f>IFERROR(INDEX(Työkonekanta!$I$3:$I$27,MATCH('S0a Baseline'!$A223,Työkonekanta!$A$3:$A$24,0),1)*(I223+J223)*f_adblue,0)</f>
        <v>501.86588921282805</v>
      </c>
      <c r="M223" s="146">
        <f t="shared" si="68"/>
        <v>0</v>
      </c>
      <c r="N223" s="143" t="str">
        <f>IF(tuulisähkö_vuosi&lt;='S0a Baseline'!C223,"tuulisähkö",ostosähkö_nyt)</f>
        <v>jäännössähkö</v>
      </c>
      <c r="O223" s="147">
        <f>INDEX(Muuttujat!$J$5:$J$21,MATCH($C223,Muuttujat!$H$5:$H$21,0),1)</f>
        <v>64.542936272148211</v>
      </c>
      <c r="P223" s="342">
        <f>1-(INDEX(Muuttujat!$O$5:$O$21,MATCH($C223,Muuttujat!$N$5:$N$21,0),1))</f>
        <v>0.92</v>
      </c>
      <c r="Q223" s="342">
        <f>INDEX(Muuttujat!$O$5:$O$21,MATCH($C223,Muuttujat!$N$5:$N$21,0),1)</f>
        <v>0.08</v>
      </c>
      <c r="R223" s="148">
        <f>INDEX(Muuttujat!$P$5:$P$21,MATCH($C223,Muuttujat!$N$5:$N$21,0),1)</f>
        <v>8.3420471452195388E-2</v>
      </c>
      <c r="S223" s="149">
        <f t="shared" si="57"/>
        <v>6.2422919999999991</v>
      </c>
      <c r="T223" s="150">
        <f t="shared" si="58"/>
        <v>1.7921279999999999</v>
      </c>
      <c r="U223" s="150">
        <f t="shared" si="59"/>
        <v>0</v>
      </c>
      <c r="V223" s="150">
        <f>IFERROR(INDEX(Työkonekanta!$J$3:$J$27,MATCH($A223,Työkonekanta!$A$3:$A$24,0),1)*$B223*ef_li_ion_akku/1000/1000/INDEX(Työkonekanta!$K$3:$K$27,MATCH($A223,Työkonekanta!$A$3:$A$24,0)),0)</f>
        <v>0</v>
      </c>
      <c r="W223" s="149">
        <f t="shared" si="60"/>
        <v>24.377390223120003</v>
      </c>
      <c r="X223" s="150">
        <f t="shared" si="69"/>
        <v>0.31774565999999999</v>
      </c>
      <c r="Y223" s="151">
        <f t="shared" si="70"/>
        <v>0.13048513119533531</v>
      </c>
      <c r="Z223" s="152">
        <f t="shared" si="64"/>
        <v>8.034419999999999</v>
      </c>
      <c r="AA223" s="153">
        <f t="shared" si="65"/>
        <v>24.507875354315338</v>
      </c>
      <c r="AB223" s="153">
        <f t="shared" si="66"/>
        <v>24.825621014315338</v>
      </c>
      <c r="AC223" s="154">
        <f t="shared" si="71"/>
        <v>32.542295354315335</v>
      </c>
      <c r="AD223" s="156">
        <f t="shared" si="67"/>
        <v>32.860041014315335</v>
      </c>
    </row>
    <row r="224" spans="1:30" s="144" customFormat="1">
      <c r="A224" s="139">
        <v>12</v>
      </c>
      <c r="B224" s="139">
        <f>IFERROR(INDEX(Työkonekanta!$F$3:$F$27,MATCH('S0a Baseline'!$A224,Työkonekanta!$A$3:$A$24,0),1),0)</f>
        <v>1</v>
      </c>
      <c r="C224" s="140">
        <v>2026</v>
      </c>
      <c r="D224" s="141" t="str">
        <f>IFERROR(INDEX(Työkonekanta!$D$3:$D$27,MATCH('S0a Baseline'!$A224,Työkonekanta!$A$3:$A$24,0),1),"undefined")</f>
        <v>pom</v>
      </c>
      <c r="E224" s="145">
        <f>IFERROR(INDEX(Työkonekanta!$G$3:$G$27,MATCH($A224,Työkonekanta!$A$3:$A$24,0),1)*INDEX(Työkonekanta!$H$3:$H$27,MATCH($A224,Työkonekanta!$A$3:$A$24,0),1)*$B224,0)</f>
        <v>10000</v>
      </c>
      <c r="F224" s="344">
        <f t="shared" si="54"/>
        <v>359000</v>
      </c>
      <c r="G224" s="344">
        <f t="shared" si="61"/>
        <v>330280</v>
      </c>
      <c r="H224" s="344">
        <f t="shared" si="62"/>
        <v>28720</v>
      </c>
      <c r="I224" s="145">
        <f t="shared" si="55"/>
        <v>9200</v>
      </c>
      <c r="J224" s="145">
        <f t="shared" si="56"/>
        <v>837.31778425655989</v>
      </c>
      <c r="K224" s="142" t="str">
        <f t="shared" si="63"/>
        <v>l</v>
      </c>
      <c r="L224" s="146">
        <f>IFERROR(INDEX(Työkonekanta!$I$3:$I$27,MATCH('S0a Baseline'!$A224,Työkonekanta!$A$3:$A$24,0),1)*(I224+J224)*f_adblue,0)</f>
        <v>501.86588921282805</v>
      </c>
      <c r="M224" s="146">
        <f t="shared" si="68"/>
        <v>0</v>
      </c>
      <c r="N224" s="143" t="str">
        <f>IF(tuulisähkö_vuosi&lt;='S0a Baseline'!C224,"tuulisähkö",ostosähkö_nyt)</f>
        <v>jäännössähkö</v>
      </c>
      <c r="O224" s="147">
        <f>INDEX(Muuttujat!$J$5:$J$21,MATCH($C224,Muuttujat!$H$5:$H$21,0),1)</f>
        <v>64.542936272148211</v>
      </c>
      <c r="P224" s="342">
        <f>1-(INDEX(Muuttujat!$O$5:$O$21,MATCH($C224,Muuttujat!$N$5:$N$21,0),1))</f>
        <v>0.92</v>
      </c>
      <c r="Q224" s="342">
        <f>INDEX(Muuttujat!$O$5:$O$21,MATCH($C224,Muuttujat!$N$5:$N$21,0),1)</f>
        <v>0.08</v>
      </c>
      <c r="R224" s="148">
        <f>INDEX(Muuttujat!$P$5:$P$21,MATCH($C224,Muuttujat!$N$5:$N$21,0),1)</f>
        <v>8.3420471452195388E-2</v>
      </c>
      <c r="S224" s="149">
        <f t="shared" si="57"/>
        <v>6.2422919999999991</v>
      </c>
      <c r="T224" s="150">
        <f t="shared" si="58"/>
        <v>1.7921279999999999</v>
      </c>
      <c r="U224" s="150">
        <f t="shared" si="59"/>
        <v>0</v>
      </c>
      <c r="V224" s="150">
        <f>IFERROR(INDEX(Työkonekanta!$J$3:$J$27,MATCH($A224,Työkonekanta!$A$3:$A$24,0),1)*$B224*ef_li_ion_akku/1000/1000/INDEX(Työkonekanta!$K$3:$K$27,MATCH($A224,Työkonekanta!$A$3:$A$24,0)),0)</f>
        <v>0</v>
      </c>
      <c r="W224" s="149">
        <f t="shared" si="60"/>
        <v>24.377390223120003</v>
      </c>
      <c r="X224" s="150">
        <f t="shared" si="69"/>
        <v>0.31774565999999999</v>
      </c>
      <c r="Y224" s="151">
        <f t="shared" si="70"/>
        <v>0.13048513119533531</v>
      </c>
      <c r="Z224" s="152">
        <f t="shared" si="64"/>
        <v>8.034419999999999</v>
      </c>
      <c r="AA224" s="153">
        <f t="shared" si="65"/>
        <v>24.507875354315338</v>
      </c>
      <c r="AB224" s="153">
        <f t="shared" si="66"/>
        <v>24.825621014315338</v>
      </c>
      <c r="AC224" s="154">
        <f t="shared" si="71"/>
        <v>32.542295354315335</v>
      </c>
      <c r="AD224" s="156">
        <f t="shared" si="67"/>
        <v>32.860041014315335</v>
      </c>
    </row>
    <row r="225" spans="1:30" s="144" customFormat="1">
      <c r="A225" s="139">
        <v>13</v>
      </c>
      <c r="B225" s="139">
        <f>IFERROR(INDEX(Työkonekanta!$F$3:$F$27,MATCH('S0a Baseline'!$A225,Työkonekanta!$A$3:$A$24,0),1),0)</f>
        <v>0</v>
      </c>
      <c r="C225" s="140">
        <v>2026</v>
      </c>
      <c r="D225" s="141" t="str">
        <f>IFERROR(INDEX(Työkonekanta!$D$3:$D$27,MATCH('S0a Baseline'!$A225,Työkonekanta!$A$3:$A$24,0),1),"undefined")</f>
        <v>pom</v>
      </c>
      <c r="E225" s="145">
        <f>IFERROR(INDEX(Työkonekanta!$G$3:$G$27,MATCH($A225,Työkonekanta!$A$3:$A$24,0),1)*INDEX(Työkonekanta!$H$3:$H$27,MATCH($A225,Työkonekanta!$A$3:$A$24,0),1)*$B225,0)</f>
        <v>0</v>
      </c>
      <c r="F225" s="344">
        <f t="shared" si="54"/>
        <v>0</v>
      </c>
      <c r="G225" s="344">
        <f t="shared" si="61"/>
        <v>0</v>
      </c>
      <c r="H225" s="344">
        <f t="shared" si="62"/>
        <v>0</v>
      </c>
      <c r="I225" s="145">
        <f t="shared" si="55"/>
        <v>0</v>
      </c>
      <c r="J225" s="145">
        <f t="shared" si="56"/>
        <v>0</v>
      </c>
      <c r="K225" s="142" t="str">
        <f t="shared" si="63"/>
        <v>l</v>
      </c>
      <c r="L225" s="146">
        <f>IFERROR(INDEX(Työkonekanta!$I$3:$I$27,MATCH('S0a Baseline'!$A225,Työkonekanta!$A$3:$A$24,0),1)*(I225+J225)*f_adblue,0)</f>
        <v>0</v>
      </c>
      <c r="M225" s="146">
        <f t="shared" si="68"/>
        <v>0</v>
      </c>
      <c r="N225" s="143" t="str">
        <f>IF(tuulisähkö_vuosi&lt;='S0a Baseline'!C225,"tuulisähkö",ostosähkö_nyt)</f>
        <v>jäännössähkö</v>
      </c>
      <c r="O225" s="147">
        <f>INDEX(Muuttujat!$J$5:$J$21,MATCH($C225,Muuttujat!$H$5:$H$21,0),1)</f>
        <v>64.542936272148211</v>
      </c>
      <c r="P225" s="342">
        <f>1-(INDEX(Muuttujat!$O$5:$O$21,MATCH($C225,Muuttujat!$N$5:$N$21,0),1))</f>
        <v>0.92</v>
      </c>
      <c r="Q225" s="342">
        <f>INDEX(Muuttujat!$O$5:$O$21,MATCH($C225,Muuttujat!$N$5:$N$21,0),1)</f>
        <v>0.08</v>
      </c>
      <c r="R225" s="148">
        <f>INDEX(Muuttujat!$P$5:$P$21,MATCH($C225,Muuttujat!$N$5:$N$21,0),1)</f>
        <v>8.3420471452195388E-2</v>
      </c>
      <c r="S225" s="149">
        <f t="shared" si="57"/>
        <v>0</v>
      </c>
      <c r="T225" s="150">
        <f t="shared" si="58"/>
        <v>0</v>
      </c>
      <c r="U225" s="150">
        <f t="shared" si="59"/>
        <v>0</v>
      </c>
      <c r="V225" s="150">
        <f>IFERROR(INDEX(Työkonekanta!$J$3:$J$27,MATCH($A225,Työkonekanta!$A$3:$A$24,0),1)*$B225*ef_li_ion_akku/1000/1000/INDEX(Työkonekanta!$K$3:$K$27,MATCH($A225,Työkonekanta!$A$3:$A$24,0)),0)</f>
        <v>0</v>
      </c>
      <c r="W225" s="149">
        <f t="shared" si="60"/>
        <v>0</v>
      </c>
      <c r="X225" s="150">
        <f t="shared" si="69"/>
        <v>0</v>
      </c>
      <c r="Y225" s="151">
        <f t="shared" si="70"/>
        <v>0</v>
      </c>
      <c r="Z225" s="152">
        <f t="shared" si="64"/>
        <v>0</v>
      </c>
      <c r="AA225" s="153">
        <f t="shared" si="65"/>
        <v>0</v>
      </c>
      <c r="AB225" s="153">
        <f t="shared" si="66"/>
        <v>0</v>
      </c>
      <c r="AC225" s="154">
        <f t="shared" si="71"/>
        <v>0</v>
      </c>
      <c r="AD225" s="156">
        <f t="shared" si="67"/>
        <v>0</v>
      </c>
    </row>
    <row r="226" spans="1:30" s="144" customFormat="1">
      <c r="A226" s="139">
        <v>14</v>
      </c>
      <c r="B226" s="139">
        <f>IFERROR(INDEX(Työkonekanta!$F$3:$F$27,MATCH('S0a Baseline'!$A226,Työkonekanta!$A$3:$A$24,0),1),0)</f>
        <v>0</v>
      </c>
      <c r="C226" s="140">
        <v>2026</v>
      </c>
      <c r="D226" s="141" t="str">
        <f>IFERROR(INDEX(Työkonekanta!$D$3:$D$27,MATCH('S0a Baseline'!$A226,Työkonekanta!$A$3:$A$24,0),1),"undefined")</f>
        <v>pom</v>
      </c>
      <c r="E226" s="145">
        <f>IFERROR(INDEX(Työkonekanta!$G$3:$G$27,MATCH($A226,Työkonekanta!$A$3:$A$24,0),1)*INDEX(Työkonekanta!$H$3:$H$27,MATCH($A226,Työkonekanta!$A$3:$A$24,0),1)*$B226,0)</f>
        <v>0</v>
      </c>
      <c r="F226" s="344">
        <f t="shared" si="54"/>
        <v>0</v>
      </c>
      <c r="G226" s="344">
        <f t="shared" si="61"/>
        <v>0</v>
      </c>
      <c r="H226" s="344">
        <f t="shared" si="62"/>
        <v>0</v>
      </c>
      <c r="I226" s="145">
        <f t="shared" si="55"/>
        <v>0</v>
      </c>
      <c r="J226" s="145">
        <f t="shared" si="56"/>
        <v>0</v>
      </c>
      <c r="K226" s="142" t="str">
        <f t="shared" si="63"/>
        <v>l</v>
      </c>
      <c r="L226" s="146">
        <f>IFERROR(INDEX(Työkonekanta!$I$3:$I$27,MATCH('S0a Baseline'!$A226,Työkonekanta!$A$3:$A$24,0),1)*(I226+J226)*f_adblue,0)</f>
        <v>0</v>
      </c>
      <c r="M226" s="146">
        <f t="shared" si="68"/>
        <v>0</v>
      </c>
      <c r="N226" s="143" t="str">
        <f>IF(tuulisähkö_vuosi&lt;='S0a Baseline'!C226,"tuulisähkö",ostosähkö_nyt)</f>
        <v>jäännössähkö</v>
      </c>
      <c r="O226" s="147">
        <f>INDEX(Muuttujat!$J$5:$J$21,MATCH($C226,Muuttujat!$H$5:$H$21,0),1)</f>
        <v>64.542936272148211</v>
      </c>
      <c r="P226" s="342">
        <f>1-(INDEX(Muuttujat!$O$5:$O$21,MATCH($C226,Muuttujat!$N$5:$N$21,0),1))</f>
        <v>0.92</v>
      </c>
      <c r="Q226" s="342">
        <f>INDEX(Muuttujat!$O$5:$O$21,MATCH($C226,Muuttujat!$N$5:$N$21,0),1)</f>
        <v>0.08</v>
      </c>
      <c r="R226" s="148">
        <f>INDEX(Muuttujat!$P$5:$P$21,MATCH($C226,Muuttujat!$N$5:$N$21,0),1)</f>
        <v>8.3420471452195388E-2</v>
      </c>
      <c r="S226" s="149">
        <f t="shared" si="57"/>
        <v>0</v>
      </c>
      <c r="T226" s="150">
        <f t="shared" si="58"/>
        <v>0</v>
      </c>
      <c r="U226" s="150">
        <f t="shared" si="59"/>
        <v>0</v>
      </c>
      <c r="V226" s="150">
        <f>IFERROR(INDEX(Työkonekanta!$J$3:$J$27,MATCH($A226,Työkonekanta!$A$3:$A$24,0),1)*$B226*ef_li_ion_akku/1000/1000/INDEX(Työkonekanta!$K$3:$K$27,MATCH($A226,Työkonekanta!$A$3:$A$24,0)),0)</f>
        <v>0</v>
      </c>
      <c r="W226" s="149">
        <f t="shared" si="60"/>
        <v>0</v>
      </c>
      <c r="X226" s="150">
        <f t="shared" si="69"/>
        <v>0</v>
      </c>
      <c r="Y226" s="151">
        <f t="shared" si="70"/>
        <v>0</v>
      </c>
      <c r="Z226" s="152">
        <f t="shared" si="64"/>
        <v>0</v>
      </c>
      <c r="AA226" s="153">
        <f t="shared" si="65"/>
        <v>0</v>
      </c>
      <c r="AB226" s="153">
        <f t="shared" si="66"/>
        <v>0</v>
      </c>
      <c r="AC226" s="154">
        <f t="shared" si="71"/>
        <v>0</v>
      </c>
      <c r="AD226" s="156">
        <f t="shared" si="67"/>
        <v>0</v>
      </c>
    </row>
    <row r="227" spans="1:30" s="144" customFormat="1">
      <c r="A227" s="139">
        <v>15</v>
      </c>
      <c r="B227" s="139">
        <f>IFERROR(INDEX(Työkonekanta!$F$3:$F$27,MATCH('S0a Baseline'!$A227,Työkonekanta!$A$3:$A$24,0),1),0)</f>
        <v>0</v>
      </c>
      <c r="C227" s="140">
        <v>2026</v>
      </c>
      <c r="D227" s="141" t="str">
        <f>IFERROR(INDEX(Työkonekanta!$D$3:$D$27,MATCH('S0a Baseline'!$A227,Työkonekanta!$A$3:$A$24,0),1),"undefined")</f>
        <v>sähkö</v>
      </c>
      <c r="E227" s="145">
        <f>IFERROR(INDEX(Työkonekanta!$G$3:$G$27,MATCH($A227,Työkonekanta!$A$3:$A$24,0),1)*INDEX(Työkonekanta!$H$3:$H$27,MATCH($A227,Työkonekanta!$A$3:$A$24,0),1)*$B227,0)</f>
        <v>0</v>
      </c>
      <c r="F227" s="344">
        <f t="shared" si="54"/>
        <v>0</v>
      </c>
      <c r="G227" s="344">
        <f t="shared" si="61"/>
        <v>0</v>
      </c>
      <c r="H227" s="344">
        <f t="shared" si="62"/>
        <v>0</v>
      </c>
      <c r="I227" s="145">
        <f t="shared" si="55"/>
        <v>0</v>
      </c>
      <c r="J227" s="145">
        <f t="shared" si="56"/>
        <v>0</v>
      </c>
      <c r="K227" s="142" t="str">
        <f t="shared" si="63"/>
        <v>kWh</v>
      </c>
      <c r="L227" s="146">
        <f>IFERROR(INDEX(Työkonekanta!$I$3:$I$27,MATCH('S0a Baseline'!$A227,Työkonekanta!$A$3:$A$24,0),1)*(I227+J227)*f_adblue,0)</f>
        <v>0</v>
      </c>
      <c r="M227" s="146">
        <f t="shared" si="68"/>
        <v>0</v>
      </c>
      <c r="N227" s="143" t="str">
        <f>IF(tuulisähkö_vuosi&lt;='S0a Baseline'!C227,"tuulisähkö",ostosähkö_nyt)</f>
        <v>jäännössähkö</v>
      </c>
      <c r="O227" s="147">
        <f>INDEX(Muuttujat!$J$5:$J$21,MATCH($C227,Muuttujat!$H$5:$H$21,0),1)</f>
        <v>64.542936272148211</v>
      </c>
      <c r="P227" s="342">
        <f>1-(INDEX(Muuttujat!$O$5:$O$21,MATCH($C227,Muuttujat!$N$5:$N$21,0),1))</f>
        <v>0.92</v>
      </c>
      <c r="Q227" s="342">
        <f>INDEX(Muuttujat!$O$5:$O$21,MATCH($C227,Muuttujat!$N$5:$N$21,0),1)</f>
        <v>0.08</v>
      </c>
      <c r="R227" s="148">
        <f>INDEX(Muuttujat!$P$5:$P$21,MATCH($C227,Muuttujat!$N$5:$N$21,0),1)</f>
        <v>8.3420471452195388E-2</v>
      </c>
      <c r="S227" s="149">
        <f t="shared" si="57"/>
        <v>0</v>
      </c>
      <c r="T227" s="150">
        <f t="shared" si="58"/>
        <v>0</v>
      </c>
      <c r="U227" s="150">
        <f t="shared" si="59"/>
        <v>0</v>
      </c>
      <c r="V227" s="150">
        <f>IFERROR(INDEX(Työkonekanta!$J$3:$J$27,MATCH($A227,Työkonekanta!$A$3:$A$24,0),1)*$B227*ef_li_ion_akku/1000/1000/INDEX(Työkonekanta!$K$3:$K$27,MATCH($A227,Työkonekanta!$A$3:$A$24,0)),0)</f>
        <v>0</v>
      </c>
      <c r="W227" s="149">
        <f t="shared" si="60"/>
        <v>0</v>
      </c>
      <c r="X227" s="150">
        <f t="shared" si="69"/>
        <v>0</v>
      </c>
      <c r="Y227" s="151">
        <f t="shared" si="70"/>
        <v>0</v>
      </c>
      <c r="Z227" s="152">
        <f t="shared" si="64"/>
        <v>0</v>
      </c>
      <c r="AA227" s="153">
        <f t="shared" si="65"/>
        <v>0</v>
      </c>
      <c r="AB227" s="153">
        <f t="shared" si="66"/>
        <v>0</v>
      </c>
      <c r="AC227" s="154">
        <f t="shared" si="71"/>
        <v>0</v>
      </c>
      <c r="AD227" s="156">
        <f t="shared" si="67"/>
        <v>0</v>
      </c>
    </row>
    <row r="228" spans="1:30" s="144" customFormat="1">
      <c r="A228" s="139">
        <v>16</v>
      </c>
      <c r="B228" s="139">
        <f>IFERROR(INDEX(Työkonekanta!$F$3:$F$27,MATCH('S0a Baseline'!$A228,Työkonekanta!$A$3:$A$24,0),1),0)</f>
        <v>0</v>
      </c>
      <c r="C228" s="140">
        <v>2026</v>
      </c>
      <c r="D228" s="141" t="str">
        <f>IFERROR(INDEX(Työkonekanta!$D$3:$D$27,MATCH('S0a Baseline'!$A228,Työkonekanta!$A$3:$A$24,0),1),"undefined")</f>
        <v>sähkö</v>
      </c>
      <c r="E228" s="145">
        <f>IFERROR(INDEX(Työkonekanta!$G$3:$G$27,MATCH($A228,Työkonekanta!$A$3:$A$24,0),1)*INDEX(Työkonekanta!$H$3:$H$27,MATCH($A228,Työkonekanta!$A$3:$A$24,0),1)*$B228,0)</f>
        <v>0</v>
      </c>
      <c r="F228" s="344">
        <f t="shared" si="54"/>
        <v>0</v>
      </c>
      <c r="G228" s="344">
        <f t="shared" si="61"/>
        <v>0</v>
      </c>
      <c r="H228" s="344">
        <f t="shared" si="62"/>
        <v>0</v>
      </c>
      <c r="I228" s="145">
        <f t="shared" si="55"/>
        <v>0</v>
      </c>
      <c r="J228" s="145">
        <f t="shared" si="56"/>
        <v>0</v>
      </c>
      <c r="K228" s="142" t="str">
        <f t="shared" si="63"/>
        <v>kWh</v>
      </c>
      <c r="L228" s="146">
        <f>IFERROR(INDEX(Työkonekanta!$I$3:$I$27,MATCH('S0a Baseline'!$A228,Työkonekanta!$A$3:$A$24,0),1)*(I228+J228)*f_adblue,0)</f>
        <v>0</v>
      </c>
      <c r="M228" s="146">
        <f t="shared" si="68"/>
        <v>0</v>
      </c>
      <c r="N228" s="143" t="str">
        <f>IF(tuulisähkö_vuosi&lt;='S0a Baseline'!C228,"tuulisähkö",ostosähkö_nyt)</f>
        <v>jäännössähkö</v>
      </c>
      <c r="O228" s="147">
        <f>INDEX(Muuttujat!$J$5:$J$21,MATCH($C228,Muuttujat!$H$5:$H$21,0),1)</f>
        <v>64.542936272148211</v>
      </c>
      <c r="P228" s="342">
        <f>1-(INDEX(Muuttujat!$O$5:$O$21,MATCH($C228,Muuttujat!$N$5:$N$21,0),1))</f>
        <v>0.92</v>
      </c>
      <c r="Q228" s="342">
        <f>INDEX(Muuttujat!$O$5:$O$21,MATCH($C228,Muuttujat!$N$5:$N$21,0),1)</f>
        <v>0.08</v>
      </c>
      <c r="R228" s="148">
        <f>INDEX(Muuttujat!$P$5:$P$21,MATCH($C228,Muuttujat!$N$5:$N$21,0),1)</f>
        <v>8.3420471452195388E-2</v>
      </c>
      <c r="S228" s="149">
        <f t="shared" si="57"/>
        <v>0</v>
      </c>
      <c r="T228" s="150">
        <f t="shared" si="58"/>
        <v>0</v>
      </c>
      <c r="U228" s="150">
        <f t="shared" si="59"/>
        <v>0</v>
      </c>
      <c r="V228" s="150">
        <f>IFERROR(INDEX(Työkonekanta!$J$3:$J$27,MATCH($A228,Työkonekanta!$A$3:$A$24,0),1)*$B228*ef_li_ion_akku/1000/1000/INDEX(Työkonekanta!$K$3:$K$27,MATCH($A228,Työkonekanta!$A$3:$A$24,0)),0)</f>
        <v>0</v>
      </c>
      <c r="W228" s="149">
        <f t="shared" si="60"/>
        <v>0</v>
      </c>
      <c r="X228" s="150">
        <f t="shared" si="69"/>
        <v>0</v>
      </c>
      <c r="Y228" s="151">
        <f t="shared" si="70"/>
        <v>0</v>
      </c>
      <c r="Z228" s="152">
        <f t="shared" si="64"/>
        <v>0</v>
      </c>
      <c r="AA228" s="153">
        <f t="shared" si="65"/>
        <v>0</v>
      </c>
      <c r="AB228" s="153">
        <f t="shared" si="66"/>
        <v>0</v>
      </c>
      <c r="AC228" s="154">
        <f t="shared" si="71"/>
        <v>0</v>
      </c>
      <c r="AD228" s="156">
        <f t="shared" si="67"/>
        <v>0</v>
      </c>
    </row>
    <row r="229" spans="1:30" s="144" customFormat="1">
      <c r="A229" s="139">
        <v>17</v>
      </c>
      <c r="B229" s="139">
        <f>IFERROR(INDEX(Työkonekanta!$F$3:$F$27,MATCH('S0a Baseline'!$A229,Työkonekanta!$A$3:$A$24,0),1),0)</f>
        <v>1</v>
      </c>
      <c r="C229" s="140">
        <v>2026</v>
      </c>
      <c r="D229" s="141" t="str">
        <f>IFERROR(INDEX(Työkonekanta!$D$3:$D$27,MATCH('S0a Baseline'!$A229,Työkonekanta!$A$3:$A$24,0),1),"undefined")</f>
        <v>pom</v>
      </c>
      <c r="E229" s="145">
        <f>IFERROR(INDEX(Työkonekanta!$G$3:$G$27,MATCH($A229,Työkonekanta!$A$3:$A$24,0),1)*INDEX(Työkonekanta!$H$3:$H$27,MATCH($A229,Työkonekanta!$A$3:$A$24,0),1)*$B229,0)</f>
        <v>10000</v>
      </c>
      <c r="F229" s="344">
        <f t="shared" si="54"/>
        <v>359000</v>
      </c>
      <c r="G229" s="344">
        <f t="shared" si="61"/>
        <v>330280</v>
      </c>
      <c r="H229" s="344">
        <f t="shared" si="62"/>
        <v>28720</v>
      </c>
      <c r="I229" s="145">
        <f t="shared" si="55"/>
        <v>9200</v>
      </c>
      <c r="J229" s="145">
        <f t="shared" si="56"/>
        <v>837.31778425655989</v>
      </c>
      <c r="K229" s="142" t="str">
        <f t="shared" si="63"/>
        <v>l</v>
      </c>
      <c r="L229" s="146">
        <f>IFERROR(INDEX(Työkonekanta!$I$3:$I$27,MATCH('S0a Baseline'!$A229,Työkonekanta!$A$3:$A$24,0),1)*(I229+J229)*f_adblue,0)</f>
        <v>501.86588921282805</v>
      </c>
      <c r="M229" s="146">
        <f t="shared" si="68"/>
        <v>0</v>
      </c>
      <c r="N229" s="143" t="str">
        <f>IF(tuulisähkö_vuosi&lt;='S0a Baseline'!C229,"tuulisähkö",ostosähkö_nyt)</f>
        <v>jäännössähkö</v>
      </c>
      <c r="O229" s="147">
        <f>INDEX(Muuttujat!$J$5:$J$21,MATCH($C229,Muuttujat!$H$5:$H$21,0),1)</f>
        <v>64.542936272148211</v>
      </c>
      <c r="P229" s="342">
        <f>1-(INDEX(Muuttujat!$O$5:$O$21,MATCH($C229,Muuttujat!$N$5:$N$21,0),1))</f>
        <v>0.92</v>
      </c>
      <c r="Q229" s="342">
        <f>INDEX(Muuttujat!$O$5:$O$21,MATCH($C229,Muuttujat!$N$5:$N$21,0),1)</f>
        <v>0.08</v>
      </c>
      <c r="R229" s="148">
        <f>INDEX(Muuttujat!$P$5:$P$21,MATCH($C229,Muuttujat!$N$5:$N$21,0),1)</f>
        <v>8.3420471452195388E-2</v>
      </c>
      <c r="S229" s="149">
        <f t="shared" si="57"/>
        <v>6.2422919999999991</v>
      </c>
      <c r="T229" s="150">
        <f t="shared" si="58"/>
        <v>1.7921279999999999</v>
      </c>
      <c r="U229" s="150">
        <f t="shared" si="59"/>
        <v>0</v>
      </c>
      <c r="V229" s="150">
        <f>IFERROR(INDEX(Työkonekanta!$J$3:$J$27,MATCH($A229,Työkonekanta!$A$3:$A$24,0),1)*$B229*ef_li_ion_akku/1000/1000/INDEX(Työkonekanta!$K$3:$K$27,MATCH($A229,Työkonekanta!$A$3:$A$24,0)),0)</f>
        <v>0</v>
      </c>
      <c r="W229" s="149">
        <f t="shared" si="60"/>
        <v>24.377390223120003</v>
      </c>
      <c r="X229" s="150">
        <f t="shared" si="69"/>
        <v>0.31774565999999999</v>
      </c>
      <c r="Y229" s="151">
        <f t="shared" si="70"/>
        <v>0.13048513119533531</v>
      </c>
      <c r="Z229" s="152">
        <f t="shared" si="64"/>
        <v>8.034419999999999</v>
      </c>
      <c r="AA229" s="153">
        <f t="shared" si="65"/>
        <v>24.507875354315338</v>
      </c>
      <c r="AB229" s="153">
        <f t="shared" si="66"/>
        <v>24.825621014315338</v>
      </c>
      <c r="AC229" s="154">
        <f t="shared" si="71"/>
        <v>32.542295354315335</v>
      </c>
      <c r="AD229" s="156">
        <f t="shared" si="67"/>
        <v>32.860041014315335</v>
      </c>
    </row>
    <row r="230" spans="1:30" s="144" customFormat="1">
      <c r="A230" s="139">
        <v>18</v>
      </c>
      <c r="B230" s="139">
        <f>IFERROR(INDEX(Työkonekanta!$F$3:$F$27,MATCH('S0a Baseline'!$A230,Työkonekanta!$A$3:$A$24,0),1),0)</f>
        <v>1</v>
      </c>
      <c r="C230" s="140">
        <v>2026</v>
      </c>
      <c r="D230" s="141" t="str">
        <f>IFERROR(INDEX(Työkonekanta!$D$3:$D$27,MATCH('S0a Baseline'!$A230,Työkonekanta!$A$3:$A$24,0),1),"undefined")</f>
        <v>pom</v>
      </c>
      <c r="E230" s="145">
        <f>IFERROR(INDEX(Työkonekanta!$G$3:$G$27,MATCH($A230,Työkonekanta!$A$3:$A$24,0),1)*INDEX(Työkonekanta!$H$3:$H$27,MATCH($A230,Työkonekanta!$A$3:$A$24,0),1)*$B230,0)</f>
        <v>10000</v>
      </c>
      <c r="F230" s="344">
        <f t="shared" si="54"/>
        <v>359000</v>
      </c>
      <c r="G230" s="344">
        <f t="shared" si="61"/>
        <v>330280</v>
      </c>
      <c r="H230" s="344">
        <f t="shared" si="62"/>
        <v>28720</v>
      </c>
      <c r="I230" s="145">
        <f t="shared" si="55"/>
        <v>9200</v>
      </c>
      <c r="J230" s="145">
        <f t="shared" si="56"/>
        <v>837.31778425655989</v>
      </c>
      <c r="K230" s="142" t="str">
        <f t="shared" si="63"/>
        <v>l</v>
      </c>
      <c r="L230" s="146">
        <f>IFERROR(INDEX(Työkonekanta!$I$3:$I$27,MATCH('S0a Baseline'!$A230,Työkonekanta!$A$3:$A$24,0),1)*(I230+J230)*f_adblue,0)</f>
        <v>401.49271137026244</v>
      </c>
      <c r="M230" s="146">
        <f t="shared" si="68"/>
        <v>0</v>
      </c>
      <c r="N230" s="143" t="str">
        <f>IF(tuulisähkö_vuosi&lt;='S0a Baseline'!C230,"tuulisähkö",ostosähkö_nyt)</f>
        <v>jäännössähkö</v>
      </c>
      <c r="O230" s="147">
        <f>INDEX(Muuttujat!$J$5:$J$21,MATCH($C230,Muuttujat!$H$5:$H$21,0),1)</f>
        <v>64.542936272148211</v>
      </c>
      <c r="P230" s="342">
        <f>1-(INDEX(Muuttujat!$O$5:$O$21,MATCH($C230,Muuttujat!$N$5:$N$21,0),1))</f>
        <v>0.92</v>
      </c>
      <c r="Q230" s="342">
        <f>INDEX(Muuttujat!$O$5:$O$21,MATCH($C230,Muuttujat!$N$5:$N$21,0),1)</f>
        <v>0.08</v>
      </c>
      <c r="R230" s="148">
        <f>INDEX(Muuttujat!$P$5:$P$21,MATCH($C230,Muuttujat!$N$5:$N$21,0),1)</f>
        <v>8.3420471452195388E-2</v>
      </c>
      <c r="S230" s="149">
        <f t="shared" si="57"/>
        <v>6.2422919999999991</v>
      </c>
      <c r="T230" s="150">
        <f t="shared" si="58"/>
        <v>1.7921279999999999</v>
      </c>
      <c r="U230" s="150">
        <f t="shared" si="59"/>
        <v>0</v>
      </c>
      <c r="V230" s="150">
        <f>IFERROR(INDEX(Työkonekanta!$J$3:$J$27,MATCH($A230,Työkonekanta!$A$3:$A$24,0),1)*$B230*ef_li_ion_akku/1000/1000/INDEX(Työkonekanta!$K$3:$K$27,MATCH($A230,Työkonekanta!$A$3:$A$24,0)),0)</f>
        <v>0</v>
      </c>
      <c r="W230" s="149">
        <f t="shared" si="60"/>
        <v>24.377390223120003</v>
      </c>
      <c r="X230" s="150">
        <f t="shared" si="69"/>
        <v>0.31774565999999999</v>
      </c>
      <c r="Y230" s="151">
        <f t="shared" si="70"/>
        <v>0.10438810495626824</v>
      </c>
      <c r="Z230" s="152">
        <f t="shared" si="64"/>
        <v>8.034419999999999</v>
      </c>
      <c r="AA230" s="153">
        <f t="shared" si="65"/>
        <v>24.48177832807627</v>
      </c>
      <c r="AB230" s="153">
        <f t="shared" si="66"/>
        <v>24.79952398807627</v>
      </c>
      <c r="AC230" s="154">
        <f t="shared" si="71"/>
        <v>32.516198328076271</v>
      </c>
      <c r="AD230" s="156">
        <f t="shared" si="67"/>
        <v>32.833943988076271</v>
      </c>
    </row>
    <row r="231" spans="1:30" s="144" customFormat="1">
      <c r="A231" s="139">
        <v>19</v>
      </c>
      <c r="B231" s="139">
        <f>IFERROR(INDEX(Työkonekanta!$F$3:$F$27,MATCH('S0a Baseline'!$A231,Työkonekanta!$A$3:$A$24,0),1),0)</f>
        <v>0</v>
      </c>
      <c r="C231" s="140">
        <v>2026</v>
      </c>
      <c r="D231" s="141" t="str">
        <f>IFERROR(INDEX(Työkonekanta!$D$3:$D$27,MATCH('S0a Baseline'!$A231,Työkonekanta!$A$3:$A$24,0),1),"undefined")</f>
        <v>pom</v>
      </c>
      <c r="E231" s="145">
        <f>IFERROR(INDEX(Työkonekanta!$G$3:$G$27,MATCH($A231,Työkonekanta!$A$3:$A$24,0),1)*INDEX(Työkonekanta!$H$3:$H$27,MATCH($A231,Työkonekanta!$A$3:$A$24,0),1)*$B231,0)</f>
        <v>0</v>
      </c>
      <c r="F231" s="344">
        <f t="shared" si="54"/>
        <v>0</v>
      </c>
      <c r="G231" s="344">
        <f t="shared" si="61"/>
        <v>0</v>
      </c>
      <c r="H231" s="344">
        <f t="shared" si="62"/>
        <v>0</v>
      </c>
      <c r="I231" s="145">
        <f t="shared" si="55"/>
        <v>0</v>
      </c>
      <c r="J231" s="145">
        <f t="shared" si="56"/>
        <v>0</v>
      </c>
      <c r="K231" s="142" t="str">
        <f t="shared" si="63"/>
        <v>l</v>
      </c>
      <c r="L231" s="146">
        <f>IFERROR(INDEX(Työkonekanta!$I$3:$I$27,MATCH('S0a Baseline'!$A231,Työkonekanta!$A$3:$A$24,0),1)*(I231+J231)*f_adblue,0)</f>
        <v>0</v>
      </c>
      <c r="M231" s="146">
        <f t="shared" si="68"/>
        <v>0</v>
      </c>
      <c r="N231" s="143" t="str">
        <f>IF(tuulisähkö_vuosi&lt;='S0a Baseline'!C231,"tuulisähkö",ostosähkö_nyt)</f>
        <v>jäännössähkö</v>
      </c>
      <c r="O231" s="147">
        <f>INDEX(Muuttujat!$J$5:$J$21,MATCH($C231,Muuttujat!$H$5:$H$21,0),1)</f>
        <v>64.542936272148211</v>
      </c>
      <c r="P231" s="342">
        <f>1-(INDEX(Muuttujat!$O$5:$O$21,MATCH($C231,Muuttujat!$N$5:$N$21,0),1))</f>
        <v>0.92</v>
      </c>
      <c r="Q231" s="342">
        <f>INDEX(Muuttujat!$O$5:$O$21,MATCH($C231,Muuttujat!$N$5:$N$21,0),1)</f>
        <v>0.08</v>
      </c>
      <c r="R231" s="148">
        <f>INDEX(Muuttujat!$P$5:$P$21,MATCH($C231,Muuttujat!$N$5:$N$21,0),1)</f>
        <v>8.3420471452195388E-2</v>
      </c>
      <c r="S231" s="149">
        <f t="shared" si="57"/>
        <v>0</v>
      </c>
      <c r="T231" s="150">
        <f t="shared" si="58"/>
        <v>0</v>
      </c>
      <c r="U231" s="150">
        <f t="shared" si="59"/>
        <v>0</v>
      </c>
      <c r="V231" s="150">
        <f>IFERROR(INDEX(Työkonekanta!$J$3:$J$27,MATCH($A231,Työkonekanta!$A$3:$A$24,0),1)*$B231*ef_li_ion_akku/1000/1000/INDEX(Työkonekanta!$K$3:$K$27,MATCH($A231,Työkonekanta!$A$3:$A$24,0)),0)</f>
        <v>0</v>
      </c>
      <c r="W231" s="149">
        <f t="shared" si="60"/>
        <v>0</v>
      </c>
      <c r="X231" s="150">
        <f t="shared" si="69"/>
        <v>0</v>
      </c>
      <c r="Y231" s="151">
        <f t="shared" si="70"/>
        <v>0</v>
      </c>
      <c r="Z231" s="152">
        <f t="shared" si="64"/>
        <v>0</v>
      </c>
      <c r="AA231" s="153">
        <f t="shared" si="65"/>
        <v>0</v>
      </c>
      <c r="AB231" s="153">
        <f t="shared" si="66"/>
        <v>0</v>
      </c>
      <c r="AC231" s="154">
        <f t="shared" si="71"/>
        <v>0</v>
      </c>
      <c r="AD231" s="156">
        <f t="shared" si="67"/>
        <v>0</v>
      </c>
    </row>
    <row r="232" spans="1:30" s="144" customFormat="1">
      <c r="A232" s="139">
        <v>20</v>
      </c>
      <c r="B232" s="139">
        <f>IFERROR(INDEX(Työkonekanta!$F$3:$F$27,MATCH('S0a Baseline'!$A232,Työkonekanta!$A$3:$A$24,0),1),0)</f>
        <v>0</v>
      </c>
      <c r="C232" s="140">
        <v>2026</v>
      </c>
      <c r="D232" s="141" t="str">
        <f>IFERROR(INDEX(Työkonekanta!$D$3:$D$27,MATCH('S0a Baseline'!$A232,Työkonekanta!$A$3:$A$24,0),1),"undefined")</f>
        <v>pom</v>
      </c>
      <c r="E232" s="145">
        <f>IFERROR(INDEX(Työkonekanta!$G$3:$G$27,MATCH($A232,Työkonekanta!$A$3:$A$24,0),1)*INDEX(Työkonekanta!$H$3:$H$27,MATCH($A232,Työkonekanta!$A$3:$A$24,0),1)*$B232,0)</f>
        <v>0</v>
      </c>
      <c r="F232" s="344">
        <f t="shared" si="54"/>
        <v>0</v>
      </c>
      <c r="G232" s="344">
        <f t="shared" si="61"/>
        <v>0</v>
      </c>
      <c r="H232" s="344">
        <f t="shared" si="62"/>
        <v>0</v>
      </c>
      <c r="I232" s="145">
        <f t="shared" si="55"/>
        <v>0</v>
      </c>
      <c r="J232" s="145">
        <f t="shared" si="56"/>
        <v>0</v>
      </c>
      <c r="K232" s="142" t="str">
        <f t="shared" si="63"/>
        <v>l</v>
      </c>
      <c r="L232" s="146">
        <f>IFERROR(INDEX(Työkonekanta!$I$3:$I$27,MATCH('S0a Baseline'!$A232,Työkonekanta!$A$3:$A$24,0),1)*(I232+J232)*f_adblue,0)</f>
        <v>0</v>
      </c>
      <c r="M232" s="146">
        <f t="shared" si="68"/>
        <v>0</v>
      </c>
      <c r="N232" s="143" t="str">
        <f>IF(tuulisähkö_vuosi&lt;='S0a Baseline'!C232,"tuulisähkö",ostosähkö_nyt)</f>
        <v>jäännössähkö</v>
      </c>
      <c r="O232" s="147">
        <f>INDEX(Muuttujat!$J$5:$J$21,MATCH($C232,Muuttujat!$H$5:$H$21,0),1)</f>
        <v>64.542936272148211</v>
      </c>
      <c r="P232" s="342">
        <f>1-(INDEX(Muuttujat!$O$5:$O$21,MATCH($C232,Muuttujat!$N$5:$N$21,0),1))</f>
        <v>0.92</v>
      </c>
      <c r="Q232" s="342">
        <f>INDEX(Muuttujat!$O$5:$O$21,MATCH($C232,Muuttujat!$N$5:$N$21,0),1)</f>
        <v>0.08</v>
      </c>
      <c r="R232" s="148">
        <f>INDEX(Muuttujat!$P$5:$P$21,MATCH($C232,Muuttujat!$N$5:$N$21,0),1)</f>
        <v>8.3420471452195388E-2</v>
      </c>
      <c r="S232" s="149">
        <f t="shared" si="57"/>
        <v>0</v>
      </c>
      <c r="T232" s="150">
        <f t="shared" si="58"/>
        <v>0</v>
      </c>
      <c r="U232" s="150">
        <f t="shared" si="59"/>
        <v>0</v>
      </c>
      <c r="V232" s="150">
        <f>IFERROR(INDEX(Työkonekanta!$J$3:$J$27,MATCH($A232,Työkonekanta!$A$3:$A$24,0),1)*$B232*ef_li_ion_akku/1000/1000/INDEX(Työkonekanta!$K$3:$K$27,MATCH($A232,Työkonekanta!$A$3:$A$24,0)),0)</f>
        <v>0</v>
      </c>
      <c r="W232" s="149">
        <f t="shared" si="60"/>
        <v>0</v>
      </c>
      <c r="X232" s="150">
        <f t="shared" si="69"/>
        <v>0</v>
      </c>
      <c r="Y232" s="151">
        <f t="shared" si="70"/>
        <v>0</v>
      </c>
      <c r="Z232" s="152">
        <f t="shared" si="64"/>
        <v>0</v>
      </c>
      <c r="AA232" s="153">
        <f t="shared" si="65"/>
        <v>0</v>
      </c>
      <c r="AB232" s="153">
        <f t="shared" si="66"/>
        <v>0</v>
      </c>
      <c r="AC232" s="154">
        <f t="shared" si="71"/>
        <v>0</v>
      </c>
      <c r="AD232" s="156">
        <f t="shared" si="67"/>
        <v>0</v>
      </c>
    </row>
    <row r="233" spans="1:30" s="144" customFormat="1">
      <c r="A233" s="139">
        <v>21</v>
      </c>
      <c r="B233" s="139">
        <f>IFERROR(INDEX(Työkonekanta!$F$3:$F$27,MATCH('S0a Baseline'!$A233,Työkonekanta!$A$3:$A$24,0),1),0)</f>
        <v>35</v>
      </c>
      <c r="C233" s="140">
        <v>2026</v>
      </c>
      <c r="D233" s="141" t="str">
        <f>IFERROR(INDEX(Työkonekanta!$D$3:$D$27,MATCH('S0a Baseline'!$A233,Työkonekanta!$A$3:$A$24,0),1),"undefined")</f>
        <v>sähkö</v>
      </c>
      <c r="E233" s="145">
        <f>IFERROR(INDEX(Työkonekanta!$G$3:$G$27,MATCH($A233,Työkonekanta!$A$3:$A$24,0),1)*INDEX(Työkonekanta!$H$3:$H$27,MATCH($A233,Työkonekanta!$A$3:$A$24,0),1)*$B233,0)</f>
        <v>407199.07407407404</v>
      </c>
      <c r="F233" s="344">
        <f t="shared" si="54"/>
        <v>0</v>
      </c>
      <c r="G233" s="344">
        <f t="shared" si="61"/>
        <v>0</v>
      </c>
      <c r="H233" s="344">
        <f t="shared" si="62"/>
        <v>0</v>
      </c>
      <c r="I233" s="145">
        <f t="shared" si="55"/>
        <v>0</v>
      </c>
      <c r="J233" s="145">
        <f t="shared" si="56"/>
        <v>0</v>
      </c>
      <c r="K233" s="142" t="str">
        <f t="shared" si="63"/>
        <v>kWh</v>
      </c>
      <c r="L233" s="146">
        <f>IFERROR(INDEX(Työkonekanta!$I$3:$I$27,MATCH('S0a Baseline'!$A233,Työkonekanta!$A$3:$A$24,0),1)*(I233+J233)*f_adblue,0)</f>
        <v>0</v>
      </c>
      <c r="M233" s="146">
        <f t="shared" si="68"/>
        <v>1465916.6666666665</v>
      </c>
      <c r="N233" s="143" t="str">
        <f>IF(tuulisähkö_vuosi&lt;='S0a Baseline'!C233,"tuulisähkö",ostosähkö_nyt)</f>
        <v>jäännössähkö</v>
      </c>
      <c r="O233" s="147">
        <f>INDEX(Muuttujat!$J$5:$J$21,MATCH($C233,Muuttujat!$H$5:$H$21,0),1)</f>
        <v>64.542936272148211</v>
      </c>
      <c r="P233" s="342">
        <f>1-(INDEX(Muuttujat!$O$5:$O$21,MATCH($C233,Muuttujat!$N$5:$N$21,0),1))</f>
        <v>0.92</v>
      </c>
      <c r="Q233" s="342">
        <f>INDEX(Muuttujat!$O$5:$O$21,MATCH($C233,Muuttujat!$N$5:$N$21,0),1)</f>
        <v>0.08</v>
      </c>
      <c r="R233" s="148">
        <f>INDEX(Muuttujat!$P$5:$P$21,MATCH($C233,Muuttujat!$N$5:$N$21,0),1)</f>
        <v>8.3420471452195388E-2</v>
      </c>
      <c r="S233" s="149">
        <f t="shared" si="57"/>
        <v>0</v>
      </c>
      <c r="T233" s="150">
        <f t="shared" si="58"/>
        <v>0</v>
      </c>
      <c r="U233" s="150">
        <f t="shared" si="59"/>
        <v>94.614565996946595</v>
      </c>
      <c r="V233" s="150">
        <f>IFERROR(INDEX(Työkonekanta!$J$3:$J$27,MATCH($A233,Työkonekanta!$A$3:$A$24,0),1)*$B233*ef_li_ion_akku/1000/1000/INDEX(Työkonekanta!$K$3:$K$27,MATCH($A233,Työkonekanta!$A$3:$A$24,0)),0)</f>
        <v>43.121723076923082</v>
      </c>
      <c r="W233" s="149">
        <f t="shared" si="60"/>
        <v>0</v>
      </c>
      <c r="X233" s="150">
        <f t="shared" si="69"/>
        <v>0</v>
      </c>
      <c r="Y233" s="151">
        <f t="shared" si="70"/>
        <v>0</v>
      </c>
      <c r="Z233" s="152">
        <f t="shared" si="64"/>
        <v>137.73628907386967</v>
      </c>
      <c r="AA233" s="153">
        <f t="shared" si="65"/>
        <v>0</v>
      </c>
      <c r="AB233" s="153">
        <f t="shared" si="66"/>
        <v>0</v>
      </c>
      <c r="AC233" s="154">
        <f t="shared" si="71"/>
        <v>137.73628907386967</v>
      </c>
      <c r="AD233" s="156">
        <f t="shared" si="67"/>
        <v>137.73628907386967</v>
      </c>
    </row>
    <row r="234" spans="1:30" s="144" customFormat="1">
      <c r="A234" s="139">
        <v>22</v>
      </c>
      <c r="B234" s="139">
        <f>IFERROR(INDEX(Työkonekanta!$F$3:$F$27,MATCH('S0a Baseline'!$A234,Työkonekanta!$A$3:$A$24,0),1),0)</f>
        <v>0</v>
      </c>
      <c r="C234" s="140">
        <v>2026</v>
      </c>
      <c r="D234" s="141" t="str">
        <f>IFERROR(INDEX(Työkonekanta!$D$3:$D$27,MATCH('S0a Baseline'!$A234,Työkonekanta!$A$3:$A$24,0),1),"undefined")</f>
        <v>sähkö</v>
      </c>
      <c r="E234" s="145">
        <f>IFERROR(INDEX(Työkonekanta!$G$3:$G$27,MATCH($A234,Työkonekanta!$A$3:$A$24,0),1)*INDEX(Työkonekanta!$H$3:$H$27,MATCH($A234,Työkonekanta!$A$3:$A$24,0),1)*$B234,0)</f>
        <v>0</v>
      </c>
      <c r="F234" s="344">
        <f t="shared" si="54"/>
        <v>0</v>
      </c>
      <c r="G234" s="344">
        <f t="shared" si="61"/>
        <v>0</v>
      </c>
      <c r="H234" s="344">
        <f t="shared" si="62"/>
        <v>0</v>
      </c>
      <c r="I234" s="145">
        <f t="shared" si="55"/>
        <v>0</v>
      </c>
      <c r="J234" s="145">
        <f t="shared" si="56"/>
        <v>0</v>
      </c>
      <c r="K234" s="142" t="str">
        <f t="shared" si="63"/>
        <v>kWh</v>
      </c>
      <c r="L234" s="146">
        <f>IFERROR(INDEX(Työkonekanta!$I$3:$I$27,MATCH('S0a Baseline'!$A234,Työkonekanta!$A$3:$A$24,0),1)*(I234+J234)*f_adblue,0)</f>
        <v>0</v>
      </c>
      <c r="M234" s="146">
        <f t="shared" si="68"/>
        <v>0</v>
      </c>
      <c r="N234" s="143" t="str">
        <f>IF(tuulisähkö_vuosi&lt;='S0a Baseline'!C234,"tuulisähkö",ostosähkö_nyt)</f>
        <v>jäännössähkö</v>
      </c>
      <c r="O234" s="147">
        <f>INDEX(Muuttujat!$J$5:$J$21,MATCH($C234,Muuttujat!$H$5:$H$21,0),1)</f>
        <v>64.542936272148211</v>
      </c>
      <c r="P234" s="342">
        <f>1-(INDEX(Muuttujat!$O$5:$O$21,MATCH($C234,Muuttujat!$N$5:$N$21,0),1))</f>
        <v>0.92</v>
      </c>
      <c r="Q234" s="342">
        <f>INDEX(Muuttujat!$O$5:$O$21,MATCH($C234,Muuttujat!$N$5:$N$21,0),1)</f>
        <v>0.08</v>
      </c>
      <c r="R234" s="148">
        <f>INDEX(Muuttujat!$P$5:$P$21,MATCH($C234,Muuttujat!$N$5:$N$21,0),1)</f>
        <v>8.3420471452195388E-2</v>
      </c>
      <c r="S234" s="149">
        <f t="shared" si="57"/>
        <v>0</v>
      </c>
      <c r="T234" s="150">
        <f t="shared" si="58"/>
        <v>0</v>
      </c>
      <c r="U234" s="150">
        <f t="shared" si="59"/>
        <v>0</v>
      </c>
      <c r="V234" s="150">
        <f>IFERROR(INDEX(Työkonekanta!$J$3:$J$27,MATCH($A234,Työkonekanta!$A$3:$A$24,0),1)*$B234*ef_li_ion_akku/1000/1000/INDEX(Työkonekanta!$K$3:$K$27,MATCH($A234,Työkonekanta!$A$3:$A$24,0)),0)</f>
        <v>0</v>
      </c>
      <c r="W234" s="149">
        <f t="shared" si="60"/>
        <v>0</v>
      </c>
      <c r="X234" s="150">
        <f t="shared" si="69"/>
        <v>0</v>
      </c>
      <c r="Y234" s="151">
        <f t="shared" si="70"/>
        <v>0</v>
      </c>
      <c r="Z234" s="152">
        <f t="shared" si="64"/>
        <v>0</v>
      </c>
      <c r="AA234" s="153">
        <f t="shared" si="65"/>
        <v>0</v>
      </c>
      <c r="AB234" s="153">
        <f t="shared" si="66"/>
        <v>0</v>
      </c>
      <c r="AC234" s="154">
        <f t="shared" si="71"/>
        <v>0</v>
      </c>
      <c r="AD234" s="156">
        <f t="shared" si="67"/>
        <v>0</v>
      </c>
    </row>
    <row r="235" spans="1:30" s="144" customFormat="1">
      <c r="A235" s="139">
        <v>23</v>
      </c>
      <c r="B235" s="139">
        <f>IFERROR(INDEX(Työkonekanta!$F$3:$F$27,MATCH('S0a Baseline'!$A235,Työkonekanta!$A$3:$A$24,0),1),0)</f>
        <v>0</v>
      </c>
      <c r="C235" s="140">
        <v>2026</v>
      </c>
      <c r="D235" s="141" t="str">
        <f>IFERROR(INDEX(Työkonekanta!$D$3:$D$27,MATCH('S0a Baseline'!$A235,Työkonekanta!$A$3:$A$24,0),1),"undefined")</f>
        <v>undefined</v>
      </c>
      <c r="E235" s="145">
        <f>IFERROR(INDEX(Työkonekanta!$G$3:$G$27,MATCH($A235,Työkonekanta!$A$3:$A$24,0),1)*INDEX(Työkonekanta!$H$3:$H$27,MATCH($A235,Työkonekanta!$A$3:$A$24,0),1)*$B235,0)</f>
        <v>0</v>
      </c>
      <c r="F235" s="344">
        <f t="shared" si="54"/>
        <v>0</v>
      </c>
      <c r="G235" s="344">
        <f t="shared" si="61"/>
        <v>0</v>
      </c>
      <c r="H235" s="344">
        <f t="shared" si="62"/>
        <v>0</v>
      </c>
      <c r="I235" s="145">
        <f t="shared" si="55"/>
        <v>0</v>
      </c>
      <c r="J235" s="145">
        <f t="shared" si="56"/>
        <v>0</v>
      </c>
      <c r="K235" s="142" t="str">
        <f t="shared" si="63"/>
        <v>undefined</v>
      </c>
      <c r="L235" s="146">
        <f>IFERROR(INDEX(Työkonekanta!$I$3:$I$27,MATCH('S0a Baseline'!$A235,Työkonekanta!$A$3:$A$24,0),1)*(I235+J235)*f_adblue,0)</f>
        <v>0</v>
      </c>
      <c r="M235" s="146">
        <f t="shared" si="68"/>
        <v>0</v>
      </c>
      <c r="N235" s="143" t="str">
        <f>IF(tuulisähkö_vuosi&lt;='S0a Baseline'!C235,"tuulisähkö",ostosähkö_nyt)</f>
        <v>jäännössähkö</v>
      </c>
      <c r="O235" s="147">
        <f>INDEX(Muuttujat!$J$5:$J$21,MATCH($C235,Muuttujat!$H$5:$H$21,0),1)</f>
        <v>64.542936272148211</v>
      </c>
      <c r="P235" s="342">
        <f>1-(INDEX(Muuttujat!$O$5:$O$21,MATCH($C235,Muuttujat!$N$5:$N$21,0),1))</f>
        <v>0.92</v>
      </c>
      <c r="Q235" s="342">
        <f>INDEX(Muuttujat!$O$5:$O$21,MATCH($C235,Muuttujat!$N$5:$N$21,0),1)</f>
        <v>0.08</v>
      </c>
      <c r="R235" s="148">
        <f>INDEX(Muuttujat!$P$5:$P$21,MATCH($C235,Muuttujat!$N$5:$N$21,0),1)</f>
        <v>8.3420471452195388E-2</v>
      </c>
      <c r="S235" s="149">
        <f t="shared" si="57"/>
        <v>0</v>
      </c>
      <c r="T235" s="150">
        <f t="shared" si="58"/>
        <v>0</v>
      </c>
      <c r="U235" s="150">
        <f t="shared" si="59"/>
        <v>0</v>
      </c>
      <c r="V235" s="150">
        <f>IFERROR(INDEX(Työkonekanta!$J$3:$J$27,MATCH($A235,Työkonekanta!$A$3:$A$24,0),1)*$B235*ef_li_ion_akku/1000/1000/INDEX(Työkonekanta!$K$3:$K$27,MATCH($A235,Työkonekanta!$A$3:$A$24,0)),0)</f>
        <v>0</v>
      </c>
      <c r="W235" s="149">
        <f t="shared" si="60"/>
        <v>0</v>
      </c>
      <c r="X235" s="150">
        <f t="shared" si="69"/>
        <v>0</v>
      </c>
      <c r="Y235" s="151">
        <f t="shared" si="70"/>
        <v>0</v>
      </c>
      <c r="Z235" s="152">
        <f t="shared" si="64"/>
        <v>0</v>
      </c>
      <c r="AA235" s="153">
        <f t="shared" si="65"/>
        <v>0</v>
      </c>
      <c r="AB235" s="153">
        <f t="shared" si="66"/>
        <v>0</v>
      </c>
      <c r="AC235" s="154">
        <f t="shared" si="71"/>
        <v>0</v>
      </c>
      <c r="AD235" s="156">
        <f t="shared" si="67"/>
        <v>0</v>
      </c>
    </row>
    <row r="236" spans="1:30" s="144" customFormat="1">
      <c r="A236" s="139">
        <v>24</v>
      </c>
      <c r="B236" s="139">
        <f>IFERROR(INDEX(Työkonekanta!$F$3:$F$27,MATCH('S0a Baseline'!$A236,Työkonekanta!$A$3:$A$24,0),1),0)</f>
        <v>0</v>
      </c>
      <c r="C236" s="140">
        <v>2026</v>
      </c>
      <c r="D236" s="141" t="str">
        <f>IFERROR(INDEX(Työkonekanta!$D$3:$D$27,MATCH('S0a Baseline'!$A236,Työkonekanta!$A$3:$A$24,0),1),"undefined")</f>
        <v>undefined</v>
      </c>
      <c r="E236" s="145">
        <f>IFERROR(INDEX(Työkonekanta!$G$3:$G$27,MATCH($A236,Työkonekanta!$A$3:$A$24,0),1)*INDEX(Työkonekanta!$H$3:$H$27,MATCH($A236,Työkonekanta!$A$3:$A$24,0),1)*$B236,0)</f>
        <v>0</v>
      </c>
      <c r="F236" s="344">
        <f t="shared" si="54"/>
        <v>0</v>
      </c>
      <c r="G236" s="344">
        <f t="shared" si="61"/>
        <v>0</v>
      </c>
      <c r="H236" s="344">
        <f t="shared" si="62"/>
        <v>0</v>
      </c>
      <c r="I236" s="145">
        <f t="shared" si="55"/>
        <v>0</v>
      </c>
      <c r="J236" s="145">
        <f t="shared" si="56"/>
        <v>0</v>
      </c>
      <c r="K236" s="142" t="str">
        <f t="shared" si="63"/>
        <v>undefined</v>
      </c>
      <c r="L236" s="146">
        <f>IFERROR(INDEX(Työkonekanta!$I$3:$I$27,MATCH('S0a Baseline'!$A236,Työkonekanta!$A$3:$A$24,0),1)*(I236+J236)*f_adblue,0)</f>
        <v>0</v>
      </c>
      <c r="M236" s="146">
        <f t="shared" si="68"/>
        <v>0</v>
      </c>
      <c r="N236" s="143" t="str">
        <f>IF(tuulisähkö_vuosi&lt;='S0a Baseline'!C236,"tuulisähkö",ostosähkö_nyt)</f>
        <v>jäännössähkö</v>
      </c>
      <c r="O236" s="147">
        <f>INDEX(Muuttujat!$J$5:$J$21,MATCH($C236,Muuttujat!$H$5:$H$21,0),1)</f>
        <v>64.542936272148211</v>
      </c>
      <c r="P236" s="342">
        <f>1-(INDEX(Muuttujat!$O$5:$O$21,MATCH($C236,Muuttujat!$N$5:$N$21,0),1))</f>
        <v>0.92</v>
      </c>
      <c r="Q236" s="342">
        <f>INDEX(Muuttujat!$O$5:$O$21,MATCH($C236,Muuttujat!$N$5:$N$21,0),1)</f>
        <v>0.08</v>
      </c>
      <c r="R236" s="148">
        <f>INDEX(Muuttujat!$P$5:$P$21,MATCH($C236,Muuttujat!$N$5:$N$21,0),1)</f>
        <v>8.3420471452195388E-2</v>
      </c>
      <c r="S236" s="149">
        <f t="shared" si="57"/>
        <v>0</v>
      </c>
      <c r="T236" s="150">
        <f t="shared" si="58"/>
        <v>0</v>
      </c>
      <c r="U236" s="150">
        <f t="shared" si="59"/>
        <v>0</v>
      </c>
      <c r="V236" s="150">
        <f>IFERROR(INDEX(Työkonekanta!$J$3:$J$27,MATCH($A236,Työkonekanta!$A$3:$A$24,0),1)*$B236*ef_li_ion_akku/1000/1000/INDEX(Työkonekanta!$K$3:$K$27,MATCH($A236,Työkonekanta!$A$3:$A$24,0)),0)</f>
        <v>0</v>
      </c>
      <c r="W236" s="149">
        <f t="shared" si="60"/>
        <v>0</v>
      </c>
      <c r="X236" s="150">
        <f t="shared" si="69"/>
        <v>0</v>
      </c>
      <c r="Y236" s="151">
        <f t="shared" si="70"/>
        <v>0</v>
      </c>
      <c r="Z236" s="152">
        <f t="shared" si="64"/>
        <v>0</v>
      </c>
      <c r="AA236" s="153">
        <f t="shared" si="65"/>
        <v>0</v>
      </c>
      <c r="AB236" s="153">
        <f t="shared" si="66"/>
        <v>0</v>
      </c>
      <c r="AC236" s="154">
        <f t="shared" si="71"/>
        <v>0</v>
      </c>
      <c r="AD236" s="156">
        <f t="shared" si="67"/>
        <v>0</v>
      </c>
    </row>
    <row r="237" spans="1:30" s="144" customFormat="1">
      <c r="A237" s="139">
        <v>25</v>
      </c>
      <c r="B237" s="139">
        <f>IFERROR(INDEX(Työkonekanta!$F$3:$F$27,MATCH('S0a Baseline'!$A237,Työkonekanta!$A$3:$A$24,0),1),0)</f>
        <v>0</v>
      </c>
      <c r="C237" s="140">
        <v>2026</v>
      </c>
      <c r="D237" s="141" t="str">
        <f>IFERROR(INDEX(Työkonekanta!$D$3:$D$27,MATCH('S0a Baseline'!$A237,Työkonekanta!$A$3:$A$24,0),1),"undefined")</f>
        <v>undefined</v>
      </c>
      <c r="E237" s="145">
        <f>IFERROR(INDEX(Työkonekanta!$G$3:$G$27,MATCH($A237,Työkonekanta!$A$3:$A$24,0),1)*INDEX(Työkonekanta!$H$3:$H$27,MATCH($A237,Työkonekanta!$A$3:$A$24,0),1)*$B237,0)</f>
        <v>0</v>
      </c>
      <c r="F237" s="344">
        <f t="shared" si="54"/>
        <v>0</v>
      </c>
      <c r="G237" s="344">
        <f t="shared" si="61"/>
        <v>0</v>
      </c>
      <c r="H237" s="344">
        <f t="shared" si="62"/>
        <v>0</v>
      </c>
      <c r="I237" s="145">
        <f t="shared" si="55"/>
        <v>0</v>
      </c>
      <c r="J237" s="145">
        <f t="shared" si="56"/>
        <v>0</v>
      </c>
      <c r="K237" s="142" t="str">
        <f t="shared" si="63"/>
        <v>undefined</v>
      </c>
      <c r="L237" s="146">
        <f>IFERROR(INDEX(Työkonekanta!$I$3:$I$27,MATCH('S0a Baseline'!$A237,Työkonekanta!$A$3:$A$24,0),1)*(I237+J237)*f_adblue,0)</f>
        <v>0</v>
      </c>
      <c r="M237" s="146">
        <f t="shared" si="68"/>
        <v>0</v>
      </c>
      <c r="N237" s="143" t="str">
        <f>IF(tuulisähkö_vuosi&lt;='S0a Baseline'!C237,"tuulisähkö",ostosähkö_nyt)</f>
        <v>jäännössähkö</v>
      </c>
      <c r="O237" s="147">
        <f>INDEX(Muuttujat!$J$5:$J$21,MATCH($C237,Muuttujat!$H$5:$H$21,0),1)</f>
        <v>64.542936272148211</v>
      </c>
      <c r="P237" s="342">
        <f>1-(INDEX(Muuttujat!$O$5:$O$21,MATCH($C237,Muuttujat!$N$5:$N$21,0),1))</f>
        <v>0.92</v>
      </c>
      <c r="Q237" s="342">
        <f>INDEX(Muuttujat!$O$5:$O$21,MATCH($C237,Muuttujat!$N$5:$N$21,0),1)</f>
        <v>0.08</v>
      </c>
      <c r="R237" s="148">
        <f>INDEX(Muuttujat!$P$5:$P$21,MATCH($C237,Muuttujat!$N$5:$N$21,0),1)</f>
        <v>8.3420471452195388E-2</v>
      </c>
      <c r="S237" s="149">
        <f t="shared" si="57"/>
        <v>0</v>
      </c>
      <c r="T237" s="150">
        <f t="shared" si="58"/>
        <v>0</v>
      </c>
      <c r="U237" s="150">
        <f t="shared" si="59"/>
        <v>0</v>
      </c>
      <c r="V237" s="150">
        <f>IFERROR(INDEX(Työkonekanta!$J$3:$J$27,MATCH($A237,Työkonekanta!$A$3:$A$24,0),1)*$B237*ef_li_ion_akku/1000/1000/INDEX(Työkonekanta!$K$3:$K$27,MATCH($A237,Työkonekanta!$A$3:$A$24,0)),0)</f>
        <v>0</v>
      </c>
      <c r="W237" s="149">
        <f t="shared" si="60"/>
        <v>0</v>
      </c>
      <c r="X237" s="150">
        <f t="shared" si="69"/>
        <v>0</v>
      </c>
      <c r="Y237" s="151">
        <f t="shared" si="70"/>
        <v>0</v>
      </c>
      <c r="Z237" s="152">
        <f t="shared" si="64"/>
        <v>0</v>
      </c>
      <c r="AA237" s="153">
        <f t="shared" si="65"/>
        <v>0</v>
      </c>
      <c r="AB237" s="153">
        <f t="shared" si="66"/>
        <v>0</v>
      </c>
      <c r="AC237" s="154">
        <f t="shared" si="71"/>
        <v>0</v>
      </c>
      <c r="AD237" s="156">
        <f t="shared" si="67"/>
        <v>0</v>
      </c>
    </row>
    <row r="238" spans="1:30" s="144" customFormat="1">
      <c r="A238" s="139">
        <v>26</v>
      </c>
      <c r="B238" s="139">
        <f>IFERROR(INDEX(Työkonekanta!$F$3:$F$27,MATCH('S0a Baseline'!$A238,Työkonekanta!$A$3:$A$24,0),1),0)</f>
        <v>0</v>
      </c>
      <c r="C238" s="140">
        <v>2026</v>
      </c>
      <c r="D238" s="141" t="str">
        <f>IFERROR(INDEX(Työkonekanta!$D$3:$D$27,MATCH('S0a Baseline'!$A238,Työkonekanta!$A$3:$A$24,0),1),"undefined")</f>
        <v>undefined</v>
      </c>
      <c r="E238" s="145">
        <f>IFERROR(INDEX(Työkonekanta!$G$3:$G$27,MATCH($A238,Työkonekanta!$A$3:$A$24,0),1)*INDEX(Työkonekanta!$H$3:$H$27,MATCH($A238,Työkonekanta!$A$3:$A$24,0),1)*$B238,0)</f>
        <v>0</v>
      </c>
      <c r="F238" s="344">
        <f t="shared" si="54"/>
        <v>0</v>
      </c>
      <c r="G238" s="344">
        <f t="shared" si="61"/>
        <v>0</v>
      </c>
      <c r="H238" s="344">
        <f t="shared" si="62"/>
        <v>0</v>
      </c>
      <c r="I238" s="145">
        <f t="shared" si="55"/>
        <v>0</v>
      </c>
      <c r="J238" s="145">
        <f t="shared" si="56"/>
        <v>0</v>
      </c>
      <c r="K238" s="142" t="str">
        <f t="shared" si="63"/>
        <v>undefined</v>
      </c>
      <c r="L238" s="146">
        <f>IFERROR(INDEX(Työkonekanta!$I$3:$I$27,MATCH('S0a Baseline'!$A238,Työkonekanta!$A$3:$A$24,0),1)*(I238+J238)*f_adblue,0)</f>
        <v>0</v>
      </c>
      <c r="M238" s="146">
        <f t="shared" si="68"/>
        <v>0</v>
      </c>
      <c r="N238" s="143" t="str">
        <f>IF(tuulisähkö_vuosi&lt;='S0a Baseline'!C238,"tuulisähkö",ostosähkö_nyt)</f>
        <v>jäännössähkö</v>
      </c>
      <c r="O238" s="147">
        <f>INDEX(Muuttujat!$J$5:$J$21,MATCH($C238,Muuttujat!$H$5:$H$21,0),1)</f>
        <v>64.542936272148211</v>
      </c>
      <c r="P238" s="342">
        <f>1-(INDEX(Muuttujat!$O$5:$O$21,MATCH($C238,Muuttujat!$N$5:$N$21,0),1))</f>
        <v>0.92</v>
      </c>
      <c r="Q238" s="342">
        <f>INDEX(Muuttujat!$O$5:$O$21,MATCH($C238,Muuttujat!$N$5:$N$21,0),1)</f>
        <v>0.08</v>
      </c>
      <c r="R238" s="148">
        <f>INDEX(Muuttujat!$P$5:$P$21,MATCH($C238,Muuttujat!$N$5:$N$21,0),1)</f>
        <v>8.3420471452195388E-2</v>
      </c>
      <c r="S238" s="149">
        <f t="shared" si="57"/>
        <v>0</v>
      </c>
      <c r="T238" s="150">
        <f t="shared" si="58"/>
        <v>0</v>
      </c>
      <c r="U238" s="150">
        <f t="shared" si="59"/>
        <v>0</v>
      </c>
      <c r="V238" s="150">
        <f>IFERROR(INDEX(Työkonekanta!$J$3:$J$27,MATCH($A238,Työkonekanta!$A$3:$A$24,0),1)*$B238*ef_li_ion_akku/1000/1000/INDEX(Työkonekanta!$K$3:$K$27,MATCH($A238,Työkonekanta!$A$3:$A$24,0)),0)</f>
        <v>0</v>
      </c>
      <c r="W238" s="149">
        <f t="shared" si="60"/>
        <v>0</v>
      </c>
      <c r="X238" s="150">
        <f t="shared" si="69"/>
        <v>0</v>
      </c>
      <c r="Y238" s="151">
        <f t="shared" si="70"/>
        <v>0</v>
      </c>
      <c r="Z238" s="152">
        <f t="shared" si="64"/>
        <v>0</v>
      </c>
      <c r="AA238" s="153">
        <f t="shared" si="65"/>
        <v>0</v>
      </c>
      <c r="AB238" s="153">
        <f t="shared" si="66"/>
        <v>0</v>
      </c>
      <c r="AC238" s="154">
        <f t="shared" si="71"/>
        <v>0</v>
      </c>
      <c r="AD238" s="156">
        <f t="shared" si="67"/>
        <v>0</v>
      </c>
    </row>
    <row r="239" spans="1:30" s="144" customFormat="1">
      <c r="A239" s="139">
        <v>27</v>
      </c>
      <c r="B239" s="139">
        <f>IFERROR(INDEX(Työkonekanta!$F$3:$F$27,MATCH('S0a Baseline'!$A239,Työkonekanta!$A$3:$A$24,0),1),0)</f>
        <v>0</v>
      </c>
      <c r="C239" s="140">
        <v>2026</v>
      </c>
      <c r="D239" s="141" t="str">
        <f>IFERROR(INDEX(Työkonekanta!$D$3:$D$27,MATCH('S0a Baseline'!$A239,Työkonekanta!$A$3:$A$24,0),1),"undefined")</f>
        <v>undefined</v>
      </c>
      <c r="E239" s="145">
        <f>IFERROR(INDEX(Työkonekanta!$G$3:$G$27,MATCH($A239,Työkonekanta!$A$3:$A$24,0),1)*INDEX(Työkonekanta!$H$3:$H$27,MATCH($A239,Työkonekanta!$A$3:$A$24,0),1)*$B239,0)</f>
        <v>0</v>
      </c>
      <c r="F239" s="344">
        <f t="shared" si="54"/>
        <v>0</v>
      </c>
      <c r="G239" s="344">
        <f t="shared" si="61"/>
        <v>0</v>
      </c>
      <c r="H239" s="344">
        <f t="shared" si="62"/>
        <v>0</v>
      </c>
      <c r="I239" s="145">
        <f t="shared" si="55"/>
        <v>0</v>
      </c>
      <c r="J239" s="145">
        <f t="shared" si="56"/>
        <v>0</v>
      </c>
      <c r="K239" s="142" t="str">
        <f t="shared" si="63"/>
        <v>undefined</v>
      </c>
      <c r="L239" s="146">
        <f>IFERROR(INDEX(Työkonekanta!$I$3:$I$27,MATCH('S0a Baseline'!$A239,Työkonekanta!$A$3:$A$24,0),1)*(I239+J239)*f_adblue,0)</f>
        <v>0</v>
      </c>
      <c r="M239" s="146">
        <f t="shared" si="68"/>
        <v>0</v>
      </c>
      <c r="N239" s="143" t="str">
        <f>IF(tuulisähkö_vuosi&lt;='S0a Baseline'!C239,"tuulisähkö",ostosähkö_nyt)</f>
        <v>jäännössähkö</v>
      </c>
      <c r="O239" s="147">
        <f>INDEX(Muuttujat!$J$5:$J$21,MATCH($C239,Muuttujat!$H$5:$H$21,0),1)</f>
        <v>64.542936272148211</v>
      </c>
      <c r="P239" s="342">
        <f>1-(INDEX(Muuttujat!$O$5:$O$21,MATCH($C239,Muuttujat!$N$5:$N$21,0),1))</f>
        <v>0.92</v>
      </c>
      <c r="Q239" s="342">
        <f>INDEX(Muuttujat!$O$5:$O$21,MATCH($C239,Muuttujat!$N$5:$N$21,0),1)</f>
        <v>0.08</v>
      </c>
      <c r="R239" s="148">
        <f>INDEX(Muuttujat!$P$5:$P$21,MATCH($C239,Muuttujat!$N$5:$N$21,0),1)</f>
        <v>8.3420471452195388E-2</v>
      </c>
      <c r="S239" s="149">
        <f t="shared" si="57"/>
        <v>0</v>
      </c>
      <c r="T239" s="150">
        <f t="shared" si="58"/>
        <v>0</v>
      </c>
      <c r="U239" s="150">
        <f t="shared" si="59"/>
        <v>0</v>
      </c>
      <c r="V239" s="150">
        <f>IFERROR(INDEX(Työkonekanta!$J$3:$J$27,MATCH($A239,Työkonekanta!$A$3:$A$24,0),1)*$B239*ef_li_ion_akku/1000/1000/INDEX(Työkonekanta!$K$3:$K$27,MATCH($A239,Työkonekanta!$A$3:$A$24,0)),0)</f>
        <v>0</v>
      </c>
      <c r="W239" s="149">
        <f t="shared" si="60"/>
        <v>0</v>
      </c>
      <c r="X239" s="150">
        <f t="shared" si="69"/>
        <v>0</v>
      </c>
      <c r="Y239" s="151">
        <f t="shared" si="70"/>
        <v>0</v>
      </c>
      <c r="Z239" s="152">
        <f t="shared" si="64"/>
        <v>0</v>
      </c>
      <c r="AA239" s="153">
        <f t="shared" si="65"/>
        <v>0</v>
      </c>
      <c r="AB239" s="153">
        <f t="shared" si="66"/>
        <v>0</v>
      </c>
      <c r="AC239" s="154">
        <f t="shared" si="71"/>
        <v>0</v>
      </c>
      <c r="AD239" s="156">
        <f t="shared" si="67"/>
        <v>0</v>
      </c>
    </row>
    <row r="240" spans="1:30" s="144" customFormat="1">
      <c r="A240" s="139">
        <v>28</v>
      </c>
      <c r="B240" s="139">
        <f>IFERROR(INDEX(Työkonekanta!$F$3:$F$27,MATCH('S0a Baseline'!$A240,Työkonekanta!$A$3:$A$24,0),1),0)</f>
        <v>0</v>
      </c>
      <c r="C240" s="140">
        <v>2026</v>
      </c>
      <c r="D240" s="141" t="str">
        <f>IFERROR(INDEX(Työkonekanta!$D$3:$D$27,MATCH('S0a Baseline'!$A240,Työkonekanta!$A$3:$A$24,0),1),"undefined")</f>
        <v>undefined</v>
      </c>
      <c r="E240" s="145">
        <f>IFERROR(INDEX(Työkonekanta!$G$3:$G$27,MATCH($A240,Työkonekanta!$A$3:$A$24,0),1)*INDEX(Työkonekanta!$H$3:$H$27,MATCH($A240,Työkonekanta!$A$3:$A$24,0),1)*$B240,0)</f>
        <v>0</v>
      </c>
      <c r="F240" s="344">
        <f t="shared" si="54"/>
        <v>0</v>
      </c>
      <c r="G240" s="344">
        <f t="shared" si="61"/>
        <v>0</v>
      </c>
      <c r="H240" s="344">
        <f t="shared" si="62"/>
        <v>0</v>
      </c>
      <c r="I240" s="145">
        <f t="shared" si="55"/>
        <v>0</v>
      </c>
      <c r="J240" s="145">
        <f t="shared" si="56"/>
        <v>0</v>
      </c>
      <c r="K240" s="142" t="str">
        <f t="shared" si="63"/>
        <v>undefined</v>
      </c>
      <c r="L240" s="146">
        <f>IFERROR(INDEX(Työkonekanta!$I$3:$I$27,MATCH('S0a Baseline'!$A240,Työkonekanta!$A$3:$A$24,0),1)*(I240+J240)*f_adblue,0)</f>
        <v>0</v>
      </c>
      <c r="M240" s="146">
        <f t="shared" si="68"/>
        <v>0</v>
      </c>
      <c r="N240" s="143" t="str">
        <f>IF(tuulisähkö_vuosi&lt;='S0a Baseline'!C240,"tuulisähkö",ostosähkö_nyt)</f>
        <v>jäännössähkö</v>
      </c>
      <c r="O240" s="147">
        <f>INDEX(Muuttujat!$J$5:$J$21,MATCH($C240,Muuttujat!$H$5:$H$21,0),1)</f>
        <v>64.542936272148211</v>
      </c>
      <c r="P240" s="342">
        <f>1-(INDEX(Muuttujat!$O$5:$O$21,MATCH($C240,Muuttujat!$N$5:$N$21,0),1))</f>
        <v>0.92</v>
      </c>
      <c r="Q240" s="342">
        <f>INDEX(Muuttujat!$O$5:$O$21,MATCH($C240,Muuttujat!$N$5:$N$21,0),1)</f>
        <v>0.08</v>
      </c>
      <c r="R240" s="148">
        <f>INDEX(Muuttujat!$P$5:$P$21,MATCH($C240,Muuttujat!$N$5:$N$21,0),1)</f>
        <v>8.3420471452195388E-2</v>
      </c>
      <c r="S240" s="149">
        <f t="shared" si="57"/>
        <v>0</v>
      </c>
      <c r="T240" s="150">
        <f t="shared" si="58"/>
        <v>0</v>
      </c>
      <c r="U240" s="150">
        <f t="shared" si="59"/>
        <v>0</v>
      </c>
      <c r="V240" s="150">
        <f>IFERROR(INDEX(Työkonekanta!$J$3:$J$27,MATCH($A240,Työkonekanta!$A$3:$A$24,0),1)*$B240*ef_li_ion_akku/1000/1000/INDEX(Työkonekanta!$K$3:$K$27,MATCH($A240,Työkonekanta!$A$3:$A$24,0)),0)</f>
        <v>0</v>
      </c>
      <c r="W240" s="149">
        <f t="shared" si="60"/>
        <v>0</v>
      </c>
      <c r="X240" s="150">
        <f t="shared" si="69"/>
        <v>0</v>
      </c>
      <c r="Y240" s="151">
        <f t="shared" si="70"/>
        <v>0</v>
      </c>
      <c r="Z240" s="152">
        <f t="shared" si="64"/>
        <v>0</v>
      </c>
      <c r="AA240" s="153">
        <f t="shared" si="65"/>
        <v>0</v>
      </c>
      <c r="AB240" s="153">
        <f t="shared" si="66"/>
        <v>0</v>
      </c>
      <c r="AC240" s="154">
        <f t="shared" si="71"/>
        <v>0</v>
      </c>
      <c r="AD240" s="156">
        <f t="shared" si="67"/>
        <v>0</v>
      </c>
    </row>
    <row r="241" spans="1:30" s="144" customFormat="1">
      <c r="A241" s="139">
        <v>29</v>
      </c>
      <c r="B241" s="139">
        <f>IFERROR(INDEX(Työkonekanta!$F$3:$F$27,MATCH('S0a Baseline'!$A241,Työkonekanta!$A$3:$A$24,0),1),0)</f>
        <v>0</v>
      </c>
      <c r="C241" s="140">
        <v>2026</v>
      </c>
      <c r="D241" s="141" t="str">
        <f>IFERROR(INDEX(Työkonekanta!$D$3:$D$27,MATCH('S0a Baseline'!$A241,Työkonekanta!$A$3:$A$24,0),1),"undefined")</f>
        <v>undefined</v>
      </c>
      <c r="E241" s="145">
        <f>IFERROR(INDEX(Työkonekanta!$G$3:$G$27,MATCH($A241,Työkonekanta!$A$3:$A$24,0),1)*INDEX(Työkonekanta!$H$3:$H$27,MATCH($A241,Työkonekanta!$A$3:$A$24,0),1)*$B241,0)</f>
        <v>0</v>
      </c>
      <c r="F241" s="344">
        <f t="shared" si="54"/>
        <v>0</v>
      </c>
      <c r="G241" s="344">
        <f t="shared" si="61"/>
        <v>0</v>
      </c>
      <c r="H241" s="344">
        <f t="shared" si="62"/>
        <v>0</v>
      </c>
      <c r="I241" s="145">
        <f t="shared" si="55"/>
        <v>0</v>
      </c>
      <c r="J241" s="145">
        <f t="shared" si="56"/>
        <v>0</v>
      </c>
      <c r="K241" s="142" t="str">
        <f t="shared" si="63"/>
        <v>undefined</v>
      </c>
      <c r="L241" s="146">
        <f>IFERROR(INDEX(Työkonekanta!$I$3:$I$27,MATCH('S0a Baseline'!$A241,Työkonekanta!$A$3:$A$24,0),1)*(I241+J241)*f_adblue,0)</f>
        <v>0</v>
      </c>
      <c r="M241" s="146">
        <f t="shared" si="68"/>
        <v>0</v>
      </c>
      <c r="N241" s="143" t="str">
        <f>IF(tuulisähkö_vuosi&lt;='S0a Baseline'!C241,"tuulisähkö",ostosähkö_nyt)</f>
        <v>jäännössähkö</v>
      </c>
      <c r="O241" s="147">
        <f>INDEX(Muuttujat!$J$5:$J$21,MATCH($C241,Muuttujat!$H$5:$H$21,0),1)</f>
        <v>64.542936272148211</v>
      </c>
      <c r="P241" s="342">
        <f>1-(INDEX(Muuttujat!$O$5:$O$21,MATCH($C241,Muuttujat!$N$5:$N$21,0),1))</f>
        <v>0.92</v>
      </c>
      <c r="Q241" s="342">
        <f>INDEX(Muuttujat!$O$5:$O$21,MATCH($C241,Muuttujat!$N$5:$N$21,0),1)</f>
        <v>0.08</v>
      </c>
      <c r="R241" s="148">
        <f>INDEX(Muuttujat!$P$5:$P$21,MATCH($C241,Muuttujat!$N$5:$N$21,0),1)</f>
        <v>8.3420471452195388E-2</v>
      </c>
      <c r="S241" s="149">
        <f t="shared" si="57"/>
        <v>0</v>
      </c>
      <c r="T241" s="150">
        <f t="shared" si="58"/>
        <v>0</v>
      </c>
      <c r="U241" s="150">
        <f t="shared" si="59"/>
        <v>0</v>
      </c>
      <c r="V241" s="150">
        <f>IFERROR(INDEX(Työkonekanta!$J$3:$J$27,MATCH($A241,Työkonekanta!$A$3:$A$24,0),1)*$B241*ef_li_ion_akku/1000/1000/INDEX(Työkonekanta!$K$3:$K$27,MATCH($A241,Työkonekanta!$A$3:$A$24,0)),0)</f>
        <v>0</v>
      </c>
      <c r="W241" s="149">
        <f t="shared" si="60"/>
        <v>0</v>
      </c>
      <c r="X241" s="150">
        <f t="shared" si="69"/>
        <v>0</v>
      </c>
      <c r="Y241" s="151">
        <f t="shared" si="70"/>
        <v>0</v>
      </c>
      <c r="Z241" s="152">
        <f t="shared" si="64"/>
        <v>0</v>
      </c>
      <c r="AA241" s="153">
        <f t="shared" si="65"/>
        <v>0</v>
      </c>
      <c r="AB241" s="153">
        <f t="shared" si="66"/>
        <v>0</v>
      </c>
      <c r="AC241" s="154">
        <f t="shared" si="71"/>
        <v>0</v>
      </c>
      <c r="AD241" s="156">
        <f t="shared" si="67"/>
        <v>0</v>
      </c>
    </row>
    <row r="242" spans="1:30" s="144" customFormat="1">
      <c r="A242" s="139">
        <v>30</v>
      </c>
      <c r="B242" s="139">
        <f>IFERROR(INDEX(Työkonekanta!$F$3:$F$27,MATCH('S0a Baseline'!$A242,Työkonekanta!$A$3:$A$24,0),1),0)</f>
        <v>0</v>
      </c>
      <c r="C242" s="140">
        <v>2026</v>
      </c>
      <c r="D242" s="141" t="str">
        <f>IFERROR(INDEX(Työkonekanta!$D$3:$D$27,MATCH('S0a Baseline'!$A242,Työkonekanta!$A$3:$A$24,0),1),"undefined")</f>
        <v>undefined</v>
      </c>
      <c r="E242" s="145">
        <f>IFERROR(INDEX(Työkonekanta!$G$3:$G$27,MATCH($A242,Työkonekanta!$A$3:$A$24,0),1)*INDEX(Työkonekanta!$H$3:$H$27,MATCH($A242,Työkonekanta!$A$3:$A$24,0),1)*$B242,0)</f>
        <v>0</v>
      </c>
      <c r="F242" s="344">
        <f t="shared" si="54"/>
        <v>0</v>
      </c>
      <c r="G242" s="344">
        <f t="shared" si="61"/>
        <v>0</v>
      </c>
      <c r="H242" s="344">
        <f t="shared" si="62"/>
        <v>0</v>
      </c>
      <c r="I242" s="145">
        <f t="shared" si="55"/>
        <v>0</v>
      </c>
      <c r="J242" s="145">
        <f t="shared" si="56"/>
        <v>0</v>
      </c>
      <c r="K242" s="142" t="str">
        <f t="shared" si="63"/>
        <v>undefined</v>
      </c>
      <c r="L242" s="146">
        <f>IFERROR(INDEX(Työkonekanta!$I$3:$I$27,MATCH('S0a Baseline'!$A242,Työkonekanta!$A$3:$A$24,0),1)*(I242+J242)*f_adblue,0)</f>
        <v>0</v>
      </c>
      <c r="M242" s="146">
        <f t="shared" si="68"/>
        <v>0</v>
      </c>
      <c r="N242" s="143" t="str">
        <f>IF(tuulisähkö_vuosi&lt;='S0a Baseline'!C242,"tuulisähkö",ostosähkö_nyt)</f>
        <v>jäännössähkö</v>
      </c>
      <c r="O242" s="147">
        <f>INDEX(Muuttujat!$J$5:$J$21,MATCH($C242,Muuttujat!$H$5:$H$21,0),1)</f>
        <v>64.542936272148211</v>
      </c>
      <c r="P242" s="342">
        <f>1-(INDEX(Muuttujat!$O$5:$O$21,MATCH($C242,Muuttujat!$N$5:$N$21,0),1))</f>
        <v>0.92</v>
      </c>
      <c r="Q242" s="342">
        <f>INDEX(Muuttujat!$O$5:$O$21,MATCH($C242,Muuttujat!$N$5:$N$21,0),1)</f>
        <v>0.08</v>
      </c>
      <c r="R242" s="148">
        <f>INDEX(Muuttujat!$P$5:$P$21,MATCH($C242,Muuttujat!$N$5:$N$21,0),1)</f>
        <v>8.3420471452195388E-2</v>
      </c>
      <c r="S242" s="149">
        <f t="shared" si="57"/>
        <v>0</v>
      </c>
      <c r="T242" s="150">
        <f t="shared" si="58"/>
        <v>0</v>
      </c>
      <c r="U242" s="150">
        <f t="shared" si="59"/>
        <v>0</v>
      </c>
      <c r="V242" s="150">
        <f>IFERROR(INDEX(Työkonekanta!$J$3:$J$27,MATCH($A242,Työkonekanta!$A$3:$A$24,0),1)*$B242*ef_li_ion_akku/1000/1000/INDEX(Työkonekanta!$K$3:$K$27,MATCH($A242,Työkonekanta!$A$3:$A$24,0)),0)</f>
        <v>0</v>
      </c>
      <c r="W242" s="149">
        <f t="shared" si="60"/>
        <v>0</v>
      </c>
      <c r="X242" s="150">
        <f t="shared" si="69"/>
        <v>0</v>
      </c>
      <c r="Y242" s="151">
        <f t="shared" si="70"/>
        <v>0</v>
      </c>
      <c r="Z242" s="152">
        <f t="shared" si="64"/>
        <v>0</v>
      </c>
      <c r="AA242" s="153">
        <f t="shared" si="65"/>
        <v>0</v>
      </c>
      <c r="AB242" s="153">
        <f t="shared" si="66"/>
        <v>0</v>
      </c>
      <c r="AC242" s="154">
        <f t="shared" si="71"/>
        <v>0</v>
      </c>
      <c r="AD242" s="156">
        <f t="shared" si="67"/>
        <v>0</v>
      </c>
    </row>
    <row r="243" spans="1:30" s="144" customFormat="1">
      <c r="A243" s="139">
        <v>1</v>
      </c>
      <c r="B243" s="139">
        <f>IFERROR(INDEX(Työkonekanta!$F$3:$F$27,MATCH('S0a Baseline'!$A243,Työkonekanta!$A$3:$A$24,0),1),0)</f>
        <v>1</v>
      </c>
      <c r="C243" s="140">
        <v>2027</v>
      </c>
      <c r="D243" s="141" t="str">
        <f>IFERROR(INDEX(Työkonekanta!$D$3:$D$27,MATCH('S0a Baseline'!$A243,Työkonekanta!$A$3:$A$24,0),1),"undefined")</f>
        <v>pom</v>
      </c>
      <c r="E243" s="145">
        <f>IFERROR(INDEX(Työkonekanta!$G$3:$G$27,MATCH($A243,Työkonekanta!$A$3:$A$24,0),1)*INDEX(Työkonekanta!$H$3:$H$27,MATCH($A243,Työkonekanta!$A$3:$A$24,0),1)*$B243,0)</f>
        <v>10000</v>
      </c>
      <c r="F243" s="344">
        <f t="shared" si="54"/>
        <v>359000</v>
      </c>
      <c r="G243" s="344">
        <f t="shared" si="61"/>
        <v>326690</v>
      </c>
      <c r="H243" s="344">
        <f t="shared" si="62"/>
        <v>32310</v>
      </c>
      <c r="I243" s="145">
        <f t="shared" si="55"/>
        <v>9100</v>
      </c>
      <c r="J243" s="145">
        <f t="shared" si="56"/>
        <v>941.98250728862979</v>
      </c>
      <c r="K243" s="142" t="str">
        <f t="shared" ref="K243:K251" si="72">IF($D243="sähkö","kWh",IF($D243="pom","l","undefined"))</f>
        <v>l</v>
      </c>
      <c r="L243" s="146">
        <f>IFERROR(INDEX(Työkonekanta!$I$3:$I$27,MATCH('S0a Baseline'!$A243,Työkonekanta!$A$3:$A$24,0),1)*(I243+J243)*f_adblue,0)</f>
        <v>502.09912536443153</v>
      </c>
      <c r="M243" s="146">
        <f t="shared" ref="M243:M258" si="73">IF($D243="sähkö",conv_kwh_mj*$E243,0)</f>
        <v>0</v>
      </c>
      <c r="N243" s="143" t="str">
        <f>IF(tuulisähkö_vuosi&lt;='S0a Baseline'!C243,"tuulisähkö",ostosähkö_nyt)</f>
        <v>jäännössähkö</v>
      </c>
      <c r="O243" s="147">
        <f>INDEX(Muuttujat!$J$5:$J$21,MATCH($C243,Muuttujat!$H$5:$H$21,0),1)</f>
        <v>63.897506909426724</v>
      </c>
      <c r="P243" s="342">
        <f>1-(INDEX(Muuttujat!$O$5:$O$21,MATCH($C243,Muuttujat!$N$5:$N$21,0),1))</f>
        <v>0.91</v>
      </c>
      <c r="Q243" s="342">
        <f>INDEX(Muuttujat!$O$5:$O$21,MATCH($C243,Muuttujat!$N$5:$N$21,0),1)</f>
        <v>0.09</v>
      </c>
      <c r="R243" s="148">
        <f>INDEX(Muuttujat!$P$5:$P$21,MATCH($C243,Muuttujat!$N$5:$N$21,0),1)</f>
        <v>9.3804435869509845E-2</v>
      </c>
      <c r="S243" s="149">
        <f t="shared" si="57"/>
        <v>6.1744409999999998</v>
      </c>
      <c r="T243" s="150">
        <f t="shared" si="58"/>
        <v>2.0161440000000002</v>
      </c>
      <c r="U243" s="150">
        <f t="shared" si="59"/>
        <v>0</v>
      </c>
      <c r="V243" s="150">
        <f>IFERROR(INDEX(Työkonekanta!$J$3:$J$27,MATCH($A243,Työkonekanta!$A$3:$A$24,0),1)*$B243*ef_li_ion_akku/1000/1000/INDEX(Työkonekanta!$K$3:$K$27,MATCH($A243,Työkonekanta!$A$3:$A$24,0)),0)</f>
        <v>0</v>
      </c>
      <c r="W243" s="149">
        <f t="shared" si="60"/>
        <v>24.112418590259999</v>
      </c>
      <c r="X243" s="150">
        <f t="shared" ref="X243:X258" si="74">($E243*(IF($D243="pom",ef_v_ch4_pom,0)*gwp100_ch4+IF($D243="pom",ef_v_n2o_pom,0)*gwp100_n2o))/1000/1000</f>
        <v>0.31774565999999999</v>
      </c>
      <c r="Y243" s="151">
        <f t="shared" ref="Y243:Y258" si="75">$L243*ef_v_co2_adblue/1000/1000</f>
        <v>0.1305457725947522</v>
      </c>
      <c r="Z243" s="152">
        <f t="shared" si="64"/>
        <v>8.1905850000000004</v>
      </c>
      <c r="AA243" s="153">
        <f t="shared" ref="AA243:AA259" si="76">$W243+$Y243</f>
        <v>24.24296436285475</v>
      </c>
      <c r="AB243" s="153">
        <f t="shared" ref="AB243:AB259" si="77">SUM($W243:$Y243)</f>
        <v>24.560710022854749</v>
      </c>
      <c r="AC243" s="154">
        <f t="shared" ref="AC243:AC258" si="78">$Z243+$AA243</f>
        <v>32.433549362854748</v>
      </c>
      <c r="AD243" s="156">
        <f t="shared" ref="AD243:AD259" si="79">$Z243+$AB243</f>
        <v>32.751295022854748</v>
      </c>
    </row>
    <row r="244" spans="1:30" s="144" customFormat="1">
      <c r="A244" s="139">
        <v>2</v>
      </c>
      <c r="B244" s="139">
        <f>IFERROR(INDEX(Työkonekanta!$F$3:$F$27,MATCH('S0a Baseline'!$A244,Työkonekanta!$A$3:$A$24,0),1),0)</f>
        <v>1</v>
      </c>
      <c r="C244" s="140">
        <v>2027</v>
      </c>
      <c r="D244" s="141" t="str">
        <f>IFERROR(INDEX(Työkonekanta!$D$3:$D$27,MATCH('S0a Baseline'!$A244,Työkonekanta!$A$3:$A$24,0),1),"undefined")</f>
        <v>pom</v>
      </c>
      <c r="E244" s="145">
        <f>IFERROR(INDEX(Työkonekanta!$G$3:$G$27,MATCH($A244,Työkonekanta!$A$3:$A$24,0),1)*INDEX(Työkonekanta!$H$3:$H$27,MATCH($A244,Työkonekanta!$A$3:$A$24,0),1)*$B244,0)</f>
        <v>10000</v>
      </c>
      <c r="F244" s="344">
        <f t="shared" si="54"/>
        <v>359000</v>
      </c>
      <c r="G244" s="344">
        <f t="shared" si="61"/>
        <v>326690</v>
      </c>
      <c r="H244" s="344">
        <f t="shared" si="62"/>
        <v>32310</v>
      </c>
      <c r="I244" s="145">
        <f t="shared" si="55"/>
        <v>9100</v>
      </c>
      <c r="J244" s="145">
        <f t="shared" si="56"/>
        <v>941.98250728862979</v>
      </c>
      <c r="K244" s="142" t="str">
        <f t="shared" si="72"/>
        <v>l</v>
      </c>
      <c r="L244" s="146">
        <f>IFERROR(INDEX(Työkonekanta!$I$3:$I$27,MATCH('S0a Baseline'!$A244,Työkonekanta!$A$3:$A$24,0),1)*(I244+J244)*f_adblue,0)</f>
        <v>502.09912536443153</v>
      </c>
      <c r="M244" s="146">
        <f t="shared" si="73"/>
        <v>0</v>
      </c>
      <c r="N244" s="143" t="str">
        <f>IF(tuulisähkö_vuosi&lt;='S0a Baseline'!C244,"tuulisähkö",ostosähkö_nyt)</f>
        <v>jäännössähkö</v>
      </c>
      <c r="O244" s="147">
        <f>INDEX(Muuttujat!$J$5:$J$21,MATCH($C244,Muuttujat!$H$5:$H$21,0),1)</f>
        <v>63.897506909426724</v>
      </c>
      <c r="P244" s="342">
        <f>1-(INDEX(Muuttujat!$O$5:$O$21,MATCH($C244,Muuttujat!$N$5:$N$21,0),1))</f>
        <v>0.91</v>
      </c>
      <c r="Q244" s="342">
        <f>INDEX(Muuttujat!$O$5:$O$21,MATCH($C244,Muuttujat!$N$5:$N$21,0),1)</f>
        <v>0.09</v>
      </c>
      <c r="R244" s="148">
        <f>INDEX(Muuttujat!$P$5:$P$21,MATCH($C244,Muuttujat!$N$5:$N$21,0),1)</f>
        <v>9.3804435869509845E-2</v>
      </c>
      <c r="S244" s="149">
        <f t="shared" si="57"/>
        <v>6.1744409999999998</v>
      </c>
      <c r="T244" s="150">
        <f t="shared" si="58"/>
        <v>2.0161440000000002</v>
      </c>
      <c r="U244" s="150">
        <f t="shared" si="59"/>
        <v>0</v>
      </c>
      <c r="V244" s="150">
        <f>IFERROR(INDEX(Työkonekanta!$J$3:$J$27,MATCH($A244,Työkonekanta!$A$3:$A$24,0),1)*$B244*ef_li_ion_akku/1000/1000/INDEX(Työkonekanta!$K$3:$K$27,MATCH($A244,Työkonekanta!$A$3:$A$24,0)),0)</f>
        <v>0</v>
      </c>
      <c r="W244" s="149">
        <f t="shared" si="60"/>
        <v>24.112418590259999</v>
      </c>
      <c r="X244" s="150">
        <f t="shared" si="74"/>
        <v>0.31774565999999999</v>
      </c>
      <c r="Y244" s="151">
        <f t="shared" si="75"/>
        <v>0.1305457725947522</v>
      </c>
      <c r="Z244" s="152">
        <f t="shared" si="64"/>
        <v>8.1905850000000004</v>
      </c>
      <c r="AA244" s="153">
        <f t="shared" si="76"/>
        <v>24.24296436285475</v>
      </c>
      <c r="AB244" s="153">
        <f t="shared" si="77"/>
        <v>24.560710022854749</v>
      </c>
      <c r="AC244" s="154">
        <f t="shared" si="78"/>
        <v>32.433549362854748</v>
      </c>
      <c r="AD244" s="156">
        <f t="shared" si="79"/>
        <v>32.751295022854748</v>
      </c>
    </row>
    <row r="245" spans="1:30" s="144" customFormat="1">
      <c r="A245" s="139">
        <v>3</v>
      </c>
      <c r="B245" s="139">
        <f>IFERROR(INDEX(Työkonekanta!$F$3:$F$27,MATCH('S0a Baseline'!$A245,Työkonekanta!$A$3:$A$24,0),1),0)</f>
        <v>1</v>
      </c>
      <c r="C245" s="140">
        <v>2027</v>
      </c>
      <c r="D245" s="141" t="str">
        <f>IFERROR(INDEX(Työkonekanta!$D$3:$D$27,MATCH('S0a Baseline'!$A245,Työkonekanta!$A$3:$A$24,0),1),"undefined")</f>
        <v>pom</v>
      </c>
      <c r="E245" s="145">
        <f>IFERROR(INDEX(Työkonekanta!$G$3:$G$27,MATCH($A245,Työkonekanta!$A$3:$A$24,0),1)*INDEX(Työkonekanta!$H$3:$H$27,MATCH($A245,Työkonekanta!$A$3:$A$24,0),1)*$B245,0)</f>
        <v>10000</v>
      </c>
      <c r="F245" s="344">
        <f t="shared" si="54"/>
        <v>359000</v>
      </c>
      <c r="G245" s="344">
        <f t="shared" si="61"/>
        <v>326690</v>
      </c>
      <c r="H245" s="344">
        <f t="shared" si="62"/>
        <v>32310</v>
      </c>
      <c r="I245" s="145">
        <f t="shared" si="55"/>
        <v>9100</v>
      </c>
      <c r="J245" s="145">
        <f t="shared" si="56"/>
        <v>941.98250728862979</v>
      </c>
      <c r="K245" s="142" t="str">
        <f t="shared" si="72"/>
        <v>l</v>
      </c>
      <c r="L245" s="146">
        <f>IFERROR(INDEX(Työkonekanta!$I$3:$I$27,MATCH('S0a Baseline'!$A245,Työkonekanta!$A$3:$A$24,0),1)*(I245+J245)*f_adblue,0)</f>
        <v>502.09912536443153</v>
      </c>
      <c r="M245" s="146">
        <f t="shared" si="73"/>
        <v>0</v>
      </c>
      <c r="N245" s="143" t="str">
        <f>IF(tuulisähkö_vuosi&lt;='S0a Baseline'!C245,"tuulisähkö",ostosähkö_nyt)</f>
        <v>jäännössähkö</v>
      </c>
      <c r="O245" s="147">
        <f>INDEX(Muuttujat!$J$5:$J$21,MATCH($C245,Muuttujat!$H$5:$H$21,0),1)</f>
        <v>63.897506909426724</v>
      </c>
      <c r="P245" s="342">
        <f>1-(INDEX(Muuttujat!$O$5:$O$21,MATCH($C245,Muuttujat!$N$5:$N$21,0),1))</f>
        <v>0.91</v>
      </c>
      <c r="Q245" s="342">
        <f>INDEX(Muuttujat!$O$5:$O$21,MATCH($C245,Muuttujat!$N$5:$N$21,0),1)</f>
        <v>0.09</v>
      </c>
      <c r="R245" s="148">
        <f>INDEX(Muuttujat!$P$5:$P$21,MATCH($C245,Muuttujat!$N$5:$N$21,0),1)</f>
        <v>9.3804435869509845E-2</v>
      </c>
      <c r="S245" s="149">
        <f t="shared" si="57"/>
        <v>6.1744409999999998</v>
      </c>
      <c r="T245" s="150">
        <f t="shared" si="58"/>
        <v>2.0161440000000002</v>
      </c>
      <c r="U245" s="150">
        <f t="shared" si="59"/>
        <v>0</v>
      </c>
      <c r="V245" s="150">
        <f>IFERROR(INDEX(Työkonekanta!$J$3:$J$27,MATCH($A245,Työkonekanta!$A$3:$A$24,0),1)*$B245*ef_li_ion_akku/1000/1000/INDEX(Työkonekanta!$K$3:$K$27,MATCH($A245,Työkonekanta!$A$3:$A$24,0)),0)</f>
        <v>0</v>
      </c>
      <c r="W245" s="149">
        <f t="shared" si="60"/>
        <v>24.112418590259999</v>
      </c>
      <c r="X245" s="150">
        <f t="shared" si="74"/>
        <v>0.31774565999999999</v>
      </c>
      <c r="Y245" s="151">
        <f t="shared" si="75"/>
        <v>0.1305457725947522</v>
      </c>
      <c r="Z245" s="152">
        <f t="shared" si="64"/>
        <v>8.1905850000000004</v>
      </c>
      <c r="AA245" s="153">
        <f t="shared" si="76"/>
        <v>24.24296436285475</v>
      </c>
      <c r="AB245" s="153">
        <f t="shared" si="77"/>
        <v>24.560710022854749</v>
      </c>
      <c r="AC245" s="154">
        <f t="shared" si="78"/>
        <v>32.433549362854748</v>
      </c>
      <c r="AD245" s="156">
        <f t="shared" si="79"/>
        <v>32.751295022854748</v>
      </c>
    </row>
    <row r="246" spans="1:30" s="144" customFormat="1">
      <c r="A246" s="139">
        <v>4</v>
      </c>
      <c r="B246" s="139">
        <f>IFERROR(INDEX(Työkonekanta!$F$3:$F$27,MATCH('S0a Baseline'!$A246,Työkonekanta!$A$3:$A$24,0),1),0)</f>
        <v>1</v>
      </c>
      <c r="C246" s="140">
        <v>2027</v>
      </c>
      <c r="D246" s="141" t="str">
        <f>IFERROR(INDEX(Työkonekanta!$D$3:$D$27,MATCH('S0a Baseline'!$A246,Työkonekanta!$A$3:$A$24,0),1),"undefined")</f>
        <v>pom</v>
      </c>
      <c r="E246" s="145">
        <f>IFERROR(INDEX(Työkonekanta!$G$3:$G$27,MATCH($A246,Työkonekanta!$A$3:$A$24,0),1)*INDEX(Työkonekanta!$H$3:$H$27,MATCH($A246,Työkonekanta!$A$3:$A$24,0),1)*$B246,0)</f>
        <v>10000</v>
      </c>
      <c r="F246" s="344">
        <f t="shared" si="54"/>
        <v>359000</v>
      </c>
      <c r="G246" s="344">
        <f t="shared" si="61"/>
        <v>326690</v>
      </c>
      <c r="H246" s="344">
        <f t="shared" si="62"/>
        <v>32310</v>
      </c>
      <c r="I246" s="145">
        <f t="shared" si="55"/>
        <v>9100</v>
      </c>
      <c r="J246" s="145">
        <f t="shared" si="56"/>
        <v>941.98250728862979</v>
      </c>
      <c r="K246" s="142" t="str">
        <f t="shared" si="72"/>
        <v>l</v>
      </c>
      <c r="L246" s="146">
        <f>IFERROR(INDEX(Työkonekanta!$I$3:$I$27,MATCH('S0a Baseline'!$A246,Työkonekanta!$A$3:$A$24,0),1)*(I246+J246)*f_adblue,0)</f>
        <v>502.09912536443153</v>
      </c>
      <c r="M246" s="146">
        <f t="shared" si="73"/>
        <v>0</v>
      </c>
      <c r="N246" s="143" t="str">
        <f>IF(tuulisähkö_vuosi&lt;='S0a Baseline'!C246,"tuulisähkö",ostosähkö_nyt)</f>
        <v>jäännössähkö</v>
      </c>
      <c r="O246" s="147">
        <f>INDEX(Muuttujat!$J$5:$J$21,MATCH($C246,Muuttujat!$H$5:$H$21,0),1)</f>
        <v>63.897506909426724</v>
      </c>
      <c r="P246" s="342">
        <f>1-(INDEX(Muuttujat!$O$5:$O$21,MATCH($C246,Muuttujat!$N$5:$N$21,0),1))</f>
        <v>0.91</v>
      </c>
      <c r="Q246" s="342">
        <f>INDEX(Muuttujat!$O$5:$O$21,MATCH($C246,Muuttujat!$N$5:$N$21,0),1)</f>
        <v>0.09</v>
      </c>
      <c r="R246" s="148">
        <f>INDEX(Muuttujat!$P$5:$P$21,MATCH($C246,Muuttujat!$N$5:$N$21,0),1)</f>
        <v>9.3804435869509845E-2</v>
      </c>
      <c r="S246" s="149">
        <f t="shared" si="57"/>
        <v>6.1744409999999998</v>
      </c>
      <c r="T246" s="150">
        <f t="shared" si="58"/>
        <v>2.0161440000000002</v>
      </c>
      <c r="U246" s="150">
        <f t="shared" si="59"/>
        <v>0</v>
      </c>
      <c r="V246" s="150">
        <f>IFERROR(INDEX(Työkonekanta!$J$3:$J$27,MATCH($A246,Työkonekanta!$A$3:$A$24,0),1)*$B246*ef_li_ion_akku/1000/1000/INDEX(Työkonekanta!$K$3:$K$27,MATCH($A246,Työkonekanta!$A$3:$A$24,0)),0)</f>
        <v>0</v>
      </c>
      <c r="W246" s="149">
        <f t="shared" si="60"/>
        <v>24.112418590259999</v>
      </c>
      <c r="X246" s="150">
        <f t="shared" si="74"/>
        <v>0.31774565999999999</v>
      </c>
      <c r="Y246" s="151">
        <f t="shared" si="75"/>
        <v>0.1305457725947522</v>
      </c>
      <c r="Z246" s="152">
        <f t="shared" si="64"/>
        <v>8.1905850000000004</v>
      </c>
      <c r="AA246" s="153">
        <f t="shared" si="76"/>
        <v>24.24296436285475</v>
      </c>
      <c r="AB246" s="153">
        <f t="shared" si="77"/>
        <v>24.560710022854749</v>
      </c>
      <c r="AC246" s="154">
        <f t="shared" si="78"/>
        <v>32.433549362854748</v>
      </c>
      <c r="AD246" s="156">
        <f t="shared" si="79"/>
        <v>32.751295022854748</v>
      </c>
    </row>
    <row r="247" spans="1:30" s="144" customFormat="1">
      <c r="A247" s="139">
        <v>5</v>
      </c>
      <c r="B247" s="139">
        <f>IFERROR(INDEX(Työkonekanta!$F$3:$F$27,MATCH('S0a Baseline'!$A247,Työkonekanta!$A$3:$A$24,0),1),0)</f>
        <v>0</v>
      </c>
      <c r="C247" s="140">
        <v>2027</v>
      </c>
      <c r="D247" s="141" t="str">
        <f>IFERROR(INDEX(Työkonekanta!$D$3:$D$27,MATCH('S0a Baseline'!$A247,Työkonekanta!$A$3:$A$24,0),1),"undefined")</f>
        <v>sähkö</v>
      </c>
      <c r="E247" s="145">
        <f>IFERROR(INDEX(Työkonekanta!$G$3:$G$27,MATCH($A247,Työkonekanta!$A$3:$A$24,0),1)*INDEX(Työkonekanta!$H$3:$H$27,MATCH($A247,Työkonekanta!$A$3:$A$24,0),1)*$B247,0)</f>
        <v>0</v>
      </c>
      <c r="F247" s="344">
        <f t="shared" si="54"/>
        <v>0</v>
      </c>
      <c r="G247" s="344">
        <f t="shared" si="61"/>
        <v>0</v>
      </c>
      <c r="H247" s="344">
        <f t="shared" si="62"/>
        <v>0</v>
      </c>
      <c r="I247" s="145">
        <f t="shared" si="55"/>
        <v>0</v>
      </c>
      <c r="J247" s="145">
        <f t="shared" si="56"/>
        <v>0</v>
      </c>
      <c r="K247" s="142" t="str">
        <f t="shared" si="72"/>
        <v>kWh</v>
      </c>
      <c r="L247" s="146">
        <f>IFERROR(INDEX(Työkonekanta!$I$3:$I$27,MATCH('S0a Baseline'!$A247,Työkonekanta!$A$3:$A$24,0),1)*(I247+J247)*f_adblue,0)</f>
        <v>0</v>
      </c>
      <c r="M247" s="146">
        <f t="shared" si="73"/>
        <v>0</v>
      </c>
      <c r="N247" s="143" t="str">
        <f>IF(tuulisähkö_vuosi&lt;='S0a Baseline'!C247,"tuulisähkö",ostosähkö_nyt)</f>
        <v>jäännössähkö</v>
      </c>
      <c r="O247" s="147">
        <f>INDEX(Muuttujat!$J$5:$J$21,MATCH($C247,Muuttujat!$H$5:$H$21,0),1)</f>
        <v>63.897506909426724</v>
      </c>
      <c r="P247" s="342">
        <f>1-(INDEX(Muuttujat!$O$5:$O$21,MATCH($C247,Muuttujat!$N$5:$N$21,0),1))</f>
        <v>0.91</v>
      </c>
      <c r="Q247" s="342">
        <f>INDEX(Muuttujat!$O$5:$O$21,MATCH($C247,Muuttujat!$N$5:$N$21,0),1)</f>
        <v>0.09</v>
      </c>
      <c r="R247" s="148">
        <f>INDEX(Muuttujat!$P$5:$P$21,MATCH($C247,Muuttujat!$N$5:$N$21,0),1)</f>
        <v>9.3804435869509845E-2</v>
      </c>
      <c r="S247" s="149">
        <f t="shared" si="57"/>
        <v>0</v>
      </c>
      <c r="T247" s="150">
        <f t="shared" si="58"/>
        <v>0</v>
      </c>
      <c r="U247" s="150">
        <f t="shared" si="59"/>
        <v>0</v>
      </c>
      <c r="V247" s="150">
        <f>IFERROR(INDEX(Työkonekanta!$J$3:$J$27,MATCH($A247,Työkonekanta!$A$3:$A$24,0),1)*$B247*ef_li_ion_akku/1000/1000/INDEX(Työkonekanta!$K$3:$K$27,MATCH($A247,Työkonekanta!$A$3:$A$24,0)),0)</f>
        <v>0</v>
      </c>
      <c r="W247" s="149">
        <f t="shared" si="60"/>
        <v>0</v>
      </c>
      <c r="X247" s="150">
        <f t="shared" si="74"/>
        <v>0</v>
      </c>
      <c r="Y247" s="151">
        <f t="shared" si="75"/>
        <v>0</v>
      </c>
      <c r="Z247" s="152">
        <f t="shared" si="64"/>
        <v>0</v>
      </c>
      <c r="AA247" s="153">
        <f t="shared" si="76"/>
        <v>0</v>
      </c>
      <c r="AB247" s="153">
        <f t="shared" si="77"/>
        <v>0</v>
      </c>
      <c r="AC247" s="154">
        <f t="shared" si="78"/>
        <v>0</v>
      </c>
      <c r="AD247" s="156">
        <f t="shared" si="79"/>
        <v>0</v>
      </c>
    </row>
    <row r="248" spans="1:30" s="144" customFormat="1">
      <c r="A248" s="139">
        <v>6</v>
      </c>
      <c r="B248" s="139">
        <f>IFERROR(INDEX(Työkonekanta!$F$3:$F$27,MATCH('S0a Baseline'!$A248,Työkonekanta!$A$3:$A$24,0),1),0)</f>
        <v>0</v>
      </c>
      <c r="C248" s="140">
        <v>2027</v>
      </c>
      <c r="D248" s="141" t="str">
        <f>IFERROR(INDEX(Työkonekanta!$D$3:$D$27,MATCH('S0a Baseline'!$A248,Työkonekanta!$A$3:$A$24,0),1),"undefined")</f>
        <v>sähkö</v>
      </c>
      <c r="E248" s="145">
        <f>IFERROR(INDEX(Työkonekanta!$G$3:$G$27,MATCH($A248,Työkonekanta!$A$3:$A$24,0),1)*INDEX(Työkonekanta!$H$3:$H$27,MATCH($A248,Työkonekanta!$A$3:$A$24,0),1)*$B248,0)</f>
        <v>0</v>
      </c>
      <c r="F248" s="344">
        <f t="shared" si="54"/>
        <v>0</v>
      </c>
      <c r="G248" s="344">
        <f t="shared" si="61"/>
        <v>0</v>
      </c>
      <c r="H248" s="344">
        <f t="shared" si="62"/>
        <v>0</v>
      </c>
      <c r="I248" s="145">
        <f t="shared" si="55"/>
        <v>0</v>
      </c>
      <c r="J248" s="145">
        <f t="shared" si="56"/>
        <v>0</v>
      </c>
      <c r="K248" s="142" t="str">
        <f t="shared" si="72"/>
        <v>kWh</v>
      </c>
      <c r="L248" s="146">
        <f>IFERROR(INDEX(Työkonekanta!$I$3:$I$27,MATCH('S0a Baseline'!$A248,Työkonekanta!$A$3:$A$24,0),1)*(I248+J248)*f_adblue,0)</f>
        <v>0</v>
      </c>
      <c r="M248" s="146">
        <f t="shared" si="73"/>
        <v>0</v>
      </c>
      <c r="N248" s="143" t="str">
        <f>IF(tuulisähkö_vuosi&lt;='S0a Baseline'!C248,"tuulisähkö",ostosähkö_nyt)</f>
        <v>jäännössähkö</v>
      </c>
      <c r="O248" s="147">
        <f>INDEX(Muuttujat!$J$5:$J$21,MATCH($C248,Muuttujat!$H$5:$H$21,0),1)</f>
        <v>63.897506909426724</v>
      </c>
      <c r="P248" s="342">
        <f>1-(INDEX(Muuttujat!$O$5:$O$21,MATCH($C248,Muuttujat!$N$5:$N$21,0),1))</f>
        <v>0.91</v>
      </c>
      <c r="Q248" s="342">
        <f>INDEX(Muuttujat!$O$5:$O$21,MATCH($C248,Muuttujat!$N$5:$N$21,0),1)</f>
        <v>0.09</v>
      </c>
      <c r="R248" s="148">
        <f>INDEX(Muuttujat!$P$5:$P$21,MATCH($C248,Muuttujat!$N$5:$N$21,0),1)</f>
        <v>9.3804435869509845E-2</v>
      </c>
      <c r="S248" s="149">
        <f t="shared" si="57"/>
        <v>0</v>
      </c>
      <c r="T248" s="150">
        <f t="shared" si="58"/>
        <v>0</v>
      </c>
      <c r="U248" s="150">
        <f t="shared" si="59"/>
        <v>0</v>
      </c>
      <c r="V248" s="150">
        <f>IFERROR(INDEX(Työkonekanta!$J$3:$J$27,MATCH($A248,Työkonekanta!$A$3:$A$24,0),1)*$B248*ef_li_ion_akku/1000/1000/INDEX(Työkonekanta!$K$3:$K$27,MATCH($A248,Työkonekanta!$A$3:$A$24,0)),0)</f>
        <v>0</v>
      </c>
      <c r="W248" s="149">
        <f t="shared" si="60"/>
        <v>0</v>
      </c>
      <c r="X248" s="150">
        <f t="shared" si="74"/>
        <v>0</v>
      </c>
      <c r="Y248" s="151">
        <f t="shared" si="75"/>
        <v>0</v>
      </c>
      <c r="Z248" s="152">
        <f t="shared" si="64"/>
        <v>0</v>
      </c>
      <c r="AA248" s="153">
        <f t="shared" si="76"/>
        <v>0</v>
      </c>
      <c r="AB248" s="153">
        <f t="shared" si="77"/>
        <v>0</v>
      </c>
      <c r="AC248" s="154">
        <f t="shared" si="78"/>
        <v>0</v>
      </c>
      <c r="AD248" s="156">
        <f t="shared" si="79"/>
        <v>0</v>
      </c>
    </row>
    <row r="249" spans="1:30" s="144" customFormat="1">
      <c r="A249" s="139">
        <v>7</v>
      </c>
      <c r="B249" s="139">
        <f>IFERROR(INDEX(Työkonekanta!$F$3:$F$27,MATCH('S0a Baseline'!$A249,Työkonekanta!$A$3:$A$24,0),1),0)</f>
        <v>1</v>
      </c>
      <c r="C249" s="140">
        <v>2027</v>
      </c>
      <c r="D249" s="141" t="str">
        <f>IFERROR(INDEX(Työkonekanta!$D$3:$D$27,MATCH('S0a Baseline'!$A249,Työkonekanta!$A$3:$A$24,0),1),"undefined")</f>
        <v>pom</v>
      </c>
      <c r="E249" s="145">
        <f>IFERROR(INDEX(Työkonekanta!$G$3:$G$27,MATCH($A249,Työkonekanta!$A$3:$A$24,0),1)*INDEX(Työkonekanta!$H$3:$H$27,MATCH($A249,Työkonekanta!$A$3:$A$24,0),1)*$B249,0)</f>
        <v>10000</v>
      </c>
      <c r="F249" s="344">
        <f t="shared" si="54"/>
        <v>359000</v>
      </c>
      <c r="G249" s="344">
        <f t="shared" si="61"/>
        <v>326690</v>
      </c>
      <c r="H249" s="344">
        <f t="shared" si="62"/>
        <v>32310</v>
      </c>
      <c r="I249" s="145">
        <f t="shared" si="55"/>
        <v>9100</v>
      </c>
      <c r="J249" s="145">
        <f t="shared" si="56"/>
        <v>941.98250728862979</v>
      </c>
      <c r="K249" s="142" t="str">
        <f t="shared" si="72"/>
        <v>l</v>
      </c>
      <c r="L249" s="146">
        <f>IFERROR(INDEX(Työkonekanta!$I$3:$I$27,MATCH('S0a Baseline'!$A249,Työkonekanta!$A$3:$A$24,0),1)*(I249+J249)*f_adblue,0)</f>
        <v>0</v>
      </c>
      <c r="M249" s="146">
        <f t="shared" si="73"/>
        <v>0</v>
      </c>
      <c r="N249" s="143" t="str">
        <f>IF(tuulisähkö_vuosi&lt;='S0a Baseline'!C249,"tuulisähkö",ostosähkö_nyt)</f>
        <v>jäännössähkö</v>
      </c>
      <c r="O249" s="147">
        <f>INDEX(Muuttujat!$J$5:$J$21,MATCH($C249,Muuttujat!$H$5:$H$21,0),1)</f>
        <v>63.897506909426724</v>
      </c>
      <c r="P249" s="342">
        <f>1-(INDEX(Muuttujat!$O$5:$O$21,MATCH($C249,Muuttujat!$N$5:$N$21,0),1))</f>
        <v>0.91</v>
      </c>
      <c r="Q249" s="342">
        <f>INDEX(Muuttujat!$O$5:$O$21,MATCH($C249,Muuttujat!$N$5:$N$21,0),1)</f>
        <v>0.09</v>
      </c>
      <c r="R249" s="148">
        <f>INDEX(Muuttujat!$P$5:$P$21,MATCH($C249,Muuttujat!$N$5:$N$21,0),1)</f>
        <v>9.3804435869509845E-2</v>
      </c>
      <c r="S249" s="149">
        <f t="shared" si="57"/>
        <v>6.1744409999999998</v>
      </c>
      <c r="T249" s="150">
        <f t="shared" si="58"/>
        <v>2.0161440000000002</v>
      </c>
      <c r="U249" s="150">
        <f t="shared" si="59"/>
        <v>0</v>
      </c>
      <c r="V249" s="150">
        <f>IFERROR(INDEX(Työkonekanta!$J$3:$J$27,MATCH($A249,Työkonekanta!$A$3:$A$24,0),1)*$B249*ef_li_ion_akku/1000/1000/INDEX(Työkonekanta!$K$3:$K$27,MATCH($A249,Työkonekanta!$A$3:$A$24,0)),0)</f>
        <v>0</v>
      </c>
      <c r="W249" s="149">
        <f t="shared" si="60"/>
        <v>24.112418590259999</v>
      </c>
      <c r="X249" s="150">
        <f t="shared" si="74"/>
        <v>0.31774565999999999</v>
      </c>
      <c r="Y249" s="151">
        <f t="shared" si="75"/>
        <v>0</v>
      </c>
      <c r="Z249" s="152">
        <f t="shared" si="64"/>
        <v>8.1905850000000004</v>
      </c>
      <c r="AA249" s="153">
        <f t="shared" si="76"/>
        <v>24.112418590259999</v>
      </c>
      <c r="AB249" s="153">
        <f t="shared" si="77"/>
        <v>24.430164250259999</v>
      </c>
      <c r="AC249" s="154">
        <f t="shared" si="78"/>
        <v>32.303003590259998</v>
      </c>
      <c r="AD249" s="156">
        <f t="shared" si="79"/>
        <v>32.620749250259998</v>
      </c>
    </row>
    <row r="250" spans="1:30" s="144" customFormat="1">
      <c r="A250" s="139">
        <v>8</v>
      </c>
      <c r="B250" s="139">
        <f>IFERROR(INDEX(Työkonekanta!$F$3:$F$27,MATCH('S0a Baseline'!$A250,Työkonekanta!$A$3:$A$24,0),1),0)</f>
        <v>1</v>
      </c>
      <c r="C250" s="140">
        <v>2027</v>
      </c>
      <c r="D250" s="141" t="str">
        <f>IFERROR(INDEX(Työkonekanta!$D$3:$D$27,MATCH('S0a Baseline'!$A250,Työkonekanta!$A$3:$A$24,0),1),"undefined")</f>
        <v>pom</v>
      </c>
      <c r="E250" s="145">
        <f>IFERROR(INDEX(Työkonekanta!$G$3:$G$27,MATCH($A250,Työkonekanta!$A$3:$A$24,0),1)*INDEX(Työkonekanta!$H$3:$H$27,MATCH($A250,Työkonekanta!$A$3:$A$24,0),1)*$B250,0)</f>
        <v>10000</v>
      </c>
      <c r="F250" s="344">
        <f t="shared" si="54"/>
        <v>359000</v>
      </c>
      <c r="G250" s="344">
        <f t="shared" si="61"/>
        <v>326690</v>
      </c>
      <c r="H250" s="344">
        <f t="shared" si="62"/>
        <v>32310</v>
      </c>
      <c r="I250" s="145">
        <f t="shared" si="55"/>
        <v>9100</v>
      </c>
      <c r="J250" s="145">
        <f t="shared" si="56"/>
        <v>941.98250728862979</v>
      </c>
      <c r="K250" s="142" t="str">
        <f t="shared" si="72"/>
        <v>l</v>
      </c>
      <c r="L250" s="146">
        <f>IFERROR(INDEX(Työkonekanta!$I$3:$I$27,MATCH('S0a Baseline'!$A250,Työkonekanta!$A$3:$A$24,0),1)*(I250+J250)*f_adblue,0)</f>
        <v>502.09912536443153</v>
      </c>
      <c r="M250" s="146">
        <f t="shared" si="73"/>
        <v>0</v>
      </c>
      <c r="N250" s="143" t="str">
        <f>IF(tuulisähkö_vuosi&lt;='S0a Baseline'!C250,"tuulisähkö",ostosähkö_nyt)</f>
        <v>jäännössähkö</v>
      </c>
      <c r="O250" s="147">
        <f>INDEX(Muuttujat!$J$5:$J$21,MATCH($C250,Muuttujat!$H$5:$H$21,0),1)</f>
        <v>63.897506909426724</v>
      </c>
      <c r="P250" s="342">
        <f>1-(INDEX(Muuttujat!$O$5:$O$21,MATCH($C250,Muuttujat!$N$5:$N$21,0),1))</f>
        <v>0.91</v>
      </c>
      <c r="Q250" s="342">
        <f>INDEX(Muuttujat!$O$5:$O$21,MATCH($C250,Muuttujat!$N$5:$N$21,0),1)</f>
        <v>0.09</v>
      </c>
      <c r="R250" s="148">
        <f>INDEX(Muuttujat!$P$5:$P$21,MATCH($C250,Muuttujat!$N$5:$N$21,0),1)</f>
        <v>9.3804435869509845E-2</v>
      </c>
      <c r="S250" s="149">
        <f t="shared" si="57"/>
        <v>6.1744409999999998</v>
      </c>
      <c r="T250" s="150">
        <f t="shared" si="58"/>
        <v>2.0161440000000002</v>
      </c>
      <c r="U250" s="150">
        <f t="shared" si="59"/>
        <v>0</v>
      </c>
      <c r="V250" s="150">
        <f>IFERROR(INDEX(Työkonekanta!$J$3:$J$27,MATCH($A250,Työkonekanta!$A$3:$A$24,0),1)*$B250*ef_li_ion_akku/1000/1000/INDEX(Työkonekanta!$K$3:$K$27,MATCH($A250,Työkonekanta!$A$3:$A$24,0)),0)</f>
        <v>0</v>
      </c>
      <c r="W250" s="149">
        <f t="shared" si="60"/>
        <v>24.112418590259999</v>
      </c>
      <c r="X250" s="150">
        <f t="shared" si="74"/>
        <v>0.31774565999999999</v>
      </c>
      <c r="Y250" s="151">
        <f t="shared" si="75"/>
        <v>0.1305457725947522</v>
      </c>
      <c r="Z250" s="152">
        <f t="shared" si="64"/>
        <v>8.1905850000000004</v>
      </c>
      <c r="AA250" s="153">
        <f t="shared" si="76"/>
        <v>24.24296436285475</v>
      </c>
      <c r="AB250" s="153">
        <f t="shared" si="77"/>
        <v>24.560710022854749</v>
      </c>
      <c r="AC250" s="154">
        <f t="shared" si="78"/>
        <v>32.433549362854748</v>
      </c>
      <c r="AD250" s="156">
        <f t="shared" si="79"/>
        <v>32.751295022854748</v>
      </c>
    </row>
    <row r="251" spans="1:30" s="144" customFormat="1">
      <c r="A251" s="139">
        <v>9</v>
      </c>
      <c r="B251" s="139">
        <f>IFERROR(INDEX(Työkonekanta!$F$3:$F$27,MATCH('S0a Baseline'!$A251,Työkonekanta!$A$3:$A$24,0),1),0)</f>
        <v>0</v>
      </c>
      <c r="C251" s="140">
        <v>2027</v>
      </c>
      <c r="D251" s="141" t="str">
        <f>IFERROR(INDEX(Työkonekanta!$D$3:$D$27,MATCH('S0a Baseline'!$A251,Työkonekanta!$A$3:$A$24,0),1),"undefined")</f>
        <v>sähkö</v>
      </c>
      <c r="E251" s="145">
        <f>IFERROR(INDEX(Työkonekanta!$G$3:$G$27,MATCH($A251,Työkonekanta!$A$3:$A$24,0),1)*INDEX(Työkonekanta!$H$3:$H$27,MATCH($A251,Työkonekanta!$A$3:$A$24,0),1)*$B251,0)</f>
        <v>0</v>
      </c>
      <c r="F251" s="344">
        <f t="shared" si="54"/>
        <v>0</v>
      </c>
      <c r="G251" s="344">
        <f t="shared" si="61"/>
        <v>0</v>
      </c>
      <c r="H251" s="344">
        <f t="shared" si="62"/>
        <v>0</v>
      </c>
      <c r="I251" s="145">
        <f t="shared" si="55"/>
        <v>0</v>
      </c>
      <c r="J251" s="145">
        <f t="shared" si="56"/>
        <v>0</v>
      </c>
      <c r="K251" s="142" t="str">
        <f t="shared" si="72"/>
        <v>kWh</v>
      </c>
      <c r="L251" s="146">
        <f>IFERROR(INDEX(Työkonekanta!$I$3:$I$27,MATCH('S0a Baseline'!$A251,Työkonekanta!$A$3:$A$24,0),1)*(I251+J251)*f_adblue,0)</f>
        <v>0</v>
      </c>
      <c r="M251" s="146">
        <f t="shared" si="73"/>
        <v>0</v>
      </c>
      <c r="N251" s="143" t="str">
        <f>IF(tuulisähkö_vuosi&lt;='S0a Baseline'!C251,"tuulisähkö",ostosähkö_nyt)</f>
        <v>jäännössähkö</v>
      </c>
      <c r="O251" s="147">
        <f>INDEX(Muuttujat!$J$5:$J$21,MATCH($C251,Muuttujat!$H$5:$H$21,0),1)</f>
        <v>63.897506909426724</v>
      </c>
      <c r="P251" s="342">
        <f>1-(INDEX(Muuttujat!$O$5:$O$21,MATCH($C251,Muuttujat!$N$5:$N$21,0),1))</f>
        <v>0.91</v>
      </c>
      <c r="Q251" s="342">
        <f>INDEX(Muuttujat!$O$5:$O$21,MATCH($C251,Muuttujat!$N$5:$N$21,0),1)</f>
        <v>0.09</v>
      </c>
      <c r="R251" s="148">
        <f>INDEX(Muuttujat!$P$5:$P$21,MATCH($C251,Muuttujat!$N$5:$N$21,0),1)</f>
        <v>9.3804435869509845E-2</v>
      </c>
      <c r="S251" s="149">
        <f t="shared" si="57"/>
        <v>0</v>
      </c>
      <c r="T251" s="150">
        <f t="shared" si="58"/>
        <v>0</v>
      </c>
      <c r="U251" s="150">
        <f t="shared" si="59"/>
        <v>0</v>
      </c>
      <c r="V251" s="150">
        <f>IFERROR(INDEX(Työkonekanta!$J$3:$J$27,MATCH($A251,Työkonekanta!$A$3:$A$24,0),1)*$B251*ef_li_ion_akku/1000/1000/INDEX(Työkonekanta!$K$3:$K$27,MATCH($A251,Työkonekanta!$A$3:$A$24,0)),0)</f>
        <v>0</v>
      </c>
      <c r="W251" s="149">
        <f t="shared" si="60"/>
        <v>0</v>
      </c>
      <c r="X251" s="150">
        <f t="shared" si="74"/>
        <v>0</v>
      </c>
      <c r="Y251" s="151">
        <f t="shared" si="75"/>
        <v>0</v>
      </c>
      <c r="Z251" s="152">
        <f t="shared" si="64"/>
        <v>0</v>
      </c>
      <c r="AA251" s="153">
        <f t="shared" si="76"/>
        <v>0</v>
      </c>
      <c r="AB251" s="153">
        <f t="shared" si="77"/>
        <v>0</v>
      </c>
      <c r="AC251" s="154">
        <f t="shared" si="78"/>
        <v>0</v>
      </c>
      <c r="AD251" s="156">
        <f t="shared" si="79"/>
        <v>0</v>
      </c>
    </row>
    <row r="252" spans="1:30" s="144" customFormat="1">
      <c r="A252" s="139">
        <v>10</v>
      </c>
      <c r="B252" s="139">
        <f>IFERROR(INDEX(Työkonekanta!$F$3:$F$27,MATCH('S0a Baseline'!$A252,Työkonekanta!$A$3:$A$24,0),1),0)</f>
        <v>0</v>
      </c>
      <c r="C252" s="140">
        <v>2027</v>
      </c>
      <c r="D252" s="141" t="str">
        <f>IFERROR(INDEX(Työkonekanta!$D$3:$D$27,MATCH('S0a Baseline'!$A252,Työkonekanta!$A$3:$A$24,0),1),"undefined")</f>
        <v>sähkö</v>
      </c>
      <c r="E252" s="145">
        <f>IFERROR(INDEX(Työkonekanta!$G$3:$G$27,MATCH($A252,Työkonekanta!$A$3:$A$24,0),1)*INDEX(Työkonekanta!$H$3:$H$27,MATCH($A252,Työkonekanta!$A$3:$A$24,0),1)*$B252,0)</f>
        <v>0</v>
      </c>
      <c r="F252" s="344">
        <f t="shared" si="54"/>
        <v>0</v>
      </c>
      <c r="G252" s="344">
        <f t="shared" si="61"/>
        <v>0</v>
      </c>
      <c r="H252" s="344">
        <f t="shared" si="62"/>
        <v>0</v>
      </c>
      <c r="I252" s="145">
        <f t="shared" si="55"/>
        <v>0</v>
      </c>
      <c r="J252" s="145">
        <f t="shared" si="56"/>
        <v>0</v>
      </c>
      <c r="K252" s="142" t="str">
        <f t="shared" ref="K252:K339" si="80">IF($D252="sähkö","kWh",IF($D252="pom","l","undefined"))</f>
        <v>kWh</v>
      </c>
      <c r="L252" s="146">
        <f>IFERROR(INDEX(Työkonekanta!$I$3:$I$27,MATCH('S0a Baseline'!$A252,Työkonekanta!$A$3:$A$24,0),1)*(I252+J252)*f_adblue,0)</f>
        <v>0</v>
      </c>
      <c r="M252" s="146">
        <f t="shared" si="73"/>
        <v>0</v>
      </c>
      <c r="N252" s="143" t="str">
        <f>IF(tuulisähkö_vuosi&lt;='S0a Baseline'!C252,"tuulisähkö",ostosähkö_nyt)</f>
        <v>jäännössähkö</v>
      </c>
      <c r="O252" s="147">
        <f>INDEX(Muuttujat!$J$5:$J$21,MATCH($C252,Muuttujat!$H$5:$H$21,0),1)</f>
        <v>63.897506909426724</v>
      </c>
      <c r="P252" s="342">
        <f>1-(INDEX(Muuttujat!$O$5:$O$21,MATCH($C252,Muuttujat!$N$5:$N$21,0),1))</f>
        <v>0.91</v>
      </c>
      <c r="Q252" s="342">
        <f>INDEX(Muuttujat!$O$5:$O$21,MATCH($C252,Muuttujat!$N$5:$N$21,0),1)</f>
        <v>0.09</v>
      </c>
      <c r="R252" s="148">
        <f>INDEX(Muuttujat!$P$5:$P$21,MATCH($C252,Muuttujat!$N$5:$N$21,0),1)</f>
        <v>9.3804435869509845E-2</v>
      </c>
      <c r="S252" s="149">
        <f t="shared" si="57"/>
        <v>0</v>
      </c>
      <c r="T252" s="150">
        <f t="shared" si="58"/>
        <v>0</v>
      </c>
      <c r="U252" s="150">
        <f t="shared" si="59"/>
        <v>0</v>
      </c>
      <c r="V252" s="150">
        <f>IFERROR(INDEX(Työkonekanta!$J$3:$J$27,MATCH($A252,Työkonekanta!$A$3:$A$24,0),1)*$B252*ef_li_ion_akku/1000/1000/INDEX(Työkonekanta!$K$3:$K$27,MATCH($A252,Työkonekanta!$A$3:$A$24,0)),0)</f>
        <v>0</v>
      </c>
      <c r="W252" s="149">
        <f t="shared" si="60"/>
        <v>0</v>
      </c>
      <c r="X252" s="150">
        <f t="shared" si="74"/>
        <v>0</v>
      </c>
      <c r="Y252" s="151">
        <f t="shared" si="75"/>
        <v>0</v>
      </c>
      <c r="Z252" s="152">
        <f t="shared" si="64"/>
        <v>0</v>
      </c>
      <c r="AA252" s="153">
        <f t="shared" si="76"/>
        <v>0</v>
      </c>
      <c r="AB252" s="153">
        <f t="shared" si="77"/>
        <v>0</v>
      </c>
      <c r="AC252" s="154">
        <f t="shared" si="78"/>
        <v>0</v>
      </c>
      <c r="AD252" s="156">
        <f t="shared" si="79"/>
        <v>0</v>
      </c>
    </row>
    <row r="253" spans="1:30" s="144" customFormat="1">
      <c r="A253" s="139">
        <v>11</v>
      </c>
      <c r="B253" s="139">
        <f>IFERROR(INDEX(Työkonekanta!$F$3:$F$27,MATCH('S0a Baseline'!$A253,Työkonekanta!$A$3:$A$24,0),1),0)</f>
        <v>1</v>
      </c>
      <c r="C253" s="140">
        <v>2027</v>
      </c>
      <c r="D253" s="141" t="str">
        <f>IFERROR(INDEX(Työkonekanta!$D$3:$D$27,MATCH('S0a Baseline'!$A253,Työkonekanta!$A$3:$A$24,0),1),"undefined")</f>
        <v>pom</v>
      </c>
      <c r="E253" s="145">
        <f>IFERROR(INDEX(Työkonekanta!$G$3:$G$27,MATCH($A253,Työkonekanta!$A$3:$A$24,0),1)*INDEX(Työkonekanta!$H$3:$H$27,MATCH($A253,Työkonekanta!$A$3:$A$24,0),1)*$B253,0)</f>
        <v>10000</v>
      </c>
      <c r="F253" s="344">
        <f t="shared" si="54"/>
        <v>359000</v>
      </c>
      <c r="G253" s="344">
        <f t="shared" si="61"/>
        <v>326690</v>
      </c>
      <c r="H253" s="344">
        <f t="shared" si="62"/>
        <v>32310</v>
      </c>
      <c r="I253" s="145">
        <f t="shared" si="55"/>
        <v>9100</v>
      </c>
      <c r="J253" s="145">
        <f t="shared" si="56"/>
        <v>941.98250728862979</v>
      </c>
      <c r="K253" s="142" t="str">
        <f t="shared" si="80"/>
        <v>l</v>
      </c>
      <c r="L253" s="146">
        <f>IFERROR(INDEX(Työkonekanta!$I$3:$I$27,MATCH('S0a Baseline'!$A253,Työkonekanta!$A$3:$A$24,0),1)*(I253+J253)*f_adblue,0)</f>
        <v>502.09912536443153</v>
      </c>
      <c r="M253" s="146">
        <f t="shared" si="73"/>
        <v>0</v>
      </c>
      <c r="N253" s="143" t="str">
        <f>IF(tuulisähkö_vuosi&lt;='S0a Baseline'!C253,"tuulisähkö",ostosähkö_nyt)</f>
        <v>jäännössähkö</v>
      </c>
      <c r="O253" s="147">
        <f>INDEX(Muuttujat!$J$5:$J$21,MATCH($C253,Muuttujat!$H$5:$H$21,0),1)</f>
        <v>63.897506909426724</v>
      </c>
      <c r="P253" s="342">
        <f>1-(INDEX(Muuttujat!$O$5:$O$21,MATCH($C253,Muuttujat!$N$5:$N$21,0),1))</f>
        <v>0.91</v>
      </c>
      <c r="Q253" s="342">
        <f>INDEX(Muuttujat!$O$5:$O$21,MATCH($C253,Muuttujat!$N$5:$N$21,0),1)</f>
        <v>0.09</v>
      </c>
      <c r="R253" s="148">
        <f>INDEX(Muuttujat!$P$5:$P$21,MATCH($C253,Muuttujat!$N$5:$N$21,0),1)</f>
        <v>9.3804435869509845E-2</v>
      </c>
      <c r="S253" s="149">
        <f t="shared" si="57"/>
        <v>6.1744409999999998</v>
      </c>
      <c r="T253" s="150">
        <f t="shared" si="58"/>
        <v>2.0161440000000002</v>
      </c>
      <c r="U253" s="150">
        <f t="shared" si="59"/>
        <v>0</v>
      </c>
      <c r="V253" s="150">
        <f>IFERROR(INDEX(Työkonekanta!$J$3:$J$27,MATCH($A253,Työkonekanta!$A$3:$A$24,0),1)*$B253*ef_li_ion_akku/1000/1000/INDEX(Työkonekanta!$K$3:$K$27,MATCH($A253,Työkonekanta!$A$3:$A$24,0)),0)</f>
        <v>0</v>
      </c>
      <c r="W253" s="149">
        <f t="shared" si="60"/>
        <v>24.112418590259999</v>
      </c>
      <c r="X253" s="150">
        <f t="shared" si="74"/>
        <v>0.31774565999999999</v>
      </c>
      <c r="Y253" s="151">
        <f t="shared" si="75"/>
        <v>0.1305457725947522</v>
      </c>
      <c r="Z253" s="152">
        <f t="shared" si="64"/>
        <v>8.1905850000000004</v>
      </c>
      <c r="AA253" s="153">
        <f t="shared" si="76"/>
        <v>24.24296436285475</v>
      </c>
      <c r="AB253" s="153">
        <f t="shared" si="77"/>
        <v>24.560710022854749</v>
      </c>
      <c r="AC253" s="154">
        <f t="shared" si="78"/>
        <v>32.433549362854748</v>
      </c>
      <c r="AD253" s="156">
        <f t="shared" si="79"/>
        <v>32.751295022854748</v>
      </c>
    </row>
    <row r="254" spans="1:30" s="144" customFormat="1">
      <c r="A254" s="139">
        <v>12</v>
      </c>
      <c r="B254" s="139">
        <f>IFERROR(INDEX(Työkonekanta!$F$3:$F$27,MATCH('S0a Baseline'!$A254,Työkonekanta!$A$3:$A$24,0),1),0)</f>
        <v>1</v>
      </c>
      <c r="C254" s="140">
        <v>2027</v>
      </c>
      <c r="D254" s="141" t="str">
        <f>IFERROR(INDEX(Työkonekanta!$D$3:$D$27,MATCH('S0a Baseline'!$A254,Työkonekanta!$A$3:$A$24,0),1),"undefined")</f>
        <v>pom</v>
      </c>
      <c r="E254" s="145">
        <f>IFERROR(INDEX(Työkonekanta!$G$3:$G$27,MATCH($A254,Työkonekanta!$A$3:$A$24,0),1)*INDEX(Työkonekanta!$H$3:$H$27,MATCH($A254,Työkonekanta!$A$3:$A$24,0),1)*$B254,0)</f>
        <v>10000</v>
      </c>
      <c r="F254" s="344">
        <f t="shared" si="54"/>
        <v>359000</v>
      </c>
      <c r="G254" s="344">
        <f t="shared" si="61"/>
        <v>326690</v>
      </c>
      <c r="H254" s="344">
        <f t="shared" si="62"/>
        <v>32310</v>
      </c>
      <c r="I254" s="145">
        <f t="shared" si="55"/>
        <v>9100</v>
      </c>
      <c r="J254" s="145">
        <f t="shared" si="56"/>
        <v>941.98250728862979</v>
      </c>
      <c r="K254" s="142" t="str">
        <f t="shared" si="80"/>
        <v>l</v>
      </c>
      <c r="L254" s="146">
        <f>IFERROR(INDEX(Työkonekanta!$I$3:$I$27,MATCH('S0a Baseline'!$A254,Työkonekanta!$A$3:$A$24,0),1)*(I254+J254)*f_adblue,0)</f>
        <v>502.09912536443153</v>
      </c>
      <c r="M254" s="146">
        <f t="shared" si="73"/>
        <v>0</v>
      </c>
      <c r="N254" s="143" t="str">
        <f>IF(tuulisähkö_vuosi&lt;='S0a Baseline'!C254,"tuulisähkö",ostosähkö_nyt)</f>
        <v>jäännössähkö</v>
      </c>
      <c r="O254" s="147">
        <f>INDEX(Muuttujat!$J$5:$J$21,MATCH($C254,Muuttujat!$H$5:$H$21,0),1)</f>
        <v>63.897506909426724</v>
      </c>
      <c r="P254" s="342">
        <f>1-(INDEX(Muuttujat!$O$5:$O$21,MATCH($C254,Muuttujat!$N$5:$N$21,0),1))</f>
        <v>0.91</v>
      </c>
      <c r="Q254" s="342">
        <f>INDEX(Muuttujat!$O$5:$O$21,MATCH($C254,Muuttujat!$N$5:$N$21,0),1)</f>
        <v>0.09</v>
      </c>
      <c r="R254" s="148">
        <f>INDEX(Muuttujat!$P$5:$P$21,MATCH($C254,Muuttujat!$N$5:$N$21,0),1)</f>
        <v>9.3804435869509845E-2</v>
      </c>
      <c r="S254" s="149">
        <f t="shared" si="57"/>
        <v>6.1744409999999998</v>
      </c>
      <c r="T254" s="150">
        <f t="shared" si="58"/>
        <v>2.0161440000000002</v>
      </c>
      <c r="U254" s="150">
        <f t="shared" si="59"/>
        <v>0</v>
      </c>
      <c r="V254" s="150">
        <f>IFERROR(INDEX(Työkonekanta!$J$3:$J$27,MATCH($A254,Työkonekanta!$A$3:$A$24,0),1)*$B254*ef_li_ion_akku/1000/1000/INDEX(Työkonekanta!$K$3:$K$27,MATCH($A254,Työkonekanta!$A$3:$A$24,0)),0)</f>
        <v>0</v>
      </c>
      <c r="W254" s="149">
        <f t="shared" si="60"/>
        <v>24.112418590259999</v>
      </c>
      <c r="X254" s="150">
        <f t="shared" si="74"/>
        <v>0.31774565999999999</v>
      </c>
      <c r="Y254" s="151">
        <f t="shared" si="75"/>
        <v>0.1305457725947522</v>
      </c>
      <c r="Z254" s="152">
        <f t="shared" si="64"/>
        <v>8.1905850000000004</v>
      </c>
      <c r="AA254" s="153">
        <f t="shared" si="76"/>
        <v>24.24296436285475</v>
      </c>
      <c r="AB254" s="153">
        <f t="shared" si="77"/>
        <v>24.560710022854749</v>
      </c>
      <c r="AC254" s="154">
        <f t="shared" si="78"/>
        <v>32.433549362854748</v>
      </c>
      <c r="AD254" s="156">
        <f t="shared" si="79"/>
        <v>32.751295022854748</v>
      </c>
    </row>
    <row r="255" spans="1:30" s="144" customFormat="1">
      <c r="A255" s="139">
        <v>13</v>
      </c>
      <c r="B255" s="139">
        <f>IFERROR(INDEX(Työkonekanta!$F$3:$F$27,MATCH('S0a Baseline'!$A255,Työkonekanta!$A$3:$A$24,0),1),0)</f>
        <v>0</v>
      </c>
      <c r="C255" s="140">
        <v>2027</v>
      </c>
      <c r="D255" s="141" t="str">
        <f>IFERROR(INDEX(Työkonekanta!$D$3:$D$27,MATCH('S0a Baseline'!$A255,Työkonekanta!$A$3:$A$24,0),1),"undefined")</f>
        <v>pom</v>
      </c>
      <c r="E255" s="145">
        <f>IFERROR(INDEX(Työkonekanta!$G$3:$G$27,MATCH($A255,Työkonekanta!$A$3:$A$24,0),1)*INDEX(Työkonekanta!$H$3:$H$27,MATCH($A255,Työkonekanta!$A$3:$A$24,0),1)*$B255,0)</f>
        <v>0</v>
      </c>
      <c r="F255" s="344">
        <f t="shared" si="54"/>
        <v>0</v>
      </c>
      <c r="G255" s="344">
        <f t="shared" si="61"/>
        <v>0</v>
      </c>
      <c r="H255" s="344">
        <f t="shared" si="62"/>
        <v>0</v>
      </c>
      <c r="I255" s="145">
        <f t="shared" si="55"/>
        <v>0</v>
      </c>
      <c r="J255" s="145">
        <f t="shared" si="56"/>
        <v>0</v>
      </c>
      <c r="K255" s="142" t="str">
        <f t="shared" si="80"/>
        <v>l</v>
      </c>
      <c r="L255" s="146">
        <f>IFERROR(INDEX(Työkonekanta!$I$3:$I$27,MATCH('S0a Baseline'!$A255,Työkonekanta!$A$3:$A$24,0),1)*(I255+J255)*f_adblue,0)</f>
        <v>0</v>
      </c>
      <c r="M255" s="146">
        <f t="shared" si="73"/>
        <v>0</v>
      </c>
      <c r="N255" s="143" t="str">
        <f>IF(tuulisähkö_vuosi&lt;='S0a Baseline'!C255,"tuulisähkö",ostosähkö_nyt)</f>
        <v>jäännössähkö</v>
      </c>
      <c r="O255" s="147">
        <f>INDEX(Muuttujat!$J$5:$J$21,MATCH($C255,Muuttujat!$H$5:$H$21,0),1)</f>
        <v>63.897506909426724</v>
      </c>
      <c r="P255" s="342">
        <f>1-(INDEX(Muuttujat!$O$5:$O$21,MATCH($C255,Muuttujat!$N$5:$N$21,0),1))</f>
        <v>0.91</v>
      </c>
      <c r="Q255" s="342">
        <f>INDEX(Muuttujat!$O$5:$O$21,MATCH($C255,Muuttujat!$N$5:$N$21,0),1)</f>
        <v>0.09</v>
      </c>
      <c r="R255" s="148">
        <f>INDEX(Muuttujat!$P$5:$P$21,MATCH($C255,Muuttujat!$N$5:$N$21,0),1)</f>
        <v>9.3804435869509845E-2</v>
      </c>
      <c r="S255" s="149">
        <f t="shared" si="57"/>
        <v>0</v>
      </c>
      <c r="T255" s="150">
        <f t="shared" si="58"/>
        <v>0</v>
      </c>
      <c r="U255" s="150">
        <f t="shared" si="59"/>
        <v>0</v>
      </c>
      <c r="V255" s="150">
        <f>IFERROR(INDEX(Työkonekanta!$J$3:$J$27,MATCH($A255,Työkonekanta!$A$3:$A$24,0),1)*$B255*ef_li_ion_akku/1000/1000/INDEX(Työkonekanta!$K$3:$K$27,MATCH($A255,Työkonekanta!$A$3:$A$24,0)),0)</f>
        <v>0</v>
      </c>
      <c r="W255" s="149">
        <f t="shared" si="60"/>
        <v>0</v>
      </c>
      <c r="X255" s="150">
        <f t="shared" si="74"/>
        <v>0</v>
      </c>
      <c r="Y255" s="151">
        <f t="shared" si="75"/>
        <v>0</v>
      </c>
      <c r="Z255" s="152">
        <f t="shared" si="64"/>
        <v>0</v>
      </c>
      <c r="AA255" s="153">
        <f t="shared" si="76"/>
        <v>0</v>
      </c>
      <c r="AB255" s="153">
        <f t="shared" si="77"/>
        <v>0</v>
      </c>
      <c r="AC255" s="154">
        <f t="shared" si="78"/>
        <v>0</v>
      </c>
      <c r="AD255" s="156">
        <f t="shared" si="79"/>
        <v>0</v>
      </c>
    </row>
    <row r="256" spans="1:30" s="144" customFormat="1">
      <c r="A256" s="139">
        <v>14</v>
      </c>
      <c r="B256" s="139">
        <f>IFERROR(INDEX(Työkonekanta!$F$3:$F$27,MATCH('S0a Baseline'!$A256,Työkonekanta!$A$3:$A$24,0),1),0)</f>
        <v>0</v>
      </c>
      <c r="C256" s="140">
        <v>2027</v>
      </c>
      <c r="D256" s="141" t="str">
        <f>IFERROR(INDEX(Työkonekanta!$D$3:$D$27,MATCH('S0a Baseline'!$A256,Työkonekanta!$A$3:$A$24,0),1),"undefined")</f>
        <v>pom</v>
      </c>
      <c r="E256" s="145">
        <f>IFERROR(INDEX(Työkonekanta!$G$3:$G$27,MATCH($A256,Työkonekanta!$A$3:$A$24,0),1)*INDEX(Työkonekanta!$H$3:$H$27,MATCH($A256,Työkonekanta!$A$3:$A$24,0),1)*$B256,0)</f>
        <v>0</v>
      </c>
      <c r="F256" s="344">
        <f t="shared" si="54"/>
        <v>0</v>
      </c>
      <c r="G256" s="344">
        <f t="shared" si="61"/>
        <v>0</v>
      </c>
      <c r="H256" s="344">
        <f t="shared" si="62"/>
        <v>0</v>
      </c>
      <c r="I256" s="145">
        <f t="shared" si="55"/>
        <v>0</v>
      </c>
      <c r="J256" s="145">
        <f t="shared" si="56"/>
        <v>0</v>
      </c>
      <c r="K256" s="142" t="str">
        <f t="shared" si="80"/>
        <v>l</v>
      </c>
      <c r="L256" s="146">
        <f>IFERROR(INDEX(Työkonekanta!$I$3:$I$27,MATCH('S0a Baseline'!$A256,Työkonekanta!$A$3:$A$24,0),1)*(I256+J256)*f_adblue,0)</f>
        <v>0</v>
      </c>
      <c r="M256" s="146">
        <f t="shared" si="73"/>
        <v>0</v>
      </c>
      <c r="N256" s="143" t="str">
        <f>IF(tuulisähkö_vuosi&lt;='S0a Baseline'!C256,"tuulisähkö",ostosähkö_nyt)</f>
        <v>jäännössähkö</v>
      </c>
      <c r="O256" s="147">
        <f>INDEX(Muuttujat!$J$5:$J$21,MATCH($C256,Muuttujat!$H$5:$H$21,0),1)</f>
        <v>63.897506909426724</v>
      </c>
      <c r="P256" s="342">
        <f>1-(INDEX(Muuttujat!$O$5:$O$21,MATCH($C256,Muuttujat!$N$5:$N$21,0),1))</f>
        <v>0.91</v>
      </c>
      <c r="Q256" s="342">
        <f>INDEX(Muuttujat!$O$5:$O$21,MATCH($C256,Muuttujat!$N$5:$N$21,0),1)</f>
        <v>0.09</v>
      </c>
      <c r="R256" s="148">
        <f>INDEX(Muuttujat!$P$5:$P$21,MATCH($C256,Muuttujat!$N$5:$N$21,0),1)</f>
        <v>9.3804435869509845E-2</v>
      </c>
      <c r="S256" s="149">
        <f t="shared" si="57"/>
        <v>0</v>
      </c>
      <c r="T256" s="150">
        <f t="shared" si="58"/>
        <v>0</v>
      </c>
      <c r="U256" s="150">
        <f t="shared" si="59"/>
        <v>0</v>
      </c>
      <c r="V256" s="150">
        <f>IFERROR(INDEX(Työkonekanta!$J$3:$J$27,MATCH($A256,Työkonekanta!$A$3:$A$24,0),1)*$B256*ef_li_ion_akku/1000/1000/INDEX(Työkonekanta!$K$3:$K$27,MATCH($A256,Työkonekanta!$A$3:$A$24,0)),0)</f>
        <v>0</v>
      </c>
      <c r="W256" s="149">
        <f t="shared" si="60"/>
        <v>0</v>
      </c>
      <c r="X256" s="150">
        <f t="shared" si="74"/>
        <v>0</v>
      </c>
      <c r="Y256" s="151">
        <f t="shared" si="75"/>
        <v>0</v>
      </c>
      <c r="Z256" s="152">
        <f t="shared" si="64"/>
        <v>0</v>
      </c>
      <c r="AA256" s="153">
        <f t="shared" si="76"/>
        <v>0</v>
      </c>
      <c r="AB256" s="153">
        <f t="shared" si="77"/>
        <v>0</v>
      </c>
      <c r="AC256" s="154">
        <f t="shared" si="78"/>
        <v>0</v>
      </c>
      <c r="AD256" s="156">
        <f t="shared" si="79"/>
        <v>0</v>
      </c>
    </row>
    <row r="257" spans="1:30" s="144" customFormat="1">
      <c r="A257" s="139">
        <v>15</v>
      </c>
      <c r="B257" s="139">
        <f>IFERROR(INDEX(Työkonekanta!$F$3:$F$27,MATCH('S0a Baseline'!$A257,Työkonekanta!$A$3:$A$24,0),1),0)</f>
        <v>0</v>
      </c>
      <c r="C257" s="140">
        <v>2027</v>
      </c>
      <c r="D257" s="141" t="str">
        <f>IFERROR(INDEX(Työkonekanta!$D$3:$D$27,MATCH('S0a Baseline'!$A257,Työkonekanta!$A$3:$A$24,0),1),"undefined")</f>
        <v>sähkö</v>
      </c>
      <c r="E257" s="145">
        <f>IFERROR(INDEX(Työkonekanta!$G$3:$G$27,MATCH($A257,Työkonekanta!$A$3:$A$24,0),1)*INDEX(Työkonekanta!$H$3:$H$27,MATCH($A257,Työkonekanta!$A$3:$A$24,0),1)*$B257,0)</f>
        <v>0</v>
      </c>
      <c r="F257" s="344">
        <f t="shared" si="54"/>
        <v>0</v>
      </c>
      <c r="G257" s="344">
        <f t="shared" si="61"/>
        <v>0</v>
      </c>
      <c r="H257" s="344">
        <f t="shared" si="62"/>
        <v>0</v>
      </c>
      <c r="I257" s="145">
        <f t="shared" si="55"/>
        <v>0</v>
      </c>
      <c r="J257" s="145">
        <f t="shared" si="56"/>
        <v>0</v>
      </c>
      <c r="K257" s="142" t="str">
        <f t="shared" si="80"/>
        <v>kWh</v>
      </c>
      <c r="L257" s="146">
        <f>IFERROR(INDEX(Työkonekanta!$I$3:$I$27,MATCH('S0a Baseline'!$A257,Työkonekanta!$A$3:$A$24,0),1)*(I257+J257)*f_adblue,0)</f>
        <v>0</v>
      </c>
      <c r="M257" s="146">
        <f t="shared" si="73"/>
        <v>0</v>
      </c>
      <c r="N257" s="143" t="str">
        <f>IF(tuulisähkö_vuosi&lt;='S0a Baseline'!C257,"tuulisähkö",ostosähkö_nyt)</f>
        <v>jäännössähkö</v>
      </c>
      <c r="O257" s="147">
        <f>INDEX(Muuttujat!$J$5:$J$21,MATCH($C257,Muuttujat!$H$5:$H$21,0),1)</f>
        <v>63.897506909426724</v>
      </c>
      <c r="P257" s="342">
        <f>1-(INDEX(Muuttujat!$O$5:$O$21,MATCH($C257,Muuttujat!$N$5:$N$21,0),1))</f>
        <v>0.91</v>
      </c>
      <c r="Q257" s="342">
        <f>INDEX(Muuttujat!$O$5:$O$21,MATCH($C257,Muuttujat!$N$5:$N$21,0),1)</f>
        <v>0.09</v>
      </c>
      <c r="R257" s="148">
        <f>INDEX(Muuttujat!$P$5:$P$21,MATCH($C257,Muuttujat!$N$5:$N$21,0),1)</f>
        <v>9.3804435869509845E-2</v>
      </c>
      <c r="S257" s="149">
        <f t="shared" si="57"/>
        <v>0</v>
      </c>
      <c r="T257" s="150">
        <f t="shared" si="58"/>
        <v>0</v>
      </c>
      <c r="U257" s="150">
        <f t="shared" si="59"/>
        <v>0</v>
      </c>
      <c r="V257" s="150">
        <f>IFERROR(INDEX(Työkonekanta!$J$3:$J$27,MATCH($A257,Työkonekanta!$A$3:$A$24,0),1)*$B257*ef_li_ion_akku/1000/1000/INDEX(Työkonekanta!$K$3:$K$27,MATCH($A257,Työkonekanta!$A$3:$A$24,0)),0)</f>
        <v>0</v>
      </c>
      <c r="W257" s="149">
        <f t="shared" si="60"/>
        <v>0</v>
      </c>
      <c r="X257" s="150">
        <f t="shared" si="74"/>
        <v>0</v>
      </c>
      <c r="Y257" s="151">
        <f t="shared" si="75"/>
        <v>0</v>
      </c>
      <c r="Z257" s="152">
        <f t="shared" si="64"/>
        <v>0</v>
      </c>
      <c r="AA257" s="153">
        <f t="shared" si="76"/>
        <v>0</v>
      </c>
      <c r="AB257" s="153">
        <f t="shared" si="77"/>
        <v>0</v>
      </c>
      <c r="AC257" s="154">
        <f t="shared" si="78"/>
        <v>0</v>
      </c>
      <c r="AD257" s="156">
        <f t="shared" si="79"/>
        <v>0</v>
      </c>
    </row>
    <row r="258" spans="1:30" s="144" customFormat="1">
      <c r="A258" s="139">
        <v>16</v>
      </c>
      <c r="B258" s="139">
        <f>IFERROR(INDEX(Työkonekanta!$F$3:$F$27,MATCH('S0a Baseline'!$A258,Työkonekanta!$A$3:$A$24,0),1),0)</f>
        <v>0</v>
      </c>
      <c r="C258" s="140">
        <v>2027</v>
      </c>
      <c r="D258" s="141" t="str">
        <f>IFERROR(INDEX(Työkonekanta!$D$3:$D$27,MATCH('S0a Baseline'!$A258,Työkonekanta!$A$3:$A$24,0),1),"undefined")</f>
        <v>sähkö</v>
      </c>
      <c r="E258" s="145">
        <f>IFERROR(INDEX(Työkonekanta!$G$3:$G$27,MATCH($A258,Työkonekanta!$A$3:$A$24,0),1)*INDEX(Työkonekanta!$H$3:$H$27,MATCH($A258,Työkonekanta!$A$3:$A$24,0),1)*$B258,0)</f>
        <v>0</v>
      </c>
      <c r="F258" s="344">
        <f t="shared" si="54"/>
        <v>0</v>
      </c>
      <c r="G258" s="344">
        <f t="shared" si="61"/>
        <v>0</v>
      </c>
      <c r="H258" s="344">
        <f t="shared" si="62"/>
        <v>0</v>
      </c>
      <c r="I258" s="145">
        <f t="shared" si="55"/>
        <v>0</v>
      </c>
      <c r="J258" s="145">
        <f t="shared" si="56"/>
        <v>0</v>
      </c>
      <c r="K258" s="142" t="str">
        <f t="shared" si="80"/>
        <v>kWh</v>
      </c>
      <c r="L258" s="146">
        <f>IFERROR(INDEX(Työkonekanta!$I$3:$I$27,MATCH('S0a Baseline'!$A258,Työkonekanta!$A$3:$A$24,0),1)*(I258+J258)*f_adblue,0)</f>
        <v>0</v>
      </c>
      <c r="M258" s="146">
        <f t="shared" si="73"/>
        <v>0</v>
      </c>
      <c r="N258" s="143" t="str">
        <f>IF(tuulisähkö_vuosi&lt;='S0a Baseline'!C258,"tuulisähkö",ostosähkö_nyt)</f>
        <v>jäännössähkö</v>
      </c>
      <c r="O258" s="147">
        <f>INDEX(Muuttujat!$J$5:$J$21,MATCH($C258,Muuttujat!$H$5:$H$21,0),1)</f>
        <v>63.897506909426724</v>
      </c>
      <c r="P258" s="342">
        <f>1-(INDEX(Muuttujat!$O$5:$O$21,MATCH($C258,Muuttujat!$N$5:$N$21,0),1))</f>
        <v>0.91</v>
      </c>
      <c r="Q258" s="342">
        <f>INDEX(Muuttujat!$O$5:$O$21,MATCH($C258,Muuttujat!$N$5:$N$21,0),1)</f>
        <v>0.09</v>
      </c>
      <c r="R258" s="148">
        <f>INDEX(Muuttujat!$P$5:$P$21,MATCH($C258,Muuttujat!$N$5:$N$21,0),1)</f>
        <v>9.3804435869509845E-2</v>
      </c>
      <c r="S258" s="149">
        <f t="shared" si="57"/>
        <v>0</v>
      </c>
      <c r="T258" s="150">
        <f t="shared" si="58"/>
        <v>0</v>
      </c>
      <c r="U258" s="150">
        <f t="shared" si="59"/>
        <v>0</v>
      </c>
      <c r="V258" s="150">
        <f>IFERROR(INDEX(Työkonekanta!$J$3:$J$27,MATCH($A258,Työkonekanta!$A$3:$A$24,0),1)*$B258*ef_li_ion_akku/1000/1000/INDEX(Työkonekanta!$K$3:$K$27,MATCH($A258,Työkonekanta!$A$3:$A$24,0)),0)</f>
        <v>0</v>
      </c>
      <c r="W258" s="149">
        <f t="shared" si="60"/>
        <v>0</v>
      </c>
      <c r="X258" s="150">
        <f t="shared" si="74"/>
        <v>0</v>
      </c>
      <c r="Y258" s="151">
        <f t="shared" si="75"/>
        <v>0</v>
      </c>
      <c r="Z258" s="152">
        <f t="shared" si="64"/>
        <v>0</v>
      </c>
      <c r="AA258" s="153">
        <f t="shared" si="76"/>
        <v>0</v>
      </c>
      <c r="AB258" s="153">
        <f t="shared" si="77"/>
        <v>0</v>
      </c>
      <c r="AC258" s="154">
        <f t="shared" si="78"/>
        <v>0</v>
      </c>
      <c r="AD258" s="156">
        <f t="shared" si="79"/>
        <v>0</v>
      </c>
    </row>
    <row r="259" spans="1:30" s="144" customFormat="1">
      <c r="A259" s="139">
        <v>17</v>
      </c>
      <c r="B259" s="139">
        <f>IFERROR(INDEX(Työkonekanta!$F$3:$F$27,MATCH('S0a Baseline'!$A259,Työkonekanta!$A$3:$A$24,0),1),0)</f>
        <v>1</v>
      </c>
      <c r="C259" s="140">
        <v>2027</v>
      </c>
      <c r="D259" s="141" t="str">
        <f>IFERROR(INDEX(Työkonekanta!$D$3:$D$27,MATCH('S0a Baseline'!$A259,Työkonekanta!$A$3:$A$24,0),1),"undefined")</f>
        <v>pom</v>
      </c>
      <c r="E259" s="145">
        <f>IFERROR(INDEX(Työkonekanta!$G$3:$G$27,MATCH($A259,Työkonekanta!$A$3:$A$24,0),1)*INDEX(Työkonekanta!$H$3:$H$27,MATCH($A259,Työkonekanta!$A$3:$A$24,0),1)*$B259,0)</f>
        <v>10000</v>
      </c>
      <c r="F259" s="344">
        <f t="shared" ref="F259:F322" si="81">IF(D259="pom",$E259*hv_pom,0)</f>
        <v>359000</v>
      </c>
      <c r="G259" s="344">
        <f t="shared" si="61"/>
        <v>326690</v>
      </c>
      <c r="H259" s="344">
        <f t="shared" si="62"/>
        <v>32310</v>
      </c>
      <c r="I259" s="145">
        <f t="shared" ref="I259:I322" si="82">$G259/hv_pom</f>
        <v>9100</v>
      </c>
      <c r="J259" s="145">
        <f t="shared" ref="J259:J322" si="83">$H259/hv_biodies</f>
        <v>941.98250728862979</v>
      </c>
      <c r="K259" s="142" t="str">
        <f t="shared" si="80"/>
        <v>l</v>
      </c>
      <c r="L259" s="146">
        <f>IFERROR(INDEX(Työkonekanta!$I$3:$I$27,MATCH('S0a Baseline'!$A259,Työkonekanta!$A$3:$A$24,0),1)*(I259+J259)*f_adblue,0)</f>
        <v>502.09912536443153</v>
      </c>
      <c r="M259" s="146">
        <f t="shared" ref="M259:M346" si="84">IF($D259="sähkö",conv_kwh_mj*$E259,0)</f>
        <v>0</v>
      </c>
      <c r="N259" s="143" t="str">
        <f>IF(tuulisähkö_vuosi&lt;='S0a Baseline'!C259,"tuulisähkö",ostosähkö_nyt)</f>
        <v>jäännössähkö</v>
      </c>
      <c r="O259" s="147">
        <f>INDEX(Muuttujat!$J$5:$J$21,MATCH($C259,Muuttujat!$H$5:$H$21,0),1)</f>
        <v>63.897506909426724</v>
      </c>
      <c r="P259" s="342">
        <f>1-(INDEX(Muuttujat!$O$5:$O$21,MATCH($C259,Muuttujat!$N$5:$N$21,0),1))</f>
        <v>0.91</v>
      </c>
      <c r="Q259" s="342">
        <f>INDEX(Muuttujat!$O$5:$O$21,MATCH($C259,Muuttujat!$N$5:$N$21,0),1)</f>
        <v>0.09</v>
      </c>
      <c r="R259" s="148">
        <f>INDEX(Muuttujat!$P$5:$P$21,MATCH($C259,Muuttujat!$N$5:$N$21,0),1)</f>
        <v>9.3804435869509845E-2</v>
      </c>
      <c r="S259" s="149">
        <f t="shared" ref="S259:S322" si="85">wtt_ef_e_co2_dies*$G259/1000/1000</f>
        <v>6.1744409999999998</v>
      </c>
      <c r="T259" s="150">
        <f t="shared" ref="T259:T322" si="86">wtt_ef_e_co2_biodies*$H259/1000/1000</f>
        <v>2.0161440000000002</v>
      </c>
      <c r="U259" s="150">
        <f t="shared" ref="U259:U322" si="87">IF(N259="jäännössähkö",$O259,IF(N259="tuulisähkö",wtt_ef_e_co2_el_wind,0))*$M259/1000/1000</f>
        <v>0</v>
      </c>
      <c r="V259" s="150">
        <f>IFERROR(INDEX(Työkonekanta!$J$3:$J$27,MATCH($A259,Työkonekanta!$A$3:$A$24,0),1)*$B259*ef_li_ion_akku/1000/1000/INDEX(Työkonekanta!$K$3:$K$27,MATCH($A259,Työkonekanta!$A$3:$A$24,0)),0)</f>
        <v>0</v>
      </c>
      <c r="W259" s="149">
        <f t="shared" ref="W259:W322" si="88">($I259*IF($D259="pom",ef_v_co2_pom,0))/1000/1000</f>
        <v>24.112418590259999</v>
      </c>
      <c r="X259" s="150">
        <f t="shared" ref="X259:X346" si="89">($E259*(IF($D259="pom",ef_v_ch4_pom,0)*gwp100_ch4+IF($D259="pom",ef_v_n2o_pom,0)*gwp100_n2o))/1000/1000</f>
        <v>0.31774565999999999</v>
      </c>
      <c r="Y259" s="151">
        <f t="shared" ref="Y259:Y346" si="90">$L259*ef_v_co2_adblue/1000/1000</f>
        <v>0.1305457725947522</v>
      </c>
      <c r="Z259" s="152">
        <f t="shared" si="64"/>
        <v>8.1905850000000004</v>
      </c>
      <c r="AA259" s="153">
        <f t="shared" si="76"/>
        <v>24.24296436285475</v>
      </c>
      <c r="AB259" s="153">
        <f t="shared" si="77"/>
        <v>24.560710022854749</v>
      </c>
      <c r="AC259" s="154">
        <f t="shared" ref="AC259:AC346" si="91">$Z259+$AA259</f>
        <v>32.433549362854748</v>
      </c>
      <c r="AD259" s="156">
        <f t="shared" si="79"/>
        <v>32.751295022854748</v>
      </c>
    </row>
    <row r="260" spans="1:30" s="144" customFormat="1">
      <c r="A260" s="139">
        <v>18</v>
      </c>
      <c r="B260" s="139">
        <f>IFERROR(INDEX(Työkonekanta!$F$3:$F$27,MATCH('S0a Baseline'!$A260,Työkonekanta!$A$3:$A$24,0),1),0)</f>
        <v>1</v>
      </c>
      <c r="C260" s="140">
        <v>2027</v>
      </c>
      <c r="D260" s="141" t="str">
        <f>IFERROR(INDEX(Työkonekanta!$D$3:$D$27,MATCH('S0a Baseline'!$A260,Työkonekanta!$A$3:$A$24,0),1),"undefined")</f>
        <v>pom</v>
      </c>
      <c r="E260" s="145">
        <f>IFERROR(INDEX(Työkonekanta!$G$3:$G$27,MATCH($A260,Työkonekanta!$A$3:$A$24,0),1)*INDEX(Työkonekanta!$H$3:$H$27,MATCH($A260,Työkonekanta!$A$3:$A$24,0),1)*$B260,0)</f>
        <v>10000</v>
      </c>
      <c r="F260" s="344">
        <f t="shared" si="81"/>
        <v>359000</v>
      </c>
      <c r="G260" s="344">
        <f t="shared" ref="G260:G323" si="92">$F260*$P260</f>
        <v>326690</v>
      </c>
      <c r="H260" s="344">
        <f t="shared" ref="H260:H323" si="93">$F260*$Q260</f>
        <v>32310</v>
      </c>
      <c r="I260" s="145">
        <f t="shared" si="82"/>
        <v>9100</v>
      </c>
      <c r="J260" s="145">
        <f t="shared" si="83"/>
        <v>941.98250728862979</v>
      </c>
      <c r="K260" s="142" t="str">
        <f t="shared" si="80"/>
        <v>l</v>
      </c>
      <c r="L260" s="146">
        <f>IFERROR(INDEX(Työkonekanta!$I$3:$I$27,MATCH('S0a Baseline'!$A260,Työkonekanta!$A$3:$A$24,0),1)*(I260+J260)*f_adblue,0)</f>
        <v>401.67930029154525</v>
      </c>
      <c r="M260" s="146">
        <f t="shared" si="84"/>
        <v>0</v>
      </c>
      <c r="N260" s="143" t="str">
        <f>IF(tuulisähkö_vuosi&lt;='S0a Baseline'!C260,"tuulisähkö",ostosähkö_nyt)</f>
        <v>jäännössähkö</v>
      </c>
      <c r="O260" s="147">
        <f>INDEX(Muuttujat!$J$5:$J$21,MATCH($C260,Muuttujat!$H$5:$H$21,0),1)</f>
        <v>63.897506909426724</v>
      </c>
      <c r="P260" s="342">
        <f>1-(INDEX(Muuttujat!$O$5:$O$21,MATCH($C260,Muuttujat!$N$5:$N$21,0),1))</f>
        <v>0.91</v>
      </c>
      <c r="Q260" s="342">
        <f>INDEX(Muuttujat!$O$5:$O$21,MATCH($C260,Muuttujat!$N$5:$N$21,0),1)</f>
        <v>0.09</v>
      </c>
      <c r="R260" s="148">
        <f>INDEX(Muuttujat!$P$5:$P$21,MATCH($C260,Muuttujat!$N$5:$N$21,0),1)</f>
        <v>9.3804435869509845E-2</v>
      </c>
      <c r="S260" s="149">
        <f t="shared" si="85"/>
        <v>6.1744409999999998</v>
      </c>
      <c r="T260" s="150">
        <f t="shared" si="86"/>
        <v>2.0161440000000002</v>
      </c>
      <c r="U260" s="150">
        <f t="shared" si="87"/>
        <v>0</v>
      </c>
      <c r="V260" s="150">
        <f>IFERROR(INDEX(Työkonekanta!$J$3:$J$27,MATCH($A260,Työkonekanta!$A$3:$A$24,0),1)*$B260*ef_li_ion_akku/1000/1000/INDEX(Työkonekanta!$K$3:$K$27,MATCH($A260,Työkonekanta!$A$3:$A$24,0)),0)</f>
        <v>0</v>
      </c>
      <c r="W260" s="149">
        <f t="shared" si="88"/>
        <v>24.112418590259999</v>
      </c>
      <c r="X260" s="150">
        <f t="shared" si="89"/>
        <v>0.31774565999999999</v>
      </c>
      <c r="Y260" s="151">
        <f t="shared" si="90"/>
        <v>0.10443661807580176</v>
      </c>
      <c r="Z260" s="152">
        <f t="shared" ref="Z260:Z323" si="94">SUM($S260:$V260)</f>
        <v>8.1905850000000004</v>
      </c>
      <c r="AA260" s="153">
        <f t="shared" ref="AA260:AA347" si="95">$W260+$Y260</f>
        <v>24.216855208335801</v>
      </c>
      <c r="AB260" s="153">
        <f t="shared" ref="AB260:AB347" si="96">SUM($W260:$Y260)</f>
        <v>24.534600868335801</v>
      </c>
      <c r="AC260" s="154">
        <f t="shared" si="91"/>
        <v>32.4074402083358</v>
      </c>
      <c r="AD260" s="156">
        <f t="shared" ref="AD260:AD347" si="97">$Z260+$AB260</f>
        <v>32.725185868335799</v>
      </c>
    </row>
    <row r="261" spans="1:30" s="144" customFormat="1">
      <c r="A261" s="139">
        <v>19</v>
      </c>
      <c r="B261" s="139">
        <f>IFERROR(INDEX(Työkonekanta!$F$3:$F$27,MATCH('S0a Baseline'!$A261,Työkonekanta!$A$3:$A$24,0),1),0)</f>
        <v>0</v>
      </c>
      <c r="C261" s="140">
        <v>2027</v>
      </c>
      <c r="D261" s="141" t="str">
        <f>IFERROR(INDEX(Työkonekanta!$D$3:$D$27,MATCH('S0a Baseline'!$A261,Työkonekanta!$A$3:$A$24,0),1),"undefined")</f>
        <v>pom</v>
      </c>
      <c r="E261" s="145">
        <f>IFERROR(INDEX(Työkonekanta!$G$3:$G$27,MATCH($A261,Työkonekanta!$A$3:$A$24,0),1)*INDEX(Työkonekanta!$H$3:$H$27,MATCH($A261,Työkonekanta!$A$3:$A$24,0),1)*$B261,0)</f>
        <v>0</v>
      </c>
      <c r="F261" s="344">
        <f t="shared" si="81"/>
        <v>0</v>
      </c>
      <c r="G261" s="344">
        <f t="shared" si="92"/>
        <v>0</v>
      </c>
      <c r="H261" s="344">
        <f t="shared" si="93"/>
        <v>0</v>
      </c>
      <c r="I261" s="145">
        <f t="shared" si="82"/>
        <v>0</v>
      </c>
      <c r="J261" s="145">
        <f t="shared" si="83"/>
        <v>0</v>
      </c>
      <c r="K261" s="142" t="str">
        <f t="shared" si="80"/>
        <v>l</v>
      </c>
      <c r="L261" s="146">
        <f>IFERROR(INDEX(Työkonekanta!$I$3:$I$27,MATCH('S0a Baseline'!$A261,Työkonekanta!$A$3:$A$24,0),1)*(I261+J261)*f_adblue,0)</f>
        <v>0</v>
      </c>
      <c r="M261" s="146">
        <f t="shared" si="84"/>
        <v>0</v>
      </c>
      <c r="N261" s="143" t="str">
        <f>IF(tuulisähkö_vuosi&lt;='S0a Baseline'!C261,"tuulisähkö",ostosähkö_nyt)</f>
        <v>jäännössähkö</v>
      </c>
      <c r="O261" s="147">
        <f>INDEX(Muuttujat!$J$5:$J$21,MATCH($C261,Muuttujat!$H$5:$H$21,0),1)</f>
        <v>63.897506909426724</v>
      </c>
      <c r="P261" s="342">
        <f>1-(INDEX(Muuttujat!$O$5:$O$21,MATCH($C261,Muuttujat!$N$5:$N$21,0),1))</f>
        <v>0.91</v>
      </c>
      <c r="Q261" s="342">
        <f>INDEX(Muuttujat!$O$5:$O$21,MATCH($C261,Muuttujat!$N$5:$N$21,0),1)</f>
        <v>0.09</v>
      </c>
      <c r="R261" s="148">
        <f>INDEX(Muuttujat!$P$5:$P$21,MATCH($C261,Muuttujat!$N$5:$N$21,0),1)</f>
        <v>9.3804435869509845E-2</v>
      </c>
      <c r="S261" s="149">
        <f t="shared" si="85"/>
        <v>0</v>
      </c>
      <c r="T261" s="150">
        <f t="shared" si="86"/>
        <v>0</v>
      </c>
      <c r="U261" s="150">
        <f t="shared" si="87"/>
        <v>0</v>
      </c>
      <c r="V261" s="150">
        <f>IFERROR(INDEX(Työkonekanta!$J$3:$J$27,MATCH($A261,Työkonekanta!$A$3:$A$24,0),1)*$B261*ef_li_ion_akku/1000/1000/INDEX(Työkonekanta!$K$3:$K$27,MATCH($A261,Työkonekanta!$A$3:$A$24,0)),0)</f>
        <v>0</v>
      </c>
      <c r="W261" s="149">
        <f t="shared" si="88"/>
        <v>0</v>
      </c>
      <c r="X261" s="150">
        <f t="shared" si="89"/>
        <v>0</v>
      </c>
      <c r="Y261" s="151">
        <f t="shared" si="90"/>
        <v>0</v>
      </c>
      <c r="Z261" s="152">
        <f t="shared" si="94"/>
        <v>0</v>
      </c>
      <c r="AA261" s="153">
        <f t="shared" si="95"/>
        <v>0</v>
      </c>
      <c r="AB261" s="153">
        <f t="shared" si="96"/>
        <v>0</v>
      </c>
      <c r="AC261" s="154">
        <f t="shared" si="91"/>
        <v>0</v>
      </c>
      <c r="AD261" s="156">
        <f t="shared" si="97"/>
        <v>0</v>
      </c>
    </row>
    <row r="262" spans="1:30" s="144" customFormat="1">
      <c r="A262" s="139">
        <v>20</v>
      </c>
      <c r="B262" s="139">
        <f>IFERROR(INDEX(Työkonekanta!$F$3:$F$27,MATCH('S0a Baseline'!$A262,Työkonekanta!$A$3:$A$24,0),1),0)</f>
        <v>0</v>
      </c>
      <c r="C262" s="140">
        <v>2027</v>
      </c>
      <c r="D262" s="141" t="str">
        <f>IFERROR(INDEX(Työkonekanta!$D$3:$D$27,MATCH('S0a Baseline'!$A262,Työkonekanta!$A$3:$A$24,0),1),"undefined")</f>
        <v>pom</v>
      </c>
      <c r="E262" s="145">
        <f>IFERROR(INDEX(Työkonekanta!$G$3:$G$27,MATCH($A262,Työkonekanta!$A$3:$A$24,0),1)*INDEX(Työkonekanta!$H$3:$H$27,MATCH($A262,Työkonekanta!$A$3:$A$24,0),1)*$B262,0)</f>
        <v>0</v>
      </c>
      <c r="F262" s="344">
        <f t="shared" si="81"/>
        <v>0</v>
      </c>
      <c r="G262" s="344">
        <f t="shared" si="92"/>
        <v>0</v>
      </c>
      <c r="H262" s="344">
        <f t="shared" si="93"/>
        <v>0</v>
      </c>
      <c r="I262" s="145">
        <f t="shared" si="82"/>
        <v>0</v>
      </c>
      <c r="J262" s="145">
        <f t="shared" si="83"/>
        <v>0</v>
      </c>
      <c r="K262" s="142" t="str">
        <f t="shared" si="80"/>
        <v>l</v>
      </c>
      <c r="L262" s="146">
        <f>IFERROR(INDEX(Työkonekanta!$I$3:$I$27,MATCH('S0a Baseline'!$A262,Työkonekanta!$A$3:$A$24,0),1)*(I262+J262)*f_adblue,0)</f>
        <v>0</v>
      </c>
      <c r="M262" s="146">
        <f t="shared" si="84"/>
        <v>0</v>
      </c>
      <c r="N262" s="143" t="str">
        <f>IF(tuulisähkö_vuosi&lt;='S0a Baseline'!C262,"tuulisähkö",ostosähkö_nyt)</f>
        <v>jäännössähkö</v>
      </c>
      <c r="O262" s="147">
        <f>INDEX(Muuttujat!$J$5:$J$21,MATCH($C262,Muuttujat!$H$5:$H$21,0),1)</f>
        <v>63.897506909426724</v>
      </c>
      <c r="P262" s="342">
        <f>1-(INDEX(Muuttujat!$O$5:$O$21,MATCH($C262,Muuttujat!$N$5:$N$21,0),1))</f>
        <v>0.91</v>
      </c>
      <c r="Q262" s="342">
        <f>INDEX(Muuttujat!$O$5:$O$21,MATCH($C262,Muuttujat!$N$5:$N$21,0),1)</f>
        <v>0.09</v>
      </c>
      <c r="R262" s="148">
        <f>INDEX(Muuttujat!$P$5:$P$21,MATCH($C262,Muuttujat!$N$5:$N$21,0),1)</f>
        <v>9.3804435869509845E-2</v>
      </c>
      <c r="S262" s="149">
        <f t="shared" si="85"/>
        <v>0</v>
      </c>
      <c r="T262" s="150">
        <f t="shared" si="86"/>
        <v>0</v>
      </c>
      <c r="U262" s="150">
        <f t="shared" si="87"/>
        <v>0</v>
      </c>
      <c r="V262" s="150">
        <f>IFERROR(INDEX(Työkonekanta!$J$3:$J$27,MATCH($A262,Työkonekanta!$A$3:$A$24,0),1)*$B262*ef_li_ion_akku/1000/1000/INDEX(Työkonekanta!$K$3:$K$27,MATCH($A262,Työkonekanta!$A$3:$A$24,0)),0)</f>
        <v>0</v>
      </c>
      <c r="W262" s="149">
        <f t="shared" si="88"/>
        <v>0</v>
      </c>
      <c r="X262" s="150">
        <f t="shared" si="89"/>
        <v>0</v>
      </c>
      <c r="Y262" s="151">
        <f t="shared" si="90"/>
        <v>0</v>
      </c>
      <c r="Z262" s="152">
        <f t="shared" si="94"/>
        <v>0</v>
      </c>
      <c r="AA262" s="153">
        <f t="shared" si="95"/>
        <v>0</v>
      </c>
      <c r="AB262" s="153">
        <f t="shared" si="96"/>
        <v>0</v>
      </c>
      <c r="AC262" s="154">
        <f t="shared" si="91"/>
        <v>0</v>
      </c>
      <c r="AD262" s="156">
        <f t="shared" si="97"/>
        <v>0</v>
      </c>
    </row>
    <row r="263" spans="1:30" s="144" customFormat="1">
      <c r="A263" s="139">
        <v>21</v>
      </c>
      <c r="B263" s="139">
        <f>IFERROR(INDEX(Työkonekanta!$F$3:$F$27,MATCH('S0a Baseline'!$A263,Työkonekanta!$A$3:$A$24,0),1),0)</f>
        <v>35</v>
      </c>
      <c r="C263" s="140">
        <v>2027</v>
      </c>
      <c r="D263" s="141" t="str">
        <f>IFERROR(INDEX(Työkonekanta!$D$3:$D$27,MATCH('S0a Baseline'!$A263,Työkonekanta!$A$3:$A$24,0),1),"undefined")</f>
        <v>sähkö</v>
      </c>
      <c r="E263" s="145">
        <f>IFERROR(INDEX(Työkonekanta!$G$3:$G$27,MATCH($A263,Työkonekanta!$A$3:$A$24,0),1)*INDEX(Työkonekanta!$H$3:$H$27,MATCH($A263,Työkonekanta!$A$3:$A$24,0),1)*$B263,0)</f>
        <v>407199.07407407404</v>
      </c>
      <c r="F263" s="344">
        <f t="shared" si="81"/>
        <v>0</v>
      </c>
      <c r="G263" s="344">
        <f t="shared" si="92"/>
        <v>0</v>
      </c>
      <c r="H263" s="344">
        <f t="shared" si="93"/>
        <v>0</v>
      </c>
      <c r="I263" s="145">
        <f t="shared" si="82"/>
        <v>0</v>
      </c>
      <c r="J263" s="145">
        <f t="shared" si="83"/>
        <v>0</v>
      </c>
      <c r="K263" s="142" t="str">
        <f t="shared" si="80"/>
        <v>kWh</v>
      </c>
      <c r="L263" s="146">
        <f>IFERROR(INDEX(Työkonekanta!$I$3:$I$27,MATCH('S0a Baseline'!$A263,Työkonekanta!$A$3:$A$24,0),1)*(I263+J263)*f_adblue,0)</f>
        <v>0</v>
      </c>
      <c r="M263" s="146">
        <f t="shared" si="84"/>
        <v>1465916.6666666665</v>
      </c>
      <c r="N263" s="143" t="str">
        <f>IF(tuulisähkö_vuosi&lt;='S0a Baseline'!C263,"tuulisähkö",ostosähkö_nyt)</f>
        <v>jäännössähkö</v>
      </c>
      <c r="O263" s="147">
        <f>INDEX(Muuttujat!$J$5:$J$21,MATCH($C263,Muuttujat!$H$5:$H$21,0),1)</f>
        <v>63.897506909426724</v>
      </c>
      <c r="P263" s="342">
        <f>1-(INDEX(Muuttujat!$O$5:$O$21,MATCH($C263,Muuttujat!$N$5:$N$21,0),1))</f>
        <v>0.91</v>
      </c>
      <c r="Q263" s="342">
        <f>INDEX(Muuttujat!$O$5:$O$21,MATCH($C263,Muuttujat!$N$5:$N$21,0),1)</f>
        <v>0.09</v>
      </c>
      <c r="R263" s="148">
        <f>INDEX(Muuttujat!$P$5:$P$21,MATCH($C263,Muuttujat!$N$5:$N$21,0),1)</f>
        <v>9.3804435869509845E-2</v>
      </c>
      <c r="S263" s="149">
        <f t="shared" si="85"/>
        <v>0</v>
      </c>
      <c r="T263" s="150">
        <f t="shared" si="86"/>
        <v>0</v>
      </c>
      <c r="U263" s="150">
        <f t="shared" si="87"/>
        <v>93.668420336977107</v>
      </c>
      <c r="V263" s="150">
        <f>IFERROR(INDEX(Työkonekanta!$J$3:$J$27,MATCH($A263,Työkonekanta!$A$3:$A$24,0),1)*$B263*ef_li_ion_akku/1000/1000/INDEX(Työkonekanta!$K$3:$K$27,MATCH($A263,Työkonekanta!$A$3:$A$24,0)),0)</f>
        <v>43.121723076923082</v>
      </c>
      <c r="W263" s="149">
        <f t="shared" si="88"/>
        <v>0</v>
      </c>
      <c r="X263" s="150">
        <f t="shared" si="89"/>
        <v>0</v>
      </c>
      <c r="Y263" s="151">
        <f t="shared" si="90"/>
        <v>0</v>
      </c>
      <c r="Z263" s="152">
        <f t="shared" si="94"/>
        <v>136.79014341390018</v>
      </c>
      <c r="AA263" s="153">
        <f t="shared" si="95"/>
        <v>0</v>
      </c>
      <c r="AB263" s="153">
        <f t="shared" si="96"/>
        <v>0</v>
      </c>
      <c r="AC263" s="154">
        <f t="shared" si="91"/>
        <v>136.79014341390018</v>
      </c>
      <c r="AD263" s="156">
        <f t="shared" si="97"/>
        <v>136.79014341390018</v>
      </c>
    </row>
    <row r="264" spans="1:30" s="144" customFormat="1">
      <c r="A264" s="139">
        <v>22</v>
      </c>
      <c r="B264" s="139">
        <f>IFERROR(INDEX(Työkonekanta!$F$3:$F$27,MATCH('S0a Baseline'!$A264,Työkonekanta!$A$3:$A$24,0),1),0)</f>
        <v>0</v>
      </c>
      <c r="C264" s="140">
        <v>2027</v>
      </c>
      <c r="D264" s="141" t="str">
        <f>IFERROR(INDEX(Työkonekanta!$D$3:$D$27,MATCH('S0a Baseline'!$A264,Työkonekanta!$A$3:$A$24,0),1),"undefined")</f>
        <v>sähkö</v>
      </c>
      <c r="E264" s="145">
        <f>IFERROR(INDEX(Työkonekanta!$G$3:$G$27,MATCH($A264,Työkonekanta!$A$3:$A$24,0),1)*INDEX(Työkonekanta!$H$3:$H$27,MATCH($A264,Työkonekanta!$A$3:$A$24,0),1)*$B264,0)</f>
        <v>0</v>
      </c>
      <c r="F264" s="344">
        <f t="shared" si="81"/>
        <v>0</v>
      </c>
      <c r="G264" s="344">
        <f t="shared" si="92"/>
        <v>0</v>
      </c>
      <c r="H264" s="344">
        <f t="shared" si="93"/>
        <v>0</v>
      </c>
      <c r="I264" s="145">
        <f t="shared" si="82"/>
        <v>0</v>
      </c>
      <c r="J264" s="145">
        <f t="shared" si="83"/>
        <v>0</v>
      </c>
      <c r="K264" s="142" t="str">
        <f t="shared" si="80"/>
        <v>kWh</v>
      </c>
      <c r="L264" s="146">
        <f>IFERROR(INDEX(Työkonekanta!$I$3:$I$27,MATCH('S0a Baseline'!$A264,Työkonekanta!$A$3:$A$24,0),1)*(I264+J264)*f_adblue,0)</f>
        <v>0</v>
      </c>
      <c r="M264" s="146">
        <f t="shared" si="84"/>
        <v>0</v>
      </c>
      <c r="N264" s="143" t="str">
        <f>IF(tuulisähkö_vuosi&lt;='S0a Baseline'!C264,"tuulisähkö",ostosähkö_nyt)</f>
        <v>jäännössähkö</v>
      </c>
      <c r="O264" s="147">
        <f>INDEX(Muuttujat!$J$5:$J$21,MATCH($C264,Muuttujat!$H$5:$H$21,0),1)</f>
        <v>63.897506909426724</v>
      </c>
      <c r="P264" s="342">
        <f>1-(INDEX(Muuttujat!$O$5:$O$21,MATCH($C264,Muuttujat!$N$5:$N$21,0),1))</f>
        <v>0.91</v>
      </c>
      <c r="Q264" s="342">
        <f>INDEX(Muuttujat!$O$5:$O$21,MATCH($C264,Muuttujat!$N$5:$N$21,0),1)</f>
        <v>0.09</v>
      </c>
      <c r="R264" s="148">
        <f>INDEX(Muuttujat!$P$5:$P$21,MATCH($C264,Muuttujat!$N$5:$N$21,0),1)</f>
        <v>9.3804435869509845E-2</v>
      </c>
      <c r="S264" s="149">
        <f t="shared" si="85"/>
        <v>0</v>
      </c>
      <c r="T264" s="150">
        <f t="shared" si="86"/>
        <v>0</v>
      </c>
      <c r="U264" s="150">
        <f t="shared" si="87"/>
        <v>0</v>
      </c>
      <c r="V264" s="150">
        <f>IFERROR(INDEX(Työkonekanta!$J$3:$J$27,MATCH($A264,Työkonekanta!$A$3:$A$24,0),1)*$B264*ef_li_ion_akku/1000/1000/INDEX(Työkonekanta!$K$3:$K$27,MATCH($A264,Työkonekanta!$A$3:$A$24,0)),0)</f>
        <v>0</v>
      </c>
      <c r="W264" s="149">
        <f t="shared" si="88"/>
        <v>0</v>
      </c>
      <c r="X264" s="150">
        <f t="shared" si="89"/>
        <v>0</v>
      </c>
      <c r="Y264" s="151">
        <f t="shared" si="90"/>
        <v>0</v>
      </c>
      <c r="Z264" s="152">
        <f t="shared" si="94"/>
        <v>0</v>
      </c>
      <c r="AA264" s="153">
        <f t="shared" si="95"/>
        <v>0</v>
      </c>
      <c r="AB264" s="153">
        <f t="shared" si="96"/>
        <v>0</v>
      </c>
      <c r="AC264" s="154">
        <f t="shared" si="91"/>
        <v>0</v>
      </c>
      <c r="AD264" s="156">
        <f t="shared" si="97"/>
        <v>0</v>
      </c>
    </row>
    <row r="265" spans="1:30" s="144" customFormat="1">
      <c r="A265" s="139">
        <v>23</v>
      </c>
      <c r="B265" s="139">
        <f>IFERROR(INDEX(Työkonekanta!$F$3:$F$27,MATCH('S0a Baseline'!$A265,Työkonekanta!$A$3:$A$24,0),1),0)</f>
        <v>0</v>
      </c>
      <c r="C265" s="140">
        <v>2027</v>
      </c>
      <c r="D265" s="141" t="str">
        <f>IFERROR(INDEX(Työkonekanta!$D$3:$D$27,MATCH('S0a Baseline'!$A265,Työkonekanta!$A$3:$A$24,0),1),"undefined")</f>
        <v>undefined</v>
      </c>
      <c r="E265" s="145">
        <f>IFERROR(INDEX(Työkonekanta!$G$3:$G$27,MATCH($A265,Työkonekanta!$A$3:$A$24,0),1)*INDEX(Työkonekanta!$H$3:$H$27,MATCH($A265,Työkonekanta!$A$3:$A$24,0),1)*$B265,0)</f>
        <v>0</v>
      </c>
      <c r="F265" s="344">
        <f t="shared" si="81"/>
        <v>0</v>
      </c>
      <c r="G265" s="344">
        <f t="shared" si="92"/>
        <v>0</v>
      </c>
      <c r="H265" s="344">
        <f t="shared" si="93"/>
        <v>0</v>
      </c>
      <c r="I265" s="145">
        <f t="shared" si="82"/>
        <v>0</v>
      </c>
      <c r="J265" s="145">
        <f t="shared" si="83"/>
        <v>0</v>
      </c>
      <c r="K265" s="142" t="str">
        <f t="shared" si="80"/>
        <v>undefined</v>
      </c>
      <c r="L265" s="146">
        <f>IFERROR(INDEX(Työkonekanta!$I$3:$I$27,MATCH('S0a Baseline'!$A265,Työkonekanta!$A$3:$A$24,0),1)*(I265+J265)*f_adblue,0)</f>
        <v>0</v>
      </c>
      <c r="M265" s="146">
        <f t="shared" si="84"/>
        <v>0</v>
      </c>
      <c r="N265" s="143" t="str">
        <f>IF(tuulisähkö_vuosi&lt;='S0a Baseline'!C265,"tuulisähkö",ostosähkö_nyt)</f>
        <v>jäännössähkö</v>
      </c>
      <c r="O265" s="147">
        <f>INDEX(Muuttujat!$J$5:$J$21,MATCH($C265,Muuttujat!$H$5:$H$21,0),1)</f>
        <v>63.897506909426724</v>
      </c>
      <c r="P265" s="342">
        <f>1-(INDEX(Muuttujat!$O$5:$O$21,MATCH($C265,Muuttujat!$N$5:$N$21,0),1))</f>
        <v>0.91</v>
      </c>
      <c r="Q265" s="342">
        <f>INDEX(Muuttujat!$O$5:$O$21,MATCH($C265,Muuttujat!$N$5:$N$21,0),1)</f>
        <v>0.09</v>
      </c>
      <c r="R265" s="148">
        <f>INDEX(Muuttujat!$P$5:$P$21,MATCH($C265,Muuttujat!$N$5:$N$21,0),1)</f>
        <v>9.3804435869509845E-2</v>
      </c>
      <c r="S265" s="149">
        <f t="shared" si="85"/>
        <v>0</v>
      </c>
      <c r="T265" s="150">
        <f t="shared" si="86"/>
        <v>0</v>
      </c>
      <c r="U265" s="150">
        <f t="shared" si="87"/>
        <v>0</v>
      </c>
      <c r="V265" s="150">
        <f>IFERROR(INDEX(Työkonekanta!$J$3:$J$27,MATCH($A265,Työkonekanta!$A$3:$A$24,0),1)*$B265*ef_li_ion_akku/1000/1000/INDEX(Työkonekanta!$K$3:$K$27,MATCH($A265,Työkonekanta!$A$3:$A$24,0)),0)</f>
        <v>0</v>
      </c>
      <c r="W265" s="149">
        <f t="shared" si="88"/>
        <v>0</v>
      </c>
      <c r="X265" s="150">
        <f t="shared" si="89"/>
        <v>0</v>
      </c>
      <c r="Y265" s="151">
        <f t="shared" si="90"/>
        <v>0</v>
      </c>
      <c r="Z265" s="152">
        <f t="shared" si="94"/>
        <v>0</v>
      </c>
      <c r="AA265" s="153">
        <f t="shared" si="95"/>
        <v>0</v>
      </c>
      <c r="AB265" s="153">
        <f t="shared" si="96"/>
        <v>0</v>
      </c>
      <c r="AC265" s="154">
        <f t="shared" si="91"/>
        <v>0</v>
      </c>
      <c r="AD265" s="156">
        <f t="shared" si="97"/>
        <v>0</v>
      </c>
    </row>
    <row r="266" spans="1:30" s="144" customFormat="1">
      <c r="A266" s="139">
        <v>24</v>
      </c>
      <c r="B266" s="139">
        <f>IFERROR(INDEX(Työkonekanta!$F$3:$F$27,MATCH('S0a Baseline'!$A266,Työkonekanta!$A$3:$A$24,0),1),0)</f>
        <v>0</v>
      </c>
      <c r="C266" s="140">
        <v>2027</v>
      </c>
      <c r="D266" s="141" t="str">
        <f>IFERROR(INDEX(Työkonekanta!$D$3:$D$27,MATCH('S0a Baseline'!$A266,Työkonekanta!$A$3:$A$24,0),1),"undefined")</f>
        <v>undefined</v>
      </c>
      <c r="E266" s="145">
        <f>IFERROR(INDEX(Työkonekanta!$G$3:$G$27,MATCH($A266,Työkonekanta!$A$3:$A$24,0),1)*INDEX(Työkonekanta!$H$3:$H$27,MATCH($A266,Työkonekanta!$A$3:$A$24,0),1)*$B266,0)</f>
        <v>0</v>
      </c>
      <c r="F266" s="344">
        <f t="shared" si="81"/>
        <v>0</v>
      </c>
      <c r="G266" s="344">
        <f t="shared" si="92"/>
        <v>0</v>
      </c>
      <c r="H266" s="344">
        <f t="shared" si="93"/>
        <v>0</v>
      </c>
      <c r="I266" s="145">
        <f t="shared" si="82"/>
        <v>0</v>
      </c>
      <c r="J266" s="145">
        <f t="shared" si="83"/>
        <v>0</v>
      </c>
      <c r="K266" s="142" t="str">
        <f t="shared" si="80"/>
        <v>undefined</v>
      </c>
      <c r="L266" s="146">
        <f>IFERROR(INDEX(Työkonekanta!$I$3:$I$27,MATCH('S0a Baseline'!$A266,Työkonekanta!$A$3:$A$24,0),1)*(I266+J266)*f_adblue,0)</f>
        <v>0</v>
      </c>
      <c r="M266" s="146">
        <f t="shared" si="84"/>
        <v>0</v>
      </c>
      <c r="N266" s="143" t="str">
        <f>IF(tuulisähkö_vuosi&lt;='S0a Baseline'!C266,"tuulisähkö",ostosähkö_nyt)</f>
        <v>jäännössähkö</v>
      </c>
      <c r="O266" s="147">
        <f>INDEX(Muuttujat!$J$5:$J$21,MATCH($C266,Muuttujat!$H$5:$H$21,0),1)</f>
        <v>63.897506909426724</v>
      </c>
      <c r="P266" s="342">
        <f>1-(INDEX(Muuttujat!$O$5:$O$21,MATCH($C266,Muuttujat!$N$5:$N$21,0),1))</f>
        <v>0.91</v>
      </c>
      <c r="Q266" s="342">
        <f>INDEX(Muuttujat!$O$5:$O$21,MATCH($C266,Muuttujat!$N$5:$N$21,0),1)</f>
        <v>0.09</v>
      </c>
      <c r="R266" s="148">
        <f>INDEX(Muuttujat!$P$5:$P$21,MATCH($C266,Muuttujat!$N$5:$N$21,0),1)</f>
        <v>9.3804435869509845E-2</v>
      </c>
      <c r="S266" s="149">
        <f t="shared" si="85"/>
        <v>0</v>
      </c>
      <c r="T266" s="150">
        <f t="shared" si="86"/>
        <v>0</v>
      </c>
      <c r="U266" s="150">
        <f t="shared" si="87"/>
        <v>0</v>
      </c>
      <c r="V266" s="150">
        <f>IFERROR(INDEX(Työkonekanta!$J$3:$J$27,MATCH($A266,Työkonekanta!$A$3:$A$24,0),1)*$B266*ef_li_ion_akku/1000/1000/INDEX(Työkonekanta!$K$3:$K$27,MATCH($A266,Työkonekanta!$A$3:$A$24,0)),0)</f>
        <v>0</v>
      </c>
      <c r="W266" s="149">
        <f t="shared" si="88"/>
        <v>0</v>
      </c>
      <c r="X266" s="150">
        <f t="shared" si="89"/>
        <v>0</v>
      </c>
      <c r="Y266" s="151">
        <f t="shared" si="90"/>
        <v>0</v>
      </c>
      <c r="Z266" s="152">
        <f t="shared" si="94"/>
        <v>0</v>
      </c>
      <c r="AA266" s="153">
        <f t="shared" si="95"/>
        <v>0</v>
      </c>
      <c r="AB266" s="153">
        <f t="shared" si="96"/>
        <v>0</v>
      </c>
      <c r="AC266" s="154">
        <f t="shared" si="91"/>
        <v>0</v>
      </c>
      <c r="AD266" s="156">
        <f t="shared" si="97"/>
        <v>0</v>
      </c>
    </row>
    <row r="267" spans="1:30" s="144" customFormat="1">
      <c r="A267" s="139">
        <v>25</v>
      </c>
      <c r="B267" s="139">
        <f>IFERROR(INDEX(Työkonekanta!$F$3:$F$27,MATCH('S0a Baseline'!$A267,Työkonekanta!$A$3:$A$24,0),1),0)</f>
        <v>0</v>
      </c>
      <c r="C267" s="140">
        <v>2027</v>
      </c>
      <c r="D267" s="141" t="str">
        <f>IFERROR(INDEX(Työkonekanta!$D$3:$D$27,MATCH('S0a Baseline'!$A267,Työkonekanta!$A$3:$A$24,0),1),"undefined")</f>
        <v>undefined</v>
      </c>
      <c r="E267" s="145">
        <f>IFERROR(INDEX(Työkonekanta!$G$3:$G$27,MATCH($A267,Työkonekanta!$A$3:$A$24,0),1)*INDEX(Työkonekanta!$H$3:$H$27,MATCH($A267,Työkonekanta!$A$3:$A$24,0),1)*$B267,0)</f>
        <v>0</v>
      </c>
      <c r="F267" s="344">
        <f t="shared" si="81"/>
        <v>0</v>
      </c>
      <c r="G267" s="344">
        <f t="shared" si="92"/>
        <v>0</v>
      </c>
      <c r="H267" s="344">
        <f t="shared" si="93"/>
        <v>0</v>
      </c>
      <c r="I267" s="145">
        <f t="shared" si="82"/>
        <v>0</v>
      </c>
      <c r="J267" s="145">
        <f t="shared" si="83"/>
        <v>0</v>
      </c>
      <c r="K267" s="142" t="str">
        <f t="shared" si="80"/>
        <v>undefined</v>
      </c>
      <c r="L267" s="146">
        <f>IFERROR(INDEX(Työkonekanta!$I$3:$I$27,MATCH('S0a Baseline'!$A267,Työkonekanta!$A$3:$A$24,0),1)*(I267+J267)*f_adblue,0)</f>
        <v>0</v>
      </c>
      <c r="M267" s="146">
        <f t="shared" si="84"/>
        <v>0</v>
      </c>
      <c r="N267" s="143" t="str">
        <f>IF(tuulisähkö_vuosi&lt;='S0a Baseline'!C267,"tuulisähkö",ostosähkö_nyt)</f>
        <v>jäännössähkö</v>
      </c>
      <c r="O267" s="147">
        <f>INDEX(Muuttujat!$J$5:$J$21,MATCH($C267,Muuttujat!$H$5:$H$21,0),1)</f>
        <v>63.897506909426724</v>
      </c>
      <c r="P267" s="342">
        <f>1-(INDEX(Muuttujat!$O$5:$O$21,MATCH($C267,Muuttujat!$N$5:$N$21,0),1))</f>
        <v>0.91</v>
      </c>
      <c r="Q267" s="342">
        <f>INDEX(Muuttujat!$O$5:$O$21,MATCH($C267,Muuttujat!$N$5:$N$21,0),1)</f>
        <v>0.09</v>
      </c>
      <c r="R267" s="148">
        <f>INDEX(Muuttujat!$P$5:$P$21,MATCH($C267,Muuttujat!$N$5:$N$21,0),1)</f>
        <v>9.3804435869509845E-2</v>
      </c>
      <c r="S267" s="149">
        <f t="shared" si="85"/>
        <v>0</v>
      </c>
      <c r="T267" s="150">
        <f t="shared" si="86"/>
        <v>0</v>
      </c>
      <c r="U267" s="150">
        <f t="shared" si="87"/>
        <v>0</v>
      </c>
      <c r="V267" s="150">
        <f>IFERROR(INDEX(Työkonekanta!$J$3:$J$27,MATCH($A267,Työkonekanta!$A$3:$A$24,0),1)*$B267*ef_li_ion_akku/1000/1000/INDEX(Työkonekanta!$K$3:$K$27,MATCH($A267,Työkonekanta!$A$3:$A$24,0)),0)</f>
        <v>0</v>
      </c>
      <c r="W267" s="149">
        <f t="shared" si="88"/>
        <v>0</v>
      </c>
      <c r="X267" s="150">
        <f t="shared" si="89"/>
        <v>0</v>
      </c>
      <c r="Y267" s="151">
        <f t="shared" si="90"/>
        <v>0</v>
      </c>
      <c r="Z267" s="152">
        <f t="shared" si="94"/>
        <v>0</v>
      </c>
      <c r="AA267" s="153">
        <f t="shared" si="95"/>
        <v>0</v>
      </c>
      <c r="AB267" s="153">
        <f t="shared" si="96"/>
        <v>0</v>
      </c>
      <c r="AC267" s="154">
        <f t="shared" si="91"/>
        <v>0</v>
      </c>
      <c r="AD267" s="156">
        <f t="shared" si="97"/>
        <v>0</v>
      </c>
    </row>
    <row r="268" spans="1:30" s="144" customFormat="1">
      <c r="A268" s="139">
        <v>26</v>
      </c>
      <c r="B268" s="139">
        <f>IFERROR(INDEX(Työkonekanta!$F$3:$F$27,MATCH('S0a Baseline'!$A268,Työkonekanta!$A$3:$A$24,0),1),0)</f>
        <v>0</v>
      </c>
      <c r="C268" s="140">
        <v>2027</v>
      </c>
      <c r="D268" s="141" t="str">
        <f>IFERROR(INDEX(Työkonekanta!$D$3:$D$27,MATCH('S0a Baseline'!$A268,Työkonekanta!$A$3:$A$24,0),1),"undefined")</f>
        <v>undefined</v>
      </c>
      <c r="E268" s="145">
        <f>IFERROR(INDEX(Työkonekanta!$G$3:$G$27,MATCH($A268,Työkonekanta!$A$3:$A$24,0),1)*INDEX(Työkonekanta!$H$3:$H$27,MATCH($A268,Työkonekanta!$A$3:$A$24,0),1)*$B268,0)</f>
        <v>0</v>
      </c>
      <c r="F268" s="344">
        <f t="shared" si="81"/>
        <v>0</v>
      </c>
      <c r="G268" s="344">
        <f t="shared" si="92"/>
        <v>0</v>
      </c>
      <c r="H268" s="344">
        <f t="shared" si="93"/>
        <v>0</v>
      </c>
      <c r="I268" s="145">
        <f t="shared" si="82"/>
        <v>0</v>
      </c>
      <c r="J268" s="145">
        <f t="shared" si="83"/>
        <v>0</v>
      </c>
      <c r="K268" s="142" t="str">
        <f t="shared" si="80"/>
        <v>undefined</v>
      </c>
      <c r="L268" s="146">
        <f>IFERROR(INDEX(Työkonekanta!$I$3:$I$27,MATCH('S0a Baseline'!$A268,Työkonekanta!$A$3:$A$24,0),1)*(I268+J268)*f_adblue,0)</f>
        <v>0</v>
      </c>
      <c r="M268" s="146">
        <f t="shared" si="84"/>
        <v>0</v>
      </c>
      <c r="N268" s="143" t="str">
        <f>IF(tuulisähkö_vuosi&lt;='S0a Baseline'!C268,"tuulisähkö",ostosähkö_nyt)</f>
        <v>jäännössähkö</v>
      </c>
      <c r="O268" s="147">
        <f>INDEX(Muuttujat!$J$5:$J$21,MATCH($C268,Muuttujat!$H$5:$H$21,0),1)</f>
        <v>63.897506909426724</v>
      </c>
      <c r="P268" s="342">
        <f>1-(INDEX(Muuttujat!$O$5:$O$21,MATCH($C268,Muuttujat!$N$5:$N$21,0),1))</f>
        <v>0.91</v>
      </c>
      <c r="Q268" s="342">
        <f>INDEX(Muuttujat!$O$5:$O$21,MATCH($C268,Muuttujat!$N$5:$N$21,0),1)</f>
        <v>0.09</v>
      </c>
      <c r="R268" s="148">
        <f>INDEX(Muuttujat!$P$5:$P$21,MATCH($C268,Muuttujat!$N$5:$N$21,0),1)</f>
        <v>9.3804435869509845E-2</v>
      </c>
      <c r="S268" s="149">
        <f t="shared" si="85"/>
        <v>0</v>
      </c>
      <c r="T268" s="150">
        <f t="shared" si="86"/>
        <v>0</v>
      </c>
      <c r="U268" s="150">
        <f t="shared" si="87"/>
        <v>0</v>
      </c>
      <c r="V268" s="150">
        <f>IFERROR(INDEX(Työkonekanta!$J$3:$J$27,MATCH($A268,Työkonekanta!$A$3:$A$24,0),1)*$B268*ef_li_ion_akku/1000/1000/INDEX(Työkonekanta!$K$3:$K$27,MATCH($A268,Työkonekanta!$A$3:$A$24,0)),0)</f>
        <v>0</v>
      </c>
      <c r="W268" s="149">
        <f t="shared" si="88"/>
        <v>0</v>
      </c>
      <c r="X268" s="150">
        <f t="shared" si="89"/>
        <v>0</v>
      </c>
      <c r="Y268" s="151">
        <f t="shared" si="90"/>
        <v>0</v>
      </c>
      <c r="Z268" s="152">
        <f t="shared" si="94"/>
        <v>0</v>
      </c>
      <c r="AA268" s="153">
        <f t="shared" si="95"/>
        <v>0</v>
      </c>
      <c r="AB268" s="153">
        <f t="shared" si="96"/>
        <v>0</v>
      </c>
      <c r="AC268" s="154">
        <f t="shared" si="91"/>
        <v>0</v>
      </c>
      <c r="AD268" s="156">
        <f t="shared" si="97"/>
        <v>0</v>
      </c>
    </row>
    <row r="269" spans="1:30" s="144" customFormat="1">
      <c r="A269" s="139">
        <v>27</v>
      </c>
      <c r="B269" s="139">
        <f>IFERROR(INDEX(Työkonekanta!$F$3:$F$27,MATCH('S0a Baseline'!$A269,Työkonekanta!$A$3:$A$24,0),1),0)</f>
        <v>0</v>
      </c>
      <c r="C269" s="140">
        <v>2027</v>
      </c>
      <c r="D269" s="141" t="str">
        <f>IFERROR(INDEX(Työkonekanta!$D$3:$D$27,MATCH('S0a Baseline'!$A269,Työkonekanta!$A$3:$A$24,0),1),"undefined")</f>
        <v>undefined</v>
      </c>
      <c r="E269" s="145">
        <f>IFERROR(INDEX(Työkonekanta!$G$3:$G$27,MATCH($A269,Työkonekanta!$A$3:$A$24,0),1)*INDEX(Työkonekanta!$H$3:$H$27,MATCH($A269,Työkonekanta!$A$3:$A$24,0),1)*$B269,0)</f>
        <v>0</v>
      </c>
      <c r="F269" s="344">
        <f t="shared" si="81"/>
        <v>0</v>
      </c>
      <c r="G269" s="344">
        <f t="shared" si="92"/>
        <v>0</v>
      </c>
      <c r="H269" s="344">
        <f t="shared" si="93"/>
        <v>0</v>
      </c>
      <c r="I269" s="145">
        <f t="shared" si="82"/>
        <v>0</v>
      </c>
      <c r="J269" s="145">
        <f t="shared" si="83"/>
        <v>0</v>
      </c>
      <c r="K269" s="142" t="str">
        <f t="shared" si="80"/>
        <v>undefined</v>
      </c>
      <c r="L269" s="146">
        <f>IFERROR(INDEX(Työkonekanta!$I$3:$I$27,MATCH('S0a Baseline'!$A269,Työkonekanta!$A$3:$A$24,0),1)*(I269+J269)*f_adblue,0)</f>
        <v>0</v>
      </c>
      <c r="M269" s="146">
        <f t="shared" si="84"/>
        <v>0</v>
      </c>
      <c r="N269" s="143" t="str">
        <f>IF(tuulisähkö_vuosi&lt;='S0a Baseline'!C269,"tuulisähkö",ostosähkö_nyt)</f>
        <v>jäännössähkö</v>
      </c>
      <c r="O269" s="147">
        <f>INDEX(Muuttujat!$J$5:$J$21,MATCH($C269,Muuttujat!$H$5:$H$21,0),1)</f>
        <v>63.897506909426724</v>
      </c>
      <c r="P269" s="342">
        <f>1-(INDEX(Muuttujat!$O$5:$O$21,MATCH($C269,Muuttujat!$N$5:$N$21,0),1))</f>
        <v>0.91</v>
      </c>
      <c r="Q269" s="342">
        <f>INDEX(Muuttujat!$O$5:$O$21,MATCH($C269,Muuttujat!$N$5:$N$21,0),1)</f>
        <v>0.09</v>
      </c>
      <c r="R269" s="148">
        <f>INDEX(Muuttujat!$P$5:$P$21,MATCH($C269,Muuttujat!$N$5:$N$21,0),1)</f>
        <v>9.3804435869509845E-2</v>
      </c>
      <c r="S269" s="149">
        <f t="shared" si="85"/>
        <v>0</v>
      </c>
      <c r="T269" s="150">
        <f t="shared" si="86"/>
        <v>0</v>
      </c>
      <c r="U269" s="150">
        <f t="shared" si="87"/>
        <v>0</v>
      </c>
      <c r="V269" s="150">
        <f>IFERROR(INDEX(Työkonekanta!$J$3:$J$27,MATCH($A269,Työkonekanta!$A$3:$A$24,0),1)*$B269*ef_li_ion_akku/1000/1000/INDEX(Työkonekanta!$K$3:$K$27,MATCH($A269,Työkonekanta!$A$3:$A$24,0)),0)</f>
        <v>0</v>
      </c>
      <c r="W269" s="149">
        <f t="shared" si="88"/>
        <v>0</v>
      </c>
      <c r="X269" s="150">
        <f t="shared" si="89"/>
        <v>0</v>
      </c>
      <c r="Y269" s="151">
        <f t="shared" si="90"/>
        <v>0</v>
      </c>
      <c r="Z269" s="152">
        <f t="shared" si="94"/>
        <v>0</v>
      </c>
      <c r="AA269" s="153">
        <f t="shared" si="95"/>
        <v>0</v>
      </c>
      <c r="AB269" s="153">
        <f t="shared" si="96"/>
        <v>0</v>
      </c>
      <c r="AC269" s="154">
        <f t="shared" si="91"/>
        <v>0</v>
      </c>
      <c r="AD269" s="156">
        <f t="shared" si="97"/>
        <v>0</v>
      </c>
    </row>
    <row r="270" spans="1:30" s="144" customFormat="1">
      <c r="A270" s="139">
        <v>28</v>
      </c>
      <c r="B270" s="139">
        <f>IFERROR(INDEX(Työkonekanta!$F$3:$F$27,MATCH('S0a Baseline'!$A270,Työkonekanta!$A$3:$A$24,0),1),0)</f>
        <v>0</v>
      </c>
      <c r="C270" s="140">
        <v>2027</v>
      </c>
      <c r="D270" s="141" t="str">
        <f>IFERROR(INDEX(Työkonekanta!$D$3:$D$27,MATCH('S0a Baseline'!$A270,Työkonekanta!$A$3:$A$24,0),1),"undefined")</f>
        <v>undefined</v>
      </c>
      <c r="E270" s="145">
        <f>IFERROR(INDEX(Työkonekanta!$G$3:$G$27,MATCH($A270,Työkonekanta!$A$3:$A$24,0),1)*INDEX(Työkonekanta!$H$3:$H$27,MATCH($A270,Työkonekanta!$A$3:$A$24,0),1)*$B270,0)</f>
        <v>0</v>
      </c>
      <c r="F270" s="344">
        <f t="shared" si="81"/>
        <v>0</v>
      </c>
      <c r="G270" s="344">
        <f t="shared" si="92"/>
        <v>0</v>
      </c>
      <c r="H270" s="344">
        <f t="shared" si="93"/>
        <v>0</v>
      </c>
      <c r="I270" s="145">
        <f t="shared" si="82"/>
        <v>0</v>
      </c>
      <c r="J270" s="145">
        <f t="shared" si="83"/>
        <v>0</v>
      </c>
      <c r="K270" s="142" t="str">
        <f t="shared" si="80"/>
        <v>undefined</v>
      </c>
      <c r="L270" s="146">
        <f>IFERROR(INDEX(Työkonekanta!$I$3:$I$27,MATCH('S0a Baseline'!$A270,Työkonekanta!$A$3:$A$24,0),1)*(I270+J270)*f_adblue,0)</f>
        <v>0</v>
      </c>
      <c r="M270" s="146">
        <f t="shared" si="84"/>
        <v>0</v>
      </c>
      <c r="N270" s="143" t="str">
        <f>IF(tuulisähkö_vuosi&lt;='S0a Baseline'!C270,"tuulisähkö",ostosähkö_nyt)</f>
        <v>jäännössähkö</v>
      </c>
      <c r="O270" s="147">
        <f>INDEX(Muuttujat!$J$5:$J$21,MATCH($C270,Muuttujat!$H$5:$H$21,0),1)</f>
        <v>63.897506909426724</v>
      </c>
      <c r="P270" s="342">
        <f>1-(INDEX(Muuttujat!$O$5:$O$21,MATCH($C270,Muuttujat!$N$5:$N$21,0),1))</f>
        <v>0.91</v>
      </c>
      <c r="Q270" s="342">
        <f>INDEX(Muuttujat!$O$5:$O$21,MATCH($C270,Muuttujat!$N$5:$N$21,0),1)</f>
        <v>0.09</v>
      </c>
      <c r="R270" s="148">
        <f>INDEX(Muuttujat!$P$5:$P$21,MATCH($C270,Muuttujat!$N$5:$N$21,0),1)</f>
        <v>9.3804435869509845E-2</v>
      </c>
      <c r="S270" s="149">
        <f t="shared" si="85"/>
        <v>0</v>
      </c>
      <c r="T270" s="150">
        <f t="shared" si="86"/>
        <v>0</v>
      </c>
      <c r="U270" s="150">
        <f t="shared" si="87"/>
        <v>0</v>
      </c>
      <c r="V270" s="150">
        <f>IFERROR(INDEX(Työkonekanta!$J$3:$J$27,MATCH($A270,Työkonekanta!$A$3:$A$24,0),1)*$B270*ef_li_ion_akku/1000/1000/INDEX(Työkonekanta!$K$3:$K$27,MATCH($A270,Työkonekanta!$A$3:$A$24,0)),0)</f>
        <v>0</v>
      </c>
      <c r="W270" s="149">
        <f t="shared" si="88"/>
        <v>0</v>
      </c>
      <c r="X270" s="150">
        <f t="shared" si="89"/>
        <v>0</v>
      </c>
      <c r="Y270" s="151">
        <f t="shared" si="90"/>
        <v>0</v>
      </c>
      <c r="Z270" s="152">
        <f t="shared" si="94"/>
        <v>0</v>
      </c>
      <c r="AA270" s="153">
        <f t="shared" si="95"/>
        <v>0</v>
      </c>
      <c r="AB270" s="153">
        <f t="shared" si="96"/>
        <v>0</v>
      </c>
      <c r="AC270" s="154">
        <f t="shared" si="91"/>
        <v>0</v>
      </c>
      <c r="AD270" s="156">
        <f t="shared" si="97"/>
        <v>0</v>
      </c>
    </row>
    <row r="271" spans="1:30" s="144" customFormat="1">
      <c r="A271" s="139">
        <v>29</v>
      </c>
      <c r="B271" s="139">
        <f>IFERROR(INDEX(Työkonekanta!$F$3:$F$27,MATCH('S0a Baseline'!$A271,Työkonekanta!$A$3:$A$24,0),1),0)</f>
        <v>0</v>
      </c>
      <c r="C271" s="140">
        <v>2027</v>
      </c>
      <c r="D271" s="141" t="str">
        <f>IFERROR(INDEX(Työkonekanta!$D$3:$D$27,MATCH('S0a Baseline'!$A271,Työkonekanta!$A$3:$A$24,0),1),"undefined")</f>
        <v>undefined</v>
      </c>
      <c r="E271" s="145">
        <f>IFERROR(INDEX(Työkonekanta!$G$3:$G$27,MATCH($A271,Työkonekanta!$A$3:$A$24,0),1)*INDEX(Työkonekanta!$H$3:$H$27,MATCH($A271,Työkonekanta!$A$3:$A$24,0),1)*$B271,0)</f>
        <v>0</v>
      </c>
      <c r="F271" s="344">
        <f t="shared" si="81"/>
        <v>0</v>
      </c>
      <c r="G271" s="344">
        <f t="shared" si="92"/>
        <v>0</v>
      </c>
      <c r="H271" s="344">
        <f t="shared" si="93"/>
        <v>0</v>
      </c>
      <c r="I271" s="145">
        <f t="shared" si="82"/>
        <v>0</v>
      </c>
      <c r="J271" s="145">
        <f t="shared" si="83"/>
        <v>0</v>
      </c>
      <c r="K271" s="142" t="str">
        <f t="shared" si="80"/>
        <v>undefined</v>
      </c>
      <c r="L271" s="146">
        <f>IFERROR(INDEX(Työkonekanta!$I$3:$I$27,MATCH('S0a Baseline'!$A271,Työkonekanta!$A$3:$A$24,0),1)*(I271+J271)*f_adblue,0)</f>
        <v>0</v>
      </c>
      <c r="M271" s="146">
        <f t="shared" si="84"/>
        <v>0</v>
      </c>
      <c r="N271" s="143" t="str">
        <f>IF(tuulisähkö_vuosi&lt;='S0a Baseline'!C271,"tuulisähkö",ostosähkö_nyt)</f>
        <v>jäännössähkö</v>
      </c>
      <c r="O271" s="147">
        <f>INDEX(Muuttujat!$J$5:$J$21,MATCH($C271,Muuttujat!$H$5:$H$21,0),1)</f>
        <v>63.897506909426724</v>
      </c>
      <c r="P271" s="342">
        <f>1-(INDEX(Muuttujat!$O$5:$O$21,MATCH($C271,Muuttujat!$N$5:$N$21,0),1))</f>
        <v>0.91</v>
      </c>
      <c r="Q271" s="342">
        <f>INDEX(Muuttujat!$O$5:$O$21,MATCH($C271,Muuttujat!$N$5:$N$21,0),1)</f>
        <v>0.09</v>
      </c>
      <c r="R271" s="148">
        <f>INDEX(Muuttujat!$P$5:$P$21,MATCH($C271,Muuttujat!$N$5:$N$21,0),1)</f>
        <v>9.3804435869509845E-2</v>
      </c>
      <c r="S271" s="149">
        <f t="shared" si="85"/>
        <v>0</v>
      </c>
      <c r="T271" s="150">
        <f t="shared" si="86"/>
        <v>0</v>
      </c>
      <c r="U271" s="150">
        <f t="shared" si="87"/>
        <v>0</v>
      </c>
      <c r="V271" s="150">
        <f>IFERROR(INDEX(Työkonekanta!$J$3:$J$27,MATCH($A271,Työkonekanta!$A$3:$A$24,0),1)*$B271*ef_li_ion_akku/1000/1000/INDEX(Työkonekanta!$K$3:$K$27,MATCH($A271,Työkonekanta!$A$3:$A$24,0)),0)</f>
        <v>0</v>
      </c>
      <c r="W271" s="149">
        <f t="shared" si="88"/>
        <v>0</v>
      </c>
      <c r="X271" s="150">
        <f t="shared" si="89"/>
        <v>0</v>
      </c>
      <c r="Y271" s="151">
        <f t="shared" si="90"/>
        <v>0</v>
      </c>
      <c r="Z271" s="152">
        <f t="shared" si="94"/>
        <v>0</v>
      </c>
      <c r="AA271" s="153">
        <f t="shared" si="95"/>
        <v>0</v>
      </c>
      <c r="AB271" s="153">
        <f t="shared" si="96"/>
        <v>0</v>
      </c>
      <c r="AC271" s="154">
        <f t="shared" si="91"/>
        <v>0</v>
      </c>
      <c r="AD271" s="156">
        <f t="shared" si="97"/>
        <v>0</v>
      </c>
    </row>
    <row r="272" spans="1:30" s="144" customFormat="1">
      <c r="A272" s="139">
        <v>30</v>
      </c>
      <c r="B272" s="139">
        <f>IFERROR(INDEX(Työkonekanta!$F$3:$F$27,MATCH('S0a Baseline'!$A272,Työkonekanta!$A$3:$A$24,0),1),0)</f>
        <v>0</v>
      </c>
      <c r="C272" s="140">
        <v>2027</v>
      </c>
      <c r="D272" s="141" t="str">
        <f>IFERROR(INDEX(Työkonekanta!$D$3:$D$27,MATCH('S0a Baseline'!$A272,Työkonekanta!$A$3:$A$24,0),1),"undefined")</f>
        <v>undefined</v>
      </c>
      <c r="E272" s="145">
        <f>IFERROR(INDEX(Työkonekanta!$G$3:$G$27,MATCH($A272,Työkonekanta!$A$3:$A$24,0),1)*INDEX(Työkonekanta!$H$3:$H$27,MATCH($A272,Työkonekanta!$A$3:$A$24,0),1)*$B272,0)</f>
        <v>0</v>
      </c>
      <c r="F272" s="344">
        <f t="shared" si="81"/>
        <v>0</v>
      </c>
      <c r="G272" s="344">
        <f t="shared" si="92"/>
        <v>0</v>
      </c>
      <c r="H272" s="344">
        <f t="shared" si="93"/>
        <v>0</v>
      </c>
      <c r="I272" s="145">
        <f t="shared" si="82"/>
        <v>0</v>
      </c>
      <c r="J272" s="145">
        <f t="shared" si="83"/>
        <v>0</v>
      </c>
      <c r="K272" s="142" t="str">
        <f t="shared" si="80"/>
        <v>undefined</v>
      </c>
      <c r="L272" s="146">
        <f>IFERROR(INDEX(Työkonekanta!$I$3:$I$27,MATCH('S0a Baseline'!$A272,Työkonekanta!$A$3:$A$24,0),1)*(I272+J272)*f_adblue,0)</f>
        <v>0</v>
      </c>
      <c r="M272" s="146">
        <f t="shared" si="84"/>
        <v>0</v>
      </c>
      <c r="N272" s="143" t="str">
        <f>IF(tuulisähkö_vuosi&lt;='S0a Baseline'!C272,"tuulisähkö",ostosähkö_nyt)</f>
        <v>jäännössähkö</v>
      </c>
      <c r="O272" s="147">
        <f>INDEX(Muuttujat!$J$5:$J$21,MATCH($C272,Muuttujat!$H$5:$H$21,0),1)</f>
        <v>63.897506909426724</v>
      </c>
      <c r="P272" s="342">
        <f>1-(INDEX(Muuttujat!$O$5:$O$21,MATCH($C272,Muuttujat!$N$5:$N$21,0),1))</f>
        <v>0.91</v>
      </c>
      <c r="Q272" s="342">
        <f>INDEX(Muuttujat!$O$5:$O$21,MATCH($C272,Muuttujat!$N$5:$N$21,0),1)</f>
        <v>0.09</v>
      </c>
      <c r="R272" s="148">
        <f>INDEX(Muuttujat!$P$5:$P$21,MATCH($C272,Muuttujat!$N$5:$N$21,0),1)</f>
        <v>9.3804435869509845E-2</v>
      </c>
      <c r="S272" s="149">
        <f t="shared" si="85"/>
        <v>0</v>
      </c>
      <c r="T272" s="150">
        <f t="shared" si="86"/>
        <v>0</v>
      </c>
      <c r="U272" s="150">
        <f t="shared" si="87"/>
        <v>0</v>
      </c>
      <c r="V272" s="150">
        <f>IFERROR(INDEX(Työkonekanta!$J$3:$J$27,MATCH($A272,Työkonekanta!$A$3:$A$24,0),1)*$B272*ef_li_ion_akku/1000/1000/INDEX(Työkonekanta!$K$3:$K$27,MATCH($A272,Työkonekanta!$A$3:$A$24,0)),0)</f>
        <v>0</v>
      </c>
      <c r="W272" s="149">
        <f t="shared" si="88"/>
        <v>0</v>
      </c>
      <c r="X272" s="150">
        <f t="shared" si="89"/>
        <v>0</v>
      </c>
      <c r="Y272" s="151">
        <f t="shared" si="90"/>
        <v>0</v>
      </c>
      <c r="Z272" s="152">
        <f t="shared" si="94"/>
        <v>0</v>
      </c>
      <c r="AA272" s="153">
        <f t="shared" si="95"/>
        <v>0</v>
      </c>
      <c r="AB272" s="153">
        <f t="shared" si="96"/>
        <v>0</v>
      </c>
      <c r="AC272" s="154">
        <f t="shared" si="91"/>
        <v>0</v>
      </c>
      <c r="AD272" s="156">
        <f t="shared" si="97"/>
        <v>0</v>
      </c>
    </row>
    <row r="273" spans="1:30" s="144" customFormat="1">
      <c r="A273" s="139">
        <v>1</v>
      </c>
      <c r="B273" s="139">
        <f>IFERROR(INDEX(Työkonekanta!$F$3:$F$27,MATCH('S0a Baseline'!$A273,Työkonekanta!$A$3:$A$24,0),1),0)</f>
        <v>1</v>
      </c>
      <c r="C273" s="140">
        <v>2028</v>
      </c>
      <c r="D273" s="141" t="str">
        <f>IFERROR(INDEX(Työkonekanta!$D$3:$D$27,MATCH('S0a Baseline'!$A273,Työkonekanta!$A$3:$A$24,0),1),"undefined")</f>
        <v>pom</v>
      </c>
      <c r="E273" s="145">
        <f>IFERROR(INDEX(Työkonekanta!$G$3:$G$27,MATCH($A273,Työkonekanta!$A$3:$A$24,0),1)*INDEX(Työkonekanta!$H$3:$H$27,MATCH($A273,Työkonekanta!$A$3:$A$24,0),1)*$B273,0)</f>
        <v>10000</v>
      </c>
      <c r="F273" s="344">
        <f t="shared" si="81"/>
        <v>359000</v>
      </c>
      <c r="G273" s="344">
        <f t="shared" si="92"/>
        <v>323100</v>
      </c>
      <c r="H273" s="344">
        <f t="shared" si="93"/>
        <v>35900</v>
      </c>
      <c r="I273" s="145">
        <f t="shared" si="82"/>
        <v>9000</v>
      </c>
      <c r="J273" s="145">
        <f t="shared" si="83"/>
        <v>1046.6472303206997</v>
      </c>
      <c r="K273" s="142" t="str">
        <f t="shared" si="80"/>
        <v>l</v>
      </c>
      <c r="L273" s="146">
        <f>IFERROR(INDEX(Työkonekanta!$I$3:$I$27,MATCH('S0a Baseline'!$A273,Työkonekanta!$A$3:$A$24,0),1)*(I273+J273)*f_adblue,0)</f>
        <v>502.33236151603501</v>
      </c>
      <c r="M273" s="146">
        <f t="shared" si="84"/>
        <v>0</v>
      </c>
      <c r="N273" s="143" t="str">
        <f>IF(tuulisähkö_vuosi&lt;='S0a Baseline'!C273,"tuulisähkö",ostosähkö_nyt)</f>
        <v>jäännössähkö</v>
      </c>
      <c r="O273" s="147">
        <f>INDEX(Muuttujat!$J$5:$J$21,MATCH($C273,Muuttujat!$H$5:$H$21,0),1)</f>
        <v>63.258531840332459</v>
      </c>
      <c r="P273" s="342">
        <f>1-(INDEX(Muuttujat!$O$5:$O$21,MATCH($C273,Muuttujat!$N$5:$N$21,0),1))</f>
        <v>0.9</v>
      </c>
      <c r="Q273" s="342">
        <f>INDEX(Muuttujat!$O$5:$O$21,MATCH($C273,Muuttujat!$N$5:$N$21,0),1)</f>
        <v>0.1</v>
      </c>
      <c r="R273" s="148">
        <f>INDEX(Muuttujat!$P$5:$P$21,MATCH($C273,Muuttujat!$N$5:$N$21,0),1)</f>
        <v>0.10417875759940039</v>
      </c>
      <c r="S273" s="149">
        <f t="shared" si="85"/>
        <v>6.1065899999999997</v>
      </c>
      <c r="T273" s="150">
        <f t="shared" si="86"/>
        <v>2.2401599999999999</v>
      </c>
      <c r="U273" s="150">
        <f t="shared" si="87"/>
        <v>0</v>
      </c>
      <c r="V273" s="150">
        <f>IFERROR(INDEX(Työkonekanta!$J$3:$J$27,MATCH($A273,Työkonekanta!$A$3:$A$24,0),1)*$B273*ef_li_ion_akku/1000/1000/INDEX(Työkonekanta!$K$3:$K$27,MATCH($A273,Työkonekanta!$A$3:$A$24,0)),0)</f>
        <v>0</v>
      </c>
      <c r="W273" s="149">
        <f t="shared" si="88"/>
        <v>23.847446957400003</v>
      </c>
      <c r="X273" s="150">
        <f t="shared" si="89"/>
        <v>0.31774565999999999</v>
      </c>
      <c r="Y273" s="151">
        <f t="shared" si="90"/>
        <v>0.13060641399416908</v>
      </c>
      <c r="Z273" s="152">
        <f t="shared" si="94"/>
        <v>8.3467500000000001</v>
      </c>
      <c r="AA273" s="153">
        <f t="shared" si="95"/>
        <v>23.978053371394171</v>
      </c>
      <c r="AB273" s="153">
        <f t="shared" si="96"/>
        <v>24.295799031394171</v>
      </c>
      <c r="AC273" s="154">
        <f t="shared" si="91"/>
        <v>32.324803371394168</v>
      </c>
      <c r="AD273" s="156">
        <f t="shared" si="97"/>
        <v>32.642549031394168</v>
      </c>
    </row>
    <row r="274" spans="1:30" s="144" customFormat="1">
      <c r="A274" s="139">
        <v>2</v>
      </c>
      <c r="B274" s="139">
        <f>IFERROR(INDEX(Työkonekanta!$F$3:$F$27,MATCH('S0a Baseline'!$A274,Työkonekanta!$A$3:$A$24,0),1),0)</f>
        <v>1</v>
      </c>
      <c r="C274" s="140">
        <v>2028</v>
      </c>
      <c r="D274" s="141" t="str">
        <f>IFERROR(INDEX(Työkonekanta!$D$3:$D$27,MATCH('S0a Baseline'!$A274,Työkonekanta!$A$3:$A$24,0),1),"undefined")</f>
        <v>pom</v>
      </c>
      <c r="E274" s="145">
        <f>IFERROR(INDEX(Työkonekanta!$G$3:$G$27,MATCH($A274,Työkonekanta!$A$3:$A$24,0),1)*INDEX(Työkonekanta!$H$3:$H$27,MATCH($A274,Työkonekanta!$A$3:$A$24,0),1)*$B274,0)</f>
        <v>10000</v>
      </c>
      <c r="F274" s="344">
        <f t="shared" si="81"/>
        <v>359000</v>
      </c>
      <c r="G274" s="344">
        <f t="shared" si="92"/>
        <v>323100</v>
      </c>
      <c r="H274" s="344">
        <f t="shared" si="93"/>
        <v>35900</v>
      </c>
      <c r="I274" s="145">
        <f t="shared" si="82"/>
        <v>9000</v>
      </c>
      <c r="J274" s="145">
        <f t="shared" si="83"/>
        <v>1046.6472303206997</v>
      </c>
      <c r="K274" s="142" t="str">
        <f t="shared" si="80"/>
        <v>l</v>
      </c>
      <c r="L274" s="146">
        <f>IFERROR(INDEX(Työkonekanta!$I$3:$I$27,MATCH('S0a Baseline'!$A274,Työkonekanta!$A$3:$A$24,0),1)*(I274+J274)*f_adblue,0)</f>
        <v>502.33236151603501</v>
      </c>
      <c r="M274" s="146">
        <f t="shared" si="84"/>
        <v>0</v>
      </c>
      <c r="N274" s="143" t="str">
        <f>IF(tuulisähkö_vuosi&lt;='S0a Baseline'!C274,"tuulisähkö",ostosähkö_nyt)</f>
        <v>jäännössähkö</v>
      </c>
      <c r="O274" s="147">
        <f>INDEX(Muuttujat!$J$5:$J$21,MATCH($C274,Muuttujat!$H$5:$H$21,0),1)</f>
        <v>63.258531840332459</v>
      </c>
      <c r="P274" s="342">
        <f>1-(INDEX(Muuttujat!$O$5:$O$21,MATCH($C274,Muuttujat!$N$5:$N$21,0),1))</f>
        <v>0.9</v>
      </c>
      <c r="Q274" s="342">
        <f>INDEX(Muuttujat!$O$5:$O$21,MATCH($C274,Muuttujat!$N$5:$N$21,0),1)</f>
        <v>0.1</v>
      </c>
      <c r="R274" s="148">
        <f>INDEX(Muuttujat!$P$5:$P$21,MATCH($C274,Muuttujat!$N$5:$N$21,0),1)</f>
        <v>0.10417875759940039</v>
      </c>
      <c r="S274" s="149">
        <f t="shared" si="85"/>
        <v>6.1065899999999997</v>
      </c>
      <c r="T274" s="150">
        <f t="shared" si="86"/>
        <v>2.2401599999999999</v>
      </c>
      <c r="U274" s="150">
        <f t="shared" si="87"/>
        <v>0</v>
      </c>
      <c r="V274" s="150">
        <f>IFERROR(INDEX(Työkonekanta!$J$3:$J$27,MATCH($A274,Työkonekanta!$A$3:$A$24,0),1)*$B274*ef_li_ion_akku/1000/1000/INDEX(Työkonekanta!$K$3:$K$27,MATCH($A274,Työkonekanta!$A$3:$A$24,0)),0)</f>
        <v>0</v>
      </c>
      <c r="W274" s="149">
        <f t="shared" si="88"/>
        <v>23.847446957400003</v>
      </c>
      <c r="X274" s="150">
        <f t="shared" si="89"/>
        <v>0.31774565999999999</v>
      </c>
      <c r="Y274" s="151">
        <f t="shared" si="90"/>
        <v>0.13060641399416908</v>
      </c>
      <c r="Z274" s="152">
        <f t="shared" si="94"/>
        <v>8.3467500000000001</v>
      </c>
      <c r="AA274" s="153">
        <f t="shared" si="95"/>
        <v>23.978053371394171</v>
      </c>
      <c r="AB274" s="153">
        <f t="shared" si="96"/>
        <v>24.295799031394171</v>
      </c>
      <c r="AC274" s="154">
        <f t="shared" si="91"/>
        <v>32.324803371394168</v>
      </c>
      <c r="AD274" s="156">
        <f t="shared" si="97"/>
        <v>32.642549031394168</v>
      </c>
    </row>
    <row r="275" spans="1:30" s="144" customFormat="1">
      <c r="A275" s="139">
        <v>3</v>
      </c>
      <c r="B275" s="139">
        <f>IFERROR(INDEX(Työkonekanta!$F$3:$F$27,MATCH('S0a Baseline'!$A275,Työkonekanta!$A$3:$A$24,0),1),0)</f>
        <v>1</v>
      </c>
      <c r="C275" s="140">
        <v>2028</v>
      </c>
      <c r="D275" s="141" t="str">
        <f>IFERROR(INDEX(Työkonekanta!$D$3:$D$27,MATCH('S0a Baseline'!$A275,Työkonekanta!$A$3:$A$24,0),1),"undefined")</f>
        <v>pom</v>
      </c>
      <c r="E275" s="145">
        <f>IFERROR(INDEX(Työkonekanta!$G$3:$G$27,MATCH($A275,Työkonekanta!$A$3:$A$24,0),1)*INDEX(Työkonekanta!$H$3:$H$27,MATCH($A275,Työkonekanta!$A$3:$A$24,0),1)*$B275,0)</f>
        <v>10000</v>
      </c>
      <c r="F275" s="344">
        <f t="shared" si="81"/>
        <v>359000</v>
      </c>
      <c r="G275" s="344">
        <f t="shared" si="92"/>
        <v>323100</v>
      </c>
      <c r="H275" s="344">
        <f t="shared" si="93"/>
        <v>35900</v>
      </c>
      <c r="I275" s="145">
        <f t="shared" si="82"/>
        <v>9000</v>
      </c>
      <c r="J275" s="145">
        <f t="shared" si="83"/>
        <v>1046.6472303206997</v>
      </c>
      <c r="K275" s="142" t="str">
        <f t="shared" si="80"/>
        <v>l</v>
      </c>
      <c r="L275" s="146">
        <f>IFERROR(INDEX(Työkonekanta!$I$3:$I$27,MATCH('S0a Baseline'!$A275,Työkonekanta!$A$3:$A$24,0),1)*(I275+J275)*f_adblue,0)</f>
        <v>502.33236151603501</v>
      </c>
      <c r="M275" s="146">
        <f t="shared" si="84"/>
        <v>0</v>
      </c>
      <c r="N275" s="143" t="str">
        <f>IF(tuulisähkö_vuosi&lt;='S0a Baseline'!C275,"tuulisähkö",ostosähkö_nyt)</f>
        <v>jäännössähkö</v>
      </c>
      <c r="O275" s="147">
        <f>INDEX(Muuttujat!$J$5:$J$21,MATCH($C275,Muuttujat!$H$5:$H$21,0),1)</f>
        <v>63.258531840332459</v>
      </c>
      <c r="P275" s="342">
        <f>1-(INDEX(Muuttujat!$O$5:$O$21,MATCH($C275,Muuttujat!$N$5:$N$21,0),1))</f>
        <v>0.9</v>
      </c>
      <c r="Q275" s="342">
        <f>INDEX(Muuttujat!$O$5:$O$21,MATCH($C275,Muuttujat!$N$5:$N$21,0),1)</f>
        <v>0.1</v>
      </c>
      <c r="R275" s="148">
        <f>INDEX(Muuttujat!$P$5:$P$21,MATCH($C275,Muuttujat!$N$5:$N$21,0),1)</f>
        <v>0.10417875759940039</v>
      </c>
      <c r="S275" s="149">
        <f t="shared" si="85"/>
        <v>6.1065899999999997</v>
      </c>
      <c r="T275" s="150">
        <f t="shared" si="86"/>
        <v>2.2401599999999999</v>
      </c>
      <c r="U275" s="150">
        <f t="shared" si="87"/>
        <v>0</v>
      </c>
      <c r="V275" s="150">
        <f>IFERROR(INDEX(Työkonekanta!$J$3:$J$27,MATCH($A275,Työkonekanta!$A$3:$A$24,0),1)*$B275*ef_li_ion_akku/1000/1000/INDEX(Työkonekanta!$K$3:$K$27,MATCH($A275,Työkonekanta!$A$3:$A$24,0)),0)</f>
        <v>0</v>
      </c>
      <c r="W275" s="149">
        <f t="shared" si="88"/>
        <v>23.847446957400003</v>
      </c>
      <c r="X275" s="150">
        <f t="shared" si="89"/>
        <v>0.31774565999999999</v>
      </c>
      <c r="Y275" s="151">
        <f t="shared" si="90"/>
        <v>0.13060641399416908</v>
      </c>
      <c r="Z275" s="152">
        <f t="shared" si="94"/>
        <v>8.3467500000000001</v>
      </c>
      <c r="AA275" s="153">
        <f t="shared" si="95"/>
        <v>23.978053371394171</v>
      </c>
      <c r="AB275" s="153">
        <f t="shared" si="96"/>
        <v>24.295799031394171</v>
      </c>
      <c r="AC275" s="154">
        <f t="shared" si="91"/>
        <v>32.324803371394168</v>
      </c>
      <c r="AD275" s="156">
        <f t="shared" si="97"/>
        <v>32.642549031394168</v>
      </c>
    </row>
    <row r="276" spans="1:30" s="144" customFormat="1">
      <c r="A276" s="139">
        <v>4</v>
      </c>
      <c r="B276" s="139">
        <f>IFERROR(INDEX(Työkonekanta!$F$3:$F$27,MATCH('S0a Baseline'!$A276,Työkonekanta!$A$3:$A$24,0),1),0)</f>
        <v>1</v>
      </c>
      <c r="C276" s="140">
        <v>2028</v>
      </c>
      <c r="D276" s="141" t="str">
        <f>IFERROR(INDEX(Työkonekanta!$D$3:$D$27,MATCH('S0a Baseline'!$A276,Työkonekanta!$A$3:$A$24,0),1),"undefined")</f>
        <v>pom</v>
      </c>
      <c r="E276" s="145">
        <f>IFERROR(INDEX(Työkonekanta!$G$3:$G$27,MATCH($A276,Työkonekanta!$A$3:$A$24,0),1)*INDEX(Työkonekanta!$H$3:$H$27,MATCH($A276,Työkonekanta!$A$3:$A$24,0),1)*$B276,0)</f>
        <v>10000</v>
      </c>
      <c r="F276" s="344">
        <f t="shared" si="81"/>
        <v>359000</v>
      </c>
      <c r="G276" s="344">
        <f t="shared" si="92"/>
        <v>323100</v>
      </c>
      <c r="H276" s="344">
        <f t="shared" si="93"/>
        <v>35900</v>
      </c>
      <c r="I276" s="145">
        <f t="shared" si="82"/>
        <v>9000</v>
      </c>
      <c r="J276" s="145">
        <f t="shared" si="83"/>
        <v>1046.6472303206997</v>
      </c>
      <c r="K276" s="142" t="str">
        <f t="shared" si="80"/>
        <v>l</v>
      </c>
      <c r="L276" s="146">
        <f>IFERROR(INDEX(Työkonekanta!$I$3:$I$27,MATCH('S0a Baseline'!$A276,Työkonekanta!$A$3:$A$24,0),1)*(I276+J276)*f_adblue,0)</f>
        <v>502.33236151603501</v>
      </c>
      <c r="M276" s="146">
        <f t="shared" si="84"/>
        <v>0</v>
      </c>
      <c r="N276" s="143" t="str">
        <f>IF(tuulisähkö_vuosi&lt;='S0a Baseline'!C276,"tuulisähkö",ostosähkö_nyt)</f>
        <v>jäännössähkö</v>
      </c>
      <c r="O276" s="147">
        <f>INDEX(Muuttujat!$J$5:$J$21,MATCH($C276,Muuttujat!$H$5:$H$21,0),1)</f>
        <v>63.258531840332459</v>
      </c>
      <c r="P276" s="342">
        <f>1-(INDEX(Muuttujat!$O$5:$O$21,MATCH($C276,Muuttujat!$N$5:$N$21,0),1))</f>
        <v>0.9</v>
      </c>
      <c r="Q276" s="342">
        <f>INDEX(Muuttujat!$O$5:$O$21,MATCH($C276,Muuttujat!$N$5:$N$21,0),1)</f>
        <v>0.1</v>
      </c>
      <c r="R276" s="148">
        <f>INDEX(Muuttujat!$P$5:$P$21,MATCH($C276,Muuttujat!$N$5:$N$21,0),1)</f>
        <v>0.10417875759940039</v>
      </c>
      <c r="S276" s="149">
        <f t="shared" si="85"/>
        <v>6.1065899999999997</v>
      </c>
      <c r="T276" s="150">
        <f t="shared" si="86"/>
        <v>2.2401599999999999</v>
      </c>
      <c r="U276" s="150">
        <f t="shared" si="87"/>
        <v>0</v>
      </c>
      <c r="V276" s="150">
        <f>IFERROR(INDEX(Työkonekanta!$J$3:$J$27,MATCH($A276,Työkonekanta!$A$3:$A$24,0),1)*$B276*ef_li_ion_akku/1000/1000/INDEX(Työkonekanta!$K$3:$K$27,MATCH($A276,Työkonekanta!$A$3:$A$24,0)),0)</f>
        <v>0</v>
      </c>
      <c r="W276" s="149">
        <f t="shared" si="88"/>
        <v>23.847446957400003</v>
      </c>
      <c r="X276" s="150">
        <f t="shared" si="89"/>
        <v>0.31774565999999999</v>
      </c>
      <c r="Y276" s="151">
        <f t="shared" si="90"/>
        <v>0.13060641399416908</v>
      </c>
      <c r="Z276" s="152">
        <f t="shared" si="94"/>
        <v>8.3467500000000001</v>
      </c>
      <c r="AA276" s="153">
        <f t="shared" si="95"/>
        <v>23.978053371394171</v>
      </c>
      <c r="AB276" s="153">
        <f t="shared" si="96"/>
        <v>24.295799031394171</v>
      </c>
      <c r="AC276" s="154">
        <f t="shared" si="91"/>
        <v>32.324803371394168</v>
      </c>
      <c r="AD276" s="156">
        <f t="shared" si="97"/>
        <v>32.642549031394168</v>
      </c>
    </row>
    <row r="277" spans="1:30" s="144" customFormat="1">
      <c r="A277" s="139">
        <v>5</v>
      </c>
      <c r="B277" s="139">
        <f>IFERROR(INDEX(Työkonekanta!$F$3:$F$27,MATCH('S0a Baseline'!$A277,Työkonekanta!$A$3:$A$24,0),1),0)</f>
        <v>0</v>
      </c>
      <c r="C277" s="140">
        <v>2028</v>
      </c>
      <c r="D277" s="141" t="str">
        <f>IFERROR(INDEX(Työkonekanta!$D$3:$D$27,MATCH('S0a Baseline'!$A277,Työkonekanta!$A$3:$A$24,0),1),"undefined")</f>
        <v>sähkö</v>
      </c>
      <c r="E277" s="145">
        <f>IFERROR(INDEX(Työkonekanta!$G$3:$G$27,MATCH($A277,Työkonekanta!$A$3:$A$24,0),1)*INDEX(Työkonekanta!$H$3:$H$27,MATCH($A277,Työkonekanta!$A$3:$A$24,0),1)*$B277,0)</f>
        <v>0</v>
      </c>
      <c r="F277" s="344">
        <f t="shared" si="81"/>
        <v>0</v>
      </c>
      <c r="G277" s="344">
        <f t="shared" si="92"/>
        <v>0</v>
      </c>
      <c r="H277" s="344">
        <f t="shared" si="93"/>
        <v>0</v>
      </c>
      <c r="I277" s="145">
        <f t="shared" si="82"/>
        <v>0</v>
      </c>
      <c r="J277" s="145">
        <f t="shared" si="83"/>
        <v>0</v>
      </c>
      <c r="K277" s="142" t="str">
        <f t="shared" si="80"/>
        <v>kWh</v>
      </c>
      <c r="L277" s="146">
        <f>IFERROR(INDEX(Työkonekanta!$I$3:$I$27,MATCH('S0a Baseline'!$A277,Työkonekanta!$A$3:$A$24,0),1)*(I277+J277)*f_adblue,0)</f>
        <v>0</v>
      </c>
      <c r="M277" s="146">
        <f t="shared" si="84"/>
        <v>0</v>
      </c>
      <c r="N277" s="143" t="str">
        <f>IF(tuulisähkö_vuosi&lt;='S0a Baseline'!C277,"tuulisähkö",ostosähkö_nyt)</f>
        <v>jäännössähkö</v>
      </c>
      <c r="O277" s="147">
        <f>INDEX(Muuttujat!$J$5:$J$21,MATCH($C277,Muuttujat!$H$5:$H$21,0),1)</f>
        <v>63.258531840332459</v>
      </c>
      <c r="P277" s="342">
        <f>1-(INDEX(Muuttujat!$O$5:$O$21,MATCH($C277,Muuttujat!$N$5:$N$21,0),1))</f>
        <v>0.9</v>
      </c>
      <c r="Q277" s="342">
        <f>INDEX(Muuttujat!$O$5:$O$21,MATCH($C277,Muuttujat!$N$5:$N$21,0),1)</f>
        <v>0.1</v>
      </c>
      <c r="R277" s="148">
        <f>INDEX(Muuttujat!$P$5:$P$21,MATCH($C277,Muuttujat!$N$5:$N$21,0),1)</f>
        <v>0.10417875759940039</v>
      </c>
      <c r="S277" s="149">
        <f t="shared" si="85"/>
        <v>0</v>
      </c>
      <c r="T277" s="150">
        <f t="shared" si="86"/>
        <v>0</v>
      </c>
      <c r="U277" s="150">
        <f t="shared" si="87"/>
        <v>0</v>
      </c>
      <c r="V277" s="150">
        <f>IFERROR(INDEX(Työkonekanta!$J$3:$J$27,MATCH($A277,Työkonekanta!$A$3:$A$24,0),1)*$B277*ef_li_ion_akku/1000/1000/INDEX(Työkonekanta!$K$3:$K$27,MATCH($A277,Työkonekanta!$A$3:$A$24,0)),0)</f>
        <v>0</v>
      </c>
      <c r="W277" s="149">
        <f t="shared" si="88"/>
        <v>0</v>
      </c>
      <c r="X277" s="150">
        <f t="shared" si="89"/>
        <v>0</v>
      </c>
      <c r="Y277" s="151">
        <f t="shared" si="90"/>
        <v>0</v>
      </c>
      <c r="Z277" s="152">
        <f t="shared" si="94"/>
        <v>0</v>
      </c>
      <c r="AA277" s="153">
        <f t="shared" si="95"/>
        <v>0</v>
      </c>
      <c r="AB277" s="153">
        <f t="shared" si="96"/>
        <v>0</v>
      </c>
      <c r="AC277" s="154">
        <f t="shared" si="91"/>
        <v>0</v>
      </c>
      <c r="AD277" s="156">
        <f t="shared" si="97"/>
        <v>0</v>
      </c>
    </row>
    <row r="278" spans="1:30" s="144" customFormat="1">
      <c r="A278" s="139">
        <v>6</v>
      </c>
      <c r="B278" s="139">
        <f>IFERROR(INDEX(Työkonekanta!$F$3:$F$27,MATCH('S0a Baseline'!$A278,Työkonekanta!$A$3:$A$24,0),1),0)</f>
        <v>0</v>
      </c>
      <c r="C278" s="140">
        <v>2028</v>
      </c>
      <c r="D278" s="141" t="str">
        <f>IFERROR(INDEX(Työkonekanta!$D$3:$D$27,MATCH('S0a Baseline'!$A278,Työkonekanta!$A$3:$A$24,0),1),"undefined")</f>
        <v>sähkö</v>
      </c>
      <c r="E278" s="145">
        <f>IFERROR(INDEX(Työkonekanta!$G$3:$G$27,MATCH($A278,Työkonekanta!$A$3:$A$24,0),1)*INDEX(Työkonekanta!$H$3:$H$27,MATCH($A278,Työkonekanta!$A$3:$A$24,0),1)*$B278,0)</f>
        <v>0</v>
      </c>
      <c r="F278" s="344">
        <f t="shared" si="81"/>
        <v>0</v>
      </c>
      <c r="G278" s="344">
        <f t="shared" si="92"/>
        <v>0</v>
      </c>
      <c r="H278" s="344">
        <f t="shared" si="93"/>
        <v>0</v>
      </c>
      <c r="I278" s="145">
        <f t="shared" si="82"/>
        <v>0</v>
      </c>
      <c r="J278" s="145">
        <f t="shared" si="83"/>
        <v>0</v>
      </c>
      <c r="K278" s="142" t="str">
        <f t="shared" si="80"/>
        <v>kWh</v>
      </c>
      <c r="L278" s="146">
        <f>IFERROR(INDEX(Työkonekanta!$I$3:$I$27,MATCH('S0a Baseline'!$A278,Työkonekanta!$A$3:$A$24,0),1)*(I278+J278)*f_adblue,0)</f>
        <v>0</v>
      </c>
      <c r="M278" s="146">
        <f t="shared" si="84"/>
        <v>0</v>
      </c>
      <c r="N278" s="143" t="str">
        <f>IF(tuulisähkö_vuosi&lt;='S0a Baseline'!C278,"tuulisähkö",ostosähkö_nyt)</f>
        <v>jäännössähkö</v>
      </c>
      <c r="O278" s="147">
        <f>INDEX(Muuttujat!$J$5:$J$21,MATCH($C278,Muuttujat!$H$5:$H$21,0),1)</f>
        <v>63.258531840332459</v>
      </c>
      <c r="P278" s="342">
        <f>1-(INDEX(Muuttujat!$O$5:$O$21,MATCH($C278,Muuttujat!$N$5:$N$21,0),1))</f>
        <v>0.9</v>
      </c>
      <c r="Q278" s="342">
        <f>INDEX(Muuttujat!$O$5:$O$21,MATCH($C278,Muuttujat!$N$5:$N$21,0),1)</f>
        <v>0.1</v>
      </c>
      <c r="R278" s="148">
        <f>INDEX(Muuttujat!$P$5:$P$21,MATCH($C278,Muuttujat!$N$5:$N$21,0),1)</f>
        <v>0.10417875759940039</v>
      </c>
      <c r="S278" s="149">
        <f t="shared" si="85"/>
        <v>0</v>
      </c>
      <c r="T278" s="150">
        <f t="shared" si="86"/>
        <v>0</v>
      </c>
      <c r="U278" s="150">
        <f t="shared" si="87"/>
        <v>0</v>
      </c>
      <c r="V278" s="150">
        <f>IFERROR(INDEX(Työkonekanta!$J$3:$J$27,MATCH($A278,Työkonekanta!$A$3:$A$24,0),1)*$B278*ef_li_ion_akku/1000/1000/INDEX(Työkonekanta!$K$3:$K$27,MATCH($A278,Työkonekanta!$A$3:$A$24,0)),0)</f>
        <v>0</v>
      </c>
      <c r="W278" s="149">
        <f t="shared" si="88"/>
        <v>0</v>
      </c>
      <c r="X278" s="150">
        <f t="shared" si="89"/>
        <v>0</v>
      </c>
      <c r="Y278" s="151">
        <f t="shared" si="90"/>
        <v>0</v>
      </c>
      <c r="Z278" s="152">
        <f t="shared" si="94"/>
        <v>0</v>
      </c>
      <c r="AA278" s="153">
        <f t="shared" si="95"/>
        <v>0</v>
      </c>
      <c r="AB278" s="153">
        <f t="shared" si="96"/>
        <v>0</v>
      </c>
      <c r="AC278" s="154">
        <f t="shared" si="91"/>
        <v>0</v>
      </c>
      <c r="AD278" s="156">
        <f t="shared" si="97"/>
        <v>0</v>
      </c>
    </row>
    <row r="279" spans="1:30" s="144" customFormat="1">
      <c r="A279" s="139">
        <v>7</v>
      </c>
      <c r="B279" s="139">
        <f>IFERROR(INDEX(Työkonekanta!$F$3:$F$27,MATCH('S0a Baseline'!$A279,Työkonekanta!$A$3:$A$24,0),1),0)</f>
        <v>1</v>
      </c>
      <c r="C279" s="140">
        <v>2028</v>
      </c>
      <c r="D279" s="141" t="str">
        <f>IFERROR(INDEX(Työkonekanta!$D$3:$D$27,MATCH('S0a Baseline'!$A279,Työkonekanta!$A$3:$A$24,0),1),"undefined")</f>
        <v>pom</v>
      </c>
      <c r="E279" s="145">
        <f>IFERROR(INDEX(Työkonekanta!$G$3:$G$27,MATCH($A279,Työkonekanta!$A$3:$A$24,0),1)*INDEX(Työkonekanta!$H$3:$H$27,MATCH($A279,Työkonekanta!$A$3:$A$24,0),1)*$B279,0)</f>
        <v>10000</v>
      </c>
      <c r="F279" s="344">
        <f t="shared" si="81"/>
        <v>359000</v>
      </c>
      <c r="G279" s="344">
        <f t="shared" si="92"/>
        <v>323100</v>
      </c>
      <c r="H279" s="344">
        <f t="shared" si="93"/>
        <v>35900</v>
      </c>
      <c r="I279" s="145">
        <f t="shared" si="82"/>
        <v>9000</v>
      </c>
      <c r="J279" s="145">
        <f t="shared" si="83"/>
        <v>1046.6472303206997</v>
      </c>
      <c r="K279" s="142" t="str">
        <f t="shared" si="80"/>
        <v>l</v>
      </c>
      <c r="L279" s="146">
        <f>IFERROR(INDEX(Työkonekanta!$I$3:$I$27,MATCH('S0a Baseline'!$A279,Työkonekanta!$A$3:$A$24,0),1)*(I279+J279)*f_adblue,0)</f>
        <v>0</v>
      </c>
      <c r="M279" s="146">
        <f t="shared" si="84"/>
        <v>0</v>
      </c>
      <c r="N279" s="143" t="str">
        <f>IF(tuulisähkö_vuosi&lt;='S0a Baseline'!C279,"tuulisähkö",ostosähkö_nyt)</f>
        <v>jäännössähkö</v>
      </c>
      <c r="O279" s="147">
        <f>INDEX(Muuttujat!$J$5:$J$21,MATCH($C279,Muuttujat!$H$5:$H$21,0),1)</f>
        <v>63.258531840332459</v>
      </c>
      <c r="P279" s="342">
        <f>1-(INDEX(Muuttujat!$O$5:$O$21,MATCH($C279,Muuttujat!$N$5:$N$21,0),1))</f>
        <v>0.9</v>
      </c>
      <c r="Q279" s="342">
        <f>INDEX(Muuttujat!$O$5:$O$21,MATCH($C279,Muuttujat!$N$5:$N$21,0),1)</f>
        <v>0.1</v>
      </c>
      <c r="R279" s="148">
        <f>INDEX(Muuttujat!$P$5:$P$21,MATCH($C279,Muuttujat!$N$5:$N$21,0),1)</f>
        <v>0.10417875759940039</v>
      </c>
      <c r="S279" s="149">
        <f t="shared" si="85"/>
        <v>6.1065899999999997</v>
      </c>
      <c r="T279" s="150">
        <f t="shared" si="86"/>
        <v>2.2401599999999999</v>
      </c>
      <c r="U279" s="150">
        <f t="shared" si="87"/>
        <v>0</v>
      </c>
      <c r="V279" s="150">
        <f>IFERROR(INDEX(Työkonekanta!$J$3:$J$27,MATCH($A279,Työkonekanta!$A$3:$A$24,0),1)*$B279*ef_li_ion_akku/1000/1000/INDEX(Työkonekanta!$K$3:$K$27,MATCH($A279,Työkonekanta!$A$3:$A$24,0)),0)</f>
        <v>0</v>
      </c>
      <c r="W279" s="149">
        <f t="shared" si="88"/>
        <v>23.847446957400003</v>
      </c>
      <c r="X279" s="150">
        <f t="shared" si="89"/>
        <v>0.31774565999999999</v>
      </c>
      <c r="Y279" s="151">
        <f t="shared" si="90"/>
        <v>0</v>
      </c>
      <c r="Z279" s="152">
        <f t="shared" si="94"/>
        <v>8.3467500000000001</v>
      </c>
      <c r="AA279" s="153">
        <f t="shared" si="95"/>
        <v>23.847446957400003</v>
      </c>
      <c r="AB279" s="153">
        <f t="shared" si="96"/>
        <v>24.165192617400002</v>
      </c>
      <c r="AC279" s="154">
        <f t="shared" si="91"/>
        <v>32.194196957400003</v>
      </c>
      <c r="AD279" s="156">
        <f t="shared" si="97"/>
        <v>32.511942617400003</v>
      </c>
    </row>
    <row r="280" spans="1:30" s="144" customFormat="1">
      <c r="A280" s="139">
        <v>8</v>
      </c>
      <c r="B280" s="139">
        <f>IFERROR(INDEX(Työkonekanta!$F$3:$F$27,MATCH('S0a Baseline'!$A280,Työkonekanta!$A$3:$A$24,0),1),0)</f>
        <v>1</v>
      </c>
      <c r="C280" s="140">
        <v>2028</v>
      </c>
      <c r="D280" s="141" t="str">
        <f>IFERROR(INDEX(Työkonekanta!$D$3:$D$27,MATCH('S0a Baseline'!$A280,Työkonekanta!$A$3:$A$24,0),1),"undefined")</f>
        <v>pom</v>
      </c>
      <c r="E280" s="145">
        <f>IFERROR(INDEX(Työkonekanta!$G$3:$G$27,MATCH($A280,Työkonekanta!$A$3:$A$24,0),1)*INDEX(Työkonekanta!$H$3:$H$27,MATCH($A280,Työkonekanta!$A$3:$A$24,0),1)*$B280,0)</f>
        <v>10000</v>
      </c>
      <c r="F280" s="344">
        <f t="shared" si="81"/>
        <v>359000</v>
      </c>
      <c r="G280" s="344">
        <f t="shared" si="92"/>
        <v>323100</v>
      </c>
      <c r="H280" s="344">
        <f t="shared" si="93"/>
        <v>35900</v>
      </c>
      <c r="I280" s="145">
        <f t="shared" si="82"/>
        <v>9000</v>
      </c>
      <c r="J280" s="145">
        <f t="shared" si="83"/>
        <v>1046.6472303206997</v>
      </c>
      <c r="K280" s="142" t="str">
        <f t="shared" si="80"/>
        <v>l</v>
      </c>
      <c r="L280" s="146">
        <f>IFERROR(INDEX(Työkonekanta!$I$3:$I$27,MATCH('S0a Baseline'!$A280,Työkonekanta!$A$3:$A$24,0),1)*(I280+J280)*f_adblue,0)</f>
        <v>502.33236151603501</v>
      </c>
      <c r="M280" s="146">
        <f t="shared" si="84"/>
        <v>0</v>
      </c>
      <c r="N280" s="143" t="str">
        <f>IF(tuulisähkö_vuosi&lt;='S0a Baseline'!C280,"tuulisähkö",ostosähkö_nyt)</f>
        <v>jäännössähkö</v>
      </c>
      <c r="O280" s="147">
        <f>INDEX(Muuttujat!$J$5:$J$21,MATCH($C280,Muuttujat!$H$5:$H$21,0),1)</f>
        <v>63.258531840332459</v>
      </c>
      <c r="P280" s="342">
        <f>1-(INDEX(Muuttujat!$O$5:$O$21,MATCH($C280,Muuttujat!$N$5:$N$21,0),1))</f>
        <v>0.9</v>
      </c>
      <c r="Q280" s="342">
        <f>INDEX(Muuttujat!$O$5:$O$21,MATCH($C280,Muuttujat!$N$5:$N$21,0),1)</f>
        <v>0.1</v>
      </c>
      <c r="R280" s="148">
        <f>INDEX(Muuttujat!$P$5:$P$21,MATCH($C280,Muuttujat!$N$5:$N$21,0),1)</f>
        <v>0.10417875759940039</v>
      </c>
      <c r="S280" s="149">
        <f t="shared" si="85"/>
        <v>6.1065899999999997</v>
      </c>
      <c r="T280" s="150">
        <f t="shared" si="86"/>
        <v>2.2401599999999999</v>
      </c>
      <c r="U280" s="150">
        <f t="shared" si="87"/>
        <v>0</v>
      </c>
      <c r="V280" s="150">
        <f>IFERROR(INDEX(Työkonekanta!$J$3:$J$27,MATCH($A280,Työkonekanta!$A$3:$A$24,0),1)*$B280*ef_li_ion_akku/1000/1000/INDEX(Työkonekanta!$K$3:$K$27,MATCH($A280,Työkonekanta!$A$3:$A$24,0)),0)</f>
        <v>0</v>
      </c>
      <c r="W280" s="149">
        <f t="shared" si="88"/>
        <v>23.847446957400003</v>
      </c>
      <c r="X280" s="150">
        <f t="shared" si="89"/>
        <v>0.31774565999999999</v>
      </c>
      <c r="Y280" s="151">
        <f t="shared" si="90"/>
        <v>0.13060641399416908</v>
      </c>
      <c r="Z280" s="152">
        <f t="shared" si="94"/>
        <v>8.3467500000000001</v>
      </c>
      <c r="AA280" s="153">
        <f t="shared" si="95"/>
        <v>23.978053371394171</v>
      </c>
      <c r="AB280" s="153">
        <f t="shared" si="96"/>
        <v>24.295799031394171</v>
      </c>
      <c r="AC280" s="154">
        <f t="shared" si="91"/>
        <v>32.324803371394168</v>
      </c>
      <c r="AD280" s="156">
        <f t="shared" si="97"/>
        <v>32.642549031394168</v>
      </c>
    </row>
    <row r="281" spans="1:30" s="144" customFormat="1">
      <c r="A281" s="139">
        <v>9</v>
      </c>
      <c r="B281" s="139">
        <f>IFERROR(INDEX(Työkonekanta!$F$3:$F$27,MATCH('S0a Baseline'!$A281,Työkonekanta!$A$3:$A$24,0),1),0)</f>
        <v>0</v>
      </c>
      <c r="C281" s="140">
        <v>2028</v>
      </c>
      <c r="D281" s="141" t="str">
        <f>IFERROR(INDEX(Työkonekanta!$D$3:$D$27,MATCH('S0a Baseline'!$A281,Työkonekanta!$A$3:$A$24,0),1),"undefined")</f>
        <v>sähkö</v>
      </c>
      <c r="E281" s="145">
        <f>IFERROR(INDEX(Työkonekanta!$G$3:$G$27,MATCH($A281,Työkonekanta!$A$3:$A$24,0),1)*INDEX(Työkonekanta!$H$3:$H$27,MATCH($A281,Työkonekanta!$A$3:$A$24,0),1)*$B281,0)</f>
        <v>0</v>
      </c>
      <c r="F281" s="344">
        <f t="shared" si="81"/>
        <v>0</v>
      </c>
      <c r="G281" s="344">
        <f t="shared" si="92"/>
        <v>0</v>
      </c>
      <c r="H281" s="344">
        <f t="shared" si="93"/>
        <v>0</v>
      </c>
      <c r="I281" s="145">
        <f t="shared" si="82"/>
        <v>0</v>
      </c>
      <c r="J281" s="145">
        <f t="shared" si="83"/>
        <v>0</v>
      </c>
      <c r="K281" s="142" t="str">
        <f t="shared" si="80"/>
        <v>kWh</v>
      </c>
      <c r="L281" s="146">
        <f>IFERROR(INDEX(Työkonekanta!$I$3:$I$27,MATCH('S0a Baseline'!$A281,Työkonekanta!$A$3:$A$24,0),1)*(I281+J281)*f_adblue,0)</f>
        <v>0</v>
      </c>
      <c r="M281" s="146">
        <f t="shared" si="84"/>
        <v>0</v>
      </c>
      <c r="N281" s="143" t="str">
        <f>IF(tuulisähkö_vuosi&lt;='S0a Baseline'!C281,"tuulisähkö",ostosähkö_nyt)</f>
        <v>jäännössähkö</v>
      </c>
      <c r="O281" s="147">
        <f>INDEX(Muuttujat!$J$5:$J$21,MATCH($C281,Muuttujat!$H$5:$H$21,0),1)</f>
        <v>63.258531840332459</v>
      </c>
      <c r="P281" s="342">
        <f>1-(INDEX(Muuttujat!$O$5:$O$21,MATCH($C281,Muuttujat!$N$5:$N$21,0),1))</f>
        <v>0.9</v>
      </c>
      <c r="Q281" s="342">
        <f>INDEX(Muuttujat!$O$5:$O$21,MATCH($C281,Muuttujat!$N$5:$N$21,0),1)</f>
        <v>0.1</v>
      </c>
      <c r="R281" s="148">
        <f>INDEX(Muuttujat!$P$5:$P$21,MATCH($C281,Muuttujat!$N$5:$N$21,0),1)</f>
        <v>0.10417875759940039</v>
      </c>
      <c r="S281" s="149">
        <f t="shared" si="85"/>
        <v>0</v>
      </c>
      <c r="T281" s="150">
        <f t="shared" si="86"/>
        <v>0</v>
      </c>
      <c r="U281" s="150">
        <f t="shared" si="87"/>
        <v>0</v>
      </c>
      <c r="V281" s="150">
        <f>IFERROR(INDEX(Työkonekanta!$J$3:$J$27,MATCH($A281,Työkonekanta!$A$3:$A$24,0),1)*$B281*ef_li_ion_akku/1000/1000/INDEX(Työkonekanta!$K$3:$K$27,MATCH($A281,Työkonekanta!$A$3:$A$24,0)),0)</f>
        <v>0</v>
      </c>
      <c r="W281" s="149">
        <f t="shared" si="88"/>
        <v>0</v>
      </c>
      <c r="X281" s="150">
        <f t="shared" si="89"/>
        <v>0</v>
      </c>
      <c r="Y281" s="151">
        <f t="shared" si="90"/>
        <v>0</v>
      </c>
      <c r="Z281" s="152">
        <f t="shared" si="94"/>
        <v>0</v>
      </c>
      <c r="AA281" s="153">
        <f t="shared" si="95"/>
        <v>0</v>
      </c>
      <c r="AB281" s="153">
        <f t="shared" si="96"/>
        <v>0</v>
      </c>
      <c r="AC281" s="154">
        <f t="shared" si="91"/>
        <v>0</v>
      </c>
      <c r="AD281" s="156">
        <f t="shared" si="97"/>
        <v>0</v>
      </c>
    </row>
    <row r="282" spans="1:30" s="144" customFormat="1">
      <c r="A282" s="139">
        <v>10</v>
      </c>
      <c r="B282" s="139">
        <f>IFERROR(INDEX(Työkonekanta!$F$3:$F$27,MATCH('S0a Baseline'!$A282,Työkonekanta!$A$3:$A$24,0),1),0)</f>
        <v>0</v>
      </c>
      <c r="C282" s="140">
        <v>2028</v>
      </c>
      <c r="D282" s="141" t="str">
        <f>IFERROR(INDEX(Työkonekanta!$D$3:$D$27,MATCH('S0a Baseline'!$A282,Työkonekanta!$A$3:$A$24,0),1),"undefined")</f>
        <v>sähkö</v>
      </c>
      <c r="E282" s="145">
        <f>IFERROR(INDEX(Työkonekanta!$G$3:$G$27,MATCH($A282,Työkonekanta!$A$3:$A$24,0),1)*INDEX(Työkonekanta!$H$3:$H$27,MATCH($A282,Työkonekanta!$A$3:$A$24,0),1)*$B282,0)</f>
        <v>0</v>
      </c>
      <c r="F282" s="344">
        <f t="shared" si="81"/>
        <v>0</v>
      </c>
      <c r="G282" s="344">
        <f t="shared" si="92"/>
        <v>0</v>
      </c>
      <c r="H282" s="344">
        <f t="shared" si="93"/>
        <v>0</v>
      </c>
      <c r="I282" s="145">
        <f t="shared" si="82"/>
        <v>0</v>
      </c>
      <c r="J282" s="145">
        <f t="shared" si="83"/>
        <v>0</v>
      </c>
      <c r="K282" s="142" t="str">
        <f t="shared" si="80"/>
        <v>kWh</v>
      </c>
      <c r="L282" s="146">
        <f>IFERROR(INDEX(Työkonekanta!$I$3:$I$27,MATCH('S0a Baseline'!$A282,Työkonekanta!$A$3:$A$24,0),1)*(I282+J282)*f_adblue,0)</f>
        <v>0</v>
      </c>
      <c r="M282" s="146">
        <f t="shared" si="84"/>
        <v>0</v>
      </c>
      <c r="N282" s="143" t="str">
        <f>IF(tuulisähkö_vuosi&lt;='S0a Baseline'!C282,"tuulisähkö",ostosähkö_nyt)</f>
        <v>jäännössähkö</v>
      </c>
      <c r="O282" s="147">
        <f>INDEX(Muuttujat!$J$5:$J$21,MATCH($C282,Muuttujat!$H$5:$H$21,0),1)</f>
        <v>63.258531840332459</v>
      </c>
      <c r="P282" s="342">
        <f>1-(INDEX(Muuttujat!$O$5:$O$21,MATCH($C282,Muuttujat!$N$5:$N$21,0),1))</f>
        <v>0.9</v>
      </c>
      <c r="Q282" s="342">
        <f>INDEX(Muuttujat!$O$5:$O$21,MATCH($C282,Muuttujat!$N$5:$N$21,0),1)</f>
        <v>0.1</v>
      </c>
      <c r="R282" s="148">
        <f>INDEX(Muuttujat!$P$5:$P$21,MATCH($C282,Muuttujat!$N$5:$N$21,0),1)</f>
        <v>0.10417875759940039</v>
      </c>
      <c r="S282" s="149">
        <f t="shared" si="85"/>
        <v>0</v>
      </c>
      <c r="T282" s="150">
        <f t="shared" si="86"/>
        <v>0</v>
      </c>
      <c r="U282" s="150">
        <f t="shared" si="87"/>
        <v>0</v>
      </c>
      <c r="V282" s="150">
        <f>IFERROR(INDEX(Työkonekanta!$J$3:$J$27,MATCH($A282,Työkonekanta!$A$3:$A$24,0),1)*$B282*ef_li_ion_akku/1000/1000/INDEX(Työkonekanta!$K$3:$K$27,MATCH($A282,Työkonekanta!$A$3:$A$24,0)),0)</f>
        <v>0</v>
      </c>
      <c r="W282" s="149">
        <f t="shared" si="88"/>
        <v>0</v>
      </c>
      <c r="X282" s="150">
        <f t="shared" si="89"/>
        <v>0</v>
      </c>
      <c r="Y282" s="151">
        <f t="shared" si="90"/>
        <v>0</v>
      </c>
      <c r="Z282" s="152">
        <f t="shared" si="94"/>
        <v>0</v>
      </c>
      <c r="AA282" s="153">
        <f t="shared" si="95"/>
        <v>0</v>
      </c>
      <c r="AB282" s="153">
        <f t="shared" si="96"/>
        <v>0</v>
      </c>
      <c r="AC282" s="154">
        <f t="shared" si="91"/>
        <v>0</v>
      </c>
      <c r="AD282" s="156">
        <f t="shared" si="97"/>
        <v>0</v>
      </c>
    </row>
    <row r="283" spans="1:30" s="144" customFormat="1">
      <c r="A283" s="139">
        <v>11</v>
      </c>
      <c r="B283" s="139">
        <f>IFERROR(INDEX(Työkonekanta!$F$3:$F$27,MATCH('S0a Baseline'!$A283,Työkonekanta!$A$3:$A$24,0),1),0)</f>
        <v>1</v>
      </c>
      <c r="C283" s="140">
        <v>2028</v>
      </c>
      <c r="D283" s="141" t="str">
        <f>IFERROR(INDEX(Työkonekanta!$D$3:$D$27,MATCH('S0a Baseline'!$A283,Työkonekanta!$A$3:$A$24,0),1),"undefined")</f>
        <v>pom</v>
      </c>
      <c r="E283" s="145">
        <f>IFERROR(INDEX(Työkonekanta!$G$3:$G$27,MATCH($A283,Työkonekanta!$A$3:$A$24,0),1)*INDEX(Työkonekanta!$H$3:$H$27,MATCH($A283,Työkonekanta!$A$3:$A$24,0),1)*$B283,0)</f>
        <v>10000</v>
      </c>
      <c r="F283" s="344">
        <f t="shared" si="81"/>
        <v>359000</v>
      </c>
      <c r="G283" s="344">
        <f t="shared" si="92"/>
        <v>323100</v>
      </c>
      <c r="H283" s="344">
        <f t="shared" si="93"/>
        <v>35900</v>
      </c>
      <c r="I283" s="145">
        <f t="shared" si="82"/>
        <v>9000</v>
      </c>
      <c r="J283" s="145">
        <f t="shared" si="83"/>
        <v>1046.6472303206997</v>
      </c>
      <c r="K283" s="142" t="str">
        <f t="shared" si="80"/>
        <v>l</v>
      </c>
      <c r="L283" s="146">
        <f>IFERROR(INDEX(Työkonekanta!$I$3:$I$27,MATCH('S0a Baseline'!$A283,Työkonekanta!$A$3:$A$24,0),1)*(I283+J283)*f_adblue,0)</f>
        <v>502.33236151603501</v>
      </c>
      <c r="M283" s="146">
        <f t="shared" si="84"/>
        <v>0</v>
      </c>
      <c r="N283" s="143" t="str">
        <f>IF(tuulisähkö_vuosi&lt;='S0a Baseline'!C283,"tuulisähkö",ostosähkö_nyt)</f>
        <v>jäännössähkö</v>
      </c>
      <c r="O283" s="147">
        <f>INDEX(Muuttujat!$J$5:$J$21,MATCH($C283,Muuttujat!$H$5:$H$21,0),1)</f>
        <v>63.258531840332459</v>
      </c>
      <c r="P283" s="342">
        <f>1-(INDEX(Muuttujat!$O$5:$O$21,MATCH($C283,Muuttujat!$N$5:$N$21,0),1))</f>
        <v>0.9</v>
      </c>
      <c r="Q283" s="342">
        <f>INDEX(Muuttujat!$O$5:$O$21,MATCH($C283,Muuttujat!$N$5:$N$21,0),1)</f>
        <v>0.1</v>
      </c>
      <c r="R283" s="148">
        <f>INDEX(Muuttujat!$P$5:$P$21,MATCH($C283,Muuttujat!$N$5:$N$21,0),1)</f>
        <v>0.10417875759940039</v>
      </c>
      <c r="S283" s="149">
        <f t="shared" si="85"/>
        <v>6.1065899999999997</v>
      </c>
      <c r="T283" s="150">
        <f t="shared" si="86"/>
        <v>2.2401599999999999</v>
      </c>
      <c r="U283" s="150">
        <f t="shared" si="87"/>
        <v>0</v>
      </c>
      <c r="V283" s="150">
        <f>IFERROR(INDEX(Työkonekanta!$J$3:$J$27,MATCH($A283,Työkonekanta!$A$3:$A$24,0),1)*$B283*ef_li_ion_akku/1000/1000/INDEX(Työkonekanta!$K$3:$K$27,MATCH($A283,Työkonekanta!$A$3:$A$24,0)),0)</f>
        <v>0</v>
      </c>
      <c r="W283" s="149">
        <f t="shared" si="88"/>
        <v>23.847446957400003</v>
      </c>
      <c r="X283" s="150">
        <f t="shared" si="89"/>
        <v>0.31774565999999999</v>
      </c>
      <c r="Y283" s="151">
        <f t="shared" si="90"/>
        <v>0.13060641399416908</v>
      </c>
      <c r="Z283" s="152">
        <f t="shared" si="94"/>
        <v>8.3467500000000001</v>
      </c>
      <c r="AA283" s="153">
        <f t="shared" si="95"/>
        <v>23.978053371394171</v>
      </c>
      <c r="AB283" s="153">
        <f t="shared" si="96"/>
        <v>24.295799031394171</v>
      </c>
      <c r="AC283" s="154">
        <f t="shared" si="91"/>
        <v>32.324803371394168</v>
      </c>
      <c r="AD283" s="156">
        <f t="shared" si="97"/>
        <v>32.642549031394168</v>
      </c>
    </row>
    <row r="284" spans="1:30" s="144" customFormat="1">
      <c r="A284" s="139">
        <v>12</v>
      </c>
      <c r="B284" s="139">
        <f>IFERROR(INDEX(Työkonekanta!$F$3:$F$27,MATCH('S0a Baseline'!$A284,Työkonekanta!$A$3:$A$24,0),1),0)</f>
        <v>1</v>
      </c>
      <c r="C284" s="140">
        <v>2028</v>
      </c>
      <c r="D284" s="141" t="str">
        <f>IFERROR(INDEX(Työkonekanta!$D$3:$D$27,MATCH('S0a Baseline'!$A284,Työkonekanta!$A$3:$A$24,0),1),"undefined")</f>
        <v>pom</v>
      </c>
      <c r="E284" s="145">
        <f>IFERROR(INDEX(Työkonekanta!$G$3:$G$27,MATCH($A284,Työkonekanta!$A$3:$A$24,0),1)*INDEX(Työkonekanta!$H$3:$H$27,MATCH($A284,Työkonekanta!$A$3:$A$24,0),1)*$B284,0)</f>
        <v>10000</v>
      </c>
      <c r="F284" s="344">
        <f t="shared" si="81"/>
        <v>359000</v>
      </c>
      <c r="G284" s="344">
        <f t="shared" si="92"/>
        <v>323100</v>
      </c>
      <c r="H284" s="344">
        <f t="shared" si="93"/>
        <v>35900</v>
      </c>
      <c r="I284" s="145">
        <f t="shared" si="82"/>
        <v>9000</v>
      </c>
      <c r="J284" s="145">
        <f t="shared" si="83"/>
        <v>1046.6472303206997</v>
      </c>
      <c r="K284" s="142" t="str">
        <f t="shared" si="80"/>
        <v>l</v>
      </c>
      <c r="L284" s="146">
        <f>IFERROR(INDEX(Työkonekanta!$I$3:$I$27,MATCH('S0a Baseline'!$A284,Työkonekanta!$A$3:$A$24,0),1)*(I284+J284)*f_adblue,0)</f>
        <v>502.33236151603501</v>
      </c>
      <c r="M284" s="146">
        <f t="shared" si="84"/>
        <v>0</v>
      </c>
      <c r="N284" s="143" t="str">
        <f>IF(tuulisähkö_vuosi&lt;='S0a Baseline'!C284,"tuulisähkö",ostosähkö_nyt)</f>
        <v>jäännössähkö</v>
      </c>
      <c r="O284" s="147">
        <f>INDEX(Muuttujat!$J$5:$J$21,MATCH($C284,Muuttujat!$H$5:$H$21,0),1)</f>
        <v>63.258531840332459</v>
      </c>
      <c r="P284" s="342">
        <f>1-(INDEX(Muuttujat!$O$5:$O$21,MATCH($C284,Muuttujat!$N$5:$N$21,0),1))</f>
        <v>0.9</v>
      </c>
      <c r="Q284" s="342">
        <f>INDEX(Muuttujat!$O$5:$O$21,MATCH($C284,Muuttujat!$N$5:$N$21,0),1)</f>
        <v>0.1</v>
      </c>
      <c r="R284" s="148">
        <f>INDEX(Muuttujat!$P$5:$P$21,MATCH($C284,Muuttujat!$N$5:$N$21,0),1)</f>
        <v>0.10417875759940039</v>
      </c>
      <c r="S284" s="149">
        <f t="shared" si="85"/>
        <v>6.1065899999999997</v>
      </c>
      <c r="T284" s="150">
        <f t="shared" si="86"/>
        <v>2.2401599999999999</v>
      </c>
      <c r="U284" s="150">
        <f t="shared" si="87"/>
        <v>0</v>
      </c>
      <c r="V284" s="150">
        <f>IFERROR(INDEX(Työkonekanta!$J$3:$J$27,MATCH($A284,Työkonekanta!$A$3:$A$24,0),1)*$B284*ef_li_ion_akku/1000/1000/INDEX(Työkonekanta!$K$3:$K$27,MATCH($A284,Työkonekanta!$A$3:$A$24,0)),0)</f>
        <v>0</v>
      </c>
      <c r="W284" s="149">
        <f t="shared" si="88"/>
        <v>23.847446957400003</v>
      </c>
      <c r="X284" s="150">
        <f t="shared" si="89"/>
        <v>0.31774565999999999</v>
      </c>
      <c r="Y284" s="151">
        <f t="shared" si="90"/>
        <v>0.13060641399416908</v>
      </c>
      <c r="Z284" s="152">
        <f t="shared" si="94"/>
        <v>8.3467500000000001</v>
      </c>
      <c r="AA284" s="153">
        <f t="shared" si="95"/>
        <v>23.978053371394171</v>
      </c>
      <c r="AB284" s="153">
        <f t="shared" si="96"/>
        <v>24.295799031394171</v>
      </c>
      <c r="AC284" s="154">
        <f t="shared" si="91"/>
        <v>32.324803371394168</v>
      </c>
      <c r="AD284" s="156">
        <f t="shared" si="97"/>
        <v>32.642549031394168</v>
      </c>
    </row>
    <row r="285" spans="1:30" s="144" customFormat="1">
      <c r="A285" s="139">
        <v>13</v>
      </c>
      <c r="B285" s="139">
        <f>IFERROR(INDEX(Työkonekanta!$F$3:$F$27,MATCH('S0a Baseline'!$A285,Työkonekanta!$A$3:$A$24,0),1),0)</f>
        <v>0</v>
      </c>
      <c r="C285" s="140">
        <v>2028</v>
      </c>
      <c r="D285" s="141" t="str">
        <f>IFERROR(INDEX(Työkonekanta!$D$3:$D$27,MATCH('S0a Baseline'!$A285,Työkonekanta!$A$3:$A$24,0),1),"undefined")</f>
        <v>pom</v>
      </c>
      <c r="E285" s="145">
        <f>IFERROR(INDEX(Työkonekanta!$G$3:$G$27,MATCH($A285,Työkonekanta!$A$3:$A$24,0),1)*INDEX(Työkonekanta!$H$3:$H$27,MATCH($A285,Työkonekanta!$A$3:$A$24,0),1)*$B285,0)</f>
        <v>0</v>
      </c>
      <c r="F285" s="344">
        <f t="shared" si="81"/>
        <v>0</v>
      </c>
      <c r="G285" s="344">
        <f t="shared" si="92"/>
        <v>0</v>
      </c>
      <c r="H285" s="344">
        <f t="shared" si="93"/>
        <v>0</v>
      </c>
      <c r="I285" s="145">
        <f t="shared" si="82"/>
        <v>0</v>
      </c>
      <c r="J285" s="145">
        <f t="shared" si="83"/>
        <v>0</v>
      </c>
      <c r="K285" s="142" t="str">
        <f t="shared" si="80"/>
        <v>l</v>
      </c>
      <c r="L285" s="146">
        <f>IFERROR(INDEX(Työkonekanta!$I$3:$I$27,MATCH('S0a Baseline'!$A285,Työkonekanta!$A$3:$A$24,0),1)*(I285+J285)*f_adblue,0)</f>
        <v>0</v>
      </c>
      <c r="M285" s="146">
        <f t="shared" si="84"/>
        <v>0</v>
      </c>
      <c r="N285" s="143" t="str">
        <f>IF(tuulisähkö_vuosi&lt;='S0a Baseline'!C285,"tuulisähkö",ostosähkö_nyt)</f>
        <v>jäännössähkö</v>
      </c>
      <c r="O285" s="147">
        <f>INDEX(Muuttujat!$J$5:$J$21,MATCH($C285,Muuttujat!$H$5:$H$21,0),1)</f>
        <v>63.258531840332459</v>
      </c>
      <c r="P285" s="342">
        <f>1-(INDEX(Muuttujat!$O$5:$O$21,MATCH($C285,Muuttujat!$N$5:$N$21,0),1))</f>
        <v>0.9</v>
      </c>
      <c r="Q285" s="342">
        <f>INDEX(Muuttujat!$O$5:$O$21,MATCH($C285,Muuttujat!$N$5:$N$21,0),1)</f>
        <v>0.1</v>
      </c>
      <c r="R285" s="148">
        <f>INDEX(Muuttujat!$P$5:$P$21,MATCH($C285,Muuttujat!$N$5:$N$21,0),1)</f>
        <v>0.10417875759940039</v>
      </c>
      <c r="S285" s="149">
        <f t="shared" si="85"/>
        <v>0</v>
      </c>
      <c r="T285" s="150">
        <f t="shared" si="86"/>
        <v>0</v>
      </c>
      <c r="U285" s="150">
        <f t="shared" si="87"/>
        <v>0</v>
      </c>
      <c r="V285" s="150">
        <f>IFERROR(INDEX(Työkonekanta!$J$3:$J$27,MATCH($A285,Työkonekanta!$A$3:$A$24,0),1)*$B285*ef_li_ion_akku/1000/1000/INDEX(Työkonekanta!$K$3:$K$27,MATCH($A285,Työkonekanta!$A$3:$A$24,0)),0)</f>
        <v>0</v>
      </c>
      <c r="W285" s="149">
        <f t="shared" si="88"/>
        <v>0</v>
      </c>
      <c r="X285" s="150">
        <f t="shared" si="89"/>
        <v>0</v>
      </c>
      <c r="Y285" s="151">
        <f t="shared" si="90"/>
        <v>0</v>
      </c>
      <c r="Z285" s="152">
        <f t="shared" si="94"/>
        <v>0</v>
      </c>
      <c r="AA285" s="153">
        <f t="shared" si="95"/>
        <v>0</v>
      </c>
      <c r="AB285" s="153">
        <f t="shared" si="96"/>
        <v>0</v>
      </c>
      <c r="AC285" s="154">
        <f t="shared" si="91"/>
        <v>0</v>
      </c>
      <c r="AD285" s="156">
        <f t="shared" si="97"/>
        <v>0</v>
      </c>
    </row>
    <row r="286" spans="1:30" s="144" customFormat="1">
      <c r="A286" s="139">
        <v>14</v>
      </c>
      <c r="B286" s="139">
        <f>IFERROR(INDEX(Työkonekanta!$F$3:$F$27,MATCH('S0a Baseline'!$A286,Työkonekanta!$A$3:$A$24,0),1),0)</f>
        <v>0</v>
      </c>
      <c r="C286" s="140">
        <v>2028</v>
      </c>
      <c r="D286" s="141" t="str">
        <f>IFERROR(INDEX(Työkonekanta!$D$3:$D$27,MATCH('S0a Baseline'!$A286,Työkonekanta!$A$3:$A$24,0),1),"undefined")</f>
        <v>pom</v>
      </c>
      <c r="E286" s="145">
        <f>IFERROR(INDEX(Työkonekanta!$G$3:$G$27,MATCH($A286,Työkonekanta!$A$3:$A$24,0),1)*INDEX(Työkonekanta!$H$3:$H$27,MATCH($A286,Työkonekanta!$A$3:$A$24,0),1)*$B286,0)</f>
        <v>0</v>
      </c>
      <c r="F286" s="344">
        <f t="shared" si="81"/>
        <v>0</v>
      </c>
      <c r="G286" s="344">
        <f t="shared" si="92"/>
        <v>0</v>
      </c>
      <c r="H286" s="344">
        <f t="shared" si="93"/>
        <v>0</v>
      </c>
      <c r="I286" s="145">
        <f t="shared" si="82"/>
        <v>0</v>
      </c>
      <c r="J286" s="145">
        <f t="shared" si="83"/>
        <v>0</v>
      </c>
      <c r="K286" s="142" t="str">
        <f t="shared" si="80"/>
        <v>l</v>
      </c>
      <c r="L286" s="146">
        <f>IFERROR(INDEX(Työkonekanta!$I$3:$I$27,MATCH('S0a Baseline'!$A286,Työkonekanta!$A$3:$A$24,0),1)*(I286+J286)*f_adblue,0)</f>
        <v>0</v>
      </c>
      <c r="M286" s="146">
        <f t="shared" si="84"/>
        <v>0</v>
      </c>
      <c r="N286" s="143" t="str">
        <f>IF(tuulisähkö_vuosi&lt;='S0a Baseline'!C286,"tuulisähkö",ostosähkö_nyt)</f>
        <v>jäännössähkö</v>
      </c>
      <c r="O286" s="147">
        <f>INDEX(Muuttujat!$J$5:$J$21,MATCH($C286,Muuttujat!$H$5:$H$21,0),1)</f>
        <v>63.258531840332459</v>
      </c>
      <c r="P286" s="342">
        <f>1-(INDEX(Muuttujat!$O$5:$O$21,MATCH($C286,Muuttujat!$N$5:$N$21,0),1))</f>
        <v>0.9</v>
      </c>
      <c r="Q286" s="342">
        <f>INDEX(Muuttujat!$O$5:$O$21,MATCH($C286,Muuttujat!$N$5:$N$21,0),1)</f>
        <v>0.1</v>
      </c>
      <c r="R286" s="148">
        <f>INDEX(Muuttujat!$P$5:$P$21,MATCH($C286,Muuttujat!$N$5:$N$21,0),1)</f>
        <v>0.10417875759940039</v>
      </c>
      <c r="S286" s="149">
        <f t="shared" si="85"/>
        <v>0</v>
      </c>
      <c r="T286" s="150">
        <f t="shared" si="86"/>
        <v>0</v>
      </c>
      <c r="U286" s="150">
        <f t="shared" si="87"/>
        <v>0</v>
      </c>
      <c r="V286" s="150">
        <f>IFERROR(INDEX(Työkonekanta!$J$3:$J$27,MATCH($A286,Työkonekanta!$A$3:$A$24,0),1)*$B286*ef_li_ion_akku/1000/1000/INDEX(Työkonekanta!$K$3:$K$27,MATCH($A286,Työkonekanta!$A$3:$A$24,0)),0)</f>
        <v>0</v>
      </c>
      <c r="W286" s="149">
        <f t="shared" si="88"/>
        <v>0</v>
      </c>
      <c r="X286" s="150">
        <f t="shared" si="89"/>
        <v>0</v>
      </c>
      <c r="Y286" s="151">
        <f t="shared" si="90"/>
        <v>0</v>
      </c>
      <c r="Z286" s="152">
        <f t="shared" si="94"/>
        <v>0</v>
      </c>
      <c r="AA286" s="153">
        <f t="shared" si="95"/>
        <v>0</v>
      </c>
      <c r="AB286" s="153">
        <f t="shared" si="96"/>
        <v>0</v>
      </c>
      <c r="AC286" s="154">
        <f t="shared" si="91"/>
        <v>0</v>
      </c>
      <c r="AD286" s="156">
        <f t="shared" si="97"/>
        <v>0</v>
      </c>
    </row>
    <row r="287" spans="1:30" s="144" customFormat="1">
      <c r="A287" s="139">
        <v>15</v>
      </c>
      <c r="B287" s="139">
        <f>IFERROR(INDEX(Työkonekanta!$F$3:$F$27,MATCH('S0a Baseline'!$A287,Työkonekanta!$A$3:$A$24,0),1),0)</f>
        <v>0</v>
      </c>
      <c r="C287" s="140">
        <v>2028</v>
      </c>
      <c r="D287" s="141" t="str">
        <f>IFERROR(INDEX(Työkonekanta!$D$3:$D$27,MATCH('S0a Baseline'!$A287,Työkonekanta!$A$3:$A$24,0),1),"undefined")</f>
        <v>sähkö</v>
      </c>
      <c r="E287" s="145">
        <f>IFERROR(INDEX(Työkonekanta!$G$3:$G$27,MATCH($A287,Työkonekanta!$A$3:$A$24,0),1)*INDEX(Työkonekanta!$H$3:$H$27,MATCH($A287,Työkonekanta!$A$3:$A$24,0),1)*$B287,0)</f>
        <v>0</v>
      </c>
      <c r="F287" s="344">
        <f t="shared" si="81"/>
        <v>0</v>
      </c>
      <c r="G287" s="344">
        <f t="shared" si="92"/>
        <v>0</v>
      </c>
      <c r="H287" s="344">
        <f t="shared" si="93"/>
        <v>0</v>
      </c>
      <c r="I287" s="145">
        <f t="shared" si="82"/>
        <v>0</v>
      </c>
      <c r="J287" s="145">
        <f t="shared" si="83"/>
        <v>0</v>
      </c>
      <c r="K287" s="142" t="str">
        <f t="shared" si="80"/>
        <v>kWh</v>
      </c>
      <c r="L287" s="146">
        <f>IFERROR(INDEX(Työkonekanta!$I$3:$I$27,MATCH('S0a Baseline'!$A287,Työkonekanta!$A$3:$A$24,0),1)*(I287+J287)*f_adblue,0)</f>
        <v>0</v>
      </c>
      <c r="M287" s="146">
        <f t="shared" si="84"/>
        <v>0</v>
      </c>
      <c r="N287" s="143" t="str">
        <f>IF(tuulisähkö_vuosi&lt;='S0a Baseline'!C287,"tuulisähkö",ostosähkö_nyt)</f>
        <v>jäännössähkö</v>
      </c>
      <c r="O287" s="147">
        <f>INDEX(Muuttujat!$J$5:$J$21,MATCH($C287,Muuttujat!$H$5:$H$21,0),1)</f>
        <v>63.258531840332459</v>
      </c>
      <c r="P287" s="342">
        <f>1-(INDEX(Muuttujat!$O$5:$O$21,MATCH($C287,Muuttujat!$N$5:$N$21,0),1))</f>
        <v>0.9</v>
      </c>
      <c r="Q287" s="342">
        <f>INDEX(Muuttujat!$O$5:$O$21,MATCH($C287,Muuttujat!$N$5:$N$21,0),1)</f>
        <v>0.1</v>
      </c>
      <c r="R287" s="148">
        <f>INDEX(Muuttujat!$P$5:$P$21,MATCH($C287,Muuttujat!$N$5:$N$21,0),1)</f>
        <v>0.10417875759940039</v>
      </c>
      <c r="S287" s="149">
        <f t="shared" si="85"/>
        <v>0</v>
      </c>
      <c r="T287" s="150">
        <f t="shared" si="86"/>
        <v>0</v>
      </c>
      <c r="U287" s="150">
        <f t="shared" si="87"/>
        <v>0</v>
      </c>
      <c r="V287" s="150">
        <f>IFERROR(INDEX(Työkonekanta!$J$3:$J$27,MATCH($A287,Työkonekanta!$A$3:$A$24,0),1)*$B287*ef_li_ion_akku/1000/1000/INDEX(Työkonekanta!$K$3:$K$27,MATCH($A287,Työkonekanta!$A$3:$A$24,0)),0)</f>
        <v>0</v>
      </c>
      <c r="W287" s="149">
        <f t="shared" si="88"/>
        <v>0</v>
      </c>
      <c r="X287" s="150">
        <f t="shared" si="89"/>
        <v>0</v>
      </c>
      <c r="Y287" s="151">
        <f t="shared" si="90"/>
        <v>0</v>
      </c>
      <c r="Z287" s="152">
        <f t="shared" si="94"/>
        <v>0</v>
      </c>
      <c r="AA287" s="153">
        <f t="shared" si="95"/>
        <v>0</v>
      </c>
      <c r="AB287" s="153">
        <f t="shared" si="96"/>
        <v>0</v>
      </c>
      <c r="AC287" s="154">
        <f t="shared" si="91"/>
        <v>0</v>
      </c>
      <c r="AD287" s="156">
        <f t="shared" si="97"/>
        <v>0</v>
      </c>
    </row>
    <row r="288" spans="1:30" s="144" customFormat="1">
      <c r="A288" s="139">
        <v>16</v>
      </c>
      <c r="B288" s="139">
        <f>IFERROR(INDEX(Työkonekanta!$F$3:$F$27,MATCH('S0a Baseline'!$A288,Työkonekanta!$A$3:$A$24,0),1),0)</f>
        <v>0</v>
      </c>
      <c r="C288" s="140">
        <v>2028</v>
      </c>
      <c r="D288" s="141" t="str">
        <f>IFERROR(INDEX(Työkonekanta!$D$3:$D$27,MATCH('S0a Baseline'!$A288,Työkonekanta!$A$3:$A$24,0),1),"undefined")</f>
        <v>sähkö</v>
      </c>
      <c r="E288" s="145">
        <f>IFERROR(INDEX(Työkonekanta!$G$3:$G$27,MATCH($A288,Työkonekanta!$A$3:$A$24,0),1)*INDEX(Työkonekanta!$H$3:$H$27,MATCH($A288,Työkonekanta!$A$3:$A$24,0),1)*$B288,0)</f>
        <v>0</v>
      </c>
      <c r="F288" s="344">
        <f t="shared" si="81"/>
        <v>0</v>
      </c>
      <c r="G288" s="344">
        <f t="shared" si="92"/>
        <v>0</v>
      </c>
      <c r="H288" s="344">
        <f t="shared" si="93"/>
        <v>0</v>
      </c>
      <c r="I288" s="145">
        <f t="shared" si="82"/>
        <v>0</v>
      </c>
      <c r="J288" s="145">
        <f t="shared" si="83"/>
        <v>0</v>
      </c>
      <c r="K288" s="142" t="str">
        <f t="shared" si="80"/>
        <v>kWh</v>
      </c>
      <c r="L288" s="146">
        <f>IFERROR(INDEX(Työkonekanta!$I$3:$I$27,MATCH('S0a Baseline'!$A288,Työkonekanta!$A$3:$A$24,0),1)*(I288+J288)*f_adblue,0)</f>
        <v>0</v>
      </c>
      <c r="M288" s="146">
        <f t="shared" si="84"/>
        <v>0</v>
      </c>
      <c r="N288" s="143" t="str">
        <f>IF(tuulisähkö_vuosi&lt;='S0a Baseline'!C288,"tuulisähkö",ostosähkö_nyt)</f>
        <v>jäännössähkö</v>
      </c>
      <c r="O288" s="147">
        <f>INDEX(Muuttujat!$J$5:$J$21,MATCH($C288,Muuttujat!$H$5:$H$21,0),1)</f>
        <v>63.258531840332459</v>
      </c>
      <c r="P288" s="342">
        <f>1-(INDEX(Muuttujat!$O$5:$O$21,MATCH($C288,Muuttujat!$N$5:$N$21,0),1))</f>
        <v>0.9</v>
      </c>
      <c r="Q288" s="342">
        <f>INDEX(Muuttujat!$O$5:$O$21,MATCH($C288,Muuttujat!$N$5:$N$21,0),1)</f>
        <v>0.1</v>
      </c>
      <c r="R288" s="148">
        <f>INDEX(Muuttujat!$P$5:$P$21,MATCH($C288,Muuttujat!$N$5:$N$21,0),1)</f>
        <v>0.10417875759940039</v>
      </c>
      <c r="S288" s="149">
        <f t="shared" si="85"/>
        <v>0</v>
      </c>
      <c r="T288" s="150">
        <f t="shared" si="86"/>
        <v>0</v>
      </c>
      <c r="U288" s="150">
        <f t="shared" si="87"/>
        <v>0</v>
      </c>
      <c r="V288" s="150">
        <f>IFERROR(INDEX(Työkonekanta!$J$3:$J$27,MATCH($A288,Työkonekanta!$A$3:$A$24,0),1)*$B288*ef_li_ion_akku/1000/1000/INDEX(Työkonekanta!$K$3:$K$27,MATCH($A288,Työkonekanta!$A$3:$A$24,0)),0)</f>
        <v>0</v>
      </c>
      <c r="W288" s="149">
        <f t="shared" si="88"/>
        <v>0</v>
      </c>
      <c r="X288" s="150">
        <f t="shared" si="89"/>
        <v>0</v>
      </c>
      <c r="Y288" s="151">
        <f t="shared" si="90"/>
        <v>0</v>
      </c>
      <c r="Z288" s="152">
        <f t="shared" si="94"/>
        <v>0</v>
      </c>
      <c r="AA288" s="153">
        <f t="shared" si="95"/>
        <v>0</v>
      </c>
      <c r="AB288" s="153">
        <f t="shared" si="96"/>
        <v>0</v>
      </c>
      <c r="AC288" s="154">
        <f t="shared" si="91"/>
        <v>0</v>
      </c>
      <c r="AD288" s="156">
        <f t="shared" si="97"/>
        <v>0</v>
      </c>
    </row>
    <row r="289" spans="1:30" s="144" customFormat="1">
      <c r="A289" s="139">
        <v>17</v>
      </c>
      <c r="B289" s="139">
        <f>IFERROR(INDEX(Työkonekanta!$F$3:$F$27,MATCH('S0a Baseline'!$A289,Työkonekanta!$A$3:$A$24,0),1),0)</f>
        <v>1</v>
      </c>
      <c r="C289" s="140">
        <v>2028</v>
      </c>
      <c r="D289" s="141" t="str">
        <f>IFERROR(INDEX(Työkonekanta!$D$3:$D$27,MATCH('S0a Baseline'!$A289,Työkonekanta!$A$3:$A$24,0),1),"undefined")</f>
        <v>pom</v>
      </c>
      <c r="E289" s="145">
        <f>IFERROR(INDEX(Työkonekanta!$G$3:$G$27,MATCH($A289,Työkonekanta!$A$3:$A$24,0),1)*INDEX(Työkonekanta!$H$3:$H$27,MATCH($A289,Työkonekanta!$A$3:$A$24,0),1)*$B289,0)</f>
        <v>10000</v>
      </c>
      <c r="F289" s="344">
        <f t="shared" si="81"/>
        <v>359000</v>
      </c>
      <c r="G289" s="344">
        <f t="shared" si="92"/>
        <v>323100</v>
      </c>
      <c r="H289" s="344">
        <f t="shared" si="93"/>
        <v>35900</v>
      </c>
      <c r="I289" s="145">
        <f t="shared" si="82"/>
        <v>9000</v>
      </c>
      <c r="J289" s="145">
        <f t="shared" si="83"/>
        <v>1046.6472303206997</v>
      </c>
      <c r="K289" s="142" t="str">
        <f t="shared" si="80"/>
        <v>l</v>
      </c>
      <c r="L289" s="146">
        <f>IFERROR(INDEX(Työkonekanta!$I$3:$I$27,MATCH('S0a Baseline'!$A289,Työkonekanta!$A$3:$A$24,0),1)*(I289+J289)*f_adblue,0)</f>
        <v>502.33236151603501</v>
      </c>
      <c r="M289" s="146">
        <f t="shared" si="84"/>
        <v>0</v>
      </c>
      <c r="N289" s="143" t="str">
        <f>IF(tuulisähkö_vuosi&lt;='S0a Baseline'!C289,"tuulisähkö",ostosähkö_nyt)</f>
        <v>jäännössähkö</v>
      </c>
      <c r="O289" s="147">
        <f>INDEX(Muuttujat!$J$5:$J$21,MATCH($C289,Muuttujat!$H$5:$H$21,0),1)</f>
        <v>63.258531840332459</v>
      </c>
      <c r="P289" s="342">
        <f>1-(INDEX(Muuttujat!$O$5:$O$21,MATCH($C289,Muuttujat!$N$5:$N$21,0),1))</f>
        <v>0.9</v>
      </c>
      <c r="Q289" s="342">
        <f>INDEX(Muuttujat!$O$5:$O$21,MATCH($C289,Muuttujat!$N$5:$N$21,0),1)</f>
        <v>0.1</v>
      </c>
      <c r="R289" s="148">
        <f>INDEX(Muuttujat!$P$5:$P$21,MATCH($C289,Muuttujat!$N$5:$N$21,0),1)</f>
        <v>0.10417875759940039</v>
      </c>
      <c r="S289" s="149">
        <f t="shared" si="85"/>
        <v>6.1065899999999997</v>
      </c>
      <c r="T289" s="150">
        <f t="shared" si="86"/>
        <v>2.2401599999999999</v>
      </c>
      <c r="U289" s="150">
        <f t="shared" si="87"/>
        <v>0</v>
      </c>
      <c r="V289" s="150">
        <f>IFERROR(INDEX(Työkonekanta!$J$3:$J$27,MATCH($A289,Työkonekanta!$A$3:$A$24,0),1)*$B289*ef_li_ion_akku/1000/1000/INDEX(Työkonekanta!$K$3:$K$27,MATCH($A289,Työkonekanta!$A$3:$A$24,0)),0)</f>
        <v>0</v>
      </c>
      <c r="W289" s="149">
        <f t="shared" si="88"/>
        <v>23.847446957400003</v>
      </c>
      <c r="X289" s="150">
        <f t="shared" si="89"/>
        <v>0.31774565999999999</v>
      </c>
      <c r="Y289" s="151">
        <f t="shared" si="90"/>
        <v>0.13060641399416908</v>
      </c>
      <c r="Z289" s="152">
        <f t="shared" si="94"/>
        <v>8.3467500000000001</v>
      </c>
      <c r="AA289" s="153">
        <f t="shared" si="95"/>
        <v>23.978053371394171</v>
      </c>
      <c r="AB289" s="153">
        <f t="shared" si="96"/>
        <v>24.295799031394171</v>
      </c>
      <c r="AC289" s="154">
        <f t="shared" si="91"/>
        <v>32.324803371394168</v>
      </c>
      <c r="AD289" s="156">
        <f t="shared" si="97"/>
        <v>32.642549031394168</v>
      </c>
    </row>
    <row r="290" spans="1:30" s="144" customFormat="1">
      <c r="A290" s="139">
        <v>18</v>
      </c>
      <c r="B290" s="139">
        <f>IFERROR(INDEX(Työkonekanta!$F$3:$F$27,MATCH('S0a Baseline'!$A290,Työkonekanta!$A$3:$A$24,0),1),0)</f>
        <v>1</v>
      </c>
      <c r="C290" s="140">
        <v>2028</v>
      </c>
      <c r="D290" s="141" t="str">
        <f>IFERROR(INDEX(Työkonekanta!$D$3:$D$27,MATCH('S0a Baseline'!$A290,Työkonekanta!$A$3:$A$24,0),1),"undefined")</f>
        <v>pom</v>
      </c>
      <c r="E290" s="145">
        <f>IFERROR(INDEX(Työkonekanta!$G$3:$G$27,MATCH($A290,Työkonekanta!$A$3:$A$24,0),1)*INDEX(Työkonekanta!$H$3:$H$27,MATCH($A290,Työkonekanta!$A$3:$A$24,0),1)*$B290,0)</f>
        <v>10000</v>
      </c>
      <c r="F290" s="344">
        <f t="shared" si="81"/>
        <v>359000</v>
      </c>
      <c r="G290" s="344">
        <f t="shared" si="92"/>
        <v>323100</v>
      </c>
      <c r="H290" s="344">
        <f t="shared" si="93"/>
        <v>35900</v>
      </c>
      <c r="I290" s="145">
        <f t="shared" si="82"/>
        <v>9000</v>
      </c>
      <c r="J290" s="145">
        <f t="shared" si="83"/>
        <v>1046.6472303206997</v>
      </c>
      <c r="K290" s="142" t="str">
        <f t="shared" si="80"/>
        <v>l</v>
      </c>
      <c r="L290" s="146">
        <f>IFERROR(INDEX(Työkonekanta!$I$3:$I$27,MATCH('S0a Baseline'!$A290,Työkonekanta!$A$3:$A$24,0),1)*(I290+J290)*f_adblue,0)</f>
        <v>401.86588921282805</v>
      </c>
      <c r="M290" s="146">
        <f t="shared" si="84"/>
        <v>0</v>
      </c>
      <c r="N290" s="143" t="str">
        <f>IF(tuulisähkö_vuosi&lt;='S0a Baseline'!C290,"tuulisähkö",ostosähkö_nyt)</f>
        <v>jäännössähkö</v>
      </c>
      <c r="O290" s="147">
        <f>INDEX(Muuttujat!$J$5:$J$21,MATCH($C290,Muuttujat!$H$5:$H$21,0),1)</f>
        <v>63.258531840332459</v>
      </c>
      <c r="P290" s="342">
        <f>1-(INDEX(Muuttujat!$O$5:$O$21,MATCH($C290,Muuttujat!$N$5:$N$21,0),1))</f>
        <v>0.9</v>
      </c>
      <c r="Q290" s="342">
        <f>INDEX(Muuttujat!$O$5:$O$21,MATCH($C290,Muuttujat!$N$5:$N$21,0),1)</f>
        <v>0.1</v>
      </c>
      <c r="R290" s="148">
        <f>INDEX(Muuttujat!$P$5:$P$21,MATCH($C290,Muuttujat!$N$5:$N$21,0),1)</f>
        <v>0.10417875759940039</v>
      </c>
      <c r="S290" s="149">
        <f t="shared" si="85"/>
        <v>6.1065899999999997</v>
      </c>
      <c r="T290" s="150">
        <f t="shared" si="86"/>
        <v>2.2401599999999999</v>
      </c>
      <c r="U290" s="150">
        <f t="shared" si="87"/>
        <v>0</v>
      </c>
      <c r="V290" s="150">
        <f>IFERROR(INDEX(Työkonekanta!$J$3:$J$27,MATCH($A290,Työkonekanta!$A$3:$A$24,0),1)*$B290*ef_li_ion_akku/1000/1000/INDEX(Työkonekanta!$K$3:$K$27,MATCH($A290,Työkonekanta!$A$3:$A$24,0)),0)</f>
        <v>0</v>
      </c>
      <c r="W290" s="149">
        <f t="shared" si="88"/>
        <v>23.847446957400003</v>
      </c>
      <c r="X290" s="150">
        <f t="shared" si="89"/>
        <v>0.31774565999999999</v>
      </c>
      <c r="Y290" s="151">
        <f t="shared" si="90"/>
        <v>0.1044851311953353</v>
      </c>
      <c r="Z290" s="152">
        <f t="shared" si="94"/>
        <v>8.3467500000000001</v>
      </c>
      <c r="AA290" s="153">
        <f t="shared" si="95"/>
        <v>23.951932088595338</v>
      </c>
      <c r="AB290" s="153">
        <f t="shared" si="96"/>
        <v>24.269677748595338</v>
      </c>
      <c r="AC290" s="154">
        <f t="shared" si="91"/>
        <v>32.298682088595342</v>
      </c>
      <c r="AD290" s="156">
        <f t="shared" si="97"/>
        <v>32.616427748595342</v>
      </c>
    </row>
    <row r="291" spans="1:30" s="144" customFormat="1">
      <c r="A291" s="139">
        <v>19</v>
      </c>
      <c r="B291" s="139">
        <f>IFERROR(INDEX(Työkonekanta!$F$3:$F$27,MATCH('S0a Baseline'!$A291,Työkonekanta!$A$3:$A$24,0),1),0)</f>
        <v>0</v>
      </c>
      <c r="C291" s="140">
        <v>2028</v>
      </c>
      <c r="D291" s="141" t="str">
        <f>IFERROR(INDEX(Työkonekanta!$D$3:$D$27,MATCH('S0a Baseline'!$A291,Työkonekanta!$A$3:$A$24,0),1),"undefined")</f>
        <v>pom</v>
      </c>
      <c r="E291" s="145">
        <f>IFERROR(INDEX(Työkonekanta!$G$3:$G$27,MATCH($A291,Työkonekanta!$A$3:$A$24,0),1)*INDEX(Työkonekanta!$H$3:$H$27,MATCH($A291,Työkonekanta!$A$3:$A$24,0),1)*$B291,0)</f>
        <v>0</v>
      </c>
      <c r="F291" s="344">
        <f t="shared" si="81"/>
        <v>0</v>
      </c>
      <c r="G291" s="344">
        <f t="shared" si="92"/>
        <v>0</v>
      </c>
      <c r="H291" s="344">
        <f t="shared" si="93"/>
        <v>0</v>
      </c>
      <c r="I291" s="145">
        <f t="shared" si="82"/>
        <v>0</v>
      </c>
      <c r="J291" s="145">
        <f t="shared" si="83"/>
        <v>0</v>
      </c>
      <c r="K291" s="142" t="str">
        <f t="shared" si="80"/>
        <v>l</v>
      </c>
      <c r="L291" s="146">
        <f>IFERROR(INDEX(Työkonekanta!$I$3:$I$27,MATCH('S0a Baseline'!$A291,Työkonekanta!$A$3:$A$24,0),1)*(I291+J291)*f_adblue,0)</f>
        <v>0</v>
      </c>
      <c r="M291" s="146">
        <f t="shared" si="84"/>
        <v>0</v>
      </c>
      <c r="N291" s="143" t="str">
        <f>IF(tuulisähkö_vuosi&lt;='S0a Baseline'!C291,"tuulisähkö",ostosähkö_nyt)</f>
        <v>jäännössähkö</v>
      </c>
      <c r="O291" s="147">
        <f>INDEX(Muuttujat!$J$5:$J$21,MATCH($C291,Muuttujat!$H$5:$H$21,0),1)</f>
        <v>63.258531840332459</v>
      </c>
      <c r="P291" s="342">
        <f>1-(INDEX(Muuttujat!$O$5:$O$21,MATCH($C291,Muuttujat!$N$5:$N$21,0),1))</f>
        <v>0.9</v>
      </c>
      <c r="Q291" s="342">
        <f>INDEX(Muuttujat!$O$5:$O$21,MATCH($C291,Muuttujat!$N$5:$N$21,0),1)</f>
        <v>0.1</v>
      </c>
      <c r="R291" s="148">
        <f>INDEX(Muuttujat!$P$5:$P$21,MATCH($C291,Muuttujat!$N$5:$N$21,0),1)</f>
        <v>0.10417875759940039</v>
      </c>
      <c r="S291" s="149">
        <f t="shared" si="85"/>
        <v>0</v>
      </c>
      <c r="T291" s="150">
        <f t="shared" si="86"/>
        <v>0</v>
      </c>
      <c r="U291" s="150">
        <f t="shared" si="87"/>
        <v>0</v>
      </c>
      <c r="V291" s="150">
        <f>IFERROR(INDEX(Työkonekanta!$J$3:$J$27,MATCH($A291,Työkonekanta!$A$3:$A$24,0),1)*$B291*ef_li_ion_akku/1000/1000/INDEX(Työkonekanta!$K$3:$K$27,MATCH($A291,Työkonekanta!$A$3:$A$24,0)),0)</f>
        <v>0</v>
      </c>
      <c r="W291" s="149">
        <f t="shared" si="88"/>
        <v>0</v>
      </c>
      <c r="X291" s="150">
        <f t="shared" si="89"/>
        <v>0</v>
      </c>
      <c r="Y291" s="151">
        <f t="shared" si="90"/>
        <v>0</v>
      </c>
      <c r="Z291" s="152">
        <f t="shared" si="94"/>
        <v>0</v>
      </c>
      <c r="AA291" s="153">
        <f t="shared" si="95"/>
        <v>0</v>
      </c>
      <c r="AB291" s="153">
        <f t="shared" si="96"/>
        <v>0</v>
      </c>
      <c r="AC291" s="154">
        <f t="shared" si="91"/>
        <v>0</v>
      </c>
      <c r="AD291" s="156">
        <f t="shared" si="97"/>
        <v>0</v>
      </c>
    </row>
    <row r="292" spans="1:30" s="144" customFormat="1">
      <c r="A292" s="139">
        <v>20</v>
      </c>
      <c r="B292" s="139">
        <f>IFERROR(INDEX(Työkonekanta!$F$3:$F$27,MATCH('S0a Baseline'!$A292,Työkonekanta!$A$3:$A$24,0),1),0)</f>
        <v>0</v>
      </c>
      <c r="C292" s="140">
        <v>2028</v>
      </c>
      <c r="D292" s="141" t="str">
        <f>IFERROR(INDEX(Työkonekanta!$D$3:$D$27,MATCH('S0a Baseline'!$A292,Työkonekanta!$A$3:$A$24,0),1),"undefined")</f>
        <v>pom</v>
      </c>
      <c r="E292" s="145">
        <f>IFERROR(INDEX(Työkonekanta!$G$3:$G$27,MATCH($A292,Työkonekanta!$A$3:$A$24,0),1)*INDEX(Työkonekanta!$H$3:$H$27,MATCH($A292,Työkonekanta!$A$3:$A$24,0),1)*$B292,0)</f>
        <v>0</v>
      </c>
      <c r="F292" s="344">
        <f t="shared" si="81"/>
        <v>0</v>
      </c>
      <c r="G292" s="344">
        <f t="shared" si="92"/>
        <v>0</v>
      </c>
      <c r="H292" s="344">
        <f t="shared" si="93"/>
        <v>0</v>
      </c>
      <c r="I292" s="145">
        <f t="shared" si="82"/>
        <v>0</v>
      </c>
      <c r="J292" s="145">
        <f t="shared" si="83"/>
        <v>0</v>
      </c>
      <c r="K292" s="142" t="str">
        <f t="shared" si="80"/>
        <v>l</v>
      </c>
      <c r="L292" s="146">
        <f>IFERROR(INDEX(Työkonekanta!$I$3:$I$27,MATCH('S0a Baseline'!$A292,Työkonekanta!$A$3:$A$24,0),1)*(I292+J292)*f_adblue,0)</f>
        <v>0</v>
      </c>
      <c r="M292" s="146">
        <f t="shared" si="84"/>
        <v>0</v>
      </c>
      <c r="N292" s="143" t="str">
        <f>IF(tuulisähkö_vuosi&lt;='S0a Baseline'!C292,"tuulisähkö",ostosähkö_nyt)</f>
        <v>jäännössähkö</v>
      </c>
      <c r="O292" s="147">
        <f>INDEX(Muuttujat!$J$5:$J$21,MATCH($C292,Muuttujat!$H$5:$H$21,0),1)</f>
        <v>63.258531840332459</v>
      </c>
      <c r="P292" s="342">
        <f>1-(INDEX(Muuttujat!$O$5:$O$21,MATCH($C292,Muuttujat!$N$5:$N$21,0),1))</f>
        <v>0.9</v>
      </c>
      <c r="Q292" s="342">
        <f>INDEX(Muuttujat!$O$5:$O$21,MATCH($C292,Muuttujat!$N$5:$N$21,0),1)</f>
        <v>0.1</v>
      </c>
      <c r="R292" s="148">
        <f>INDEX(Muuttujat!$P$5:$P$21,MATCH($C292,Muuttujat!$N$5:$N$21,0),1)</f>
        <v>0.10417875759940039</v>
      </c>
      <c r="S292" s="149">
        <f t="shared" si="85"/>
        <v>0</v>
      </c>
      <c r="T292" s="150">
        <f t="shared" si="86"/>
        <v>0</v>
      </c>
      <c r="U292" s="150">
        <f t="shared" si="87"/>
        <v>0</v>
      </c>
      <c r="V292" s="150">
        <f>IFERROR(INDEX(Työkonekanta!$J$3:$J$27,MATCH($A292,Työkonekanta!$A$3:$A$24,0),1)*$B292*ef_li_ion_akku/1000/1000/INDEX(Työkonekanta!$K$3:$K$27,MATCH($A292,Työkonekanta!$A$3:$A$24,0)),0)</f>
        <v>0</v>
      </c>
      <c r="W292" s="149">
        <f t="shared" si="88"/>
        <v>0</v>
      </c>
      <c r="X292" s="150">
        <f t="shared" si="89"/>
        <v>0</v>
      </c>
      <c r="Y292" s="151">
        <f t="shared" si="90"/>
        <v>0</v>
      </c>
      <c r="Z292" s="152">
        <f t="shared" si="94"/>
        <v>0</v>
      </c>
      <c r="AA292" s="153">
        <f t="shared" si="95"/>
        <v>0</v>
      </c>
      <c r="AB292" s="153">
        <f t="shared" si="96"/>
        <v>0</v>
      </c>
      <c r="AC292" s="154">
        <f t="shared" si="91"/>
        <v>0</v>
      </c>
      <c r="AD292" s="156">
        <f t="shared" si="97"/>
        <v>0</v>
      </c>
    </row>
    <row r="293" spans="1:30" s="144" customFormat="1">
      <c r="A293" s="139">
        <v>21</v>
      </c>
      <c r="B293" s="139">
        <f>IFERROR(INDEX(Työkonekanta!$F$3:$F$27,MATCH('S0a Baseline'!$A293,Työkonekanta!$A$3:$A$24,0),1),0)</f>
        <v>35</v>
      </c>
      <c r="C293" s="140">
        <v>2028</v>
      </c>
      <c r="D293" s="141" t="str">
        <f>IFERROR(INDEX(Työkonekanta!$D$3:$D$27,MATCH('S0a Baseline'!$A293,Työkonekanta!$A$3:$A$24,0),1),"undefined")</f>
        <v>sähkö</v>
      </c>
      <c r="E293" s="145">
        <f>IFERROR(INDEX(Työkonekanta!$G$3:$G$27,MATCH($A293,Työkonekanta!$A$3:$A$24,0),1)*INDEX(Työkonekanta!$H$3:$H$27,MATCH($A293,Työkonekanta!$A$3:$A$24,0),1)*$B293,0)</f>
        <v>407199.07407407404</v>
      </c>
      <c r="F293" s="344">
        <f t="shared" si="81"/>
        <v>0</v>
      </c>
      <c r="G293" s="344">
        <f t="shared" si="92"/>
        <v>0</v>
      </c>
      <c r="H293" s="344">
        <f t="shared" si="93"/>
        <v>0</v>
      </c>
      <c r="I293" s="145">
        <f t="shared" si="82"/>
        <v>0</v>
      </c>
      <c r="J293" s="145">
        <f t="shared" si="83"/>
        <v>0</v>
      </c>
      <c r="K293" s="142" t="str">
        <f t="shared" si="80"/>
        <v>kWh</v>
      </c>
      <c r="L293" s="146">
        <f>IFERROR(INDEX(Työkonekanta!$I$3:$I$27,MATCH('S0a Baseline'!$A293,Työkonekanta!$A$3:$A$24,0),1)*(I293+J293)*f_adblue,0)</f>
        <v>0</v>
      </c>
      <c r="M293" s="146">
        <f t="shared" si="84"/>
        <v>1465916.6666666665</v>
      </c>
      <c r="N293" s="143" t="str">
        <f>IF(tuulisähkö_vuosi&lt;='S0a Baseline'!C293,"tuulisähkö",ostosähkö_nyt)</f>
        <v>jäännössähkö</v>
      </c>
      <c r="O293" s="147">
        <f>INDEX(Muuttujat!$J$5:$J$21,MATCH($C293,Muuttujat!$H$5:$H$21,0),1)</f>
        <v>63.258531840332459</v>
      </c>
      <c r="P293" s="342">
        <f>1-(INDEX(Muuttujat!$O$5:$O$21,MATCH($C293,Muuttujat!$N$5:$N$21,0),1))</f>
        <v>0.9</v>
      </c>
      <c r="Q293" s="342">
        <f>INDEX(Muuttujat!$O$5:$O$21,MATCH($C293,Muuttujat!$N$5:$N$21,0),1)</f>
        <v>0.1</v>
      </c>
      <c r="R293" s="148">
        <f>INDEX(Muuttujat!$P$5:$P$21,MATCH($C293,Muuttujat!$N$5:$N$21,0),1)</f>
        <v>0.10417875759940039</v>
      </c>
      <c r="S293" s="149">
        <f t="shared" si="85"/>
        <v>0</v>
      </c>
      <c r="T293" s="150">
        <f t="shared" si="86"/>
        <v>0</v>
      </c>
      <c r="U293" s="150">
        <f t="shared" si="87"/>
        <v>92.731736133607342</v>
      </c>
      <c r="V293" s="150">
        <f>IFERROR(INDEX(Työkonekanta!$J$3:$J$27,MATCH($A293,Työkonekanta!$A$3:$A$24,0),1)*$B293*ef_li_ion_akku/1000/1000/INDEX(Työkonekanta!$K$3:$K$27,MATCH($A293,Työkonekanta!$A$3:$A$24,0)),0)</f>
        <v>43.121723076923082</v>
      </c>
      <c r="W293" s="149">
        <f t="shared" si="88"/>
        <v>0</v>
      </c>
      <c r="X293" s="150">
        <f t="shared" si="89"/>
        <v>0</v>
      </c>
      <c r="Y293" s="151">
        <f t="shared" si="90"/>
        <v>0</v>
      </c>
      <c r="Z293" s="152">
        <f t="shared" si="94"/>
        <v>135.85345921053042</v>
      </c>
      <c r="AA293" s="153">
        <f t="shared" si="95"/>
        <v>0</v>
      </c>
      <c r="AB293" s="153">
        <f t="shared" si="96"/>
        <v>0</v>
      </c>
      <c r="AC293" s="154">
        <f t="shared" si="91"/>
        <v>135.85345921053042</v>
      </c>
      <c r="AD293" s="156">
        <f t="shared" si="97"/>
        <v>135.85345921053042</v>
      </c>
    </row>
    <row r="294" spans="1:30" s="144" customFormat="1">
      <c r="A294" s="139">
        <v>22</v>
      </c>
      <c r="B294" s="139">
        <f>IFERROR(INDEX(Työkonekanta!$F$3:$F$27,MATCH('S0a Baseline'!$A294,Työkonekanta!$A$3:$A$24,0),1),0)</f>
        <v>0</v>
      </c>
      <c r="C294" s="140">
        <v>2028</v>
      </c>
      <c r="D294" s="141" t="str">
        <f>IFERROR(INDEX(Työkonekanta!$D$3:$D$27,MATCH('S0a Baseline'!$A294,Työkonekanta!$A$3:$A$24,0),1),"undefined")</f>
        <v>sähkö</v>
      </c>
      <c r="E294" s="145">
        <f>IFERROR(INDEX(Työkonekanta!$G$3:$G$27,MATCH($A294,Työkonekanta!$A$3:$A$24,0),1)*INDEX(Työkonekanta!$H$3:$H$27,MATCH($A294,Työkonekanta!$A$3:$A$24,0),1)*$B294,0)</f>
        <v>0</v>
      </c>
      <c r="F294" s="344">
        <f t="shared" si="81"/>
        <v>0</v>
      </c>
      <c r="G294" s="344">
        <f t="shared" si="92"/>
        <v>0</v>
      </c>
      <c r="H294" s="344">
        <f t="shared" si="93"/>
        <v>0</v>
      </c>
      <c r="I294" s="145">
        <f t="shared" si="82"/>
        <v>0</v>
      </c>
      <c r="J294" s="145">
        <f t="shared" si="83"/>
        <v>0</v>
      </c>
      <c r="K294" s="142" t="str">
        <f t="shared" si="80"/>
        <v>kWh</v>
      </c>
      <c r="L294" s="146">
        <f>IFERROR(INDEX(Työkonekanta!$I$3:$I$27,MATCH('S0a Baseline'!$A294,Työkonekanta!$A$3:$A$24,0),1)*(I294+J294)*f_adblue,0)</f>
        <v>0</v>
      </c>
      <c r="M294" s="146">
        <f t="shared" si="84"/>
        <v>0</v>
      </c>
      <c r="N294" s="143" t="str">
        <f>IF(tuulisähkö_vuosi&lt;='S0a Baseline'!C294,"tuulisähkö",ostosähkö_nyt)</f>
        <v>jäännössähkö</v>
      </c>
      <c r="O294" s="147">
        <f>INDEX(Muuttujat!$J$5:$J$21,MATCH($C294,Muuttujat!$H$5:$H$21,0),1)</f>
        <v>63.258531840332459</v>
      </c>
      <c r="P294" s="342">
        <f>1-(INDEX(Muuttujat!$O$5:$O$21,MATCH($C294,Muuttujat!$N$5:$N$21,0),1))</f>
        <v>0.9</v>
      </c>
      <c r="Q294" s="342">
        <f>INDEX(Muuttujat!$O$5:$O$21,MATCH($C294,Muuttujat!$N$5:$N$21,0),1)</f>
        <v>0.1</v>
      </c>
      <c r="R294" s="148">
        <f>INDEX(Muuttujat!$P$5:$P$21,MATCH($C294,Muuttujat!$N$5:$N$21,0),1)</f>
        <v>0.10417875759940039</v>
      </c>
      <c r="S294" s="149">
        <f t="shared" si="85"/>
        <v>0</v>
      </c>
      <c r="T294" s="150">
        <f t="shared" si="86"/>
        <v>0</v>
      </c>
      <c r="U294" s="150">
        <f t="shared" si="87"/>
        <v>0</v>
      </c>
      <c r="V294" s="150">
        <f>IFERROR(INDEX(Työkonekanta!$J$3:$J$27,MATCH($A294,Työkonekanta!$A$3:$A$24,0),1)*$B294*ef_li_ion_akku/1000/1000/INDEX(Työkonekanta!$K$3:$K$27,MATCH($A294,Työkonekanta!$A$3:$A$24,0)),0)</f>
        <v>0</v>
      </c>
      <c r="W294" s="149">
        <f t="shared" si="88"/>
        <v>0</v>
      </c>
      <c r="X294" s="150">
        <f t="shared" si="89"/>
        <v>0</v>
      </c>
      <c r="Y294" s="151">
        <f t="shared" si="90"/>
        <v>0</v>
      </c>
      <c r="Z294" s="152">
        <f t="shared" si="94"/>
        <v>0</v>
      </c>
      <c r="AA294" s="153">
        <f t="shared" si="95"/>
        <v>0</v>
      </c>
      <c r="AB294" s="153">
        <f t="shared" si="96"/>
        <v>0</v>
      </c>
      <c r="AC294" s="154">
        <f t="shared" si="91"/>
        <v>0</v>
      </c>
      <c r="AD294" s="156">
        <f t="shared" si="97"/>
        <v>0</v>
      </c>
    </row>
    <row r="295" spans="1:30" s="144" customFormat="1">
      <c r="A295" s="139">
        <v>23</v>
      </c>
      <c r="B295" s="139">
        <f>IFERROR(INDEX(Työkonekanta!$F$3:$F$27,MATCH('S0a Baseline'!$A295,Työkonekanta!$A$3:$A$24,0),1),0)</f>
        <v>0</v>
      </c>
      <c r="C295" s="140">
        <v>2028</v>
      </c>
      <c r="D295" s="141" t="str">
        <f>IFERROR(INDEX(Työkonekanta!$D$3:$D$27,MATCH('S0a Baseline'!$A295,Työkonekanta!$A$3:$A$24,0),1),"undefined")</f>
        <v>undefined</v>
      </c>
      <c r="E295" s="145">
        <f>IFERROR(INDEX(Työkonekanta!$G$3:$G$27,MATCH($A295,Työkonekanta!$A$3:$A$24,0),1)*INDEX(Työkonekanta!$H$3:$H$27,MATCH($A295,Työkonekanta!$A$3:$A$24,0),1)*$B295,0)</f>
        <v>0</v>
      </c>
      <c r="F295" s="344">
        <f t="shared" si="81"/>
        <v>0</v>
      </c>
      <c r="G295" s="344">
        <f t="shared" si="92"/>
        <v>0</v>
      </c>
      <c r="H295" s="344">
        <f t="shared" si="93"/>
        <v>0</v>
      </c>
      <c r="I295" s="145">
        <f t="shared" si="82"/>
        <v>0</v>
      </c>
      <c r="J295" s="145">
        <f t="shared" si="83"/>
        <v>0</v>
      </c>
      <c r="K295" s="142" t="str">
        <f t="shared" si="80"/>
        <v>undefined</v>
      </c>
      <c r="L295" s="146">
        <f>IFERROR(INDEX(Työkonekanta!$I$3:$I$27,MATCH('S0a Baseline'!$A295,Työkonekanta!$A$3:$A$24,0),1)*(I295+J295)*f_adblue,0)</f>
        <v>0</v>
      </c>
      <c r="M295" s="146">
        <f t="shared" si="84"/>
        <v>0</v>
      </c>
      <c r="N295" s="143" t="str">
        <f>IF(tuulisähkö_vuosi&lt;='S0a Baseline'!C295,"tuulisähkö",ostosähkö_nyt)</f>
        <v>jäännössähkö</v>
      </c>
      <c r="O295" s="147">
        <f>INDEX(Muuttujat!$J$5:$J$21,MATCH($C295,Muuttujat!$H$5:$H$21,0),1)</f>
        <v>63.258531840332459</v>
      </c>
      <c r="P295" s="342">
        <f>1-(INDEX(Muuttujat!$O$5:$O$21,MATCH($C295,Muuttujat!$N$5:$N$21,0),1))</f>
        <v>0.9</v>
      </c>
      <c r="Q295" s="342">
        <f>INDEX(Muuttujat!$O$5:$O$21,MATCH($C295,Muuttujat!$N$5:$N$21,0),1)</f>
        <v>0.1</v>
      </c>
      <c r="R295" s="148">
        <f>INDEX(Muuttujat!$P$5:$P$21,MATCH($C295,Muuttujat!$N$5:$N$21,0),1)</f>
        <v>0.10417875759940039</v>
      </c>
      <c r="S295" s="149">
        <f t="shared" si="85"/>
        <v>0</v>
      </c>
      <c r="T295" s="150">
        <f t="shared" si="86"/>
        <v>0</v>
      </c>
      <c r="U295" s="150">
        <f t="shared" si="87"/>
        <v>0</v>
      </c>
      <c r="V295" s="150">
        <f>IFERROR(INDEX(Työkonekanta!$J$3:$J$27,MATCH($A295,Työkonekanta!$A$3:$A$24,0),1)*$B295*ef_li_ion_akku/1000/1000/INDEX(Työkonekanta!$K$3:$K$27,MATCH($A295,Työkonekanta!$A$3:$A$24,0)),0)</f>
        <v>0</v>
      </c>
      <c r="W295" s="149">
        <f t="shared" si="88"/>
        <v>0</v>
      </c>
      <c r="X295" s="150">
        <f t="shared" si="89"/>
        <v>0</v>
      </c>
      <c r="Y295" s="151">
        <f t="shared" si="90"/>
        <v>0</v>
      </c>
      <c r="Z295" s="152">
        <f t="shared" si="94"/>
        <v>0</v>
      </c>
      <c r="AA295" s="153">
        <f t="shared" si="95"/>
        <v>0</v>
      </c>
      <c r="AB295" s="153">
        <f t="shared" si="96"/>
        <v>0</v>
      </c>
      <c r="AC295" s="154">
        <f t="shared" si="91"/>
        <v>0</v>
      </c>
      <c r="AD295" s="156">
        <f t="shared" si="97"/>
        <v>0</v>
      </c>
    </row>
    <row r="296" spans="1:30" s="144" customFormat="1">
      <c r="A296" s="139">
        <v>24</v>
      </c>
      <c r="B296" s="139">
        <f>IFERROR(INDEX(Työkonekanta!$F$3:$F$27,MATCH('S0a Baseline'!$A296,Työkonekanta!$A$3:$A$24,0),1),0)</f>
        <v>0</v>
      </c>
      <c r="C296" s="140">
        <v>2028</v>
      </c>
      <c r="D296" s="141" t="str">
        <f>IFERROR(INDEX(Työkonekanta!$D$3:$D$27,MATCH('S0a Baseline'!$A296,Työkonekanta!$A$3:$A$24,0),1),"undefined")</f>
        <v>undefined</v>
      </c>
      <c r="E296" s="145">
        <f>IFERROR(INDEX(Työkonekanta!$G$3:$G$27,MATCH($A296,Työkonekanta!$A$3:$A$24,0),1)*INDEX(Työkonekanta!$H$3:$H$27,MATCH($A296,Työkonekanta!$A$3:$A$24,0),1)*$B296,0)</f>
        <v>0</v>
      </c>
      <c r="F296" s="344">
        <f t="shared" si="81"/>
        <v>0</v>
      </c>
      <c r="G296" s="344">
        <f t="shared" si="92"/>
        <v>0</v>
      </c>
      <c r="H296" s="344">
        <f t="shared" si="93"/>
        <v>0</v>
      </c>
      <c r="I296" s="145">
        <f t="shared" si="82"/>
        <v>0</v>
      </c>
      <c r="J296" s="145">
        <f t="shared" si="83"/>
        <v>0</v>
      </c>
      <c r="K296" s="142" t="str">
        <f t="shared" si="80"/>
        <v>undefined</v>
      </c>
      <c r="L296" s="146">
        <f>IFERROR(INDEX(Työkonekanta!$I$3:$I$27,MATCH('S0a Baseline'!$A296,Työkonekanta!$A$3:$A$24,0),1)*(I296+J296)*f_adblue,0)</f>
        <v>0</v>
      </c>
      <c r="M296" s="146">
        <f t="shared" si="84"/>
        <v>0</v>
      </c>
      <c r="N296" s="143" t="str">
        <f>IF(tuulisähkö_vuosi&lt;='S0a Baseline'!C296,"tuulisähkö",ostosähkö_nyt)</f>
        <v>jäännössähkö</v>
      </c>
      <c r="O296" s="147">
        <f>INDEX(Muuttujat!$J$5:$J$21,MATCH($C296,Muuttujat!$H$5:$H$21,0),1)</f>
        <v>63.258531840332459</v>
      </c>
      <c r="P296" s="342">
        <f>1-(INDEX(Muuttujat!$O$5:$O$21,MATCH($C296,Muuttujat!$N$5:$N$21,0),1))</f>
        <v>0.9</v>
      </c>
      <c r="Q296" s="342">
        <f>INDEX(Muuttujat!$O$5:$O$21,MATCH($C296,Muuttujat!$N$5:$N$21,0),1)</f>
        <v>0.1</v>
      </c>
      <c r="R296" s="148">
        <f>INDEX(Muuttujat!$P$5:$P$21,MATCH($C296,Muuttujat!$N$5:$N$21,0),1)</f>
        <v>0.10417875759940039</v>
      </c>
      <c r="S296" s="149">
        <f t="shared" si="85"/>
        <v>0</v>
      </c>
      <c r="T296" s="150">
        <f t="shared" si="86"/>
        <v>0</v>
      </c>
      <c r="U296" s="150">
        <f t="shared" si="87"/>
        <v>0</v>
      </c>
      <c r="V296" s="150">
        <f>IFERROR(INDEX(Työkonekanta!$J$3:$J$27,MATCH($A296,Työkonekanta!$A$3:$A$24,0),1)*$B296*ef_li_ion_akku/1000/1000/INDEX(Työkonekanta!$K$3:$K$27,MATCH($A296,Työkonekanta!$A$3:$A$24,0)),0)</f>
        <v>0</v>
      </c>
      <c r="W296" s="149">
        <f t="shared" si="88"/>
        <v>0</v>
      </c>
      <c r="X296" s="150">
        <f t="shared" si="89"/>
        <v>0</v>
      </c>
      <c r="Y296" s="151">
        <f t="shared" si="90"/>
        <v>0</v>
      </c>
      <c r="Z296" s="152">
        <f t="shared" si="94"/>
        <v>0</v>
      </c>
      <c r="AA296" s="153">
        <f t="shared" si="95"/>
        <v>0</v>
      </c>
      <c r="AB296" s="153">
        <f t="shared" si="96"/>
        <v>0</v>
      </c>
      <c r="AC296" s="154">
        <f t="shared" si="91"/>
        <v>0</v>
      </c>
      <c r="AD296" s="156">
        <f t="shared" si="97"/>
        <v>0</v>
      </c>
    </row>
    <row r="297" spans="1:30" s="144" customFormat="1">
      <c r="A297" s="139">
        <v>25</v>
      </c>
      <c r="B297" s="139">
        <f>IFERROR(INDEX(Työkonekanta!$F$3:$F$27,MATCH('S0a Baseline'!$A297,Työkonekanta!$A$3:$A$24,0),1),0)</f>
        <v>0</v>
      </c>
      <c r="C297" s="140">
        <v>2028</v>
      </c>
      <c r="D297" s="141" t="str">
        <f>IFERROR(INDEX(Työkonekanta!$D$3:$D$27,MATCH('S0a Baseline'!$A297,Työkonekanta!$A$3:$A$24,0),1),"undefined")</f>
        <v>undefined</v>
      </c>
      <c r="E297" s="145">
        <f>IFERROR(INDEX(Työkonekanta!$G$3:$G$27,MATCH($A297,Työkonekanta!$A$3:$A$24,0),1)*INDEX(Työkonekanta!$H$3:$H$27,MATCH($A297,Työkonekanta!$A$3:$A$24,0),1)*$B297,0)</f>
        <v>0</v>
      </c>
      <c r="F297" s="344">
        <f t="shared" si="81"/>
        <v>0</v>
      </c>
      <c r="G297" s="344">
        <f t="shared" si="92"/>
        <v>0</v>
      </c>
      <c r="H297" s="344">
        <f t="shared" si="93"/>
        <v>0</v>
      </c>
      <c r="I297" s="145">
        <f t="shared" si="82"/>
        <v>0</v>
      </c>
      <c r="J297" s="145">
        <f t="shared" si="83"/>
        <v>0</v>
      </c>
      <c r="K297" s="142" t="str">
        <f t="shared" si="80"/>
        <v>undefined</v>
      </c>
      <c r="L297" s="146">
        <f>IFERROR(INDEX(Työkonekanta!$I$3:$I$27,MATCH('S0a Baseline'!$A297,Työkonekanta!$A$3:$A$24,0),1)*(I297+J297)*f_adblue,0)</f>
        <v>0</v>
      </c>
      <c r="M297" s="146">
        <f t="shared" si="84"/>
        <v>0</v>
      </c>
      <c r="N297" s="143" t="str">
        <f>IF(tuulisähkö_vuosi&lt;='S0a Baseline'!C297,"tuulisähkö",ostosähkö_nyt)</f>
        <v>jäännössähkö</v>
      </c>
      <c r="O297" s="147">
        <f>INDEX(Muuttujat!$J$5:$J$21,MATCH($C297,Muuttujat!$H$5:$H$21,0),1)</f>
        <v>63.258531840332459</v>
      </c>
      <c r="P297" s="342">
        <f>1-(INDEX(Muuttujat!$O$5:$O$21,MATCH($C297,Muuttujat!$N$5:$N$21,0),1))</f>
        <v>0.9</v>
      </c>
      <c r="Q297" s="342">
        <f>INDEX(Muuttujat!$O$5:$O$21,MATCH($C297,Muuttujat!$N$5:$N$21,0),1)</f>
        <v>0.1</v>
      </c>
      <c r="R297" s="148">
        <f>INDEX(Muuttujat!$P$5:$P$21,MATCH($C297,Muuttujat!$N$5:$N$21,0),1)</f>
        <v>0.10417875759940039</v>
      </c>
      <c r="S297" s="149">
        <f t="shared" si="85"/>
        <v>0</v>
      </c>
      <c r="T297" s="150">
        <f t="shared" si="86"/>
        <v>0</v>
      </c>
      <c r="U297" s="150">
        <f t="shared" si="87"/>
        <v>0</v>
      </c>
      <c r="V297" s="150">
        <f>IFERROR(INDEX(Työkonekanta!$J$3:$J$27,MATCH($A297,Työkonekanta!$A$3:$A$24,0),1)*$B297*ef_li_ion_akku/1000/1000/INDEX(Työkonekanta!$K$3:$K$27,MATCH($A297,Työkonekanta!$A$3:$A$24,0)),0)</f>
        <v>0</v>
      </c>
      <c r="W297" s="149">
        <f t="shared" si="88"/>
        <v>0</v>
      </c>
      <c r="X297" s="150">
        <f t="shared" si="89"/>
        <v>0</v>
      </c>
      <c r="Y297" s="151">
        <f t="shared" si="90"/>
        <v>0</v>
      </c>
      <c r="Z297" s="152">
        <f t="shared" si="94"/>
        <v>0</v>
      </c>
      <c r="AA297" s="153">
        <f t="shared" si="95"/>
        <v>0</v>
      </c>
      <c r="AB297" s="153">
        <f t="shared" si="96"/>
        <v>0</v>
      </c>
      <c r="AC297" s="154">
        <f t="shared" si="91"/>
        <v>0</v>
      </c>
      <c r="AD297" s="156">
        <f t="shared" si="97"/>
        <v>0</v>
      </c>
    </row>
    <row r="298" spans="1:30" s="144" customFormat="1">
      <c r="A298" s="139">
        <v>26</v>
      </c>
      <c r="B298" s="139">
        <f>IFERROR(INDEX(Työkonekanta!$F$3:$F$27,MATCH('S0a Baseline'!$A298,Työkonekanta!$A$3:$A$24,0),1),0)</f>
        <v>0</v>
      </c>
      <c r="C298" s="140">
        <v>2028</v>
      </c>
      <c r="D298" s="141" t="str">
        <f>IFERROR(INDEX(Työkonekanta!$D$3:$D$27,MATCH('S0a Baseline'!$A298,Työkonekanta!$A$3:$A$24,0),1),"undefined")</f>
        <v>undefined</v>
      </c>
      <c r="E298" s="145">
        <f>IFERROR(INDEX(Työkonekanta!$G$3:$G$27,MATCH($A298,Työkonekanta!$A$3:$A$24,0),1)*INDEX(Työkonekanta!$H$3:$H$27,MATCH($A298,Työkonekanta!$A$3:$A$24,0),1)*$B298,0)</f>
        <v>0</v>
      </c>
      <c r="F298" s="344">
        <f t="shared" si="81"/>
        <v>0</v>
      </c>
      <c r="G298" s="344">
        <f t="shared" si="92"/>
        <v>0</v>
      </c>
      <c r="H298" s="344">
        <f t="shared" si="93"/>
        <v>0</v>
      </c>
      <c r="I298" s="145">
        <f t="shared" si="82"/>
        <v>0</v>
      </c>
      <c r="J298" s="145">
        <f t="shared" si="83"/>
        <v>0</v>
      </c>
      <c r="K298" s="142" t="str">
        <f t="shared" si="80"/>
        <v>undefined</v>
      </c>
      <c r="L298" s="146">
        <f>IFERROR(INDEX(Työkonekanta!$I$3:$I$27,MATCH('S0a Baseline'!$A298,Työkonekanta!$A$3:$A$24,0),1)*(I298+J298)*f_adblue,0)</f>
        <v>0</v>
      </c>
      <c r="M298" s="146">
        <f t="shared" si="84"/>
        <v>0</v>
      </c>
      <c r="N298" s="143" t="str">
        <f>IF(tuulisähkö_vuosi&lt;='S0a Baseline'!C298,"tuulisähkö",ostosähkö_nyt)</f>
        <v>jäännössähkö</v>
      </c>
      <c r="O298" s="147">
        <f>INDEX(Muuttujat!$J$5:$J$21,MATCH($C298,Muuttujat!$H$5:$H$21,0),1)</f>
        <v>63.258531840332459</v>
      </c>
      <c r="P298" s="342">
        <f>1-(INDEX(Muuttujat!$O$5:$O$21,MATCH($C298,Muuttujat!$N$5:$N$21,0),1))</f>
        <v>0.9</v>
      </c>
      <c r="Q298" s="342">
        <f>INDEX(Muuttujat!$O$5:$O$21,MATCH($C298,Muuttujat!$N$5:$N$21,0),1)</f>
        <v>0.1</v>
      </c>
      <c r="R298" s="148">
        <f>INDEX(Muuttujat!$P$5:$P$21,MATCH($C298,Muuttujat!$N$5:$N$21,0),1)</f>
        <v>0.10417875759940039</v>
      </c>
      <c r="S298" s="149">
        <f t="shared" si="85"/>
        <v>0</v>
      </c>
      <c r="T298" s="150">
        <f t="shared" si="86"/>
        <v>0</v>
      </c>
      <c r="U298" s="150">
        <f t="shared" si="87"/>
        <v>0</v>
      </c>
      <c r="V298" s="150">
        <f>IFERROR(INDEX(Työkonekanta!$J$3:$J$27,MATCH($A298,Työkonekanta!$A$3:$A$24,0),1)*$B298*ef_li_ion_akku/1000/1000/INDEX(Työkonekanta!$K$3:$K$27,MATCH($A298,Työkonekanta!$A$3:$A$24,0)),0)</f>
        <v>0</v>
      </c>
      <c r="W298" s="149">
        <f t="shared" si="88"/>
        <v>0</v>
      </c>
      <c r="X298" s="150">
        <f t="shared" si="89"/>
        <v>0</v>
      </c>
      <c r="Y298" s="151">
        <f t="shared" si="90"/>
        <v>0</v>
      </c>
      <c r="Z298" s="152">
        <f t="shared" si="94"/>
        <v>0</v>
      </c>
      <c r="AA298" s="153">
        <f t="shared" si="95"/>
        <v>0</v>
      </c>
      <c r="AB298" s="153">
        <f t="shared" si="96"/>
        <v>0</v>
      </c>
      <c r="AC298" s="154">
        <f t="shared" si="91"/>
        <v>0</v>
      </c>
      <c r="AD298" s="156">
        <f t="shared" si="97"/>
        <v>0</v>
      </c>
    </row>
    <row r="299" spans="1:30" s="144" customFormat="1">
      <c r="A299" s="139">
        <v>27</v>
      </c>
      <c r="B299" s="139">
        <f>IFERROR(INDEX(Työkonekanta!$F$3:$F$27,MATCH('S0a Baseline'!$A299,Työkonekanta!$A$3:$A$24,0),1),0)</f>
        <v>0</v>
      </c>
      <c r="C299" s="140">
        <v>2028</v>
      </c>
      <c r="D299" s="141" t="str">
        <f>IFERROR(INDEX(Työkonekanta!$D$3:$D$27,MATCH('S0a Baseline'!$A299,Työkonekanta!$A$3:$A$24,0),1),"undefined")</f>
        <v>undefined</v>
      </c>
      <c r="E299" s="145">
        <f>IFERROR(INDEX(Työkonekanta!$G$3:$G$27,MATCH($A299,Työkonekanta!$A$3:$A$24,0),1)*INDEX(Työkonekanta!$H$3:$H$27,MATCH($A299,Työkonekanta!$A$3:$A$24,0),1)*$B299,0)</f>
        <v>0</v>
      </c>
      <c r="F299" s="344">
        <f t="shared" si="81"/>
        <v>0</v>
      </c>
      <c r="G299" s="344">
        <f t="shared" si="92"/>
        <v>0</v>
      </c>
      <c r="H299" s="344">
        <f t="shared" si="93"/>
        <v>0</v>
      </c>
      <c r="I299" s="145">
        <f t="shared" si="82"/>
        <v>0</v>
      </c>
      <c r="J299" s="145">
        <f t="shared" si="83"/>
        <v>0</v>
      </c>
      <c r="K299" s="142" t="str">
        <f t="shared" si="80"/>
        <v>undefined</v>
      </c>
      <c r="L299" s="146">
        <f>IFERROR(INDEX(Työkonekanta!$I$3:$I$27,MATCH('S0a Baseline'!$A299,Työkonekanta!$A$3:$A$24,0),1)*(I299+J299)*f_adblue,0)</f>
        <v>0</v>
      </c>
      <c r="M299" s="146">
        <f t="shared" si="84"/>
        <v>0</v>
      </c>
      <c r="N299" s="143" t="str">
        <f>IF(tuulisähkö_vuosi&lt;='S0a Baseline'!C299,"tuulisähkö",ostosähkö_nyt)</f>
        <v>jäännössähkö</v>
      </c>
      <c r="O299" s="147">
        <f>INDEX(Muuttujat!$J$5:$J$21,MATCH($C299,Muuttujat!$H$5:$H$21,0),1)</f>
        <v>63.258531840332459</v>
      </c>
      <c r="P299" s="342">
        <f>1-(INDEX(Muuttujat!$O$5:$O$21,MATCH($C299,Muuttujat!$N$5:$N$21,0),1))</f>
        <v>0.9</v>
      </c>
      <c r="Q299" s="342">
        <f>INDEX(Muuttujat!$O$5:$O$21,MATCH($C299,Muuttujat!$N$5:$N$21,0),1)</f>
        <v>0.1</v>
      </c>
      <c r="R299" s="148">
        <f>INDEX(Muuttujat!$P$5:$P$21,MATCH($C299,Muuttujat!$N$5:$N$21,0),1)</f>
        <v>0.10417875759940039</v>
      </c>
      <c r="S299" s="149">
        <f t="shared" si="85"/>
        <v>0</v>
      </c>
      <c r="T299" s="150">
        <f t="shared" si="86"/>
        <v>0</v>
      </c>
      <c r="U299" s="150">
        <f t="shared" si="87"/>
        <v>0</v>
      </c>
      <c r="V299" s="150">
        <f>IFERROR(INDEX(Työkonekanta!$J$3:$J$27,MATCH($A299,Työkonekanta!$A$3:$A$24,0),1)*$B299*ef_li_ion_akku/1000/1000/INDEX(Työkonekanta!$K$3:$K$27,MATCH($A299,Työkonekanta!$A$3:$A$24,0)),0)</f>
        <v>0</v>
      </c>
      <c r="W299" s="149">
        <f t="shared" si="88"/>
        <v>0</v>
      </c>
      <c r="X299" s="150">
        <f t="shared" si="89"/>
        <v>0</v>
      </c>
      <c r="Y299" s="151">
        <f t="shared" si="90"/>
        <v>0</v>
      </c>
      <c r="Z299" s="152">
        <f t="shared" si="94"/>
        <v>0</v>
      </c>
      <c r="AA299" s="153">
        <f t="shared" si="95"/>
        <v>0</v>
      </c>
      <c r="AB299" s="153">
        <f t="shared" si="96"/>
        <v>0</v>
      </c>
      <c r="AC299" s="154">
        <f t="shared" si="91"/>
        <v>0</v>
      </c>
      <c r="AD299" s="156">
        <f t="shared" si="97"/>
        <v>0</v>
      </c>
    </row>
    <row r="300" spans="1:30" s="144" customFormat="1">
      <c r="A300" s="139">
        <v>28</v>
      </c>
      <c r="B300" s="139">
        <f>IFERROR(INDEX(Työkonekanta!$F$3:$F$27,MATCH('S0a Baseline'!$A300,Työkonekanta!$A$3:$A$24,0),1),0)</f>
        <v>0</v>
      </c>
      <c r="C300" s="140">
        <v>2028</v>
      </c>
      <c r="D300" s="141" t="str">
        <f>IFERROR(INDEX(Työkonekanta!$D$3:$D$27,MATCH('S0a Baseline'!$A300,Työkonekanta!$A$3:$A$24,0),1),"undefined")</f>
        <v>undefined</v>
      </c>
      <c r="E300" s="145">
        <f>IFERROR(INDEX(Työkonekanta!$G$3:$G$27,MATCH($A300,Työkonekanta!$A$3:$A$24,0),1)*INDEX(Työkonekanta!$H$3:$H$27,MATCH($A300,Työkonekanta!$A$3:$A$24,0),1)*$B300,0)</f>
        <v>0</v>
      </c>
      <c r="F300" s="344">
        <f t="shared" si="81"/>
        <v>0</v>
      </c>
      <c r="G300" s="344">
        <f t="shared" si="92"/>
        <v>0</v>
      </c>
      <c r="H300" s="344">
        <f t="shared" si="93"/>
        <v>0</v>
      </c>
      <c r="I300" s="145">
        <f t="shared" si="82"/>
        <v>0</v>
      </c>
      <c r="J300" s="145">
        <f t="shared" si="83"/>
        <v>0</v>
      </c>
      <c r="K300" s="142" t="str">
        <f t="shared" si="80"/>
        <v>undefined</v>
      </c>
      <c r="L300" s="146">
        <f>IFERROR(INDEX(Työkonekanta!$I$3:$I$27,MATCH('S0a Baseline'!$A300,Työkonekanta!$A$3:$A$24,0),1)*(I300+J300)*f_adblue,0)</f>
        <v>0</v>
      </c>
      <c r="M300" s="146">
        <f t="shared" si="84"/>
        <v>0</v>
      </c>
      <c r="N300" s="143" t="str">
        <f>IF(tuulisähkö_vuosi&lt;='S0a Baseline'!C300,"tuulisähkö",ostosähkö_nyt)</f>
        <v>jäännössähkö</v>
      </c>
      <c r="O300" s="147">
        <f>INDEX(Muuttujat!$J$5:$J$21,MATCH($C300,Muuttujat!$H$5:$H$21,0),1)</f>
        <v>63.258531840332459</v>
      </c>
      <c r="P300" s="342">
        <f>1-(INDEX(Muuttujat!$O$5:$O$21,MATCH($C300,Muuttujat!$N$5:$N$21,0),1))</f>
        <v>0.9</v>
      </c>
      <c r="Q300" s="342">
        <f>INDEX(Muuttujat!$O$5:$O$21,MATCH($C300,Muuttujat!$N$5:$N$21,0),1)</f>
        <v>0.1</v>
      </c>
      <c r="R300" s="148">
        <f>INDEX(Muuttujat!$P$5:$P$21,MATCH($C300,Muuttujat!$N$5:$N$21,0),1)</f>
        <v>0.10417875759940039</v>
      </c>
      <c r="S300" s="149">
        <f t="shared" si="85"/>
        <v>0</v>
      </c>
      <c r="T300" s="150">
        <f t="shared" si="86"/>
        <v>0</v>
      </c>
      <c r="U300" s="150">
        <f t="shared" si="87"/>
        <v>0</v>
      </c>
      <c r="V300" s="150">
        <f>IFERROR(INDEX(Työkonekanta!$J$3:$J$27,MATCH($A300,Työkonekanta!$A$3:$A$24,0),1)*$B300*ef_li_ion_akku/1000/1000/INDEX(Työkonekanta!$K$3:$K$27,MATCH($A300,Työkonekanta!$A$3:$A$24,0)),0)</f>
        <v>0</v>
      </c>
      <c r="W300" s="149">
        <f t="shared" si="88"/>
        <v>0</v>
      </c>
      <c r="X300" s="150">
        <f t="shared" si="89"/>
        <v>0</v>
      </c>
      <c r="Y300" s="151">
        <f t="shared" si="90"/>
        <v>0</v>
      </c>
      <c r="Z300" s="152">
        <f t="shared" si="94"/>
        <v>0</v>
      </c>
      <c r="AA300" s="153">
        <f t="shared" si="95"/>
        <v>0</v>
      </c>
      <c r="AB300" s="153">
        <f t="shared" si="96"/>
        <v>0</v>
      </c>
      <c r="AC300" s="154">
        <f t="shared" si="91"/>
        <v>0</v>
      </c>
      <c r="AD300" s="156">
        <f t="shared" si="97"/>
        <v>0</v>
      </c>
    </row>
    <row r="301" spans="1:30" s="144" customFormat="1">
      <c r="A301" s="139">
        <v>29</v>
      </c>
      <c r="B301" s="139">
        <f>IFERROR(INDEX(Työkonekanta!$F$3:$F$27,MATCH('S0a Baseline'!$A301,Työkonekanta!$A$3:$A$24,0),1),0)</f>
        <v>0</v>
      </c>
      <c r="C301" s="140">
        <v>2028</v>
      </c>
      <c r="D301" s="141" t="str">
        <f>IFERROR(INDEX(Työkonekanta!$D$3:$D$27,MATCH('S0a Baseline'!$A301,Työkonekanta!$A$3:$A$24,0),1),"undefined")</f>
        <v>undefined</v>
      </c>
      <c r="E301" s="145">
        <f>IFERROR(INDEX(Työkonekanta!$G$3:$G$27,MATCH($A301,Työkonekanta!$A$3:$A$24,0),1)*INDEX(Työkonekanta!$H$3:$H$27,MATCH($A301,Työkonekanta!$A$3:$A$24,0),1)*$B301,0)</f>
        <v>0</v>
      </c>
      <c r="F301" s="344">
        <f t="shared" si="81"/>
        <v>0</v>
      </c>
      <c r="G301" s="344">
        <f t="shared" si="92"/>
        <v>0</v>
      </c>
      <c r="H301" s="344">
        <f t="shared" si="93"/>
        <v>0</v>
      </c>
      <c r="I301" s="145">
        <f t="shared" si="82"/>
        <v>0</v>
      </c>
      <c r="J301" s="145">
        <f t="shared" si="83"/>
        <v>0</v>
      </c>
      <c r="K301" s="142" t="str">
        <f t="shared" si="80"/>
        <v>undefined</v>
      </c>
      <c r="L301" s="146">
        <f>IFERROR(INDEX(Työkonekanta!$I$3:$I$27,MATCH('S0a Baseline'!$A301,Työkonekanta!$A$3:$A$24,0),1)*(I301+J301)*f_adblue,0)</f>
        <v>0</v>
      </c>
      <c r="M301" s="146">
        <f t="shared" si="84"/>
        <v>0</v>
      </c>
      <c r="N301" s="143" t="str">
        <f>IF(tuulisähkö_vuosi&lt;='S0a Baseline'!C301,"tuulisähkö",ostosähkö_nyt)</f>
        <v>jäännössähkö</v>
      </c>
      <c r="O301" s="147">
        <f>INDEX(Muuttujat!$J$5:$J$21,MATCH($C301,Muuttujat!$H$5:$H$21,0),1)</f>
        <v>63.258531840332459</v>
      </c>
      <c r="P301" s="342">
        <f>1-(INDEX(Muuttujat!$O$5:$O$21,MATCH($C301,Muuttujat!$N$5:$N$21,0),1))</f>
        <v>0.9</v>
      </c>
      <c r="Q301" s="342">
        <f>INDEX(Muuttujat!$O$5:$O$21,MATCH($C301,Muuttujat!$N$5:$N$21,0),1)</f>
        <v>0.1</v>
      </c>
      <c r="R301" s="148">
        <f>INDEX(Muuttujat!$P$5:$P$21,MATCH($C301,Muuttujat!$N$5:$N$21,0),1)</f>
        <v>0.10417875759940039</v>
      </c>
      <c r="S301" s="149">
        <f t="shared" si="85"/>
        <v>0</v>
      </c>
      <c r="T301" s="150">
        <f t="shared" si="86"/>
        <v>0</v>
      </c>
      <c r="U301" s="150">
        <f t="shared" si="87"/>
        <v>0</v>
      </c>
      <c r="V301" s="150">
        <f>IFERROR(INDEX(Työkonekanta!$J$3:$J$27,MATCH($A301,Työkonekanta!$A$3:$A$24,0),1)*$B301*ef_li_ion_akku/1000/1000/INDEX(Työkonekanta!$K$3:$K$27,MATCH($A301,Työkonekanta!$A$3:$A$24,0)),0)</f>
        <v>0</v>
      </c>
      <c r="W301" s="149">
        <f t="shared" si="88"/>
        <v>0</v>
      </c>
      <c r="X301" s="150">
        <f t="shared" si="89"/>
        <v>0</v>
      </c>
      <c r="Y301" s="151">
        <f t="shared" si="90"/>
        <v>0</v>
      </c>
      <c r="Z301" s="152">
        <f t="shared" si="94"/>
        <v>0</v>
      </c>
      <c r="AA301" s="153">
        <f t="shared" si="95"/>
        <v>0</v>
      </c>
      <c r="AB301" s="153">
        <f t="shared" si="96"/>
        <v>0</v>
      </c>
      <c r="AC301" s="154">
        <f t="shared" si="91"/>
        <v>0</v>
      </c>
      <c r="AD301" s="156">
        <f t="shared" si="97"/>
        <v>0</v>
      </c>
    </row>
    <row r="302" spans="1:30" s="144" customFormat="1">
      <c r="A302" s="139">
        <v>30</v>
      </c>
      <c r="B302" s="139">
        <f>IFERROR(INDEX(Työkonekanta!$F$3:$F$27,MATCH('S0a Baseline'!$A302,Työkonekanta!$A$3:$A$24,0),1),0)</f>
        <v>0</v>
      </c>
      <c r="C302" s="140">
        <v>2028</v>
      </c>
      <c r="D302" s="141" t="str">
        <f>IFERROR(INDEX(Työkonekanta!$D$3:$D$27,MATCH('S0a Baseline'!$A302,Työkonekanta!$A$3:$A$24,0),1),"undefined")</f>
        <v>undefined</v>
      </c>
      <c r="E302" s="145">
        <f>IFERROR(INDEX(Työkonekanta!$G$3:$G$27,MATCH($A302,Työkonekanta!$A$3:$A$24,0),1)*INDEX(Työkonekanta!$H$3:$H$27,MATCH($A302,Työkonekanta!$A$3:$A$24,0),1)*$B302,0)</f>
        <v>0</v>
      </c>
      <c r="F302" s="344">
        <f t="shared" si="81"/>
        <v>0</v>
      </c>
      <c r="G302" s="344">
        <f t="shared" si="92"/>
        <v>0</v>
      </c>
      <c r="H302" s="344">
        <f t="shared" si="93"/>
        <v>0</v>
      </c>
      <c r="I302" s="145">
        <f t="shared" si="82"/>
        <v>0</v>
      </c>
      <c r="J302" s="145">
        <f t="shared" si="83"/>
        <v>0</v>
      </c>
      <c r="K302" s="142" t="str">
        <f t="shared" si="80"/>
        <v>undefined</v>
      </c>
      <c r="L302" s="146">
        <f>IFERROR(INDEX(Työkonekanta!$I$3:$I$27,MATCH('S0a Baseline'!$A302,Työkonekanta!$A$3:$A$24,0),1)*(I302+J302)*f_adblue,0)</f>
        <v>0</v>
      </c>
      <c r="M302" s="146">
        <f t="shared" si="84"/>
        <v>0</v>
      </c>
      <c r="N302" s="143" t="str">
        <f>IF(tuulisähkö_vuosi&lt;='S0a Baseline'!C302,"tuulisähkö",ostosähkö_nyt)</f>
        <v>jäännössähkö</v>
      </c>
      <c r="O302" s="147">
        <f>INDEX(Muuttujat!$J$5:$J$21,MATCH($C302,Muuttujat!$H$5:$H$21,0),1)</f>
        <v>63.258531840332459</v>
      </c>
      <c r="P302" s="342">
        <f>1-(INDEX(Muuttujat!$O$5:$O$21,MATCH($C302,Muuttujat!$N$5:$N$21,0),1))</f>
        <v>0.9</v>
      </c>
      <c r="Q302" s="342">
        <f>INDEX(Muuttujat!$O$5:$O$21,MATCH($C302,Muuttujat!$N$5:$N$21,0),1)</f>
        <v>0.1</v>
      </c>
      <c r="R302" s="148">
        <f>INDEX(Muuttujat!$P$5:$P$21,MATCH($C302,Muuttujat!$N$5:$N$21,0),1)</f>
        <v>0.10417875759940039</v>
      </c>
      <c r="S302" s="149">
        <f t="shared" si="85"/>
        <v>0</v>
      </c>
      <c r="T302" s="150">
        <f t="shared" si="86"/>
        <v>0</v>
      </c>
      <c r="U302" s="150">
        <f t="shared" si="87"/>
        <v>0</v>
      </c>
      <c r="V302" s="150">
        <f>IFERROR(INDEX(Työkonekanta!$J$3:$J$27,MATCH($A302,Työkonekanta!$A$3:$A$24,0),1)*$B302*ef_li_ion_akku/1000/1000/INDEX(Työkonekanta!$K$3:$K$27,MATCH($A302,Työkonekanta!$A$3:$A$24,0)),0)</f>
        <v>0</v>
      </c>
      <c r="W302" s="149">
        <f t="shared" si="88"/>
        <v>0</v>
      </c>
      <c r="X302" s="150">
        <f t="shared" si="89"/>
        <v>0</v>
      </c>
      <c r="Y302" s="151">
        <f t="shared" si="90"/>
        <v>0</v>
      </c>
      <c r="Z302" s="152">
        <f t="shared" si="94"/>
        <v>0</v>
      </c>
      <c r="AA302" s="153">
        <f t="shared" si="95"/>
        <v>0</v>
      </c>
      <c r="AB302" s="153">
        <f t="shared" si="96"/>
        <v>0</v>
      </c>
      <c r="AC302" s="154">
        <f t="shared" si="91"/>
        <v>0</v>
      </c>
      <c r="AD302" s="156">
        <f t="shared" si="97"/>
        <v>0</v>
      </c>
    </row>
    <row r="303" spans="1:30" s="144" customFormat="1">
      <c r="A303" s="139">
        <v>1</v>
      </c>
      <c r="B303" s="139">
        <f>IFERROR(INDEX(Työkonekanta!$F$3:$F$27,MATCH('S0a Baseline'!$A303,Työkonekanta!$A$3:$A$24,0),1),0)</f>
        <v>1</v>
      </c>
      <c r="C303" s="140">
        <v>2029</v>
      </c>
      <c r="D303" s="141" t="str">
        <f>IFERROR(INDEX(Työkonekanta!$D$3:$D$27,MATCH('S0a Baseline'!$A303,Työkonekanta!$A$3:$A$24,0),1),"undefined")</f>
        <v>pom</v>
      </c>
      <c r="E303" s="145">
        <f>IFERROR(INDEX(Työkonekanta!$G$3:$G$27,MATCH($A303,Työkonekanta!$A$3:$A$24,0),1)*INDEX(Työkonekanta!$H$3:$H$27,MATCH($A303,Työkonekanta!$A$3:$A$24,0),1)*$B303,0)</f>
        <v>10000</v>
      </c>
      <c r="F303" s="344">
        <f t="shared" si="81"/>
        <v>359000</v>
      </c>
      <c r="G303" s="344">
        <f t="shared" si="92"/>
        <v>323100</v>
      </c>
      <c r="H303" s="344">
        <f t="shared" si="93"/>
        <v>35900</v>
      </c>
      <c r="I303" s="145">
        <f t="shared" si="82"/>
        <v>9000</v>
      </c>
      <c r="J303" s="145">
        <f t="shared" si="83"/>
        <v>1046.6472303206997</v>
      </c>
      <c r="K303" s="142" t="str">
        <f t="shared" si="80"/>
        <v>l</v>
      </c>
      <c r="L303" s="146">
        <f>IFERROR(INDEX(Työkonekanta!$I$3:$I$27,MATCH('S0a Baseline'!$A303,Työkonekanta!$A$3:$A$24,0),1)*(I303+J303)*f_adblue,0)</f>
        <v>502.33236151603501</v>
      </c>
      <c r="M303" s="146">
        <f t="shared" si="84"/>
        <v>0</v>
      </c>
      <c r="N303" s="143" t="str">
        <f>IF(tuulisähkö_vuosi&lt;='S0a Baseline'!C303,"tuulisähkö",ostosähkö_nyt)</f>
        <v>jäännössähkö</v>
      </c>
      <c r="O303" s="147">
        <f>INDEX(Muuttujat!$J$5:$J$21,MATCH($C303,Muuttujat!$H$5:$H$21,0),1)</f>
        <v>62.625946521929137</v>
      </c>
      <c r="P303" s="342">
        <f>1-(INDEX(Muuttujat!$O$5:$O$21,MATCH($C303,Muuttujat!$N$5:$N$21,0),1))</f>
        <v>0.9</v>
      </c>
      <c r="Q303" s="342">
        <f>INDEX(Muuttujat!$O$5:$O$21,MATCH($C303,Muuttujat!$N$5:$N$21,0),1)</f>
        <v>0.1</v>
      </c>
      <c r="R303" s="148">
        <f>INDEX(Muuttujat!$P$5:$P$21,MATCH($C303,Muuttujat!$N$5:$N$21,0),1)</f>
        <v>0.10417875759940039</v>
      </c>
      <c r="S303" s="149">
        <f t="shared" si="85"/>
        <v>6.1065899999999997</v>
      </c>
      <c r="T303" s="150">
        <f t="shared" si="86"/>
        <v>2.2401599999999999</v>
      </c>
      <c r="U303" s="150">
        <f t="shared" si="87"/>
        <v>0</v>
      </c>
      <c r="V303" s="150">
        <f>IFERROR(INDEX(Työkonekanta!$J$3:$J$27,MATCH($A303,Työkonekanta!$A$3:$A$24,0),1)*$B303*ef_li_ion_akku/1000/1000/INDEX(Työkonekanta!$K$3:$K$27,MATCH($A303,Työkonekanta!$A$3:$A$24,0)),0)</f>
        <v>0</v>
      </c>
      <c r="W303" s="149">
        <f t="shared" si="88"/>
        <v>23.847446957400003</v>
      </c>
      <c r="X303" s="150">
        <f t="shared" si="89"/>
        <v>0.31774565999999999</v>
      </c>
      <c r="Y303" s="151">
        <f t="shared" si="90"/>
        <v>0.13060641399416908</v>
      </c>
      <c r="Z303" s="152">
        <f t="shared" si="94"/>
        <v>8.3467500000000001</v>
      </c>
      <c r="AA303" s="153">
        <f t="shared" si="95"/>
        <v>23.978053371394171</v>
      </c>
      <c r="AB303" s="153">
        <f t="shared" si="96"/>
        <v>24.295799031394171</v>
      </c>
      <c r="AC303" s="154">
        <f t="shared" si="91"/>
        <v>32.324803371394168</v>
      </c>
      <c r="AD303" s="156">
        <f t="shared" si="97"/>
        <v>32.642549031394168</v>
      </c>
    </row>
    <row r="304" spans="1:30" s="144" customFormat="1">
      <c r="A304" s="139">
        <v>2</v>
      </c>
      <c r="B304" s="139">
        <f>IFERROR(INDEX(Työkonekanta!$F$3:$F$27,MATCH('S0a Baseline'!$A304,Työkonekanta!$A$3:$A$24,0),1),0)</f>
        <v>1</v>
      </c>
      <c r="C304" s="140">
        <v>2029</v>
      </c>
      <c r="D304" s="141" t="str">
        <f>IFERROR(INDEX(Työkonekanta!$D$3:$D$27,MATCH('S0a Baseline'!$A304,Työkonekanta!$A$3:$A$24,0),1),"undefined")</f>
        <v>pom</v>
      </c>
      <c r="E304" s="145">
        <f>IFERROR(INDEX(Työkonekanta!$G$3:$G$27,MATCH($A304,Työkonekanta!$A$3:$A$24,0),1)*INDEX(Työkonekanta!$H$3:$H$27,MATCH($A304,Työkonekanta!$A$3:$A$24,0),1)*$B304,0)</f>
        <v>10000</v>
      </c>
      <c r="F304" s="344">
        <f t="shared" si="81"/>
        <v>359000</v>
      </c>
      <c r="G304" s="344">
        <f t="shared" si="92"/>
        <v>323100</v>
      </c>
      <c r="H304" s="344">
        <f t="shared" si="93"/>
        <v>35900</v>
      </c>
      <c r="I304" s="145">
        <f t="shared" si="82"/>
        <v>9000</v>
      </c>
      <c r="J304" s="145">
        <f t="shared" si="83"/>
        <v>1046.6472303206997</v>
      </c>
      <c r="K304" s="142" t="str">
        <f t="shared" si="80"/>
        <v>l</v>
      </c>
      <c r="L304" s="146">
        <f>IFERROR(INDEX(Työkonekanta!$I$3:$I$27,MATCH('S0a Baseline'!$A304,Työkonekanta!$A$3:$A$24,0),1)*(I304+J304)*f_adblue,0)</f>
        <v>502.33236151603501</v>
      </c>
      <c r="M304" s="146">
        <f t="shared" si="84"/>
        <v>0</v>
      </c>
      <c r="N304" s="143" t="str">
        <f>IF(tuulisähkö_vuosi&lt;='S0a Baseline'!C304,"tuulisähkö",ostosähkö_nyt)</f>
        <v>jäännössähkö</v>
      </c>
      <c r="O304" s="147">
        <f>INDEX(Muuttujat!$J$5:$J$21,MATCH($C304,Muuttujat!$H$5:$H$21,0),1)</f>
        <v>62.625946521929137</v>
      </c>
      <c r="P304" s="342">
        <f>1-(INDEX(Muuttujat!$O$5:$O$21,MATCH($C304,Muuttujat!$N$5:$N$21,0),1))</f>
        <v>0.9</v>
      </c>
      <c r="Q304" s="342">
        <f>INDEX(Muuttujat!$O$5:$O$21,MATCH($C304,Muuttujat!$N$5:$N$21,0),1)</f>
        <v>0.1</v>
      </c>
      <c r="R304" s="148">
        <f>INDEX(Muuttujat!$P$5:$P$21,MATCH($C304,Muuttujat!$N$5:$N$21,0),1)</f>
        <v>0.10417875759940039</v>
      </c>
      <c r="S304" s="149">
        <f t="shared" si="85"/>
        <v>6.1065899999999997</v>
      </c>
      <c r="T304" s="150">
        <f t="shared" si="86"/>
        <v>2.2401599999999999</v>
      </c>
      <c r="U304" s="150">
        <f t="shared" si="87"/>
        <v>0</v>
      </c>
      <c r="V304" s="150">
        <f>IFERROR(INDEX(Työkonekanta!$J$3:$J$27,MATCH($A304,Työkonekanta!$A$3:$A$24,0),1)*$B304*ef_li_ion_akku/1000/1000/INDEX(Työkonekanta!$K$3:$K$27,MATCH($A304,Työkonekanta!$A$3:$A$24,0)),0)</f>
        <v>0</v>
      </c>
      <c r="W304" s="149">
        <f t="shared" si="88"/>
        <v>23.847446957400003</v>
      </c>
      <c r="X304" s="150">
        <f t="shared" si="89"/>
        <v>0.31774565999999999</v>
      </c>
      <c r="Y304" s="151">
        <f t="shared" si="90"/>
        <v>0.13060641399416908</v>
      </c>
      <c r="Z304" s="152">
        <f t="shared" si="94"/>
        <v>8.3467500000000001</v>
      </c>
      <c r="AA304" s="153">
        <f t="shared" si="95"/>
        <v>23.978053371394171</v>
      </c>
      <c r="AB304" s="153">
        <f t="shared" si="96"/>
        <v>24.295799031394171</v>
      </c>
      <c r="AC304" s="154">
        <f t="shared" si="91"/>
        <v>32.324803371394168</v>
      </c>
      <c r="AD304" s="156">
        <f t="shared" si="97"/>
        <v>32.642549031394168</v>
      </c>
    </row>
    <row r="305" spans="1:30" s="144" customFormat="1">
      <c r="A305" s="139">
        <v>3</v>
      </c>
      <c r="B305" s="139">
        <f>IFERROR(INDEX(Työkonekanta!$F$3:$F$27,MATCH('S0a Baseline'!$A305,Työkonekanta!$A$3:$A$24,0),1),0)</f>
        <v>1</v>
      </c>
      <c r="C305" s="140">
        <v>2029</v>
      </c>
      <c r="D305" s="141" t="str">
        <f>IFERROR(INDEX(Työkonekanta!$D$3:$D$27,MATCH('S0a Baseline'!$A305,Työkonekanta!$A$3:$A$24,0),1),"undefined")</f>
        <v>pom</v>
      </c>
      <c r="E305" s="145">
        <f>IFERROR(INDEX(Työkonekanta!$G$3:$G$27,MATCH($A305,Työkonekanta!$A$3:$A$24,0),1)*INDEX(Työkonekanta!$H$3:$H$27,MATCH($A305,Työkonekanta!$A$3:$A$24,0),1)*$B305,0)</f>
        <v>10000</v>
      </c>
      <c r="F305" s="344">
        <f t="shared" si="81"/>
        <v>359000</v>
      </c>
      <c r="G305" s="344">
        <f t="shared" si="92"/>
        <v>323100</v>
      </c>
      <c r="H305" s="344">
        <f t="shared" si="93"/>
        <v>35900</v>
      </c>
      <c r="I305" s="145">
        <f t="shared" si="82"/>
        <v>9000</v>
      </c>
      <c r="J305" s="145">
        <f t="shared" si="83"/>
        <v>1046.6472303206997</v>
      </c>
      <c r="K305" s="142" t="str">
        <f t="shared" si="80"/>
        <v>l</v>
      </c>
      <c r="L305" s="146">
        <f>IFERROR(INDEX(Työkonekanta!$I$3:$I$27,MATCH('S0a Baseline'!$A305,Työkonekanta!$A$3:$A$24,0),1)*(I305+J305)*f_adblue,0)</f>
        <v>502.33236151603501</v>
      </c>
      <c r="M305" s="146">
        <f t="shared" si="84"/>
        <v>0</v>
      </c>
      <c r="N305" s="143" t="str">
        <f>IF(tuulisähkö_vuosi&lt;='S0a Baseline'!C305,"tuulisähkö",ostosähkö_nyt)</f>
        <v>jäännössähkö</v>
      </c>
      <c r="O305" s="147">
        <f>INDEX(Muuttujat!$J$5:$J$21,MATCH($C305,Muuttujat!$H$5:$H$21,0),1)</f>
        <v>62.625946521929137</v>
      </c>
      <c r="P305" s="342">
        <f>1-(INDEX(Muuttujat!$O$5:$O$21,MATCH($C305,Muuttujat!$N$5:$N$21,0),1))</f>
        <v>0.9</v>
      </c>
      <c r="Q305" s="342">
        <f>INDEX(Muuttujat!$O$5:$O$21,MATCH($C305,Muuttujat!$N$5:$N$21,0),1)</f>
        <v>0.1</v>
      </c>
      <c r="R305" s="148">
        <f>INDEX(Muuttujat!$P$5:$P$21,MATCH($C305,Muuttujat!$N$5:$N$21,0),1)</f>
        <v>0.10417875759940039</v>
      </c>
      <c r="S305" s="149">
        <f t="shared" si="85"/>
        <v>6.1065899999999997</v>
      </c>
      <c r="T305" s="150">
        <f t="shared" si="86"/>
        <v>2.2401599999999999</v>
      </c>
      <c r="U305" s="150">
        <f t="shared" si="87"/>
        <v>0</v>
      </c>
      <c r="V305" s="150">
        <f>IFERROR(INDEX(Työkonekanta!$J$3:$J$27,MATCH($A305,Työkonekanta!$A$3:$A$24,0),1)*$B305*ef_li_ion_akku/1000/1000/INDEX(Työkonekanta!$K$3:$K$27,MATCH($A305,Työkonekanta!$A$3:$A$24,0)),0)</f>
        <v>0</v>
      </c>
      <c r="W305" s="149">
        <f t="shared" si="88"/>
        <v>23.847446957400003</v>
      </c>
      <c r="X305" s="150">
        <f t="shared" si="89"/>
        <v>0.31774565999999999</v>
      </c>
      <c r="Y305" s="151">
        <f t="shared" si="90"/>
        <v>0.13060641399416908</v>
      </c>
      <c r="Z305" s="152">
        <f t="shared" si="94"/>
        <v>8.3467500000000001</v>
      </c>
      <c r="AA305" s="153">
        <f t="shared" si="95"/>
        <v>23.978053371394171</v>
      </c>
      <c r="AB305" s="153">
        <f t="shared" si="96"/>
        <v>24.295799031394171</v>
      </c>
      <c r="AC305" s="154">
        <f t="shared" si="91"/>
        <v>32.324803371394168</v>
      </c>
      <c r="AD305" s="156">
        <f t="shared" si="97"/>
        <v>32.642549031394168</v>
      </c>
    </row>
    <row r="306" spans="1:30" s="144" customFormat="1">
      <c r="A306" s="139">
        <v>4</v>
      </c>
      <c r="B306" s="139">
        <f>IFERROR(INDEX(Työkonekanta!$F$3:$F$27,MATCH('S0a Baseline'!$A306,Työkonekanta!$A$3:$A$24,0),1),0)</f>
        <v>1</v>
      </c>
      <c r="C306" s="140">
        <v>2029</v>
      </c>
      <c r="D306" s="141" t="str">
        <f>IFERROR(INDEX(Työkonekanta!$D$3:$D$27,MATCH('S0a Baseline'!$A306,Työkonekanta!$A$3:$A$24,0),1),"undefined")</f>
        <v>pom</v>
      </c>
      <c r="E306" s="145">
        <f>IFERROR(INDEX(Työkonekanta!$G$3:$G$27,MATCH($A306,Työkonekanta!$A$3:$A$24,0),1)*INDEX(Työkonekanta!$H$3:$H$27,MATCH($A306,Työkonekanta!$A$3:$A$24,0),1)*$B306,0)</f>
        <v>10000</v>
      </c>
      <c r="F306" s="344">
        <f t="shared" si="81"/>
        <v>359000</v>
      </c>
      <c r="G306" s="344">
        <f t="shared" si="92"/>
        <v>323100</v>
      </c>
      <c r="H306" s="344">
        <f t="shared" si="93"/>
        <v>35900</v>
      </c>
      <c r="I306" s="145">
        <f t="shared" si="82"/>
        <v>9000</v>
      </c>
      <c r="J306" s="145">
        <f t="shared" si="83"/>
        <v>1046.6472303206997</v>
      </c>
      <c r="K306" s="142" t="str">
        <f t="shared" si="80"/>
        <v>l</v>
      </c>
      <c r="L306" s="146">
        <f>IFERROR(INDEX(Työkonekanta!$I$3:$I$27,MATCH('S0a Baseline'!$A306,Työkonekanta!$A$3:$A$24,0),1)*(I306+J306)*f_adblue,0)</f>
        <v>502.33236151603501</v>
      </c>
      <c r="M306" s="146">
        <f t="shared" si="84"/>
        <v>0</v>
      </c>
      <c r="N306" s="143" t="str">
        <f>IF(tuulisähkö_vuosi&lt;='S0a Baseline'!C306,"tuulisähkö",ostosähkö_nyt)</f>
        <v>jäännössähkö</v>
      </c>
      <c r="O306" s="147">
        <f>INDEX(Muuttujat!$J$5:$J$21,MATCH($C306,Muuttujat!$H$5:$H$21,0),1)</f>
        <v>62.625946521929137</v>
      </c>
      <c r="P306" s="342">
        <f>1-(INDEX(Muuttujat!$O$5:$O$21,MATCH($C306,Muuttujat!$N$5:$N$21,0),1))</f>
        <v>0.9</v>
      </c>
      <c r="Q306" s="342">
        <f>INDEX(Muuttujat!$O$5:$O$21,MATCH($C306,Muuttujat!$N$5:$N$21,0),1)</f>
        <v>0.1</v>
      </c>
      <c r="R306" s="148">
        <f>INDEX(Muuttujat!$P$5:$P$21,MATCH($C306,Muuttujat!$N$5:$N$21,0),1)</f>
        <v>0.10417875759940039</v>
      </c>
      <c r="S306" s="149">
        <f t="shared" si="85"/>
        <v>6.1065899999999997</v>
      </c>
      <c r="T306" s="150">
        <f t="shared" si="86"/>
        <v>2.2401599999999999</v>
      </c>
      <c r="U306" s="150">
        <f t="shared" si="87"/>
        <v>0</v>
      </c>
      <c r="V306" s="150">
        <f>IFERROR(INDEX(Työkonekanta!$J$3:$J$27,MATCH($A306,Työkonekanta!$A$3:$A$24,0),1)*$B306*ef_li_ion_akku/1000/1000/INDEX(Työkonekanta!$K$3:$K$27,MATCH($A306,Työkonekanta!$A$3:$A$24,0)),0)</f>
        <v>0</v>
      </c>
      <c r="W306" s="149">
        <f t="shared" si="88"/>
        <v>23.847446957400003</v>
      </c>
      <c r="X306" s="150">
        <f t="shared" si="89"/>
        <v>0.31774565999999999</v>
      </c>
      <c r="Y306" s="151">
        <f t="shared" si="90"/>
        <v>0.13060641399416908</v>
      </c>
      <c r="Z306" s="152">
        <f t="shared" si="94"/>
        <v>8.3467500000000001</v>
      </c>
      <c r="AA306" s="153">
        <f t="shared" si="95"/>
        <v>23.978053371394171</v>
      </c>
      <c r="AB306" s="153">
        <f t="shared" si="96"/>
        <v>24.295799031394171</v>
      </c>
      <c r="AC306" s="154">
        <f t="shared" si="91"/>
        <v>32.324803371394168</v>
      </c>
      <c r="AD306" s="156">
        <f t="shared" si="97"/>
        <v>32.642549031394168</v>
      </c>
    </row>
    <row r="307" spans="1:30" s="144" customFormat="1">
      <c r="A307" s="139">
        <v>5</v>
      </c>
      <c r="B307" s="139">
        <f>IFERROR(INDEX(Työkonekanta!$F$3:$F$27,MATCH('S0a Baseline'!$A307,Työkonekanta!$A$3:$A$24,0),1),0)</f>
        <v>0</v>
      </c>
      <c r="C307" s="140">
        <v>2029</v>
      </c>
      <c r="D307" s="141" t="str">
        <f>IFERROR(INDEX(Työkonekanta!$D$3:$D$27,MATCH('S0a Baseline'!$A307,Työkonekanta!$A$3:$A$24,0),1),"undefined")</f>
        <v>sähkö</v>
      </c>
      <c r="E307" s="145">
        <f>IFERROR(INDEX(Työkonekanta!$G$3:$G$27,MATCH($A307,Työkonekanta!$A$3:$A$24,0),1)*INDEX(Työkonekanta!$H$3:$H$27,MATCH($A307,Työkonekanta!$A$3:$A$24,0),1)*$B307,0)</f>
        <v>0</v>
      </c>
      <c r="F307" s="344">
        <f t="shared" si="81"/>
        <v>0</v>
      </c>
      <c r="G307" s="344">
        <f t="shared" si="92"/>
        <v>0</v>
      </c>
      <c r="H307" s="344">
        <f t="shared" si="93"/>
        <v>0</v>
      </c>
      <c r="I307" s="145">
        <f t="shared" si="82"/>
        <v>0</v>
      </c>
      <c r="J307" s="145">
        <f t="shared" si="83"/>
        <v>0</v>
      </c>
      <c r="K307" s="142" t="str">
        <f t="shared" si="80"/>
        <v>kWh</v>
      </c>
      <c r="L307" s="146">
        <f>IFERROR(INDEX(Työkonekanta!$I$3:$I$27,MATCH('S0a Baseline'!$A307,Työkonekanta!$A$3:$A$24,0),1)*(I307+J307)*f_adblue,0)</f>
        <v>0</v>
      </c>
      <c r="M307" s="146">
        <f t="shared" si="84"/>
        <v>0</v>
      </c>
      <c r="N307" s="143" t="str">
        <f>IF(tuulisähkö_vuosi&lt;='S0a Baseline'!C307,"tuulisähkö",ostosähkö_nyt)</f>
        <v>jäännössähkö</v>
      </c>
      <c r="O307" s="147">
        <f>INDEX(Muuttujat!$J$5:$J$21,MATCH($C307,Muuttujat!$H$5:$H$21,0),1)</f>
        <v>62.625946521929137</v>
      </c>
      <c r="P307" s="342">
        <f>1-(INDEX(Muuttujat!$O$5:$O$21,MATCH($C307,Muuttujat!$N$5:$N$21,0),1))</f>
        <v>0.9</v>
      </c>
      <c r="Q307" s="342">
        <f>INDEX(Muuttujat!$O$5:$O$21,MATCH($C307,Muuttujat!$N$5:$N$21,0),1)</f>
        <v>0.1</v>
      </c>
      <c r="R307" s="148">
        <f>INDEX(Muuttujat!$P$5:$P$21,MATCH($C307,Muuttujat!$N$5:$N$21,0),1)</f>
        <v>0.10417875759940039</v>
      </c>
      <c r="S307" s="149">
        <f t="shared" si="85"/>
        <v>0</v>
      </c>
      <c r="T307" s="150">
        <f t="shared" si="86"/>
        <v>0</v>
      </c>
      <c r="U307" s="150">
        <f t="shared" si="87"/>
        <v>0</v>
      </c>
      <c r="V307" s="150">
        <f>IFERROR(INDEX(Työkonekanta!$J$3:$J$27,MATCH($A307,Työkonekanta!$A$3:$A$24,0),1)*$B307*ef_li_ion_akku/1000/1000/INDEX(Työkonekanta!$K$3:$K$27,MATCH($A307,Työkonekanta!$A$3:$A$24,0)),0)</f>
        <v>0</v>
      </c>
      <c r="W307" s="149">
        <f t="shared" si="88"/>
        <v>0</v>
      </c>
      <c r="X307" s="150">
        <f t="shared" si="89"/>
        <v>0</v>
      </c>
      <c r="Y307" s="151">
        <f t="shared" si="90"/>
        <v>0</v>
      </c>
      <c r="Z307" s="152">
        <f t="shared" si="94"/>
        <v>0</v>
      </c>
      <c r="AA307" s="153">
        <f t="shared" si="95"/>
        <v>0</v>
      </c>
      <c r="AB307" s="153">
        <f t="shared" si="96"/>
        <v>0</v>
      </c>
      <c r="AC307" s="154">
        <f t="shared" si="91"/>
        <v>0</v>
      </c>
      <c r="AD307" s="156">
        <f t="shared" si="97"/>
        <v>0</v>
      </c>
    </row>
    <row r="308" spans="1:30" s="144" customFormat="1">
      <c r="A308" s="139">
        <v>6</v>
      </c>
      <c r="B308" s="139">
        <f>IFERROR(INDEX(Työkonekanta!$F$3:$F$27,MATCH('S0a Baseline'!$A308,Työkonekanta!$A$3:$A$24,0),1),0)</f>
        <v>0</v>
      </c>
      <c r="C308" s="140">
        <v>2029</v>
      </c>
      <c r="D308" s="141" t="str">
        <f>IFERROR(INDEX(Työkonekanta!$D$3:$D$27,MATCH('S0a Baseline'!$A308,Työkonekanta!$A$3:$A$24,0),1),"undefined")</f>
        <v>sähkö</v>
      </c>
      <c r="E308" s="145">
        <f>IFERROR(INDEX(Työkonekanta!$G$3:$G$27,MATCH($A308,Työkonekanta!$A$3:$A$24,0),1)*INDEX(Työkonekanta!$H$3:$H$27,MATCH($A308,Työkonekanta!$A$3:$A$24,0),1)*$B308,0)</f>
        <v>0</v>
      </c>
      <c r="F308" s="344">
        <f t="shared" si="81"/>
        <v>0</v>
      </c>
      <c r="G308" s="344">
        <f t="shared" si="92"/>
        <v>0</v>
      </c>
      <c r="H308" s="344">
        <f t="shared" si="93"/>
        <v>0</v>
      </c>
      <c r="I308" s="145">
        <f t="shared" si="82"/>
        <v>0</v>
      </c>
      <c r="J308" s="145">
        <f t="shared" si="83"/>
        <v>0</v>
      </c>
      <c r="K308" s="142" t="str">
        <f t="shared" si="80"/>
        <v>kWh</v>
      </c>
      <c r="L308" s="146">
        <f>IFERROR(INDEX(Työkonekanta!$I$3:$I$27,MATCH('S0a Baseline'!$A308,Työkonekanta!$A$3:$A$24,0),1)*(I308+J308)*f_adblue,0)</f>
        <v>0</v>
      </c>
      <c r="M308" s="146">
        <f t="shared" si="84"/>
        <v>0</v>
      </c>
      <c r="N308" s="143" t="str">
        <f>IF(tuulisähkö_vuosi&lt;='S0a Baseline'!C308,"tuulisähkö",ostosähkö_nyt)</f>
        <v>jäännössähkö</v>
      </c>
      <c r="O308" s="147">
        <f>INDEX(Muuttujat!$J$5:$J$21,MATCH($C308,Muuttujat!$H$5:$H$21,0),1)</f>
        <v>62.625946521929137</v>
      </c>
      <c r="P308" s="342">
        <f>1-(INDEX(Muuttujat!$O$5:$O$21,MATCH($C308,Muuttujat!$N$5:$N$21,0),1))</f>
        <v>0.9</v>
      </c>
      <c r="Q308" s="342">
        <f>INDEX(Muuttujat!$O$5:$O$21,MATCH($C308,Muuttujat!$N$5:$N$21,0),1)</f>
        <v>0.1</v>
      </c>
      <c r="R308" s="148">
        <f>INDEX(Muuttujat!$P$5:$P$21,MATCH($C308,Muuttujat!$N$5:$N$21,0),1)</f>
        <v>0.10417875759940039</v>
      </c>
      <c r="S308" s="149">
        <f t="shared" si="85"/>
        <v>0</v>
      </c>
      <c r="T308" s="150">
        <f t="shared" si="86"/>
        <v>0</v>
      </c>
      <c r="U308" s="150">
        <f t="shared" si="87"/>
        <v>0</v>
      </c>
      <c r="V308" s="150">
        <f>IFERROR(INDEX(Työkonekanta!$J$3:$J$27,MATCH($A308,Työkonekanta!$A$3:$A$24,0),1)*$B308*ef_li_ion_akku/1000/1000/INDEX(Työkonekanta!$K$3:$K$27,MATCH($A308,Työkonekanta!$A$3:$A$24,0)),0)</f>
        <v>0</v>
      </c>
      <c r="W308" s="149">
        <f t="shared" si="88"/>
        <v>0</v>
      </c>
      <c r="X308" s="150">
        <f t="shared" si="89"/>
        <v>0</v>
      </c>
      <c r="Y308" s="151">
        <f t="shared" si="90"/>
        <v>0</v>
      </c>
      <c r="Z308" s="152">
        <f t="shared" si="94"/>
        <v>0</v>
      </c>
      <c r="AA308" s="153">
        <f t="shared" si="95"/>
        <v>0</v>
      </c>
      <c r="AB308" s="153">
        <f t="shared" si="96"/>
        <v>0</v>
      </c>
      <c r="AC308" s="154">
        <f t="shared" si="91"/>
        <v>0</v>
      </c>
      <c r="AD308" s="156">
        <f t="shared" si="97"/>
        <v>0</v>
      </c>
    </row>
    <row r="309" spans="1:30" s="144" customFormat="1">
      <c r="A309" s="139">
        <v>7</v>
      </c>
      <c r="B309" s="139">
        <f>IFERROR(INDEX(Työkonekanta!$F$3:$F$27,MATCH('S0a Baseline'!$A309,Työkonekanta!$A$3:$A$24,0),1),0)</f>
        <v>1</v>
      </c>
      <c r="C309" s="140">
        <v>2029</v>
      </c>
      <c r="D309" s="141" t="str">
        <f>IFERROR(INDEX(Työkonekanta!$D$3:$D$27,MATCH('S0a Baseline'!$A309,Työkonekanta!$A$3:$A$24,0),1),"undefined")</f>
        <v>pom</v>
      </c>
      <c r="E309" s="145">
        <f>IFERROR(INDEX(Työkonekanta!$G$3:$G$27,MATCH($A309,Työkonekanta!$A$3:$A$24,0),1)*INDEX(Työkonekanta!$H$3:$H$27,MATCH($A309,Työkonekanta!$A$3:$A$24,0),1)*$B309,0)</f>
        <v>10000</v>
      </c>
      <c r="F309" s="344">
        <f t="shared" si="81"/>
        <v>359000</v>
      </c>
      <c r="G309" s="344">
        <f t="shared" si="92"/>
        <v>323100</v>
      </c>
      <c r="H309" s="344">
        <f t="shared" si="93"/>
        <v>35900</v>
      </c>
      <c r="I309" s="145">
        <f t="shared" si="82"/>
        <v>9000</v>
      </c>
      <c r="J309" s="145">
        <f t="shared" si="83"/>
        <v>1046.6472303206997</v>
      </c>
      <c r="K309" s="142" t="str">
        <f t="shared" si="80"/>
        <v>l</v>
      </c>
      <c r="L309" s="146">
        <f>IFERROR(INDEX(Työkonekanta!$I$3:$I$27,MATCH('S0a Baseline'!$A309,Työkonekanta!$A$3:$A$24,0),1)*(I309+J309)*f_adblue,0)</f>
        <v>0</v>
      </c>
      <c r="M309" s="146">
        <f t="shared" si="84"/>
        <v>0</v>
      </c>
      <c r="N309" s="143" t="str">
        <f>IF(tuulisähkö_vuosi&lt;='S0a Baseline'!C309,"tuulisähkö",ostosähkö_nyt)</f>
        <v>jäännössähkö</v>
      </c>
      <c r="O309" s="147">
        <f>INDEX(Muuttujat!$J$5:$J$21,MATCH($C309,Muuttujat!$H$5:$H$21,0),1)</f>
        <v>62.625946521929137</v>
      </c>
      <c r="P309" s="342">
        <f>1-(INDEX(Muuttujat!$O$5:$O$21,MATCH($C309,Muuttujat!$N$5:$N$21,0),1))</f>
        <v>0.9</v>
      </c>
      <c r="Q309" s="342">
        <f>INDEX(Muuttujat!$O$5:$O$21,MATCH($C309,Muuttujat!$N$5:$N$21,0),1)</f>
        <v>0.1</v>
      </c>
      <c r="R309" s="148">
        <f>INDEX(Muuttujat!$P$5:$P$21,MATCH($C309,Muuttujat!$N$5:$N$21,0),1)</f>
        <v>0.10417875759940039</v>
      </c>
      <c r="S309" s="149">
        <f t="shared" si="85"/>
        <v>6.1065899999999997</v>
      </c>
      <c r="T309" s="150">
        <f t="shared" si="86"/>
        <v>2.2401599999999999</v>
      </c>
      <c r="U309" s="150">
        <f t="shared" si="87"/>
        <v>0</v>
      </c>
      <c r="V309" s="150">
        <f>IFERROR(INDEX(Työkonekanta!$J$3:$J$27,MATCH($A309,Työkonekanta!$A$3:$A$24,0),1)*$B309*ef_li_ion_akku/1000/1000/INDEX(Työkonekanta!$K$3:$K$27,MATCH($A309,Työkonekanta!$A$3:$A$24,0)),0)</f>
        <v>0</v>
      </c>
      <c r="W309" s="149">
        <f t="shared" si="88"/>
        <v>23.847446957400003</v>
      </c>
      <c r="X309" s="150">
        <f t="shared" si="89"/>
        <v>0.31774565999999999</v>
      </c>
      <c r="Y309" s="151">
        <f t="shared" si="90"/>
        <v>0</v>
      </c>
      <c r="Z309" s="152">
        <f t="shared" si="94"/>
        <v>8.3467500000000001</v>
      </c>
      <c r="AA309" s="153">
        <f t="shared" si="95"/>
        <v>23.847446957400003</v>
      </c>
      <c r="AB309" s="153">
        <f t="shared" si="96"/>
        <v>24.165192617400002</v>
      </c>
      <c r="AC309" s="154">
        <f t="shared" si="91"/>
        <v>32.194196957400003</v>
      </c>
      <c r="AD309" s="156">
        <f t="shared" si="97"/>
        <v>32.511942617400003</v>
      </c>
    </row>
    <row r="310" spans="1:30" s="144" customFormat="1">
      <c r="A310" s="139">
        <v>8</v>
      </c>
      <c r="B310" s="139">
        <f>IFERROR(INDEX(Työkonekanta!$F$3:$F$27,MATCH('S0a Baseline'!$A310,Työkonekanta!$A$3:$A$24,0),1),0)</f>
        <v>1</v>
      </c>
      <c r="C310" s="140">
        <v>2029</v>
      </c>
      <c r="D310" s="141" t="str">
        <f>IFERROR(INDEX(Työkonekanta!$D$3:$D$27,MATCH('S0a Baseline'!$A310,Työkonekanta!$A$3:$A$24,0),1),"undefined")</f>
        <v>pom</v>
      </c>
      <c r="E310" s="145">
        <f>IFERROR(INDEX(Työkonekanta!$G$3:$G$27,MATCH($A310,Työkonekanta!$A$3:$A$24,0),1)*INDEX(Työkonekanta!$H$3:$H$27,MATCH($A310,Työkonekanta!$A$3:$A$24,0),1)*$B310,0)</f>
        <v>10000</v>
      </c>
      <c r="F310" s="344">
        <f t="shared" si="81"/>
        <v>359000</v>
      </c>
      <c r="G310" s="344">
        <f t="shared" si="92"/>
        <v>323100</v>
      </c>
      <c r="H310" s="344">
        <f t="shared" si="93"/>
        <v>35900</v>
      </c>
      <c r="I310" s="145">
        <f t="shared" si="82"/>
        <v>9000</v>
      </c>
      <c r="J310" s="145">
        <f t="shared" si="83"/>
        <v>1046.6472303206997</v>
      </c>
      <c r="K310" s="142" t="str">
        <f t="shared" si="80"/>
        <v>l</v>
      </c>
      <c r="L310" s="146">
        <f>IFERROR(INDEX(Työkonekanta!$I$3:$I$27,MATCH('S0a Baseline'!$A310,Työkonekanta!$A$3:$A$24,0),1)*(I310+J310)*f_adblue,0)</f>
        <v>502.33236151603501</v>
      </c>
      <c r="M310" s="146">
        <f t="shared" si="84"/>
        <v>0</v>
      </c>
      <c r="N310" s="143" t="str">
        <f>IF(tuulisähkö_vuosi&lt;='S0a Baseline'!C310,"tuulisähkö",ostosähkö_nyt)</f>
        <v>jäännössähkö</v>
      </c>
      <c r="O310" s="147">
        <f>INDEX(Muuttujat!$J$5:$J$21,MATCH($C310,Muuttujat!$H$5:$H$21,0),1)</f>
        <v>62.625946521929137</v>
      </c>
      <c r="P310" s="342">
        <f>1-(INDEX(Muuttujat!$O$5:$O$21,MATCH($C310,Muuttujat!$N$5:$N$21,0),1))</f>
        <v>0.9</v>
      </c>
      <c r="Q310" s="342">
        <f>INDEX(Muuttujat!$O$5:$O$21,MATCH($C310,Muuttujat!$N$5:$N$21,0),1)</f>
        <v>0.1</v>
      </c>
      <c r="R310" s="148">
        <f>INDEX(Muuttujat!$P$5:$P$21,MATCH($C310,Muuttujat!$N$5:$N$21,0),1)</f>
        <v>0.10417875759940039</v>
      </c>
      <c r="S310" s="149">
        <f t="shared" si="85"/>
        <v>6.1065899999999997</v>
      </c>
      <c r="T310" s="150">
        <f t="shared" si="86"/>
        <v>2.2401599999999999</v>
      </c>
      <c r="U310" s="150">
        <f t="shared" si="87"/>
        <v>0</v>
      </c>
      <c r="V310" s="150">
        <f>IFERROR(INDEX(Työkonekanta!$J$3:$J$27,MATCH($A310,Työkonekanta!$A$3:$A$24,0),1)*$B310*ef_li_ion_akku/1000/1000/INDEX(Työkonekanta!$K$3:$K$27,MATCH($A310,Työkonekanta!$A$3:$A$24,0)),0)</f>
        <v>0</v>
      </c>
      <c r="W310" s="149">
        <f t="shared" si="88"/>
        <v>23.847446957400003</v>
      </c>
      <c r="X310" s="150">
        <f t="shared" si="89"/>
        <v>0.31774565999999999</v>
      </c>
      <c r="Y310" s="151">
        <f t="shared" si="90"/>
        <v>0.13060641399416908</v>
      </c>
      <c r="Z310" s="152">
        <f t="shared" si="94"/>
        <v>8.3467500000000001</v>
      </c>
      <c r="AA310" s="153">
        <f t="shared" si="95"/>
        <v>23.978053371394171</v>
      </c>
      <c r="AB310" s="153">
        <f t="shared" si="96"/>
        <v>24.295799031394171</v>
      </c>
      <c r="AC310" s="154">
        <f t="shared" si="91"/>
        <v>32.324803371394168</v>
      </c>
      <c r="AD310" s="156">
        <f t="shared" si="97"/>
        <v>32.642549031394168</v>
      </c>
    </row>
    <row r="311" spans="1:30" s="144" customFormat="1">
      <c r="A311" s="139">
        <v>9</v>
      </c>
      <c r="B311" s="139">
        <f>IFERROR(INDEX(Työkonekanta!$F$3:$F$27,MATCH('S0a Baseline'!$A311,Työkonekanta!$A$3:$A$24,0),1),0)</f>
        <v>0</v>
      </c>
      <c r="C311" s="140">
        <v>2029</v>
      </c>
      <c r="D311" s="141" t="str">
        <f>IFERROR(INDEX(Työkonekanta!$D$3:$D$27,MATCH('S0a Baseline'!$A311,Työkonekanta!$A$3:$A$24,0),1),"undefined")</f>
        <v>sähkö</v>
      </c>
      <c r="E311" s="145">
        <f>IFERROR(INDEX(Työkonekanta!$G$3:$G$27,MATCH($A311,Työkonekanta!$A$3:$A$24,0),1)*INDEX(Työkonekanta!$H$3:$H$27,MATCH($A311,Työkonekanta!$A$3:$A$24,0),1)*$B311,0)</f>
        <v>0</v>
      </c>
      <c r="F311" s="344">
        <f t="shared" si="81"/>
        <v>0</v>
      </c>
      <c r="G311" s="344">
        <f t="shared" si="92"/>
        <v>0</v>
      </c>
      <c r="H311" s="344">
        <f t="shared" si="93"/>
        <v>0</v>
      </c>
      <c r="I311" s="145">
        <f t="shared" si="82"/>
        <v>0</v>
      </c>
      <c r="J311" s="145">
        <f t="shared" si="83"/>
        <v>0</v>
      </c>
      <c r="K311" s="142" t="str">
        <f t="shared" si="80"/>
        <v>kWh</v>
      </c>
      <c r="L311" s="146">
        <f>IFERROR(INDEX(Työkonekanta!$I$3:$I$27,MATCH('S0a Baseline'!$A311,Työkonekanta!$A$3:$A$24,0),1)*(I311+J311)*f_adblue,0)</f>
        <v>0</v>
      </c>
      <c r="M311" s="146">
        <f t="shared" si="84"/>
        <v>0</v>
      </c>
      <c r="N311" s="143" t="str">
        <f>IF(tuulisähkö_vuosi&lt;='S0a Baseline'!C311,"tuulisähkö",ostosähkö_nyt)</f>
        <v>jäännössähkö</v>
      </c>
      <c r="O311" s="147">
        <f>INDEX(Muuttujat!$J$5:$J$21,MATCH($C311,Muuttujat!$H$5:$H$21,0),1)</f>
        <v>62.625946521929137</v>
      </c>
      <c r="P311" s="342">
        <f>1-(INDEX(Muuttujat!$O$5:$O$21,MATCH($C311,Muuttujat!$N$5:$N$21,0),1))</f>
        <v>0.9</v>
      </c>
      <c r="Q311" s="342">
        <f>INDEX(Muuttujat!$O$5:$O$21,MATCH($C311,Muuttujat!$N$5:$N$21,0),1)</f>
        <v>0.1</v>
      </c>
      <c r="R311" s="148">
        <f>INDEX(Muuttujat!$P$5:$P$21,MATCH($C311,Muuttujat!$N$5:$N$21,0),1)</f>
        <v>0.10417875759940039</v>
      </c>
      <c r="S311" s="149">
        <f t="shared" si="85"/>
        <v>0</v>
      </c>
      <c r="T311" s="150">
        <f t="shared" si="86"/>
        <v>0</v>
      </c>
      <c r="U311" s="150">
        <f t="shared" si="87"/>
        <v>0</v>
      </c>
      <c r="V311" s="150">
        <f>IFERROR(INDEX(Työkonekanta!$J$3:$J$27,MATCH($A311,Työkonekanta!$A$3:$A$24,0),1)*$B311*ef_li_ion_akku/1000/1000/INDEX(Työkonekanta!$K$3:$K$27,MATCH($A311,Työkonekanta!$A$3:$A$24,0)),0)</f>
        <v>0</v>
      </c>
      <c r="W311" s="149">
        <f t="shared" si="88"/>
        <v>0</v>
      </c>
      <c r="X311" s="150">
        <f t="shared" si="89"/>
        <v>0</v>
      </c>
      <c r="Y311" s="151">
        <f t="shared" si="90"/>
        <v>0</v>
      </c>
      <c r="Z311" s="152">
        <f t="shared" si="94"/>
        <v>0</v>
      </c>
      <c r="AA311" s="153">
        <f t="shared" si="95"/>
        <v>0</v>
      </c>
      <c r="AB311" s="153">
        <f t="shared" si="96"/>
        <v>0</v>
      </c>
      <c r="AC311" s="154">
        <f t="shared" si="91"/>
        <v>0</v>
      </c>
      <c r="AD311" s="156">
        <f t="shared" si="97"/>
        <v>0</v>
      </c>
    </row>
    <row r="312" spans="1:30" s="144" customFormat="1">
      <c r="A312" s="139">
        <v>10</v>
      </c>
      <c r="B312" s="139">
        <f>IFERROR(INDEX(Työkonekanta!$F$3:$F$27,MATCH('S0a Baseline'!$A312,Työkonekanta!$A$3:$A$24,0),1),0)</f>
        <v>0</v>
      </c>
      <c r="C312" s="140">
        <v>2029</v>
      </c>
      <c r="D312" s="141" t="str">
        <f>IFERROR(INDEX(Työkonekanta!$D$3:$D$27,MATCH('S0a Baseline'!$A312,Työkonekanta!$A$3:$A$24,0),1),"undefined")</f>
        <v>sähkö</v>
      </c>
      <c r="E312" s="145">
        <f>IFERROR(INDEX(Työkonekanta!$G$3:$G$27,MATCH($A312,Työkonekanta!$A$3:$A$24,0),1)*INDEX(Työkonekanta!$H$3:$H$27,MATCH($A312,Työkonekanta!$A$3:$A$24,0),1)*$B312,0)</f>
        <v>0</v>
      </c>
      <c r="F312" s="344">
        <f t="shared" si="81"/>
        <v>0</v>
      </c>
      <c r="G312" s="344">
        <f t="shared" si="92"/>
        <v>0</v>
      </c>
      <c r="H312" s="344">
        <f t="shared" si="93"/>
        <v>0</v>
      </c>
      <c r="I312" s="145">
        <f t="shared" si="82"/>
        <v>0</v>
      </c>
      <c r="J312" s="145">
        <f t="shared" si="83"/>
        <v>0</v>
      </c>
      <c r="K312" s="142" t="str">
        <f t="shared" si="80"/>
        <v>kWh</v>
      </c>
      <c r="L312" s="146">
        <f>IFERROR(INDEX(Työkonekanta!$I$3:$I$27,MATCH('S0a Baseline'!$A312,Työkonekanta!$A$3:$A$24,0),1)*(I312+J312)*f_adblue,0)</f>
        <v>0</v>
      </c>
      <c r="M312" s="146">
        <f t="shared" si="84"/>
        <v>0</v>
      </c>
      <c r="N312" s="143" t="str">
        <f>IF(tuulisähkö_vuosi&lt;='S0a Baseline'!C312,"tuulisähkö",ostosähkö_nyt)</f>
        <v>jäännössähkö</v>
      </c>
      <c r="O312" s="147">
        <f>INDEX(Muuttujat!$J$5:$J$21,MATCH($C312,Muuttujat!$H$5:$H$21,0),1)</f>
        <v>62.625946521929137</v>
      </c>
      <c r="P312" s="342">
        <f>1-(INDEX(Muuttujat!$O$5:$O$21,MATCH($C312,Muuttujat!$N$5:$N$21,0),1))</f>
        <v>0.9</v>
      </c>
      <c r="Q312" s="342">
        <f>INDEX(Muuttujat!$O$5:$O$21,MATCH($C312,Muuttujat!$N$5:$N$21,0),1)</f>
        <v>0.1</v>
      </c>
      <c r="R312" s="148">
        <f>INDEX(Muuttujat!$P$5:$P$21,MATCH($C312,Muuttujat!$N$5:$N$21,0),1)</f>
        <v>0.10417875759940039</v>
      </c>
      <c r="S312" s="149">
        <f t="shared" si="85"/>
        <v>0</v>
      </c>
      <c r="T312" s="150">
        <f t="shared" si="86"/>
        <v>0</v>
      </c>
      <c r="U312" s="150">
        <f t="shared" si="87"/>
        <v>0</v>
      </c>
      <c r="V312" s="150">
        <f>IFERROR(INDEX(Työkonekanta!$J$3:$J$27,MATCH($A312,Työkonekanta!$A$3:$A$24,0),1)*$B312*ef_li_ion_akku/1000/1000/INDEX(Työkonekanta!$K$3:$K$27,MATCH($A312,Työkonekanta!$A$3:$A$24,0)),0)</f>
        <v>0</v>
      </c>
      <c r="W312" s="149">
        <f t="shared" si="88"/>
        <v>0</v>
      </c>
      <c r="X312" s="150">
        <f t="shared" si="89"/>
        <v>0</v>
      </c>
      <c r="Y312" s="151">
        <f t="shared" si="90"/>
        <v>0</v>
      </c>
      <c r="Z312" s="152">
        <f t="shared" si="94"/>
        <v>0</v>
      </c>
      <c r="AA312" s="153">
        <f t="shared" si="95"/>
        <v>0</v>
      </c>
      <c r="AB312" s="153">
        <f t="shared" si="96"/>
        <v>0</v>
      </c>
      <c r="AC312" s="154">
        <f t="shared" si="91"/>
        <v>0</v>
      </c>
      <c r="AD312" s="156">
        <f t="shared" si="97"/>
        <v>0</v>
      </c>
    </row>
    <row r="313" spans="1:30" s="144" customFormat="1">
      <c r="A313" s="139">
        <v>11</v>
      </c>
      <c r="B313" s="139">
        <f>IFERROR(INDEX(Työkonekanta!$F$3:$F$27,MATCH('S0a Baseline'!$A313,Työkonekanta!$A$3:$A$24,0),1),0)</f>
        <v>1</v>
      </c>
      <c r="C313" s="140">
        <v>2029</v>
      </c>
      <c r="D313" s="141" t="str">
        <f>IFERROR(INDEX(Työkonekanta!$D$3:$D$27,MATCH('S0a Baseline'!$A313,Työkonekanta!$A$3:$A$24,0),1),"undefined")</f>
        <v>pom</v>
      </c>
      <c r="E313" s="145">
        <f>IFERROR(INDEX(Työkonekanta!$G$3:$G$27,MATCH($A313,Työkonekanta!$A$3:$A$24,0),1)*INDEX(Työkonekanta!$H$3:$H$27,MATCH($A313,Työkonekanta!$A$3:$A$24,0),1)*$B313,0)</f>
        <v>10000</v>
      </c>
      <c r="F313" s="344">
        <f t="shared" si="81"/>
        <v>359000</v>
      </c>
      <c r="G313" s="344">
        <f t="shared" si="92"/>
        <v>323100</v>
      </c>
      <c r="H313" s="344">
        <f t="shared" si="93"/>
        <v>35900</v>
      </c>
      <c r="I313" s="145">
        <f t="shared" si="82"/>
        <v>9000</v>
      </c>
      <c r="J313" s="145">
        <f t="shared" si="83"/>
        <v>1046.6472303206997</v>
      </c>
      <c r="K313" s="142" t="str">
        <f t="shared" si="80"/>
        <v>l</v>
      </c>
      <c r="L313" s="146">
        <f>IFERROR(INDEX(Työkonekanta!$I$3:$I$27,MATCH('S0a Baseline'!$A313,Työkonekanta!$A$3:$A$24,0),1)*(I313+J313)*f_adblue,0)</f>
        <v>502.33236151603501</v>
      </c>
      <c r="M313" s="146">
        <f t="shared" si="84"/>
        <v>0</v>
      </c>
      <c r="N313" s="143" t="str">
        <f>IF(tuulisähkö_vuosi&lt;='S0a Baseline'!C313,"tuulisähkö",ostosähkö_nyt)</f>
        <v>jäännössähkö</v>
      </c>
      <c r="O313" s="147">
        <f>INDEX(Muuttujat!$J$5:$J$21,MATCH($C313,Muuttujat!$H$5:$H$21,0),1)</f>
        <v>62.625946521929137</v>
      </c>
      <c r="P313" s="342">
        <f>1-(INDEX(Muuttujat!$O$5:$O$21,MATCH($C313,Muuttujat!$N$5:$N$21,0),1))</f>
        <v>0.9</v>
      </c>
      <c r="Q313" s="342">
        <f>INDEX(Muuttujat!$O$5:$O$21,MATCH($C313,Muuttujat!$N$5:$N$21,0),1)</f>
        <v>0.1</v>
      </c>
      <c r="R313" s="148">
        <f>INDEX(Muuttujat!$P$5:$P$21,MATCH($C313,Muuttujat!$N$5:$N$21,0),1)</f>
        <v>0.10417875759940039</v>
      </c>
      <c r="S313" s="149">
        <f t="shared" si="85"/>
        <v>6.1065899999999997</v>
      </c>
      <c r="T313" s="150">
        <f t="shared" si="86"/>
        <v>2.2401599999999999</v>
      </c>
      <c r="U313" s="150">
        <f t="shared" si="87"/>
        <v>0</v>
      </c>
      <c r="V313" s="150">
        <f>IFERROR(INDEX(Työkonekanta!$J$3:$J$27,MATCH($A313,Työkonekanta!$A$3:$A$24,0),1)*$B313*ef_li_ion_akku/1000/1000/INDEX(Työkonekanta!$K$3:$K$27,MATCH($A313,Työkonekanta!$A$3:$A$24,0)),0)</f>
        <v>0</v>
      </c>
      <c r="W313" s="149">
        <f t="shared" si="88"/>
        <v>23.847446957400003</v>
      </c>
      <c r="X313" s="150">
        <f t="shared" si="89"/>
        <v>0.31774565999999999</v>
      </c>
      <c r="Y313" s="151">
        <f t="shared" si="90"/>
        <v>0.13060641399416908</v>
      </c>
      <c r="Z313" s="152">
        <f t="shared" si="94"/>
        <v>8.3467500000000001</v>
      </c>
      <c r="AA313" s="153">
        <f t="shared" si="95"/>
        <v>23.978053371394171</v>
      </c>
      <c r="AB313" s="153">
        <f t="shared" si="96"/>
        <v>24.295799031394171</v>
      </c>
      <c r="AC313" s="154">
        <f t="shared" si="91"/>
        <v>32.324803371394168</v>
      </c>
      <c r="AD313" s="156">
        <f t="shared" si="97"/>
        <v>32.642549031394168</v>
      </c>
    </row>
    <row r="314" spans="1:30" s="144" customFormat="1">
      <c r="A314" s="139">
        <v>12</v>
      </c>
      <c r="B314" s="139">
        <f>IFERROR(INDEX(Työkonekanta!$F$3:$F$27,MATCH('S0a Baseline'!$A314,Työkonekanta!$A$3:$A$24,0),1),0)</f>
        <v>1</v>
      </c>
      <c r="C314" s="140">
        <v>2029</v>
      </c>
      <c r="D314" s="141" t="str">
        <f>IFERROR(INDEX(Työkonekanta!$D$3:$D$27,MATCH('S0a Baseline'!$A314,Työkonekanta!$A$3:$A$24,0),1),"undefined")</f>
        <v>pom</v>
      </c>
      <c r="E314" s="145">
        <f>IFERROR(INDEX(Työkonekanta!$G$3:$G$27,MATCH($A314,Työkonekanta!$A$3:$A$24,0),1)*INDEX(Työkonekanta!$H$3:$H$27,MATCH($A314,Työkonekanta!$A$3:$A$24,0),1)*$B314,0)</f>
        <v>10000</v>
      </c>
      <c r="F314" s="344">
        <f t="shared" si="81"/>
        <v>359000</v>
      </c>
      <c r="G314" s="344">
        <f t="shared" si="92"/>
        <v>323100</v>
      </c>
      <c r="H314" s="344">
        <f t="shared" si="93"/>
        <v>35900</v>
      </c>
      <c r="I314" s="145">
        <f t="shared" si="82"/>
        <v>9000</v>
      </c>
      <c r="J314" s="145">
        <f t="shared" si="83"/>
        <v>1046.6472303206997</v>
      </c>
      <c r="K314" s="142" t="str">
        <f t="shared" si="80"/>
        <v>l</v>
      </c>
      <c r="L314" s="146">
        <f>IFERROR(INDEX(Työkonekanta!$I$3:$I$27,MATCH('S0a Baseline'!$A314,Työkonekanta!$A$3:$A$24,0),1)*(I314+J314)*f_adblue,0)</f>
        <v>502.33236151603501</v>
      </c>
      <c r="M314" s="146">
        <f t="shared" si="84"/>
        <v>0</v>
      </c>
      <c r="N314" s="143" t="str">
        <f>IF(tuulisähkö_vuosi&lt;='S0a Baseline'!C314,"tuulisähkö",ostosähkö_nyt)</f>
        <v>jäännössähkö</v>
      </c>
      <c r="O314" s="147">
        <f>INDEX(Muuttujat!$J$5:$J$21,MATCH($C314,Muuttujat!$H$5:$H$21,0),1)</f>
        <v>62.625946521929137</v>
      </c>
      <c r="P314" s="342">
        <f>1-(INDEX(Muuttujat!$O$5:$O$21,MATCH($C314,Muuttujat!$N$5:$N$21,0),1))</f>
        <v>0.9</v>
      </c>
      <c r="Q314" s="342">
        <f>INDEX(Muuttujat!$O$5:$O$21,MATCH($C314,Muuttujat!$N$5:$N$21,0),1)</f>
        <v>0.1</v>
      </c>
      <c r="R314" s="148">
        <f>INDEX(Muuttujat!$P$5:$P$21,MATCH($C314,Muuttujat!$N$5:$N$21,0),1)</f>
        <v>0.10417875759940039</v>
      </c>
      <c r="S314" s="149">
        <f t="shared" si="85"/>
        <v>6.1065899999999997</v>
      </c>
      <c r="T314" s="150">
        <f t="shared" si="86"/>
        <v>2.2401599999999999</v>
      </c>
      <c r="U314" s="150">
        <f t="shared" si="87"/>
        <v>0</v>
      </c>
      <c r="V314" s="150">
        <f>IFERROR(INDEX(Työkonekanta!$J$3:$J$27,MATCH($A314,Työkonekanta!$A$3:$A$24,0),1)*$B314*ef_li_ion_akku/1000/1000/INDEX(Työkonekanta!$K$3:$K$27,MATCH($A314,Työkonekanta!$A$3:$A$24,0)),0)</f>
        <v>0</v>
      </c>
      <c r="W314" s="149">
        <f t="shared" si="88"/>
        <v>23.847446957400003</v>
      </c>
      <c r="X314" s="150">
        <f t="shared" si="89"/>
        <v>0.31774565999999999</v>
      </c>
      <c r="Y314" s="151">
        <f t="shared" si="90"/>
        <v>0.13060641399416908</v>
      </c>
      <c r="Z314" s="152">
        <f t="shared" si="94"/>
        <v>8.3467500000000001</v>
      </c>
      <c r="AA314" s="153">
        <f t="shared" si="95"/>
        <v>23.978053371394171</v>
      </c>
      <c r="AB314" s="153">
        <f t="shared" si="96"/>
        <v>24.295799031394171</v>
      </c>
      <c r="AC314" s="154">
        <f t="shared" si="91"/>
        <v>32.324803371394168</v>
      </c>
      <c r="AD314" s="156">
        <f t="shared" si="97"/>
        <v>32.642549031394168</v>
      </c>
    </row>
    <row r="315" spans="1:30" s="144" customFormat="1">
      <c r="A315" s="139">
        <v>13</v>
      </c>
      <c r="B315" s="139">
        <f>IFERROR(INDEX(Työkonekanta!$F$3:$F$27,MATCH('S0a Baseline'!$A315,Työkonekanta!$A$3:$A$24,0),1),0)</f>
        <v>0</v>
      </c>
      <c r="C315" s="140">
        <v>2029</v>
      </c>
      <c r="D315" s="141" t="str">
        <f>IFERROR(INDEX(Työkonekanta!$D$3:$D$27,MATCH('S0a Baseline'!$A315,Työkonekanta!$A$3:$A$24,0),1),"undefined")</f>
        <v>pom</v>
      </c>
      <c r="E315" s="145">
        <f>IFERROR(INDEX(Työkonekanta!$G$3:$G$27,MATCH($A315,Työkonekanta!$A$3:$A$24,0),1)*INDEX(Työkonekanta!$H$3:$H$27,MATCH($A315,Työkonekanta!$A$3:$A$24,0),1)*$B315,0)</f>
        <v>0</v>
      </c>
      <c r="F315" s="344">
        <f t="shared" si="81"/>
        <v>0</v>
      </c>
      <c r="G315" s="344">
        <f t="shared" si="92"/>
        <v>0</v>
      </c>
      <c r="H315" s="344">
        <f t="shared" si="93"/>
        <v>0</v>
      </c>
      <c r="I315" s="145">
        <f t="shared" si="82"/>
        <v>0</v>
      </c>
      <c r="J315" s="145">
        <f t="shared" si="83"/>
        <v>0</v>
      </c>
      <c r="K315" s="142" t="str">
        <f t="shared" si="80"/>
        <v>l</v>
      </c>
      <c r="L315" s="146">
        <f>IFERROR(INDEX(Työkonekanta!$I$3:$I$27,MATCH('S0a Baseline'!$A315,Työkonekanta!$A$3:$A$24,0),1)*(I315+J315)*f_adblue,0)</f>
        <v>0</v>
      </c>
      <c r="M315" s="146">
        <f t="shared" si="84"/>
        <v>0</v>
      </c>
      <c r="N315" s="143" t="str">
        <f>IF(tuulisähkö_vuosi&lt;='S0a Baseline'!C315,"tuulisähkö",ostosähkö_nyt)</f>
        <v>jäännössähkö</v>
      </c>
      <c r="O315" s="147">
        <f>INDEX(Muuttujat!$J$5:$J$21,MATCH($C315,Muuttujat!$H$5:$H$21,0),1)</f>
        <v>62.625946521929137</v>
      </c>
      <c r="P315" s="342">
        <f>1-(INDEX(Muuttujat!$O$5:$O$21,MATCH($C315,Muuttujat!$N$5:$N$21,0),1))</f>
        <v>0.9</v>
      </c>
      <c r="Q315" s="342">
        <f>INDEX(Muuttujat!$O$5:$O$21,MATCH($C315,Muuttujat!$N$5:$N$21,0),1)</f>
        <v>0.1</v>
      </c>
      <c r="R315" s="148">
        <f>INDEX(Muuttujat!$P$5:$P$21,MATCH($C315,Muuttujat!$N$5:$N$21,0),1)</f>
        <v>0.10417875759940039</v>
      </c>
      <c r="S315" s="149">
        <f t="shared" si="85"/>
        <v>0</v>
      </c>
      <c r="T315" s="150">
        <f t="shared" si="86"/>
        <v>0</v>
      </c>
      <c r="U315" s="150">
        <f t="shared" si="87"/>
        <v>0</v>
      </c>
      <c r="V315" s="150">
        <f>IFERROR(INDEX(Työkonekanta!$J$3:$J$27,MATCH($A315,Työkonekanta!$A$3:$A$24,0),1)*$B315*ef_li_ion_akku/1000/1000/INDEX(Työkonekanta!$K$3:$K$27,MATCH($A315,Työkonekanta!$A$3:$A$24,0)),0)</f>
        <v>0</v>
      </c>
      <c r="W315" s="149">
        <f t="shared" si="88"/>
        <v>0</v>
      </c>
      <c r="X315" s="150">
        <f t="shared" si="89"/>
        <v>0</v>
      </c>
      <c r="Y315" s="151">
        <f t="shared" si="90"/>
        <v>0</v>
      </c>
      <c r="Z315" s="152">
        <f t="shared" si="94"/>
        <v>0</v>
      </c>
      <c r="AA315" s="153">
        <f t="shared" si="95"/>
        <v>0</v>
      </c>
      <c r="AB315" s="153">
        <f t="shared" si="96"/>
        <v>0</v>
      </c>
      <c r="AC315" s="154">
        <f t="shared" si="91"/>
        <v>0</v>
      </c>
      <c r="AD315" s="156">
        <f t="shared" si="97"/>
        <v>0</v>
      </c>
    </row>
    <row r="316" spans="1:30" s="144" customFormat="1">
      <c r="A316" s="139">
        <v>14</v>
      </c>
      <c r="B316" s="139">
        <f>IFERROR(INDEX(Työkonekanta!$F$3:$F$27,MATCH('S0a Baseline'!$A316,Työkonekanta!$A$3:$A$24,0),1),0)</f>
        <v>0</v>
      </c>
      <c r="C316" s="140">
        <v>2029</v>
      </c>
      <c r="D316" s="141" t="str">
        <f>IFERROR(INDEX(Työkonekanta!$D$3:$D$27,MATCH('S0a Baseline'!$A316,Työkonekanta!$A$3:$A$24,0),1),"undefined")</f>
        <v>pom</v>
      </c>
      <c r="E316" s="145">
        <f>IFERROR(INDEX(Työkonekanta!$G$3:$G$27,MATCH($A316,Työkonekanta!$A$3:$A$24,0),1)*INDEX(Työkonekanta!$H$3:$H$27,MATCH($A316,Työkonekanta!$A$3:$A$24,0),1)*$B316,0)</f>
        <v>0</v>
      </c>
      <c r="F316" s="344">
        <f t="shared" si="81"/>
        <v>0</v>
      </c>
      <c r="G316" s="344">
        <f t="shared" si="92"/>
        <v>0</v>
      </c>
      <c r="H316" s="344">
        <f t="shared" si="93"/>
        <v>0</v>
      </c>
      <c r="I316" s="145">
        <f t="shared" si="82"/>
        <v>0</v>
      </c>
      <c r="J316" s="145">
        <f t="shared" si="83"/>
        <v>0</v>
      </c>
      <c r="K316" s="142" t="str">
        <f t="shared" si="80"/>
        <v>l</v>
      </c>
      <c r="L316" s="146">
        <f>IFERROR(INDEX(Työkonekanta!$I$3:$I$27,MATCH('S0a Baseline'!$A316,Työkonekanta!$A$3:$A$24,0),1)*(I316+J316)*f_adblue,0)</f>
        <v>0</v>
      </c>
      <c r="M316" s="146">
        <f t="shared" si="84"/>
        <v>0</v>
      </c>
      <c r="N316" s="143" t="str">
        <f>IF(tuulisähkö_vuosi&lt;='S0a Baseline'!C316,"tuulisähkö",ostosähkö_nyt)</f>
        <v>jäännössähkö</v>
      </c>
      <c r="O316" s="147">
        <f>INDEX(Muuttujat!$J$5:$J$21,MATCH($C316,Muuttujat!$H$5:$H$21,0),1)</f>
        <v>62.625946521929137</v>
      </c>
      <c r="P316" s="342">
        <f>1-(INDEX(Muuttujat!$O$5:$O$21,MATCH($C316,Muuttujat!$N$5:$N$21,0),1))</f>
        <v>0.9</v>
      </c>
      <c r="Q316" s="342">
        <f>INDEX(Muuttujat!$O$5:$O$21,MATCH($C316,Muuttujat!$N$5:$N$21,0),1)</f>
        <v>0.1</v>
      </c>
      <c r="R316" s="148">
        <f>INDEX(Muuttujat!$P$5:$P$21,MATCH($C316,Muuttujat!$N$5:$N$21,0),1)</f>
        <v>0.10417875759940039</v>
      </c>
      <c r="S316" s="149">
        <f t="shared" si="85"/>
        <v>0</v>
      </c>
      <c r="T316" s="150">
        <f t="shared" si="86"/>
        <v>0</v>
      </c>
      <c r="U316" s="150">
        <f t="shared" si="87"/>
        <v>0</v>
      </c>
      <c r="V316" s="150">
        <f>IFERROR(INDEX(Työkonekanta!$J$3:$J$27,MATCH($A316,Työkonekanta!$A$3:$A$24,0),1)*$B316*ef_li_ion_akku/1000/1000/INDEX(Työkonekanta!$K$3:$K$27,MATCH($A316,Työkonekanta!$A$3:$A$24,0)),0)</f>
        <v>0</v>
      </c>
      <c r="W316" s="149">
        <f t="shared" si="88"/>
        <v>0</v>
      </c>
      <c r="X316" s="150">
        <f t="shared" si="89"/>
        <v>0</v>
      </c>
      <c r="Y316" s="151">
        <f t="shared" si="90"/>
        <v>0</v>
      </c>
      <c r="Z316" s="152">
        <f t="shared" si="94"/>
        <v>0</v>
      </c>
      <c r="AA316" s="153">
        <f t="shared" si="95"/>
        <v>0</v>
      </c>
      <c r="AB316" s="153">
        <f t="shared" si="96"/>
        <v>0</v>
      </c>
      <c r="AC316" s="154">
        <f t="shared" si="91"/>
        <v>0</v>
      </c>
      <c r="AD316" s="156">
        <f t="shared" si="97"/>
        <v>0</v>
      </c>
    </row>
    <row r="317" spans="1:30" s="144" customFormat="1">
      <c r="A317" s="139">
        <v>15</v>
      </c>
      <c r="B317" s="139">
        <f>IFERROR(INDEX(Työkonekanta!$F$3:$F$27,MATCH('S0a Baseline'!$A317,Työkonekanta!$A$3:$A$24,0),1),0)</f>
        <v>0</v>
      </c>
      <c r="C317" s="140">
        <v>2029</v>
      </c>
      <c r="D317" s="141" t="str">
        <f>IFERROR(INDEX(Työkonekanta!$D$3:$D$27,MATCH('S0a Baseline'!$A317,Työkonekanta!$A$3:$A$24,0),1),"undefined")</f>
        <v>sähkö</v>
      </c>
      <c r="E317" s="145">
        <f>IFERROR(INDEX(Työkonekanta!$G$3:$G$27,MATCH($A317,Työkonekanta!$A$3:$A$24,0),1)*INDEX(Työkonekanta!$H$3:$H$27,MATCH($A317,Työkonekanta!$A$3:$A$24,0),1)*$B317,0)</f>
        <v>0</v>
      </c>
      <c r="F317" s="344">
        <f t="shared" si="81"/>
        <v>0</v>
      </c>
      <c r="G317" s="344">
        <f t="shared" si="92"/>
        <v>0</v>
      </c>
      <c r="H317" s="344">
        <f t="shared" si="93"/>
        <v>0</v>
      </c>
      <c r="I317" s="145">
        <f t="shared" si="82"/>
        <v>0</v>
      </c>
      <c r="J317" s="145">
        <f t="shared" si="83"/>
        <v>0</v>
      </c>
      <c r="K317" s="142" t="str">
        <f t="shared" si="80"/>
        <v>kWh</v>
      </c>
      <c r="L317" s="146">
        <f>IFERROR(INDEX(Työkonekanta!$I$3:$I$27,MATCH('S0a Baseline'!$A317,Työkonekanta!$A$3:$A$24,0),1)*(I317+J317)*f_adblue,0)</f>
        <v>0</v>
      </c>
      <c r="M317" s="146">
        <f t="shared" si="84"/>
        <v>0</v>
      </c>
      <c r="N317" s="143" t="str">
        <f>IF(tuulisähkö_vuosi&lt;='S0a Baseline'!C317,"tuulisähkö",ostosähkö_nyt)</f>
        <v>jäännössähkö</v>
      </c>
      <c r="O317" s="147">
        <f>INDEX(Muuttujat!$J$5:$J$21,MATCH($C317,Muuttujat!$H$5:$H$21,0),1)</f>
        <v>62.625946521929137</v>
      </c>
      <c r="P317" s="342">
        <f>1-(INDEX(Muuttujat!$O$5:$O$21,MATCH($C317,Muuttujat!$N$5:$N$21,0),1))</f>
        <v>0.9</v>
      </c>
      <c r="Q317" s="342">
        <f>INDEX(Muuttujat!$O$5:$O$21,MATCH($C317,Muuttujat!$N$5:$N$21,0),1)</f>
        <v>0.1</v>
      </c>
      <c r="R317" s="148">
        <f>INDEX(Muuttujat!$P$5:$P$21,MATCH($C317,Muuttujat!$N$5:$N$21,0),1)</f>
        <v>0.10417875759940039</v>
      </c>
      <c r="S317" s="149">
        <f t="shared" si="85"/>
        <v>0</v>
      </c>
      <c r="T317" s="150">
        <f t="shared" si="86"/>
        <v>0</v>
      </c>
      <c r="U317" s="150">
        <f t="shared" si="87"/>
        <v>0</v>
      </c>
      <c r="V317" s="150">
        <f>IFERROR(INDEX(Työkonekanta!$J$3:$J$27,MATCH($A317,Työkonekanta!$A$3:$A$24,0),1)*$B317*ef_li_ion_akku/1000/1000/INDEX(Työkonekanta!$K$3:$K$27,MATCH($A317,Työkonekanta!$A$3:$A$24,0)),0)</f>
        <v>0</v>
      </c>
      <c r="W317" s="149">
        <f t="shared" si="88"/>
        <v>0</v>
      </c>
      <c r="X317" s="150">
        <f t="shared" si="89"/>
        <v>0</v>
      </c>
      <c r="Y317" s="151">
        <f t="shared" si="90"/>
        <v>0</v>
      </c>
      <c r="Z317" s="152">
        <f t="shared" si="94"/>
        <v>0</v>
      </c>
      <c r="AA317" s="153">
        <f t="shared" si="95"/>
        <v>0</v>
      </c>
      <c r="AB317" s="153">
        <f t="shared" si="96"/>
        <v>0</v>
      </c>
      <c r="AC317" s="154">
        <f t="shared" si="91"/>
        <v>0</v>
      </c>
      <c r="AD317" s="156">
        <f t="shared" si="97"/>
        <v>0</v>
      </c>
    </row>
    <row r="318" spans="1:30" s="144" customFormat="1">
      <c r="A318" s="139">
        <v>16</v>
      </c>
      <c r="B318" s="139">
        <f>IFERROR(INDEX(Työkonekanta!$F$3:$F$27,MATCH('S0a Baseline'!$A318,Työkonekanta!$A$3:$A$24,0),1),0)</f>
        <v>0</v>
      </c>
      <c r="C318" s="140">
        <v>2029</v>
      </c>
      <c r="D318" s="141" t="str">
        <f>IFERROR(INDEX(Työkonekanta!$D$3:$D$27,MATCH('S0a Baseline'!$A318,Työkonekanta!$A$3:$A$24,0),1),"undefined")</f>
        <v>sähkö</v>
      </c>
      <c r="E318" s="145">
        <f>IFERROR(INDEX(Työkonekanta!$G$3:$G$27,MATCH($A318,Työkonekanta!$A$3:$A$24,0),1)*INDEX(Työkonekanta!$H$3:$H$27,MATCH($A318,Työkonekanta!$A$3:$A$24,0),1)*$B318,0)</f>
        <v>0</v>
      </c>
      <c r="F318" s="344">
        <f t="shared" si="81"/>
        <v>0</v>
      </c>
      <c r="G318" s="344">
        <f t="shared" si="92"/>
        <v>0</v>
      </c>
      <c r="H318" s="344">
        <f t="shared" si="93"/>
        <v>0</v>
      </c>
      <c r="I318" s="145">
        <f t="shared" si="82"/>
        <v>0</v>
      </c>
      <c r="J318" s="145">
        <f t="shared" si="83"/>
        <v>0</v>
      </c>
      <c r="K318" s="142" t="str">
        <f t="shared" si="80"/>
        <v>kWh</v>
      </c>
      <c r="L318" s="146">
        <f>IFERROR(INDEX(Työkonekanta!$I$3:$I$27,MATCH('S0a Baseline'!$A318,Työkonekanta!$A$3:$A$24,0),1)*(I318+J318)*f_adblue,0)</f>
        <v>0</v>
      </c>
      <c r="M318" s="146">
        <f t="shared" si="84"/>
        <v>0</v>
      </c>
      <c r="N318" s="143" t="str">
        <f>IF(tuulisähkö_vuosi&lt;='S0a Baseline'!C318,"tuulisähkö",ostosähkö_nyt)</f>
        <v>jäännössähkö</v>
      </c>
      <c r="O318" s="147">
        <f>INDEX(Muuttujat!$J$5:$J$21,MATCH($C318,Muuttujat!$H$5:$H$21,0),1)</f>
        <v>62.625946521929137</v>
      </c>
      <c r="P318" s="342">
        <f>1-(INDEX(Muuttujat!$O$5:$O$21,MATCH($C318,Muuttujat!$N$5:$N$21,0),1))</f>
        <v>0.9</v>
      </c>
      <c r="Q318" s="342">
        <f>INDEX(Muuttujat!$O$5:$O$21,MATCH($C318,Muuttujat!$N$5:$N$21,0),1)</f>
        <v>0.1</v>
      </c>
      <c r="R318" s="148">
        <f>INDEX(Muuttujat!$P$5:$P$21,MATCH($C318,Muuttujat!$N$5:$N$21,0),1)</f>
        <v>0.10417875759940039</v>
      </c>
      <c r="S318" s="149">
        <f t="shared" si="85"/>
        <v>0</v>
      </c>
      <c r="T318" s="150">
        <f t="shared" si="86"/>
        <v>0</v>
      </c>
      <c r="U318" s="150">
        <f t="shared" si="87"/>
        <v>0</v>
      </c>
      <c r="V318" s="150">
        <f>IFERROR(INDEX(Työkonekanta!$J$3:$J$27,MATCH($A318,Työkonekanta!$A$3:$A$24,0),1)*$B318*ef_li_ion_akku/1000/1000/INDEX(Työkonekanta!$K$3:$K$27,MATCH($A318,Työkonekanta!$A$3:$A$24,0)),0)</f>
        <v>0</v>
      </c>
      <c r="W318" s="149">
        <f t="shared" si="88"/>
        <v>0</v>
      </c>
      <c r="X318" s="150">
        <f t="shared" si="89"/>
        <v>0</v>
      </c>
      <c r="Y318" s="151">
        <f t="shared" si="90"/>
        <v>0</v>
      </c>
      <c r="Z318" s="152">
        <f t="shared" si="94"/>
        <v>0</v>
      </c>
      <c r="AA318" s="153">
        <f t="shared" si="95"/>
        <v>0</v>
      </c>
      <c r="AB318" s="153">
        <f t="shared" si="96"/>
        <v>0</v>
      </c>
      <c r="AC318" s="154">
        <f t="shared" si="91"/>
        <v>0</v>
      </c>
      <c r="AD318" s="156">
        <f t="shared" si="97"/>
        <v>0</v>
      </c>
    </row>
    <row r="319" spans="1:30" s="144" customFormat="1">
      <c r="A319" s="139">
        <v>17</v>
      </c>
      <c r="B319" s="139">
        <f>IFERROR(INDEX(Työkonekanta!$F$3:$F$27,MATCH('S0a Baseline'!$A319,Työkonekanta!$A$3:$A$24,0),1),0)</f>
        <v>1</v>
      </c>
      <c r="C319" s="140">
        <v>2029</v>
      </c>
      <c r="D319" s="141" t="str">
        <f>IFERROR(INDEX(Työkonekanta!$D$3:$D$27,MATCH('S0a Baseline'!$A319,Työkonekanta!$A$3:$A$24,0),1),"undefined")</f>
        <v>pom</v>
      </c>
      <c r="E319" s="145">
        <f>IFERROR(INDEX(Työkonekanta!$G$3:$G$27,MATCH($A319,Työkonekanta!$A$3:$A$24,0),1)*INDEX(Työkonekanta!$H$3:$H$27,MATCH($A319,Työkonekanta!$A$3:$A$24,0),1)*$B319,0)</f>
        <v>10000</v>
      </c>
      <c r="F319" s="344">
        <f t="shared" si="81"/>
        <v>359000</v>
      </c>
      <c r="G319" s="344">
        <f t="shared" si="92"/>
        <v>323100</v>
      </c>
      <c r="H319" s="344">
        <f t="shared" si="93"/>
        <v>35900</v>
      </c>
      <c r="I319" s="145">
        <f t="shared" si="82"/>
        <v>9000</v>
      </c>
      <c r="J319" s="145">
        <f t="shared" si="83"/>
        <v>1046.6472303206997</v>
      </c>
      <c r="K319" s="142" t="str">
        <f t="shared" si="80"/>
        <v>l</v>
      </c>
      <c r="L319" s="146">
        <f>IFERROR(INDEX(Työkonekanta!$I$3:$I$27,MATCH('S0a Baseline'!$A319,Työkonekanta!$A$3:$A$24,0),1)*(I319+J319)*f_adblue,0)</f>
        <v>502.33236151603501</v>
      </c>
      <c r="M319" s="146">
        <f t="shared" si="84"/>
        <v>0</v>
      </c>
      <c r="N319" s="143" t="str">
        <f>IF(tuulisähkö_vuosi&lt;='S0a Baseline'!C319,"tuulisähkö",ostosähkö_nyt)</f>
        <v>jäännössähkö</v>
      </c>
      <c r="O319" s="147">
        <f>INDEX(Muuttujat!$J$5:$J$21,MATCH($C319,Muuttujat!$H$5:$H$21,0),1)</f>
        <v>62.625946521929137</v>
      </c>
      <c r="P319" s="342">
        <f>1-(INDEX(Muuttujat!$O$5:$O$21,MATCH($C319,Muuttujat!$N$5:$N$21,0),1))</f>
        <v>0.9</v>
      </c>
      <c r="Q319" s="342">
        <f>INDEX(Muuttujat!$O$5:$O$21,MATCH($C319,Muuttujat!$N$5:$N$21,0),1)</f>
        <v>0.1</v>
      </c>
      <c r="R319" s="148">
        <f>INDEX(Muuttujat!$P$5:$P$21,MATCH($C319,Muuttujat!$N$5:$N$21,0),1)</f>
        <v>0.10417875759940039</v>
      </c>
      <c r="S319" s="149">
        <f t="shared" si="85"/>
        <v>6.1065899999999997</v>
      </c>
      <c r="T319" s="150">
        <f t="shared" si="86"/>
        <v>2.2401599999999999</v>
      </c>
      <c r="U319" s="150">
        <f t="shared" si="87"/>
        <v>0</v>
      </c>
      <c r="V319" s="150">
        <f>IFERROR(INDEX(Työkonekanta!$J$3:$J$27,MATCH($A319,Työkonekanta!$A$3:$A$24,0),1)*$B319*ef_li_ion_akku/1000/1000/INDEX(Työkonekanta!$K$3:$K$27,MATCH($A319,Työkonekanta!$A$3:$A$24,0)),0)</f>
        <v>0</v>
      </c>
      <c r="W319" s="149">
        <f t="shared" si="88"/>
        <v>23.847446957400003</v>
      </c>
      <c r="X319" s="150">
        <f t="shared" si="89"/>
        <v>0.31774565999999999</v>
      </c>
      <c r="Y319" s="151">
        <f t="shared" si="90"/>
        <v>0.13060641399416908</v>
      </c>
      <c r="Z319" s="152">
        <f t="shared" si="94"/>
        <v>8.3467500000000001</v>
      </c>
      <c r="AA319" s="153">
        <f t="shared" si="95"/>
        <v>23.978053371394171</v>
      </c>
      <c r="AB319" s="153">
        <f t="shared" si="96"/>
        <v>24.295799031394171</v>
      </c>
      <c r="AC319" s="154">
        <f t="shared" si="91"/>
        <v>32.324803371394168</v>
      </c>
      <c r="AD319" s="156">
        <f t="shared" si="97"/>
        <v>32.642549031394168</v>
      </c>
    </row>
    <row r="320" spans="1:30" s="144" customFormat="1">
      <c r="A320" s="139">
        <v>18</v>
      </c>
      <c r="B320" s="139">
        <f>IFERROR(INDEX(Työkonekanta!$F$3:$F$27,MATCH('S0a Baseline'!$A320,Työkonekanta!$A$3:$A$24,0),1),0)</f>
        <v>1</v>
      </c>
      <c r="C320" s="140">
        <v>2029</v>
      </c>
      <c r="D320" s="141" t="str">
        <f>IFERROR(INDEX(Työkonekanta!$D$3:$D$27,MATCH('S0a Baseline'!$A320,Työkonekanta!$A$3:$A$24,0),1),"undefined")</f>
        <v>pom</v>
      </c>
      <c r="E320" s="145">
        <f>IFERROR(INDEX(Työkonekanta!$G$3:$G$27,MATCH($A320,Työkonekanta!$A$3:$A$24,0),1)*INDEX(Työkonekanta!$H$3:$H$27,MATCH($A320,Työkonekanta!$A$3:$A$24,0),1)*$B320,0)</f>
        <v>10000</v>
      </c>
      <c r="F320" s="344">
        <f t="shared" si="81"/>
        <v>359000</v>
      </c>
      <c r="G320" s="344">
        <f t="shared" si="92"/>
        <v>323100</v>
      </c>
      <c r="H320" s="344">
        <f t="shared" si="93"/>
        <v>35900</v>
      </c>
      <c r="I320" s="145">
        <f t="shared" si="82"/>
        <v>9000</v>
      </c>
      <c r="J320" s="145">
        <f t="shared" si="83"/>
        <v>1046.6472303206997</v>
      </c>
      <c r="K320" s="142" t="str">
        <f t="shared" si="80"/>
        <v>l</v>
      </c>
      <c r="L320" s="146">
        <f>IFERROR(INDEX(Työkonekanta!$I$3:$I$27,MATCH('S0a Baseline'!$A320,Työkonekanta!$A$3:$A$24,0),1)*(I320+J320)*f_adblue,0)</f>
        <v>401.86588921282805</v>
      </c>
      <c r="M320" s="146">
        <f t="shared" si="84"/>
        <v>0</v>
      </c>
      <c r="N320" s="143" t="str">
        <f>IF(tuulisähkö_vuosi&lt;='S0a Baseline'!C320,"tuulisähkö",ostosähkö_nyt)</f>
        <v>jäännössähkö</v>
      </c>
      <c r="O320" s="147">
        <f>INDEX(Muuttujat!$J$5:$J$21,MATCH($C320,Muuttujat!$H$5:$H$21,0),1)</f>
        <v>62.625946521929137</v>
      </c>
      <c r="P320" s="342">
        <f>1-(INDEX(Muuttujat!$O$5:$O$21,MATCH($C320,Muuttujat!$N$5:$N$21,0),1))</f>
        <v>0.9</v>
      </c>
      <c r="Q320" s="342">
        <f>INDEX(Muuttujat!$O$5:$O$21,MATCH($C320,Muuttujat!$N$5:$N$21,0),1)</f>
        <v>0.1</v>
      </c>
      <c r="R320" s="148">
        <f>INDEX(Muuttujat!$P$5:$P$21,MATCH($C320,Muuttujat!$N$5:$N$21,0),1)</f>
        <v>0.10417875759940039</v>
      </c>
      <c r="S320" s="149">
        <f t="shared" si="85"/>
        <v>6.1065899999999997</v>
      </c>
      <c r="T320" s="150">
        <f t="shared" si="86"/>
        <v>2.2401599999999999</v>
      </c>
      <c r="U320" s="150">
        <f t="shared" si="87"/>
        <v>0</v>
      </c>
      <c r="V320" s="150">
        <f>IFERROR(INDEX(Työkonekanta!$J$3:$J$27,MATCH($A320,Työkonekanta!$A$3:$A$24,0),1)*$B320*ef_li_ion_akku/1000/1000/INDEX(Työkonekanta!$K$3:$K$27,MATCH($A320,Työkonekanta!$A$3:$A$24,0)),0)</f>
        <v>0</v>
      </c>
      <c r="W320" s="149">
        <f t="shared" si="88"/>
        <v>23.847446957400003</v>
      </c>
      <c r="X320" s="150">
        <f t="shared" si="89"/>
        <v>0.31774565999999999</v>
      </c>
      <c r="Y320" s="151">
        <f t="shared" si="90"/>
        <v>0.1044851311953353</v>
      </c>
      <c r="Z320" s="152">
        <f t="shared" si="94"/>
        <v>8.3467500000000001</v>
      </c>
      <c r="AA320" s="153">
        <f t="shared" si="95"/>
        <v>23.951932088595338</v>
      </c>
      <c r="AB320" s="153">
        <f t="shared" si="96"/>
        <v>24.269677748595338</v>
      </c>
      <c r="AC320" s="154">
        <f t="shared" si="91"/>
        <v>32.298682088595342</v>
      </c>
      <c r="AD320" s="156">
        <f t="shared" si="97"/>
        <v>32.616427748595342</v>
      </c>
    </row>
    <row r="321" spans="1:30" s="144" customFormat="1">
      <c r="A321" s="139">
        <v>19</v>
      </c>
      <c r="B321" s="139">
        <f>IFERROR(INDEX(Työkonekanta!$F$3:$F$27,MATCH('S0a Baseline'!$A321,Työkonekanta!$A$3:$A$24,0),1),0)</f>
        <v>0</v>
      </c>
      <c r="C321" s="140">
        <v>2029</v>
      </c>
      <c r="D321" s="141" t="str">
        <f>IFERROR(INDEX(Työkonekanta!$D$3:$D$27,MATCH('S0a Baseline'!$A321,Työkonekanta!$A$3:$A$24,0),1),"undefined")</f>
        <v>pom</v>
      </c>
      <c r="E321" s="145">
        <f>IFERROR(INDEX(Työkonekanta!$G$3:$G$27,MATCH($A321,Työkonekanta!$A$3:$A$24,0),1)*INDEX(Työkonekanta!$H$3:$H$27,MATCH($A321,Työkonekanta!$A$3:$A$24,0),1)*$B321,0)</f>
        <v>0</v>
      </c>
      <c r="F321" s="344">
        <f t="shared" si="81"/>
        <v>0</v>
      </c>
      <c r="G321" s="344">
        <f t="shared" si="92"/>
        <v>0</v>
      </c>
      <c r="H321" s="344">
        <f t="shared" si="93"/>
        <v>0</v>
      </c>
      <c r="I321" s="145">
        <f t="shared" si="82"/>
        <v>0</v>
      </c>
      <c r="J321" s="145">
        <f t="shared" si="83"/>
        <v>0</v>
      </c>
      <c r="K321" s="142" t="str">
        <f t="shared" si="80"/>
        <v>l</v>
      </c>
      <c r="L321" s="146">
        <f>IFERROR(INDEX(Työkonekanta!$I$3:$I$27,MATCH('S0a Baseline'!$A321,Työkonekanta!$A$3:$A$24,0),1)*(I321+J321)*f_adblue,0)</f>
        <v>0</v>
      </c>
      <c r="M321" s="146">
        <f t="shared" si="84"/>
        <v>0</v>
      </c>
      <c r="N321" s="143" t="str">
        <f>IF(tuulisähkö_vuosi&lt;='S0a Baseline'!C321,"tuulisähkö",ostosähkö_nyt)</f>
        <v>jäännössähkö</v>
      </c>
      <c r="O321" s="147">
        <f>INDEX(Muuttujat!$J$5:$J$21,MATCH($C321,Muuttujat!$H$5:$H$21,0),1)</f>
        <v>62.625946521929137</v>
      </c>
      <c r="P321" s="342">
        <f>1-(INDEX(Muuttujat!$O$5:$O$21,MATCH($C321,Muuttujat!$N$5:$N$21,0),1))</f>
        <v>0.9</v>
      </c>
      <c r="Q321" s="342">
        <f>INDEX(Muuttujat!$O$5:$O$21,MATCH($C321,Muuttujat!$N$5:$N$21,0),1)</f>
        <v>0.1</v>
      </c>
      <c r="R321" s="148">
        <f>INDEX(Muuttujat!$P$5:$P$21,MATCH($C321,Muuttujat!$N$5:$N$21,0),1)</f>
        <v>0.10417875759940039</v>
      </c>
      <c r="S321" s="149">
        <f t="shared" si="85"/>
        <v>0</v>
      </c>
      <c r="T321" s="150">
        <f t="shared" si="86"/>
        <v>0</v>
      </c>
      <c r="U321" s="150">
        <f t="shared" si="87"/>
        <v>0</v>
      </c>
      <c r="V321" s="150">
        <f>IFERROR(INDEX(Työkonekanta!$J$3:$J$27,MATCH($A321,Työkonekanta!$A$3:$A$24,0),1)*$B321*ef_li_ion_akku/1000/1000/INDEX(Työkonekanta!$K$3:$K$27,MATCH($A321,Työkonekanta!$A$3:$A$24,0)),0)</f>
        <v>0</v>
      </c>
      <c r="W321" s="149">
        <f t="shared" si="88"/>
        <v>0</v>
      </c>
      <c r="X321" s="150">
        <f t="shared" si="89"/>
        <v>0</v>
      </c>
      <c r="Y321" s="151">
        <f t="shared" si="90"/>
        <v>0</v>
      </c>
      <c r="Z321" s="152">
        <f t="shared" si="94"/>
        <v>0</v>
      </c>
      <c r="AA321" s="153">
        <f t="shared" si="95"/>
        <v>0</v>
      </c>
      <c r="AB321" s="153">
        <f t="shared" si="96"/>
        <v>0</v>
      </c>
      <c r="AC321" s="154">
        <f t="shared" si="91"/>
        <v>0</v>
      </c>
      <c r="AD321" s="156">
        <f t="shared" si="97"/>
        <v>0</v>
      </c>
    </row>
    <row r="322" spans="1:30" s="144" customFormat="1">
      <c r="A322" s="139">
        <v>20</v>
      </c>
      <c r="B322" s="139">
        <f>IFERROR(INDEX(Työkonekanta!$F$3:$F$27,MATCH('S0a Baseline'!$A322,Työkonekanta!$A$3:$A$24,0),1),0)</f>
        <v>0</v>
      </c>
      <c r="C322" s="140">
        <v>2029</v>
      </c>
      <c r="D322" s="141" t="str">
        <f>IFERROR(INDEX(Työkonekanta!$D$3:$D$27,MATCH('S0a Baseline'!$A322,Työkonekanta!$A$3:$A$24,0),1),"undefined")</f>
        <v>pom</v>
      </c>
      <c r="E322" s="145">
        <f>IFERROR(INDEX(Työkonekanta!$G$3:$G$27,MATCH($A322,Työkonekanta!$A$3:$A$24,0),1)*INDEX(Työkonekanta!$H$3:$H$27,MATCH($A322,Työkonekanta!$A$3:$A$24,0),1)*$B322,0)</f>
        <v>0</v>
      </c>
      <c r="F322" s="344">
        <f t="shared" si="81"/>
        <v>0</v>
      </c>
      <c r="G322" s="344">
        <f t="shared" si="92"/>
        <v>0</v>
      </c>
      <c r="H322" s="344">
        <f t="shared" si="93"/>
        <v>0</v>
      </c>
      <c r="I322" s="145">
        <f t="shared" si="82"/>
        <v>0</v>
      </c>
      <c r="J322" s="145">
        <f t="shared" si="83"/>
        <v>0</v>
      </c>
      <c r="K322" s="142" t="str">
        <f t="shared" si="80"/>
        <v>l</v>
      </c>
      <c r="L322" s="146">
        <f>IFERROR(INDEX(Työkonekanta!$I$3:$I$27,MATCH('S0a Baseline'!$A322,Työkonekanta!$A$3:$A$24,0),1)*(I322+J322)*f_adblue,0)</f>
        <v>0</v>
      </c>
      <c r="M322" s="146">
        <f t="shared" si="84"/>
        <v>0</v>
      </c>
      <c r="N322" s="143" t="str">
        <f>IF(tuulisähkö_vuosi&lt;='S0a Baseline'!C322,"tuulisähkö",ostosähkö_nyt)</f>
        <v>jäännössähkö</v>
      </c>
      <c r="O322" s="147">
        <f>INDEX(Muuttujat!$J$5:$J$21,MATCH($C322,Muuttujat!$H$5:$H$21,0),1)</f>
        <v>62.625946521929137</v>
      </c>
      <c r="P322" s="342">
        <f>1-(INDEX(Muuttujat!$O$5:$O$21,MATCH($C322,Muuttujat!$N$5:$N$21,0),1))</f>
        <v>0.9</v>
      </c>
      <c r="Q322" s="342">
        <f>INDEX(Muuttujat!$O$5:$O$21,MATCH($C322,Muuttujat!$N$5:$N$21,0),1)</f>
        <v>0.1</v>
      </c>
      <c r="R322" s="148">
        <f>INDEX(Muuttujat!$P$5:$P$21,MATCH($C322,Muuttujat!$N$5:$N$21,0),1)</f>
        <v>0.10417875759940039</v>
      </c>
      <c r="S322" s="149">
        <f t="shared" si="85"/>
        <v>0</v>
      </c>
      <c r="T322" s="150">
        <f t="shared" si="86"/>
        <v>0</v>
      </c>
      <c r="U322" s="150">
        <f t="shared" si="87"/>
        <v>0</v>
      </c>
      <c r="V322" s="150">
        <f>IFERROR(INDEX(Työkonekanta!$J$3:$J$27,MATCH($A322,Työkonekanta!$A$3:$A$24,0),1)*$B322*ef_li_ion_akku/1000/1000/INDEX(Työkonekanta!$K$3:$K$27,MATCH($A322,Työkonekanta!$A$3:$A$24,0)),0)</f>
        <v>0</v>
      </c>
      <c r="W322" s="149">
        <f t="shared" si="88"/>
        <v>0</v>
      </c>
      <c r="X322" s="150">
        <f t="shared" si="89"/>
        <v>0</v>
      </c>
      <c r="Y322" s="151">
        <f t="shared" si="90"/>
        <v>0</v>
      </c>
      <c r="Z322" s="152">
        <f t="shared" si="94"/>
        <v>0</v>
      </c>
      <c r="AA322" s="153">
        <f t="shared" si="95"/>
        <v>0</v>
      </c>
      <c r="AB322" s="153">
        <f t="shared" si="96"/>
        <v>0</v>
      </c>
      <c r="AC322" s="154">
        <f t="shared" si="91"/>
        <v>0</v>
      </c>
      <c r="AD322" s="156">
        <f t="shared" si="97"/>
        <v>0</v>
      </c>
    </row>
    <row r="323" spans="1:30" s="144" customFormat="1">
      <c r="A323" s="139">
        <v>21</v>
      </c>
      <c r="B323" s="139">
        <f>IFERROR(INDEX(Työkonekanta!$F$3:$F$27,MATCH('S0a Baseline'!$A323,Työkonekanta!$A$3:$A$24,0),1),0)</f>
        <v>35</v>
      </c>
      <c r="C323" s="140">
        <v>2029</v>
      </c>
      <c r="D323" s="141" t="str">
        <f>IFERROR(INDEX(Työkonekanta!$D$3:$D$27,MATCH('S0a Baseline'!$A323,Työkonekanta!$A$3:$A$24,0),1),"undefined")</f>
        <v>sähkö</v>
      </c>
      <c r="E323" s="145">
        <f>IFERROR(INDEX(Työkonekanta!$G$3:$G$27,MATCH($A323,Työkonekanta!$A$3:$A$24,0),1)*INDEX(Työkonekanta!$H$3:$H$27,MATCH($A323,Työkonekanta!$A$3:$A$24,0),1)*$B323,0)</f>
        <v>407199.07407407404</v>
      </c>
      <c r="F323" s="344">
        <f t="shared" ref="F323:F386" si="98">IF(D323="pom",$E323*hv_pom,0)</f>
        <v>0</v>
      </c>
      <c r="G323" s="344">
        <f t="shared" si="92"/>
        <v>0</v>
      </c>
      <c r="H323" s="344">
        <f t="shared" si="93"/>
        <v>0</v>
      </c>
      <c r="I323" s="145">
        <f t="shared" ref="I323:I386" si="99">$G323/hv_pom</f>
        <v>0</v>
      </c>
      <c r="J323" s="145">
        <f t="shared" ref="J323:J386" si="100">$H323/hv_biodies</f>
        <v>0</v>
      </c>
      <c r="K323" s="142" t="str">
        <f t="shared" si="80"/>
        <v>kWh</v>
      </c>
      <c r="L323" s="146">
        <f>IFERROR(INDEX(Työkonekanta!$I$3:$I$27,MATCH('S0a Baseline'!$A323,Työkonekanta!$A$3:$A$24,0),1)*(I323+J323)*f_adblue,0)</f>
        <v>0</v>
      </c>
      <c r="M323" s="146">
        <f t="shared" si="84"/>
        <v>1465916.6666666665</v>
      </c>
      <c r="N323" s="143" t="str">
        <f>IF(tuulisähkö_vuosi&lt;='S0a Baseline'!C323,"tuulisähkö",ostosähkö_nyt)</f>
        <v>jäännössähkö</v>
      </c>
      <c r="O323" s="147">
        <f>INDEX(Muuttujat!$J$5:$J$21,MATCH($C323,Muuttujat!$H$5:$H$21,0),1)</f>
        <v>62.625946521929137</v>
      </c>
      <c r="P323" s="342">
        <f>1-(INDEX(Muuttujat!$O$5:$O$21,MATCH($C323,Muuttujat!$N$5:$N$21,0),1))</f>
        <v>0.9</v>
      </c>
      <c r="Q323" s="342">
        <f>INDEX(Muuttujat!$O$5:$O$21,MATCH($C323,Muuttujat!$N$5:$N$21,0),1)</f>
        <v>0.1</v>
      </c>
      <c r="R323" s="148">
        <f>INDEX(Muuttujat!$P$5:$P$21,MATCH($C323,Muuttujat!$N$5:$N$21,0),1)</f>
        <v>0.10417875759940039</v>
      </c>
      <c r="S323" s="149">
        <f t="shared" ref="S323:S386" si="101">wtt_ef_e_co2_dies*$G323/1000/1000</f>
        <v>0</v>
      </c>
      <c r="T323" s="150">
        <f t="shared" ref="T323:T386" si="102">wtt_ef_e_co2_biodies*$H323/1000/1000</f>
        <v>0</v>
      </c>
      <c r="U323" s="150">
        <f t="shared" ref="U323:U386" si="103">IF(N323="jäännössähkö",$O323,IF(N323="tuulisähkö",wtt_ef_e_co2_el_wind,0))*$M323/1000/1000</f>
        <v>91.804418772271276</v>
      </c>
      <c r="V323" s="150">
        <f>IFERROR(INDEX(Työkonekanta!$J$3:$J$27,MATCH($A323,Työkonekanta!$A$3:$A$24,0),1)*$B323*ef_li_ion_akku/1000/1000/INDEX(Työkonekanta!$K$3:$K$27,MATCH($A323,Työkonekanta!$A$3:$A$24,0)),0)</f>
        <v>43.121723076923082</v>
      </c>
      <c r="W323" s="149">
        <f t="shared" ref="W323:W386" si="104">($I323*IF($D323="pom",ef_v_co2_pom,0))/1000/1000</f>
        <v>0</v>
      </c>
      <c r="X323" s="150">
        <f t="shared" si="89"/>
        <v>0</v>
      </c>
      <c r="Y323" s="151">
        <f t="shared" si="90"/>
        <v>0</v>
      </c>
      <c r="Z323" s="152">
        <f t="shared" si="94"/>
        <v>134.92614184919435</v>
      </c>
      <c r="AA323" s="153">
        <f t="shared" si="95"/>
        <v>0</v>
      </c>
      <c r="AB323" s="153">
        <f t="shared" si="96"/>
        <v>0</v>
      </c>
      <c r="AC323" s="154">
        <f t="shared" si="91"/>
        <v>134.92614184919435</v>
      </c>
      <c r="AD323" s="156">
        <f t="shared" si="97"/>
        <v>134.92614184919435</v>
      </c>
    </row>
    <row r="324" spans="1:30" s="144" customFormat="1">
      <c r="A324" s="139">
        <v>22</v>
      </c>
      <c r="B324" s="139">
        <f>IFERROR(INDEX(Työkonekanta!$F$3:$F$27,MATCH('S0a Baseline'!$A324,Työkonekanta!$A$3:$A$24,0),1),0)</f>
        <v>0</v>
      </c>
      <c r="C324" s="140">
        <v>2029</v>
      </c>
      <c r="D324" s="141" t="str">
        <f>IFERROR(INDEX(Työkonekanta!$D$3:$D$27,MATCH('S0a Baseline'!$A324,Työkonekanta!$A$3:$A$24,0),1),"undefined")</f>
        <v>sähkö</v>
      </c>
      <c r="E324" s="145">
        <f>IFERROR(INDEX(Työkonekanta!$G$3:$G$27,MATCH($A324,Työkonekanta!$A$3:$A$24,0),1)*INDEX(Työkonekanta!$H$3:$H$27,MATCH($A324,Työkonekanta!$A$3:$A$24,0),1)*$B324,0)</f>
        <v>0</v>
      </c>
      <c r="F324" s="344">
        <f t="shared" si="98"/>
        <v>0</v>
      </c>
      <c r="G324" s="344">
        <f t="shared" ref="G324:G387" si="105">$F324*$P324</f>
        <v>0</v>
      </c>
      <c r="H324" s="344">
        <f t="shared" ref="H324:H387" si="106">$F324*$Q324</f>
        <v>0</v>
      </c>
      <c r="I324" s="145">
        <f t="shared" si="99"/>
        <v>0</v>
      </c>
      <c r="J324" s="145">
        <f t="shared" si="100"/>
        <v>0</v>
      </c>
      <c r="K324" s="142" t="str">
        <f t="shared" si="80"/>
        <v>kWh</v>
      </c>
      <c r="L324" s="146">
        <f>IFERROR(INDEX(Työkonekanta!$I$3:$I$27,MATCH('S0a Baseline'!$A324,Työkonekanta!$A$3:$A$24,0),1)*(I324+J324)*f_adblue,0)</f>
        <v>0</v>
      </c>
      <c r="M324" s="146">
        <f t="shared" si="84"/>
        <v>0</v>
      </c>
      <c r="N324" s="143" t="str">
        <f>IF(tuulisähkö_vuosi&lt;='S0a Baseline'!C324,"tuulisähkö",ostosähkö_nyt)</f>
        <v>jäännössähkö</v>
      </c>
      <c r="O324" s="147">
        <f>INDEX(Muuttujat!$J$5:$J$21,MATCH($C324,Muuttujat!$H$5:$H$21,0),1)</f>
        <v>62.625946521929137</v>
      </c>
      <c r="P324" s="342">
        <f>1-(INDEX(Muuttujat!$O$5:$O$21,MATCH($C324,Muuttujat!$N$5:$N$21,0),1))</f>
        <v>0.9</v>
      </c>
      <c r="Q324" s="342">
        <f>INDEX(Muuttujat!$O$5:$O$21,MATCH($C324,Muuttujat!$N$5:$N$21,0),1)</f>
        <v>0.1</v>
      </c>
      <c r="R324" s="148">
        <f>INDEX(Muuttujat!$P$5:$P$21,MATCH($C324,Muuttujat!$N$5:$N$21,0),1)</f>
        <v>0.10417875759940039</v>
      </c>
      <c r="S324" s="149">
        <f t="shared" si="101"/>
        <v>0</v>
      </c>
      <c r="T324" s="150">
        <f t="shared" si="102"/>
        <v>0</v>
      </c>
      <c r="U324" s="150">
        <f t="shared" si="103"/>
        <v>0</v>
      </c>
      <c r="V324" s="150">
        <f>IFERROR(INDEX(Työkonekanta!$J$3:$J$27,MATCH($A324,Työkonekanta!$A$3:$A$24,0),1)*$B324*ef_li_ion_akku/1000/1000/INDEX(Työkonekanta!$K$3:$K$27,MATCH($A324,Työkonekanta!$A$3:$A$24,0)),0)</f>
        <v>0</v>
      </c>
      <c r="W324" s="149">
        <f t="shared" si="104"/>
        <v>0</v>
      </c>
      <c r="X324" s="150">
        <f t="shared" si="89"/>
        <v>0</v>
      </c>
      <c r="Y324" s="151">
        <f t="shared" si="90"/>
        <v>0</v>
      </c>
      <c r="Z324" s="152">
        <f t="shared" ref="Z324:Z387" si="107">SUM($S324:$V324)</f>
        <v>0</v>
      </c>
      <c r="AA324" s="153">
        <f t="shared" si="95"/>
        <v>0</v>
      </c>
      <c r="AB324" s="153">
        <f t="shared" si="96"/>
        <v>0</v>
      </c>
      <c r="AC324" s="154">
        <f t="shared" si="91"/>
        <v>0</v>
      </c>
      <c r="AD324" s="156">
        <f t="shared" si="97"/>
        <v>0</v>
      </c>
    </row>
    <row r="325" spans="1:30" s="144" customFormat="1">
      <c r="A325" s="139">
        <v>23</v>
      </c>
      <c r="B325" s="139">
        <f>IFERROR(INDEX(Työkonekanta!$F$3:$F$27,MATCH('S0a Baseline'!$A325,Työkonekanta!$A$3:$A$24,0),1),0)</f>
        <v>0</v>
      </c>
      <c r="C325" s="140">
        <v>2029</v>
      </c>
      <c r="D325" s="141" t="str">
        <f>IFERROR(INDEX(Työkonekanta!$D$3:$D$27,MATCH('S0a Baseline'!$A325,Työkonekanta!$A$3:$A$24,0),1),"undefined")</f>
        <v>undefined</v>
      </c>
      <c r="E325" s="145">
        <f>IFERROR(INDEX(Työkonekanta!$G$3:$G$27,MATCH($A325,Työkonekanta!$A$3:$A$24,0),1)*INDEX(Työkonekanta!$H$3:$H$27,MATCH($A325,Työkonekanta!$A$3:$A$24,0),1)*$B325,0)</f>
        <v>0</v>
      </c>
      <c r="F325" s="344">
        <f t="shared" si="98"/>
        <v>0</v>
      </c>
      <c r="G325" s="344">
        <f t="shared" si="105"/>
        <v>0</v>
      </c>
      <c r="H325" s="344">
        <f t="shared" si="106"/>
        <v>0</v>
      </c>
      <c r="I325" s="145">
        <f t="shared" si="99"/>
        <v>0</v>
      </c>
      <c r="J325" s="145">
        <f t="shared" si="100"/>
        <v>0</v>
      </c>
      <c r="K325" s="142" t="str">
        <f t="shared" si="80"/>
        <v>undefined</v>
      </c>
      <c r="L325" s="146">
        <f>IFERROR(INDEX(Työkonekanta!$I$3:$I$27,MATCH('S0a Baseline'!$A325,Työkonekanta!$A$3:$A$24,0),1)*(I325+J325)*f_adblue,0)</f>
        <v>0</v>
      </c>
      <c r="M325" s="146">
        <f t="shared" si="84"/>
        <v>0</v>
      </c>
      <c r="N325" s="143" t="str">
        <f>IF(tuulisähkö_vuosi&lt;='S0a Baseline'!C325,"tuulisähkö",ostosähkö_nyt)</f>
        <v>jäännössähkö</v>
      </c>
      <c r="O325" s="147">
        <f>INDEX(Muuttujat!$J$5:$J$21,MATCH($C325,Muuttujat!$H$5:$H$21,0),1)</f>
        <v>62.625946521929137</v>
      </c>
      <c r="P325" s="342">
        <f>1-(INDEX(Muuttujat!$O$5:$O$21,MATCH($C325,Muuttujat!$N$5:$N$21,0),1))</f>
        <v>0.9</v>
      </c>
      <c r="Q325" s="342">
        <f>INDEX(Muuttujat!$O$5:$O$21,MATCH($C325,Muuttujat!$N$5:$N$21,0),1)</f>
        <v>0.1</v>
      </c>
      <c r="R325" s="148">
        <f>INDEX(Muuttujat!$P$5:$P$21,MATCH($C325,Muuttujat!$N$5:$N$21,0),1)</f>
        <v>0.10417875759940039</v>
      </c>
      <c r="S325" s="149">
        <f t="shared" si="101"/>
        <v>0</v>
      </c>
      <c r="T325" s="150">
        <f t="shared" si="102"/>
        <v>0</v>
      </c>
      <c r="U325" s="150">
        <f t="shared" si="103"/>
        <v>0</v>
      </c>
      <c r="V325" s="150">
        <f>IFERROR(INDEX(Työkonekanta!$J$3:$J$27,MATCH($A325,Työkonekanta!$A$3:$A$24,0),1)*$B325*ef_li_ion_akku/1000/1000/INDEX(Työkonekanta!$K$3:$K$27,MATCH($A325,Työkonekanta!$A$3:$A$24,0)),0)</f>
        <v>0</v>
      </c>
      <c r="W325" s="149">
        <f t="shared" si="104"/>
        <v>0</v>
      </c>
      <c r="X325" s="150">
        <f t="shared" si="89"/>
        <v>0</v>
      </c>
      <c r="Y325" s="151">
        <f t="shared" si="90"/>
        <v>0</v>
      </c>
      <c r="Z325" s="152">
        <f t="shared" si="107"/>
        <v>0</v>
      </c>
      <c r="AA325" s="153">
        <f t="shared" si="95"/>
        <v>0</v>
      </c>
      <c r="AB325" s="153">
        <f t="shared" si="96"/>
        <v>0</v>
      </c>
      <c r="AC325" s="154">
        <f t="shared" si="91"/>
        <v>0</v>
      </c>
      <c r="AD325" s="156">
        <f t="shared" si="97"/>
        <v>0</v>
      </c>
    </row>
    <row r="326" spans="1:30" s="144" customFormat="1">
      <c r="A326" s="139">
        <v>24</v>
      </c>
      <c r="B326" s="139">
        <f>IFERROR(INDEX(Työkonekanta!$F$3:$F$27,MATCH('S0a Baseline'!$A326,Työkonekanta!$A$3:$A$24,0),1),0)</f>
        <v>0</v>
      </c>
      <c r="C326" s="140">
        <v>2029</v>
      </c>
      <c r="D326" s="141" t="str">
        <f>IFERROR(INDEX(Työkonekanta!$D$3:$D$27,MATCH('S0a Baseline'!$A326,Työkonekanta!$A$3:$A$24,0),1),"undefined")</f>
        <v>undefined</v>
      </c>
      <c r="E326" s="145">
        <f>IFERROR(INDEX(Työkonekanta!$G$3:$G$27,MATCH($A326,Työkonekanta!$A$3:$A$24,0),1)*INDEX(Työkonekanta!$H$3:$H$27,MATCH($A326,Työkonekanta!$A$3:$A$24,0),1)*$B326,0)</f>
        <v>0</v>
      </c>
      <c r="F326" s="344">
        <f t="shared" si="98"/>
        <v>0</v>
      </c>
      <c r="G326" s="344">
        <f t="shared" si="105"/>
        <v>0</v>
      </c>
      <c r="H326" s="344">
        <f t="shared" si="106"/>
        <v>0</v>
      </c>
      <c r="I326" s="145">
        <f t="shared" si="99"/>
        <v>0</v>
      </c>
      <c r="J326" s="145">
        <f t="shared" si="100"/>
        <v>0</v>
      </c>
      <c r="K326" s="142" t="str">
        <f t="shared" si="80"/>
        <v>undefined</v>
      </c>
      <c r="L326" s="146">
        <f>IFERROR(INDEX(Työkonekanta!$I$3:$I$27,MATCH('S0a Baseline'!$A326,Työkonekanta!$A$3:$A$24,0),1)*(I326+J326)*f_adblue,0)</f>
        <v>0</v>
      </c>
      <c r="M326" s="146">
        <f t="shared" si="84"/>
        <v>0</v>
      </c>
      <c r="N326" s="143" t="str">
        <f>IF(tuulisähkö_vuosi&lt;='S0a Baseline'!C326,"tuulisähkö",ostosähkö_nyt)</f>
        <v>jäännössähkö</v>
      </c>
      <c r="O326" s="147">
        <f>INDEX(Muuttujat!$J$5:$J$21,MATCH($C326,Muuttujat!$H$5:$H$21,0),1)</f>
        <v>62.625946521929137</v>
      </c>
      <c r="P326" s="342">
        <f>1-(INDEX(Muuttujat!$O$5:$O$21,MATCH($C326,Muuttujat!$N$5:$N$21,0),1))</f>
        <v>0.9</v>
      </c>
      <c r="Q326" s="342">
        <f>INDEX(Muuttujat!$O$5:$O$21,MATCH($C326,Muuttujat!$N$5:$N$21,0),1)</f>
        <v>0.1</v>
      </c>
      <c r="R326" s="148">
        <f>INDEX(Muuttujat!$P$5:$P$21,MATCH($C326,Muuttujat!$N$5:$N$21,0),1)</f>
        <v>0.10417875759940039</v>
      </c>
      <c r="S326" s="149">
        <f t="shared" si="101"/>
        <v>0</v>
      </c>
      <c r="T326" s="150">
        <f t="shared" si="102"/>
        <v>0</v>
      </c>
      <c r="U326" s="150">
        <f t="shared" si="103"/>
        <v>0</v>
      </c>
      <c r="V326" s="150">
        <f>IFERROR(INDEX(Työkonekanta!$J$3:$J$27,MATCH($A326,Työkonekanta!$A$3:$A$24,0),1)*$B326*ef_li_ion_akku/1000/1000/INDEX(Työkonekanta!$K$3:$K$27,MATCH($A326,Työkonekanta!$A$3:$A$24,0)),0)</f>
        <v>0</v>
      </c>
      <c r="W326" s="149">
        <f t="shared" si="104"/>
        <v>0</v>
      </c>
      <c r="X326" s="150">
        <f t="shared" si="89"/>
        <v>0</v>
      </c>
      <c r="Y326" s="151">
        <f t="shared" si="90"/>
        <v>0</v>
      </c>
      <c r="Z326" s="152">
        <f t="shared" si="107"/>
        <v>0</v>
      </c>
      <c r="AA326" s="153">
        <f t="shared" si="95"/>
        <v>0</v>
      </c>
      <c r="AB326" s="153">
        <f t="shared" si="96"/>
        <v>0</v>
      </c>
      <c r="AC326" s="154">
        <f t="shared" si="91"/>
        <v>0</v>
      </c>
      <c r="AD326" s="156">
        <f t="shared" si="97"/>
        <v>0</v>
      </c>
    </row>
    <row r="327" spans="1:30" s="144" customFormat="1">
      <c r="A327" s="139">
        <v>25</v>
      </c>
      <c r="B327" s="139">
        <f>IFERROR(INDEX(Työkonekanta!$F$3:$F$27,MATCH('S0a Baseline'!$A327,Työkonekanta!$A$3:$A$24,0),1),0)</f>
        <v>0</v>
      </c>
      <c r="C327" s="140">
        <v>2029</v>
      </c>
      <c r="D327" s="141" t="str">
        <f>IFERROR(INDEX(Työkonekanta!$D$3:$D$27,MATCH('S0a Baseline'!$A327,Työkonekanta!$A$3:$A$24,0),1),"undefined")</f>
        <v>undefined</v>
      </c>
      <c r="E327" s="145">
        <f>IFERROR(INDEX(Työkonekanta!$G$3:$G$27,MATCH($A327,Työkonekanta!$A$3:$A$24,0),1)*INDEX(Työkonekanta!$H$3:$H$27,MATCH($A327,Työkonekanta!$A$3:$A$24,0),1)*$B327,0)</f>
        <v>0</v>
      </c>
      <c r="F327" s="344">
        <f t="shared" si="98"/>
        <v>0</v>
      </c>
      <c r="G327" s="344">
        <f t="shared" si="105"/>
        <v>0</v>
      </c>
      <c r="H327" s="344">
        <f t="shared" si="106"/>
        <v>0</v>
      </c>
      <c r="I327" s="145">
        <f t="shared" si="99"/>
        <v>0</v>
      </c>
      <c r="J327" s="145">
        <f t="shared" si="100"/>
        <v>0</v>
      </c>
      <c r="K327" s="142" t="str">
        <f t="shared" si="80"/>
        <v>undefined</v>
      </c>
      <c r="L327" s="146">
        <f>IFERROR(INDEX(Työkonekanta!$I$3:$I$27,MATCH('S0a Baseline'!$A327,Työkonekanta!$A$3:$A$24,0),1)*(I327+J327)*f_adblue,0)</f>
        <v>0</v>
      </c>
      <c r="M327" s="146">
        <f t="shared" si="84"/>
        <v>0</v>
      </c>
      <c r="N327" s="143" t="str">
        <f>IF(tuulisähkö_vuosi&lt;='S0a Baseline'!C327,"tuulisähkö",ostosähkö_nyt)</f>
        <v>jäännössähkö</v>
      </c>
      <c r="O327" s="147">
        <f>INDEX(Muuttujat!$J$5:$J$21,MATCH($C327,Muuttujat!$H$5:$H$21,0),1)</f>
        <v>62.625946521929137</v>
      </c>
      <c r="P327" s="342">
        <f>1-(INDEX(Muuttujat!$O$5:$O$21,MATCH($C327,Muuttujat!$N$5:$N$21,0),1))</f>
        <v>0.9</v>
      </c>
      <c r="Q327" s="342">
        <f>INDEX(Muuttujat!$O$5:$O$21,MATCH($C327,Muuttujat!$N$5:$N$21,0),1)</f>
        <v>0.1</v>
      </c>
      <c r="R327" s="148">
        <f>INDEX(Muuttujat!$P$5:$P$21,MATCH($C327,Muuttujat!$N$5:$N$21,0),1)</f>
        <v>0.10417875759940039</v>
      </c>
      <c r="S327" s="149">
        <f t="shared" si="101"/>
        <v>0</v>
      </c>
      <c r="T327" s="150">
        <f t="shared" si="102"/>
        <v>0</v>
      </c>
      <c r="U327" s="150">
        <f t="shared" si="103"/>
        <v>0</v>
      </c>
      <c r="V327" s="150">
        <f>IFERROR(INDEX(Työkonekanta!$J$3:$J$27,MATCH($A327,Työkonekanta!$A$3:$A$24,0),1)*$B327*ef_li_ion_akku/1000/1000/INDEX(Työkonekanta!$K$3:$K$27,MATCH($A327,Työkonekanta!$A$3:$A$24,0)),0)</f>
        <v>0</v>
      </c>
      <c r="W327" s="149">
        <f t="shared" si="104"/>
        <v>0</v>
      </c>
      <c r="X327" s="150">
        <f t="shared" si="89"/>
        <v>0</v>
      </c>
      <c r="Y327" s="151">
        <f t="shared" si="90"/>
        <v>0</v>
      </c>
      <c r="Z327" s="152">
        <f t="shared" si="107"/>
        <v>0</v>
      </c>
      <c r="AA327" s="153">
        <f t="shared" si="95"/>
        <v>0</v>
      </c>
      <c r="AB327" s="153">
        <f t="shared" si="96"/>
        <v>0</v>
      </c>
      <c r="AC327" s="154">
        <f t="shared" si="91"/>
        <v>0</v>
      </c>
      <c r="AD327" s="156">
        <f t="shared" si="97"/>
        <v>0</v>
      </c>
    </row>
    <row r="328" spans="1:30" s="144" customFormat="1">
      <c r="A328" s="139">
        <v>26</v>
      </c>
      <c r="B328" s="139">
        <f>IFERROR(INDEX(Työkonekanta!$F$3:$F$27,MATCH('S0a Baseline'!$A328,Työkonekanta!$A$3:$A$24,0),1),0)</f>
        <v>0</v>
      </c>
      <c r="C328" s="140">
        <v>2029</v>
      </c>
      <c r="D328" s="141" t="str">
        <f>IFERROR(INDEX(Työkonekanta!$D$3:$D$27,MATCH('S0a Baseline'!$A328,Työkonekanta!$A$3:$A$24,0),1),"undefined")</f>
        <v>undefined</v>
      </c>
      <c r="E328" s="145">
        <f>IFERROR(INDEX(Työkonekanta!$G$3:$G$27,MATCH($A328,Työkonekanta!$A$3:$A$24,0),1)*INDEX(Työkonekanta!$H$3:$H$27,MATCH($A328,Työkonekanta!$A$3:$A$24,0),1)*$B328,0)</f>
        <v>0</v>
      </c>
      <c r="F328" s="344">
        <f t="shared" si="98"/>
        <v>0</v>
      </c>
      <c r="G328" s="344">
        <f t="shared" si="105"/>
        <v>0</v>
      </c>
      <c r="H328" s="344">
        <f t="shared" si="106"/>
        <v>0</v>
      </c>
      <c r="I328" s="145">
        <f t="shared" si="99"/>
        <v>0</v>
      </c>
      <c r="J328" s="145">
        <f t="shared" si="100"/>
        <v>0</v>
      </c>
      <c r="K328" s="142" t="str">
        <f t="shared" si="80"/>
        <v>undefined</v>
      </c>
      <c r="L328" s="146">
        <f>IFERROR(INDEX(Työkonekanta!$I$3:$I$27,MATCH('S0a Baseline'!$A328,Työkonekanta!$A$3:$A$24,0),1)*(I328+J328)*f_adblue,0)</f>
        <v>0</v>
      </c>
      <c r="M328" s="146">
        <f t="shared" si="84"/>
        <v>0</v>
      </c>
      <c r="N328" s="143" t="str">
        <f>IF(tuulisähkö_vuosi&lt;='S0a Baseline'!C328,"tuulisähkö",ostosähkö_nyt)</f>
        <v>jäännössähkö</v>
      </c>
      <c r="O328" s="147">
        <f>INDEX(Muuttujat!$J$5:$J$21,MATCH($C328,Muuttujat!$H$5:$H$21,0),1)</f>
        <v>62.625946521929137</v>
      </c>
      <c r="P328" s="342">
        <f>1-(INDEX(Muuttujat!$O$5:$O$21,MATCH($C328,Muuttujat!$N$5:$N$21,0),1))</f>
        <v>0.9</v>
      </c>
      <c r="Q328" s="342">
        <f>INDEX(Muuttujat!$O$5:$O$21,MATCH($C328,Muuttujat!$N$5:$N$21,0),1)</f>
        <v>0.1</v>
      </c>
      <c r="R328" s="148">
        <f>INDEX(Muuttujat!$P$5:$P$21,MATCH($C328,Muuttujat!$N$5:$N$21,0),1)</f>
        <v>0.10417875759940039</v>
      </c>
      <c r="S328" s="149">
        <f t="shared" si="101"/>
        <v>0</v>
      </c>
      <c r="T328" s="150">
        <f t="shared" si="102"/>
        <v>0</v>
      </c>
      <c r="U328" s="150">
        <f t="shared" si="103"/>
        <v>0</v>
      </c>
      <c r="V328" s="150">
        <f>IFERROR(INDEX(Työkonekanta!$J$3:$J$27,MATCH($A328,Työkonekanta!$A$3:$A$24,0),1)*$B328*ef_li_ion_akku/1000/1000/INDEX(Työkonekanta!$K$3:$K$27,MATCH($A328,Työkonekanta!$A$3:$A$24,0)),0)</f>
        <v>0</v>
      </c>
      <c r="W328" s="149">
        <f t="shared" si="104"/>
        <v>0</v>
      </c>
      <c r="X328" s="150">
        <f t="shared" si="89"/>
        <v>0</v>
      </c>
      <c r="Y328" s="151">
        <f t="shared" si="90"/>
        <v>0</v>
      </c>
      <c r="Z328" s="152">
        <f t="shared" si="107"/>
        <v>0</v>
      </c>
      <c r="AA328" s="153">
        <f t="shared" si="95"/>
        <v>0</v>
      </c>
      <c r="AB328" s="153">
        <f t="shared" si="96"/>
        <v>0</v>
      </c>
      <c r="AC328" s="154">
        <f t="shared" si="91"/>
        <v>0</v>
      </c>
      <c r="AD328" s="156">
        <f t="shared" si="97"/>
        <v>0</v>
      </c>
    </row>
    <row r="329" spans="1:30" s="144" customFormat="1">
      <c r="A329" s="139">
        <v>27</v>
      </c>
      <c r="B329" s="139">
        <f>IFERROR(INDEX(Työkonekanta!$F$3:$F$27,MATCH('S0a Baseline'!$A329,Työkonekanta!$A$3:$A$24,0),1),0)</f>
        <v>0</v>
      </c>
      <c r="C329" s="140">
        <v>2029</v>
      </c>
      <c r="D329" s="141" t="str">
        <f>IFERROR(INDEX(Työkonekanta!$D$3:$D$27,MATCH('S0a Baseline'!$A329,Työkonekanta!$A$3:$A$24,0),1),"undefined")</f>
        <v>undefined</v>
      </c>
      <c r="E329" s="145">
        <f>IFERROR(INDEX(Työkonekanta!$G$3:$G$27,MATCH($A329,Työkonekanta!$A$3:$A$24,0),1)*INDEX(Työkonekanta!$H$3:$H$27,MATCH($A329,Työkonekanta!$A$3:$A$24,0),1)*$B329,0)</f>
        <v>0</v>
      </c>
      <c r="F329" s="344">
        <f t="shared" si="98"/>
        <v>0</v>
      </c>
      <c r="G329" s="344">
        <f t="shared" si="105"/>
        <v>0</v>
      </c>
      <c r="H329" s="344">
        <f t="shared" si="106"/>
        <v>0</v>
      </c>
      <c r="I329" s="145">
        <f t="shared" si="99"/>
        <v>0</v>
      </c>
      <c r="J329" s="145">
        <f t="shared" si="100"/>
        <v>0</v>
      </c>
      <c r="K329" s="142" t="str">
        <f t="shared" si="80"/>
        <v>undefined</v>
      </c>
      <c r="L329" s="146">
        <f>IFERROR(INDEX(Työkonekanta!$I$3:$I$27,MATCH('S0a Baseline'!$A329,Työkonekanta!$A$3:$A$24,0),1)*(I329+J329)*f_adblue,0)</f>
        <v>0</v>
      </c>
      <c r="M329" s="146">
        <f t="shared" si="84"/>
        <v>0</v>
      </c>
      <c r="N329" s="143" t="str">
        <f>IF(tuulisähkö_vuosi&lt;='S0a Baseline'!C329,"tuulisähkö",ostosähkö_nyt)</f>
        <v>jäännössähkö</v>
      </c>
      <c r="O329" s="147">
        <f>INDEX(Muuttujat!$J$5:$J$21,MATCH($C329,Muuttujat!$H$5:$H$21,0),1)</f>
        <v>62.625946521929137</v>
      </c>
      <c r="P329" s="342">
        <f>1-(INDEX(Muuttujat!$O$5:$O$21,MATCH($C329,Muuttujat!$N$5:$N$21,0),1))</f>
        <v>0.9</v>
      </c>
      <c r="Q329" s="342">
        <f>INDEX(Muuttujat!$O$5:$O$21,MATCH($C329,Muuttujat!$N$5:$N$21,0),1)</f>
        <v>0.1</v>
      </c>
      <c r="R329" s="148">
        <f>INDEX(Muuttujat!$P$5:$P$21,MATCH($C329,Muuttujat!$N$5:$N$21,0),1)</f>
        <v>0.10417875759940039</v>
      </c>
      <c r="S329" s="149">
        <f t="shared" si="101"/>
        <v>0</v>
      </c>
      <c r="T329" s="150">
        <f t="shared" si="102"/>
        <v>0</v>
      </c>
      <c r="U329" s="150">
        <f t="shared" si="103"/>
        <v>0</v>
      </c>
      <c r="V329" s="150">
        <f>IFERROR(INDEX(Työkonekanta!$J$3:$J$27,MATCH($A329,Työkonekanta!$A$3:$A$24,0),1)*$B329*ef_li_ion_akku/1000/1000/INDEX(Työkonekanta!$K$3:$K$27,MATCH($A329,Työkonekanta!$A$3:$A$24,0)),0)</f>
        <v>0</v>
      </c>
      <c r="W329" s="149">
        <f t="shared" si="104"/>
        <v>0</v>
      </c>
      <c r="X329" s="150">
        <f t="shared" si="89"/>
        <v>0</v>
      </c>
      <c r="Y329" s="151">
        <f t="shared" si="90"/>
        <v>0</v>
      </c>
      <c r="Z329" s="152">
        <f t="shared" si="107"/>
        <v>0</v>
      </c>
      <c r="AA329" s="153">
        <f t="shared" si="95"/>
        <v>0</v>
      </c>
      <c r="AB329" s="153">
        <f t="shared" si="96"/>
        <v>0</v>
      </c>
      <c r="AC329" s="154">
        <f t="shared" si="91"/>
        <v>0</v>
      </c>
      <c r="AD329" s="156">
        <f t="shared" si="97"/>
        <v>0</v>
      </c>
    </row>
    <row r="330" spans="1:30" s="144" customFormat="1">
      <c r="A330" s="139">
        <v>28</v>
      </c>
      <c r="B330" s="139">
        <f>IFERROR(INDEX(Työkonekanta!$F$3:$F$27,MATCH('S0a Baseline'!$A330,Työkonekanta!$A$3:$A$24,0),1),0)</f>
        <v>0</v>
      </c>
      <c r="C330" s="140">
        <v>2029</v>
      </c>
      <c r="D330" s="141" t="str">
        <f>IFERROR(INDEX(Työkonekanta!$D$3:$D$27,MATCH('S0a Baseline'!$A330,Työkonekanta!$A$3:$A$24,0),1),"undefined")</f>
        <v>undefined</v>
      </c>
      <c r="E330" s="145">
        <f>IFERROR(INDEX(Työkonekanta!$G$3:$G$27,MATCH($A330,Työkonekanta!$A$3:$A$24,0),1)*INDEX(Työkonekanta!$H$3:$H$27,MATCH($A330,Työkonekanta!$A$3:$A$24,0),1)*$B330,0)</f>
        <v>0</v>
      </c>
      <c r="F330" s="344">
        <f t="shared" si="98"/>
        <v>0</v>
      </c>
      <c r="G330" s="344">
        <f t="shared" si="105"/>
        <v>0</v>
      </c>
      <c r="H330" s="344">
        <f t="shared" si="106"/>
        <v>0</v>
      </c>
      <c r="I330" s="145">
        <f t="shared" si="99"/>
        <v>0</v>
      </c>
      <c r="J330" s="145">
        <f t="shared" si="100"/>
        <v>0</v>
      </c>
      <c r="K330" s="142" t="str">
        <f t="shared" si="80"/>
        <v>undefined</v>
      </c>
      <c r="L330" s="146">
        <f>IFERROR(INDEX(Työkonekanta!$I$3:$I$27,MATCH('S0a Baseline'!$A330,Työkonekanta!$A$3:$A$24,0),1)*(I330+J330)*f_adblue,0)</f>
        <v>0</v>
      </c>
      <c r="M330" s="146">
        <f t="shared" si="84"/>
        <v>0</v>
      </c>
      <c r="N330" s="143" t="str">
        <f>IF(tuulisähkö_vuosi&lt;='S0a Baseline'!C330,"tuulisähkö",ostosähkö_nyt)</f>
        <v>jäännössähkö</v>
      </c>
      <c r="O330" s="147">
        <f>INDEX(Muuttujat!$J$5:$J$21,MATCH($C330,Muuttujat!$H$5:$H$21,0),1)</f>
        <v>62.625946521929137</v>
      </c>
      <c r="P330" s="342">
        <f>1-(INDEX(Muuttujat!$O$5:$O$21,MATCH($C330,Muuttujat!$N$5:$N$21,0),1))</f>
        <v>0.9</v>
      </c>
      <c r="Q330" s="342">
        <f>INDEX(Muuttujat!$O$5:$O$21,MATCH($C330,Muuttujat!$N$5:$N$21,0),1)</f>
        <v>0.1</v>
      </c>
      <c r="R330" s="148">
        <f>INDEX(Muuttujat!$P$5:$P$21,MATCH($C330,Muuttujat!$N$5:$N$21,0),1)</f>
        <v>0.10417875759940039</v>
      </c>
      <c r="S330" s="149">
        <f t="shared" si="101"/>
        <v>0</v>
      </c>
      <c r="T330" s="150">
        <f t="shared" si="102"/>
        <v>0</v>
      </c>
      <c r="U330" s="150">
        <f t="shared" si="103"/>
        <v>0</v>
      </c>
      <c r="V330" s="150">
        <f>IFERROR(INDEX(Työkonekanta!$J$3:$J$27,MATCH($A330,Työkonekanta!$A$3:$A$24,0),1)*$B330*ef_li_ion_akku/1000/1000/INDEX(Työkonekanta!$K$3:$K$27,MATCH($A330,Työkonekanta!$A$3:$A$24,0)),0)</f>
        <v>0</v>
      </c>
      <c r="W330" s="149">
        <f t="shared" si="104"/>
        <v>0</v>
      </c>
      <c r="X330" s="150">
        <f t="shared" si="89"/>
        <v>0</v>
      </c>
      <c r="Y330" s="151">
        <f t="shared" si="90"/>
        <v>0</v>
      </c>
      <c r="Z330" s="152">
        <f t="shared" si="107"/>
        <v>0</v>
      </c>
      <c r="AA330" s="153">
        <f t="shared" si="95"/>
        <v>0</v>
      </c>
      <c r="AB330" s="153">
        <f t="shared" si="96"/>
        <v>0</v>
      </c>
      <c r="AC330" s="154">
        <f t="shared" si="91"/>
        <v>0</v>
      </c>
      <c r="AD330" s="156">
        <f t="shared" si="97"/>
        <v>0</v>
      </c>
    </row>
    <row r="331" spans="1:30" s="144" customFormat="1">
      <c r="A331" s="139">
        <v>29</v>
      </c>
      <c r="B331" s="139">
        <f>IFERROR(INDEX(Työkonekanta!$F$3:$F$27,MATCH('S0a Baseline'!$A331,Työkonekanta!$A$3:$A$24,0),1),0)</f>
        <v>0</v>
      </c>
      <c r="C331" s="140">
        <v>2029</v>
      </c>
      <c r="D331" s="141" t="str">
        <f>IFERROR(INDEX(Työkonekanta!$D$3:$D$27,MATCH('S0a Baseline'!$A331,Työkonekanta!$A$3:$A$24,0),1),"undefined")</f>
        <v>undefined</v>
      </c>
      <c r="E331" s="145">
        <f>IFERROR(INDEX(Työkonekanta!$G$3:$G$27,MATCH($A331,Työkonekanta!$A$3:$A$24,0),1)*INDEX(Työkonekanta!$H$3:$H$27,MATCH($A331,Työkonekanta!$A$3:$A$24,0),1)*$B331,0)</f>
        <v>0</v>
      </c>
      <c r="F331" s="344">
        <f t="shared" si="98"/>
        <v>0</v>
      </c>
      <c r="G331" s="344">
        <f t="shared" si="105"/>
        <v>0</v>
      </c>
      <c r="H331" s="344">
        <f t="shared" si="106"/>
        <v>0</v>
      </c>
      <c r="I331" s="145">
        <f t="shared" si="99"/>
        <v>0</v>
      </c>
      <c r="J331" s="145">
        <f t="shared" si="100"/>
        <v>0</v>
      </c>
      <c r="K331" s="142" t="str">
        <f t="shared" si="80"/>
        <v>undefined</v>
      </c>
      <c r="L331" s="146">
        <f>IFERROR(INDEX(Työkonekanta!$I$3:$I$27,MATCH('S0a Baseline'!$A331,Työkonekanta!$A$3:$A$24,0),1)*(I331+J331)*f_adblue,0)</f>
        <v>0</v>
      </c>
      <c r="M331" s="146">
        <f t="shared" si="84"/>
        <v>0</v>
      </c>
      <c r="N331" s="143" t="str">
        <f>IF(tuulisähkö_vuosi&lt;='S0a Baseline'!C331,"tuulisähkö",ostosähkö_nyt)</f>
        <v>jäännössähkö</v>
      </c>
      <c r="O331" s="147">
        <f>INDEX(Muuttujat!$J$5:$J$21,MATCH($C331,Muuttujat!$H$5:$H$21,0),1)</f>
        <v>62.625946521929137</v>
      </c>
      <c r="P331" s="342">
        <f>1-(INDEX(Muuttujat!$O$5:$O$21,MATCH($C331,Muuttujat!$N$5:$N$21,0),1))</f>
        <v>0.9</v>
      </c>
      <c r="Q331" s="342">
        <f>INDEX(Muuttujat!$O$5:$O$21,MATCH($C331,Muuttujat!$N$5:$N$21,0),1)</f>
        <v>0.1</v>
      </c>
      <c r="R331" s="148">
        <f>INDEX(Muuttujat!$P$5:$P$21,MATCH($C331,Muuttujat!$N$5:$N$21,0),1)</f>
        <v>0.10417875759940039</v>
      </c>
      <c r="S331" s="149">
        <f t="shared" si="101"/>
        <v>0</v>
      </c>
      <c r="T331" s="150">
        <f t="shared" si="102"/>
        <v>0</v>
      </c>
      <c r="U331" s="150">
        <f t="shared" si="103"/>
        <v>0</v>
      </c>
      <c r="V331" s="150">
        <f>IFERROR(INDEX(Työkonekanta!$J$3:$J$27,MATCH($A331,Työkonekanta!$A$3:$A$24,0),1)*$B331*ef_li_ion_akku/1000/1000/INDEX(Työkonekanta!$K$3:$K$27,MATCH($A331,Työkonekanta!$A$3:$A$24,0)),0)</f>
        <v>0</v>
      </c>
      <c r="W331" s="149">
        <f t="shared" si="104"/>
        <v>0</v>
      </c>
      <c r="X331" s="150">
        <f t="shared" si="89"/>
        <v>0</v>
      </c>
      <c r="Y331" s="151">
        <f t="shared" si="90"/>
        <v>0</v>
      </c>
      <c r="Z331" s="152">
        <f t="shared" si="107"/>
        <v>0</v>
      </c>
      <c r="AA331" s="153">
        <f t="shared" si="95"/>
        <v>0</v>
      </c>
      <c r="AB331" s="153">
        <f t="shared" si="96"/>
        <v>0</v>
      </c>
      <c r="AC331" s="154">
        <f t="shared" si="91"/>
        <v>0</v>
      </c>
      <c r="AD331" s="156">
        <f t="shared" si="97"/>
        <v>0</v>
      </c>
    </row>
    <row r="332" spans="1:30" s="144" customFormat="1">
      <c r="A332" s="139">
        <v>30</v>
      </c>
      <c r="B332" s="139">
        <f>IFERROR(INDEX(Työkonekanta!$F$3:$F$27,MATCH('S0a Baseline'!$A332,Työkonekanta!$A$3:$A$24,0),1),0)</f>
        <v>0</v>
      </c>
      <c r="C332" s="140">
        <v>2029</v>
      </c>
      <c r="D332" s="141" t="str">
        <f>IFERROR(INDEX(Työkonekanta!$D$3:$D$27,MATCH('S0a Baseline'!$A332,Työkonekanta!$A$3:$A$24,0),1),"undefined")</f>
        <v>undefined</v>
      </c>
      <c r="E332" s="145">
        <f>IFERROR(INDEX(Työkonekanta!$G$3:$G$27,MATCH($A332,Työkonekanta!$A$3:$A$24,0),1)*INDEX(Työkonekanta!$H$3:$H$27,MATCH($A332,Työkonekanta!$A$3:$A$24,0),1)*$B332,0)</f>
        <v>0</v>
      </c>
      <c r="F332" s="344">
        <f t="shared" si="98"/>
        <v>0</v>
      </c>
      <c r="G332" s="344">
        <f t="shared" si="105"/>
        <v>0</v>
      </c>
      <c r="H332" s="344">
        <f t="shared" si="106"/>
        <v>0</v>
      </c>
      <c r="I332" s="145">
        <f t="shared" si="99"/>
        <v>0</v>
      </c>
      <c r="J332" s="145">
        <f t="shared" si="100"/>
        <v>0</v>
      </c>
      <c r="K332" s="142" t="str">
        <f t="shared" si="80"/>
        <v>undefined</v>
      </c>
      <c r="L332" s="146">
        <f>IFERROR(INDEX(Työkonekanta!$I$3:$I$27,MATCH('S0a Baseline'!$A332,Työkonekanta!$A$3:$A$24,0),1)*(I332+J332)*f_adblue,0)</f>
        <v>0</v>
      </c>
      <c r="M332" s="146">
        <f t="shared" si="84"/>
        <v>0</v>
      </c>
      <c r="N332" s="143" t="str">
        <f>IF(tuulisähkö_vuosi&lt;='S0a Baseline'!C332,"tuulisähkö",ostosähkö_nyt)</f>
        <v>jäännössähkö</v>
      </c>
      <c r="O332" s="147">
        <f>INDEX(Muuttujat!$J$5:$J$21,MATCH($C332,Muuttujat!$H$5:$H$21,0),1)</f>
        <v>62.625946521929137</v>
      </c>
      <c r="P332" s="342">
        <f>1-(INDEX(Muuttujat!$O$5:$O$21,MATCH($C332,Muuttujat!$N$5:$N$21,0),1))</f>
        <v>0.9</v>
      </c>
      <c r="Q332" s="342">
        <f>INDEX(Muuttujat!$O$5:$O$21,MATCH($C332,Muuttujat!$N$5:$N$21,0),1)</f>
        <v>0.1</v>
      </c>
      <c r="R332" s="148">
        <f>INDEX(Muuttujat!$P$5:$P$21,MATCH($C332,Muuttujat!$N$5:$N$21,0),1)</f>
        <v>0.10417875759940039</v>
      </c>
      <c r="S332" s="149">
        <f t="shared" si="101"/>
        <v>0</v>
      </c>
      <c r="T332" s="150">
        <f t="shared" si="102"/>
        <v>0</v>
      </c>
      <c r="U332" s="150">
        <f t="shared" si="103"/>
        <v>0</v>
      </c>
      <c r="V332" s="150">
        <f>IFERROR(INDEX(Työkonekanta!$J$3:$J$27,MATCH($A332,Työkonekanta!$A$3:$A$24,0),1)*$B332*ef_li_ion_akku/1000/1000/INDEX(Työkonekanta!$K$3:$K$27,MATCH($A332,Työkonekanta!$A$3:$A$24,0)),0)</f>
        <v>0</v>
      </c>
      <c r="W332" s="149">
        <f t="shared" si="104"/>
        <v>0</v>
      </c>
      <c r="X332" s="150">
        <f t="shared" si="89"/>
        <v>0</v>
      </c>
      <c r="Y332" s="151">
        <f t="shared" si="90"/>
        <v>0</v>
      </c>
      <c r="Z332" s="152">
        <f t="shared" si="107"/>
        <v>0</v>
      </c>
      <c r="AA332" s="153">
        <f t="shared" si="95"/>
        <v>0</v>
      </c>
      <c r="AB332" s="153">
        <f t="shared" si="96"/>
        <v>0</v>
      </c>
      <c r="AC332" s="154">
        <f t="shared" si="91"/>
        <v>0</v>
      </c>
      <c r="AD332" s="156">
        <f t="shared" si="97"/>
        <v>0</v>
      </c>
    </row>
    <row r="333" spans="1:30" s="144" customFormat="1">
      <c r="A333" s="139">
        <v>1</v>
      </c>
      <c r="B333" s="139">
        <f>IFERROR(INDEX(Työkonekanta!$F$3:$F$27,MATCH('S0a Baseline'!$A333,Työkonekanta!$A$3:$A$24,0),1),0)</f>
        <v>1</v>
      </c>
      <c r="C333" s="140">
        <v>2030</v>
      </c>
      <c r="D333" s="141" t="str">
        <f>IFERROR(INDEX(Työkonekanta!$D$3:$D$27,MATCH('S0a Baseline'!$A333,Työkonekanta!$A$3:$A$24,0),1),"undefined")</f>
        <v>pom</v>
      </c>
      <c r="E333" s="145">
        <f>IFERROR(INDEX(Työkonekanta!$G$3:$G$27,MATCH($A333,Työkonekanta!$A$3:$A$24,0),1)*INDEX(Työkonekanta!$H$3:$H$27,MATCH($A333,Työkonekanta!$A$3:$A$24,0),1)*$B333,0)</f>
        <v>10000</v>
      </c>
      <c r="F333" s="344">
        <f t="shared" si="98"/>
        <v>359000</v>
      </c>
      <c r="G333" s="344">
        <f t="shared" si="105"/>
        <v>323100</v>
      </c>
      <c r="H333" s="344">
        <f t="shared" si="106"/>
        <v>35900</v>
      </c>
      <c r="I333" s="145">
        <f t="shared" si="99"/>
        <v>9000</v>
      </c>
      <c r="J333" s="145">
        <f t="shared" si="100"/>
        <v>1046.6472303206997</v>
      </c>
      <c r="K333" s="142" t="str">
        <f t="shared" si="80"/>
        <v>l</v>
      </c>
      <c r="L333" s="146">
        <f>IFERROR(INDEX(Työkonekanta!$I$3:$I$27,MATCH('S0a Baseline'!$A333,Työkonekanta!$A$3:$A$24,0),1)*(I333+J333)*f_adblue,0)</f>
        <v>502.33236151603501</v>
      </c>
      <c r="M333" s="146">
        <f t="shared" si="84"/>
        <v>0</v>
      </c>
      <c r="N333" s="143" t="str">
        <f>IF(tuulisähkö_vuosi&lt;='S0a Baseline'!C333,"tuulisähkö",ostosähkö_nyt)</f>
        <v>jäännössähkö</v>
      </c>
      <c r="O333" s="147">
        <f>INDEX(Muuttujat!$J$5:$J$21,MATCH($C333,Muuttujat!$H$5:$H$21,0),1)</f>
        <v>61.999687056709845</v>
      </c>
      <c r="P333" s="342">
        <f>1-(INDEX(Muuttujat!$O$5:$O$21,MATCH($C333,Muuttujat!$N$5:$N$21,0),1))</f>
        <v>0.9</v>
      </c>
      <c r="Q333" s="342">
        <f>INDEX(Muuttujat!$O$5:$O$21,MATCH($C333,Muuttujat!$N$5:$N$21,0),1)</f>
        <v>0.1</v>
      </c>
      <c r="R333" s="148">
        <f>INDEX(Muuttujat!$P$5:$P$21,MATCH($C333,Muuttujat!$N$5:$N$21,0),1)</f>
        <v>0.10417875759940039</v>
      </c>
      <c r="S333" s="149">
        <f t="shared" si="101"/>
        <v>6.1065899999999997</v>
      </c>
      <c r="T333" s="150">
        <f t="shared" si="102"/>
        <v>2.2401599999999999</v>
      </c>
      <c r="U333" s="150">
        <f t="shared" si="103"/>
        <v>0</v>
      </c>
      <c r="V333" s="150">
        <f>IFERROR(INDEX(Työkonekanta!$J$3:$J$27,MATCH($A333,Työkonekanta!$A$3:$A$24,0),1)*$B333*ef_li_ion_akku/1000/1000/INDEX(Työkonekanta!$K$3:$K$27,MATCH($A333,Työkonekanta!$A$3:$A$24,0)),0)</f>
        <v>0</v>
      </c>
      <c r="W333" s="149">
        <f t="shared" si="104"/>
        <v>23.847446957400003</v>
      </c>
      <c r="X333" s="150">
        <f t="shared" si="89"/>
        <v>0.31774565999999999</v>
      </c>
      <c r="Y333" s="151">
        <f t="shared" si="90"/>
        <v>0.13060641399416908</v>
      </c>
      <c r="Z333" s="152">
        <f t="shared" si="107"/>
        <v>8.3467500000000001</v>
      </c>
      <c r="AA333" s="153">
        <f t="shared" si="95"/>
        <v>23.978053371394171</v>
      </c>
      <c r="AB333" s="153">
        <f t="shared" si="96"/>
        <v>24.295799031394171</v>
      </c>
      <c r="AC333" s="154">
        <f t="shared" si="91"/>
        <v>32.324803371394168</v>
      </c>
      <c r="AD333" s="156">
        <f t="shared" si="97"/>
        <v>32.642549031394168</v>
      </c>
    </row>
    <row r="334" spans="1:30" s="144" customFormat="1">
      <c r="A334" s="139">
        <v>2</v>
      </c>
      <c r="B334" s="139">
        <f>IFERROR(INDEX(Työkonekanta!$F$3:$F$27,MATCH('S0a Baseline'!$A334,Työkonekanta!$A$3:$A$24,0),1),0)</f>
        <v>1</v>
      </c>
      <c r="C334" s="140">
        <v>2030</v>
      </c>
      <c r="D334" s="141" t="str">
        <f>IFERROR(INDEX(Työkonekanta!$D$3:$D$27,MATCH('S0a Baseline'!$A334,Työkonekanta!$A$3:$A$24,0),1),"undefined")</f>
        <v>pom</v>
      </c>
      <c r="E334" s="145">
        <f>IFERROR(INDEX(Työkonekanta!$G$3:$G$27,MATCH($A334,Työkonekanta!$A$3:$A$24,0),1)*INDEX(Työkonekanta!$H$3:$H$27,MATCH($A334,Työkonekanta!$A$3:$A$24,0),1)*$B334,0)</f>
        <v>10000</v>
      </c>
      <c r="F334" s="344">
        <f t="shared" si="98"/>
        <v>359000</v>
      </c>
      <c r="G334" s="344">
        <f t="shared" si="105"/>
        <v>323100</v>
      </c>
      <c r="H334" s="344">
        <f t="shared" si="106"/>
        <v>35900</v>
      </c>
      <c r="I334" s="145">
        <f t="shared" si="99"/>
        <v>9000</v>
      </c>
      <c r="J334" s="145">
        <f t="shared" si="100"/>
        <v>1046.6472303206997</v>
      </c>
      <c r="K334" s="142" t="str">
        <f t="shared" si="80"/>
        <v>l</v>
      </c>
      <c r="L334" s="146">
        <f>IFERROR(INDEX(Työkonekanta!$I$3:$I$27,MATCH('S0a Baseline'!$A334,Työkonekanta!$A$3:$A$24,0),1)*(I334+J334)*f_adblue,0)</f>
        <v>502.33236151603501</v>
      </c>
      <c r="M334" s="146">
        <f t="shared" si="84"/>
        <v>0</v>
      </c>
      <c r="N334" s="143" t="str">
        <f>IF(tuulisähkö_vuosi&lt;='S0a Baseline'!C334,"tuulisähkö",ostosähkö_nyt)</f>
        <v>jäännössähkö</v>
      </c>
      <c r="O334" s="147">
        <f>INDEX(Muuttujat!$J$5:$J$21,MATCH($C334,Muuttujat!$H$5:$H$21,0),1)</f>
        <v>61.999687056709845</v>
      </c>
      <c r="P334" s="342">
        <f>1-(INDEX(Muuttujat!$O$5:$O$21,MATCH($C334,Muuttujat!$N$5:$N$21,0),1))</f>
        <v>0.9</v>
      </c>
      <c r="Q334" s="342">
        <f>INDEX(Muuttujat!$O$5:$O$21,MATCH($C334,Muuttujat!$N$5:$N$21,0),1)</f>
        <v>0.1</v>
      </c>
      <c r="R334" s="148">
        <f>INDEX(Muuttujat!$P$5:$P$21,MATCH($C334,Muuttujat!$N$5:$N$21,0),1)</f>
        <v>0.10417875759940039</v>
      </c>
      <c r="S334" s="149">
        <f t="shared" si="101"/>
        <v>6.1065899999999997</v>
      </c>
      <c r="T334" s="150">
        <f t="shared" si="102"/>
        <v>2.2401599999999999</v>
      </c>
      <c r="U334" s="150">
        <f t="shared" si="103"/>
        <v>0</v>
      </c>
      <c r="V334" s="150">
        <f>IFERROR(INDEX(Työkonekanta!$J$3:$J$27,MATCH($A334,Työkonekanta!$A$3:$A$24,0),1)*$B334*ef_li_ion_akku/1000/1000/INDEX(Työkonekanta!$K$3:$K$27,MATCH($A334,Työkonekanta!$A$3:$A$24,0)),0)</f>
        <v>0</v>
      </c>
      <c r="W334" s="149">
        <f t="shared" si="104"/>
        <v>23.847446957400003</v>
      </c>
      <c r="X334" s="150">
        <f t="shared" si="89"/>
        <v>0.31774565999999999</v>
      </c>
      <c r="Y334" s="151">
        <f t="shared" si="90"/>
        <v>0.13060641399416908</v>
      </c>
      <c r="Z334" s="152">
        <f t="shared" si="107"/>
        <v>8.3467500000000001</v>
      </c>
      <c r="AA334" s="153">
        <f t="shared" si="95"/>
        <v>23.978053371394171</v>
      </c>
      <c r="AB334" s="153">
        <f t="shared" si="96"/>
        <v>24.295799031394171</v>
      </c>
      <c r="AC334" s="154">
        <f t="shared" si="91"/>
        <v>32.324803371394168</v>
      </c>
      <c r="AD334" s="156">
        <f t="shared" si="97"/>
        <v>32.642549031394168</v>
      </c>
    </row>
    <row r="335" spans="1:30" s="144" customFormat="1">
      <c r="A335" s="139">
        <v>3</v>
      </c>
      <c r="B335" s="139">
        <f>IFERROR(INDEX(Työkonekanta!$F$3:$F$27,MATCH('S0a Baseline'!$A335,Työkonekanta!$A$3:$A$24,0),1),0)</f>
        <v>1</v>
      </c>
      <c r="C335" s="140">
        <v>2030</v>
      </c>
      <c r="D335" s="141" t="str">
        <f>IFERROR(INDEX(Työkonekanta!$D$3:$D$27,MATCH('S0a Baseline'!$A335,Työkonekanta!$A$3:$A$24,0),1),"undefined")</f>
        <v>pom</v>
      </c>
      <c r="E335" s="145">
        <f>IFERROR(INDEX(Työkonekanta!$G$3:$G$27,MATCH($A335,Työkonekanta!$A$3:$A$24,0),1)*INDEX(Työkonekanta!$H$3:$H$27,MATCH($A335,Työkonekanta!$A$3:$A$24,0),1)*$B335,0)</f>
        <v>10000</v>
      </c>
      <c r="F335" s="344">
        <f t="shared" si="98"/>
        <v>359000</v>
      </c>
      <c r="G335" s="344">
        <f t="shared" si="105"/>
        <v>323100</v>
      </c>
      <c r="H335" s="344">
        <f t="shared" si="106"/>
        <v>35900</v>
      </c>
      <c r="I335" s="145">
        <f t="shared" si="99"/>
        <v>9000</v>
      </c>
      <c r="J335" s="145">
        <f t="shared" si="100"/>
        <v>1046.6472303206997</v>
      </c>
      <c r="K335" s="142" t="str">
        <f t="shared" si="80"/>
        <v>l</v>
      </c>
      <c r="L335" s="146">
        <f>IFERROR(INDEX(Työkonekanta!$I$3:$I$27,MATCH('S0a Baseline'!$A335,Työkonekanta!$A$3:$A$24,0),1)*(I335+J335)*f_adblue,0)</f>
        <v>502.33236151603501</v>
      </c>
      <c r="M335" s="146">
        <f t="shared" si="84"/>
        <v>0</v>
      </c>
      <c r="N335" s="143" t="str">
        <f>IF(tuulisähkö_vuosi&lt;='S0a Baseline'!C335,"tuulisähkö",ostosähkö_nyt)</f>
        <v>jäännössähkö</v>
      </c>
      <c r="O335" s="147">
        <f>INDEX(Muuttujat!$J$5:$J$21,MATCH($C335,Muuttujat!$H$5:$H$21,0),1)</f>
        <v>61.999687056709845</v>
      </c>
      <c r="P335" s="342">
        <f>1-(INDEX(Muuttujat!$O$5:$O$21,MATCH($C335,Muuttujat!$N$5:$N$21,0),1))</f>
        <v>0.9</v>
      </c>
      <c r="Q335" s="342">
        <f>INDEX(Muuttujat!$O$5:$O$21,MATCH($C335,Muuttujat!$N$5:$N$21,0),1)</f>
        <v>0.1</v>
      </c>
      <c r="R335" s="148">
        <f>INDEX(Muuttujat!$P$5:$P$21,MATCH($C335,Muuttujat!$N$5:$N$21,0),1)</f>
        <v>0.10417875759940039</v>
      </c>
      <c r="S335" s="149">
        <f t="shared" si="101"/>
        <v>6.1065899999999997</v>
      </c>
      <c r="T335" s="150">
        <f t="shared" si="102"/>
        <v>2.2401599999999999</v>
      </c>
      <c r="U335" s="150">
        <f t="shared" si="103"/>
        <v>0</v>
      </c>
      <c r="V335" s="150">
        <f>IFERROR(INDEX(Työkonekanta!$J$3:$J$27,MATCH($A335,Työkonekanta!$A$3:$A$24,0),1)*$B335*ef_li_ion_akku/1000/1000/INDEX(Työkonekanta!$K$3:$K$27,MATCH($A335,Työkonekanta!$A$3:$A$24,0)),0)</f>
        <v>0</v>
      </c>
      <c r="W335" s="149">
        <f t="shared" si="104"/>
        <v>23.847446957400003</v>
      </c>
      <c r="X335" s="150">
        <f t="shared" si="89"/>
        <v>0.31774565999999999</v>
      </c>
      <c r="Y335" s="151">
        <f t="shared" si="90"/>
        <v>0.13060641399416908</v>
      </c>
      <c r="Z335" s="152">
        <f t="shared" si="107"/>
        <v>8.3467500000000001</v>
      </c>
      <c r="AA335" s="153">
        <f t="shared" si="95"/>
        <v>23.978053371394171</v>
      </c>
      <c r="AB335" s="153">
        <f t="shared" si="96"/>
        <v>24.295799031394171</v>
      </c>
      <c r="AC335" s="154">
        <f t="shared" si="91"/>
        <v>32.324803371394168</v>
      </c>
      <c r="AD335" s="156">
        <f t="shared" si="97"/>
        <v>32.642549031394168</v>
      </c>
    </row>
    <row r="336" spans="1:30" s="144" customFormat="1">
      <c r="A336" s="139">
        <v>4</v>
      </c>
      <c r="B336" s="139">
        <f>IFERROR(INDEX(Työkonekanta!$F$3:$F$27,MATCH('S0a Baseline'!$A336,Työkonekanta!$A$3:$A$24,0),1),0)</f>
        <v>1</v>
      </c>
      <c r="C336" s="140">
        <v>2030</v>
      </c>
      <c r="D336" s="141" t="str">
        <f>IFERROR(INDEX(Työkonekanta!$D$3:$D$27,MATCH('S0a Baseline'!$A336,Työkonekanta!$A$3:$A$24,0),1),"undefined")</f>
        <v>pom</v>
      </c>
      <c r="E336" s="145">
        <f>IFERROR(INDEX(Työkonekanta!$G$3:$G$27,MATCH($A336,Työkonekanta!$A$3:$A$24,0),1)*INDEX(Työkonekanta!$H$3:$H$27,MATCH($A336,Työkonekanta!$A$3:$A$24,0),1)*$B336,0)</f>
        <v>10000</v>
      </c>
      <c r="F336" s="344">
        <f t="shared" si="98"/>
        <v>359000</v>
      </c>
      <c r="G336" s="344">
        <f t="shared" si="105"/>
        <v>323100</v>
      </c>
      <c r="H336" s="344">
        <f t="shared" si="106"/>
        <v>35900</v>
      </c>
      <c r="I336" s="145">
        <f t="shared" si="99"/>
        <v>9000</v>
      </c>
      <c r="J336" s="145">
        <f t="shared" si="100"/>
        <v>1046.6472303206997</v>
      </c>
      <c r="K336" s="142" t="str">
        <f t="shared" si="80"/>
        <v>l</v>
      </c>
      <c r="L336" s="146">
        <f>IFERROR(INDEX(Työkonekanta!$I$3:$I$27,MATCH('S0a Baseline'!$A336,Työkonekanta!$A$3:$A$24,0),1)*(I336+J336)*f_adblue,0)</f>
        <v>502.33236151603501</v>
      </c>
      <c r="M336" s="146">
        <f t="shared" si="84"/>
        <v>0</v>
      </c>
      <c r="N336" s="143" t="str">
        <f>IF(tuulisähkö_vuosi&lt;='S0a Baseline'!C336,"tuulisähkö",ostosähkö_nyt)</f>
        <v>jäännössähkö</v>
      </c>
      <c r="O336" s="147">
        <f>INDEX(Muuttujat!$J$5:$J$21,MATCH($C336,Muuttujat!$H$5:$H$21,0),1)</f>
        <v>61.999687056709845</v>
      </c>
      <c r="P336" s="342">
        <f>1-(INDEX(Muuttujat!$O$5:$O$21,MATCH($C336,Muuttujat!$N$5:$N$21,0),1))</f>
        <v>0.9</v>
      </c>
      <c r="Q336" s="342">
        <f>INDEX(Muuttujat!$O$5:$O$21,MATCH($C336,Muuttujat!$N$5:$N$21,0),1)</f>
        <v>0.1</v>
      </c>
      <c r="R336" s="148">
        <f>INDEX(Muuttujat!$P$5:$P$21,MATCH($C336,Muuttujat!$N$5:$N$21,0),1)</f>
        <v>0.10417875759940039</v>
      </c>
      <c r="S336" s="149">
        <f t="shared" si="101"/>
        <v>6.1065899999999997</v>
      </c>
      <c r="T336" s="150">
        <f t="shared" si="102"/>
        <v>2.2401599999999999</v>
      </c>
      <c r="U336" s="150">
        <f t="shared" si="103"/>
        <v>0</v>
      </c>
      <c r="V336" s="150">
        <f>IFERROR(INDEX(Työkonekanta!$J$3:$J$27,MATCH($A336,Työkonekanta!$A$3:$A$24,0),1)*$B336*ef_li_ion_akku/1000/1000/INDEX(Työkonekanta!$K$3:$K$27,MATCH($A336,Työkonekanta!$A$3:$A$24,0)),0)</f>
        <v>0</v>
      </c>
      <c r="W336" s="149">
        <f t="shared" si="104"/>
        <v>23.847446957400003</v>
      </c>
      <c r="X336" s="150">
        <f t="shared" si="89"/>
        <v>0.31774565999999999</v>
      </c>
      <c r="Y336" s="151">
        <f t="shared" si="90"/>
        <v>0.13060641399416908</v>
      </c>
      <c r="Z336" s="152">
        <f t="shared" si="107"/>
        <v>8.3467500000000001</v>
      </c>
      <c r="AA336" s="153">
        <f t="shared" si="95"/>
        <v>23.978053371394171</v>
      </c>
      <c r="AB336" s="153">
        <f t="shared" si="96"/>
        <v>24.295799031394171</v>
      </c>
      <c r="AC336" s="154">
        <f t="shared" si="91"/>
        <v>32.324803371394168</v>
      </c>
      <c r="AD336" s="156">
        <f t="shared" si="97"/>
        <v>32.642549031394168</v>
      </c>
    </row>
    <row r="337" spans="1:30" s="144" customFormat="1">
      <c r="A337" s="139">
        <v>5</v>
      </c>
      <c r="B337" s="139">
        <f>IFERROR(INDEX(Työkonekanta!$F$3:$F$27,MATCH('S0a Baseline'!$A337,Työkonekanta!$A$3:$A$24,0),1),0)</f>
        <v>0</v>
      </c>
      <c r="C337" s="140">
        <v>2030</v>
      </c>
      <c r="D337" s="141" t="str">
        <f>IFERROR(INDEX(Työkonekanta!$D$3:$D$27,MATCH('S0a Baseline'!$A337,Työkonekanta!$A$3:$A$24,0),1),"undefined")</f>
        <v>sähkö</v>
      </c>
      <c r="E337" s="145">
        <f>IFERROR(INDEX(Työkonekanta!$G$3:$G$27,MATCH($A337,Työkonekanta!$A$3:$A$24,0),1)*INDEX(Työkonekanta!$H$3:$H$27,MATCH($A337,Työkonekanta!$A$3:$A$24,0),1)*$B337,0)</f>
        <v>0</v>
      </c>
      <c r="F337" s="344">
        <f t="shared" si="98"/>
        <v>0</v>
      </c>
      <c r="G337" s="344">
        <f t="shared" si="105"/>
        <v>0</v>
      </c>
      <c r="H337" s="344">
        <f t="shared" si="106"/>
        <v>0</v>
      </c>
      <c r="I337" s="145">
        <f t="shared" si="99"/>
        <v>0</v>
      </c>
      <c r="J337" s="145">
        <f t="shared" si="100"/>
        <v>0</v>
      </c>
      <c r="K337" s="142" t="str">
        <f t="shared" si="80"/>
        <v>kWh</v>
      </c>
      <c r="L337" s="146">
        <f>IFERROR(INDEX(Työkonekanta!$I$3:$I$27,MATCH('S0a Baseline'!$A337,Työkonekanta!$A$3:$A$24,0),1)*(I337+J337)*f_adblue,0)</f>
        <v>0</v>
      </c>
      <c r="M337" s="146">
        <f t="shared" si="84"/>
        <v>0</v>
      </c>
      <c r="N337" s="143" t="str">
        <f>IF(tuulisähkö_vuosi&lt;='S0a Baseline'!C337,"tuulisähkö",ostosähkö_nyt)</f>
        <v>jäännössähkö</v>
      </c>
      <c r="O337" s="147">
        <f>INDEX(Muuttujat!$J$5:$J$21,MATCH($C337,Muuttujat!$H$5:$H$21,0),1)</f>
        <v>61.999687056709845</v>
      </c>
      <c r="P337" s="342">
        <f>1-(INDEX(Muuttujat!$O$5:$O$21,MATCH($C337,Muuttujat!$N$5:$N$21,0),1))</f>
        <v>0.9</v>
      </c>
      <c r="Q337" s="342">
        <f>INDEX(Muuttujat!$O$5:$O$21,MATCH($C337,Muuttujat!$N$5:$N$21,0),1)</f>
        <v>0.1</v>
      </c>
      <c r="R337" s="148">
        <f>INDEX(Muuttujat!$P$5:$P$21,MATCH($C337,Muuttujat!$N$5:$N$21,0),1)</f>
        <v>0.10417875759940039</v>
      </c>
      <c r="S337" s="149">
        <f t="shared" si="101"/>
        <v>0</v>
      </c>
      <c r="T337" s="150">
        <f t="shared" si="102"/>
        <v>0</v>
      </c>
      <c r="U337" s="150">
        <f t="shared" si="103"/>
        <v>0</v>
      </c>
      <c r="V337" s="150">
        <f>IFERROR(INDEX(Työkonekanta!$J$3:$J$27,MATCH($A337,Työkonekanta!$A$3:$A$24,0),1)*$B337*ef_li_ion_akku/1000/1000/INDEX(Työkonekanta!$K$3:$K$27,MATCH($A337,Työkonekanta!$A$3:$A$24,0)),0)</f>
        <v>0</v>
      </c>
      <c r="W337" s="149">
        <f t="shared" si="104"/>
        <v>0</v>
      </c>
      <c r="X337" s="150">
        <f t="shared" si="89"/>
        <v>0</v>
      </c>
      <c r="Y337" s="151">
        <f t="shared" si="90"/>
        <v>0</v>
      </c>
      <c r="Z337" s="152">
        <f t="shared" si="107"/>
        <v>0</v>
      </c>
      <c r="AA337" s="153">
        <f t="shared" si="95"/>
        <v>0</v>
      </c>
      <c r="AB337" s="153">
        <f t="shared" si="96"/>
        <v>0</v>
      </c>
      <c r="AC337" s="154">
        <f t="shared" si="91"/>
        <v>0</v>
      </c>
      <c r="AD337" s="156">
        <f t="shared" si="97"/>
        <v>0</v>
      </c>
    </row>
    <row r="338" spans="1:30" s="144" customFormat="1">
      <c r="A338" s="139">
        <v>6</v>
      </c>
      <c r="B338" s="139">
        <f>IFERROR(INDEX(Työkonekanta!$F$3:$F$27,MATCH('S0a Baseline'!$A338,Työkonekanta!$A$3:$A$24,0),1),0)</f>
        <v>0</v>
      </c>
      <c r="C338" s="140">
        <v>2030</v>
      </c>
      <c r="D338" s="141" t="str">
        <f>IFERROR(INDEX(Työkonekanta!$D$3:$D$27,MATCH('S0a Baseline'!$A338,Työkonekanta!$A$3:$A$24,0),1),"undefined")</f>
        <v>sähkö</v>
      </c>
      <c r="E338" s="145">
        <f>IFERROR(INDEX(Työkonekanta!$G$3:$G$27,MATCH($A338,Työkonekanta!$A$3:$A$24,0),1)*INDEX(Työkonekanta!$H$3:$H$27,MATCH($A338,Työkonekanta!$A$3:$A$24,0),1)*$B338,0)</f>
        <v>0</v>
      </c>
      <c r="F338" s="344">
        <f t="shared" si="98"/>
        <v>0</v>
      </c>
      <c r="G338" s="344">
        <f t="shared" si="105"/>
        <v>0</v>
      </c>
      <c r="H338" s="344">
        <f t="shared" si="106"/>
        <v>0</v>
      </c>
      <c r="I338" s="145">
        <f t="shared" si="99"/>
        <v>0</v>
      </c>
      <c r="J338" s="145">
        <f t="shared" si="100"/>
        <v>0</v>
      </c>
      <c r="K338" s="142" t="str">
        <f t="shared" si="80"/>
        <v>kWh</v>
      </c>
      <c r="L338" s="146">
        <f>IFERROR(INDEX(Työkonekanta!$I$3:$I$27,MATCH('S0a Baseline'!$A338,Työkonekanta!$A$3:$A$24,0),1)*(I338+J338)*f_adblue,0)</f>
        <v>0</v>
      </c>
      <c r="M338" s="146">
        <f t="shared" si="84"/>
        <v>0</v>
      </c>
      <c r="N338" s="143" t="str">
        <f>IF(tuulisähkö_vuosi&lt;='S0a Baseline'!C338,"tuulisähkö",ostosähkö_nyt)</f>
        <v>jäännössähkö</v>
      </c>
      <c r="O338" s="147">
        <f>INDEX(Muuttujat!$J$5:$J$21,MATCH($C338,Muuttujat!$H$5:$H$21,0),1)</f>
        <v>61.999687056709845</v>
      </c>
      <c r="P338" s="342">
        <f>1-(INDEX(Muuttujat!$O$5:$O$21,MATCH($C338,Muuttujat!$N$5:$N$21,0),1))</f>
        <v>0.9</v>
      </c>
      <c r="Q338" s="342">
        <f>INDEX(Muuttujat!$O$5:$O$21,MATCH($C338,Muuttujat!$N$5:$N$21,0),1)</f>
        <v>0.1</v>
      </c>
      <c r="R338" s="148">
        <f>INDEX(Muuttujat!$P$5:$P$21,MATCH($C338,Muuttujat!$N$5:$N$21,0),1)</f>
        <v>0.10417875759940039</v>
      </c>
      <c r="S338" s="149">
        <f t="shared" si="101"/>
        <v>0</v>
      </c>
      <c r="T338" s="150">
        <f t="shared" si="102"/>
        <v>0</v>
      </c>
      <c r="U338" s="150">
        <f t="shared" si="103"/>
        <v>0</v>
      </c>
      <c r="V338" s="150">
        <f>IFERROR(INDEX(Työkonekanta!$J$3:$J$27,MATCH($A338,Työkonekanta!$A$3:$A$24,0),1)*$B338*ef_li_ion_akku/1000/1000/INDEX(Työkonekanta!$K$3:$K$27,MATCH($A338,Työkonekanta!$A$3:$A$24,0)),0)</f>
        <v>0</v>
      </c>
      <c r="W338" s="149">
        <f t="shared" si="104"/>
        <v>0</v>
      </c>
      <c r="X338" s="150">
        <f t="shared" si="89"/>
        <v>0</v>
      </c>
      <c r="Y338" s="151">
        <f t="shared" si="90"/>
        <v>0</v>
      </c>
      <c r="Z338" s="152">
        <f t="shared" si="107"/>
        <v>0</v>
      </c>
      <c r="AA338" s="153">
        <f t="shared" si="95"/>
        <v>0</v>
      </c>
      <c r="AB338" s="153">
        <f t="shared" si="96"/>
        <v>0</v>
      </c>
      <c r="AC338" s="154">
        <f t="shared" si="91"/>
        <v>0</v>
      </c>
      <c r="AD338" s="156">
        <f t="shared" si="97"/>
        <v>0</v>
      </c>
    </row>
    <row r="339" spans="1:30" s="144" customFormat="1">
      <c r="A339" s="139">
        <v>7</v>
      </c>
      <c r="B339" s="139">
        <f>IFERROR(INDEX(Työkonekanta!$F$3:$F$27,MATCH('S0a Baseline'!$A339,Työkonekanta!$A$3:$A$24,0),1),0)</f>
        <v>1</v>
      </c>
      <c r="C339" s="140">
        <v>2030</v>
      </c>
      <c r="D339" s="141" t="str">
        <f>IFERROR(INDEX(Työkonekanta!$D$3:$D$27,MATCH('S0a Baseline'!$A339,Työkonekanta!$A$3:$A$24,0),1),"undefined")</f>
        <v>pom</v>
      </c>
      <c r="E339" s="145">
        <f>IFERROR(INDEX(Työkonekanta!$G$3:$G$27,MATCH($A339,Työkonekanta!$A$3:$A$24,0),1)*INDEX(Työkonekanta!$H$3:$H$27,MATCH($A339,Työkonekanta!$A$3:$A$24,0),1)*$B339,0)</f>
        <v>10000</v>
      </c>
      <c r="F339" s="344">
        <f t="shared" si="98"/>
        <v>359000</v>
      </c>
      <c r="G339" s="344">
        <f t="shared" si="105"/>
        <v>323100</v>
      </c>
      <c r="H339" s="344">
        <f t="shared" si="106"/>
        <v>35900</v>
      </c>
      <c r="I339" s="145">
        <f t="shared" si="99"/>
        <v>9000</v>
      </c>
      <c r="J339" s="145">
        <f t="shared" si="100"/>
        <v>1046.6472303206997</v>
      </c>
      <c r="K339" s="142" t="str">
        <f t="shared" si="80"/>
        <v>l</v>
      </c>
      <c r="L339" s="146">
        <f>IFERROR(INDEX(Työkonekanta!$I$3:$I$27,MATCH('S0a Baseline'!$A339,Työkonekanta!$A$3:$A$24,0),1)*(I339+J339)*f_adblue,0)</f>
        <v>0</v>
      </c>
      <c r="M339" s="146">
        <f t="shared" si="84"/>
        <v>0</v>
      </c>
      <c r="N339" s="143" t="str">
        <f>IF(tuulisähkö_vuosi&lt;='S0a Baseline'!C339,"tuulisähkö",ostosähkö_nyt)</f>
        <v>jäännössähkö</v>
      </c>
      <c r="O339" s="147">
        <f>INDEX(Muuttujat!$J$5:$J$21,MATCH($C339,Muuttujat!$H$5:$H$21,0),1)</f>
        <v>61.999687056709845</v>
      </c>
      <c r="P339" s="342">
        <f>1-(INDEX(Muuttujat!$O$5:$O$21,MATCH($C339,Muuttujat!$N$5:$N$21,0),1))</f>
        <v>0.9</v>
      </c>
      <c r="Q339" s="342">
        <f>INDEX(Muuttujat!$O$5:$O$21,MATCH($C339,Muuttujat!$N$5:$N$21,0),1)</f>
        <v>0.1</v>
      </c>
      <c r="R339" s="148">
        <f>INDEX(Muuttujat!$P$5:$P$21,MATCH($C339,Muuttujat!$N$5:$N$21,0),1)</f>
        <v>0.10417875759940039</v>
      </c>
      <c r="S339" s="149">
        <f t="shared" si="101"/>
        <v>6.1065899999999997</v>
      </c>
      <c r="T339" s="150">
        <f t="shared" si="102"/>
        <v>2.2401599999999999</v>
      </c>
      <c r="U339" s="150">
        <f t="shared" si="103"/>
        <v>0</v>
      </c>
      <c r="V339" s="150">
        <f>IFERROR(INDEX(Työkonekanta!$J$3:$J$27,MATCH($A339,Työkonekanta!$A$3:$A$24,0),1)*$B339*ef_li_ion_akku/1000/1000/INDEX(Työkonekanta!$K$3:$K$27,MATCH($A339,Työkonekanta!$A$3:$A$24,0)),0)</f>
        <v>0</v>
      </c>
      <c r="W339" s="149">
        <f t="shared" si="104"/>
        <v>23.847446957400003</v>
      </c>
      <c r="X339" s="150">
        <f t="shared" si="89"/>
        <v>0.31774565999999999</v>
      </c>
      <c r="Y339" s="151">
        <f t="shared" si="90"/>
        <v>0</v>
      </c>
      <c r="Z339" s="152">
        <f t="shared" si="107"/>
        <v>8.3467500000000001</v>
      </c>
      <c r="AA339" s="153">
        <f t="shared" si="95"/>
        <v>23.847446957400003</v>
      </c>
      <c r="AB339" s="153">
        <f t="shared" si="96"/>
        <v>24.165192617400002</v>
      </c>
      <c r="AC339" s="154">
        <f t="shared" si="91"/>
        <v>32.194196957400003</v>
      </c>
      <c r="AD339" s="156">
        <f t="shared" si="97"/>
        <v>32.511942617400003</v>
      </c>
    </row>
    <row r="340" spans="1:30" s="144" customFormat="1">
      <c r="A340" s="139">
        <v>8</v>
      </c>
      <c r="B340" s="139">
        <f>IFERROR(INDEX(Työkonekanta!$F$3:$F$27,MATCH('S0a Baseline'!$A340,Työkonekanta!$A$3:$A$24,0),1),0)</f>
        <v>1</v>
      </c>
      <c r="C340" s="140">
        <v>2030</v>
      </c>
      <c r="D340" s="141" t="str">
        <f>IFERROR(INDEX(Työkonekanta!$D$3:$D$27,MATCH('S0a Baseline'!$A340,Työkonekanta!$A$3:$A$24,0),1),"undefined")</f>
        <v>pom</v>
      </c>
      <c r="E340" s="145">
        <f>IFERROR(INDEX(Työkonekanta!$G$3:$G$27,MATCH($A340,Työkonekanta!$A$3:$A$24,0),1)*INDEX(Työkonekanta!$H$3:$H$27,MATCH($A340,Työkonekanta!$A$3:$A$24,0),1)*$B340,0)</f>
        <v>10000</v>
      </c>
      <c r="F340" s="344">
        <f t="shared" si="98"/>
        <v>359000</v>
      </c>
      <c r="G340" s="344">
        <f t="shared" si="105"/>
        <v>323100</v>
      </c>
      <c r="H340" s="344">
        <f t="shared" si="106"/>
        <v>35900</v>
      </c>
      <c r="I340" s="145">
        <f t="shared" si="99"/>
        <v>9000</v>
      </c>
      <c r="J340" s="145">
        <f t="shared" si="100"/>
        <v>1046.6472303206997</v>
      </c>
      <c r="K340" s="142" t="str">
        <f t="shared" ref="K340:K427" si="108">IF($D340="sähkö","kWh",IF($D340="pom","l","undefined"))</f>
        <v>l</v>
      </c>
      <c r="L340" s="146">
        <f>IFERROR(INDEX(Työkonekanta!$I$3:$I$27,MATCH('S0a Baseline'!$A340,Työkonekanta!$A$3:$A$24,0),1)*(I340+J340)*f_adblue,0)</f>
        <v>502.33236151603501</v>
      </c>
      <c r="M340" s="146">
        <f t="shared" si="84"/>
        <v>0</v>
      </c>
      <c r="N340" s="143" t="str">
        <f>IF(tuulisähkö_vuosi&lt;='S0a Baseline'!C340,"tuulisähkö",ostosähkö_nyt)</f>
        <v>jäännössähkö</v>
      </c>
      <c r="O340" s="147">
        <f>INDEX(Muuttujat!$J$5:$J$21,MATCH($C340,Muuttujat!$H$5:$H$21,0),1)</f>
        <v>61.999687056709845</v>
      </c>
      <c r="P340" s="342">
        <f>1-(INDEX(Muuttujat!$O$5:$O$21,MATCH($C340,Muuttujat!$N$5:$N$21,0),1))</f>
        <v>0.9</v>
      </c>
      <c r="Q340" s="342">
        <f>INDEX(Muuttujat!$O$5:$O$21,MATCH($C340,Muuttujat!$N$5:$N$21,0),1)</f>
        <v>0.1</v>
      </c>
      <c r="R340" s="148">
        <f>INDEX(Muuttujat!$P$5:$P$21,MATCH($C340,Muuttujat!$N$5:$N$21,0),1)</f>
        <v>0.10417875759940039</v>
      </c>
      <c r="S340" s="149">
        <f t="shared" si="101"/>
        <v>6.1065899999999997</v>
      </c>
      <c r="T340" s="150">
        <f t="shared" si="102"/>
        <v>2.2401599999999999</v>
      </c>
      <c r="U340" s="150">
        <f t="shared" si="103"/>
        <v>0</v>
      </c>
      <c r="V340" s="150">
        <f>IFERROR(INDEX(Työkonekanta!$J$3:$J$27,MATCH($A340,Työkonekanta!$A$3:$A$24,0),1)*$B340*ef_li_ion_akku/1000/1000/INDEX(Työkonekanta!$K$3:$K$27,MATCH($A340,Työkonekanta!$A$3:$A$24,0)),0)</f>
        <v>0</v>
      </c>
      <c r="W340" s="149">
        <f t="shared" si="104"/>
        <v>23.847446957400003</v>
      </c>
      <c r="X340" s="150">
        <f t="shared" si="89"/>
        <v>0.31774565999999999</v>
      </c>
      <c r="Y340" s="151">
        <f t="shared" si="90"/>
        <v>0.13060641399416908</v>
      </c>
      <c r="Z340" s="152">
        <f t="shared" si="107"/>
        <v>8.3467500000000001</v>
      </c>
      <c r="AA340" s="153">
        <f t="shared" si="95"/>
        <v>23.978053371394171</v>
      </c>
      <c r="AB340" s="153">
        <f t="shared" si="96"/>
        <v>24.295799031394171</v>
      </c>
      <c r="AC340" s="154">
        <f t="shared" si="91"/>
        <v>32.324803371394168</v>
      </c>
      <c r="AD340" s="156">
        <f t="shared" si="97"/>
        <v>32.642549031394168</v>
      </c>
    </row>
    <row r="341" spans="1:30" s="144" customFormat="1">
      <c r="A341" s="139">
        <v>9</v>
      </c>
      <c r="B341" s="139">
        <f>IFERROR(INDEX(Työkonekanta!$F$3:$F$27,MATCH('S0a Baseline'!$A341,Työkonekanta!$A$3:$A$24,0),1),0)</f>
        <v>0</v>
      </c>
      <c r="C341" s="140">
        <v>2030</v>
      </c>
      <c r="D341" s="141" t="str">
        <f>IFERROR(INDEX(Työkonekanta!$D$3:$D$27,MATCH('S0a Baseline'!$A341,Työkonekanta!$A$3:$A$24,0),1),"undefined")</f>
        <v>sähkö</v>
      </c>
      <c r="E341" s="145">
        <f>IFERROR(INDEX(Työkonekanta!$G$3:$G$27,MATCH($A341,Työkonekanta!$A$3:$A$24,0),1)*INDEX(Työkonekanta!$H$3:$H$27,MATCH($A341,Työkonekanta!$A$3:$A$24,0),1)*$B341,0)</f>
        <v>0</v>
      </c>
      <c r="F341" s="344">
        <f t="shared" si="98"/>
        <v>0</v>
      </c>
      <c r="G341" s="344">
        <f t="shared" si="105"/>
        <v>0</v>
      </c>
      <c r="H341" s="344">
        <f t="shared" si="106"/>
        <v>0</v>
      </c>
      <c r="I341" s="145">
        <f t="shared" si="99"/>
        <v>0</v>
      </c>
      <c r="J341" s="145">
        <f t="shared" si="100"/>
        <v>0</v>
      </c>
      <c r="K341" s="142" t="str">
        <f t="shared" si="108"/>
        <v>kWh</v>
      </c>
      <c r="L341" s="146">
        <f>IFERROR(INDEX(Työkonekanta!$I$3:$I$27,MATCH('S0a Baseline'!$A341,Työkonekanta!$A$3:$A$24,0),1)*(I341+J341)*f_adblue,0)</f>
        <v>0</v>
      </c>
      <c r="M341" s="146">
        <f t="shared" si="84"/>
        <v>0</v>
      </c>
      <c r="N341" s="143" t="str">
        <f>IF(tuulisähkö_vuosi&lt;='S0a Baseline'!C341,"tuulisähkö",ostosähkö_nyt)</f>
        <v>jäännössähkö</v>
      </c>
      <c r="O341" s="147">
        <f>INDEX(Muuttujat!$J$5:$J$21,MATCH($C341,Muuttujat!$H$5:$H$21,0),1)</f>
        <v>61.999687056709845</v>
      </c>
      <c r="P341" s="342">
        <f>1-(INDEX(Muuttujat!$O$5:$O$21,MATCH($C341,Muuttujat!$N$5:$N$21,0),1))</f>
        <v>0.9</v>
      </c>
      <c r="Q341" s="342">
        <f>INDEX(Muuttujat!$O$5:$O$21,MATCH($C341,Muuttujat!$N$5:$N$21,0),1)</f>
        <v>0.1</v>
      </c>
      <c r="R341" s="148">
        <f>INDEX(Muuttujat!$P$5:$P$21,MATCH($C341,Muuttujat!$N$5:$N$21,0),1)</f>
        <v>0.10417875759940039</v>
      </c>
      <c r="S341" s="149">
        <f t="shared" si="101"/>
        <v>0</v>
      </c>
      <c r="T341" s="150">
        <f t="shared" si="102"/>
        <v>0</v>
      </c>
      <c r="U341" s="150">
        <f t="shared" si="103"/>
        <v>0</v>
      </c>
      <c r="V341" s="150">
        <f>IFERROR(INDEX(Työkonekanta!$J$3:$J$27,MATCH($A341,Työkonekanta!$A$3:$A$24,0),1)*$B341*ef_li_ion_akku/1000/1000/INDEX(Työkonekanta!$K$3:$K$27,MATCH($A341,Työkonekanta!$A$3:$A$24,0)),0)</f>
        <v>0</v>
      </c>
      <c r="W341" s="149">
        <f t="shared" si="104"/>
        <v>0</v>
      </c>
      <c r="X341" s="150">
        <f t="shared" si="89"/>
        <v>0</v>
      </c>
      <c r="Y341" s="151">
        <f t="shared" si="90"/>
        <v>0</v>
      </c>
      <c r="Z341" s="152">
        <f t="shared" si="107"/>
        <v>0</v>
      </c>
      <c r="AA341" s="153">
        <f t="shared" si="95"/>
        <v>0</v>
      </c>
      <c r="AB341" s="153">
        <f t="shared" si="96"/>
        <v>0</v>
      </c>
      <c r="AC341" s="154">
        <f t="shared" si="91"/>
        <v>0</v>
      </c>
      <c r="AD341" s="156">
        <f t="shared" si="97"/>
        <v>0</v>
      </c>
    </row>
    <row r="342" spans="1:30" s="144" customFormat="1">
      <c r="A342" s="139">
        <v>10</v>
      </c>
      <c r="B342" s="139">
        <f>IFERROR(INDEX(Työkonekanta!$F$3:$F$27,MATCH('S0a Baseline'!$A342,Työkonekanta!$A$3:$A$24,0),1),0)</f>
        <v>0</v>
      </c>
      <c r="C342" s="140">
        <v>2030</v>
      </c>
      <c r="D342" s="141" t="str">
        <f>IFERROR(INDEX(Työkonekanta!$D$3:$D$27,MATCH('S0a Baseline'!$A342,Työkonekanta!$A$3:$A$24,0),1),"undefined")</f>
        <v>sähkö</v>
      </c>
      <c r="E342" s="145">
        <f>IFERROR(INDEX(Työkonekanta!$G$3:$G$27,MATCH($A342,Työkonekanta!$A$3:$A$24,0),1)*INDEX(Työkonekanta!$H$3:$H$27,MATCH($A342,Työkonekanta!$A$3:$A$24,0),1)*$B342,0)</f>
        <v>0</v>
      </c>
      <c r="F342" s="344">
        <f t="shared" si="98"/>
        <v>0</v>
      </c>
      <c r="G342" s="344">
        <f t="shared" si="105"/>
        <v>0</v>
      </c>
      <c r="H342" s="344">
        <f t="shared" si="106"/>
        <v>0</v>
      </c>
      <c r="I342" s="145">
        <f t="shared" si="99"/>
        <v>0</v>
      </c>
      <c r="J342" s="145">
        <f t="shared" si="100"/>
        <v>0</v>
      </c>
      <c r="K342" s="142" t="str">
        <f t="shared" si="108"/>
        <v>kWh</v>
      </c>
      <c r="L342" s="146">
        <f>IFERROR(INDEX(Työkonekanta!$I$3:$I$27,MATCH('S0a Baseline'!$A342,Työkonekanta!$A$3:$A$24,0),1)*(I342+J342)*f_adblue,0)</f>
        <v>0</v>
      </c>
      <c r="M342" s="146">
        <f t="shared" si="84"/>
        <v>0</v>
      </c>
      <c r="N342" s="143" t="str">
        <f>IF(tuulisähkö_vuosi&lt;='S0a Baseline'!C342,"tuulisähkö",ostosähkö_nyt)</f>
        <v>jäännössähkö</v>
      </c>
      <c r="O342" s="147">
        <f>INDEX(Muuttujat!$J$5:$J$21,MATCH($C342,Muuttujat!$H$5:$H$21,0),1)</f>
        <v>61.999687056709845</v>
      </c>
      <c r="P342" s="342">
        <f>1-(INDEX(Muuttujat!$O$5:$O$21,MATCH($C342,Muuttujat!$N$5:$N$21,0),1))</f>
        <v>0.9</v>
      </c>
      <c r="Q342" s="342">
        <f>INDEX(Muuttujat!$O$5:$O$21,MATCH($C342,Muuttujat!$N$5:$N$21,0),1)</f>
        <v>0.1</v>
      </c>
      <c r="R342" s="148">
        <f>INDEX(Muuttujat!$P$5:$P$21,MATCH($C342,Muuttujat!$N$5:$N$21,0),1)</f>
        <v>0.10417875759940039</v>
      </c>
      <c r="S342" s="149">
        <f t="shared" si="101"/>
        <v>0</v>
      </c>
      <c r="T342" s="150">
        <f t="shared" si="102"/>
        <v>0</v>
      </c>
      <c r="U342" s="150">
        <f t="shared" si="103"/>
        <v>0</v>
      </c>
      <c r="V342" s="150">
        <f>IFERROR(INDEX(Työkonekanta!$J$3:$J$27,MATCH($A342,Työkonekanta!$A$3:$A$24,0),1)*$B342*ef_li_ion_akku/1000/1000/INDEX(Työkonekanta!$K$3:$K$27,MATCH($A342,Työkonekanta!$A$3:$A$24,0)),0)</f>
        <v>0</v>
      </c>
      <c r="W342" s="149">
        <f t="shared" si="104"/>
        <v>0</v>
      </c>
      <c r="X342" s="150">
        <f t="shared" si="89"/>
        <v>0</v>
      </c>
      <c r="Y342" s="151">
        <f t="shared" si="90"/>
        <v>0</v>
      </c>
      <c r="Z342" s="152">
        <f t="shared" si="107"/>
        <v>0</v>
      </c>
      <c r="AA342" s="153">
        <f t="shared" si="95"/>
        <v>0</v>
      </c>
      <c r="AB342" s="153">
        <f t="shared" si="96"/>
        <v>0</v>
      </c>
      <c r="AC342" s="154">
        <f t="shared" si="91"/>
        <v>0</v>
      </c>
      <c r="AD342" s="156">
        <f t="shared" si="97"/>
        <v>0</v>
      </c>
    </row>
    <row r="343" spans="1:30" s="144" customFormat="1">
      <c r="A343" s="139">
        <v>11</v>
      </c>
      <c r="B343" s="139">
        <f>IFERROR(INDEX(Työkonekanta!$F$3:$F$27,MATCH('S0a Baseline'!$A343,Työkonekanta!$A$3:$A$24,0),1),0)</f>
        <v>1</v>
      </c>
      <c r="C343" s="140">
        <v>2030</v>
      </c>
      <c r="D343" s="141" t="str">
        <f>IFERROR(INDEX(Työkonekanta!$D$3:$D$27,MATCH('S0a Baseline'!$A343,Työkonekanta!$A$3:$A$24,0),1),"undefined")</f>
        <v>pom</v>
      </c>
      <c r="E343" s="145">
        <f>IFERROR(INDEX(Työkonekanta!$G$3:$G$27,MATCH($A343,Työkonekanta!$A$3:$A$24,0),1)*INDEX(Työkonekanta!$H$3:$H$27,MATCH($A343,Työkonekanta!$A$3:$A$24,0),1)*$B343,0)</f>
        <v>10000</v>
      </c>
      <c r="F343" s="344">
        <f t="shared" si="98"/>
        <v>359000</v>
      </c>
      <c r="G343" s="344">
        <f t="shared" si="105"/>
        <v>323100</v>
      </c>
      <c r="H343" s="344">
        <f t="shared" si="106"/>
        <v>35900</v>
      </c>
      <c r="I343" s="145">
        <f t="shared" si="99"/>
        <v>9000</v>
      </c>
      <c r="J343" s="145">
        <f t="shared" si="100"/>
        <v>1046.6472303206997</v>
      </c>
      <c r="K343" s="142" t="str">
        <f t="shared" si="108"/>
        <v>l</v>
      </c>
      <c r="L343" s="146">
        <f>IFERROR(INDEX(Työkonekanta!$I$3:$I$27,MATCH('S0a Baseline'!$A343,Työkonekanta!$A$3:$A$24,0),1)*(I343+J343)*f_adblue,0)</f>
        <v>502.33236151603501</v>
      </c>
      <c r="M343" s="146">
        <f t="shared" si="84"/>
        <v>0</v>
      </c>
      <c r="N343" s="143" t="str">
        <f>IF(tuulisähkö_vuosi&lt;='S0a Baseline'!C343,"tuulisähkö",ostosähkö_nyt)</f>
        <v>jäännössähkö</v>
      </c>
      <c r="O343" s="147">
        <f>INDEX(Muuttujat!$J$5:$J$21,MATCH($C343,Muuttujat!$H$5:$H$21,0),1)</f>
        <v>61.999687056709845</v>
      </c>
      <c r="P343" s="342">
        <f>1-(INDEX(Muuttujat!$O$5:$O$21,MATCH($C343,Muuttujat!$N$5:$N$21,0),1))</f>
        <v>0.9</v>
      </c>
      <c r="Q343" s="342">
        <f>INDEX(Muuttujat!$O$5:$O$21,MATCH($C343,Muuttujat!$N$5:$N$21,0),1)</f>
        <v>0.1</v>
      </c>
      <c r="R343" s="148">
        <f>INDEX(Muuttujat!$P$5:$P$21,MATCH($C343,Muuttujat!$N$5:$N$21,0),1)</f>
        <v>0.10417875759940039</v>
      </c>
      <c r="S343" s="149">
        <f t="shared" si="101"/>
        <v>6.1065899999999997</v>
      </c>
      <c r="T343" s="150">
        <f t="shared" si="102"/>
        <v>2.2401599999999999</v>
      </c>
      <c r="U343" s="150">
        <f t="shared" si="103"/>
        <v>0</v>
      </c>
      <c r="V343" s="150">
        <f>IFERROR(INDEX(Työkonekanta!$J$3:$J$27,MATCH($A343,Työkonekanta!$A$3:$A$24,0),1)*$B343*ef_li_ion_akku/1000/1000/INDEX(Työkonekanta!$K$3:$K$27,MATCH($A343,Työkonekanta!$A$3:$A$24,0)),0)</f>
        <v>0</v>
      </c>
      <c r="W343" s="149">
        <f t="shared" si="104"/>
        <v>23.847446957400003</v>
      </c>
      <c r="X343" s="150">
        <f t="shared" si="89"/>
        <v>0.31774565999999999</v>
      </c>
      <c r="Y343" s="151">
        <f t="shared" si="90"/>
        <v>0.13060641399416908</v>
      </c>
      <c r="Z343" s="152">
        <f t="shared" si="107"/>
        <v>8.3467500000000001</v>
      </c>
      <c r="AA343" s="153">
        <f t="shared" si="95"/>
        <v>23.978053371394171</v>
      </c>
      <c r="AB343" s="153">
        <f t="shared" si="96"/>
        <v>24.295799031394171</v>
      </c>
      <c r="AC343" s="154">
        <f t="shared" si="91"/>
        <v>32.324803371394168</v>
      </c>
      <c r="AD343" s="156">
        <f t="shared" si="97"/>
        <v>32.642549031394168</v>
      </c>
    </row>
    <row r="344" spans="1:30" s="144" customFormat="1">
      <c r="A344" s="139">
        <v>12</v>
      </c>
      <c r="B344" s="139">
        <f>IFERROR(INDEX(Työkonekanta!$F$3:$F$27,MATCH('S0a Baseline'!$A344,Työkonekanta!$A$3:$A$24,0),1),0)</f>
        <v>1</v>
      </c>
      <c r="C344" s="140">
        <v>2030</v>
      </c>
      <c r="D344" s="141" t="str">
        <f>IFERROR(INDEX(Työkonekanta!$D$3:$D$27,MATCH('S0a Baseline'!$A344,Työkonekanta!$A$3:$A$24,0),1),"undefined")</f>
        <v>pom</v>
      </c>
      <c r="E344" s="145">
        <f>IFERROR(INDEX(Työkonekanta!$G$3:$G$27,MATCH($A344,Työkonekanta!$A$3:$A$24,0),1)*INDEX(Työkonekanta!$H$3:$H$27,MATCH($A344,Työkonekanta!$A$3:$A$24,0),1)*$B344,0)</f>
        <v>10000</v>
      </c>
      <c r="F344" s="344">
        <f t="shared" si="98"/>
        <v>359000</v>
      </c>
      <c r="G344" s="344">
        <f t="shared" si="105"/>
        <v>323100</v>
      </c>
      <c r="H344" s="344">
        <f t="shared" si="106"/>
        <v>35900</v>
      </c>
      <c r="I344" s="145">
        <f t="shared" si="99"/>
        <v>9000</v>
      </c>
      <c r="J344" s="145">
        <f t="shared" si="100"/>
        <v>1046.6472303206997</v>
      </c>
      <c r="K344" s="142" t="str">
        <f t="shared" si="108"/>
        <v>l</v>
      </c>
      <c r="L344" s="146">
        <f>IFERROR(INDEX(Työkonekanta!$I$3:$I$27,MATCH('S0a Baseline'!$A344,Työkonekanta!$A$3:$A$24,0),1)*(I344+J344)*f_adblue,0)</f>
        <v>502.33236151603501</v>
      </c>
      <c r="M344" s="146">
        <f t="shared" si="84"/>
        <v>0</v>
      </c>
      <c r="N344" s="143" t="str">
        <f>IF(tuulisähkö_vuosi&lt;='S0a Baseline'!C344,"tuulisähkö",ostosähkö_nyt)</f>
        <v>jäännössähkö</v>
      </c>
      <c r="O344" s="147">
        <f>INDEX(Muuttujat!$J$5:$J$21,MATCH($C344,Muuttujat!$H$5:$H$21,0),1)</f>
        <v>61.999687056709845</v>
      </c>
      <c r="P344" s="342">
        <f>1-(INDEX(Muuttujat!$O$5:$O$21,MATCH($C344,Muuttujat!$N$5:$N$21,0),1))</f>
        <v>0.9</v>
      </c>
      <c r="Q344" s="342">
        <f>INDEX(Muuttujat!$O$5:$O$21,MATCH($C344,Muuttujat!$N$5:$N$21,0),1)</f>
        <v>0.1</v>
      </c>
      <c r="R344" s="148">
        <f>INDEX(Muuttujat!$P$5:$P$21,MATCH($C344,Muuttujat!$N$5:$N$21,0),1)</f>
        <v>0.10417875759940039</v>
      </c>
      <c r="S344" s="149">
        <f t="shared" si="101"/>
        <v>6.1065899999999997</v>
      </c>
      <c r="T344" s="150">
        <f t="shared" si="102"/>
        <v>2.2401599999999999</v>
      </c>
      <c r="U344" s="150">
        <f t="shared" si="103"/>
        <v>0</v>
      </c>
      <c r="V344" s="150">
        <f>IFERROR(INDEX(Työkonekanta!$J$3:$J$27,MATCH($A344,Työkonekanta!$A$3:$A$24,0),1)*$B344*ef_li_ion_akku/1000/1000/INDEX(Työkonekanta!$K$3:$K$27,MATCH($A344,Työkonekanta!$A$3:$A$24,0)),0)</f>
        <v>0</v>
      </c>
      <c r="W344" s="149">
        <f t="shared" si="104"/>
        <v>23.847446957400003</v>
      </c>
      <c r="X344" s="150">
        <f t="shared" si="89"/>
        <v>0.31774565999999999</v>
      </c>
      <c r="Y344" s="151">
        <f t="shared" si="90"/>
        <v>0.13060641399416908</v>
      </c>
      <c r="Z344" s="152">
        <f t="shared" si="107"/>
        <v>8.3467500000000001</v>
      </c>
      <c r="AA344" s="153">
        <f t="shared" si="95"/>
        <v>23.978053371394171</v>
      </c>
      <c r="AB344" s="153">
        <f t="shared" si="96"/>
        <v>24.295799031394171</v>
      </c>
      <c r="AC344" s="154">
        <f t="shared" si="91"/>
        <v>32.324803371394168</v>
      </c>
      <c r="AD344" s="156">
        <f t="shared" si="97"/>
        <v>32.642549031394168</v>
      </c>
    </row>
    <row r="345" spans="1:30" s="144" customFormat="1">
      <c r="A345" s="139">
        <v>13</v>
      </c>
      <c r="B345" s="139">
        <f>IFERROR(INDEX(Työkonekanta!$F$3:$F$27,MATCH('S0a Baseline'!$A345,Työkonekanta!$A$3:$A$24,0),1),0)</f>
        <v>0</v>
      </c>
      <c r="C345" s="140">
        <v>2030</v>
      </c>
      <c r="D345" s="141" t="str">
        <f>IFERROR(INDEX(Työkonekanta!$D$3:$D$27,MATCH('S0a Baseline'!$A345,Työkonekanta!$A$3:$A$24,0),1),"undefined")</f>
        <v>pom</v>
      </c>
      <c r="E345" s="145">
        <f>IFERROR(INDEX(Työkonekanta!$G$3:$G$27,MATCH($A345,Työkonekanta!$A$3:$A$24,0),1)*INDEX(Työkonekanta!$H$3:$H$27,MATCH($A345,Työkonekanta!$A$3:$A$24,0),1)*$B345,0)</f>
        <v>0</v>
      </c>
      <c r="F345" s="344">
        <f t="shared" si="98"/>
        <v>0</v>
      </c>
      <c r="G345" s="344">
        <f t="shared" si="105"/>
        <v>0</v>
      </c>
      <c r="H345" s="344">
        <f t="shared" si="106"/>
        <v>0</v>
      </c>
      <c r="I345" s="145">
        <f t="shared" si="99"/>
        <v>0</v>
      </c>
      <c r="J345" s="145">
        <f t="shared" si="100"/>
        <v>0</v>
      </c>
      <c r="K345" s="142" t="str">
        <f t="shared" si="108"/>
        <v>l</v>
      </c>
      <c r="L345" s="146">
        <f>IFERROR(INDEX(Työkonekanta!$I$3:$I$27,MATCH('S0a Baseline'!$A345,Työkonekanta!$A$3:$A$24,0),1)*(I345+J345)*f_adblue,0)</f>
        <v>0</v>
      </c>
      <c r="M345" s="146">
        <f t="shared" si="84"/>
        <v>0</v>
      </c>
      <c r="N345" s="143" t="str">
        <f>IF(tuulisähkö_vuosi&lt;='S0a Baseline'!C345,"tuulisähkö",ostosähkö_nyt)</f>
        <v>jäännössähkö</v>
      </c>
      <c r="O345" s="147">
        <f>INDEX(Muuttujat!$J$5:$J$21,MATCH($C345,Muuttujat!$H$5:$H$21,0),1)</f>
        <v>61.999687056709845</v>
      </c>
      <c r="P345" s="342">
        <f>1-(INDEX(Muuttujat!$O$5:$O$21,MATCH($C345,Muuttujat!$N$5:$N$21,0),1))</f>
        <v>0.9</v>
      </c>
      <c r="Q345" s="342">
        <f>INDEX(Muuttujat!$O$5:$O$21,MATCH($C345,Muuttujat!$N$5:$N$21,0),1)</f>
        <v>0.1</v>
      </c>
      <c r="R345" s="148">
        <f>INDEX(Muuttujat!$P$5:$P$21,MATCH($C345,Muuttujat!$N$5:$N$21,0),1)</f>
        <v>0.10417875759940039</v>
      </c>
      <c r="S345" s="149">
        <f t="shared" si="101"/>
        <v>0</v>
      </c>
      <c r="T345" s="150">
        <f t="shared" si="102"/>
        <v>0</v>
      </c>
      <c r="U345" s="150">
        <f t="shared" si="103"/>
        <v>0</v>
      </c>
      <c r="V345" s="150">
        <f>IFERROR(INDEX(Työkonekanta!$J$3:$J$27,MATCH($A345,Työkonekanta!$A$3:$A$24,0),1)*$B345*ef_li_ion_akku/1000/1000/INDEX(Työkonekanta!$K$3:$K$27,MATCH($A345,Työkonekanta!$A$3:$A$24,0)),0)</f>
        <v>0</v>
      </c>
      <c r="W345" s="149">
        <f t="shared" si="104"/>
        <v>0</v>
      </c>
      <c r="X345" s="150">
        <f t="shared" si="89"/>
        <v>0</v>
      </c>
      <c r="Y345" s="151">
        <f t="shared" si="90"/>
        <v>0</v>
      </c>
      <c r="Z345" s="152">
        <f t="shared" si="107"/>
        <v>0</v>
      </c>
      <c r="AA345" s="153">
        <f t="shared" si="95"/>
        <v>0</v>
      </c>
      <c r="AB345" s="153">
        <f t="shared" si="96"/>
        <v>0</v>
      </c>
      <c r="AC345" s="154">
        <f t="shared" si="91"/>
        <v>0</v>
      </c>
      <c r="AD345" s="156">
        <f t="shared" si="97"/>
        <v>0</v>
      </c>
    </row>
    <row r="346" spans="1:30" s="144" customFormat="1">
      <c r="A346" s="139">
        <v>14</v>
      </c>
      <c r="B346" s="139">
        <f>IFERROR(INDEX(Työkonekanta!$F$3:$F$27,MATCH('S0a Baseline'!$A346,Työkonekanta!$A$3:$A$24,0),1),0)</f>
        <v>0</v>
      </c>
      <c r="C346" s="140">
        <v>2030</v>
      </c>
      <c r="D346" s="141" t="str">
        <f>IFERROR(INDEX(Työkonekanta!$D$3:$D$27,MATCH('S0a Baseline'!$A346,Työkonekanta!$A$3:$A$24,0),1),"undefined")</f>
        <v>pom</v>
      </c>
      <c r="E346" s="145">
        <f>IFERROR(INDEX(Työkonekanta!$G$3:$G$27,MATCH($A346,Työkonekanta!$A$3:$A$24,0),1)*INDEX(Työkonekanta!$H$3:$H$27,MATCH($A346,Työkonekanta!$A$3:$A$24,0),1)*$B346,0)</f>
        <v>0</v>
      </c>
      <c r="F346" s="344">
        <f t="shared" si="98"/>
        <v>0</v>
      </c>
      <c r="G346" s="344">
        <f t="shared" si="105"/>
        <v>0</v>
      </c>
      <c r="H346" s="344">
        <f t="shared" si="106"/>
        <v>0</v>
      </c>
      <c r="I346" s="145">
        <f t="shared" si="99"/>
        <v>0</v>
      </c>
      <c r="J346" s="145">
        <f t="shared" si="100"/>
        <v>0</v>
      </c>
      <c r="K346" s="142" t="str">
        <f t="shared" si="108"/>
        <v>l</v>
      </c>
      <c r="L346" s="146">
        <f>IFERROR(INDEX(Työkonekanta!$I$3:$I$27,MATCH('S0a Baseline'!$A346,Työkonekanta!$A$3:$A$24,0),1)*(I346+J346)*f_adblue,0)</f>
        <v>0</v>
      </c>
      <c r="M346" s="146">
        <f t="shared" si="84"/>
        <v>0</v>
      </c>
      <c r="N346" s="143" t="str">
        <f>IF(tuulisähkö_vuosi&lt;='S0a Baseline'!C346,"tuulisähkö",ostosähkö_nyt)</f>
        <v>jäännössähkö</v>
      </c>
      <c r="O346" s="147">
        <f>INDEX(Muuttujat!$J$5:$J$21,MATCH($C346,Muuttujat!$H$5:$H$21,0),1)</f>
        <v>61.999687056709845</v>
      </c>
      <c r="P346" s="342">
        <f>1-(INDEX(Muuttujat!$O$5:$O$21,MATCH($C346,Muuttujat!$N$5:$N$21,0),1))</f>
        <v>0.9</v>
      </c>
      <c r="Q346" s="342">
        <f>INDEX(Muuttujat!$O$5:$O$21,MATCH($C346,Muuttujat!$N$5:$N$21,0),1)</f>
        <v>0.1</v>
      </c>
      <c r="R346" s="148">
        <f>INDEX(Muuttujat!$P$5:$P$21,MATCH($C346,Muuttujat!$N$5:$N$21,0),1)</f>
        <v>0.10417875759940039</v>
      </c>
      <c r="S346" s="149">
        <f t="shared" si="101"/>
        <v>0</v>
      </c>
      <c r="T346" s="150">
        <f t="shared" si="102"/>
        <v>0</v>
      </c>
      <c r="U346" s="150">
        <f t="shared" si="103"/>
        <v>0</v>
      </c>
      <c r="V346" s="150">
        <f>IFERROR(INDEX(Työkonekanta!$J$3:$J$27,MATCH($A346,Työkonekanta!$A$3:$A$24,0),1)*$B346*ef_li_ion_akku/1000/1000/INDEX(Työkonekanta!$K$3:$K$27,MATCH($A346,Työkonekanta!$A$3:$A$24,0)),0)</f>
        <v>0</v>
      </c>
      <c r="W346" s="149">
        <f t="shared" si="104"/>
        <v>0</v>
      </c>
      <c r="X346" s="150">
        <f t="shared" si="89"/>
        <v>0</v>
      </c>
      <c r="Y346" s="151">
        <f t="shared" si="90"/>
        <v>0</v>
      </c>
      <c r="Z346" s="152">
        <f t="shared" si="107"/>
        <v>0</v>
      </c>
      <c r="AA346" s="153">
        <f t="shared" si="95"/>
        <v>0</v>
      </c>
      <c r="AB346" s="153">
        <f t="shared" si="96"/>
        <v>0</v>
      </c>
      <c r="AC346" s="154">
        <f t="shared" si="91"/>
        <v>0</v>
      </c>
      <c r="AD346" s="156">
        <f t="shared" si="97"/>
        <v>0</v>
      </c>
    </row>
    <row r="347" spans="1:30" s="144" customFormat="1">
      <c r="A347" s="139">
        <v>15</v>
      </c>
      <c r="B347" s="139">
        <f>IFERROR(INDEX(Työkonekanta!$F$3:$F$27,MATCH('S0a Baseline'!$A347,Työkonekanta!$A$3:$A$24,0),1),0)</f>
        <v>0</v>
      </c>
      <c r="C347" s="140">
        <v>2030</v>
      </c>
      <c r="D347" s="141" t="str">
        <f>IFERROR(INDEX(Työkonekanta!$D$3:$D$27,MATCH('S0a Baseline'!$A347,Työkonekanta!$A$3:$A$24,0),1),"undefined")</f>
        <v>sähkö</v>
      </c>
      <c r="E347" s="145">
        <f>IFERROR(INDEX(Työkonekanta!$G$3:$G$27,MATCH($A347,Työkonekanta!$A$3:$A$24,0),1)*INDEX(Työkonekanta!$H$3:$H$27,MATCH($A347,Työkonekanta!$A$3:$A$24,0),1)*$B347,0)</f>
        <v>0</v>
      </c>
      <c r="F347" s="344">
        <f t="shared" si="98"/>
        <v>0</v>
      </c>
      <c r="G347" s="344">
        <f t="shared" si="105"/>
        <v>0</v>
      </c>
      <c r="H347" s="344">
        <f t="shared" si="106"/>
        <v>0</v>
      </c>
      <c r="I347" s="145">
        <f t="shared" si="99"/>
        <v>0</v>
      </c>
      <c r="J347" s="145">
        <f t="shared" si="100"/>
        <v>0</v>
      </c>
      <c r="K347" s="142" t="str">
        <f t="shared" si="108"/>
        <v>kWh</v>
      </c>
      <c r="L347" s="146">
        <f>IFERROR(INDEX(Työkonekanta!$I$3:$I$27,MATCH('S0a Baseline'!$A347,Työkonekanta!$A$3:$A$24,0),1)*(I347+J347)*f_adblue,0)</f>
        <v>0</v>
      </c>
      <c r="M347" s="146">
        <f t="shared" ref="M347:M434" si="109">IF($D347="sähkö",conv_kwh_mj*$E347,0)</f>
        <v>0</v>
      </c>
      <c r="N347" s="143" t="str">
        <f>IF(tuulisähkö_vuosi&lt;='S0a Baseline'!C347,"tuulisähkö",ostosähkö_nyt)</f>
        <v>jäännössähkö</v>
      </c>
      <c r="O347" s="147">
        <f>INDEX(Muuttujat!$J$5:$J$21,MATCH($C347,Muuttujat!$H$5:$H$21,0),1)</f>
        <v>61.999687056709845</v>
      </c>
      <c r="P347" s="342">
        <f>1-(INDEX(Muuttujat!$O$5:$O$21,MATCH($C347,Muuttujat!$N$5:$N$21,0),1))</f>
        <v>0.9</v>
      </c>
      <c r="Q347" s="342">
        <f>INDEX(Muuttujat!$O$5:$O$21,MATCH($C347,Muuttujat!$N$5:$N$21,0),1)</f>
        <v>0.1</v>
      </c>
      <c r="R347" s="148">
        <f>INDEX(Muuttujat!$P$5:$P$21,MATCH($C347,Muuttujat!$N$5:$N$21,0),1)</f>
        <v>0.10417875759940039</v>
      </c>
      <c r="S347" s="149">
        <f t="shared" si="101"/>
        <v>0</v>
      </c>
      <c r="T347" s="150">
        <f t="shared" si="102"/>
        <v>0</v>
      </c>
      <c r="U347" s="150">
        <f t="shared" si="103"/>
        <v>0</v>
      </c>
      <c r="V347" s="150">
        <f>IFERROR(INDEX(Työkonekanta!$J$3:$J$27,MATCH($A347,Työkonekanta!$A$3:$A$24,0),1)*$B347*ef_li_ion_akku/1000/1000/INDEX(Työkonekanta!$K$3:$K$27,MATCH($A347,Työkonekanta!$A$3:$A$24,0)),0)</f>
        <v>0</v>
      </c>
      <c r="W347" s="149">
        <f t="shared" si="104"/>
        <v>0</v>
      </c>
      <c r="X347" s="150">
        <f t="shared" ref="X347:X434" si="110">($E347*(IF($D347="pom",ef_v_ch4_pom,0)*gwp100_ch4+IF($D347="pom",ef_v_n2o_pom,0)*gwp100_n2o))/1000/1000</f>
        <v>0</v>
      </c>
      <c r="Y347" s="151">
        <f t="shared" ref="Y347:Y434" si="111">$L347*ef_v_co2_adblue/1000/1000</f>
        <v>0</v>
      </c>
      <c r="Z347" s="152">
        <f t="shared" si="107"/>
        <v>0</v>
      </c>
      <c r="AA347" s="153">
        <f t="shared" si="95"/>
        <v>0</v>
      </c>
      <c r="AB347" s="153">
        <f t="shared" si="96"/>
        <v>0</v>
      </c>
      <c r="AC347" s="154">
        <f t="shared" ref="AC347:AC434" si="112">$Z347+$AA347</f>
        <v>0</v>
      </c>
      <c r="AD347" s="156">
        <f t="shared" si="97"/>
        <v>0</v>
      </c>
    </row>
    <row r="348" spans="1:30" s="144" customFormat="1">
      <c r="A348" s="139">
        <v>16</v>
      </c>
      <c r="B348" s="139">
        <f>IFERROR(INDEX(Työkonekanta!$F$3:$F$27,MATCH('S0a Baseline'!$A348,Työkonekanta!$A$3:$A$24,0),1),0)</f>
        <v>0</v>
      </c>
      <c r="C348" s="140">
        <v>2030</v>
      </c>
      <c r="D348" s="141" t="str">
        <f>IFERROR(INDEX(Työkonekanta!$D$3:$D$27,MATCH('S0a Baseline'!$A348,Työkonekanta!$A$3:$A$24,0),1),"undefined")</f>
        <v>sähkö</v>
      </c>
      <c r="E348" s="145">
        <f>IFERROR(INDEX(Työkonekanta!$G$3:$G$27,MATCH($A348,Työkonekanta!$A$3:$A$24,0),1)*INDEX(Työkonekanta!$H$3:$H$27,MATCH($A348,Työkonekanta!$A$3:$A$24,0),1)*$B348,0)</f>
        <v>0</v>
      </c>
      <c r="F348" s="344">
        <f t="shared" si="98"/>
        <v>0</v>
      </c>
      <c r="G348" s="344">
        <f t="shared" si="105"/>
        <v>0</v>
      </c>
      <c r="H348" s="344">
        <f t="shared" si="106"/>
        <v>0</v>
      </c>
      <c r="I348" s="145">
        <f t="shared" si="99"/>
        <v>0</v>
      </c>
      <c r="J348" s="145">
        <f t="shared" si="100"/>
        <v>0</v>
      </c>
      <c r="K348" s="142" t="str">
        <f t="shared" si="108"/>
        <v>kWh</v>
      </c>
      <c r="L348" s="146">
        <f>IFERROR(INDEX(Työkonekanta!$I$3:$I$27,MATCH('S0a Baseline'!$A348,Työkonekanta!$A$3:$A$24,0),1)*(I348+J348)*f_adblue,0)</f>
        <v>0</v>
      </c>
      <c r="M348" s="146">
        <f t="shared" si="109"/>
        <v>0</v>
      </c>
      <c r="N348" s="143" t="str">
        <f>IF(tuulisähkö_vuosi&lt;='S0a Baseline'!C348,"tuulisähkö",ostosähkö_nyt)</f>
        <v>jäännössähkö</v>
      </c>
      <c r="O348" s="147">
        <f>INDEX(Muuttujat!$J$5:$J$21,MATCH($C348,Muuttujat!$H$5:$H$21,0),1)</f>
        <v>61.999687056709845</v>
      </c>
      <c r="P348" s="342">
        <f>1-(INDEX(Muuttujat!$O$5:$O$21,MATCH($C348,Muuttujat!$N$5:$N$21,0),1))</f>
        <v>0.9</v>
      </c>
      <c r="Q348" s="342">
        <f>INDEX(Muuttujat!$O$5:$O$21,MATCH($C348,Muuttujat!$N$5:$N$21,0),1)</f>
        <v>0.1</v>
      </c>
      <c r="R348" s="148">
        <f>INDEX(Muuttujat!$P$5:$P$21,MATCH($C348,Muuttujat!$N$5:$N$21,0),1)</f>
        <v>0.10417875759940039</v>
      </c>
      <c r="S348" s="149">
        <f t="shared" si="101"/>
        <v>0</v>
      </c>
      <c r="T348" s="150">
        <f t="shared" si="102"/>
        <v>0</v>
      </c>
      <c r="U348" s="150">
        <f t="shared" si="103"/>
        <v>0</v>
      </c>
      <c r="V348" s="150">
        <f>IFERROR(INDEX(Työkonekanta!$J$3:$J$27,MATCH($A348,Työkonekanta!$A$3:$A$24,0),1)*$B348*ef_li_ion_akku/1000/1000/INDEX(Työkonekanta!$K$3:$K$27,MATCH($A348,Työkonekanta!$A$3:$A$24,0)),0)</f>
        <v>0</v>
      </c>
      <c r="W348" s="149">
        <f t="shared" si="104"/>
        <v>0</v>
      </c>
      <c r="X348" s="150">
        <f t="shared" si="110"/>
        <v>0</v>
      </c>
      <c r="Y348" s="151">
        <f t="shared" si="111"/>
        <v>0</v>
      </c>
      <c r="Z348" s="152">
        <f t="shared" si="107"/>
        <v>0</v>
      </c>
      <c r="AA348" s="153">
        <f t="shared" ref="AA348:AA435" si="113">$W348+$Y348</f>
        <v>0</v>
      </c>
      <c r="AB348" s="153">
        <f t="shared" ref="AB348:AB435" si="114">SUM($W348:$Y348)</f>
        <v>0</v>
      </c>
      <c r="AC348" s="154">
        <f t="shared" si="112"/>
        <v>0</v>
      </c>
      <c r="AD348" s="156">
        <f t="shared" ref="AD348:AD435" si="115">$Z348+$AB348</f>
        <v>0</v>
      </c>
    </row>
    <row r="349" spans="1:30" s="144" customFormat="1">
      <c r="A349" s="139">
        <v>17</v>
      </c>
      <c r="B349" s="139">
        <f>IFERROR(INDEX(Työkonekanta!$F$3:$F$27,MATCH('S0a Baseline'!$A349,Työkonekanta!$A$3:$A$24,0),1),0)</f>
        <v>1</v>
      </c>
      <c r="C349" s="140">
        <v>2030</v>
      </c>
      <c r="D349" s="141" t="str">
        <f>IFERROR(INDEX(Työkonekanta!$D$3:$D$27,MATCH('S0a Baseline'!$A349,Työkonekanta!$A$3:$A$24,0),1),"undefined")</f>
        <v>pom</v>
      </c>
      <c r="E349" s="145">
        <f>IFERROR(INDEX(Työkonekanta!$G$3:$G$27,MATCH($A349,Työkonekanta!$A$3:$A$24,0),1)*INDEX(Työkonekanta!$H$3:$H$27,MATCH($A349,Työkonekanta!$A$3:$A$24,0),1)*$B349,0)</f>
        <v>10000</v>
      </c>
      <c r="F349" s="344">
        <f t="shared" si="98"/>
        <v>359000</v>
      </c>
      <c r="G349" s="344">
        <f t="shared" si="105"/>
        <v>323100</v>
      </c>
      <c r="H349" s="344">
        <f t="shared" si="106"/>
        <v>35900</v>
      </c>
      <c r="I349" s="145">
        <f t="shared" si="99"/>
        <v>9000</v>
      </c>
      <c r="J349" s="145">
        <f t="shared" si="100"/>
        <v>1046.6472303206997</v>
      </c>
      <c r="K349" s="142" t="str">
        <f t="shared" si="108"/>
        <v>l</v>
      </c>
      <c r="L349" s="146">
        <f>IFERROR(INDEX(Työkonekanta!$I$3:$I$27,MATCH('S0a Baseline'!$A349,Työkonekanta!$A$3:$A$24,0),1)*(I349+J349)*f_adblue,0)</f>
        <v>502.33236151603501</v>
      </c>
      <c r="M349" s="146">
        <f t="shared" si="109"/>
        <v>0</v>
      </c>
      <c r="N349" s="143" t="str">
        <f>IF(tuulisähkö_vuosi&lt;='S0a Baseline'!C349,"tuulisähkö",ostosähkö_nyt)</f>
        <v>jäännössähkö</v>
      </c>
      <c r="O349" s="147">
        <f>INDEX(Muuttujat!$J$5:$J$21,MATCH($C349,Muuttujat!$H$5:$H$21,0),1)</f>
        <v>61.999687056709845</v>
      </c>
      <c r="P349" s="342">
        <f>1-(INDEX(Muuttujat!$O$5:$O$21,MATCH($C349,Muuttujat!$N$5:$N$21,0),1))</f>
        <v>0.9</v>
      </c>
      <c r="Q349" s="342">
        <f>INDEX(Muuttujat!$O$5:$O$21,MATCH($C349,Muuttujat!$N$5:$N$21,0),1)</f>
        <v>0.1</v>
      </c>
      <c r="R349" s="148">
        <f>INDEX(Muuttujat!$P$5:$P$21,MATCH($C349,Muuttujat!$N$5:$N$21,0),1)</f>
        <v>0.10417875759940039</v>
      </c>
      <c r="S349" s="149">
        <f t="shared" si="101"/>
        <v>6.1065899999999997</v>
      </c>
      <c r="T349" s="150">
        <f t="shared" si="102"/>
        <v>2.2401599999999999</v>
      </c>
      <c r="U349" s="150">
        <f t="shared" si="103"/>
        <v>0</v>
      </c>
      <c r="V349" s="150">
        <f>IFERROR(INDEX(Työkonekanta!$J$3:$J$27,MATCH($A349,Työkonekanta!$A$3:$A$24,0),1)*$B349*ef_li_ion_akku/1000/1000/INDEX(Työkonekanta!$K$3:$K$27,MATCH($A349,Työkonekanta!$A$3:$A$24,0)),0)</f>
        <v>0</v>
      </c>
      <c r="W349" s="149">
        <f t="shared" si="104"/>
        <v>23.847446957400003</v>
      </c>
      <c r="X349" s="150">
        <f t="shared" si="110"/>
        <v>0.31774565999999999</v>
      </c>
      <c r="Y349" s="151">
        <f t="shared" si="111"/>
        <v>0.13060641399416908</v>
      </c>
      <c r="Z349" s="152">
        <f t="shared" si="107"/>
        <v>8.3467500000000001</v>
      </c>
      <c r="AA349" s="153">
        <f t="shared" si="113"/>
        <v>23.978053371394171</v>
      </c>
      <c r="AB349" s="153">
        <f t="shared" si="114"/>
        <v>24.295799031394171</v>
      </c>
      <c r="AC349" s="154">
        <f t="shared" si="112"/>
        <v>32.324803371394168</v>
      </c>
      <c r="AD349" s="156">
        <f t="shared" si="115"/>
        <v>32.642549031394168</v>
      </c>
    </row>
    <row r="350" spans="1:30" s="144" customFormat="1">
      <c r="A350" s="139">
        <v>18</v>
      </c>
      <c r="B350" s="139">
        <f>IFERROR(INDEX(Työkonekanta!$F$3:$F$27,MATCH('S0a Baseline'!$A350,Työkonekanta!$A$3:$A$24,0),1),0)</f>
        <v>1</v>
      </c>
      <c r="C350" s="140">
        <v>2030</v>
      </c>
      <c r="D350" s="141" t="str">
        <f>IFERROR(INDEX(Työkonekanta!$D$3:$D$27,MATCH('S0a Baseline'!$A350,Työkonekanta!$A$3:$A$24,0),1),"undefined")</f>
        <v>pom</v>
      </c>
      <c r="E350" s="145">
        <f>IFERROR(INDEX(Työkonekanta!$G$3:$G$27,MATCH($A350,Työkonekanta!$A$3:$A$24,0),1)*INDEX(Työkonekanta!$H$3:$H$27,MATCH($A350,Työkonekanta!$A$3:$A$24,0),1)*$B350,0)</f>
        <v>10000</v>
      </c>
      <c r="F350" s="344">
        <f t="shared" si="98"/>
        <v>359000</v>
      </c>
      <c r="G350" s="344">
        <f t="shared" si="105"/>
        <v>323100</v>
      </c>
      <c r="H350" s="344">
        <f t="shared" si="106"/>
        <v>35900</v>
      </c>
      <c r="I350" s="145">
        <f t="shared" si="99"/>
        <v>9000</v>
      </c>
      <c r="J350" s="145">
        <f t="shared" si="100"/>
        <v>1046.6472303206997</v>
      </c>
      <c r="K350" s="142" t="str">
        <f t="shared" si="108"/>
        <v>l</v>
      </c>
      <c r="L350" s="146">
        <f>IFERROR(INDEX(Työkonekanta!$I$3:$I$27,MATCH('S0a Baseline'!$A350,Työkonekanta!$A$3:$A$24,0),1)*(I350+J350)*f_adblue,0)</f>
        <v>401.86588921282805</v>
      </c>
      <c r="M350" s="146">
        <f t="shared" si="109"/>
        <v>0</v>
      </c>
      <c r="N350" s="143" t="str">
        <f>IF(tuulisähkö_vuosi&lt;='S0a Baseline'!C350,"tuulisähkö",ostosähkö_nyt)</f>
        <v>jäännössähkö</v>
      </c>
      <c r="O350" s="147">
        <f>INDEX(Muuttujat!$J$5:$J$21,MATCH($C350,Muuttujat!$H$5:$H$21,0),1)</f>
        <v>61.999687056709845</v>
      </c>
      <c r="P350" s="342">
        <f>1-(INDEX(Muuttujat!$O$5:$O$21,MATCH($C350,Muuttujat!$N$5:$N$21,0),1))</f>
        <v>0.9</v>
      </c>
      <c r="Q350" s="342">
        <f>INDEX(Muuttujat!$O$5:$O$21,MATCH($C350,Muuttujat!$N$5:$N$21,0),1)</f>
        <v>0.1</v>
      </c>
      <c r="R350" s="148">
        <f>INDEX(Muuttujat!$P$5:$P$21,MATCH($C350,Muuttujat!$N$5:$N$21,0),1)</f>
        <v>0.10417875759940039</v>
      </c>
      <c r="S350" s="149">
        <f t="shared" si="101"/>
        <v>6.1065899999999997</v>
      </c>
      <c r="T350" s="150">
        <f t="shared" si="102"/>
        <v>2.2401599999999999</v>
      </c>
      <c r="U350" s="150">
        <f t="shared" si="103"/>
        <v>0</v>
      </c>
      <c r="V350" s="150">
        <f>IFERROR(INDEX(Työkonekanta!$J$3:$J$27,MATCH($A350,Työkonekanta!$A$3:$A$24,0),1)*$B350*ef_li_ion_akku/1000/1000/INDEX(Työkonekanta!$K$3:$K$27,MATCH($A350,Työkonekanta!$A$3:$A$24,0)),0)</f>
        <v>0</v>
      </c>
      <c r="W350" s="149">
        <f t="shared" si="104"/>
        <v>23.847446957400003</v>
      </c>
      <c r="X350" s="150">
        <f t="shared" si="110"/>
        <v>0.31774565999999999</v>
      </c>
      <c r="Y350" s="151">
        <f t="shared" si="111"/>
        <v>0.1044851311953353</v>
      </c>
      <c r="Z350" s="152">
        <f t="shared" si="107"/>
        <v>8.3467500000000001</v>
      </c>
      <c r="AA350" s="153">
        <f t="shared" si="113"/>
        <v>23.951932088595338</v>
      </c>
      <c r="AB350" s="153">
        <f t="shared" si="114"/>
        <v>24.269677748595338</v>
      </c>
      <c r="AC350" s="154">
        <f t="shared" si="112"/>
        <v>32.298682088595342</v>
      </c>
      <c r="AD350" s="156">
        <f t="shared" si="115"/>
        <v>32.616427748595342</v>
      </c>
    </row>
    <row r="351" spans="1:30" s="144" customFormat="1">
      <c r="A351" s="139">
        <v>19</v>
      </c>
      <c r="B351" s="139">
        <f>IFERROR(INDEX(Työkonekanta!$F$3:$F$27,MATCH('S0a Baseline'!$A351,Työkonekanta!$A$3:$A$24,0),1),0)</f>
        <v>0</v>
      </c>
      <c r="C351" s="140">
        <v>2030</v>
      </c>
      <c r="D351" s="141" t="str">
        <f>IFERROR(INDEX(Työkonekanta!$D$3:$D$27,MATCH('S0a Baseline'!$A351,Työkonekanta!$A$3:$A$24,0),1),"undefined")</f>
        <v>pom</v>
      </c>
      <c r="E351" s="145">
        <f>IFERROR(INDEX(Työkonekanta!$G$3:$G$27,MATCH($A351,Työkonekanta!$A$3:$A$24,0),1)*INDEX(Työkonekanta!$H$3:$H$27,MATCH($A351,Työkonekanta!$A$3:$A$24,0),1)*$B351,0)</f>
        <v>0</v>
      </c>
      <c r="F351" s="344">
        <f t="shared" si="98"/>
        <v>0</v>
      </c>
      <c r="G351" s="344">
        <f t="shared" si="105"/>
        <v>0</v>
      </c>
      <c r="H351" s="344">
        <f t="shared" si="106"/>
        <v>0</v>
      </c>
      <c r="I351" s="145">
        <f t="shared" si="99"/>
        <v>0</v>
      </c>
      <c r="J351" s="145">
        <f t="shared" si="100"/>
        <v>0</v>
      </c>
      <c r="K351" s="142" t="str">
        <f t="shared" si="108"/>
        <v>l</v>
      </c>
      <c r="L351" s="146">
        <f>IFERROR(INDEX(Työkonekanta!$I$3:$I$27,MATCH('S0a Baseline'!$A351,Työkonekanta!$A$3:$A$24,0),1)*(I351+J351)*f_adblue,0)</f>
        <v>0</v>
      </c>
      <c r="M351" s="146">
        <f t="shared" si="109"/>
        <v>0</v>
      </c>
      <c r="N351" s="143" t="str">
        <f>IF(tuulisähkö_vuosi&lt;='S0a Baseline'!C351,"tuulisähkö",ostosähkö_nyt)</f>
        <v>jäännössähkö</v>
      </c>
      <c r="O351" s="147">
        <f>INDEX(Muuttujat!$J$5:$J$21,MATCH($C351,Muuttujat!$H$5:$H$21,0),1)</f>
        <v>61.999687056709845</v>
      </c>
      <c r="P351" s="342">
        <f>1-(INDEX(Muuttujat!$O$5:$O$21,MATCH($C351,Muuttujat!$N$5:$N$21,0),1))</f>
        <v>0.9</v>
      </c>
      <c r="Q351" s="342">
        <f>INDEX(Muuttujat!$O$5:$O$21,MATCH($C351,Muuttujat!$N$5:$N$21,0),1)</f>
        <v>0.1</v>
      </c>
      <c r="R351" s="148">
        <f>INDEX(Muuttujat!$P$5:$P$21,MATCH($C351,Muuttujat!$N$5:$N$21,0),1)</f>
        <v>0.10417875759940039</v>
      </c>
      <c r="S351" s="149">
        <f t="shared" si="101"/>
        <v>0</v>
      </c>
      <c r="T351" s="150">
        <f t="shared" si="102"/>
        <v>0</v>
      </c>
      <c r="U351" s="150">
        <f t="shared" si="103"/>
        <v>0</v>
      </c>
      <c r="V351" s="150">
        <f>IFERROR(INDEX(Työkonekanta!$J$3:$J$27,MATCH($A351,Työkonekanta!$A$3:$A$24,0),1)*$B351*ef_li_ion_akku/1000/1000/INDEX(Työkonekanta!$K$3:$K$27,MATCH($A351,Työkonekanta!$A$3:$A$24,0)),0)</f>
        <v>0</v>
      </c>
      <c r="W351" s="149">
        <f t="shared" si="104"/>
        <v>0</v>
      </c>
      <c r="X351" s="150">
        <f t="shared" si="110"/>
        <v>0</v>
      </c>
      <c r="Y351" s="151">
        <f t="shared" si="111"/>
        <v>0</v>
      </c>
      <c r="Z351" s="152">
        <f t="shared" si="107"/>
        <v>0</v>
      </c>
      <c r="AA351" s="153">
        <f t="shared" si="113"/>
        <v>0</v>
      </c>
      <c r="AB351" s="153">
        <f t="shared" si="114"/>
        <v>0</v>
      </c>
      <c r="AC351" s="154">
        <f t="shared" si="112"/>
        <v>0</v>
      </c>
      <c r="AD351" s="156">
        <f t="shared" si="115"/>
        <v>0</v>
      </c>
    </row>
    <row r="352" spans="1:30" s="144" customFormat="1">
      <c r="A352" s="139">
        <v>20</v>
      </c>
      <c r="B352" s="139">
        <f>IFERROR(INDEX(Työkonekanta!$F$3:$F$27,MATCH('S0a Baseline'!$A352,Työkonekanta!$A$3:$A$24,0),1),0)</f>
        <v>0</v>
      </c>
      <c r="C352" s="140">
        <v>2030</v>
      </c>
      <c r="D352" s="141" t="str">
        <f>IFERROR(INDEX(Työkonekanta!$D$3:$D$27,MATCH('S0a Baseline'!$A352,Työkonekanta!$A$3:$A$24,0),1),"undefined")</f>
        <v>pom</v>
      </c>
      <c r="E352" s="145">
        <f>IFERROR(INDEX(Työkonekanta!$G$3:$G$27,MATCH($A352,Työkonekanta!$A$3:$A$24,0),1)*INDEX(Työkonekanta!$H$3:$H$27,MATCH($A352,Työkonekanta!$A$3:$A$24,0),1)*$B352,0)</f>
        <v>0</v>
      </c>
      <c r="F352" s="344">
        <f t="shared" si="98"/>
        <v>0</v>
      </c>
      <c r="G352" s="344">
        <f t="shared" si="105"/>
        <v>0</v>
      </c>
      <c r="H352" s="344">
        <f t="shared" si="106"/>
        <v>0</v>
      </c>
      <c r="I352" s="145">
        <f t="shared" si="99"/>
        <v>0</v>
      </c>
      <c r="J352" s="145">
        <f t="shared" si="100"/>
        <v>0</v>
      </c>
      <c r="K352" s="142" t="str">
        <f t="shared" si="108"/>
        <v>l</v>
      </c>
      <c r="L352" s="146">
        <f>IFERROR(INDEX(Työkonekanta!$I$3:$I$27,MATCH('S0a Baseline'!$A352,Työkonekanta!$A$3:$A$24,0),1)*(I352+J352)*f_adblue,0)</f>
        <v>0</v>
      </c>
      <c r="M352" s="146">
        <f t="shared" si="109"/>
        <v>0</v>
      </c>
      <c r="N352" s="143" t="str">
        <f>IF(tuulisähkö_vuosi&lt;='S0a Baseline'!C352,"tuulisähkö",ostosähkö_nyt)</f>
        <v>jäännössähkö</v>
      </c>
      <c r="O352" s="147">
        <f>INDEX(Muuttujat!$J$5:$J$21,MATCH($C352,Muuttujat!$H$5:$H$21,0),1)</f>
        <v>61.999687056709845</v>
      </c>
      <c r="P352" s="342">
        <f>1-(INDEX(Muuttujat!$O$5:$O$21,MATCH($C352,Muuttujat!$N$5:$N$21,0),1))</f>
        <v>0.9</v>
      </c>
      <c r="Q352" s="342">
        <f>INDEX(Muuttujat!$O$5:$O$21,MATCH($C352,Muuttujat!$N$5:$N$21,0),1)</f>
        <v>0.1</v>
      </c>
      <c r="R352" s="148">
        <f>INDEX(Muuttujat!$P$5:$P$21,MATCH($C352,Muuttujat!$N$5:$N$21,0),1)</f>
        <v>0.10417875759940039</v>
      </c>
      <c r="S352" s="149">
        <f t="shared" si="101"/>
        <v>0</v>
      </c>
      <c r="T352" s="150">
        <f t="shared" si="102"/>
        <v>0</v>
      </c>
      <c r="U352" s="150">
        <f t="shared" si="103"/>
        <v>0</v>
      </c>
      <c r="V352" s="150">
        <f>IFERROR(INDEX(Työkonekanta!$J$3:$J$27,MATCH($A352,Työkonekanta!$A$3:$A$24,0),1)*$B352*ef_li_ion_akku/1000/1000/INDEX(Työkonekanta!$K$3:$K$27,MATCH($A352,Työkonekanta!$A$3:$A$24,0)),0)</f>
        <v>0</v>
      </c>
      <c r="W352" s="149">
        <f t="shared" si="104"/>
        <v>0</v>
      </c>
      <c r="X352" s="150">
        <f t="shared" si="110"/>
        <v>0</v>
      </c>
      <c r="Y352" s="151">
        <f t="shared" si="111"/>
        <v>0</v>
      </c>
      <c r="Z352" s="152">
        <f t="shared" si="107"/>
        <v>0</v>
      </c>
      <c r="AA352" s="153">
        <f t="shared" si="113"/>
        <v>0</v>
      </c>
      <c r="AB352" s="153">
        <f t="shared" si="114"/>
        <v>0</v>
      </c>
      <c r="AC352" s="154">
        <f t="shared" si="112"/>
        <v>0</v>
      </c>
      <c r="AD352" s="156">
        <f t="shared" si="115"/>
        <v>0</v>
      </c>
    </row>
    <row r="353" spans="1:30" s="144" customFormat="1">
      <c r="A353" s="139">
        <v>21</v>
      </c>
      <c r="B353" s="139">
        <f>IFERROR(INDEX(Työkonekanta!$F$3:$F$27,MATCH('S0a Baseline'!$A353,Työkonekanta!$A$3:$A$24,0),1),0)</f>
        <v>35</v>
      </c>
      <c r="C353" s="140">
        <v>2030</v>
      </c>
      <c r="D353" s="141" t="str">
        <f>IFERROR(INDEX(Työkonekanta!$D$3:$D$27,MATCH('S0a Baseline'!$A353,Työkonekanta!$A$3:$A$24,0),1),"undefined")</f>
        <v>sähkö</v>
      </c>
      <c r="E353" s="145">
        <f>IFERROR(INDEX(Työkonekanta!$G$3:$G$27,MATCH($A353,Työkonekanta!$A$3:$A$24,0),1)*INDEX(Työkonekanta!$H$3:$H$27,MATCH($A353,Työkonekanta!$A$3:$A$24,0),1)*$B353,0)</f>
        <v>407199.07407407404</v>
      </c>
      <c r="F353" s="344">
        <f t="shared" si="98"/>
        <v>0</v>
      </c>
      <c r="G353" s="344">
        <f t="shared" si="105"/>
        <v>0</v>
      </c>
      <c r="H353" s="344">
        <f t="shared" si="106"/>
        <v>0</v>
      </c>
      <c r="I353" s="145">
        <f t="shared" si="99"/>
        <v>0</v>
      </c>
      <c r="J353" s="145">
        <f t="shared" si="100"/>
        <v>0</v>
      </c>
      <c r="K353" s="142" t="str">
        <f t="shared" si="108"/>
        <v>kWh</v>
      </c>
      <c r="L353" s="146">
        <f>IFERROR(INDEX(Työkonekanta!$I$3:$I$27,MATCH('S0a Baseline'!$A353,Työkonekanta!$A$3:$A$24,0),1)*(I353+J353)*f_adblue,0)</f>
        <v>0</v>
      </c>
      <c r="M353" s="146">
        <f t="shared" si="109"/>
        <v>1465916.6666666665</v>
      </c>
      <c r="N353" s="143" t="str">
        <f>IF(tuulisähkö_vuosi&lt;='S0a Baseline'!C353,"tuulisähkö",ostosähkö_nyt)</f>
        <v>jäännössähkö</v>
      </c>
      <c r="O353" s="147">
        <f>INDEX(Muuttujat!$J$5:$J$21,MATCH($C353,Muuttujat!$H$5:$H$21,0),1)</f>
        <v>61.999687056709845</v>
      </c>
      <c r="P353" s="342">
        <f>1-(INDEX(Muuttujat!$O$5:$O$21,MATCH($C353,Muuttujat!$N$5:$N$21,0),1))</f>
        <v>0.9</v>
      </c>
      <c r="Q353" s="342">
        <f>INDEX(Muuttujat!$O$5:$O$21,MATCH($C353,Muuttujat!$N$5:$N$21,0),1)</f>
        <v>0.1</v>
      </c>
      <c r="R353" s="148">
        <f>INDEX(Muuttujat!$P$5:$P$21,MATCH($C353,Muuttujat!$N$5:$N$21,0),1)</f>
        <v>0.10417875759940039</v>
      </c>
      <c r="S353" s="149">
        <f t="shared" si="101"/>
        <v>0</v>
      </c>
      <c r="T353" s="150">
        <f t="shared" si="102"/>
        <v>0</v>
      </c>
      <c r="U353" s="150">
        <f t="shared" si="103"/>
        <v>90.886374584548562</v>
      </c>
      <c r="V353" s="150">
        <f>IFERROR(INDEX(Työkonekanta!$J$3:$J$27,MATCH($A353,Työkonekanta!$A$3:$A$24,0),1)*$B353*ef_li_ion_akku/1000/1000/INDEX(Työkonekanta!$K$3:$K$27,MATCH($A353,Työkonekanta!$A$3:$A$24,0)),0)</f>
        <v>43.121723076923082</v>
      </c>
      <c r="W353" s="149">
        <f t="shared" si="104"/>
        <v>0</v>
      </c>
      <c r="X353" s="150">
        <f t="shared" si="110"/>
        <v>0</v>
      </c>
      <c r="Y353" s="151">
        <f t="shared" si="111"/>
        <v>0</v>
      </c>
      <c r="Z353" s="152">
        <f t="shared" si="107"/>
        <v>134.00809766147165</v>
      </c>
      <c r="AA353" s="153">
        <f t="shared" si="113"/>
        <v>0</v>
      </c>
      <c r="AB353" s="153">
        <f t="shared" si="114"/>
        <v>0</v>
      </c>
      <c r="AC353" s="154">
        <f t="shared" si="112"/>
        <v>134.00809766147165</v>
      </c>
      <c r="AD353" s="156">
        <f t="shared" si="115"/>
        <v>134.00809766147165</v>
      </c>
    </row>
    <row r="354" spans="1:30" s="144" customFormat="1">
      <c r="A354" s="139">
        <v>22</v>
      </c>
      <c r="B354" s="139">
        <f>IFERROR(INDEX(Työkonekanta!$F$3:$F$27,MATCH('S0a Baseline'!$A354,Työkonekanta!$A$3:$A$24,0),1),0)</f>
        <v>0</v>
      </c>
      <c r="C354" s="140">
        <v>2030</v>
      </c>
      <c r="D354" s="141" t="str">
        <f>IFERROR(INDEX(Työkonekanta!$D$3:$D$27,MATCH('S0a Baseline'!$A354,Työkonekanta!$A$3:$A$24,0),1),"undefined")</f>
        <v>sähkö</v>
      </c>
      <c r="E354" s="145">
        <f>IFERROR(INDEX(Työkonekanta!$G$3:$G$27,MATCH($A354,Työkonekanta!$A$3:$A$24,0),1)*INDEX(Työkonekanta!$H$3:$H$27,MATCH($A354,Työkonekanta!$A$3:$A$24,0),1)*$B354,0)</f>
        <v>0</v>
      </c>
      <c r="F354" s="344">
        <f t="shared" si="98"/>
        <v>0</v>
      </c>
      <c r="G354" s="344">
        <f t="shared" si="105"/>
        <v>0</v>
      </c>
      <c r="H354" s="344">
        <f t="shared" si="106"/>
        <v>0</v>
      </c>
      <c r="I354" s="145">
        <f t="shared" si="99"/>
        <v>0</v>
      </c>
      <c r="J354" s="145">
        <f t="shared" si="100"/>
        <v>0</v>
      </c>
      <c r="K354" s="142" t="str">
        <f t="shared" si="108"/>
        <v>kWh</v>
      </c>
      <c r="L354" s="146">
        <f>IFERROR(INDEX(Työkonekanta!$I$3:$I$27,MATCH('S0a Baseline'!$A354,Työkonekanta!$A$3:$A$24,0),1)*(I354+J354)*f_adblue,0)</f>
        <v>0</v>
      </c>
      <c r="M354" s="146">
        <f t="shared" si="109"/>
        <v>0</v>
      </c>
      <c r="N354" s="143" t="str">
        <f>IF(tuulisähkö_vuosi&lt;='S0a Baseline'!C354,"tuulisähkö",ostosähkö_nyt)</f>
        <v>jäännössähkö</v>
      </c>
      <c r="O354" s="147">
        <f>INDEX(Muuttujat!$J$5:$J$21,MATCH($C354,Muuttujat!$H$5:$H$21,0),1)</f>
        <v>61.999687056709845</v>
      </c>
      <c r="P354" s="342">
        <f>1-(INDEX(Muuttujat!$O$5:$O$21,MATCH($C354,Muuttujat!$N$5:$N$21,0),1))</f>
        <v>0.9</v>
      </c>
      <c r="Q354" s="342">
        <f>INDEX(Muuttujat!$O$5:$O$21,MATCH($C354,Muuttujat!$N$5:$N$21,0),1)</f>
        <v>0.1</v>
      </c>
      <c r="R354" s="148">
        <f>INDEX(Muuttujat!$P$5:$P$21,MATCH($C354,Muuttujat!$N$5:$N$21,0),1)</f>
        <v>0.10417875759940039</v>
      </c>
      <c r="S354" s="149">
        <f t="shared" si="101"/>
        <v>0</v>
      </c>
      <c r="T354" s="150">
        <f t="shared" si="102"/>
        <v>0</v>
      </c>
      <c r="U354" s="150">
        <f t="shared" si="103"/>
        <v>0</v>
      </c>
      <c r="V354" s="150">
        <f>IFERROR(INDEX(Työkonekanta!$J$3:$J$27,MATCH($A354,Työkonekanta!$A$3:$A$24,0),1)*$B354*ef_li_ion_akku/1000/1000/INDEX(Työkonekanta!$K$3:$K$27,MATCH($A354,Työkonekanta!$A$3:$A$24,0)),0)</f>
        <v>0</v>
      </c>
      <c r="W354" s="149">
        <f t="shared" si="104"/>
        <v>0</v>
      </c>
      <c r="X354" s="150">
        <f t="shared" si="110"/>
        <v>0</v>
      </c>
      <c r="Y354" s="151">
        <f t="shared" si="111"/>
        <v>0</v>
      </c>
      <c r="Z354" s="152">
        <f t="shared" si="107"/>
        <v>0</v>
      </c>
      <c r="AA354" s="153">
        <f t="shared" si="113"/>
        <v>0</v>
      </c>
      <c r="AB354" s="153">
        <f t="shared" si="114"/>
        <v>0</v>
      </c>
      <c r="AC354" s="154">
        <f t="shared" si="112"/>
        <v>0</v>
      </c>
      <c r="AD354" s="156">
        <f t="shared" si="115"/>
        <v>0</v>
      </c>
    </row>
    <row r="355" spans="1:30" s="144" customFormat="1">
      <c r="A355" s="139">
        <v>23</v>
      </c>
      <c r="B355" s="139">
        <f>IFERROR(INDEX(Työkonekanta!$F$3:$F$27,MATCH('S0a Baseline'!$A355,Työkonekanta!$A$3:$A$24,0),1),0)</f>
        <v>0</v>
      </c>
      <c r="C355" s="140">
        <v>2030</v>
      </c>
      <c r="D355" s="141" t="str">
        <f>IFERROR(INDEX(Työkonekanta!$D$3:$D$27,MATCH('S0a Baseline'!$A355,Työkonekanta!$A$3:$A$24,0),1),"undefined")</f>
        <v>undefined</v>
      </c>
      <c r="E355" s="145">
        <f>IFERROR(INDEX(Työkonekanta!$G$3:$G$27,MATCH($A355,Työkonekanta!$A$3:$A$24,0),1)*INDEX(Työkonekanta!$H$3:$H$27,MATCH($A355,Työkonekanta!$A$3:$A$24,0),1)*$B355,0)</f>
        <v>0</v>
      </c>
      <c r="F355" s="344">
        <f t="shared" si="98"/>
        <v>0</v>
      </c>
      <c r="G355" s="344">
        <f t="shared" si="105"/>
        <v>0</v>
      </c>
      <c r="H355" s="344">
        <f t="shared" si="106"/>
        <v>0</v>
      </c>
      <c r="I355" s="145">
        <f t="shared" si="99"/>
        <v>0</v>
      </c>
      <c r="J355" s="145">
        <f t="shared" si="100"/>
        <v>0</v>
      </c>
      <c r="K355" s="142" t="str">
        <f t="shared" si="108"/>
        <v>undefined</v>
      </c>
      <c r="L355" s="146">
        <f>IFERROR(INDEX(Työkonekanta!$I$3:$I$27,MATCH('S0a Baseline'!$A355,Työkonekanta!$A$3:$A$24,0),1)*(I355+J355)*f_adblue,0)</f>
        <v>0</v>
      </c>
      <c r="M355" s="146">
        <f t="shared" si="109"/>
        <v>0</v>
      </c>
      <c r="N355" s="143" t="str">
        <f>IF(tuulisähkö_vuosi&lt;='S0a Baseline'!C355,"tuulisähkö",ostosähkö_nyt)</f>
        <v>jäännössähkö</v>
      </c>
      <c r="O355" s="147">
        <f>INDEX(Muuttujat!$J$5:$J$21,MATCH($C355,Muuttujat!$H$5:$H$21,0),1)</f>
        <v>61.999687056709845</v>
      </c>
      <c r="P355" s="342">
        <f>1-(INDEX(Muuttujat!$O$5:$O$21,MATCH($C355,Muuttujat!$N$5:$N$21,0),1))</f>
        <v>0.9</v>
      </c>
      <c r="Q355" s="342">
        <f>INDEX(Muuttujat!$O$5:$O$21,MATCH($C355,Muuttujat!$N$5:$N$21,0),1)</f>
        <v>0.1</v>
      </c>
      <c r="R355" s="148">
        <f>INDEX(Muuttujat!$P$5:$P$21,MATCH($C355,Muuttujat!$N$5:$N$21,0),1)</f>
        <v>0.10417875759940039</v>
      </c>
      <c r="S355" s="149">
        <f t="shared" si="101"/>
        <v>0</v>
      </c>
      <c r="T355" s="150">
        <f t="shared" si="102"/>
        <v>0</v>
      </c>
      <c r="U355" s="150">
        <f t="shared" si="103"/>
        <v>0</v>
      </c>
      <c r="V355" s="150">
        <f>IFERROR(INDEX(Työkonekanta!$J$3:$J$27,MATCH($A355,Työkonekanta!$A$3:$A$24,0),1)*$B355*ef_li_ion_akku/1000/1000/INDEX(Työkonekanta!$K$3:$K$27,MATCH($A355,Työkonekanta!$A$3:$A$24,0)),0)</f>
        <v>0</v>
      </c>
      <c r="W355" s="149">
        <f t="shared" si="104"/>
        <v>0</v>
      </c>
      <c r="X355" s="150">
        <f t="shared" si="110"/>
        <v>0</v>
      </c>
      <c r="Y355" s="151">
        <f t="shared" si="111"/>
        <v>0</v>
      </c>
      <c r="Z355" s="152">
        <f t="shared" si="107"/>
        <v>0</v>
      </c>
      <c r="AA355" s="153">
        <f t="shared" si="113"/>
        <v>0</v>
      </c>
      <c r="AB355" s="153">
        <f t="shared" si="114"/>
        <v>0</v>
      </c>
      <c r="AC355" s="154">
        <f t="shared" si="112"/>
        <v>0</v>
      </c>
      <c r="AD355" s="156">
        <f t="shared" si="115"/>
        <v>0</v>
      </c>
    </row>
    <row r="356" spans="1:30" s="144" customFormat="1">
      <c r="A356" s="139">
        <v>24</v>
      </c>
      <c r="B356" s="139">
        <f>IFERROR(INDEX(Työkonekanta!$F$3:$F$27,MATCH('S0a Baseline'!$A356,Työkonekanta!$A$3:$A$24,0),1),0)</f>
        <v>0</v>
      </c>
      <c r="C356" s="140">
        <v>2030</v>
      </c>
      <c r="D356" s="141" t="str">
        <f>IFERROR(INDEX(Työkonekanta!$D$3:$D$27,MATCH('S0a Baseline'!$A356,Työkonekanta!$A$3:$A$24,0),1),"undefined")</f>
        <v>undefined</v>
      </c>
      <c r="E356" s="145">
        <f>IFERROR(INDEX(Työkonekanta!$G$3:$G$27,MATCH($A356,Työkonekanta!$A$3:$A$24,0),1)*INDEX(Työkonekanta!$H$3:$H$27,MATCH($A356,Työkonekanta!$A$3:$A$24,0),1)*$B356,0)</f>
        <v>0</v>
      </c>
      <c r="F356" s="344">
        <f t="shared" si="98"/>
        <v>0</v>
      </c>
      <c r="G356" s="344">
        <f t="shared" si="105"/>
        <v>0</v>
      </c>
      <c r="H356" s="344">
        <f t="shared" si="106"/>
        <v>0</v>
      </c>
      <c r="I356" s="145">
        <f t="shared" si="99"/>
        <v>0</v>
      </c>
      <c r="J356" s="145">
        <f t="shared" si="100"/>
        <v>0</v>
      </c>
      <c r="K356" s="142" t="str">
        <f t="shared" si="108"/>
        <v>undefined</v>
      </c>
      <c r="L356" s="146">
        <f>IFERROR(INDEX(Työkonekanta!$I$3:$I$27,MATCH('S0a Baseline'!$A356,Työkonekanta!$A$3:$A$24,0),1)*(I356+J356)*f_adblue,0)</f>
        <v>0</v>
      </c>
      <c r="M356" s="146">
        <f t="shared" si="109"/>
        <v>0</v>
      </c>
      <c r="N356" s="143" t="str">
        <f>IF(tuulisähkö_vuosi&lt;='S0a Baseline'!C356,"tuulisähkö",ostosähkö_nyt)</f>
        <v>jäännössähkö</v>
      </c>
      <c r="O356" s="147">
        <f>INDEX(Muuttujat!$J$5:$J$21,MATCH($C356,Muuttujat!$H$5:$H$21,0),1)</f>
        <v>61.999687056709845</v>
      </c>
      <c r="P356" s="342">
        <f>1-(INDEX(Muuttujat!$O$5:$O$21,MATCH($C356,Muuttujat!$N$5:$N$21,0),1))</f>
        <v>0.9</v>
      </c>
      <c r="Q356" s="342">
        <f>INDEX(Muuttujat!$O$5:$O$21,MATCH($C356,Muuttujat!$N$5:$N$21,0),1)</f>
        <v>0.1</v>
      </c>
      <c r="R356" s="148">
        <f>INDEX(Muuttujat!$P$5:$P$21,MATCH($C356,Muuttujat!$N$5:$N$21,0),1)</f>
        <v>0.10417875759940039</v>
      </c>
      <c r="S356" s="149">
        <f t="shared" si="101"/>
        <v>0</v>
      </c>
      <c r="T356" s="150">
        <f t="shared" si="102"/>
        <v>0</v>
      </c>
      <c r="U356" s="150">
        <f t="shared" si="103"/>
        <v>0</v>
      </c>
      <c r="V356" s="150">
        <f>IFERROR(INDEX(Työkonekanta!$J$3:$J$27,MATCH($A356,Työkonekanta!$A$3:$A$24,0),1)*$B356*ef_li_ion_akku/1000/1000/INDEX(Työkonekanta!$K$3:$K$27,MATCH($A356,Työkonekanta!$A$3:$A$24,0)),0)</f>
        <v>0</v>
      </c>
      <c r="W356" s="149">
        <f t="shared" si="104"/>
        <v>0</v>
      </c>
      <c r="X356" s="150">
        <f t="shared" si="110"/>
        <v>0</v>
      </c>
      <c r="Y356" s="151">
        <f t="shared" si="111"/>
        <v>0</v>
      </c>
      <c r="Z356" s="152">
        <f t="shared" si="107"/>
        <v>0</v>
      </c>
      <c r="AA356" s="153">
        <f t="shared" si="113"/>
        <v>0</v>
      </c>
      <c r="AB356" s="153">
        <f t="shared" si="114"/>
        <v>0</v>
      </c>
      <c r="AC356" s="154">
        <f t="shared" si="112"/>
        <v>0</v>
      </c>
      <c r="AD356" s="156">
        <f t="shared" si="115"/>
        <v>0</v>
      </c>
    </row>
    <row r="357" spans="1:30" s="144" customFormat="1">
      <c r="A357" s="139">
        <v>25</v>
      </c>
      <c r="B357" s="139">
        <f>IFERROR(INDEX(Työkonekanta!$F$3:$F$27,MATCH('S0a Baseline'!$A357,Työkonekanta!$A$3:$A$24,0),1),0)</f>
        <v>0</v>
      </c>
      <c r="C357" s="140">
        <v>2030</v>
      </c>
      <c r="D357" s="141" t="str">
        <f>IFERROR(INDEX(Työkonekanta!$D$3:$D$27,MATCH('S0a Baseline'!$A357,Työkonekanta!$A$3:$A$24,0),1),"undefined")</f>
        <v>undefined</v>
      </c>
      <c r="E357" s="145">
        <f>IFERROR(INDEX(Työkonekanta!$G$3:$G$27,MATCH($A357,Työkonekanta!$A$3:$A$24,0),1)*INDEX(Työkonekanta!$H$3:$H$27,MATCH($A357,Työkonekanta!$A$3:$A$24,0),1)*$B357,0)</f>
        <v>0</v>
      </c>
      <c r="F357" s="344">
        <f t="shared" si="98"/>
        <v>0</v>
      </c>
      <c r="G357" s="344">
        <f t="shared" si="105"/>
        <v>0</v>
      </c>
      <c r="H357" s="344">
        <f t="shared" si="106"/>
        <v>0</v>
      </c>
      <c r="I357" s="145">
        <f t="shared" si="99"/>
        <v>0</v>
      </c>
      <c r="J357" s="145">
        <f t="shared" si="100"/>
        <v>0</v>
      </c>
      <c r="K357" s="142" t="str">
        <f t="shared" si="108"/>
        <v>undefined</v>
      </c>
      <c r="L357" s="146">
        <f>IFERROR(INDEX(Työkonekanta!$I$3:$I$27,MATCH('S0a Baseline'!$A357,Työkonekanta!$A$3:$A$24,0),1)*(I357+J357)*f_adblue,0)</f>
        <v>0</v>
      </c>
      <c r="M357" s="146">
        <f t="shared" si="109"/>
        <v>0</v>
      </c>
      <c r="N357" s="143" t="str">
        <f>IF(tuulisähkö_vuosi&lt;='S0a Baseline'!C357,"tuulisähkö",ostosähkö_nyt)</f>
        <v>jäännössähkö</v>
      </c>
      <c r="O357" s="147">
        <f>INDEX(Muuttujat!$J$5:$J$21,MATCH($C357,Muuttujat!$H$5:$H$21,0),1)</f>
        <v>61.999687056709845</v>
      </c>
      <c r="P357" s="342">
        <f>1-(INDEX(Muuttujat!$O$5:$O$21,MATCH($C357,Muuttujat!$N$5:$N$21,0),1))</f>
        <v>0.9</v>
      </c>
      <c r="Q357" s="342">
        <f>INDEX(Muuttujat!$O$5:$O$21,MATCH($C357,Muuttujat!$N$5:$N$21,0),1)</f>
        <v>0.1</v>
      </c>
      <c r="R357" s="148">
        <f>INDEX(Muuttujat!$P$5:$P$21,MATCH($C357,Muuttujat!$N$5:$N$21,0),1)</f>
        <v>0.10417875759940039</v>
      </c>
      <c r="S357" s="149">
        <f t="shared" si="101"/>
        <v>0</v>
      </c>
      <c r="T357" s="150">
        <f t="shared" si="102"/>
        <v>0</v>
      </c>
      <c r="U357" s="150">
        <f t="shared" si="103"/>
        <v>0</v>
      </c>
      <c r="V357" s="150">
        <f>IFERROR(INDEX(Työkonekanta!$J$3:$J$27,MATCH($A357,Työkonekanta!$A$3:$A$24,0),1)*$B357*ef_li_ion_akku/1000/1000/INDEX(Työkonekanta!$K$3:$K$27,MATCH($A357,Työkonekanta!$A$3:$A$24,0)),0)</f>
        <v>0</v>
      </c>
      <c r="W357" s="149">
        <f t="shared" si="104"/>
        <v>0</v>
      </c>
      <c r="X357" s="150">
        <f t="shared" si="110"/>
        <v>0</v>
      </c>
      <c r="Y357" s="151">
        <f t="shared" si="111"/>
        <v>0</v>
      </c>
      <c r="Z357" s="152">
        <f t="shared" si="107"/>
        <v>0</v>
      </c>
      <c r="AA357" s="153">
        <f t="shared" si="113"/>
        <v>0</v>
      </c>
      <c r="AB357" s="153">
        <f t="shared" si="114"/>
        <v>0</v>
      </c>
      <c r="AC357" s="154">
        <f t="shared" si="112"/>
        <v>0</v>
      </c>
      <c r="AD357" s="156">
        <f t="shared" si="115"/>
        <v>0</v>
      </c>
    </row>
    <row r="358" spans="1:30" s="144" customFormat="1">
      <c r="A358" s="139">
        <v>26</v>
      </c>
      <c r="B358" s="139">
        <f>IFERROR(INDEX(Työkonekanta!$F$3:$F$27,MATCH('S0a Baseline'!$A358,Työkonekanta!$A$3:$A$24,0),1),0)</f>
        <v>0</v>
      </c>
      <c r="C358" s="140">
        <v>2030</v>
      </c>
      <c r="D358" s="141" t="str">
        <f>IFERROR(INDEX(Työkonekanta!$D$3:$D$27,MATCH('S0a Baseline'!$A358,Työkonekanta!$A$3:$A$24,0),1),"undefined")</f>
        <v>undefined</v>
      </c>
      <c r="E358" s="145">
        <f>IFERROR(INDEX(Työkonekanta!$G$3:$G$27,MATCH($A358,Työkonekanta!$A$3:$A$24,0),1)*INDEX(Työkonekanta!$H$3:$H$27,MATCH($A358,Työkonekanta!$A$3:$A$24,0),1)*$B358,0)</f>
        <v>0</v>
      </c>
      <c r="F358" s="344">
        <f t="shared" si="98"/>
        <v>0</v>
      </c>
      <c r="G358" s="344">
        <f t="shared" si="105"/>
        <v>0</v>
      </c>
      <c r="H358" s="344">
        <f t="shared" si="106"/>
        <v>0</v>
      </c>
      <c r="I358" s="145">
        <f t="shared" si="99"/>
        <v>0</v>
      </c>
      <c r="J358" s="145">
        <f t="shared" si="100"/>
        <v>0</v>
      </c>
      <c r="K358" s="142" t="str">
        <f t="shared" si="108"/>
        <v>undefined</v>
      </c>
      <c r="L358" s="146">
        <f>IFERROR(INDEX(Työkonekanta!$I$3:$I$27,MATCH('S0a Baseline'!$A358,Työkonekanta!$A$3:$A$24,0),1)*(I358+J358)*f_adblue,0)</f>
        <v>0</v>
      </c>
      <c r="M358" s="146">
        <f t="shared" si="109"/>
        <v>0</v>
      </c>
      <c r="N358" s="143" t="str">
        <f>IF(tuulisähkö_vuosi&lt;='S0a Baseline'!C358,"tuulisähkö",ostosähkö_nyt)</f>
        <v>jäännössähkö</v>
      </c>
      <c r="O358" s="147">
        <f>INDEX(Muuttujat!$J$5:$J$21,MATCH($C358,Muuttujat!$H$5:$H$21,0),1)</f>
        <v>61.999687056709845</v>
      </c>
      <c r="P358" s="342">
        <f>1-(INDEX(Muuttujat!$O$5:$O$21,MATCH($C358,Muuttujat!$N$5:$N$21,0),1))</f>
        <v>0.9</v>
      </c>
      <c r="Q358" s="342">
        <f>INDEX(Muuttujat!$O$5:$O$21,MATCH($C358,Muuttujat!$N$5:$N$21,0),1)</f>
        <v>0.1</v>
      </c>
      <c r="R358" s="148">
        <f>INDEX(Muuttujat!$P$5:$P$21,MATCH($C358,Muuttujat!$N$5:$N$21,0),1)</f>
        <v>0.10417875759940039</v>
      </c>
      <c r="S358" s="149">
        <f t="shared" si="101"/>
        <v>0</v>
      </c>
      <c r="T358" s="150">
        <f t="shared" si="102"/>
        <v>0</v>
      </c>
      <c r="U358" s="150">
        <f t="shared" si="103"/>
        <v>0</v>
      </c>
      <c r="V358" s="150">
        <f>IFERROR(INDEX(Työkonekanta!$J$3:$J$27,MATCH($A358,Työkonekanta!$A$3:$A$24,0),1)*$B358*ef_li_ion_akku/1000/1000/INDEX(Työkonekanta!$K$3:$K$27,MATCH($A358,Työkonekanta!$A$3:$A$24,0)),0)</f>
        <v>0</v>
      </c>
      <c r="W358" s="149">
        <f t="shared" si="104"/>
        <v>0</v>
      </c>
      <c r="X358" s="150">
        <f t="shared" si="110"/>
        <v>0</v>
      </c>
      <c r="Y358" s="151">
        <f t="shared" si="111"/>
        <v>0</v>
      </c>
      <c r="Z358" s="152">
        <f t="shared" si="107"/>
        <v>0</v>
      </c>
      <c r="AA358" s="153">
        <f t="shared" si="113"/>
        <v>0</v>
      </c>
      <c r="AB358" s="153">
        <f t="shared" si="114"/>
        <v>0</v>
      </c>
      <c r="AC358" s="154">
        <f t="shared" si="112"/>
        <v>0</v>
      </c>
      <c r="AD358" s="156">
        <f t="shared" si="115"/>
        <v>0</v>
      </c>
    </row>
    <row r="359" spans="1:30" s="144" customFormat="1">
      <c r="A359" s="139">
        <v>27</v>
      </c>
      <c r="B359" s="139">
        <f>IFERROR(INDEX(Työkonekanta!$F$3:$F$27,MATCH('S0a Baseline'!$A359,Työkonekanta!$A$3:$A$24,0),1),0)</f>
        <v>0</v>
      </c>
      <c r="C359" s="140">
        <v>2030</v>
      </c>
      <c r="D359" s="141" t="str">
        <f>IFERROR(INDEX(Työkonekanta!$D$3:$D$27,MATCH('S0a Baseline'!$A359,Työkonekanta!$A$3:$A$24,0),1),"undefined")</f>
        <v>undefined</v>
      </c>
      <c r="E359" s="145">
        <f>IFERROR(INDEX(Työkonekanta!$G$3:$G$27,MATCH($A359,Työkonekanta!$A$3:$A$24,0),1)*INDEX(Työkonekanta!$H$3:$H$27,MATCH($A359,Työkonekanta!$A$3:$A$24,0),1)*$B359,0)</f>
        <v>0</v>
      </c>
      <c r="F359" s="344">
        <f t="shared" si="98"/>
        <v>0</v>
      </c>
      <c r="G359" s="344">
        <f t="shared" si="105"/>
        <v>0</v>
      </c>
      <c r="H359" s="344">
        <f t="shared" si="106"/>
        <v>0</v>
      </c>
      <c r="I359" s="145">
        <f t="shared" si="99"/>
        <v>0</v>
      </c>
      <c r="J359" s="145">
        <f t="shared" si="100"/>
        <v>0</v>
      </c>
      <c r="K359" s="142" t="str">
        <f t="shared" si="108"/>
        <v>undefined</v>
      </c>
      <c r="L359" s="146">
        <f>IFERROR(INDEX(Työkonekanta!$I$3:$I$27,MATCH('S0a Baseline'!$A359,Työkonekanta!$A$3:$A$24,0),1)*(I359+J359)*f_adblue,0)</f>
        <v>0</v>
      </c>
      <c r="M359" s="146">
        <f t="shared" si="109"/>
        <v>0</v>
      </c>
      <c r="N359" s="143" t="str">
        <f>IF(tuulisähkö_vuosi&lt;='S0a Baseline'!C359,"tuulisähkö",ostosähkö_nyt)</f>
        <v>jäännössähkö</v>
      </c>
      <c r="O359" s="147">
        <f>INDEX(Muuttujat!$J$5:$J$21,MATCH($C359,Muuttujat!$H$5:$H$21,0),1)</f>
        <v>61.999687056709845</v>
      </c>
      <c r="P359" s="342">
        <f>1-(INDEX(Muuttujat!$O$5:$O$21,MATCH($C359,Muuttujat!$N$5:$N$21,0),1))</f>
        <v>0.9</v>
      </c>
      <c r="Q359" s="342">
        <f>INDEX(Muuttujat!$O$5:$O$21,MATCH($C359,Muuttujat!$N$5:$N$21,0),1)</f>
        <v>0.1</v>
      </c>
      <c r="R359" s="148">
        <f>INDEX(Muuttujat!$P$5:$P$21,MATCH($C359,Muuttujat!$N$5:$N$21,0),1)</f>
        <v>0.10417875759940039</v>
      </c>
      <c r="S359" s="149">
        <f t="shared" si="101"/>
        <v>0</v>
      </c>
      <c r="T359" s="150">
        <f t="shared" si="102"/>
        <v>0</v>
      </c>
      <c r="U359" s="150">
        <f t="shared" si="103"/>
        <v>0</v>
      </c>
      <c r="V359" s="150">
        <f>IFERROR(INDEX(Työkonekanta!$J$3:$J$27,MATCH($A359,Työkonekanta!$A$3:$A$24,0),1)*$B359*ef_li_ion_akku/1000/1000/INDEX(Työkonekanta!$K$3:$K$27,MATCH($A359,Työkonekanta!$A$3:$A$24,0)),0)</f>
        <v>0</v>
      </c>
      <c r="W359" s="149">
        <f t="shared" si="104"/>
        <v>0</v>
      </c>
      <c r="X359" s="150">
        <f t="shared" si="110"/>
        <v>0</v>
      </c>
      <c r="Y359" s="151">
        <f t="shared" si="111"/>
        <v>0</v>
      </c>
      <c r="Z359" s="152">
        <f t="shared" si="107"/>
        <v>0</v>
      </c>
      <c r="AA359" s="153">
        <f t="shared" si="113"/>
        <v>0</v>
      </c>
      <c r="AB359" s="153">
        <f t="shared" si="114"/>
        <v>0</v>
      </c>
      <c r="AC359" s="154">
        <f t="shared" si="112"/>
        <v>0</v>
      </c>
      <c r="AD359" s="156">
        <f t="shared" si="115"/>
        <v>0</v>
      </c>
    </row>
    <row r="360" spans="1:30" s="144" customFormat="1">
      <c r="A360" s="139">
        <v>28</v>
      </c>
      <c r="B360" s="139">
        <f>IFERROR(INDEX(Työkonekanta!$F$3:$F$27,MATCH('S0a Baseline'!$A360,Työkonekanta!$A$3:$A$24,0),1),0)</f>
        <v>0</v>
      </c>
      <c r="C360" s="140">
        <v>2030</v>
      </c>
      <c r="D360" s="141" t="str">
        <f>IFERROR(INDEX(Työkonekanta!$D$3:$D$27,MATCH('S0a Baseline'!$A360,Työkonekanta!$A$3:$A$24,0),1),"undefined")</f>
        <v>undefined</v>
      </c>
      <c r="E360" s="145">
        <f>IFERROR(INDEX(Työkonekanta!$G$3:$G$27,MATCH($A360,Työkonekanta!$A$3:$A$24,0),1)*INDEX(Työkonekanta!$H$3:$H$27,MATCH($A360,Työkonekanta!$A$3:$A$24,0),1)*$B360,0)</f>
        <v>0</v>
      </c>
      <c r="F360" s="344">
        <f t="shared" si="98"/>
        <v>0</v>
      </c>
      <c r="G360" s="344">
        <f t="shared" si="105"/>
        <v>0</v>
      </c>
      <c r="H360" s="344">
        <f t="shared" si="106"/>
        <v>0</v>
      </c>
      <c r="I360" s="145">
        <f t="shared" si="99"/>
        <v>0</v>
      </c>
      <c r="J360" s="145">
        <f t="shared" si="100"/>
        <v>0</v>
      </c>
      <c r="K360" s="142" t="str">
        <f t="shared" si="108"/>
        <v>undefined</v>
      </c>
      <c r="L360" s="146">
        <f>IFERROR(INDEX(Työkonekanta!$I$3:$I$27,MATCH('S0a Baseline'!$A360,Työkonekanta!$A$3:$A$24,0),1)*(I360+J360)*f_adblue,0)</f>
        <v>0</v>
      </c>
      <c r="M360" s="146">
        <f t="shared" si="109"/>
        <v>0</v>
      </c>
      <c r="N360" s="143" t="str">
        <f>IF(tuulisähkö_vuosi&lt;='S0a Baseline'!C360,"tuulisähkö",ostosähkö_nyt)</f>
        <v>jäännössähkö</v>
      </c>
      <c r="O360" s="147">
        <f>INDEX(Muuttujat!$J$5:$J$21,MATCH($C360,Muuttujat!$H$5:$H$21,0),1)</f>
        <v>61.999687056709845</v>
      </c>
      <c r="P360" s="342">
        <f>1-(INDEX(Muuttujat!$O$5:$O$21,MATCH($C360,Muuttujat!$N$5:$N$21,0),1))</f>
        <v>0.9</v>
      </c>
      <c r="Q360" s="342">
        <f>INDEX(Muuttujat!$O$5:$O$21,MATCH($C360,Muuttujat!$N$5:$N$21,0),1)</f>
        <v>0.1</v>
      </c>
      <c r="R360" s="148">
        <f>INDEX(Muuttujat!$P$5:$P$21,MATCH($C360,Muuttujat!$N$5:$N$21,0),1)</f>
        <v>0.10417875759940039</v>
      </c>
      <c r="S360" s="149">
        <f t="shared" si="101"/>
        <v>0</v>
      </c>
      <c r="T360" s="150">
        <f t="shared" si="102"/>
        <v>0</v>
      </c>
      <c r="U360" s="150">
        <f t="shared" si="103"/>
        <v>0</v>
      </c>
      <c r="V360" s="150">
        <f>IFERROR(INDEX(Työkonekanta!$J$3:$J$27,MATCH($A360,Työkonekanta!$A$3:$A$24,0),1)*$B360*ef_li_ion_akku/1000/1000/INDEX(Työkonekanta!$K$3:$K$27,MATCH($A360,Työkonekanta!$A$3:$A$24,0)),0)</f>
        <v>0</v>
      </c>
      <c r="W360" s="149">
        <f t="shared" si="104"/>
        <v>0</v>
      </c>
      <c r="X360" s="150">
        <f t="shared" si="110"/>
        <v>0</v>
      </c>
      <c r="Y360" s="151">
        <f t="shared" si="111"/>
        <v>0</v>
      </c>
      <c r="Z360" s="152">
        <f t="shared" si="107"/>
        <v>0</v>
      </c>
      <c r="AA360" s="153">
        <f t="shared" si="113"/>
        <v>0</v>
      </c>
      <c r="AB360" s="153">
        <f t="shared" si="114"/>
        <v>0</v>
      </c>
      <c r="AC360" s="154">
        <f t="shared" si="112"/>
        <v>0</v>
      </c>
      <c r="AD360" s="156">
        <f t="shared" si="115"/>
        <v>0</v>
      </c>
    </row>
    <row r="361" spans="1:30" s="144" customFormat="1">
      <c r="A361" s="139">
        <v>29</v>
      </c>
      <c r="B361" s="139">
        <f>IFERROR(INDEX(Työkonekanta!$F$3:$F$27,MATCH('S0a Baseline'!$A361,Työkonekanta!$A$3:$A$24,0),1),0)</f>
        <v>0</v>
      </c>
      <c r="C361" s="140">
        <v>2030</v>
      </c>
      <c r="D361" s="141" t="str">
        <f>IFERROR(INDEX(Työkonekanta!$D$3:$D$27,MATCH('S0a Baseline'!$A361,Työkonekanta!$A$3:$A$24,0),1),"undefined")</f>
        <v>undefined</v>
      </c>
      <c r="E361" s="145">
        <f>IFERROR(INDEX(Työkonekanta!$G$3:$G$27,MATCH($A361,Työkonekanta!$A$3:$A$24,0),1)*INDEX(Työkonekanta!$H$3:$H$27,MATCH($A361,Työkonekanta!$A$3:$A$24,0),1)*$B361,0)</f>
        <v>0</v>
      </c>
      <c r="F361" s="344">
        <f t="shared" si="98"/>
        <v>0</v>
      </c>
      <c r="G361" s="344">
        <f t="shared" si="105"/>
        <v>0</v>
      </c>
      <c r="H361" s="344">
        <f t="shared" si="106"/>
        <v>0</v>
      </c>
      <c r="I361" s="145">
        <f t="shared" si="99"/>
        <v>0</v>
      </c>
      <c r="J361" s="145">
        <f t="shared" si="100"/>
        <v>0</v>
      </c>
      <c r="K361" s="142" t="str">
        <f t="shared" si="108"/>
        <v>undefined</v>
      </c>
      <c r="L361" s="146">
        <f>IFERROR(INDEX(Työkonekanta!$I$3:$I$27,MATCH('S0a Baseline'!$A361,Työkonekanta!$A$3:$A$24,0),1)*(I361+J361)*f_adblue,0)</f>
        <v>0</v>
      </c>
      <c r="M361" s="146">
        <f t="shared" si="109"/>
        <v>0</v>
      </c>
      <c r="N361" s="143" t="str">
        <f>IF(tuulisähkö_vuosi&lt;='S0a Baseline'!C361,"tuulisähkö",ostosähkö_nyt)</f>
        <v>jäännössähkö</v>
      </c>
      <c r="O361" s="147">
        <f>INDEX(Muuttujat!$J$5:$J$21,MATCH($C361,Muuttujat!$H$5:$H$21,0),1)</f>
        <v>61.999687056709845</v>
      </c>
      <c r="P361" s="342">
        <f>1-(INDEX(Muuttujat!$O$5:$O$21,MATCH($C361,Muuttujat!$N$5:$N$21,0),1))</f>
        <v>0.9</v>
      </c>
      <c r="Q361" s="342">
        <f>INDEX(Muuttujat!$O$5:$O$21,MATCH($C361,Muuttujat!$N$5:$N$21,0),1)</f>
        <v>0.1</v>
      </c>
      <c r="R361" s="148">
        <f>INDEX(Muuttujat!$P$5:$P$21,MATCH($C361,Muuttujat!$N$5:$N$21,0),1)</f>
        <v>0.10417875759940039</v>
      </c>
      <c r="S361" s="149">
        <f t="shared" si="101"/>
        <v>0</v>
      </c>
      <c r="T361" s="150">
        <f t="shared" si="102"/>
        <v>0</v>
      </c>
      <c r="U361" s="150">
        <f t="shared" si="103"/>
        <v>0</v>
      </c>
      <c r="V361" s="150">
        <f>IFERROR(INDEX(Työkonekanta!$J$3:$J$27,MATCH($A361,Työkonekanta!$A$3:$A$24,0),1)*$B361*ef_li_ion_akku/1000/1000/INDEX(Työkonekanta!$K$3:$K$27,MATCH($A361,Työkonekanta!$A$3:$A$24,0)),0)</f>
        <v>0</v>
      </c>
      <c r="W361" s="149">
        <f t="shared" si="104"/>
        <v>0</v>
      </c>
      <c r="X361" s="150">
        <f t="shared" si="110"/>
        <v>0</v>
      </c>
      <c r="Y361" s="151">
        <f t="shared" si="111"/>
        <v>0</v>
      </c>
      <c r="Z361" s="152">
        <f t="shared" si="107"/>
        <v>0</v>
      </c>
      <c r="AA361" s="153">
        <f t="shared" si="113"/>
        <v>0</v>
      </c>
      <c r="AB361" s="153">
        <f t="shared" si="114"/>
        <v>0</v>
      </c>
      <c r="AC361" s="154">
        <f t="shared" si="112"/>
        <v>0</v>
      </c>
      <c r="AD361" s="156">
        <f t="shared" si="115"/>
        <v>0</v>
      </c>
    </row>
    <row r="362" spans="1:30" s="144" customFormat="1">
      <c r="A362" s="139">
        <v>30</v>
      </c>
      <c r="B362" s="139">
        <f>IFERROR(INDEX(Työkonekanta!$F$3:$F$27,MATCH('S0a Baseline'!$A362,Työkonekanta!$A$3:$A$24,0),1),0)</f>
        <v>0</v>
      </c>
      <c r="C362" s="140">
        <v>2030</v>
      </c>
      <c r="D362" s="141" t="str">
        <f>IFERROR(INDEX(Työkonekanta!$D$3:$D$27,MATCH('S0a Baseline'!$A362,Työkonekanta!$A$3:$A$24,0),1),"undefined")</f>
        <v>undefined</v>
      </c>
      <c r="E362" s="145">
        <f>IFERROR(INDEX(Työkonekanta!$G$3:$G$27,MATCH($A362,Työkonekanta!$A$3:$A$24,0),1)*INDEX(Työkonekanta!$H$3:$H$27,MATCH($A362,Työkonekanta!$A$3:$A$24,0),1)*$B362,0)</f>
        <v>0</v>
      </c>
      <c r="F362" s="344">
        <f t="shared" si="98"/>
        <v>0</v>
      </c>
      <c r="G362" s="344">
        <f t="shared" si="105"/>
        <v>0</v>
      </c>
      <c r="H362" s="344">
        <f t="shared" si="106"/>
        <v>0</v>
      </c>
      <c r="I362" s="145">
        <f t="shared" si="99"/>
        <v>0</v>
      </c>
      <c r="J362" s="145">
        <f t="shared" si="100"/>
        <v>0</v>
      </c>
      <c r="K362" s="142" t="str">
        <f t="shared" si="108"/>
        <v>undefined</v>
      </c>
      <c r="L362" s="146">
        <f>IFERROR(INDEX(Työkonekanta!$I$3:$I$27,MATCH('S0a Baseline'!$A362,Työkonekanta!$A$3:$A$24,0),1)*(I362+J362)*f_adblue,0)</f>
        <v>0</v>
      </c>
      <c r="M362" s="146">
        <f t="shared" si="109"/>
        <v>0</v>
      </c>
      <c r="N362" s="143" t="str">
        <f>IF(tuulisähkö_vuosi&lt;='S0a Baseline'!C362,"tuulisähkö",ostosähkö_nyt)</f>
        <v>jäännössähkö</v>
      </c>
      <c r="O362" s="147">
        <f>INDEX(Muuttujat!$J$5:$J$21,MATCH($C362,Muuttujat!$H$5:$H$21,0),1)</f>
        <v>61.999687056709845</v>
      </c>
      <c r="P362" s="342">
        <f>1-(INDEX(Muuttujat!$O$5:$O$21,MATCH($C362,Muuttujat!$N$5:$N$21,0),1))</f>
        <v>0.9</v>
      </c>
      <c r="Q362" s="342">
        <f>INDEX(Muuttujat!$O$5:$O$21,MATCH($C362,Muuttujat!$N$5:$N$21,0),1)</f>
        <v>0.1</v>
      </c>
      <c r="R362" s="148">
        <f>INDEX(Muuttujat!$P$5:$P$21,MATCH($C362,Muuttujat!$N$5:$N$21,0),1)</f>
        <v>0.10417875759940039</v>
      </c>
      <c r="S362" s="149">
        <f t="shared" si="101"/>
        <v>0</v>
      </c>
      <c r="T362" s="150">
        <f t="shared" si="102"/>
        <v>0</v>
      </c>
      <c r="U362" s="150">
        <f t="shared" si="103"/>
        <v>0</v>
      </c>
      <c r="V362" s="150">
        <f>IFERROR(INDEX(Työkonekanta!$J$3:$J$27,MATCH($A362,Työkonekanta!$A$3:$A$24,0),1)*$B362*ef_li_ion_akku/1000/1000/INDEX(Työkonekanta!$K$3:$K$27,MATCH($A362,Työkonekanta!$A$3:$A$24,0)),0)</f>
        <v>0</v>
      </c>
      <c r="W362" s="149">
        <f t="shared" si="104"/>
        <v>0</v>
      </c>
      <c r="X362" s="150">
        <f t="shared" si="110"/>
        <v>0</v>
      </c>
      <c r="Y362" s="151">
        <f t="shared" si="111"/>
        <v>0</v>
      </c>
      <c r="Z362" s="152">
        <f t="shared" si="107"/>
        <v>0</v>
      </c>
      <c r="AA362" s="153">
        <f t="shared" si="113"/>
        <v>0</v>
      </c>
      <c r="AB362" s="153">
        <f t="shared" si="114"/>
        <v>0</v>
      </c>
      <c r="AC362" s="154">
        <f t="shared" si="112"/>
        <v>0</v>
      </c>
      <c r="AD362" s="156">
        <f t="shared" si="115"/>
        <v>0</v>
      </c>
    </row>
    <row r="363" spans="1:30" s="144" customFormat="1">
      <c r="A363" s="139">
        <v>1</v>
      </c>
      <c r="B363" s="139">
        <f>IFERROR(INDEX(Työkonekanta!$F$3:$F$27,MATCH('S0a Baseline'!$A363,Työkonekanta!$A$3:$A$24,0),1),0)</f>
        <v>1</v>
      </c>
      <c r="C363" s="140">
        <v>2031</v>
      </c>
      <c r="D363" s="141" t="str">
        <f>IFERROR(INDEX(Työkonekanta!$D$3:$D$27,MATCH('S0a Baseline'!$A363,Työkonekanta!$A$3:$A$24,0),1),"undefined")</f>
        <v>pom</v>
      </c>
      <c r="E363" s="145">
        <f>IFERROR(INDEX(Työkonekanta!$G$3:$G$27,MATCH($A363,Työkonekanta!$A$3:$A$24,0),1)*INDEX(Työkonekanta!$H$3:$H$27,MATCH($A363,Työkonekanta!$A$3:$A$24,0),1)*$B363,0)</f>
        <v>10000</v>
      </c>
      <c r="F363" s="344">
        <f t="shared" si="98"/>
        <v>359000</v>
      </c>
      <c r="G363" s="344">
        <f t="shared" si="105"/>
        <v>323100</v>
      </c>
      <c r="H363" s="344">
        <f t="shared" si="106"/>
        <v>35900</v>
      </c>
      <c r="I363" s="145">
        <f t="shared" si="99"/>
        <v>9000</v>
      </c>
      <c r="J363" s="145">
        <f t="shared" si="100"/>
        <v>1046.6472303206997</v>
      </c>
      <c r="K363" s="142" t="str">
        <f t="shared" si="108"/>
        <v>l</v>
      </c>
      <c r="L363" s="146">
        <f>IFERROR(INDEX(Työkonekanta!$I$3:$I$27,MATCH('S0a Baseline'!$A363,Työkonekanta!$A$3:$A$24,0),1)*(I363+J363)*f_adblue,0)</f>
        <v>502.33236151603501</v>
      </c>
      <c r="M363" s="146">
        <f t="shared" si="109"/>
        <v>0</v>
      </c>
      <c r="N363" s="143" t="str">
        <f>IF(tuulisähkö_vuosi&lt;='S0a Baseline'!C363,"tuulisähkö",ostosähkö_nyt)</f>
        <v>jäännössähkö</v>
      </c>
      <c r="O363" s="147">
        <f>INDEX(Muuttujat!$J$5:$J$21,MATCH($C363,Muuttujat!$H$5:$H$21,0),1)</f>
        <v>61.379690186142746</v>
      </c>
      <c r="P363" s="342">
        <f>1-(INDEX(Muuttujat!$O$5:$O$21,MATCH($C363,Muuttujat!$N$5:$N$21,0),1))</f>
        <v>0.9</v>
      </c>
      <c r="Q363" s="342">
        <f>INDEX(Muuttujat!$O$5:$O$21,MATCH($C363,Muuttujat!$N$5:$N$21,0),1)</f>
        <v>0.1</v>
      </c>
      <c r="R363" s="148">
        <f>INDEX(Muuttujat!$P$5:$P$21,MATCH($C363,Muuttujat!$N$5:$N$21,0),1)</f>
        <v>0.10417875759940039</v>
      </c>
      <c r="S363" s="149">
        <f t="shared" si="101"/>
        <v>6.1065899999999997</v>
      </c>
      <c r="T363" s="150">
        <f t="shared" si="102"/>
        <v>2.2401599999999999</v>
      </c>
      <c r="U363" s="150">
        <f t="shared" si="103"/>
        <v>0</v>
      </c>
      <c r="V363" s="150">
        <f>IFERROR(INDEX(Työkonekanta!$J$3:$J$27,MATCH($A363,Työkonekanta!$A$3:$A$24,0),1)*$B363*ef_li_ion_akku/1000/1000/INDEX(Työkonekanta!$K$3:$K$27,MATCH($A363,Työkonekanta!$A$3:$A$24,0)),0)</f>
        <v>0</v>
      </c>
      <c r="W363" s="149">
        <f t="shared" si="104"/>
        <v>23.847446957400003</v>
      </c>
      <c r="X363" s="150">
        <f t="shared" si="110"/>
        <v>0.31774565999999999</v>
      </c>
      <c r="Y363" s="151">
        <f t="shared" si="111"/>
        <v>0.13060641399416908</v>
      </c>
      <c r="Z363" s="152">
        <f t="shared" si="107"/>
        <v>8.3467500000000001</v>
      </c>
      <c r="AA363" s="153">
        <f t="shared" si="113"/>
        <v>23.978053371394171</v>
      </c>
      <c r="AB363" s="153">
        <f t="shared" si="114"/>
        <v>24.295799031394171</v>
      </c>
      <c r="AC363" s="154">
        <f t="shared" si="112"/>
        <v>32.324803371394168</v>
      </c>
      <c r="AD363" s="156">
        <f t="shared" si="115"/>
        <v>32.642549031394168</v>
      </c>
    </row>
    <row r="364" spans="1:30" s="144" customFormat="1">
      <c r="A364" s="139">
        <v>2</v>
      </c>
      <c r="B364" s="139">
        <f>IFERROR(INDEX(Työkonekanta!$F$3:$F$27,MATCH('S0a Baseline'!$A364,Työkonekanta!$A$3:$A$24,0),1),0)</f>
        <v>1</v>
      </c>
      <c r="C364" s="140">
        <v>2031</v>
      </c>
      <c r="D364" s="141" t="str">
        <f>IFERROR(INDEX(Työkonekanta!$D$3:$D$27,MATCH('S0a Baseline'!$A364,Työkonekanta!$A$3:$A$24,0),1),"undefined")</f>
        <v>pom</v>
      </c>
      <c r="E364" s="145">
        <f>IFERROR(INDEX(Työkonekanta!$G$3:$G$27,MATCH($A364,Työkonekanta!$A$3:$A$24,0),1)*INDEX(Työkonekanta!$H$3:$H$27,MATCH($A364,Työkonekanta!$A$3:$A$24,0),1)*$B364,0)</f>
        <v>10000</v>
      </c>
      <c r="F364" s="344">
        <f t="shared" si="98"/>
        <v>359000</v>
      </c>
      <c r="G364" s="344">
        <f t="shared" si="105"/>
        <v>323100</v>
      </c>
      <c r="H364" s="344">
        <f t="shared" si="106"/>
        <v>35900</v>
      </c>
      <c r="I364" s="145">
        <f t="shared" si="99"/>
        <v>9000</v>
      </c>
      <c r="J364" s="145">
        <f t="shared" si="100"/>
        <v>1046.6472303206997</v>
      </c>
      <c r="K364" s="142" t="str">
        <f t="shared" si="108"/>
        <v>l</v>
      </c>
      <c r="L364" s="146">
        <f>IFERROR(INDEX(Työkonekanta!$I$3:$I$27,MATCH('S0a Baseline'!$A364,Työkonekanta!$A$3:$A$24,0),1)*(I364+J364)*f_adblue,0)</f>
        <v>502.33236151603501</v>
      </c>
      <c r="M364" s="146">
        <f t="shared" si="109"/>
        <v>0</v>
      </c>
      <c r="N364" s="143" t="str">
        <f>IF(tuulisähkö_vuosi&lt;='S0a Baseline'!C364,"tuulisähkö",ostosähkö_nyt)</f>
        <v>jäännössähkö</v>
      </c>
      <c r="O364" s="147">
        <f>INDEX(Muuttujat!$J$5:$J$21,MATCH($C364,Muuttujat!$H$5:$H$21,0),1)</f>
        <v>61.379690186142746</v>
      </c>
      <c r="P364" s="342">
        <f>1-(INDEX(Muuttujat!$O$5:$O$21,MATCH($C364,Muuttujat!$N$5:$N$21,0),1))</f>
        <v>0.9</v>
      </c>
      <c r="Q364" s="342">
        <f>INDEX(Muuttujat!$O$5:$O$21,MATCH($C364,Muuttujat!$N$5:$N$21,0),1)</f>
        <v>0.1</v>
      </c>
      <c r="R364" s="148">
        <f>INDEX(Muuttujat!$P$5:$P$21,MATCH($C364,Muuttujat!$N$5:$N$21,0),1)</f>
        <v>0.10417875759940039</v>
      </c>
      <c r="S364" s="149">
        <f t="shared" si="101"/>
        <v>6.1065899999999997</v>
      </c>
      <c r="T364" s="150">
        <f t="shared" si="102"/>
        <v>2.2401599999999999</v>
      </c>
      <c r="U364" s="150">
        <f t="shared" si="103"/>
        <v>0</v>
      </c>
      <c r="V364" s="150">
        <f>IFERROR(INDEX(Työkonekanta!$J$3:$J$27,MATCH($A364,Työkonekanta!$A$3:$A$24,0),1)*$B364*ef_li_ion_akku/1000/1000/INDEX(Työkonekanta!$K$3:$K$27,MATCH($A364,Työkonekanta!$A$3:$A$24,0)),0)</f>
        <v>0</v>
      </c>
      <c r="W364" s="149">
        <f t="shared" si="104"/>
        <v>23.847446957400003</v>
      </c>
      <c r="X364" s="150">
        <f t="shared" si="110"/>
        <v>0.31774565999999999</v>
      </c>
      <c r="Y364" s="151">
        <f t="shared" si="111"/>
        <v>0.13060641399416908</v>
      </c>
      <c r="Z364" s="152">
        <f t="shared" si="107"/>
        <v>8.3467500000000001</v>
      </c>
      <c r="AA364" s="153">
        <f t="shared" si="113"/>
        <v>23.978053371394171</v>
      </c>
      <c r="AB364" s="153">
        <f t="shared" si="114"/>
        <v>24.295799031394171</v>
      </c>
      <c r="AC364" s="154">
        <f t="shared" si="112"/>
        <v>32.324803371394168</v>
      </c>
      <c r="AD364" s="156">
        <f t="shared" si="115"/>
        <v>32.642549031394168</v>
      </c>
    </row>
    <row r="365" spans="1:30" s="144" customFormat="1">
      <c r="A365" s="139">
        <v>3</v>
      </c>
      <c r="B365" s="139">
        <f>IFERROR(INDEX(Työkonekanta!$F$3:$F$27,MATCH('S0a Baseline'!$A365,Työkonekanta!$A$3:$A$24,0),1),0)</f>
        <v>1</v>
      </c>
      <c r="C365" s="140">
        <v>2031</v>
      </c>
      <c r="D365" s="141" t="str">
        <f>IFERROR(INDEX(Työkonekanta!$D$3:$D$27,MATCH('S0a Baseline'!$A365,Työkonekanta!$A$3:$A$24,0),1),"undefined")</f>
        <v>pom</v>
      </c>
      <c r="E365" s="145">
        <f>IFERROR(INDEX(Työkonekanta!$G$3:$G$27,MATCH($A365,Työkonekanta!$A$3:$A$24,0),1)*INDEX(Työkonekanta!$H$3:$H$27,MATCH($A365,Työkonekanta!$A$3:$A$24,0),1)*$B365,0)</f>
        <v>10000</v>
      </c>
      <c r="F365" s="344">
        <f t="shared" si="98"/>
        <v>359000</v>
      </c>
      <c r="G365" s="344">
        <f t="shared" si="105"/>
        <v>323100</v>
      </c>
      <c r="H365" s="344">
        <f t="shared" si="106"/>
        <v>35900</v>
      </c>
      <c r="I365" s="145">
        <f t="shared" si="99"/>
        <v>9000</v>
      </c>
      <c r="J365" s="145">
        <f t="shared" si="100"/>
        <v>1046.6472303206997</v>
      </c>
      <c r="K365" s="142" t="str">
        <f t="shared" si="108"/>
        <v>l</v>
      </c>
      <c r="L365" s="146">
        <f>IFERROR(INDEX(Työkonekanta!$I$3:$I$27,MATCH('S0a Baseline'!$A365,Työkonekanta!$A$3:$A$24,0),1)*(I365+J365)*f_adblue,0)</f>
        <v>502.33236151603501</v>
      </c>
      <c r="M365" s="146">
        <f t="shared" si="109"/>
        <v>0</v>
      </c>
      <c r="N365" s="143" t="str">
        <f>IF(tuulisähkö_vuosi&lt;='S0a Baseline'!C365,"tuulisähkö",ostosähkö_nyt)</f>
        <v>jäännössähkö</v>
      </c>
      <c r="O365" s="147">
        <f>INDEX(Muuttujat!$J$5:$J$21,MATCH($C365,Muuttujat!$H$5:$H$21,0),1)</f>
        <v>61.379690186142746</v>
      </c>
      <c r="P365" s="342">
        <f>1-(INDEX(Muuttujat!$O$5:$O$21,MATCH($C365,Muuttujat!$N$5:$N$21,0),1))</f>
        <v>0.9</v>
      </c>
      <c r="Q365" s="342">
        <f>INDEX(Muuttujat!$O$5:$O$21,MATCH($C365,Muuttujat!$N$5:$N$21,0),1)</f>
        <v>0.1</v>
      </c>
      <c r="R365" s="148">
        <f>INDEX(Muuttujat!$P$5:$P$21,MATCH($C365,Muuttujat!$N$5:$N$21,0),1)</f>
        <v>0.10417875759940039</v>
      </c>
      <c r="S365" s="149">
        <f t="shared" si="101"/>
        <v>6.1065899999999997</v>
      </c>
      <c r="T365" s="150">
        <f t="shared" si="102"/>
        <v>2.2401599999999999</v>
      </c>
      <c r="U365" s="150">
        <f t="shared" si="103"/>
        <v>0</v>
      </c>
      <c r="V365" s="150">
        <f>IFERROR(INDEX(Työkonekanta!$J$3:$J$27,MATCH($A365,Työkonekanta!$A$3:$A$24,0),1)*$B365*ef_li_ion_akku/1000/1000/INDEX(Työkonekanta!$K$3:$K$27,MATCH($A365,Työkonekanta!$A$3:$A$24,0)),0)</f>
        <v>0</v>
      </c>
      <c r="W365" s="149">
        <f t="shared" si="104"/>
        <v>23.847446957400003</v>
      </c>
      <c r="X365" s="150">
        <f t="shared" si="110"/>
        <v>0.31774565999999999</v>
      </c>
      <c r="Y365" s="151">
        <f t="shared" si="111"/>
        <v>0.13060641399416908</v>
      </c>
      <c r="Z365" s="152">
        <f t="shared" si="107"/>
        <v>8.3467500000000001</v>
      </c>
      <c r="AA365" s="153">
        <f t="shared" si="113"/>
        <v>23.978053371394171</v>
      </c>
      <c r="AB365" s="153">
        <f t="shared" si="114"/>
        <v>24.295799031394171</v>
      </c>
      <c r="AC365" s="154">
        <f t="shared" si="112"/>
        <v>32.324803371394168</v>
      </c>
      <c r="AD365" s="156">
        <f t="shared" si="115"/>
        <v>32.642549031394168</v>
      </c>
    </row>
    <row r="366" spans="1:30" s="144" customFormat="1">
      <c r="A366" s="139">
        <v>4</v>
      </c>
      <c r="B366" s="139">
        <f>IFERROR(INDEX(Työkonekanta!$F$3:$F$27,MATCH('S0a Baseline'!$A366,Työkonekanta!$A$3:$A$24,0),1),0)</f>
        <v>1</v>
      </c>
      <c r="C366" s="140">
        <v>2031</v>
      </c>
      <c r="D366" s="141" t="str">
        <f>IFERROR(INDEX(Työkonekanta!$D$3:$D$27,MATCH('S0a Baseline'!$A366,Työkonekanta!$A$3:$A$24,0),1),"undefined")</f>
        <v>pom</v>
      </c>
      <c r="E366" s="145">
        <f>IFERROR(INDEX(Työkonekanta!$G$3:$G$27,MATCH($A366,Työkonekanta!$A$3:$A$24,0),1)*INDEX(Työkonekanta!$H$3:$H$27,MATCH($A366,Työkonekanta!$A$3:$A$24,0),1)*$B366,0)</f>
        <v>10000</v>
      </c>
      <c r="F366" s="344">
        <f t="shared" si="98"/>
        <v>359000</v>
      </c>
      <c r="G366" s="344">
        <f t="shared" si="105"/>
        <v>323100</v>
      </c>
      <c r="H366" s="344">
        <f t="shared" si="106"/>
        <v>35900</v>
      </c>
      <c r="I366" s="145">
        <f t="shared" si="99"/>
        <v>9000</v>
      </c>
      <c r="J366" s="145">
        <f t="shared" si="100"/>
        <v>1046.6472303206997</v>
      </c>
      <c r="K366" s="142" t="str">
        <f t="shared" si="108"/>
        <v>l</v>
      </c>
      <c r="L366" s="146">
        <f>IFERROR(INDEX(Työkonekanta!$I$3:$I$27,MATCH('S0a Baseline'!$A366,Työkonekanta!$A$3:$A$24,0),1)*(I366+J366)*f_adblue,0)</f>
        <v>502.33236151603501</v>
      </c>
      <c r="M366" s="146">
        <f t="shared" si="109"/>
        <v>0</v>
      </c>
      <c r="N366" s="143" t="str">
        <f>IF(tuulisähkö_vuosi&lt;='S0a Baseline'!C366,"tuulisähkö",ostosähkö_nyt)</f>
        <v>jäännössähkö</v>
      </c>
      <c r="O366" s="147">
        <f>INDEX(Muuttujat!$J$5:$J$21,MATCH($C366,Muuttujat!$H$5:$H$21,0),1)</f>
        <v>61.379690186142746</v>
      </c>
      <c r="P366" s="342">
        <f>1-(INDEX(Muuttujat!$O$5:$O$21,MATCH($C366,Muuttujat!$N$5:$N$21,0),1))</f>
        <v>0.9</v>
      </c>
      <c r="Q366" s="342">
        <f>INDEX(Muuttujat!$O$5:$O$21,MATCH($C366,Muuttujat!$N$5:$N$21,0),1)</f>
        <v>0.1</v>
      </c>
      <c r="R366" s="148">
        <f>INDEX(Muuttujat!$P$5:$P$21,MATCH($C366,Muuttujat!$N$5:$N$21,0),1)</f>
        <v>0.10417875759940039</v>
      </c>
      <c r="S366" s="149">
        <f t="shared" si="101"/>
        <v>6.1065899999999997</v>
      </c>
      <c r="T366" s="150">
        <f t="shared" si="102"/>
        <v>2.2401599999999999</v>
      </c>
      <c r="U366" s="150">
        <f t="shared" si="103"/>
        <v>0</v>
      </c>
      <c r="V366" s="150">
        <f>IFERROR(INDEX(Työkonekanta!$J$3:$J$27,MATCH($A366,Työkonekanta!$A$3:$A$24,0),1)*$B366*ef_li_ion_akku/1000/1000/INDEX(Työkonekanta!$K$3:$K$27,MATCH($A366,Työkonekanta!$A$3:$A$24,0)),0)</f>
        <v>0</v>
      </c>
      <c r="W366" s="149">
        <f t="shared" si="104"/>
        <v>23.847446957400003</v>
      </c>
      <c r="X366" s="150">
        <f t="shared" si="110"/>
        <v>0.31774565999999999</v>
      </c>
      <c r="Y366" s="151">
        <f t="shared" si="111"/>
        <v>0.13060641399416908</v>
      </c>
      <c r="Z366" s="152">
        <f t="shared" si="107"/>
        <v>8.3467500000000001</v>
      </c>
      <c r="AA366" s="153">
        <f t="shared" si="113"/>
        <v>23.978053371394171</v>
      </c>
      <c r="AB366" s="153">
        <f t="shared" si="114"/>
        <v>24.295799031394171</v>
      </c>
      <c r="AC366" s="154">
        <f t="shared" si="112"/>
        <v>32.324803371394168</v>
      </c>
      <c r="AD366" s="156">
        <f t="shared" si="115"/>
        <v>32.642549031394168</v>
      </c>
    </row>
    <row r="367" spans="1:30" s="144" customFormat="1">
      <c r="A367" s="139">
        <v>5</v>
      </c>
      <c r="B367" s="139">
        <f>IFERROR(INDEX(Työkonekanta!$F$3:$F$27,MATCH('S0a Baseline'!$A367,Työkonekanta!$A$3:$A$24,0),1),0)</f>
        <v>0</v>
      </c>
      <c r="C367" s="140">
        <v>2031</v>
      </c>
      <c r="D367" s="141" t="str">
        <f>IFERROR(INDEX(Työkonekanta!$D$3:$D$27,MATCH('S0a Baseline'!$A367,Työkonekanta!$A$3:$A$24,0),1),"undefined")</f>
        <v>sähkö</v>
      </c>
      <c r="E367" s="145">
        <f>IFERROR(INDEX(Työkonekanta!$G$3:$G$27,MATCH($A367,Työkonekanta!$A$3:$A$24,0),1)*INDEX(Työkonekanta!$H$3:$H$27,MATCH($A367,Työkonekanta!$A$3:$A$24,0),1)*$B367,0)</f>
        <v>0</v>
      </c>
      <c r="F367" s="344">
        <f t="shared" si="98"/>
        <v>0</v>
      </c>
      <c r="G367" s="344">
        <f t="shared" si="105"/>
        <v>0</v>
      </c>
      <c r="H367" s="344">
        <f t="shared" si="106"/>
        <v>0</v>
      </c>
      <c r="I367" s="145">
        <f t="shared" si="99"/>
        <v>0</v>
      </c>
      <c r="J367" s="145">
        <f t="shared" si="100"/>
        <v>0</v>
      </c>
      <c r="K367" s="142" t="str">
        <f t="shared" si="108"/>
        <v>kWh</v>
      </c>
      <c r="L367" s="146">
        <f>IFERROR(INDEX(Työkonekanta!$I$3:$I$27,MATCH('S0a Baseline'!$A367,Työkonekanta!$A$3:$A$24,0),1)*(I367+J367)*f_adblue,0)</f>
        <v>0</v>
      </c>
      <c r="M367" s="146">
        <f t="shared" si="109"/>
        <v>0</v>
      </c>
      <c r="N367" s="143" t="str">
        <f>IF(tuulisähkö_vuosi&lt;='S0a Baseline'!C367,"tuulisähkö",ostosähkö_nyt)</f>
        <v>jäännössähkö</v>
      </c>
      <c r="O367" s="147">
        <f>INDEX(Muuttujat!$J$5:$J$21,MATCH($C367,Muuttujat!$H$5:$H$21,0),1)</f>
        <v>61.379690186142746</v>
      </c>
      <c r="P367" s="342">
        <f>1-(INDEX(Muuttujat!$O$5:$O$21,MATCH($C367,Muuttujat!$N$5:$N$21,0),1))</f>
        <v>0.9</v>
      </c>
      <c r="Q367" s="342">
        <f>INDEX(Muuttujat!$O$5:$O$21,MATCH($C367,Muuttujat!$N$5:$N$21,0),1)</f>
        <v>0.1</v>
      </c>
      <c r="R367" s="148">
        <f>INDEX(Muuttujat!$P$5:$P$21,MATCH($C367,Muuttujat!$N$5:$N$21,0),1)</f>
        <v>0.10417875759940039</v>
      </c>
      <c r="S367" s="149">
        <f t="shared" si="101"/>
        <v>0</v>
      </c>
      <c r="T367" s="150">
        <f t="shared" si="102"/>
        <v>0</v>
      </c>
      <c r="U367" s="150">
        <f t="shared" si="103"/>
        <v>0</v>
      </c>
      <c r="V367" s="150">
        <f>IFERROR(INDEX(Työkonekanta!$J$3:$J$27,MATCH($A367,Työkonekanta!$A$3:$A$24,0),1)*$B367*ef_li_ion_akku/1000/1000/INDEX(Työkonekanta!$K$3:$K$27,MATCH($A367,Työkonekanta!$A$3:$A$24,0)),0)</f>
        <v>0</v>
      </c>
      <c r="W367" s="149">
        <f t="shared" si="104"/>
        <v>0</v>
      </c>
      <c r="X367" s="150">
        <f t="shared" si="110"/>
        <v>0</v>
      </c>
      <c r="Y367" s="151">
        <f t="shared" si="111"/>
        <v>0</v>
      </c>
      <c r="Z367" s="152">
        <f t="shared" si="107"/>
        <v>0</v>
      </c>
      <c r="AA367" s="153">
        <f t="shared" si="113"/>
        <v>0</v>
      </c>
      <c r="AB367" s="153">
        <f t="shared" si="114"/>
        <v>0</v>
      </c>
      <c r="AC367" s="154">
        <f t="shared" si="112"/>
        <v>0</v>
      </c>
      <c r="AD367" s="156">
        <f t="shared" si="115"/>
        <v>0</v>
      </c>
    </row>
    <row r="368" spans="1:30" s="144" customFormat="1">
      <c r="A368" s="139">
        <v>6</v>
      </c>
      <c r="B368" s="139">
        <f>IFERROR(INDEX(Työkonekanta!$F$3:$F$27,MATCH('S0a Baseline'!$A368,Työkonekanta!$A$3:$A$24,0),1),0)</f>
        <v>0</v>
      </c>
      <c r="C368" s="140">
        <v>2031</v>
      </c>
      <c r="D368" s="141" t="str">
        <f>IFERROR(INDEX(Työkonekanta!$D$3:$D$27,MATCH('S0a Baseline'!$A368,Työkonekanta!$A$3:$A$24,0),1),"undefined")</f>
        <v>sähkö</v>
      </c>
      <c r="E368" s="145">
        <f>IFERROR(INDEX(Työkonekanta!$G$3:$G$27,MATCH($A368,Työkonekanta!$A$3:$A$24,0),1)*INDEX(Työkonekanta!$H$3:$H$27,MATCH($A368,Työkonekanta!$A$3:$A$24,0),1)*$B368,0)</f>
        <v>0</v>
      </c>
      <c r="F368" s="344">
        <f t="shared" si="98"/>
        <v>0</v>
      </c>
      <c r="G368" s="344">
        <f t="shared" si="105"/>
        <v>0</v>
      </c>
      <c r="H368" s="344">
        <f t="shared" si="106"/>
        <v>0</v>
      </c>
      <c r="I368" s="145">
        <f t="shared" si="99"/>
        <v>0</v>
      </c>
      <c r="J368" s="145">
        <f t="shared" si="100"/>
        <v>0</v>
      </c>
      <c r="K368" s="142" t="str">
        <f t="shared" si="108"/>
        <v>kWh</v>
      </c>
      <c r="L368" s="146">
        <f>IFERROR(INDEX(Työkonekanta!$I$3:$I$27,MATCH('S0a Baseline'!$A368,Työkonekanta!$A$3:$A$24,0),1)*(I368+J368)*f_adblue,0)</f>
        <v>0</v>
      </c>
      <c r="M368" s="146">
        <f t="shared" si="109"/>
        <v>0</v>
      </c>
      <c r="N368" s="143" t="str">
        <f>IF(tuulisähkö_vuosi&lt;='S0a Baseline'!C368,"tuulisähkö",ostosähkö_nyt)</f>
        <v>jäännössähkö</v>
      </c>
      <c r="O368" s="147">
        <f>INDEX(Muuttujat!$J$5:$J$21,MATCH($C368,Muuttujat!$H$5:$H$21,0),1)</f>
        <v>61.379690186142746</v>
      </c>
      <c r="P368" s="342">
        <f>1-(INDEX(Muuttujat!$O$5:$O$21,MATCH($C368,Muuttujat!$N$5:$N$21,0),1))</f>
        <v>0.9</v>
      </c>
      <c r="Q368" s="342">
        <f>INDEX(Muuttujat!$O$5:$O$21,MATCH($C368,Muuttujat!$N$5:$N$21,0),1)</f>
        <v>0.1</v>
      </c>
      <c r="R368" s="148">
        <f>INDEX(Muuttujat!$P$5:$P$21,MATCH($C368,Muuttujat!$N$5:$N$21,0),1)</f>
        <v>0.10417875759940039</v>
      </c>
      <c r="S368" s="149">
        <f t="shared" si="101"/>
        <v>0</v>
      </c>
      <c r="T368" s="150">
        <f t="shared" si="102"/>
        <v>0</v>
      </c>
      <c r="U368" s="150">
        <f t="shared" si="103"/>
        <v>0</v>
      </c>
      <c r="V368" s="150">
        <f>IFERROR(INDEX(Työkonekanta!$J$3:$J$27,MATCH($A368,Työkonekanta!$A$3:$A$24,0),1)*$B368*ef_li_ion_akku/1000/1000/INDEX(Työkonekanta!$K$3:$K$27,MATCH($A368,Työkonekanta!$A$3:$A$24,0)),0)</f>
        <v>0</v>
      </c>
      <c r="W368" s="149">
        <f t="shared" si="104"/>
        <v>0</v>
      </c>
      <c r="X368" s="150">
        <f t="shared" si="110"/>
        <v>0</v>
      </c>
      <c r="Y368" s="151">
        <f t="shared" si="111"/>
        <v>0</v>
      </c>
      <c r="Z368" s="152">
        <f t="shared" si="107"/>
        <v>0</v>
      </c>
      <c r="AA368" s="153">
        <f t="shared" si="113"/>
        <v>0</v>
      </c>
      <c r="AB368" s="153">
        <f t="shared" si="114"/>
        <v>0</v>
      </c>
      <c r="AC368" s="154">
        <f t="shared" si="112"/>
        <v>0</v>
      </c>
      <c r="AD368" s="156">
        <f t="shared" si="115"/>
        <v>0</v>
      </c>
    </row>
    <row r="369" spans="1:30" s="144" customFormat="1">
      <c r="A369" s="139">
        <v>7</v>
      </c>
      <c r="B369" s="139">
        <f>IFERROR(INDEX(Työkonekanta!$F$3:$F$27,MATCH('S0a Baseline'!$A369,Työkonekanta!$A$3:$A$24,0),1),0)</f>
        <v>1</v>
      </c>
      <c r="C369" s="140">
        <v>2031</v>
      </c>
      <c r="D369" s="141" t="str">
        <f>IFERROR(INDEX(Työkonekanta!$D$3:$D$27,MATCH('S0a Baseline'!$A369,Työkonekanta!$A$3:$A$24,0),1),"undefined")</f>
        <v>pom</v>
      </c>
      <c r="E369" s="145">
        <f>IFERROR(INDEX(Työkonekanta!$G$3:$G$27,MATCH($A369,Työkonekanta!$A$3:$A$24,0),1)*INDEX(Työkonekanta!$H$3:$H$27,MATCH($A369,Työkonekanta!$A$3:$A$24,0),1)*$B369,0)</f>
        <v>10000</v>
      </c>
      <c r="F369" s="344">
        <f t="shared" si="98"/>
        <v>359000</v>
      </c>
      <c r="G369" s="344">
        <f t="shared" si="105"/>
        <v>323100</v>
      </c>
      <c r="H369" s="344">
        <f t="shared" si="106"/>
        <v>35900</v>
      </c>
      <c r="I369" s="145">
        <f t="shared" si="99"/>
        <v>9000</v>
      </c>
      <c r="J369" s="145">
        <f t="shared" si="100"/>
        <v>1046.6472303206997</v>
      </c>
      <c r="K369" s="142" t="str">
        <f t="shared" si="108"/>
        <v>l</v>
      </c>
      <c r="L369" s="146">
        <f>IFERROR(INDEX(Työkonekanta!$I$3:$I$27,MATCH('S0a Baseline'!$A369,Työkonekanta!$A$3:$A$24,0),1)*(I369+J369)*f_adblue,0)</f>
        <v>0</v>
      </c>
      <c r="M369" s="146">
        <f t="shared" si="109"/>
        <v>0</v>
      </c>
      <c r="N369" s="143" t="str">
        <f>IF(tuulisähkö_vuosi&lt;='S0a Baseline'!C369,"tuulisähkö",ostosähkö_nyt)</f>
        <v>jäännössähkö</v>
      </c>
      <c r="O369" s="147">
        <f>INDEX(Muuttujat!$J$5:$J$21,MATCH($C369,Muuttujat!$H$5:$H$21,0),1)</f>
        <v>61.379690186142746</v>
      </c>
      <c r="P369" s="342">
        <f>1-(INDEX(Muuttujat!$O$5:$O$21,MATCH($C369,Muuttujat!$N$5:$N$21,0),1))</f>
        <v>0.9</v>
      </c>
      <c r="Q369" s="342">
        <f>INDEX(Muuttujat!$O$5:$O$21,MATCH($C369,Muuttujat!$N$5:$N$21,0),1)</f>
        <v>0.1</v>
      </c>
      <c r="R369" s="148">
        <f>INDEX(Muuttujat!$P$5:$P$21,MATCH($C369,Muuttujat!$N$5:$N$21,0),1)</f>
        <v>0.10417875759940039</v>
      </c>
      <c r="S369" s="149">
        <f t="shared" si="101"/>
        <v>6.1065899999999997</v>
      </c>
      <c r="T369" s="150">
        <f t="shared" si="102"/>
        <v>2.2401599999999999</v>
      </c>
      <c r="U369" s="150">
        <f t="shared" si="103"/>
        <v>0</v>
      </c>
      <c r="V369" s="150">
        <f>IFERROR(INDEX(Työkonekanta!$J$3:$J$27,MATCH($A369,Työkonekanta!$A$3:$A$24,0),1)*$B369*ef_li_ion_akku/1000/1000/INDEX(Työkonekanta!$K$3:$K$27,MATCH($A369,Työkonekanta!$A$3:$A$24,0)),0)</f>
        <v>0</v>
      </c>
      <c r="W369" s="149">
        <f t="shared" si="104"/>
        <v>23.847446957400003</v>
      </c>
      <c r="X369" s="150">
        <f t="shared" si="110"/>
        <v>0.31774565999999999</v>
      </c>
      <c r="Y369" s="151">
        <f t="shared" si="111"/>
        <v>0</v>
      </c>
      <c r="Z369" s="152">
        <f t="shared" si="107"/>
        <v>8.3467500000000001</v>
      </c>
      <c r="AA369" s="153">
        <f t="shared" si="113"/>
        <v>23.847446957400003</v>
      </c>
      <c r="AB369" s="153">
        <f t="shared" si="114"/>
        <v>24.165192617400002</v>
      </c>
      <c r="AC369" s="154">
        <f t="shared" si="112"/>
        <v>32.194196957400003</v>
      </c>
      <c r="AD369" s="156">
        <f t="shared" si="115"/>
        <v>32.511942617400003</v>
      </c>
    </row>
    <row r="370" spans="1:30" s="144" customFormat="1">
      <c r="A370" s="139">
        <v>8</v>
      </c>
      <c r="B370" s="139">
        <f>IFERROR(INDEX(Työkonekanta!$F$3:$F$27,MATCH('S0a Baseline'!$A370,Työkonekanta!$A$3:$A$24,0),1),0)</f>
        <v>1</v>
      </c>
      <c r="C370" s="140">
        <v>2031</v>
      </c>
      <c r="D370" s="141" t="str">
        <f>IFERROR(INDEX(Työkonekanta!$D$3:$D$27,MATCH('S0a Baseline'!$A370,Työkonekanta!$A$3:$A$24,0),1),"undefined")</f>
        <v>pom</v>
      </c>
      <c r="E370" s="145">
        <f>IFERROR(INDEX(Työkonekanta!$G$3:$G$27,MATCH($A370,Työkonekanta!$A$3:$A$24,0),1)*INDEX(Työkonekanta!$H$3:$H$27,MATCH($A370,Työkonekanta!$A$3:$A$24,0),1)*$B370,0)</f>
        <v>10000</v>
      </c>
      <c r="F370" s="344">
        <f t="shared" si="98"/>
        <v>359000</v>
      </c>
      <c r="G370" s="344">
        <f t="shared" si="105"/>
        <v>323100</v>
      </c>
      <c r="H370" s="344">
        <f t="shared" si="106"/>
        <v>35900</v>
      </c>
      <c r="I370" s="145">
        <f t="shared" si="99"/>
        <v>9000</v>
      </c>
      <c r="J370" s="145">
        <f t="shared" si="100"/>
        <v>1046.6472303206997</v>
      </c>
      <c r="K370" s="142" t="str">
        <f t="shared" si="108"/>
        <v>l</v>
      </c>
      <c r="L370" s="146">
        <f>IFERROR(INDEX(Työkonekanta!$I$3:$I$27,MATCH('S0a Baseline'!$A370,Työkonekanta!$A$3:$A$24,0),1)*(I370+J370)*f_adblue,0)</f>
        <v>502.33236151603501</v>
      </c>
      <c r="M370" s="146">
        <f t="shared" si="109"/>
        <v>0</v>
      </c>
      <c r="N370" s="143" t="str">
        <f>IF(tuulisähkö_vuosi&lt;='S0a Baseline'!C370,"tuulisähkö",ostosähkö_nyt)</f>
        <v>jäännössähkö</v>
      </c>
      <c r="O370" s="147">
        <f>INDEX(Muuttujat!$J$5:$J$21,MATCH($C370,Muuttujat!$H$5:$H$21,0),1)</f>
        <v>61.379690186142746</v>
      </c>
      <c r="P370" s="342">
        <f>1-(INDEX(Muuttujat!$O$5:$O$21,MATCH($C370,Muuttujat!$N$5:$N$21,0),1))</f>
        <v>0.9</v>
      </c>
      <c r="Q370" s="342">
        <f>INDEX(Muuttujat!$O$5:$O$21,MATCH($C370,Muuttujat!$N$5:$N$21,0),1)</f>
        <v>0.1</v>
      </c>
      <c r="R370" s="148">
        <f>INDEX(Muuttujat!$P$5:$P$21,MATCH($C370,Muuttujat!$N$5:$N$21,0),1)</f>
        <v>0.10417875759940039</v>
      </c>
      <c r="S370" s="149">
        <f t="shared" si="101"/>
        <v>6.1065899999999997</v>
      </c>
      <c r="T370" s="150">
        <f t="shared" si="102"/>
        <v>2.2401599999999999</v>
      </c>
      <c r="U370" s="150">
        <f t="shared" si="103"/>
        <v>0</v>
      </c>
      <c r="V370" s="150">
        <f>IFERROR(INDEX(Työkonekanta!$J$3:$J$27,MATCH($A370,Työkonekanta!$A$3:$A$24,0),1)*$B370*ef_li_ion_akku/1000/1000/INDEX(Työkonekanta!$K$3:$K$27,MATCH($A370,Työkonekanta!$A$3:$A$24,0)),0)</f>
        <v>0</v>
      </c>
      <c r="W370" s="149">
        <f t="shared" si="104"/>
        <v>23.847446957400003</v>
      </c>
      <c r="X370" s="150">
        <f t="shared" si="110"/>
        <v>0.31774565999999999</v>
      </c>
      <c r="Y370" s="151">
        <f t="shared" si="111"/>
        <v>0.13060641399416908</v>
      </c>
      <c r="Z370" s="152">
        <f t="shared" si="107"/>
        <v>8.3467500000000001</v>
      </c>
      <c r="AA370" s="153">
        <f t="shared" si="113"/>
        <v>23.978053371394171</v>
      </c>
      <c r="AB370" s="153">
        <f t="shared" si="114"/>
        <v>24.295799031394171</v>
      </c>
      <c r="AC370" s="154">
        <f t="shared" si="112"/>
        <v>32.324803371394168</v>
      </c>
      <c r="AD370" s="156">
        <f t="shared" si="115"/>
        <v>32.642549031394168</v>
      </c>
    </row>
    <row r="371" spans="1:30" s="144" customFormat="1">
      <c r="A371" s="139">
        <v>9</v>
      </c>
      <c r="B371" s="139">
        <f>IFERROR(INDEX(Työkonekanta!$F$3:$F$27,MATCH('S0a Baseline'!$A371,Työkonekanta!$A$3:$A$24,0),1),0)</f>
        <v>0</v>
      </c>
      <c r="C371" s="140">
        <v>2031</v>
      </c>
      <c r="D371" s="141" t="str">
        <f>IFERROR(INDEX(Työkonekanta!$D$3:$D$27,MATCH('S0a Baseline'!$A371,Työkonekanta!$A$3:$A$24,0),1),"undefined")</f>
        <v>sähkö</v>
      </c>
      <c r="E371" s="145">
        <f>IFERROR(INDEX(Työkonekanta!$G$3:$G$27,MATCH($A371,Työkonekanta!$A$3:$A$24,0),1)*INDEX(Työkonekanta!$H$3:$H$27,MATCH($A371,Työkonekanta!$A$3:$A$24,0),1)*$B371,0)</f>
        <v>0</v>
      </c>
      <c r="F371" s="344">
        <f t="shared" si="98"/>
        <v>0</v>
      </c>
      <c r="G371" s="344">
        <f t="shared" si="105"/>
        <v>0</v>
      </c>
      <c r="H371" s="344">
        <f t="shared" si="106"/>
        <v>0</v>
      </c>
      <c r="I371" s="145">
        <f t="shared" si="99"/>
        <v>0</v>
      </c>
      <c r="J371" s="145">
        <f t="shared" si="100"/>
        <v>0</v>
      </c>
      <c r="K371" s="142" t="str">
        <f t="shared" si="108"/>
        <v>kWh</v>
      </c>
      <c r="L371" s="146">
        <f>IFERROR(INDEX(Työkonekanta!$I$3:$I$27,MATCH('S0a Baseline'!$A371,Työkonekanta!$A$3:$A$24,0),1)*(I371+J371)*f_adblue,0)</f>
        <v>0</v>
      </c>
      <c r="M371" s="146">
        <f t="shared" si="109"/>
        <v>0</v>
      </c>
      <c r="N371" s="143" t="str">
        <f>IF(tuulisähkö_vuosi&lt;='S0a Baseline'!C371,"tuulisähkö",ostosähkö_nyt)</f>
        <v>jäännössähkö</v>
      </c>
      <c r="O371" s="147">
        <f>INDEX(Muuttujat!$J$5:$J$21,MATCH($C371,Muuttujat!$H$5:$H$21,0),1)</f>
        <v>61.379690186142746</v>
      </c>
      <c r="P371" s="342">
        <f>1-(INDEX(Muuttujat!$O$5:$O$21,MATCH($C371,Muuttujat!$N$5:$N$21,0),1))</f>
        <v>0.9</v>
      </c>
      <c r="Q371" s="342">
        <f>INDEX(Muuttujat!$O$5:$O$21,MATCH($C371,Muuttujat!$N$5:$N$21,0),1)</f>
        <v>0.1</v>
      </c>
      <c r="R371" s="148">
        <f>INDEX(Muuttujat!$P$5:$P$21,MATCH($C371,Muuttujat!$N$5:$N$21,0),1)</f>
        <v>0.10417875759940039</v>
      </c>
      <c r="S371" s="149">
        <f t="shared" si="101"/>
        <v>0</v>
      </c>
      <c r="T371" s="150">
        <f t="shared" si="102"/>
        <v>0</v>
      </c>
      <c r="U371" s="150">
        <f t="shared" si="103"/>
        <v>0</v>
      </c>
      <c r="V371" s="150">
        <f>IFERROR(INDEX(Työkonekanta!$J$3:$J$27,MATCH($A371,Työkonekanta!$A$3:$A$24,0),1)*$B371*ef_li_ion_akku/1000/1000/INDEX(Työkonekanta!$K$3:$K$27,MATCH($A371,Työkonekanta!$A$3:$A$24,0)),0)</f>
        <v>0</v>
      </c>
      <c r="W371" s="149">
        <f t="shared" si="104"/>
        <v>0</v>
      </c>
      <c r="X371" s="150">
        <f t="shared" si="110"/>
        <v>0</v>
      </c>
      <c r="Y371" s="151">
        <f t="shared" si="111"/>
        <v>0</v>
      </c>
      <c r="Z371" s="152">
        <f t="shared" si="107"/>
        <v>0</v>
      </c>
      <c r="AA371" s="153">
        <f t="shared" si="113"/>
        <v>0</v>
      </c>
      <c r="AB371" s="153">
        <f t="shared" si="114"/>
        <v>0</v>
      </c>
      <c r="AC371" s="154">
        <f t="shared" si="112"/>
        <v>0</v>
      </c>
      <c r="AD371" s="156">
        <f t="shared" si="115"/>
        <v>0</v>
      </c>
    </row>
    <row r="372" spans="1:30" s="144" customFormat="1">
      <c r="A372" s="139">
        <v>10</v>
      </c>
      <c r="B372" s="139">
        <f>IFERROR(INDEX(Työkonekanta!$F$3:$F$27,MATCH('S0a Baseline'!$A372,Työkonekanta!$A$3:$A$24,0),1),0)</f>
        <v>0</v>
      </c>
      <c r="C372" s="140">
        <v>2031</v>
      </c>
      <c r="D372" s="141" t="str">
        <f>IFERROR(INDEX(Työkonekanta!$D$3:$D$27,MATCH('S0a Baseline'!$A372,Työkonekanta!$A$3:$A$24,0),1),"undefined")</f>
        <v>sähkö</v>
      </c>
      <c r="E372" s="145">
        <f>IFERROR(INDEX(Työkonekanta!$G$3:$G$27,MATCH($A372,Työkonekanta!$A$3:$A$24,0),1)*INDEX(Työkonekanta!$H$3:$H$27,MATCH($A372,Työkonekanta!$A$3:$A$24,0),1)*$B372,0)</f>
        <v>0</v>
      </c>
      <c r="F372" s="344">
        <f t="shared" si="98"/>
        <v>0</v>
      </c>
      <c r="G372" s="344">
        <f t="shared" si="105"/>
        <v>0</v>
      </c>
      <c r="H372" s="344">
        <f t="shared" si="106"/>
        <v>0</v>
      </c>
      <c r="I372" s="145">
        <f t="shared" si="99"/>
        <v>0</v>
      </c>
      <c r="J372" s="145">
        <f t="shared" si="100"/>
        <v>0</v>
      </c>
      <c r="K372" s="142" t="str">
        <f t="shared" si="108"/>
        <v>kWh</v>
      </c>
      <c r="L372" s="146">
        <f>IFERROR(INDEX(Työkonekanta!$I$3:$I$27,MATCH('S0a Baseline'!$A372,Työkonekanta!$A$3:$A$24,0),1)*(I372+J372)*f_adblue,0)</f>
        <v>0</v>
      </c>
      <c r="M372" s="146">
        <f t="shared" si="109"/>
        <v>0</v>
      </c>
      <c r="N372" s="143" t="str">
        <f>IF(tuulisähkö_vuosi&lt;='S0a Baseline'!C372,"tuulisähkö",ostosähkö_nyt)</f>
        <v>jäännössähkö</v>
      </c>
      <c r="O372" s="147">
        <f>INDEX(Muuttujat!$J$5:$J$21,MATCH($C372,Muuttujat!$H$5:$H$21,0),1)</f>
        <v>61.379690186142746</v>
      </c>
      <c r="P372" s="342">
        <f>1-(INDEX(Muuttujat!$O$5:$O$21,MATCH($C372,Muuttujat!$N$5:$N$21,0),1))</f>
        <v>0.9</v>
      </c>
      <c r="Q372" s="342">
        <f>INDEX(Muuttujat!$O$5:$O$21,MATCH($C372,Muuttujat!$N$5:$N$21,0),1)</f>
        <v>0.1</v>
      </c>
      <c r="R372" s="148">
        <f>INDEX(Muuttujat!$P$5:$P$21,MATCH($C372,Muuttujat!$N$5:$N$21,0),1)</f>
        <v>0.10417875759940039</v>
      </c>
      <c r="S372" s="149">
        <f t="shared" si="101"/>
        <v>0</v>
      </c>
      <c r="T372" s="150">
        <f t="shared" si="102"/>
        <v>0</v>
      </c>
      <c r="U372" s="150">
        <f t="shared" si="103"/>
        <v>0</v>
      </c>
      <c r="V372" s="150">
        <f>IFERROR(INDEX(Työkonekanta!$J$3:$J$27,MATCH($A372,Työkonekanta!$A$3:$A$24,0),1)*$B372*ef_li_ion_akku/1000/1000/INDEX(Työkonekanta!$K$3:$K$27,MATCH($A372,Työkonekanta!$A$3:$A$24,0)),0)</f>
        <v>0</v>
      </c>
      <c r="W372" s="149">
        <f t="shared" si="104"/>
        <v>0</v>
      </c>
      <c r="X372" s="150">
        <f t="shared" si="110"/>
        <v>0</v>
      </c>
      <c r="Y372" s="151">
        <f t="shared" si="111"/>
        <v>0</v>
      </c>
      <c r="Z372" s="152">
        <f t="shared" si="107"/>
        <v>0</v>
      </c>
      <c r="AA372" s="153">
        <f t="shared" si="113"/>
        <v>0</v>
      </c>
      <c r="AB372" s="153">
        <f t="shared" si="114"/>
        <v>0</v>
      </c>
      <c r="AC372" s="154">
        <f t="shared" si="112"/>
        <v>0</v>
      </c>
      <c r="AD372" s="156">
        <f t="shared" si="115"/>
        <v>0</v>
      </c>
    </row>
    <row r="373" spans="1:30" s="144" customFormat="1">
      <c r="A373" s="139">
        <v>11</v>
      </c>
      <c r="B373" s="139">
        <f>IFERROR(INDEX(Työkonekanta!$F$3:$F$27,MATCH('S0a Baseline'!$A373,Työkonekanta!$A$3:$A$24,0),1),0)</f>
        <v>1</v>
      </c>
      <c r="C373" s="140">
        <v>2031</v>
      </c>
      <c r="D373" s="141" t="str">
        <f>IFERROR(INDEX(Työkonekanta!$D$3:$D$27,MATCH('S0a Baseline'!$A373,Työkonekanta!$A$3:$A$24,0),1),"undefined")</f>
        <v>pom</v>
      </c>
      <c r="E373" s="145">
        <f>IFERROR(INDEX(Työkonekanta!$G$3:$G$27,MATCH($A373,Työkonekanta!$A$3:$A$24,0),1)*INDEX(Työkonekanta!$H$3:$H$27,MATCH($A373,Työkonekanta!$A$3:$A$24,0),1)*$B373,0)</f>
        <v>10000</v>
      </c>
      <c r="F373" s="344">
        <f t="shared" si="98"/>
        <v>359000</v>
      </c>
      <c r="G373" s="344">
        <f t="shared" si="105"/>
        <v>323100</v>
      </c>
      <c r="H373" s="344">
        <f t="shared" si="106"/>
        <v>35900</v>
      </c>
      <c r="I373" s="145">
        <f t="shared" si="99"/>
        <v>9000</v>
      </c>
      <c r="J373" s="145">
        <f t="shared" si="100"/>
        <v>1046.6472303206997</v>
      </c>
      <c r="K373" s="142" t="str">
        <f t="shared" si="108"/>
        <v>l</v>
      </c>
      <c r="L373" s="146">
        <f>IFERROR(INDEX(Työkonekanta!$I$3:$I$27,MATCH('S0a Baseline'!$A373,Työkonekanta!$A$3:$A$24,0),1)*(I373+J373)*f_adblue,0)</f>
        <v>502.33236151603501</v>
      </c>
      <c r="M373" s="146">
        <f t="shared" si="109"/>
        <v>0</v>
      </c>
      <c r="N373" s="143" t="str">
        <f>IF(tuulisähkö_vuosi&lt;='S0a Baseline'!C373,"tuulisähkö",ostosähkö_nyt)</f>
        <v>jäännössähkö</v>
      </c>
      <c r="O373" s="147">
        <f>INDEX(Muuttujat!$J$5:$J$21,MATCH($C373,Muuttujat!$H$5:$H$21,0),1)</f>
        <v>61.379690186142746</v>
      </c>
      <c r="P373" s="342">
        <f>1-(INDEX(Muuttujat!$O$5:$O$21,MATCH($C373,Muuttujat!$N$5:$N$21,0),1))</f>
        <v>0.9</v>
      </c>
      <c r="Q373" s="342">
        <f>INDEX(Muuttujat!$O$5:$O$21,MATCH($C373,Muuttujat!$N$5:$N$21,0),1)</f>
        <v>0.1</v>
      </c>
      <c r="R373" s="148">
        <f>INDEX(Muuttujat!$P$5:$P$21,MATCH($C373,Muuttujat!$N$5:$N$21,0),1)</f>
        <v>0.10417875759940039</v>
      </c>
      <c r="S373" s="149">
        <f t="shared" si="101"/>
        <v>6.1065899999999997</v>
      </c>
      <c r="T373" s="150">
        <f t="shared" si="102"/>
        <v>2.2401599999999999</v>
      </c>
      <c r="U373" s="150">
        <f t="shared" si="103"/>
        <v>0</v>
      </c>
      <c r="V373" s="150">
        <f>IFERROR(INDEX(Työkonekanta!$J$3:$J$27,MATCH($A373,Työkonekanta!$A$3:$A$24,0),1)*$B373*ef_li_ion_akku/1000/1000/INDEX(Työkonekanta!$K$3:$K$27,MATCH($A373,Työkonekanta!$A$3:$A$24,0)),0)</f>
        <v>0</v>
      </c>
      <c r="W373" s="149">
        <f t="shared" si="104"/>
        <v>23.847446957400003</v>
      </c>
      <c r="X373" s="150">
        <f t="shared" si="110"/>
        <v>0.31774565999999999</v>
      </c>
      <c r="Y373" s="151">
        <f t="shared" si="111"/>
        <v>0.13060641399416908</v>
      </c>
      <c r="Z373" s="152">
        <f t="shared" si="107"/>
        <v>8.3467500000000001</v>
      </c>
      <c r="AA373" s="153">
        <f t="shared" si="113"/>
        <v>23.978053371394171</v>
      </c>
      <c r="AB373" s="153">
        <f t="shared" si="114"/>
        <v>24.295799031394171</v>
      </c>
      <c r="AC373" s="154">
        <f t="shared" si="112"/>
        <v>32.324803371394168</v>
      </c>
      <c r="AD373" s="156">
        <f t="shared" si="115"/>
        <v>32.642549031394168</v>
      </c>
    </row>
    <row r="374" spans="1:30" s="144" customFormat="1">
      <c r="A374" s="139">
        <v>12</v>
      </c>
      <c r="B374" s="139">
        <f>IFERROR(INDEX(Työkonekanta!$F$3:$F$27,MATCH('S0a Baseline'!$A374,Työkonekanta!$A$3:$A$24,0),1),0)</f>
        <v>1</v>
      </c>
      <c r="C374" s="140">
        <v>2031</v>
      </c>
      <c r="D374" s="141" t="str">
        <f>IFERROR(INDEX(Työkonekanta!$D$3:$D$27,MATCH('S0a Baseline'!$A374,Työkonekanta!$A$3:$A$24,0),1),"undefined")</f>
        <v>pom</v>
      </c>
      <c r="E374" s="145">
        <f>IFERROR(INDEX(Työkonekanta!$G$3:$G$27,MATCH($A374,Työkonekanta!$A$3:$A$24,0),1)*INDEX(Työkonekanta!$H$3:$H$27,MATCH($A374,Työkonekanta!$A$3:$A$24,0),1)*$B374,0)</f>
        <v>10000</v>
      </c>
      <c r="F374" s="344">
        <f t="shared" si="98"/>
        <v>359000</v>
      </c>
      <c r="G374" s="344">
        <f t="shared" si="105"/>
        <v>323100</v>
      </c>
      <c r="H374" s="344">
        <f t="shared" si="106"/>
        <v>35900</v>
      </c>
      <c r="I374" s="145">
        <f t="shared" si="99"/>
        <v>9000</v>
      </c>
      <c r="J374" s="145">
        <f t="shared" si="100"/>
        <v>1046.6472303206997</v>
      </c>
      <c r="K374" s="142" t="str">
        <f t="shared" si="108"/>
        <v>l</v>
      </c>
      <c r="L374" s="146">
        <f>IFERROR(INDEX(Työkonekanta!$I$3:$I$27,MATCH('S0a Baseline'!$A374,Työkonekanta!$A$3:$A$24,0),1)*(I374+J374)*f_adblue,0)</f>
        <v>502.33236151603501</v>
      </c>
      <c r="M374" s="146">
        <f t="shared" si="109"/>
        <v>0</v>
      </c>
      <c r="N374" s="143" t="str">
        <f>IF(tuulisähkö_vuosi&lt;='S0a Baseline'!C374,"tuulisähkö",ostosähkö_nyt)</f>
        <v>jäännössähkö</v>
      </c>
      <c r="O374" s="147">
        <f>INDEX(Muuttujat!$J$5:$J$21,MATCH($C374,Muuttujat!$H$5:$H$21,0),1)</f>
        <v>61.379690186142746</v>
      </c>
      <c r="P374" s="342">
        <f>1-(INDEX(Muuttujat!$O$5:$O$21,MATCH($C374,Muuttujat!$N$5:$N$21,0),1))</f>
        <v>0.9</v>
      </c>
      <c r="Q374" s="342">
        <f>INDEX(Muuttujat!$O$5:$O$21,MATCH($C374,Muuttujat!$N$5:$N$21,0),1)</f>
        <v>0.1</v>
      </c>
      <c r="R374" s="148">
        <f>INDEX(Muuttujat!$P$5:$P$21,MATCH($C374,Muuttujat!$N$5:$N$21,0),1)</f>
        <v>0.10417875759940039</v>
      </c>
      <c r="S374" s="149">
        <f t="shared" si="101"/>
        <v>6.1065899999999997</v>
      </c>
      <c r="T374" s="150">
        <f t="shared" si="102"/>
        <v>2.2401599999999999</v>
      </c>
      <c r="U374" s="150">
        <f t="shared" si="103"/>
        <v>0</v>
      </c>
      <c r="V374" s="150">
        <f>IFERROR(INDEX(Työkonekanta!$J$3:$J$27,MATCH($A374,Työkonekanta!$A$3:$A$24,0),1)*$B374*ef_li_ion_akku/1000/1000/INDEX(Työkonekanta!$K$3:$K$27,MATCH($A374,Työkonekanta!$A$3:$A$24,0)),0)</f>
        <v>0</v>
      </c>
      <c r="W374" s="149">
        <f t="shared" si="104"/>
        <v>23.847446957400003</v>
      </c>
      <c r="X374" s="150">
        <f t="shared" si="110"/>
        <v>0.31774565999999999</v>
      </c>
      <c r="Y374" s="151">
        <f t="shared" si="111"/>
        <v>0.13060641399416908</v>
      </c>
      <c r="Z374" s="152">
        <f t="shared" si="107"/>
        <v>8.3467500000000001</v>
      </c>
      <c r="AA374" s="153">
        <f t="shared" si="113"/>
        <v>23.978053371394171</v>
      </c>
      <c r="AB374" s="153">
        <f t="shared" si="114"/>
        <v>24.295799031394171</v>
      </c>
      <c r="AC374" s="154">
        <f t="shared" si="112"/>
        <v>32.324803371394168</v>
      </c>
      <c r="AD374" s="156">
        <f t="shared" si="115"/>
        <v>32.642549031394168</v>
      </c>
    </row>
    <row r="375" spans="1:30" s="144" customFormat="1">
      <c r="A375" s="139">
        <v>13</v>
      </c>
      <c r="B375" s="139">
        <f>IFERROR(INDEX(Työkonekanta!$F$3:$F$27,MATCH('S0a Baseline'!$A375,Työkonekanta!$A$3:$A$24,0),1),0)</f>
        <v>0</v>
      </c>
      <c r="C375" s="140">
        <v>2031</v>
      </c>
      <c r="D375" s="141" t="str">
        <f>IFERROR(INDEX(Työkonekanta!$D$3:$D$27,MATCH('S0a Baseline'!$A375,Työkonekanta!$A$3:$A$24,0),1),"undefined")</f>
        <v>pom</v>
      </c>
      <c r="E375" s="145">
        <f>IFERROR(INDEX(Työkonekanta!$G$3:$G$27,MATCH($A375,Työkonekanta!$A$3:$A$24,0),1)*INDEX(Työkonekanta!$H$3:$H$27,MATCH($A375,Työkonekanta!$A$3:$A$24,0),1)*$B375,0)</f>
        <v>0</v>
      </c>
      <c r="F375" s="344">
        <f t="shared" si="98"/>
        <v>0</v>
      </c>
      <c r="G375" s="344">
        <f t="shared" si="105"/>
        <v>0</v>
      </c>
      <c r="H375" s="344">
        <f t="shared" si="106"/>
        <v>0</v>
      </c>
      <c r="I375" s="145">
        <f t="shared" si="99"/>
        <v>0</v>
      </c>
      <c r="J375" s="145">
        <f t="shared" si="100"/>
        <v>0</v>
      </c>
      <c r="K375" s="142" t="str">
        <f t="shared" si="108"/>
        <v>l</v>
      </c>
      <c r="L375" s="146">
        <f>IFERROR(INDEX(Työkonekanta!$I$3:$I$27,MATCH('S0a Baseline'!$A375,Työkonekanta!$A$3:$A$24,0),1)*(I375+J375)*f_adblue,0)</f>
        <v>0</v>
      </c>
      <c r="M375" s="146">
        <f t="shared" si="109"/>
        <v>0</v>
      </c>
      <c r="N375" s="143" t="str">
        <f>IF(tuulisähkö_vuosi&lt;='S0a Baseline'!C375,"tuulisähkö",ostosähkö_nyt)</f>
        <v>jäännössähkö</v>
      </c>
      <c r="O375" s="147">
        <f>INDEX(Muuttujat!$J$5:$J$21,MATCH($C375,Muuttujat!$H$5:$H$21,0),1)</f>
        <v>61.379690186142746</v>
      </c>
      <c r="P375" s="342">
        <f>1-(INDEX(Muuttujat!$O$5:$O$21,MATCH($C375,Muuttujat!$N$5:$N$21,0),1))</f>
        <v>0.9</v>
      </c>
      <c r="Q375" s="342">
        <f>INDEX(Muuttujat!$O$5:$O$21,MATCH($C375,Muuttujat!$N$5:$N$21,0),1)</f>
        <v>0.1</v>
      </c>
      <c r="R375" s="148">
        <f>INDEX(Muuttujat!$P$5:$P$21,MATCH($C375,Muuttujat!$N$5:$N$21,0),1)</f>
        <v>0.10417875759940039</v>
      </c>
      <c r="S375" s="149">
        <f t="shared" si="101"/>
        <v>0</v>
      </c>
      <c r="T375" s="150">
        <f t="shared" si="102"/>
        <v>0</v>
      </c>
      <c r="U375" s="150">
        <f t="shared" si="103"/>
        <v>0</v>
      </c>
      <c r="V375" s="150">
        <f>IFERROR(INDEX(Työkonekanta!$J$3:$J$27,MATCH($A375,Työkonekanta!$A$3:$A$24,0),1)*$B375*ef_li_ion_akku/1000/1000/INDEX(Työkonekanta!$K$3:$K$27,MATCH($A375,Työkonekanta!$A$3:$A$24,0)),0)</f>
        <v>0</v>
      </c>
      <c r="W375" s="149">
        <f t="shared" si="104"/>
        <v>0</v>
      </c>
      <c r="X375" s="150">
        <f t="shared" si="110"/>
        <v>0</v>
      </c>
      <c r="Y375" s="151">
        <f t="shared" si="111"/>
        <v>0</v>
      </c>
      <c r="Z375" s="152">
        <f t="shared" si="107"/>
        <v>0</v>
      </c>
      <c r="AA375" s="153">
        <f t="shared" si="113"/>
        <v>0</v>
      </c>
      <c r="AB375" s="153">
        <f t="shared" si="114"/>
        <v>0</v>
      </c>
      <c r="AC375" s="154">
        <f t="shared" si="112"/>
        <v>0</v>
      </c>
      <c r="AD375" s="156">
        <f t="shared" si="115"/>
        <v>0</v>
      </c>
    </row>
    <row r="376" spans="1:30" s="144" customFormat="1">
      <c r="A376" s="139">
        <v>14</v>
      </c>
      <c r="B376" s="139">
        <f>IFERROR(INDEX(Työkonekanta!$F$3:$F$27,MATCH('S0a Baseline'!$A376,Työkonekanta!$A$3:$A$24,0),1),0)</f>
        <v>0</v>
      </c>
      <c r="C376" s="140">
        <v>2031</v>
      </c>
      <c r="D376" s="141" t="str">
        <f>IFERROR(INDEX(Työkonekanta!$D$3:$D$27,MATCH('S0a Baseline'!$A376,Työkonekanta!$A$3:$A$24,0),1),"undefined")</f>
        <v>pom</v>
      </c>
      <c r="E376" s="145">
        <f>IFERROR(INDEX(Työkonekanta!$G$3:$G$27,MATCH($A376,Työkonekanta!$A$3:$A$24,0),1)*INDEX(Työkonekanta!$H$3:$H$27,MATCH($A376,Työkonekanta!$A$3:$A$24,0),1)*$B376,0)</f>
        <v>0</v>
      </c>
      <c r="F376" s="344">
        <f t="shared" si="98"/>
        <v>0</v>
      </c>
      <c r="G376" s="344">
        <f t="shared" si="105"/>
        <v>0</v>
      </c>
      <c r="H376" s="344">
        <f t="shared" si="106"/>
        <v>0</v>
      </c>
      <c r="I376" s="145">
        <f t="shared" si="99"/>
        <v>0</v>
      </c>
      <c r="J376" s="145">
        <f t="shared" si="100"/>
        <v>0</v>
      </c>
      <c r="K376" s="142" t="str">
        <f t="shared" si="108"/>
        <v>l</v>
      </c>
      <c r="L376" s="146">
        <f>IFERROR(INDEX(Työkonekanta!$I$3:$I$27,MATCH('S0a Baseline'!$A376,Työkonekanta!$A$3:$A$24,0),1)*(I376+J376)*f_adblue,0)</f>
        <v>0</v>
      </c>
      <c r="M376" s="146">
        <f t="shared" si="109"/>
        <v>0</v>
      </c>
      <c r="N376" s="143" t="str">
        <f>IF(tuulisähkö_vuosi&lt;='S0a Baseline'!C376,"tuulisähkö",ostosähkö_nyt)</f>
        <v>jäännössähkö</v>
      </c>
      <c r="O376" s="147">
        <f>INDEX(Muuttujat!$J$5:$J$21,MATCH($C376,Muuttujat!$H$5:$H$21,0),1)</f>
        <v>61.379690186142746</v>
      </c>
      <c r="P376" s="342">
        <f>1-(INDEX(Muuttujat!$O$5:$O$21,MATCH($C376,Muuttujat!$N$5:$N$21,0),1))</f>
        <v>0.9</v>
      </c>
      <c r="Q376" s="342">
        <f>INDEX(Muuttujat!$O$5:$O$21,MATCH($C376,Muuttujat!$N$5:$N$21,0),1)</f>
        <v>0.1</v>
      </c>
      <c r="R376" s="148">
        <f>INDEX(Muuttujat!$P$5:$P$21,MATCH($C376,Muuttujat!$N$5:$N$21,0),1)</f>
        <v>0.10417875759940039</v>
      </c>
      <c r="S376" s="149">
        <f t="shared" si="101"/>
        <v>0</v>
      </c>
      <c r="T376" s="150">
        <f t="shared" si="102"/>
        <v>0</v>
      </c>
      <c r="U376" s="150">
        <f t="shared" si="103"/>
        <v>0</v>
      </c>
      <c r="V376" s="150">
        <f>IFERROR(INDEX(Työkonekanta!$J$3:$J$27,MATCH($A376,Työkonekanta!$A$3:$A$24,0),1)*$B376*ef_li_ion_akku/1000/1000/INDEX(Työkonekanta!$K$3:$K$27,MATCH($A376,Työkonekanta!$A$3:$A$24,0)),0)</f>
        <v>0</v>
      </c>
      <c r="W376" s="149">
        <f t="shared" si="104"/>
        <v>0</v>
      </c>
      <c r="X376" s="150">
        <f t="shared" si="110"/>
        <v>0</v>
      </c>
      <c r="Y376" s="151">
        <f t="shared" si="111"/>
        <v>0</v>
      </c>
      <c r="Z376" s="152">
        <f t="shared" si="107"/>
        <v>0</v>
      </c>
      <c r="AA376" s="153">
        <f t="shared" si="113"/>
        <v>0</v>
      </c>
      <c r="AB376" s="153">
        <f t="shared" si="114"/>
        <v>0</v>
      </c>
      <c r="AC376" s="154">
        <f t="shared" si="112"/>
        <v>0</v>
      </c>
      <c r="AD376" s="156">
        <f t="shared" si="115"/>
        <v>0</v>
      </c>
    </row>
    <row r="377" spans="1:30" s="144" customFormat="1">
      <c r="A377" s="139">
        <v>15</v>
      </c>
      <c r="B377" s="139">
        <f>IFERROR(INDEX(Työkonekanta!$F$3:$F$27,MATCH('S0a Baseline'!$A377,Työkonekanta!$A$3:$A$24,0),1),0)</f>
        <v>0</v>
      </c>
      <c r="C377" s="140">
        <v>2031</v>
      </c>
      <c r="D377" s="141" t="str">
        <f>IFERROR(INDEX(Työkonekanta!$D$3:$D$27,MATCH('S0a Baseline'!$A377,Työkonekanta!$A$3:$A$24,0),1),"undefined")</f>
        <v>sähkö</v>
      </c>
      <c r="E377" s="145">
        <f>IFERROR(INDEX(Työkonekanta!$G$3:$G$27,MATCH($A377,Työkonekanta!$A$3:$A$24,0),1)*INDEX(Työkonekanta!$H$3:$H$27,MATCH($A377,Työkonekanta!$A$3:$A$24,0),1)*$B377,0)</f>
        <v>0</v>
      </c>
      <c r="F377" s="344">
        <f t="shared" si="98"/>
        <v>0</v>
      </c>
      <c r="G377" s="344">
        <f t="shared" si="105"/>
        <v>0</v>
      </c>
      <c r="H377" s="344">
        <f t="shared" si="106"/>
        <v>0</v>
      </c>
      <c r="I377" s="145">
        <f t="shared" si="99"/>
        <v>0</v>
      </c>
      <c r="J377" s="145">
        <f t="shared" si="100"/>
        <v>0</v>
      </c>
      <c r="K377" s="142" t="str">
        <f t="shared" si="108"/>
        <v>kWh</v>
      </c>
      <c r="L377" s="146">
        <f>IFERROR(INDEX(Työkonekanta!$I$3:$I$27,MATCH('S0a Baseline'!$A377,Työkonekanta!$A$3:$A$24,0),1)*(I377+J377)*f_adblue,0)</f>
        <v>0</v>
      </c>
      <c r="M377" s="146">
        <f t="shared" si="109"/>
        <v>0</v>
      </c>
      <c r="N377" s="143" t="str">
        <f>IF(tuulisähkö_vuosi&lt;='S0a Baseline'!C377,"tuulisähkö",ostosähkö_nyt)</f>
        <v>jäännössähkö</v>
      </c>
      <c r="O377" s="147">
        <f>INDEX(Muuttujat!$J$5:$J$21,MATCH($C377,Muuttujat!$H$5:$H$21,0),1)</f>
        <v>61.379690186142746</v>
      </c>
      <c r="P377" s="342">
        <f>1-(INDEX(Muuttujat!$O$5:$O$21,MATCH($C377,Muuttujat!$N$5:$N$21,0),1))</f>
        <v>0.9</v>
      </c>
      <c r="Q377" s="342">
        <f>INDEX(Muuttujat!$O$5:$O$21,MATCH($C377,Muuttujat!$N$5:$N$21,0),1)</f>
        <v>0.1</v>
      </c>
      <c r="R377" s="148">
        <f>INDEX(Muuttujat!$P$5:$P$21,MATCH($C377,Muuttujat!$N$5:$N$21,0),1)</f>
        <v>0.10417875759940039</v>
      </c>
      <c r="S377" s="149">
        <f t="shared" si="101"/>
        <v>0</v>
      </c>
      <c r="T377" s="150">
        <f t="shared" si="102"/>
        <v>0</v>
      </c>
      <c r="U377" s="150">
        <f t="shared" si="103"/>
        <v>0</v>
      </c>
      <c r="V377" s="150">
        <f>IFERROR(INDEX(Työkonekanta!$J$3:$J$27,MATCH($A377,Työkonekanta!$A$3:$A$24,0),1)*$B377*ef_li_ion_akku/1000/1000/INDEX(Työkonekanta!$K$3:$K$27,MATCH($A377,Työkonekanta!$A$3:$A$24,0)),0)</f>
        <v>0</v>
      </c>
      <c r="W377" s="149">
        <f t="shared" si="104"/>
        <v>0</v>
      </c>
      <c r="X377" s="150">
        <f t="shared" si="110"/>
        <v>0</v>
      </c>
      <c r="Y377" s="151">
        <f t="shared" si="111"/>
        <v>0</v>
      </c>
      <c r="Z377" s="152">
        <f t="shared" si="107"/>
        <v>0</v>
      </c>
      <c r="AA377" s="153">
        <f t="shared" si="113"/>
        <v>0</v>
      </c>
      <c r="AB377" s="153">
        <f t="shared" si="114"/>
        <v>0</v>
      </c>
      <c r="AC377" s="154">
        <f t="shared" si="112"/>
        <v>0</v>
      </c>
      <c r="AD377" s="156">
        <f t="shared" si="115"/>
        <v>0</v>
      </c>
    </row>
    <row r="378" spans="1:30" s="144" customFormat="1">
      <c r="A378" s="139">
        <v>16</v>
      </c>
      <c r="B378" s="139">
        <f>IFERROR(INDEX(Työkonekanta!$F$3:$F$27,MATCH('S0a Baseline'!$A378,Työkonekanta!$A$3:$A$24,0),1),0)</f>
        <v>0</v>
      </c>
      <c r="C378" s="140">
        <v>2031</v>
      </c>
      <c r="D378" s="141" t="str">
        <f>IFERROR(INDEX(Työkonekanta!$D$3:$D$27,MATCH('S0a Baseline'!$A378,Työkonekanta!$A$3:$A$24,0),1),"undefined")</f>
        <v>sähkö</v>
      </c>
      <c r="E378" s="145">
        <f>IFERROR(INDEX(Työkonekanta!$G$3:$G$27,MATCH($A378,Työkonekanta!$A$3:$A$24,0),1)*INDEX(Työkonekanta!$H$3:$H$27,MATCH($A378,Työkonekanta!$A$3:$A$24,0),1)*$B378,0)</f>
        <v>0</v>
      </c>
      <c r="F378" s="344">
        <f t="shared" si="98"/>
        <v>0</v>
      </c>
      <c r="G378" s="344">
        <f t="shared" si="105"/>
        <v>0</v>
      </c>
      <c r="H378" s="344">
        <f t="shared" si="106"/>
        <v>0</v>
      </c>
      <c r="I378" s="145">
        <f t="shared" si="99"/>
        <v>0</v>
      </c>
      <c r="J378" s="145">
        <f t="shared" si="100"/>
        <v>0</v>
      </c>
      <c r="K378" s="142" t="str">
        <f t="shared" si="108"/>
        <v>kWh</v>
      </c>
      <c r="L378" s="146">
        <f>IFERROR(INDEX(Työkonekanta!$I$3:$I$27,MATCH('S0a Baseline'!$A378,Työkonekanta!$A$3:$A$24,0),1)*(I378+J378)*f_adblue,0)</f>
        <v>0</v>
      </c>
      <c r="M378" s="146">
        <f t="shared" si="109"/>
        <v>0</v>
      </c>
      <c r="N378" s="143" t="str">
        <f>IF(tuulisähkö_vuosi&lt;='S0a Baseline'!C378,"tuulisähkö",ostosähkö_nyt)</f>
        <v>jäännössähkö</v>
      </c>
      <c r="O378" s="147">
        <f>INDEX(Muuttujat!$J$5:$J$21,MATCH($C378,Muuttujat!$H$5:$H$21,0),1)</f>
        <v>61.379690186142746</v>
      </c>
      <c r="P378" s="342">
        <f>1-(INDEX(Muuttujat!$O$5:$O$21,MATCH($C378,Muuttujat!$N$5:$N$21,0),1))</f>
        <v>0.9</v>
      </c>
      <c r="Q378" s="342">
        <f>INDEX(Muuttujat!$O$5:$O$21,MATCH($C378,Muuttujat!$N$5:$N$21,0),1)</f>
        <v>0.1</v>
      </c>
      <c r="R378" s="148">
        <f>INDEX(Muuttujat!$P$5:$P$21,MATCH($C378,Muuttujat!$N$5:$N$21,0),1)</f>
        <v>0.10417875759940039</v>
      </c>
      <c r="S378" s="149">
        <f t="shared" si="101"/>
        <v>0</v>
      </c>
      <c r="T378" s="150">
        <f t="shared" si="102"/>
        <v>0</v>
      </c>
      <c r="U378" s="150">
        <f t="shared" si="103"/>
        <v>0</v>
      </c>
      <c r="V378" s="150">
        <f>IFERROR(INDEX(Työkonekanta!$J$3:$J$27,MATCH($A378,Työkonekanta!$A$3:$A$24,0),1)*$B378*ef_li_ion_akku/1000/1000/INDEX(Työkonekanta!$K$3:$K$27,MATCH($A378,Työkonekanta!$A$3:$A$24,0)),0)</f>
        <v>0</v>
      </c>
      <c r="W378" s="149">
        <f t="shared" si="104"/>
        <v>0</v>
      </c>
      <c r="X378" s="150">
        <f t="shared" si="110"/>
        <v>0</v>
      </c>
      <c r="Y378" s="151">
        <f t="shared" si="111"/>
        <v>0</v>
      </c>
      <c r="Z378" s="152">
        <f t="shared" si="107"/>
        <v>0</v>
      </c>
      <c r="AA378" s="153">
        <f t="shared" si="113"/>
        <v>0</v>
      </c>
      <c r="AB378" s="153">
        <f t="shared" si="114"/>
        <v>0</v>
      </c>
      <c r="AC378" s="154">
        <f t="shared" si="112"/>
        <v>0</v>
      </c>
      <c r="AD378" s="156">
        <f t="shared" si="115"/>
        <v>0</v>
      </c>
    </row>
    <row r="379" spans="1:30" s="144" customFormat="1">
      <c r="A379" s="139">
        <v>17</v>
      </c>
      <c r="B379" s="139">
        <f>IFERROR(INDEX(Työkonekanta!$F$3:$F$27,MATCH('S0a Baseline'!$A379,Työkonekanta!$A$3:$A$24,0),1),0)</f>
        <v>1</v>
      </c>
      <c r="C379" s="140">
        <v>2031</v>
      </c>
      <c r="D379" s="141" t="str">
        <f>IFERROR(INDEX(Työkonekanta!$D$3:$D$27,MATCH('S0a Baseline'!$A379,Työkonekanta!$A$3:$A$24,0),1),"undefined")</f>
        <v>pom</v>
      </c>
      <c r="E379" s="145">
        <f>IFERROR(INDEX(Työkonekanta!$G$3:$G$27,MATCH($A379,Työkonekanta!$A$3:$A$24,0),1)*INDEX(Työkonekanta!$H$3:$H$27,MATCH($A379,Työkonekanta!$A$3:$A$24,0),1)*$B379,0)</f>
        <v>10000</v>
      </c>
      <c r="F379" s="344">
        <f t="shared" si="98"/>
        <v>359000</v>
      </c>
      <c r="G379" s="344">
        <f t="shared" si="105"/>
        <v>323100</v>
      </c>
      <c r="H379" s="344">
        <f t="shared" si="106"/>
        <v>35900</v>
      </c>
      <c r="I379" s="145">
        <f t="shared" si="99"/>
        <v>9000</v>
      </c>
      <c r="J379" s="145">
        <f t="shared" si="100"/>
        <v>1046.6472303206997</v>
      </c>
      <c r="K379" s="142" t="str">
        <f t="shared" si="108"/>
        <v>l</v>
      </c>
      <c r="L379" s="146">
        <f>IFERROR(INDEX(Työkonekanta!$I$3:$I$27,MATCH('S0a Baseline'!$A379,Työkonekanta!$A$3:$A$24,0),1)*(I379+J379)*f_adblue,0)</f>
        <v>502.33236151603501</v>
      </c>
      <c r="M379" s="146">
        <f t="shared" si="109"/>
        <v>0</v>
      </c>
      <c r="N379" s="143" t="str">
        <f>IF(tuulisähkö_vuosi&lt;='S0a Baseline'!C379,"tuulisähkö",ostosähkö_nyt)</f>
        <v>jäännössähkö</v>
      </c>
      <c r="O379" s="147">
        <f>INDEX(Muuttujat!$J$5:$J$21,MATCH($C379,Muuttujat!$H$5:$H$21,0),1)</f>
        <v>61.379690186142746</v>
      </c>
      <c r="P379" s="342">
        <f>1-(INDEX(Muuttujat!$O$5:$O$21,MATCH($C379,Muuttujat!$N$5:$N$21,0),1))</f>
        <v>0.9</v>
      </c>
      <c r="Q379" s="342">
        <f>INDEX(Muuttujat!$O$5:$O$21,MATCH($C379,Muuttujat!$N$5:$N$21,0),1)</f>
        <v>0.1</v>
      </c>
      <c r="R379" s="148">
        <f>INDEX(Muuttujat!$P$5:$P$21,MATCH($C379,Muuttujat!$N$5:$N$21,0),1)</f>
        <v>0.10417875759940039</v>
      </c>
      <c r="S379" s="149">
        <f t="shared" si="101"/>
        <v>6.1065899999999997</v>
      </c>
      <c r="T379" s="150">
        <f t="shared" si="102"/>
        <v>2.2401599999999999</v>
      </c>
      <c r="U379" s="150">
        <f t="shared" si="103"/>
        <v>0</v>
      </c>
      <c r="V379" s="150">
        <f>IFERROR(INDEX(Työkonekanta!$J$3:$J$27,MATCH($A379,Työkonekanta!$A$3:$A$24,0),1)*$B379*ef_li_ion_akku/1000/1000/INDEX(Työkonekanta!$K$3:$K$27,MATCH($A379,Työkonekanta!$A$3:$A$24,0)),0)</f>
        <v>0</v>
      </c>
      <c r="W379" s="149">
        <f t="shared" si="104"/>
        <v>23.847446957400003</v>
      </c>
      <c r="X379" s="150">
        <f t="shared" si="110"/>
        <v>0.31774565999999999</v>
      </c>
      <c r="Y379" s="151">
        <f t="shared" si="111"/>
        <v>0.13060641399416908</v>
      </c>
      <c r="Z379" s="152">
        <f t="shared" si="107"/>
        <v>8.3467500000000001</v>
      </c>
      <c r="AA379" s="153">
        <f t="shared" si="113"/>
        <v>23.978053371394171</v>
      </c>
      <c r="AB379" s="153">
        <f t="shared" si="114"/>
        <v>24.295799031394171</v>
      </c>
      <c r="AC379" s="154">
        <f t="shared" si="112"/>
        <v>32.324803371394168</v>
      </c>
      <c r="AD379" s="156">
        <f t="shared" si="115"/>
        <v>32.642549031394168</v>
      </c>
    </row>
    <row r="380" spans="1:30" s="144" customFormat="1">
      <c r="A380" s="139">
        <v>18</v>
      </c>
      <c r="B380" s="139">
        <f>IFERROR(INDEX(Työkonekanta!$F$3:$F$27,MATCH('S0a Baseline'!$A380,Työkonekanta!$A$3:$A$24,0),1),0)</f>
        <v>1</v>
      </c>
      <c r="C380" s="140">
        <v>2031</v>
      </c>
      <c r="D380" s="141" t="str">
        <f>IFERROR(INDEX(Työkonekanta!$D$3:$D$27,MATCH('S0a Baseline'!$A380,Työkonekanta!$A$3:$A$24,0),1),"undefined")</f>
        <v>pom</v>
      </c>
      <c r="E380" s="145">
        <f>IFERROR(INDEX(Työkonekanta!$G$3:$G$27,MATCH($A380,Työkonekanta!$A$3:$A$24,0),1)*INDEX(Työkonekanta!$H$3:$H$27,MATCH($A380,Työkonekanta!$A$3:$A$24,0),1)*$B380,0)</f>
        <v>10000</v>
      </c>
      <c r="F380" s="344">
        <f t="shared" si="98"/>
        <v>359000</v>
      </c>
      <c r="G380" s="344">
        <f t="shared" si="105"/>
        <v>323100</v>
      </c>
      <c r="H380" s="344">
        <f t="shared" si="106"/>
        <v>35900</v>
      </c>
      <c r="I380" s="145">
        <f t="shared" si="99"/>
        <v>9000</v>
      </c>
      <c r="J380" s="145">
        <f t="shared" si="100"/>
        <v>1046.6472303206997</v>
      </c>
      <c r="K380" s="142" t="str">
        <f t="shared" si="108"/>
        <v>l</v>
      </c>
      <c r="L380" s="146">
        <f>IFERROR(INDEX(Työkonekanta!$I$3:$I$27,MATCH('S0a Baseline'!$A380,Työkonekanta!$A$3:$A$24,0),1)*(I380+J380)*f_adblue,0)</f>
        <v>401.86588921282805</v>
      </c>
      <c r="M380" s="146">
        <f t="shared" si="109"/>
        <v>0</v>
      </c>
      <c r="N380" s="143" t="str">
        <f>IF(tuulisähkö_vuosi&lt;='S0a Baseline'!C380,"tuulisähkö",ostosähkö_nyt)</f>
        <v>jäännössähkö</v>
      </c>
      <c r="O380" s="147">
        <f>INDEX(Muuttujat!$J$5:$J$21,MATCH($C380,Muuttujat!$H$5:$H$21,0),1)</f>
        <v>61.379690186142746</v>
      </c>
      <c r="P380" s="342">
        <f>1-(INDEX(Muuttujat!$O$5:$O$21,MATCH($C380,Muuttujat!$N$5:$N$21,0),1))</f>
        <v>0.9</v>
      </c>
      <c r="Q380" s="342">
        <f>INDEX(Muuttujat!$O$5:$O$21,MATCH($C380,Muuttujat!$N$5:$N$21,0),1)</f>
        <v>0.1</v>
      </c>
      <c r="R380" s="148">
        <f>INDEX(Muuttujat!$P$5:$P$21,MATCH($C380,Muuttujat!$N$5:$N$21,0),1)</f>
        <v>0.10417875759940039</v>
      </c>
      <c r="S380" s="149">
        <f t="shared" si="101"/>
        <v>6.1065899999999997</v>
      </c>
      <c r="T380" s="150">
        <f t="shared" si="102"/>
        <v>2.2401599999999999</v>
      </c>
      <c r="U380" s="150">
        <f t="shared" si="103"/>
        <v>0</v>
      </c>
      <c r="V380" s="150">
        <f>IFERROR(INDEX(Työkonekanta!$J$3:$J$27,MATCH($A380,Työkonekanta!$A$3:$A$24,0),1)*$B380*ef_li_ion_akku/1000/1000/INDEX(Työkonekanta!$K$3:$K$27,MATCH($A380,Työkonekanta!$A$3:$A$24,0)),0)</f>
        <v>0</v>
      </c>
      <c r="W380" s="149">
        <f t="shared" si="104"/>
        <v>23.847446957400003</v>
      </c>
      <c r="X380" s="150">
        <f t="shared" si="110"/>
        <v>0.31774565999999999</v>
      </c>
      <c r="Y380" s="151">
        <f t="shared" si="111"/>
        <v>0.1044851311953353</v>
      </c>
      <c r="Z380" s="152">
        <f t="shared" si="107"/>
        <v>8.3467500000000001</v>
      </c>
      <c r="AA380" s="153">
        <f t="shared" si="113"/>
        <v>23.951932088595338</v>
      </c>
      <c r="AB380" s="153">
        <f t="shared" si="114"/>
        <v>24.269677748595338</v>
      </c>
      <c r="AC380" s="154">
        <f t="shared" si="112"/>
        <v>32.298682088595342</v>
      </c>
      <c r="AD380" s="156">
        <f t="shared" si="115"/>
        <v>32.616427748595342</v>
      </c>
    </row>
    <row r="381" spans="1:30" s="144" customFormat="1">
      <c r="A381" s="139">
        <v>19</v>
      </c>
      <c r="B381" s="139">
        <f>IFERROR(INDEX(Työkonekanta!$F$3:$F$27,MATCH('S0a Baseline'!$A381,Työkonekanta!$A$3:$A$24,0),1),0)</f>
        <v>0</v>
      </c>
      <c r="C381" s="140">
        <v>2031</v>
      </c>
      <c r="D381" s="141" t="str">
        <f>IFERROR(INDEX(Työkonekanta!$D$3:$D$27,MATCH('S0a Baseline'!$A381,Työkonekanta!$A$3:$A$24,0),1),"undefined")</f>
        <v>pom</v>
      </c>
      <c r="E381" s="145">
        <f>IFERROR(INDEX(Työkonekanta!$G$3:$G$27,MATCH($A381,Työkonekanta!$A$3:$A$24,0),1)*INDEX(Työkonekanta!$H$3:$H$27,MATCH($A381,Työkonekanta!$A$3:$A$24,0),1)*$B381,0)</f>
        <v>0</v>
      </c>
      <c r="F381" s="344">
        <f t="shared" si="98"/>
        <v>0</v>
      </c>
      <c r="G381" s="344">
        <f t="shared" si="105"/>
        <v>0</v>
      </c>
      <c r="H381" s="344">
        <f t="shared" si="106"/>
        <v>0</v>
      </c>
      <c r="I381" s="145">
        <f t="shared" si="99"/>
        <v>0</v>
      </c>
      <c r="J381" s="145">
        <f t="shared" si="100"/>
        <v>0</v>
      </c>
      <c r="K381" s="142" t="str">
        <f t="shared" si="108"/>
        <v>l</v>
      </c>
      <c r="L381" s="146">
        <f>IFERROR(INDEX(Työkonekanta!$I$3:$I$27,MATCH('S0a Baseline'!$A381,Työkonekanta!$A$3:$A$24,0),1)*(I381+J381)*f_adblue,0)</f>
        <v>0</v>
      </c>
      <c r="M381" s="146">
        <f t="shared" si="109"/>
        <v>0</v>
      </c>
      <c r="N381" s="143" t="str">
        <f>IF(tuulisähkö_vuosi&lt;='S0a Baseline'!C381,"tuulisähkö",ostosähkö_nyt)</f>
        <v>jäännössähkö</v>
      </c>
      <c r="O381" s="147">
        <f>INDEX(Muuttujat!$J$5:$J$21,MATCH($C381,Muuttujat!$H$5:$H$21,0),1)</f>
        <v>61.379690186142746</v>
      </c>
      <c r="P381" s="342">
        <f>1-(INDEX(Muuttujat!$O$5:$O$21,MATCH($C381,Muuttujat!$N$5:$N$21,0),1))</f>
        <v>0.9</v>
      </c>
      <c r="Q381" s="342">
        <f>INDEX(Muuttujat!$O$5:$O$21,MATCH($C381,Muuttujat!$N$5:$N$21,0),1)</f>
        <v>0.1</v>
      </c>
      <c r="R381" s="148">
        <f>INDEX(Muuttujat!$P$5:$P$21,MATCH($C381,Muuttujat!$N$5:$N$21,0),1)</f>
        <v>0.10417875759940039</v>
      </c>
      <c r="S381" s="149">
        <f t="shared" si="101"/>
        <v>0</v>
      </c>
      <c r="T381" s="150">
        <f t="shared" si="102"/>
        <v>0</v>
      </c>
      <c r="U381" s="150">
        <f t="shared" si="103"/>
        <v>0</v>
      </c>
      <c r="V381" s="150">
        <f>IFERROR(INDEX(Työkonekanta!$J$3:$J$27,MATCH($A381,Työkonekanta!$A$3:$A$24,0),1)*$B381*ef_li_ion_akku/1000/1000/INDEX(Työkonekanta!$K$3:$K$27,MATCH($A381,Työkonekanta!$A$3:$A$24,0)),0)</f>
        <v>0</v>
      </c>
      <c r="W381" s="149">
        <f t="shared" si="104"/>
        <v>0</v>
      </c>
      <c r="X381" s="150">
        <f t="shared" si="110"/>
        <v>0</v>
      </c>
      <c r="Y381" s="151">
        <f t="shared" si="111"/>
        <v>0</v>
      </c>
      <c r="Z381" s="152">
        <f t="shared" si="107"/>
        <v>0</v>
      </c>
      <c r="AA381" s="153">
        <f t="shared" si="113"/>
        <v>0</v>
      </c>
      <c r="AB381" s="153">
        <f t="shared" si="114"/>
        <v>0</v>
      </c>
      <c r="AC381" s="154">
        <f t="shared" si="112"/>
        <v>0</v>
      </c>
      <c r="AD381" s="156">
        <f t="shared" si="115"/>
        <v>0</v>
      </c>
    </row>
    <row r="382" spans="1:30" s="144" customFormat="1">
      <c r="A382" s="139">
        <v>20</v>
      </c>
      <c r="B382" s="139">
        <f>IFERROR(INDEX(Työkonekanta!$F$3:$F$27,MATCH('S0a Baseline'!$A382,Työkonekanta!$A$3:$A$24,0),1),0)</f>
        <v>0</v>
      </c>
      <c r="C382" s="140">
        <v>2031</v>
      </c>
      <c r="D382" s="141" t="str">
        <f>IFERROR(INDEX(Työkonekanta!$D$3:$D$27,MATCH('S0a Baseline'!$A382,Työkonekanta!$A$3:$A$24,0),1),"undefined")</f>
        <v>pom</v>
      </c>
      <c r="E382" s="145">
        <f>IFERROR(INDEX(Työkonekanta!$G$3:$G$27,MATCH($A382,Työkonekanta!$A$3:$A$24,0),1)*INDEX(Työkonekanta!$H$3:$H$27,MATCH($A382,Työkonekanta!$A$3:$A$24,0),1)*$B382,0)</f>
        <v>0</v>
      </c>
      <c r="F382" s="344">
        <f t="shared" si="98"/>
        <v>0</v>
      </c>
      <c r="G382" s="344">
        <f t="shared" si="105"/>
        <v>0</v>
      </c>
      <c r="H382" s="344">
        <f t="shared" si="106"/>
        <v>0</v>
      </c>
      <c r="I382" s="145">
        <f t="shared" si="99"/>
        <v>0</v>
      </c>
      <c r="J382" s="145">
        <f t="shared" si="100"/>
        <v>0</v>
      </c>
      <c r="K382" s="142" t="str">
        <f t="shared" si="108"/>
        <v>l</v>
      </c>
      <c r="L382" s="146">
        <f>IFERROR(INDEX(Työkonekanta!$I$3:$I$27,MATCH('S0a Baseline'!$A382,Työkonekanta!$A$3:$A$24,0),1)*(I382+J382)*f_adblue,0)</f>
        <v>0</v>
      </c>
      <c r="M382" s="146">
        <f t="shared" si="109"/>
        <v>0</v>
      </c>
      <c r="N382" s="143" t="str">
        <f>IF(tuulisähkö_vuosi&lt;='S0a Baseline'!C382,"tuulisähkö",ostosähkö_nyt)</f>
        <v>jäännössähkö</v>
      </c>
      <c r="O382" s="147">
        <f>INDEX(Muuttujat!$J$5:$J$21,MATCH($C382,Muuttujat!$H$5:$H$21,0),1)</f>
        <v>61.379690186142746</v>
      </c>
      <c r="P382" s="342">
        <f>1-(INDEX(Muuttujat!$O$5:$O$21,MATCH($C382,Muuttujat!$N$5:$N$21,0),1))</f>
        <v>0.9</v>
      </c>
      <c r="Q382" s="342">
        <f>INDEX(Muuttujat!$O$5:$O$21,MATCH($C382,Muuttujat!$N$5:$N$21,0),1)</f>
        <v>0.1</v>
      </c>
      <c r="R382" s="148">
        <f>INDEX(Muuttujat!$P$5:$P$21,MATCH($C382,Muuttujat!$N$5:$N$21,0),1)</f>
        <v>0.10417875759940039</v>
      </c>
      <c r="S382" s="149">
        <f t="shared" si="101"/>
        <v>0</v>
      </c>
      <c r="T382" s="150">
        <f t="shared" si="102"/>
        <v>0</v>
      </c>
      <c r="U382" s="150">
        <f t="shared" si="103"/>
        <v>0</v>
      </c>
      <c r="V382" s="150">
        <f>IFERROR(INDEX(Työkonekanta!$J$3:$J$27,MATCH($A382,Työkonekanta!$A$3:$A$24,0),1)*$B382*ef_li_ion_akku/1000/1000/INDEX(Työkonekanta!$K$3:$K$27,MATCH($A382,Työkonekanta!$A$3:$A$24,0)),0)</f>
        <v>0</v>
      </c>
      <c r="W382" s="149">
        <f t="shared" si="104"/>
        <v>0</v>
      </c>
      <c r="X382" s="150">
        <f t="shared" si="110"/>
        <v>0</v>
      </c>
      <c r="Y382" s="151">
        <f t="shared" si="111"/>
        <v>0</v>
      </c>
      <c r="Z382" s="152">
        <f t="shared" si="107"/>
        <v>0</v>
      </c>
      <c r="AA382" s="153">
        <f t="shared" si="113"/>
        <v>0</v>
      </c>
      <c r="AB382" s="153">
        <f t="shared" si="114"/>
        <v>0</v>
      </c>
      <c r="AC382" s="154">
        <f t="shared" si="112"/>
        <v>0</v>
      </c>
      <c r="AD382" s="156">
        <f t="shared" si="115"/>
        <v>0</v>
      </c>
    </row>
    <row r="383" spans="1:30" s="144" customFormat="1">
      <c r="A383" s="139">
        <v>21</v>
      </c>
      <c r="B383" s="139">
        <f>IFERROR(INDEX(Työkonekanta!$F$3:$F$27,MATCH('S0a Baseline'!$A383,Työkonekanta!$A$3:$A$24,0),1),0)</f>
        <v>35</v>
      </c>
      <c r="C383" s="140">
        <v>2031</v>
      </c>
      <c r="D383" s="141" t="str">
        <f>IFERROR(INDEX(Työkonekanta!$D$3:$D$27,MATCH('S0a Baseline'!$A383,Työkonekanta!$A$3:$A$24,0),1),"undefined")</f>
        <v>sähkö</v>
      </c>
      <c r="E383" s="145">
        <f>IFERROR(INDEX(Työkonekanta!$G$3:$G$27,MATCH($A383,Työkonekanta!$A$3:$A$24,0),1)*INDEX(Työkonekanta!$H$3:$H$27,MATCH($A383,Työkonekanta!$A$3:$A$24,0),1)*$B383,0)</f>
        <v>407199.07407407404</v>
      </c>
      <c r="F383" s="344">
        <f t="shared" si="98"/>
        <v>0</v>
      </c>
      <c r="G383" s="344">
        <f t="shared" si="105"/>
        <v>0</v>
      </c>
      <c r="H383" s="344">
        <f t="shared" si="106"/>
        <v>0</v>
      </c>
      <c r="I383" s="145">
        <f t="shared" si="99"/>
        <v>0</v>
      </c>
      <c r="J383" s="145">
        <f t="shared" si="100"/>
        <v>0</v>
      </c>
      <c r="K383" s="142" t="str">
        <f t="shared" si="108"/>
        <v>kWh</v>
      </c>
      <c r="L383" s="146">
        <f>IFERROR(INDEX(Työkonekanta!$I$3:$I$27,MATCH('S0a Baseline'!$A383,Työkonekanta!$A$3:$A$24,0),1)*(I383+J383)*f_adblue,0)</f>
        <v>0</v>
      </c>
      <c r="M383" s="146">
        <f t="shared" si="109"/>
        <v>1465916.6666666665</v>
      </c>
      <c r="N383" s="143" t="str">
        <f>IF(tuulisähkö_vuosi&lt;='S0a Baseline'!C383,"tuulisähkö",ostosähkö_nyt)</f>
        <v>jäännössähkö</v>
      </c>
      <c r="O383" s="147">
        <f>INDEX(Muuttujat!$J$5:$J$21,MATCH($C383,Muuttujat!$H$5:$H$21,0),1)</f>
        <v>61.379690186142746</v>
      </c>
      <c r="P383" s="342">
        <f>1-(INDEX(Muuttujat!$O$5:$O$21,MATCH($C383,Muuttujat!$N$5:$N$21,0),1))</f>
        <v>0.9</v>
      </c>
      <c r="Q383" s="342">
        <f>INDEX(Muuttujat!$O$5:$O$21,MATCH($C383,Muuttujat!$N$5:$N$21,0),1)</f>
        <v>0.1</v>
      </c>
      <c r="R383" s="148">
        <f>INDEX(Muuttujat!$P$5:$P$21,MATCH($C383,Muuttujat!$N$5:$N$21,0),1)</f>
        <v>0.10417875759940039</v>
      </c>
      <c r="S383" s="149">
        <f t="shared" si="101"/>
        <v>0</v>
      </c>
      <c r="T383" s="150">
        <f t="shared" si="102"/>
        <v>0</v>
      </c>
      <c r="U383" s="150">
        <f t="shared" si="103"/>
        <v>89.977510838703083</v>
      </c>
      <c r="V383" s="150">
        <f>IFERROR(INDEX(Työkonekanta!$J$3:$J$27,MATCH($A383,Työkonekanta!$A$3:$A$24,0),1)*$B383*ef_li_ion_akku/1000/1000/INDEX(Työkonekanta!$K$3:$K$27,MATCH($A383,Työkonekanta!$A$3:$A$24,0)),0)</f>
        <v>43.121723076923082</v>
      </c>
      <c r="W383" s="149">
        <f t="shared" si="104"/>
        <v>0</v>
      </c>
      <c r="X383" s="150">
        <f t="shared" si="110"/>
        <v>0</v>
      </c>
      <c r="Y383" s="151">
        <f t="shared" si="111"/>
        <v>0</v>
      </c>
      <c r="Z383" s="152">
        <f t="shared" si="107"/>
        <v>133.09923391562617</v>
      </c>
      <c r="AA383" s="153">
        <f t="shared" si="113"/>
        <v>0</v>
      </c>
      <c r="AB383" s="153">
        <f t="shared" si="114"/>
        <v>0</v>
      </c>
      <c r="AC383" s="154">
        <f t="shared" si="112"/>
        <v>133.09923391562617</v>
      </c>
      <c r="AD383" s="156">
        <f t="shared" si="115"/>
        <v>133.09923391562617</v>
      </c>
    </row>
    <row r="384" spans="1:30" s="144" customFormat="1">
      <c r="A384" s="139">
        <v>22</v>
      </c>
      <c r="B384" s="139">
        <f>IFERROR(INDEX(Työkonekanta!$F$3:$F$27,MATCH('S0a Baseline'!$A384,Työkonekanta!$A$3:$A$24,0),1),0)</f>
        <v>0</v>
      </c>
      <c r="C384" s="140">
        <v>2031</v>
      </c>
      <c r="D384" s="141" t="str">
        <f>IFERROR(INDEX(Työkonekanta!$D$3:$D$27,MATCH('S0a Baseline'!$A384,Työkonekanta!$A$3:$A$24,0),1),"undefined")</f>
        <v>sähkö</v>
      </c>
      <c r="E384" s="145">
        <f>IFERROR(INDEX(Työkonekanta!$G$3:$G$27,MATCH($A384,Työkonekanta!$A$3:$A$24,0),1)*INDEX(Työkonekanta!$H$3:$H$27,MATCH($A384,Työkonekanta!$A$3:$A$24,0),1)*$B384,0)</f>
        <v>0</v>
      </c>
      <c r="F384" s="344">
        <f t="shared" si="98"/>
        <v>0</v>
      </c>
      <c r="G384" s="344">
        <f t="shared" si="105"/>
        <v>0</v>
      </c>
      <c r="H384" s="344">
        <f t="shared" si="106"/>
        <v>0</v>
      </c>
      <c r="I384" s="145">
        <f t="shared" si="99"/>
        <v>0</v>
      </c>
      <c r="J384" s="145">
        <f t="shared" si="100"/>
        <v>0</v>
      </c>
      <c r="K384" s="142" t="str">
        <f t="shared" si="108"/>
        <v>kWh</v>
      </c>
      <c r="L384" s="146">
        <f>IFERROR(INDEX(Työkonekanta!$I$3:$I$27,MATCH('S0a Baseline'!$A384,Työkonekanta!$A$3:$A$24,0),1)*(I384+J384)*f_adblue,0)</f>
        <v>0</v>
      </c>
      <c r="M384" s="146">
        <f t="shared" si="109"/>
        <v>0</v>
      </c>
      <c r="N384" s="143" t="str">
        <f>IF(tuulisähkö_vuosi&lt;='S0a Baseline'!C384,"tuulisähkö",ostosähkö_nyt)</f>
        <v>jäännössähkö</v>
      </c>
      <c r="O384" s="147">
        <f>INDEX(Muuttujat!$J$5:$J$21,MATCH($C384,Muuttujat!$H$5:$H$21,0),1)</f>
        <v>61.379690186142746</v>
      </c>
      <c r="P384" s="342">
        <f>1-(INDEX(Muuttujat!$O$5:$O$21,MATCH($C384,Muuttujat!$N$5:$N$21,0),1))</f>
        <v>0.9</v>
      </c>
      <c r="Q384" s="342">
        <f>INDEX(Muuttujat!$O$5:$O$21,MATCH($C384,Muuttujat!$N$5:$N$21,0),1)</f>
        <v>0.1</v>
      </c>
      <c r="R384" s="148">
        <f>INDEX(Muuttujat!$P$5:$P$21,MATCH($C384,Muuttujat!$N$5:$N$21,0),1)</f>
        <v>0.10417875759940039</v>
      </c>
      <c r="S384" s="149">
        <f t="shared" si="101"/>
        <v>0</v>
      </c>
      <c r="T384" s="150">
        <f t="shared" si="102"/>
        <v>0</v>
      </c>
      <c r="U384" s="150">
        <f t="shared" si="103"/>
        <v>0</v>
      </c>
      <c r="V384" s="150">
        <f>IFERROR(INDEX(Työkonekanta!$J$3:$J$27,MATCH($A384,Työkonekanta!$A$3:$A$24,0),1)*$B384*ef_li_ion_akku/1000/1000/INDEX(Työkonekanta!$K$3:$K$27,MATCH($A384,Työkonekanta!$A$3:$A$24,0)),0)</f>
        <v>0</v>
      </c>
      <c r="W384" s="149">
        <f t="shared" si="104"/>
        <v>0</v>
      </c>
      <c r="X384" s="150">
        <f t="shared" si="110"/>
        <v>0</v>
      </c>
      <c r="Y384" s="151">
        <f t="shared" si="111"/>
        <v>0</v>
      </c>
      <c r="Z384" s="152">
        <f t="shared" si="107"/>
        <v>0</v>
      </c>
      <c r="AA384" s="153">
        <f t="shared" si="113"/>
        <v>0</v>
      </c>
      <c r="AB384" s="153">
        <f t="shared" si="114"/>
        <v>0</v>
      </c>
      <c r="AC384" s="154">
        <f t="shared" si="112"/>
        <v>0</v>
      </c>
      <c r="AD384" s="156">
        <f t="shared" si="115"/>
        <v>0</v>
      </c>
    </row>
    <row r="385" spans="1:30" s="144" customFormat="1">
      <c r="A385" s="139">
        <v>23</v>
      </c>
      <c r="B385" s="139">
        <f>IFERROR(INDEX(Työkonekanta!$F$3:$F$27,MATCH('S0a Baseline'!$A385,Työkonekanta!$A$3:$A$24,0),1),0)</f>
        <v>0</v>
      </c>
      <c r="C385" s="140">
        <v>2031</v>
      </c>
      <c r="D385" s="141" t="str">
        <f>IFERROR(INDEX(Työkonekanta!$D$3:$D$27,MATCH('S0a Baseline'!$A385,Työkonekanta!$A$3:$A$24,0),1),"undefined")</f>
        <v>undefined</v>
      </c>
      <c r="E385" s="145">
        <f>IFERROR(INDEX(Työkonekanta!$G$3:$G$27,MATCH($A385,Työkonekanta!$A$3:$A$24,0),1)*INDEX(Työkonekanta!$H$3:$H$27,MATCH($A385,Työkonekanta!$A$3:$A$24,0),1)*$B385,0)</f>
        <v>0</v>
      </c>
      <c r="F385" s="344">
        <f t="shared" si="98"/>
        <v>0</v>
      </c>
      <c r="G385" s="344">
        <f t="shared" si="105"/>
        <v>0</v>
      </c>
      <c r="H385" s="344">
        <f t="shared" si="106"/>
        <v>0</v>
      </c>
      <c r="I385" s="145">
        <f t="shared" si="99"/>
        <v>0</v>
      </c>
      <c r="J385" s="145">
        <f t="shared" si="100"/>
        <v>0</v>
      </c>
      <c r="K385" s="142" t="str">
        <f t="shared" si="108"/>
        <v>undefined</v>
      </c>
      <c r="L385" s="146">
        <f>IFERROR(INDEX(Työkonekanta!$I$3:$I$27,MATCH('S0a Baseline'!$A385,Työkonekanta!$A$3:$A$24,0),1)*(I385+J385)*f_adblue,0)</f>
        <v>0</v>
      </c>
      <c r="M385" s="146">
        <f t="shared" si="109"/>
        <v>0</v>
      </c>
      <c r="N385" s="143" t="str">
        <f>IF(tuulisähkö_vuosi&lt;='S0a Baseline'!C385,"tuulisähkö",ostosähkö_nyt)</f>
        <v>jäännössähkö</v>
      </c>
      <c r="O385" s="147">
        <f>INDEX(Muuttujat!$J$5:$J$21,MATCH($C385,Muuttujat!$H$5:$H$21,0),1)</f>
        <v>61.379690186142746</v>
      </c>
      <c r="P385" s="342">
        <f>1-(INDEX(Muuttujat!$O$5:$O$21,MATCH($C385,Muuttujat!$N$5:$N$21,0),1))</f>
        <v>0.9</v>
      </c>
      <c r="Q385" s="342">
        <f>INDEX(Muuttujat!$O$5:$O$21,MATCH($C385,Muuttujat!$N$5:$N$21,0),1)</f>
        <v>0.1</v>
      </c>
      <c r="R385" s="148">
        <f>INDEX(Muuttujat!$P$5:$P$21,MATCH($C385,Muuttujat!$N$5:$N$21,0),1)</f>
        <v>0.10417875759940039</v>
      </c>
      <c r="S385" s="149">
        <f t="shared" si="101"/>
        <v>0</v>
      </c>
      <c r="T385" s="150">
        <f t="shared" si="102"/>
        <v>0</v>
      </c>
      <c r="U385" s="150">
        <f t="shared" si="103"/>
        <v>0</v>
      </c>
      <c r="V385" s="150">
        <f>IFERROR(INDEX(Työkonekanta!$J$3:$J$27,MATCH($A385,Työkonekanta!$A$3:$A$24,0),1)*$B385*ef_li_ion_akku/1000/1000/INDEX(Työkonekanta!$K$3:$K$27,MATCH($A385,Työkonekanta!$A$3:$A$24,0)),0)</f>
        <v>0</v>
      </c>
      <c r="W385" s="149">
        <f t="shared" si="104"/>
        <v>0</v>
      </c>
      <c r="X385" s="150">
        <f t="shared" si="110"/>
        <v>0</v>
      </c>
      <c r="Y385" s="151">
        <f t="shared" si="111"/>
        <v>0</v>
      </c>
      <c r="Z385" s="152">
        <f t="shared" si="107"/>
        <v>0</v>
      </c>
      <c r="AA385" s="153">
        <f t="shared" si="113"/>
        <v>0</v>
      </c>
      <c r="AB385" s="153">
        <f t="shared" si="114"/>
        <v>0</v>
      </c>
      <c r="AC385" s="154">
        <f t="shared" si="112"/>
        <v>0</v>
      </c>
      <c r="AD385" s="156">
        <f t="shared" si="115"/>
        <v>0</v>
      </c>
    </row>
    <row r="386" spans="1:30" s="144" customFormat="1">
      <c r="A386" s="139">
        <v>24</v>
      </c>
      <c r="B386" s="139">
        <f>IFERROR(INDEX(Työkonekanta!$F$3:$F$27,MATCH('S0a Baseline'!$A386,Työkonekanta!$A$3:$A$24,0),1),0)</f>
        <v>0</v>
      </c>
      <c r="C386" s="140">
        <v>2031</v>
      </c>
      <c r="D386" s="141" t="str">
        <f>IFERROR(INDEX(Työkonekanta!$D$3:$D$27,MATCH('S0a Baseline'!$A386,Työkonekanta!$A$3:$A$24,0),1),"undefined")</f>
        <v>undefined</v>
      </c>
      <c r="E386" s="145">
        <f>IFERROR(INDEX(Työkonekanta!$G$3:$G$27,MATCH($A386,Työkonekanta!$A$3:$A$24,0),1)*INDEX(Työkonekanta!$H$3:$H$27,MATCH($A386,Työkonekanta!$A$3:$A$24,0),1)*$B386,0)</f>
        <v>0</v>
      </c>
      <c r="F386" s="344">
        <f t="shared" si="98"/>
        <v>0</v>
      </c>
      <c r="G386" s="344">
        <f t="shared" si="105"/>
        <v>0</v>
      </c>
      <c r="H386" s="344">
        <f t="shared" si="106"/>
        <v>0</v>
      </c>
      <c r="I386" s="145">
        <f t="shared" si="99"/>
        <v>0</v>
      </c>
      <c r="J386" s="145">
        <f t="shared" si="100"/>
        <v>0</v>
      </c>
      <c r="K386" s="142" t="str">
        <f t="shared" si="108"/>
        <v>undefined</v>
      </c>
      <c r="L386" s="146">
        <f>IFERROR(INDEX(Työkonekanta!$I$3:$I$27,MATCH('S0a Baseline'!$A386,Työkonekanta!$A$3:$A$24,0),1)*(I386+J386)*f_adblue,0)</f>
        <v>0</v>
      </c>
      <c r="M386" s="146">
        <f t="shared" si="109"/>
        <v>0</v>
      </c>
      <c r="N386" s="143" t="str">
        <f>IF(tuulisähkö_vuosi&lt;='S0a Baseline'!C386,"tuulisähkö",ostosähkö_nyt)</f>
        <v>jäännössähkö</v>
      </c>
      <c r="O386" s="147">
        <f>INDEX(Muuttujat!$J$5:$J$21,MATCH($C386,Muuttujat!$H$5:$H$21,0),1)</f>
        <v>61.379690186142746</v>
      </c>
      <c r="P386" s="342">
        <f>1-(INDEX(Muuttujat!$O$5:$O$21,MATCH($C386,Muuttujat!$N$5:$N$21,0),1))</f>
        <v>0.9</v>
      </c>
      <c r="Q386" s="342">
        <f>INDEX(Muuttujat!$O$5:$O$21,MATCH($C386,Muuttujat!$N$5:$N$21,0),1)</f>
        <v>0.1</v>
      </c>
      <c r="R386" s="148">
        <f>INDEX(Muuttujat!$P$5:$P$21,MATCH($C386,Muuttujat!$N$5:$N$21,0),1)</f>
        <v>0.10417875759940039</v>
      </c>
      <c r="S386" s="149">
        <f t="shared" si="101"/>
        <v>0</v>
      </c>
      <c r="T386" s="150">
        <f t="shared" si="102"/>
        <v>0</v>
      </c>
      <c r="U386" s="150">
        <f t="shared" si="103"/>
        <v>0</v>
      </c>
      <c r="V386" s="150">
        <f>IFERROR(INDEX(Työkonekanta!$J$3:$J$27,MATCH($A386,Työkonekanta!$A$3:$A$24,0),1)*$B386*ef_li_ion_akku/1000/1000/INDEX(Työkonekanta!$K$3:$K$27,MATCH($A386,Työkonekanta!$A$3:$A$24,0)),0)</f>
        <v>0</v>
      </c>
      <c r="W386" s="149">
        <f t="shared" si="104"/>
        <v>0</v>
      </c>
      <c r="X386" s="150">
        <f t="shared" si="110"/>
        <v>0</v>
      </c>
      <c r="Y386" s="151">
        <f t="shared" si="111"/>
        <v>0</v>
      </c>
      <c r="Z386" s="152">
        <f t="shared" si="107"/>
        <v>0</v>
      </c>
      <c r="AA386" s="153">
        <f t="shared" si="113"/>
        <v>0</v>
      </c>
      <c r="AB386" s="153">
        <f t="shared" si="114"/>
        <v>0</v>
      </c>
      <c r="AC386" s="154">
        <f t="shared" si="112"/>
        <v>0</v>
      </c>
      <c r="AD386" s="156">
        <f t="shared" si="115"/>
        <v>0</v>
      </c>
    </row>
    <row r="387" spans="1:30" s="144" customFormat="1">
      <c r="A387" s="139">
        <v>25</v>
      </c>
      <c r="B387" s="139">
        <f>IFERROR(INDEX(Työkonekanta!$F$3:$F$27,MATCH('S0a Baseline'!$A387,Työkonekanta!$A$3:$A$24,0),1),0)</f>
        <v>0</v>
      </c>
      <c r="C387" s="140">
        <v>2031</v>
      </c>
      <c r="D387" s="141" t="str">
        <f>IFERROR(INDEX(Työkonekanta!$D$3:$D$27,MATCH('S0a Baseline'!$A387,Työkonekanta!$A$3:$A$24,0),1),"undefined")</f>
        <v>undefined</v>
      </c>
      <c r="E387" s="145">
        <f>IFERROR(INDEX(Työkonekanta!$G$3:$G$27,MATCH($A387,Työkonekanta!$A$3:$A$24,0),1)*INDEX(Työkonekanta!$H$3:$H$27,MATCH($A387,Työkonekanta!$A$3:$A$24,0),1)*$B387,0)</f>
        <v>0</v>
      </c>
      <c r="F387" s="344">
        <f t="shared" ref="F387:F450" si="116">IF(D387="pom",$E387*hv_pom,0)</f>
        <v>0</v>
      </c>
      <c r="G387" s="344">
        <f t="shared" si="105"/>
        <v>0</v>
      </c>
      <c r="H387" s="344">
        <f t="shared" si="106"/>
        <v>0</v>
      </c>
      <c r="I387" s="145">
        <f t="shared" ref="I387:I450" si="117">$G387/hv_pom</f>
        <v>0</v>
      </c>
      <c r="J387" s="145">
        <f t="shared" ref="J387:J450" si="118">$H387/hv_biodies</f>
        <v>0</v>
      </c>
      <c r="K387" s="142" t="str">
        <f t="shared" si="108"/>
        <v>undefined</v>
      </c>
      <c r="L387" s="146">
        <f>IFERROR(INDEX(Työkonekanta!$I$3:$I$27,MATCH('S0a Baseline'!$A387,Työkonekanta!$A$3:$A$24,0),1)*(I387+J387)*f_adblue,0)</f>
        <v>0</v>
      </c>
      <c r="M387" s="146">
        <f t="shared" si="109"/>
        <v>0</v>
      </c>
      <c r="N387" s="143" t="str">
        <f>IF(tuulisähkö_vuosi&lt;='S0a Baseline'!C387,"tuulisähkö",ostosähkö_nyt)</f>
        <v>jäännössähkö</v>
      </c>
      <c r="O387" s="147">
        <f>INDEX(Muuttujat!$J$5:$J$21,MATCH($C387,Muuttujat!$H$5:$H$21,0),1)</f>
        <v>61.379690186142746</v>
      </c>
      <c r="P387" s="342">
        <f>1-(INDEX(Muuttujat!$O$5:$O$21,MATCH($C387,Muuttujat!$N$5:$N$21,0),1))</f>
        <v>0.9</v>
      </c>
      <c r="Q387" s="342">
        <f>INDEX(Muuttujat!$O$5:$O$21,MATCH($C387,Muuttujat!$N$5:$N$21,0),1)</f>
        <v>0.1</v>
      </c>
      <c r="R387" s="148">
        <f>INDEX(Muuttujat!$P$5:$P$21,MATCH($C387,Muuttujat!$N$5:$N$21,0),1)</f>
        <v>0.10417875759940039</v>
      </c>
      <c r="S387" s="149">
        <f t="shared" ref="S387:S450" si="119">wtt_ef_e_co2_dies*$G387/1000/1000</f>
        <v>0</v>
      </c>
      <c r="T387" s="150">
        <f t="shared" ref="T387:T450" si="120">wtt_ef_e_co2_biodies*$H387/1000/1000</f>
        <v>0</v>
      </c>
      <c r="U387" s="150">
        <f t="shared" ref="U387:U450" si="121">IF(N387="jäännössähkö",$O387,IF(N387="tuulisähkö",wtt_ef_e_co2_el_wind,0))*$M387/1000/1000</f>
        <v>0</v>
      </c>
      <c r="V387" s="150">
        <f>IFERROR(INDEX(Työkonekanta!$J$3:$J$27,MATCH($A387,Työkonekanta!$A$3:$A$24,0),1)*$B387*ef_li_ion_akku/1000/1000/INDEX(Työkonekanta!$K$3:$K$27,MATCH($A387,Työkonekanta!$A$3:$A$24,0)),0)</f>
        <v>0</v>
      </c>
      <c r="W387" s="149">
        <f t="shared" ref="W387:W450" si="122">($I387*IF($D387="pom",ef_v_co2_pom,0))/1000/1000</f>
        <v>0</v>
      </c>
      <c r="X387" s="150">
        <f t="shared" si="110"/>
        <v>0</v>
      </c>
      <c r="Y387" s="151">
        <f t="shared" si="111"/>
        <v>0</v>
      </c>
      <c r="Z387" s="152">
        <f t="shared" si="107"/>
        <v>0</v>
      </c>
      <c r="AA387" s="153">
        <f t="shared" si="113"/>
        <v>0</v>
      </c>
      <c r="AB387" s="153">
        <f t="shared" si="114"/>
        <v>0</v>
      </c>
      <c r="AC387" s="154">
        <f t="shared" si="112"/>
        <v>0</v>
      </c>
      <c r="AD387" s="156">
        <f t="shared" si="115"/>
        <v>0</v>
      </c>
    </row>
    <row r="388" spans="1:30" s="144" customFormat="1">
      <c r="A388" s="139">
        <v>26</v>
      </c>
      <c r="B388" s="139">
        <f>IFERROR(INDEX(Työkonekanta!$F$3:$F$27,MATCH('S0a Baseline'!$A388,Työkonekanta!$A$3:$A$24,0),1),0)</f>
        <v>0</v>
      </c>
      <c r="C388" s="140">
        <v>2031</v>
      </c>
      <c r="D388" s="141" t="str">
        <f>IFERROR(INDEX(Työkonekanta!$D$3:$D$27,MATCH('S0a Baseline'!$A388,Työkonekanta!$A$3:$A$24,0),1),"undefined")</f>
        <v>undefined</v>
      </c>
      <c r="E388" s="145">
        <f>IFERROR(INDEX(Työkonekanta!$G$3:$G$27,MATCH($A388,Työkonekanta!$A$3:$A$24,0),1)*INDEX(Työkonekanta!$H$3:$H$27,MATCH($A388,Työkonekanta!$A$3:$A$24,0),1)*$B388,0)</f>
        <v>0</v>
      </c>
      <c r="F388" s="344">
        <f t="shared" si="116"/>
        <v>0</v>
      </c>
      <c r="G388" s="344">
        <f t="shared" ref="G388:G451" si="123">$F388*$P388</f>
        <v>0</v>
      </c>
      <c r="H388" s="344">
        <f t="shared" ref="H388:H451" si="124">$F388*$Q388</f>
        <v>0</v>
      </c>
      <c r="I388" s="145">
        <f t="shared" si="117"/>
        <v>0</v>
      </c>
      <c r="J388" s="145">
        <f t="shared" si="118"/>
        <v>0</v>
      </c>
      <c r="K388" s="142" t="str">
        <f t="shared" si="108"/>
        <v>undefined</v>
      </c>
      <c r="L388" s="146">
        <f>IFERROR(INDEX(Työkonekanta!$I$3:$I$27,MATCH('S0a Baseline'!$A388,Työkonekanta!$A$3:$A$24,0),1)*(I388+J388)*f_adblue,0)</f>
        <v>0</v>
      </c>
      <c r="M388" s="146">
        <f t="shared" si="109"/>
        <v>0</v>
      </c>
      <c r="N388" s="143" t="str">
        <f>IF(tuulisähkö_vuosi&lt;='S0a Baseline'!C388,"tuulisähkö",ostosähkö_nyt)</f>
        <v>jäännössähkö</v>
      </c>
      <c r="O388" s="147">
        <f>INDEX(Muuttujat!$J$5:$J$21,MATCH($C388,Muuttujat!$H$5:$H$21,0),1)</f>
        <v>61.379690186142746</v>
      </c>
      <c r="P388" s="342">
        <f>1-(INDEX(Muuttujat!$O$5:$O$21,MATCH($C388,Muuttujat!$N$5:$N$21,0),1))</f>
        <v>0.9</v>
      </c>
      <c r="Q388" s="342">
        <f>INDEX(Muuttujat!$O$5:$O$21,MATCH($C388,Muuttujat!$N$5:$N$21,0),1)</f>
        <v>0.1</v>
      </c>
      <c r="R388" s="148">
        <f>INDEX(Muuttujat!$P$5:$P$21,MATCH($C388,Muuttujat!$N$5:$N$21,0),1)</f>
        <v>0.10417875759940039</v>
      </c>
      <c r="S388" s="149">
        <f t="shared" si="119"/>
        <v>0</v>
      </c>
      <c r="T388" s="150">
        <f t="shared" si="120"/>
        <v>0</v>
      </c>
      <c r="U388" s="150">
        <f t="shared" si="121"/>
        <v>0</v>
      </c>
      <c r="V388" s="150">
        <f>IFERROR(INDEX(Työkonekanta!$J$3:$J$27,MATCH($A388,Työkonekanta!$A$3:$A$24,0),1)*$B388*ef_li_ion_akku/1000/1000/INDEX(Työkonekanta!$K$3:$K$27,MATCH($A388,Työkonekanta!$A$3:$A$24,0)),0)</f>
        <v>0</v>
      </c>
      <c r="W388" s="149">
        <f t="shared" si="122"/>
        <v>0</v>
      </c>
      <c r="X388" s="150">
        <f t="shared" si="110"/>
        <v>0</v>
      </c>
      <c r="Y388" s="151">
        <f t="shared" si="111"/>
        <v>0</v>
      </c>
      <c r="Z388" s="152">
        <f t="shared" ref="Z388:Z451" si="125">SUM($S388:$V388)</f>
        <v>0</v>
      </c>
      <c r="AA388" s="153">
        <f t="shared" si="113"/>
        <v>0</v>
      </c>
      <c r="AB388" s="153">
        <f t="shared" si="114"/>
        <v>0</v>
      </c>
      <c r="AC388" s="154">
        <f t="shared" si="112"/>
        <v>0</v>
      </c>
      <c r="AD388" s="156">
        <f t="shared" si="115"/>
        <v>0</v>
      </c>
    </row>
    <row r="389" spans="1:30" s="144" customFormat="1">
      <c r="A389" s="139">
        <v>27</v>
      </c>
      <c r="B389" s="139">
        <f>IFERROR(INDEX(Työkonekanta!$F$3:$F$27,MATCH('S0a Baseline'!$A389,Työkonekanta!$A$3:$A$24,0),1),0)</f>
        <v>0</v>
      </c>
      <c r="C389" s="140">
        <v>2031</v>
      </c>
      <c r="D389" s="141" t="str">
        <f>IFERROR(INDEX(Työkonekanta!$D$3:$D$27,MATCH('S0a Baseline'!$A389,Työkonekanta!$A$3:$A$24,0),1),"undefined")</f>
        <v>undefined</v>
      </c>
      <c r="E389" s="145">
        <f>IFERROR(INDEX(Työkonekanta!$G$3:$G$27,MATCH($A389,Työkonekanta!$A$3:$A$24,0),1)*INDEX(Työkonekanta!$H$3:$H$27,MATCH($A389,Työkonekanta!$A$3:$A$24,0),1)*$B389,0)</f>
        <v>0</v>
      </c>
      <c r="F389" s="344">
        <f t="shared" si="116"/>
        <v>0</v>
      </c>
      <c r="G389" s="344">
        <f t="shared" si="123"/>
        <v>0</v>
      </c>
      <c r="H389" s="344">
        <f t="shared" si="124"/>
        <v>0</v>
      </c>
      <c r="I389" s="145">
        <f t="shared" si="117"/>
        <v>0</v>
      </c>
      <c r="J389" s="145">
        <f t="shared" si="118"/>
        <v>0</v>
      </c>
      <c r="K389" s="142" t="str">
        <f t="shared" si="108"/>
        <v>undefined</v>
      </c>
      <c r="L389" s="146">
        <f>IFERROR(INDEX(Työkonekanta!$I$3:$I$27,MATCH('S0a Baseline'!$A389,Työkonekanta!$A$3:$A$24,0),1)*(I389+J389)*f_adblue,0)</f>
        <v>0</v>
      </c>
      <c r="M389" s="146">
        <f t="shared" si="109"/>
        <v>0</v>
      </c>
      <c r="N389" s="143" t="str">
        <f>IF(tuulisähkö_vuosi&lt;='S0a Baseline'!C389,"tuulisähkö",ostosähkö_nyt)</f>
        <v>jäännössähkö</v>
      </c>
      <c r="O389" s="147">
        <f>INDEX(Muuttujat!$J$5:$J$21,MATCH($C389,Muuttujat!$H$5:$H$21,0),1)</f>
        <v>61.379690186142746</v>
      </c>
      <c r="P389" s="342">
        <f>1-(INDEX(Muuttujat!$O$5:$O$21,MATCH($C389,Muuttujat!$N$5:$N$21,0),1))</f>
        <v>0.9</v>
      </c>
      <c r="Q389" s="342">
        <f>INDEX(Muuttujat!$O$5:$O$21,MATCH($C389,Muuttujat!$N$5:$N$21,0),1)</f>
        <v>0.1</v>
      </c>
      <c r="R389" s="148">
        <f>INDEX(Muuttujat!$P$5:$P$21,MATCH($C389,Muuttujat!$N$5:$N$21,0),1)</f>
        <v>0.10417875759940039</v>
      </c>
      <c r="S389" s="149">
        <f t="shared" si="119"/>
        <v>0</v>
      </c>
      <c r="T389" s="150">
        <f t="shared" si="120"/>
        <v>0</v>
      </c>
      <c r="U389" s="150">
        <f t="shared" si="121"/>
        <v>0</v>
      </c>
      <c r="V389" s="150">
        <f>IFERROR(INDEX(Työkonekanta!$J$3:$J$27,MATCH($A389,Työkonekanta!$A$3:$A$24,0),1)*$B389*ef_li_ion_akku/1000/1000/INDEX(Työkonekanta!$K$3:$K$27,MATCH($A389,Työkonekanta!$A$3:$A$24,0)),0)</f>
        <v>0</v>
      </c>
      <c r="W389" s="149">
        <f t="shared" si="122"/>
        <v>0</v>
      </c>
      <c r="X389" s="150">
        <f t="shared" si="110"/>
        <v>0</v>
      </c>
      <c r="Y389" s="151">
        <f t="shared" si="111"/>
        <v>0</v>
      </c>
      <c r="Z389" s="152">
        <f t="shared" si="125"/>
        <v>0</v>
      </c>
      <c r="AA389" s="153">
        <f t="shared" si="113"/>
        <v>0</v>
      </c>
      <c r="AB389" s="153">
        <f t="shared" si="114"/>
        <v>0</v>
      </c>
      <c r="AC389" s="154">
        <f t="shared" si="112"/>
        <v>0</v>
      </c>
      <c r="AD389" s="156">
        <f t="shared" si="115"/>
        <v>0</v>
      </c>
    </row>
    <row r="390" spans="1:30" s="144" customFormat="1">
      <c r="A390" s="139">
        <v>28</v>
      </c>
      <c r="B390" s="139">
        <f>IFERROR(INDEX(Työkonekanta!$F$3:$F$27,MATCH('S0a Baseline'!$A390,Työkonekanta!$A$3:$A$24,0),1),0)</f>
        <v>0</v>
      </c>
      <c r="C390" s="140">
        <v>2031</v>
      </c>
      <c r="D390" s="141" t="str">
        <f>IFERROR(INDEX(Työkonekanta!$D$3:$D$27,MATCH('S0a Baseline'!$A390,Työkonekanta!$A$3:$A$24,0),1),"undefined")</f>
        <v>undefined</v>
      </c>
      <c r="E390" s="145">
        <f>IFERROR(INDEX(Työkonekanta!$G$3:$G$27,MATCH($A390,Työkonekanta!$A$3:$A$24,0),1)*INDEX(Työkonekanta!$H$3:$H$27,MATCH($A390,Työkonekanta!$A$3:$A$24,0),1)*$B390,0)</f>
        <v>0</v>
      </c>
      <c r="F390" s="344">
        <f t="shared" si="116"/>
        <v>0</v>
      </c>
      <c r="G390" s="344">
        <f t="shared" si="123"/>
        <v>0</v>
      </c>
      <c r="H390" s="344">
        <f t="shared" si="124"/>
        <v>0</v>
      </c>
      <c r="I390" s="145">
        <f t="shared" si="117"/>
        <v>0</v>
      </c>
      <c r="J390" s="145">
        <f t="shared" si="118"/>
        <v>0</v>
      </c>
      <c r="K390" s="142" t="str">
        <f t="shared" si="108"/>
        <v>undefined</v>
      </c>
      <c r="L390" s="146">
        <f>IFERROR(INDEX(Työkonekanta!$I$3:$I$27,MATCH('S0a Baseline'!$A390,Työkonekanta!$A$3:$A$24,0),1)*(I390+J390)*f_adblue,0)</f>
        <v>0</v>
      </c>
      <c r="M390" s="146">
        <f t="shared" si="109"/>
        <v>0</v>
      </c>
      <c r="N390" s="143" t="str">
        <f>IF(tuulisähkö_vuosi&lt;='S0a Baseline'!C390,"tuulisähkö",ostosähkö_nyt)</f>
        <v>jäännössähkö</v>
      </c>
      <c r="O390" s="147">
        <f>INDEX(Muuttujat!$J$5:$J$21,MATCH($C390,Muuttujat!$H$5:$H$21,0),1)</f>
        <v>61.379690186142746</v>
      </c>
      <c r="P390" s="342">
        <f>1-(INDEX(Muuttujat!$O$5:$O$21,MATCH($C390,Muuttujat!$N$5:$N$21,0),1))</f>
        <v>0.9</v>
      </c>
      <c r="Q390" s="342">
        <f>INDEX(Muuttujat!$O$5:$O$21,MATCH($C390,Muuttujat!$N$5:$N$21,0),1)</f>
        <v>0.1</v>
      </c>
      <c r="R390" s="148">
        <f>INDEX(Muuttujat!$P$5:$P$21,MATCH($C390,Muuttujat!$N$5:$N$21,0),1)</f>
        <v>0.10417875759940039</v>
      </c>
      <c r="S390" s="149">
        <f t="shared" si="119"/>
        <v>0</v>
      </c>
      <c r="T390" s="150">
        <f t="shared" si="120"/>
        <v>0</v>
      </c>
      <c r="U390" s="150">
        <f t="shared" si="121"/>
        <v>0</v>
      </c>
      <c r="V390" s="150">
        <f>IFERROR(INDEX(Työkonekanta!$J$3:$J$27,MATCH($A390,Työkonekanta!$A$3:$A$24,0),1)*$B390*ef_li_ion_akku/1000/1000/INDEX(Työkonekanta!$K$3:$K$27,MATCH($A390,Työkonekanta!$A$3:$A$24,0)),0)</f>
        <v>0</v>
      </c>
      <c r="W390" s="149">
        <f t="shared" si="122"/>
        <v>0</v>
      </c>
      <c r="X390" s="150">
        <f t="shared" si="110"/>
        <v>0</v>
      </c>
      <c r="Y390" s="151">
        <f t="shared" si="111"/>
        <v>0</v>
      </c>
      <c r="Z390" s="152">
        <f t="shared" si="125"/>
        <v>0</v>
      </c>
      <c r="AA390" s="153">
        <f t="shared" si="113"/>
        <v>0</v>
      </c>
      <c r="AB390" s="153">
        <f t="shared" si="114"/>
        <v>0</v>
      </c>
      <c r="AC390" s="154">
        <f t="shared" si="112"/>
        <v>0</v>
      </c>
      <c r="AD390" s="156">
        <f t="shared" si="115"/>
        <v>0</v>
      </c>
    </row>
    <row r="391" spans="1:30" s="144" customFormat="1">
      <c r="A391" s="139">
        <v>29</v>
      </c>
      <c r="B391" s="139">
        <f>IFERROR(INDEX(Työkonekanta!$F$3:$F$27,MATCH('S0a Baseline'!$A391,Työkonekanta!$A$3:$A$24,0),1),0)</f>
        <v>0</v>
      </c>
      <c r="C391" s="140">
        <v>2031</v>
      </c>
      <c r="D391" s="141" t="str">
        <f>IFERROR(INDEX(Työkonekanta!$D$3:$D$27,MATCH('S0a Baseline'!$A391,Työkonekanta!$A$3:$A$24,0),1),"undefined")</f>
        <v>undefined</v>
      </c>
      <c r="E391" s="145">
        <f>IFERROR(INDEX(Työkonekanta!$G$3:$G$27,MATCH($A391,Työkonekanta!$A$3:$A$24,0),1)*INDEX(Työkonekanta!$H$3:$H$27,MATCH($A391,Työkonekanta!$A$3:$A$24,0),1)*$B391,0)</f>
        <v>0</v>
      </c>
      <c r="F391" s="344">
        <f t="shared" si="116"/>
        <v>0</v>
      </c>
      <c r="G391" s="344">
        <f t="shared" si="123"/>
        <v>0</v>
      </c>
      <c r="H391" s="344">
        <f t="shared" si="124"/>
        <v>0</v>
      </c>
      <c r="I391" s="145">
        <f t="shared" si="117"/>
        <v>0</v>
      </c>
      <c r="J391" s="145">
        <f t="shared" si="118"/>
        <v>0</v>
      </c>
      <c r="K391" s="142" t="str">
        <f t="shared" si="108"/>
        <v>undefined</v>
      </c>
      <c r="L391" s="146">
        <f>IFERROR(INDEX(Työkonekanta!$I$3:$I$27,MATCH('S0a Baseline'!$A391,Työkonekanta!$A$3:$A$24,0),1)*(I391+J391)*f_adblue,0)</f>
        <v>0</v>
      </c>
      <c r="M391" s="146">
        <f t="shared" si="109"/>
        <v>0</v>
      </c>
      <c r="N391" s="143" t="str">
        <f>IF(tuulisähkö_vuosi&lt;='S0a Baseline'!C391,"tuulisähkö",ostosähkö_nyt)</f>
        <v>jäännössähkö</v>
      </c>
      <c r="O391" s="147">
        <f>INDEX(Muuttujat!$J$5:$J$21,MATCH($C391,Muuttujat!$H$5:$H$21,0),1)</f>
        <v>61.379690186142746</v>
      </c>
      <c r="P391" s="342">
        <f>1-(INDEX(Muuttujat!$O$5:$O$21,MATCH($C391,Muuttujat!$N$5:$N$21,0),1))</f>
        <v>0.9</v>
      </c>
      <c r="Q391" s="342">
        <f>INDEX(Muuttujat!$O$5:$O$21,MATCH($C391,Muuttujat!$N$5:$N$21,0),1)</f>
        <v>0.1</v>
      </c>
      <c r="R391" s="148">
        <f>INDEX(Muuttujat!$P$5:$P$21,MATCH($C391,Muuttujat!$N$5:$N$21,0),1)</f>
        <v>0.10417875759940039</v>
      </c>
      <c r="S391" s="149">
        <f t="shared" si="119"/>
        <v>0</v>
      </c>
      <c r="T391" s="150">
        <f t="shared" si="120"/>
        <v>0</v>
      </c>
      <c r="U391" s="150">
        <f t="shared" si="121"/>
        <v>0</v>
      </c>
      <c r="V391" s="150">
        <f>IFERROR(INDEX(Työkonekanta!$J$3:$J$27,MATCH($A391,Työkonekanta!$A$3:$A$24,0),1)*$B391*ef_li_ion_akku/1000/1000/INDEX(Työkonekanta!$K$3:$K$27,MATCH($A391,Työkonekanta!$A$3:$A$24,0)),0)</f>
        <v>0</v>
      </c>
      <c r="W391" s="149">
        <f t="shared" si="122"/>
        <v>0</v>
      </c>
      <c r="X391" s="150">
        <f t="shared" si="110"/>
        <v>0</v>
      </c>
      <c r="Y391" s="151">
        <f t="shared" si="111"/>
        <v>0</v>
      </c>
      <c r="Z391" s="152">
        <f t="shared" si="125"/>
        <v>0</v>
      </c>
      <c r="AA391" s="153">
        <f t="shared" si="113"/>
        <v>0</v>
      </c>
      <c r="AB391" s="153">
        <f t="shared" si="114"/>
        <v>0</v>
      </c>
      <c r="AC391" s="154">
        <f t="shared" si="112"/>
        <v>0</v>
      </c>
      <c r="AD391" s="156">
        <f t="shared" si="115"/>
        <v>0</v>
      </c>
    </row>
    <row r="392" spans="1:30" s="144" customFormat="1">
      <c r="A392" s="139">
        <v>30</v>
      </c>
      <c r="B392" s="139">
        <f>IFERROR(INDEX(Työkonekanta!$F$3:$F$27,MATCH('S0a Baseline'!$A392,Työkonekanta!$A$3:$A$24,0),1),0)</f>
        <v>0</v>
      </c>
      <c r="C392" s="140">
        <v>2031</v>
      </c>
      <c r="D392" s="141" t="str">
        <f>IFERROR(INDEX(Työkonekanta!$D$3:$D$27,MATCH('S0a Baseline'!$A392,Työkonekanta!$A$3:$A$24,0),1),"undefined")</f>
        <v>undefined</v>
      </c>
      <c r="E392" s="145">
        <f>IFERROR(INDEX(Työkonekanta!$G$3:$G$27,MATCH($A392,Työkonekanta!$A$3:$A$24,0),1)*INDEX(Työkonekanta!$H$3:$H$27,MATCH($A392,Työkonekanta!$A$3:$A$24,0),1)*$B392,0)</f>
        <v>0</v>
      </c>
      <c r="F392" s="344">
        <f t="shared" si="116"/>
        <v>0</v>
      </c>
      <c r="G392" s="344">
        <f t="shared" si="123"/>
        <v>0</v>
      </c>
      <c r="H392" s="344">
        <f t="shared" si="124"/>
        <v>0</v>
      </c>
      <c r="I392" s="145">
        <f t="shared" si="117"/>
        <v>0</v>
      </c>
      <c r="J392" s="145">
        <f t="shared" si="118"/>
        <v>0</v>
      </c>
      <c r="K392" s="142" t="str">
        <f t="shared" si="108"/>
        <v>undefined</v>
      </c>
      <c r="L392" s="146">
        <f>IFERROR(INDEX(Työkonekanta!$I$3:$I$27,MATCH('S0a Baseline'!$A392,Työkonekanta!$A$3:$A$24,0),1)*(I392+J392)*f_adblue,0)</f>
        <v>0</v>
      </c>
      <c r="M392" s="146">
        <f t="shared" si="109"/>
        <v>0</v>
      </c>
      <c r="N392" s="143" t="str">
        <f>IF(tuulisähkö_vuosi&lt;='S0a Baseline'!C392,"tuulisähkö",ostosähkö_nyt)</f>
        <v>jäännössähkö</v>
      </c>
      <c r="O392" s="147">
        <f>INDEX(Muuttujat!$J$5:$J$21,MATCH($C392,Muuttujat!$H$5:$H$21,0),1)</f>
        <v>61.379690186142746</v>
      </c>
      <c r="P392" s="342">
        <f>1-(INDEX(Muuttujat!$O$5:$O$21,MATCH($C392,Muuttujat!$N$5:$N$21,0),1))</f>
        <v>0.9</v>
      </c>
      <c r="Q392" s="342">
        <f>INDEX(Muuttujat!$O$5:$O$21,MATCH($C392,Muuttujat!$N$5:$N$21,0),1)</f>
        <v>0.1</v>
      </c>
      <c r="R392" s="148">
        <f>INDEX(Muuttujat!$P$5:$P$21,MATCH($C392,Muuttujat!$N$5:$N$21,0),1)</f>
        <v>0.10417875759940039</v>
      </c>
      <c r="S392" s="149">
        <f t="shared" si="119"/>
        <v>0</v>
      </c>
      <c r="T392" s="150">
        <f t="shared" si="120"/>
        <v>0</v>
      </c>
      <c r="U392" s="150">
        <f t="shared" si="121"/>
        <v>0</v>
      </c>
      <c r="V392" s="150">
        <f>IFERROR(INDEX(Työkonekanta!$J$3:$J$27,MATCH($A392,Työkonekanta!$A$3:$A$24,0),1)*$B392*ef_li_ion_akku/1000/1000/INDEX(Työkonekanta!$K$3:$K$27,MATCH($A392,Työkonekanta!$A$3:$A$24,0)),0)</f>
        <v>0</v>
      </c>
      <c r="W392" s="149">
        <f t="shared" si="122"/>
        <v>0</v>
      </c>
      <c r="X392" s="150">
        <f t="shared" si="110"/>
        <v>0</v>
      </c>
      <c r="Y392" s="151">
        <f t="shared" si="111"/>
        <v>0</v>
      </c>
      <c r="Z392" s="152">
        <f t="shared" si="125"/>
        <v>0</v>
      </c>
      <c r="AA392" s="153">
        <f t="shared" si="113"/>
        <v>0</v>
      </c>
      <c r="AB392" s="153">
        <f t="shared" si="114"/>
        <v>0</v>
      </c>
      <c r="AC392" s="154">
        <f t="shared" si="112"/>
        <v>0</v>
      </c>
      <c r="AD392" s="156">
        <f t="shared" si="115"/>
        <v>0</v>
      </c>
    </row>
    <row r="393" spans="1:30" s="144" customFormat="1">
      <c r="A393" s="139">
        <v>1</v>
      </c>
      <c r="B393" s="139">
        <f>IFERROR(INDEX(Työkonekanta!$F$3:$F$27,MATCH('S0a Baseline'!$A393,Työkonekanta!$A$3:$A$24,0),1),0)</f>
        <v>1</v>
      </c>
      <c r="C393" s="140">
        <v>2032</v>
      </c>
      <c r="D393" s="141" t="str">
        <f>IFERROR(INDEX(Työkonekanta!$D$3:$D$27,MATCH('S0a Baseline'!$A393,Työkonekanta!$A$3:$A$24,0),1),"undefined")</f>
        <v>pom</v>
      </c>
      <c r="E393" s="145">
        <f>IFERROR(INDEX(Työkonekanta!$G$3:$G$27,MATCH($A393,Työkonekanta!$A$3:$A$24,0),1)*INDEX(Työkonekanta!$H$3:$H$27,MATCH($A393,Työkonekanta!$A$3:$A$24,0),1)*$B393,0)</f>
        <v>10000</v>
      </c>
      <c r="F393" s="344">
        <f t="shared" si="116"/>
        <v>359000</v>
      </c>
      <c r="G393" s="344">
        <f t="shared" si="123"/>
        <v>323100</v>
      </c>
      <c r="H393" s="344">
        <f t="shared" si="124"/>
        <v>35900</v>
      </c>
      <c r="I393" s="145">
        <f t="shared" si="117"/>
        <v>9000</v>
      </c>
      <c r="J393" s="145">
        <f t="shared" si="118"/>
        <v>1046.6472303206997</v>
      </c>
      <c r="K393" s="142" t="str">
        <f t="shared" si="108"/>
        <v>l</v>
      </c>
      <c r="L393" s="146">
        <f>IFERROR(INDEX(Työkonekanta!$I$3:$I$27,MATCH('S0a Baseline'!$A393,Työkonekanta!$A$3:$A$24,0),1)*(I393+J393)*f_adblue,0)</f>
        <v>502.33236151603501</v>
      </c>
      <c r="M393" s="146">
        <f t="shared" si="109"/>
        <v>0</v>
      </c>
      <c r="N393" s="143" t="str">
        <f>IF(tuulisähkö_vuosi&lt;='S0a Baseline'!C393,"tuulisähkö",ostosähkö_nyt)</f>
        <v>jäännössähkö</v>
      </c>
      <c r="O393" s="147">
        <f>INDEX(Muuttujat!$J$5:$J$21,MATCH($C393,Muuttujat!$H$5:$H$21,0),1)</f>
        <v>60.765893284281319</v>
      </c>
      <c r="P393" s="342">
        <f>1-(INDEX(Muuttujat!$O$5:$O$21,MATCH($C393,Muuttujat!$N$5:$N$21,0),1))</f>
        <v>0.9</v>
      </c>
      <c r="Q393" s="342">
        <f>INDEX(Muuttujat!$O$5:$O$21,MATCH($C393,Muuttujat!$N$5:$N$21,0),1)</f>
        <v>0.1</v>
      </c>
      <c r="R393" s="148">
        <f>INDEX(Muuttujat!$P$5:$P$21,MATCH($C393,Muuttujat!$N$5:$N$21,0),1)</f>
        <v>0.10417875759940039</v>
      </c>
      <c r="S393" s="149">
        <f t="shared" si="119"/>
        <v>6.1065899999999997</v>
      </c>
      <c r="T393" s="150">
        <f t="shared" si="120"/>
        <v>2.2401599999999999</v>
      </c>
      <c r="U393" s="150">
        <f t="shared" si="121"/>
        <v>0</v>
      </c>
      <c r="V393" s="150">
        <f>IFERROR(INDEX(Työkonekanta!$J$3:$J$27,MATCH($A393,Työkonekanta!$A$3:$A$24,0),1)*$B393*ef_li_ion_akku/1000/1000/INDEX(Työkonekanta!$K$3:$K$27,MATCH($A393,Työkonekanta!$A$3:$A$24,0)),0)</f>
        <v>0</v>
      </c>
      <c r="W393" s="149">
        <f t="shared" si="122"/>
        <v>23.847446957400003</v>
      </c>
      <c r="X393" s="150">
        <f t="shared" si="110"/>
        <v>0.31774565999999999</v>
      </c>
      <c r="Y393" s="151">
        <f t="shared" si="111"/>
        <v>0.13060641399416908</v>
      </c>
      <c r="Z393" s="152">
        <f t="shared" si="125"/>
        <v>8.3467500000000001</v>
      </c>
      <c r="AA393" s="153">
        <f t="shared" si="113"/>
        <v>23.978053371394171</v>
      </c>
      <c r="AB393" s="153">
        <f t="shared" si="114"/>
        <v>24.295799031394171</v>
      </c>
      <c r="AC393" s="154">
        <f t="shared" si="112"/>
        <v>32.324803371394168</v>
      </c>
      <c r="AD393" s="156">
        <f t="shared" si="115"/>
        <v>32.642549031394168</v>
      </c>
    </row>
    <row r="394" spans="1:30" s="144" customFormat="1">
      <c r="A394" s="139">
        <v>2</v>
      </c>
      <c r="B394" s="139">
        <f>IFERROR(INDEX(Työkonekanta!$F$3:$F$27,MATCH('S0a Baseline'!$A394,Työkonekanta!$A$3:$A$24,0),1),0)</f>
        <v>1</v>
      </c>
      <c r="C394" s="140">
        <v>2032</v>
      </c>
      <c r="D394" s="141" t="str">
        <f>IFERROR(INDEX(Työkonekanta!$D$3:$D$27,MATCH('S0a Baseline'!$A394,Työkonekanta!$A$3:$A$24,0),1),"undefined")</f>
        <v>pom</v>
      </c>
      <c r="E394" s="145">
        <f>IFERROR(INDEX(Työkonekanta!$G$3:$G$27,MATCH($A394,Työkonekanta!$A$3:$A$24,0),1)*INDEX(Työkonekanta!$H$3:$H$27,MATCH($A394,Työkonekanta!$A$3:$A$24,0),1)*$B394,0)</f>
        <v>10000</v>
      </c>
      <c r="F394" s="344">
        <f t="shared" si="116"/>
        <v>359000</v>
      </c>
      <c r="G394" s="344">
        <f t="shared" si="123"/>
        <v>323100</v>
      </c>
      <c r="H394" s="344">
        <f t="shared" si="124"/>
        <v>35900</v>
      </c>
      <c r="I394" s="145">
        <f t="shared" si="117"/>
        <v>9000</v>
      </c>
      <c r="J394" s="145">
        <f t="shared" si="118"/>
        <v>1046.6472303206997</v>
      </c>
      <c r="K394" s="142" t="str">
        <f t="shared" si="108"/>
        <v>l</v>
      </c>
      <c r="L394" s="146">
        <f>IFERROR(INDEX(Työkonekanta!$I$3:$I$27,MATCH('S0a Baseline'!$A394,Työkonekanta!$A$3:$A$24,0),1)*(I394+J394)*f_adblue,0)</f>
        <v>502.33236151603501</v>
      </c>
      <c r="M394" s="146">
        <f t="shared" si="109"/>
        <v>0</v>
      </c>
      <c r="N394" s="143" t="str">
        <f>IF(tuulisähkö_vuosi&lt;='S0a Baseline'!C394,"tuulisähkö",ostosähkö_nyt)</f>
        <v>jäännössähkö</v>
      </c>
      <c r="O394" s="147">
        <f>INDEX(Muuttujat!$J$5:$J$21,MATCH($C394,Muuttujat!$H$5:$H$21,0),1)</f>
        <v>60.765893284281319</v>
      </c>
      <c r="P394" s="342">
        <f>1-(INDEX(Muuttujat!$O$5:$O$21,MATCH($C394,Muuttujat!$N$5:$N$21,0),1))</f>
        <v>0.9</v>
      </c>
      <c r="Q394" s="342">
        <f>INDEX(Muuttujat!$O$5:$O$21,MATCH($C394,Muuttujat!$N$5:$N$21,0),1)</f>
        <v>0.1</v>
      </c>
      <c r="R394" s="148">
        <f>INDEX(Muuttujat!$P$5:$P$21,MATCH($C394,Muuttujat!$N$5:$N$21,0),1)</f>
        <v>0.10417875759940039</v>
      </c>
      <c r="S394" s="149">
        <f t="shared" si="119"/>
        <v>6.1065899999999997</v>
      </c>
      <c r="T394" s="150">
        <f t="shared" si="120"/>
        <v>2.2401599999999999</v>
      </c>
      <c r="U394" s="150">
        <f t="shared" si="121"/>
        <v>0</v>
      </c>
      <c r="V394" s="150">
        <f>IFERROR(INDEX(Työkonekanta!$J$3:$J$27,MATCH($A394,Työkonekanta!$A$3:$A$24,0),1)*$B394*ef_li_ion_akku/1000/1000/INDEX(Työkonekanta!$K$3:$K$27,MATCH($A394,Työkonekanta!$A$3:$A$24,0)),0)</f>
        <v>0</v>
      </c>
      <c r="W394" s="149">
        <f t="shared" si="122"/>
        <v>23.847446957400003</v>
      </c>
      <c r="X394" s="150">
        <f t="shared" si="110"/>
        <v>0.31774565999999999</v>
      </c>
      <c r="Y394" s="151">
        <f t="shared" si="111"/>
        <v>0.13060641399416908</v>
      </c>
      <c r="Z394" s="152">
        <f t="shared" si="125"/>
        <v>8.3467500000000001</v>
      </c>
      <c r="AA394" s="153">
        <f t="shared" si="113"/>
        <v>23.978053371394171</v>
      </c>
      <c r="AB394" s="153">
        <f t="shared" si="114"/>
        <v>24.295799031394171</v>
      </c>
      <c r="AC394" s="154">
        <f t="shared" si="112"/>
        <v>32.324803371394168</v>
      </c>
      <c r="AD394" s="156">
        <f t="shared" si="115"/>
        <v>32.642549031394168</v>
      </c>
    </row>
    <row r="395" spans="1:30" s="144" customFormat="1">
      <c r="A395" s="139">
        <v>3</v>
      </c>
      <c r="B395" s="139">
        <f>IFERROR(INDEX(Työkonekanta!$F$3:$F$27,MATCH('S0a Baseline'!$A395,Työkonekanta!$A$3:$A$24,0),1),0)</f>
        <v>1</v>
      </c>
      <c r="C395" s="140">
        <v>2032</v>
      </c>
      <c r="D395" s="141" t="str">
        <f>IFERROR(INDEX(Työkonekanta!$D$3:$D$27,MATCH('S0a Baseline'!$A395,Työkonekanta!$A$3:$A$24,0),1),"undefined")</f>
        <v>pom</v>
      </c>
      <c r="E395" s="145">
        <f>IFERROR(INDEX(Työkonekanta!$G$3:$G$27,MATCH($A395,Työkonekanta!$A$3:$A$24,0),1)*INDEX(Työkonekanta!$H$3:$H$27,MATCH($A395,Työkonekanta!$A$3:$A$24,0),1)*$B395,0)</f>
        <v>10000</v>
      </c>
      <c r="F395" s="344">
        <f t="shared" si="116"/>
        <v>359000</v>
      </c>
      <c r="G395" s="344">
        <f t="shared" si="123"/>
        <v>323100</v>
      </c>
      <c r="H395" s="344">
        <f t="shared" si="124"/>
        <v>35900</v>
      </c>
      <c r="I395" s="145">
        <f t="shared" si="117"/>
        <v>9000</v>
      </c>
      <c r="J395" s="145">
        <f t="shared" si="118"/>
        <v>1046.6472303206997</v>
      </c>
      <c r="K395" s="142" t="str">
        <f t="shared" si="108"/>
        <v>l</v>
      </c>
      <c r="L395" s="146">
        <f>IFERROR(INDEX(Työkonekanta!$I$3:$I$27,MATCH('S0a Baseline'!$A395,Työkonekanta!$A$3:$A$24,0),1)*(I395+J395)*f_adblue,0)</f>
        <v>502.33236151603501</v>
      </c>
      <c r="M395" s="146">
        <f t="shared" si="109"/>
        <v>0</v>
      </c>
      <c r="N395" s="143" t="str">
        <f>IF(tuulisähkö_vuosi&lt;='S0a Baseline'!C395,"tuulisähkö",ostosähkö_nyt)</f>
        <v>jäännössähkö</v>
      </c>
      <c r="O395" s="147">
        <f>INDEX(Muuttujat!$J$5:$J$21,MATCH($C395,Muuttujat!$H$5:$H$21,0),1)</f>
        <v>60.765893284281319</v>
      </c>
      <c r="P395" s="342">
        <f>1-(INDEX(Muuttujat!$O$5:$O$21,MATCH($C395,Muuttujat!$N$5:$N$21,0),1))</f>
        <v>0.9</v>
      </c>
      <c r="Q395" s="342">
        <f>INDEX(Muuttujat!$O$5:$O$21,MATCH($C395,Muuttujat!$N$5:$N$21,0),1)</f>
        <v>0.1</v>
      </c>
      <c r="R395" s="148">
        <f>INDEX(Muuttujat!$P$5:$P$21,MATCH($C395,Muuttujat!$N$5:$N$21,0),1)</f>
        <v>0.10417875759940039</v>
      </c>
      <c r="S395" s="149">
        <f t="shared" si="119"/>
        <v>6.1065899999999997</v>
      </c>
      <c r="T395" s="150">
        <f t="shared" si="120"/>
        <v>2.2401599999999999</v>
      </c>
      <c r="U395" s="150">
        <f t="shared" si="121"/>
        <v>0</v>
      </c>
      <c r="V395" s="150">
        <f>IFERROR(INDEX(Työkonekanta!$J$3:$J$27,MATCH($A395,Työkonekanta!$A$3:$A$24,0),1)*$B395*ef_li_ion_akku/1000/1000/INDEX(Työkonekanta!$K$3:$K$27,MATCH($A395,Työkonekanta!$A$3:$A$24,0)),0)</f>
        <v>0</v>
      </c>
      <c r="W395" s="149">
        <f t="shared" si="122"/>
        <v>23.847446957400003</v>
      </c>
      <c r="X395" s="150">
        <f t="shared" si="110"/>
        <v>0.31774565999999999</v>
      </c>
      <c r="Y395" s="151">
        <f t="shared" si="111"/>
        <v>0.13060641399416908</v>
      </c>
      <c r="Z395" s="152">
        <f t="shared" si="125"/>
        <v>8.3467500000000001</v>
      </c>
      <c r="AA395" s="153">
        <f t="shared" si="113"/>
        <v>23.978053371394171</v>
      </c>
      <c r="AB395" s="153">
        <f t="shared" si="114"/>
        <v>24.295799031394171</v>
      </c>
      <c r="AC395" s="154">
        <f t="shared" si="112"/>
        <v>32.324803371394168</v>
      </c>
      <c r="AD395" s="156">
        <f t="shared" si="115"/>
        <v>32.642549031394168</v>
      </c>
    </row>
    <row r="396" spans="1:30" s="144" customFormat="1">
      <c r="A396" s="139">
        <v>4</v>
      </c>
      <c r="B396" s="139">
        <f>IFERROR(INDEX(Työkonekanta!$F$3:$F$27,MATCH('S0a Baseline'!$A396,Työkonekanta!$A$3:$A$24,0),1),0)</f>
        <v>1</v>
      </c>
      <c r="C396" s="140">
        <v>2032</v>
      </c>
      <c r="D396" s="141" t="str">
        <f>IFERROR(INDEX(Työkonekanta!$D$3:$D$27,MATCH('S0a Baseline'!$A396,Työkonekanta!$A$3:$A$24,0),1),"undefined")</f>
        <v>pom</v>
      </c>
      <c r="E396" s="145">
        <f>IFERROR(INDEX(Työkonekanta!$G$3:$G$27,MATCH($A396,Työkonekanta!$A$3:$A$24,0),1)*INDEX(Työkonekanta!$H$3:$H$27,MATCH($A396,Työkonekanta!$A$3:$A$24,0),1)*$B396,0)</f>
        <v>10000</v>
      </c>
      <c r="F396" s="344">
        <f t="shared" si="116"/>
        <v>359000</v>
      </c>
      <c r="G396" s="344">
        <f t="shared" si="123"/>
        <v>323100</v>
      </c>
      <c r="H396" s="344">
        <f t="shared" si="124"/>
        <v>35900</v>
      </c>
      <c r="I396" s="145">
        <f t="shared" si="117"/>
        <v>9000</v>
      </c>
      <c r="J396" s="145">
        <f t="shared" si="118"/>
        <v>1046.6472303206997</v>
      </c>
      <c r="K396" s="142" t="str">
        <f t="shared" si="108"/>
        <v>l</v>
      </c>
      <c r="L396" s="146">
        <f>IFERROR(INDEX(Työkonekanta!$I$3:$I$27,MATCH('S0a Baseline'!$A396,Työkonekanta!$A$3:$A$24,0),1)*(I396+J396)*f_adblue,0)</f>
        <v>502.33236151603501</v>
      </c>
      <c r="M396" s="146">
        <f t="shared" si="109"/>
        <v>0</v>
      </c>
      <c r="N396" s="143" t="str">
        <f>IF(tuulisähkö_vuosi&lt;='S0a Baseline'!C396,"tuulisähkö",ostosähkö_nyt)</f>
        <v>jäännössähkö</v>
      </c>
      <c r="O396" s="147">
        <f>INDEX(Muuttujat!$J$5:$J$21,MATCH($C396,Muuttujat!$H$5:$H$21,0),1)</f>
        <v>60.765893284281319</v>
      </c>
      <c r="P396" s="342">
        <f>1-(INDEX(Muuttujat!$O$5:$O$21,MATCH($C396,Muuttujat!$N$5:$N$21,0),1))</f>
        <v>0.9</v>
      </c>
      <c r="Q396" s="342">
        <f>INDEX(Muuttujat!$O$5:$O$21,MATCH($C396,Muuttujat!$N$5:$N$21,0),1)</f>
        <v>0.1</v>
      </c>
      <c r="R396" s="148">
        <f>INDEX(Muuttujat!$P$5:$P$21,MATCH($C396,Muuttujat!$N$5:$N$21,0),1)</f>
        <v>0.10417875759940039</v>
      </c>
      <c r="S396" s="149">
        <f t="shared" si="119"/>
        <v>6.1065899999999997</v>
      </c>
      <c r="T396" s="150">
        <f t="shared" si="120"/>
        <v>2.2401599999999999</v>
      </c>
      <c r="U396" s="150">
        <f t="shared" si="121"/>
        <v>0</v>
      </c>
      <c r="V396" s="150">
        <f>IFERROR(INDEX(Työkonekanta!$J$3:$J$27,MATCH($A396,Työkonekanta!$A$3:$A$24,0),1)*$B396*ef_li_ion_akku/1000/1000/INDEX(Työkonekanta!$K$3:$K$27,MATCH($A396,Työkonekanta!$A$3:$A$24,0)),0)</f>
        <v>0</v>
      </c>
      <c r="W396" s="149">
        <f t="shared" si="122"/>
        <v>23.847446957400003</v>
      </c>
      <c r="X396" s="150">
        <f t="shared" si="110"/>
        <v>0.31774565999999999</v>
      </c>
      <c r="Y396" s="151">
        <f t="shared" si="111"/>
        <v>0.13060641399416908</v>
      </c>
      <c r="Z396" s="152">
        <f t="shared" si="125"/>
        <v>8.3467500000000001</v>
      </c>
      <c r="AA396" s="153">
        <f t="shared" si="113"/>
        <v>23.978053371394171</v>
      </c>
      <c r="AB396" s="153">
        <f t="shared" si="114"/>
        <v>24.295799031394171</v>
      </c>
      <c r="AC396" s="154">
        <f t="shared" si="112"/>
        <v>32.324803371394168</v>
      </c>
      <c r="AD396" s="156">
        <f t="shared" si="115"/>
        <v>32.642549031394168</v>
      </c>
    </row>
    <row r="397" spans="1:30" s="144" customFormat="1">
      <c r="A397" s="139">
        <v>5</v>
      </c>
      <c r="B397" s="139">
        <f>IFERROR(INDEX(Työkonekanta!$F$3:$F$27,MATCH('S0a Baseline'!$A397,Työkonekanta!$A$3:$A$24,0),1),0)</f>
        <v>0</v>
      </c>
      <c r="C397" s="140">
        <v>2032</v>
      </c>
      <c r="D397" s="141" t="str">
        <f>IFERROR(INDEX(Työkonekanta!$D$3:$D$27,MATCH('S0a Baseline'!$A397,Työkonekanta!$A$3:$A$24,0),1),"undefined")</f>
        <v>sähkö</v>
      </c>
      <c r="E397" s="145">
        <f>IFERROR(INDEX(Työkonekanta!$G$3:$G$27,MATCH($A397,Työkonekanta!$A$3:$A$24,0),1)*INDEX(Työkonekanta!$H$3:$H$27,MATCH($A397,Työkonekanta!$A$3:$A$24,0),1)*$B397,0)</f>
        <v>0</v>
      </c>
      <c r="F397" s="344">
        <f t="shared" si="116"/>
        <v>0</v>
      </c>
      <c r="G397" s="344">
        <f t="shared" si="123"/>
        <v>0</v>
      </c>
      <c r="H397" s="344">
        <f t="shared" si="124"/>
        <v>0</v>
      </c>
      <c r="I397" s="145">
        <f t="shared" si="117"/>
        <v>0</v>
      </c>
      <c r="J397" s="145">
        <f t="shared" si="118"/>
        <v>0</v>
      </c>
      <c r="K397" s="142" t="str">
        <f t="shared" si="108"/>
        <v>kWh</v>
      </c>
      <c r="L397" s="146">
        <f>IFERROR(INDEX(Työkonekanta!$I$3:$I$27,MATCH('S0a Baseline'!$A397,Työkonekanta!$A$3:$A$24,0),1)*(I397+J397)*f_adblue,0)</f>
        <v>0</v>
      </c>
      <c r="M397" s="146">
        <f t="shared" si="109"/>
        <v>0</v>
      </c>
      <c r="N397" s="143" t="str">
        <f>IF(tuulisähkö_vuosi&lt;='S0a Baseline'!C397,"tuulisähkö",ostosähkö_nyt)</f>
        <v>jäännössähkö</v>
      </c>
      <c r="O397" s="147">
        <f>INDEX(Muuttujat!$J$5:$J$21,MATCH($C397,Muuttujat!$H$5:$H$21,0),1)</f>
        <v>60.765893284281319</v>
      </c>
      <c r="P397" s="342">
        <f>1-(INDEX(Muuttujat!$O$5:$O$21,MATCH($C397,Muuttujat!$N$5:$N$21,0),1))</f>
        <v>0.9</v>
      </c>
      <c r="Q397" s="342">
        <f>INDEX(Muuttujat!$O$5:$O$21,MATCH($C397,Muuttujat!$N$5:$N$21,0),1)</f>
        <v>0.1</v>
      </c>
      <c r="R397" s="148">
        <f>INDEX(Muuttujat!$P$5:$P$21,MATCH($C397,Muuttujat!$N$5:$N$21,0),1)</f>
        <v>0.10417875759940039</v>
      </c>
      <c r="S397" s="149">
        <f t="shared" si="119"/>
        <v>0</v>
      </c>
      <c r="T397" s="150">
        <f t="shared" si="120"/>
        <v>0</v>
      </c>
      <c r="U397" s="150">
        <f t="shared" si="121"/>
        <v>0</v>
      </c>
      <c r="V397" s="150">
        <f>IFERROR(INDEX(Työkonekanta!$J$3:$J$27,MATCH($A397,Työkonekanta!$A$3:$A$24,0),1)*$B397*ef_li_ion_akku/1000/1000/INDEX(Työkonekanta!$K$3:$K$27,MATCH($A397,Työkonekanta!$A$3:$A$24,0)),0)</f>
        <v>0</v>
      </c>
      <c r="W397" s="149">
        <f t="shared" si="122"/>
        <v>0</v>
      </c>
      <c r="X397" s="150">
        <f t="shared" si="110"/>
        <v>0</v>
      </c>
      <c r="Y397" s="151">
        <f t="shared" si="111"/>
        <v>0</v>
      </c>
      <c r="Z397" s="152">
        <f t="shared" si="125"/>
        <v>0</v>
      </c>
      <c r="AA397" s="153">
        <f t="shared" si="113"/>
        <v>0</v>
      </c>
      <c r="AB397" s="153">
        <f t="shared" si="114"/>
        <v>0</v>
      </c>
      <c r="AC397" s="154">
        <f t="shared" si="112"/>
        <v>0</v>
      </c>
      <c r="AD397" s="156">
        <f t="shared" si="115"/>
        <v>0</v>
      </c>
    </row>
    <row r="398" spans="1:30" s="144" customFormat="1">
      <c r="A398" s="139">
        <v>6</v>
      </c>
      <c r="B398" s="139">
        <f>IFERROR(INDEX(Työkonekanta!$F$3:$F$27,MATCH('S0a Baseline'!$A398,Työkonekanta!$A$3:$A$24,0),1),0)</f>
        <v>0</v>
      </c>
      <c r="C398" s="140">
        <v>2032</v>
      </c>
      <c r="D398" s="141" t="str">
        <f>IFERROR(INDEX(Työkonekanta!$D$3:$D$27,MATCH('S0a Baseline'!$A398,Työkonekanta!$A$3:$A$24,0),1),"undefined")</f>
        <v>sähkö</v>
      </c>
      <c r="E398" s="145">
        <f>IFERROR(INDEX(Työkonekanta!$G$3:$G$27,MATCH($A398,Työkonekanta!$A$3:$A$24,0),1)*INDEX(Työkonekanta!$H$3:$H$27,MATCH($A398,Työkonekanta!$A$3:$A$24,0),1)*$B398,0)</f>
        <v>0</v>
      </c>
      <c r="F398" s="344">
        <f t="shared" si="116"/>
        <v>0</v>
      </c>
      <c r="G398" s="344">
        <f t="shared" si="123"/>
        <v>0</v>
      </c>
      <c r="H398" s="344">
        <f t="shared" si="124"/>
        <v>0</v>
      </c>
      <c r="I398" s="145">
        <f t="shared" si="117"/>
        <v>0</v>
      </c>
      <c r="J398" s="145">
        <f t="shared" si="118"/>
        <v>0</v>
      </c>
      <c r="K398" s="142" t="str">
        <f t="shared" si="108"/>
        <v>kWh</v>
      </c>
      <c r="L398" s="146">
        <f>IFERROR(INDEX(Työkonekanta!$I$3:$I$27,MATCH('S0a Baseline'!$A398,Työkonekanta!$A$3:$A$24,0),1)*(I398+J398)*f_adblue,0)</f>
        <v>0</v>
      </c>
      <c r="M398" s="146">
        <f t="shared" si="109"/>
        <v>0</v>
      </c>
      <c r="N398" s="143" t="str">
        <f>IF(tuulisähkö_vuosi&lt;='S0a Baseline'!C398,"tuulisähkö",ostosähkö_nyt)</f>
        <v>jäännössähkö</v>
      </c>
      <c r="O398" s="147">
        <f>INDEX(Muuttujat!$J$5:$J$21,MATCH($C398,Muuttujat!$H$5:$H$21,0),1)</f>
        <v>60.765893284281319</v>
      </c>
      <c r="P398" s="342">
        <f>1-(INDEX(Muuttujat!$O$5:$O$21,MATCH($C398,Muuttujat!$N$5:$N$21,0),1))</f>
        <v>0.9</v>
      </c>
      <c r="Q398" s="342">
        <f>INDEX(Muuttujat!$O$5:$O$21,MATCH($C398,Muuttujat!$N$5:$N$21,0),1)</f>
        <v>0.1</v>
      </c>
      <c r="R398" s="148">
        <f>INDEX(Muuttujat!$P$5:$P$21,MATCH($C398,Muuttujat!$N$5:$N$21,0),1)</f>
        <v>0.10417875759940039</v>
      </c>
      <c r="S398" s="149">
        <f t="shared" si="119"/>
        <v>0</v>
      </c>
      <c r="T398" s="150">
        <f t="shared" si="120"/>
        <v>0</v>
      </c>
      <c r="U398" s="150">
        <f t="shared" si="121"/>
        <v>0</v>
      </c>
      <c r="V398" s="150">
        <f>IFERROR(INDEX(Työkonekanta!$J$3:$J$27,MATCH($A398,Työkonekanta!$A$3:$A$24,0),1)*$B398*ef_li_ion_akku/1000/1000/INDEX(Työkonekanta!$K$3:$K$27,MATCH($A398,Työkonekanta!$A$3:$A$24,0)),0)</f>
        <v>0</v>
      </c>
      <c r="W398" s="149">
        <f t="shared" si="122"/>
        <v>0</v>
      </c>
      <c r="X398" s="150">
        <f t="shared" si="110"/>
        <v>0</v>
      </c>
      <c r="Y398" s="151">
        <f t="shared" si="111"/>
        <v>0</v>
      </c>
      <c r="Z398" s="152">
        <f t="shared" si="125"/>
        <v>0</v>
      </c>
      <c r="AA398" s="153">
        <f t="shared" si="113"/>
        <v>0</v>
      </c>
      <c r="AB398" s="153">
        <f t="shared" si="114"/>
        <v>0</v>
      </c>
      <c r="AC398" s="154">
        <f t="shared" si="112"/>
        <v>0</v>
      </c>
      <c r="AD398" s="156">
        <f t="shared" si="115"/>
        <v>0</v>
      </c>
    </row>
    <row r="399" spans="1:30" s="144" customFormat="1">
      <c r="A399" s="139">
        <v>7</v>
      </c>
      <c r="B399" s="139">
        <f>IFERROR(INDEX(Työkonekanta!$F$3:$F$27,MATCH('S0a Baseline'!$A399,Työkonekanta!$A$3:$A$24,0),1),0)</f>
        <v>1</v>
      </c>
      <c r="C399" s="140">
        <v>2032</v>
      </c>
      <c r="D399" s="141" t="str">
        <f>IFERROR(INDEX(Työkonekanta!$D$3:$D$27,MATCH('S0a Baseline'!$A399,Työkonekanta!$A$3:$A$24,0),1),"undefined")</f>
        <v>pom</v>
      </c>
      <c r="E399" s="145">
        <f>IFERROR(INDEX(Työkonekanta!$G$3:$G$27,MATCH($A399,Työkonekanta!$A$3:$A$24,0),1)*INDEX(Työkonekanta!$H$3:$H$27,MATCH($A399,Työkonekanta!$A$3:$A$24,0),1)*$B399,0)</f>
        <v>10000</v>
      </c>
      <c r="F399" s="344">
        <f t="shared" si="116"/>
        <v>359000</v>
      </c>
      <c r="G399" s="344">
        <f t="shared" si="123"/>
        <v>323100</v>
      </c>
      <c r="H399" s="344">
        <f t="shared" si="124"/>
        <v>35900</v>
      </c>
      <c r="I399" s="145">
        <f t="shared" si="117"/>
        <v>9000</v>
      </c>
      <c r="J399" s="145">
        <f t="shared" si="118"/>
        <v>1046.6472303206997</v>
      </c>
      <c r="K399" s="142" t="str">
        <f t="shared" si="108"/>
        <v>l</v>
      </c>
      <c r="L399" s="146">
        <f>IFERROR(INDEX(Työkonekanta!$I$3:$I$27,MATCH('S0a Baseline'!$A399,Työkonekanta!$A$3:$A$24,0),1)*(I399+J399)*f_adblue,0)</f>
        <v>0</v>
      </c>
      <c r="M399" s="146">
        <f t="shared" si="109"/>
        <v>0</v>
      </c>
      <c r="N399" s="143" t="str">
        <f>IF(tuulisähkö_vuosi&lt;='S0a Baseline'!C399,"tuulisähkö",ostosähkö_nyt)</f>
        <v>jäännössähkö</v>
      </c>
      <c r="O399" s="147">
        <f>INDEX(Muuttujat!$J$5:$J$21,MATCH($C399,Muuttujat!$H$5:$H$21,0),1)</f>
        <v>60.765893284281319</v>
      </c>
      <c r="P399" s="342">
        <f>1-(INDEX(Muuttujat!$O$5:$O$21,MATCH($C399,Muuttujat!$N$5:$N$21,0),1))</f>
        <v>0.9</v>
      </c>
      <c r="Q399" s="342">
        <f>INDEX(Muuttujat!$O$5:$O$21,MATCH($C399,Muuttujat!$N$5:$N$21,0),1)</f>
        <v>0.1</v>
      </c>
      <c r="R399" s="148">
        <f>INDEX(Muuttujat!$P$5:$P$21,MATCH($C399,Muuttujat!$N$5:$N$21,0),1)</f>
        <v>0.10417875759940039</v>
      </c>
      <c r="S399" s="149">
        <f t="shared" si="119"/>
        <v>6.1065899999999997</v>
      </c>
      <c r="T399" s="150">
        <f t="shared" si="120"/>
        <v>2.2401599999999999</v>
      </c>
      <c r="U399" s="150">
        <f t="shared" si="121"/>
        <v>0</v>
      </c>
      <c r="V399" s="150">
        <f>IFERROR(INDEX(Työkonekanta!$J$3:$J$27,MATCH($A399,Työkonekanta!$A$3:$A$24,0),1)*$B399*ef_li_ion_akku/1000/1000/INDEX(Työkonekanta!$K$3:$K$27,MATCH($A399,Työkonekanta!$A$3:$A$24,0)),0)</f>
        <v>0</v>
      </c>
      <c r="W399" s="149">
        <f t="shared" si="122"/>
        <v>23.847446957400003</v>
      </c>
      <c r="X399" s="150">
        <f t="shared" si="110"/>
        <v>0.31774565999999999</v>
      </c>
      <c r="Y399" s="151">
        <f t="shared" si="111"/>
        <v>0</v>
      </c>
      <c r="Z399" s="152">
        <f t="shared" si="125"/>
        <v>8.3467500000000001</v>
      </c>
      <c r="AA399" s="153">
        <f t="shared" si="113"/>
        <v>23.847446957400003</v>
      </c>
      <c r="AB399" s="153">
        <f t="shared" si="114"/>
        <v>24.165192617400002</v>
      </c>
      <c r="AC399" s="154">
        <f t="shared" si="112"/>
        <v>32.194196957400003</v>
      </c>
      <c r="AD399" s="156">
        <f t="shared" si="115"/>
        <v>32.511942617400003</v>
      </c>
    </row>
    <row r="400" spans="1:30" s="144" customFormat="1">
      <c r="A400" s="139">
        <v>8</v>
      </c>
      <c r="B400" s="139">
        <f>IFERROR(INDEX(Työkonekanta!$F$3:$F$27,MATCH('S0a Baseline'!$A400,Työkonekanta!$A$3:$A$24,0),1),0)</f>
        <v>1</v>
      </c>
      <c r="C400" s="140">
        <v>2032</v>
      </c>
      <c r="D400" s="141" t="str">
        <f>IFERROR(INDEX(Työkonekanta!$D$3:$D$27,MATCH('S0a Baseline'!$A400,Työkonekanta!$A$3:$A$24,0),1),"undefined")</f>
        <v>pom</v>
      </c>
      <c r="E400" s="145">
        <f>IFERROR(INDEX(Työkonekanta!$G$3:$G$27,MATCH($A400,Työkonekanta!$A$3:$A$24,0),1)*INDEX(Työkonekanta!$H$3:$H$27,MATCH($A400,Työkonekanta!$A$3:$A$24,0),1)*$B400,0)</f>
        <v>10000</v>
      </c>
      <c r="F400" s="344">
        <f t="shared" si="116"/>
        <v>359000</v>
      </c>
      <c r="G400" s="344">
        <f t="shared" si="123"/>
        <v>323100</v>
      </c>
      <c r="H400" s="344">
        <f t="shared" si="124"/>
        <v>35900</v>
      </c>
      <c r="I400" s="145">
        <f t="shared" si="117"/>
        <v>9000</v>
      </c>
      <c r="J400" s="145">
        <f t="shared" si="118"/>
        <v>1046.6472303206997</v>
      </c>
      <c r="K400" s="142" t="str">
        <f t="shared" si="108"/>
        <v>l</v>
      </c>
      <c r="L400" s="146">
        <f>IFERROR(INDEX(Työkonekanta!$I$3:$I$27,MATCH('S0a Baseline'!$A400,Työkonekanta!$A$3:$A$24,0),1)*(I400+J400)*f_adblue,0)</f>
        <v>502.33236151603501</v>
      </c>
      <c r="M400" s="146">
        <f t="shared" si="109"/>
        <v>0</v>
      </c>
      <c r="N400" s="143" t="str">
        <f>IF(tuulisähkö_vuosi&lt;='S0a Baseline'!C400,"tuulisähkö",ostosähkö_nyt)</f>
        <v>jäännössähkö</v>
      </c>
      <c r="O400" s="147">
        <f>INDEX(Muuttujat!$J$5:$J$21,MATCH($C400,Muuttujat!$H$5:$H$21,0),1)</f>
        <v>60.765893284281319</v>
      </c>
      <c r="P400" s="342">
        <f>1-(INDEX(Muuttujat!$O$5:$O$21,MATCH($C400,Muuttujat!$N$5:$N$21,0),1))</f>
        <v>0.9</v>
      </c>
      <c r="Q400" s="342">
        <f>INDEX(Muuttujat!$O$5:$O$21,MATCH($C400,Muuttujat!$N$5:$N$21,0),1)</f>
        <v>0.1</v>
      </c>
      <c r="R400" s="148">
        <f>INDEX(Muuttujat!$P$5:$P$21,MATCH($C400,Muuttujat!$N$5:$N$21,0),1)</f>
        <v>0.10417875759940039</v>
      </c>
      <c r="S400" s="149">
        <f t="shared" si="119"/>
        <v>6.1065899999999997</v>
      </c>
      <c r="T400" s="150">
        <f t="shared" si="120"/>
        <v>2.2401599999999999</v>
      </c>
      <c r="U400" s="150">
        <f t="shared" si="121"/>
        <v>0</v>
      </c>
      <c r="V400" s="150">
        <f>IFERROR(INDEX(Työkonekanta!$J$3:$J$27,MATCH($A400,Työkonekanta!$A$3:$A$24,0),1)*$B400*ef_li_ion_akku/1000/1000/INDEX(Työkonekanta!$K$3:$K$27,MATCH($A400,Työkonekanta!$A$3:$A$24,0)),0)</f>
        <v>0</v>
      </c>
      <c r="W400" s="149">
        <f t="shared" si="122"/>
        <v>23.847446957400003</v>
      </c>
      <c r="X400" s="150">
        <f t="shared" si="110"/>
        <v>0.31774565999999999</v>
      </c>
      <c r="Y400" s="151">
        <f t="shared" si="111"/>
        <v>0.13060641399416908</v>
      </c>
      <c r="Z400" s="152">
        <f t="shared" si="125"/>
        <v>8.3467500000000001</v>
      </c>
      <c r="AA400" s="153">
        <f t="shared" si="113"/>
        <v>23.978053371394171</v>
      </c>
      <c r="AB400" s="153">
        <f t="shared" si="114"/>
        <v>24.295799031394171</v>
      </c>
      <c r="AC400" s="154">
        <f t="shared" si="112"/>
        <v>32.324803371394168</v>
      </c>
      <c r="AD400" s="156">
        <f t="shared" si="115"/>
        <v>32.642549031394168</v>
      </c>
    </row>
    <row r="401" spans="1:30" s="144" customFormat="1">
      <c r="A401" s="139">
        <v>9</v>
      </c>
      <c r="B401" s="139">
        <f>IFERROR(INDEX(Työkonekanta!$F$3:$F$27,MATCH('S0a Baseline'!$A401,Työkonekanta!$A$3:$A$24,0),1),0)</f>
        <v>0</v>
      </c>
      <c r="C401" s="140">
        <v>2032</v>
      </c>
      <c r="D401" s="141" t="str">
        <f>IFERROR(INDEX(Työkonekanta!$D$3:$D$27,MATCH('S0a Baseline'!$A401,Työkonekanta!$A$3:$A$24,0),1),"undefined")</f>
        <v>sähkö</v>
      </c>
      <c r="E401" s="145">
        <f>IFERROR(INDEX(Työkonekanta!$G$3:$G$27,MATCH($A401,Työkonekanta!$A$3:$A$24,0),1)*INDEX(Työkonekanta!$H$3:$H$27,MATCH($A401,Työkonekanta!$A$3:$A$24,0),1)*$B401,0)</f>
        <v>0</v>
      </c>
      <c r="F401" s="344">
        <f t="shared" si="116"/>
        <v>0</v>
      </c>
      <c r="G401" s="344">
        <f t="shared" si="123"/>
        <v>0</v>
      </c>
      <c r="H401" s="344">
        <f t="shared" si="124"/>
        <v>0</v>
      </c>
      <c r="I401" s="145">
        <f t="shared" si="117"/>
        <v>0</v>
      </c>
      <c r="J401" s="145">
        <f t="shared" si="118"/>
        <v>0</v>
      </c>
      <c r="K401" s="142" t="str">
        <f t="shared" si="108"/>
        <v>kWh</v>
      </c>
      <c r="L401" s="146">
        <f>IFERROR(INDEX(Työkonekanta!$I$3:$I$27,MATCH('S0a Baseline'!$A401,Työkonekanta!$A$3:$A$24,0),1)*(I401+J401)*f_adblue,0)</f>
        <v>0</v>
      </c>
      <c r="M401" s="146">
        <f t="shared" si="109"/>
        <v>0</v>
      </c>
      <c r="N401" s="143" t="str">
        <f>IF(tuulisähkö_vuosi&lt;='S0a Baseline'!C401,"tuulisähkö",ostosähkö_nyt)</f>
        <v>jäännössähkö</v>
      </c>
      <c r="O401" s="147">
        <f>INDEX(Muuttujat!$J$5:$J$21,MATCH($C401,Muuttujat!$H$5:$H$21,0),1)</f>
        <v>60.765893284281319</v>
      </c>
      <c r="P401" s="342">
        <f>1-(INDEX(Muuttujat!$O$5:$O$21,MATCH($C401,Muuttujat!$N$5:$N$21,0),1))</f>
        <v>0.9</v>
      </c>
      <c r="Q401" s="342">
        <f>INDEX(Muuttujat!$O$5:$O$21,MATCH($C401,Muuttujat!$N$5:$N$21,0),1)</f>
        <v>0.1</v>
      </c>
      <c r="R401" s="148">
        <f>INDEX(Muuttujat!$P$5:$P$21,MATCH($C401,Muuttujat!$N$5:$N$21,0),1)</f>
        <v>0.10417875759940039</v>
      </c>
      <c r="S401" s="149">
        <f t="shared" si="119"/>
        <v>0</v>
      </c>
      <c r="T401" s="150">
        <f t="shared" si="120"/>
        <v>0</v>
      </c>
      <c r="U401" s="150">
        <f t="shared" si="121"/>
        <v>0</v>
      </c>
      <c r="V401" s="150">
        <f>IFERROR(INDEX(Työkonekanta!$J$3:$J$27,MATCH($A401,Työkonekanta!$A$3:$A$24,0),1)*$B401*ef_li_ion_akku/1000/1000/INDEX(Työkonekanta!$K$3:$K$27,MATCH($A401,Työkonekanta!$A$3:$A$24,0)),0)</f>
        <v>0</v>
      </c>
      <c r="W401" s="149">
        <f t="shared" si="122"/>
        <v>0</v>
      </c>
      <c r="X401" s="150">
        <f t="shared" si="110"/>
        <v>0</v>
      </c>
      <c r="Y401" s="151">
        <f t="shared" si="111"/>
        <v>0</v>
      </c>
      <c r="Z401" s="152">
        <f t="shared" si="125"/>
        <v>0</v>
      </c>
      <c r="AA401" s="153">
        <f t="shared" si="113"/>
        <v>0</v>
      </c>
      <c r="AB401" s="153">
        <f t="shared" si="114"/>
        <v>0</v>
      </c>
      <c r="AC401" s="154">
        <f t="shared" si="112"/>
        <v>0</v>
      </c>
      <c r="AD401" s="156">
        <f t="shared" si="115"/>
        <v>0</v>
      </c>
    </row>
    <row r="402" spans="1:30" s="144" customFormat="1">
      <c r="A402" s="139">
        <v>10</v>
      </c>
      <c r="B402" s="139">
        <f>IFERROR(INDEX(Työkonekanta!$F$3:$F$27,MATCH('S0a Baseline'!$A402,Työkonekanta!$A$3:$A$24,0),1),0)</f>
        <v>0</v>
      </c>
      <c r="C402" s="140">
        <v>2032</v>
      </c>
      <c r="D402" s="141" t="str">
        <f>IFERROR(INDEX(Työkonekanta!$D$3:$D$27,MATCH('S0a Baseline'!$A402,Työkonekanta!$A$3:$A$24,0),1),"undefined")</f>
        <v>sähkö</v>
      </c>
      <c r="E402" s="145">
        <f>IFERROR(INDEX(Työkonekanta!$G$3:$G$27,MATCH($A402,Työkonekanta!$A$3:$A$24,0),1)*INDEX(Työkonekanta!$H$3:$H$27,MATCH($A402,Työkonekanta!$A$3:$A$24,0),1)*$B402,0)</f>
        <v>0</v>
      </c>
      <c r="F402" s="344">
        <f t="shared" si="116"/>
        <v>0</v>
      </c>
      <c r="G402" s="344">
        <f t="shared" si="123"/>
        <v>0</v>
      </c>
      <c r="H402" s="344">
        <f t="shared" si="124"/>
        <v>0</v>
      </c>
      <c r="I402" s="145">
        <f t="shared" si="117"/>
        <v>0</v>
      </c>
      <c r="J402" s="145">
        <f t="shared" si="118"/>
        <v>0</v>
      </c>
      <c r="K402" s="142" t="str">
        <f t="shared" si="108"/>
        <v>kWh</v>
      </c>
      <c r="L402" s="146">
        <f>IFERROR(INDEX(Työkonekanta!$I$3:$I$27,MATCH('S0a Baseline'!$A402,Työkonekanta!$A$3:$A$24,0),1)*(I402+J402)*f_adblue,0)</f>
        <v>0</v>
      </c>
      <c r="M402" s="146">
        <f t="shared" si="109"/>
        <v>0</v>
      </c>
      <c r="N402" s="143" t="str">
        <f>IF(tuulisähkö_vuosi&lt;='S0a Baseline'!C402,"tuulisähkö",ostosähkö_nyt)</f>
        <v>jäännössähkö</v>
      </c>
      <c r="O402" s="147">
        <f>INDEX(Muuttujat!$J$5:$J$21,MATCH($C402,Muuttujat!$H$5:$H$21,0),1)</f>
        <v>60.765893284281319</v>
      </c>
      <c r="P402" s="342">
        <f>1-(INDEX(Muuttujat!$O$5:$O$21,MATCH($C402,Muuttujat!$N$5:$N$21,0),1))</f>
        <v>0.9</v>
      </c>
      <c r="Q402" s="342">
        <f>INDEX(Muuttujat!$O$5:$O$21,MATCH($C402,Muuttujat!$N$5:$N$21,0),1)</f>
        <v>0.1</v>
      </c>
      <c r="R402" s="148">
        <f>INDEX(Muuttujat!$P$5:$P$21,MATCH($C402,Muuttujat!$N$5:$N$21,0),1)</f>
        <v>0.10417875759940039</v>
      </c>
      <c r="S402" s="149">
        <f t="shared" si="119"/>
        <v>0</v>
      </c>
      <c r="T402" s="150">
        <f t="shared" si="120"/>
        <v>0</v>
      </c>
      <c r="U402" s="150">
        <f t="shared" si="121"/>
        <v>0</v>
      </c>
      <c r="V402" s="150">
        <f>IFERROR(INDEX(Työkonekanta!$J$3:$J$27,MATCH($A402,Työkonekanta!$A$3:$A$24,0),1)*$B402*ef_li_ion_akku/1000/1000/INDEX(Työkonekanta!$K$3:$K$27,MATCH($A402,Työkonekanta!$A$3:$A$24,0)),0)</f>
        <v>0</v>
      </c>
      <c r="W402" s="149">
        <f t="shared" si="122"/>
        <v>0</v>
      </c>
      <c r="X402" s="150">
        <f t="shared" si="110"/>
        <v>0</v>
      </c>
      <c r="Y402" s="151">
        <f t="shared" si="111"/>
        <v>0</v>
      </c>
      <c r="Z402" s="152">
        <f t="shared" si="125"/>
        <v>0</v>
      </c>
      <c r="AA402" s="153">
        <f t="shared" si="113"/>
        <v>0</v>
      </c>
      <c r="AB402" s="153">
        <f t="shared" si="114"/>
        <v>0</v>
      </c>
      <c r="AC402" s="154">
        <f t="shared" si="112"/>
        <v>0</v>
      </c>
      <c r="AD402" s="156">
        <f t="shared" si="115"/>
        <v>0</v>
      </c>
    </row>
    <row r="403" spans="1:30" s="144" customFormat="1">
      <c r="A403" s="139">
        <v>11</v>
      </c>
      <c r="B403" s="139">
        <f>IFERROR(INDEX(Työkonekanta!$F$3:$F$27,MATCH('S0a Baseline'!$A403,Työkonekanta!$A$3:$A$24,0),1),0)</f>
        <v>1</v>
      </c>
      <c r="C403" s="140">
        <v>2032</v>
      </c>
      <c r="D403" s="141" t="str">
        <f>IFERROR(INDEX(Työkonekanta!$D$3:$D$27,MATCH('S0a Baseline'!$A403,Työkonekanta!$A$3:$A$24,0),1),"undefined")</f>
        <v>pom</v>
      </c>
      <c r="E403" s="145">
        <f>IFERROR(INDEX(Työkonekanta!$G$3:$G$27,MATCH($A403,Työkonekanta!$A$3:$A$24,0),1)*INDEX(Työkonekanta!$H$3:$H$27,MATCH($A403,Työkonekanta!$A$3:$A$24,0),1)*$B403,0)</f>
        <v>10000</v>
      </c>
      <c r="F403" s="344">
        <f t="shared" si="116"/>
        <v>359000</v>
      </c>
      <c r="G403" s="344">
        <f t="shared" si="123"/>
        <v>323100</v>
      </c>
      <c r="H403" s="344">
        <f t="shared" si="124"/>
        <v>35900</v>
      </c>
      <c r="I403" s="145">
        <f t="shared" si="117"/>
        <v>9000</v>
      </c>
      <c r="J403" s="145">
        <f t="shared" si="118"/>
        <v>1046.6472303206997</v>
      </c>
      <c r="K403" s="142" t="str">
        <f t="shared" si="108"/>
        <v>l</v>
      </c>
      <c r="L403" s="146">
        <f>IFERROR(INDEX(Työkonekanta!$I$3:$I$27,MATCH('S0a Baseline'!$A403,Työkonekanta!$A$3:$A$24,0),1)*(I403+J403)*f_adblue,0)</f>
        <v>502.33236151603501</v>
      </c>
      <c r="M403" s="146">
        <f t="shared" si="109"/>
        <v>0</v>
      </c>
      <c r="N403" s="143" t="str">
        <f>IF(tuulisähkö_vuosi&lt;='S0a Baseline'!C403,"tuulisähkö",ostosähkö_nyt)</f>
        <v>jäännössähkö</v>
      </c>
      <c r="O403" s="147">
        <f>INDEX(Muuttujat!$J$5:$J$21,MATCH($C403,Muuttujat!$H$5:$H$21,0),1)</f>
        <v>60.765893284281319</v>
      </c>
      <c r="P403" s="342">
        <f>1-(INDEX(Muuttujat!$O$5:$O$21,MATCH($C403,Muuttujat!$N$5:$N$21,0),1))</f>
        <v>0.9</v>
      </c>
      <c r="Q403" s="342">
        <f>INDEX(Muuttujat!$O$5:$O$21,MATCH($C403,Muuttujat!$N$5:$N$21,0),1)</f>
        <v>0.1</v>
      </c>
      <c r="R403" s="148">
        <f>INDEX(Muuttujat!$P$5:$P$21,MATCH($C403,Muuttujat!$N$5:$N$21,0),1)</f>
        <v>0.10417875759940039</v>
      </c>
      <c r="S403" s="149">
        <f t="shared" si="119"/>
        <v>6.1065899999999997</v>
      </c>
      <c r="T403" s="150">
        <f t="shared" si="120"/>
        <v>2.2401599999999999</v>
      </c>
      <c r="U403" s="150">
        <f t="shared" si="121"/>
        <v>0</v>
      </c>
      <c r="V403" s="150">
        <f>IFERROR(INDEX(Työkonekanta!$J$3:$J$27,MATCH($A403,Työkonekanta!$A$3:$A$24,0),1)*$B403*ef_li_ion_akku/1000/1000/INDEX(Työkonekanta!$K$3:$K$27,MATCH($A403,Työkonekanta!$A$3:$A$24,0)),0)</f>
        <v>0</v>
      </c>
      <c r="W403" s="149">
        <f t="shared" si="122"/>
        <v>23.847446957400003</v>
      </c>
      <c r="X403" s="150">
        <f t="shared" si="110"/>
        <v>0.31774565999999999</v>
      </c>
      <c r="Y403" s="151">
        <f t="shared" si="111"/>
        <v>0.13060641399416908</v>
      </c>
      <c r="Z403" s="152">
        <f t="shared" si="125"/>
        <v>8.3467500000000001</v>
      </c>
      <c r="AA403" s="153">
        <f t="shared" si="113"/>
        <v>23.978053371394171</v>
      </c>
      <c r="AB403" s="153">
        <f t="shared" si="114"/>
        <v>24.295799031394171</v>
      </c>
      <c r="AC403" s="154">
        <f t="shared" si="112"/>
        <v>32.324803371394168</v>
      </c>
      <c r="AD403" s="156">
        <f t="shared" si="115"/>
        <v>32.642549031394168</v>
      </c>
    </row>
    <row r="404" spans="1:30" s="144" customFormat="1">
      <c r="A404" s="139">
        <v>12</v>
      </c>
      <c r="B404" s="139">
        <f>IFERROR(INDEX(Työkonekanta!$F$3:$F$27,MATCH('S0a Baseline'!$A404,Työkonekanta!$A$3:$A$24,0),1),0)</f>
        <v>1</v>
      </c>
      <c r="C404" s="140">
        <v>2032</v>
      </c>
      <c r="D404" s="141" t="str">
        <f>IFERROR(INDEX(Työkonekanta!$D$3:$D$27,MATCH('S0a Baseline'!$A404,Työkonekanta!$A$3:$A$24,0),1),"undefined")</f>
        <v>pom</v>
      </c>
      <c r="E404" s="145">
        <f>IFERROR(INDEX(Työkonekanta!$G$3:$G$27,MATCH($A404,Työkonekanta!$A$3:$A$24,0),1)*INDEX(Työkonekanta!$H$3:$H$27,MATCH($A404,Työkonekanta!$A$3:$A$24,0),1)*$B404,0)</f>
        <v>10000</v>
      </c>
      <c r="F404" s="344">
        <f t="shared" si="116"/>
        <v>359000</v>
      </c>
      <c r="G404" s="344">
        <f t="shared" si="123"/>
        <v>323100</v>
      </c>
      <c r="H404" s="344">
        <f t="shared" si="124"/>
        <v>35900</v>
      </c>
      <c r="I404" s="145">
        <f t="shared" si="117"/>
        <v>9000</v>
      </c>
      <c r="J404" s="145">
        <f t="shared" si="118"/>
        <v>1046.6472303206997</v>
      </c>
      <c r="K404" s="142" t="str">
        <f t="shared" si="108"/>
        <v>l</v>
      </c>
      <c r="L404" s="146">
        <f>IFERROR(INDEX(Työkonekanta!$I$3:$I$27,MATCH('S0a Baseline'!$A404,Työkonekanta!$A$3:$A$24,0),1)*(I404+J404)*f_adblue,0)</f>
        <v>502.33236151603501</v>
      </c>
      <c r="M404" s="146">
        <f t="shared" si="109"/>
        <v>0</v>
      </c>
      <c r="N404" s="143" t="str">
        <f>IF(tuulisähkö_vuosi&lt;='S0a Baseline'!C404,"tuulisähkö",ostosähkö_nyt)</f>
        <v>jäännössähkö</v>
      </c>
      <c r="O404" s="147">
        <f>INDEX(Muuttujat!$J$5:$J$21,MATCH($C404,Muuttujat!$H$5:$H$21,0),1)</f>
        <v>60.765893284281319</v>
      </c>
      <c r="P404" s="342">
        <f>1-(INDEX(Muuttujat!$O$5:$O$21,MATCH($C404,Muuttujat!$N$5:$N$21,0),1))</f>
        <v>0.9</v>
      </c>
      <c r="Q404" s="342">
        <f>INDEX(Muuttujat!$O$5:$O$21,MATCH($C404,Muuttujat!$N$5:$N$21,0),1)</f>
        <v>0.1</v>
      </c>
      <c r="R404" s="148">
        <f>INDEX(Muuttujat!$P$5:$P$21,MATCH($C404,Muuttujat!$N$5:$N$21,0),1)</f>
        <v>0.10417875759940039</v>
      </c>
      <c r="S404" s="149">
        <f t="shared" si="119"/>
        <v>6.1065899999999997</v>
      </c>
      <c r="T404" s="150">
        <f t="shared" si="120"/>
        <v>2.2401599999999999</v>
      </c>
      <c r="U404" s="150">
        <f t="shared" si="121"/>
        <v>0</v>
      </c>
      <c r="V404" s="150">
        <f>IFERROR(INDEX(Työkonekanta!$J$3:$J$27,MATCH($A404,Työkonekanta!$A$3:$A$24,0),1)*$B404*ef_li_ion_akku/1000/1000/INDEX(Työkonekanta!$K$3:$K$27,MATCH($A404,Työkonekanta!$A$3:$A$24,0)),0)</f>
        <v>0</v>
      </c>
      <c r="W404" s="149">
        <f t="shared" si="122"/>
        <v>23.847446957400003</v>
      </c>
      <c r="X404" s="150">
        <f t="shared" si="110"/>
        <v>0.31774565999999999</v>
      </c>
      <c r="Y404" s="151">
        <f t="shared" si="111"/>
        <v>0.13060641399416908</v>
      </c>
      <c r="Z404" s="152">
        <f t="shared" si="125"/>
        <v>8.3467500000000001</v>
      </c>
      <c r="AA404" s="153">
        <f t="shared" si="113"/>
        <v>23.978053371394171</v>
      </c>
      <c r="AB404" s="153">
        <f t="shared" si="114"/>
        <v>24.295799031394171</v>
      </c>
      <c r="AC404" s="154">
        <f t="shared" si="112"/>
        <v>32.324803371394168</v>
      </c>
      <c r="AD404" s="156">
        <f t="shared" si="115"/>
        <v>32.642549031394168</v>
      </c>
    </row>
    <row r="405" spans="1:30" s="144" customFormat="1">
      <c r="A405" s="139">
        <v>13</v>
      </c>
      <c r="B405" s="139">
        <f>IFERROR(INDEX(Työkonekanta!$F$3:$F$27,MATCH('S0a Baseline'!$A405,Työkonekanta!$A$3:$A$24,0),1),0)</f>
        <v>0</v>
      </c>
      <c r="C405" s="140">
        <v>2032</v>
      </c>
      <c r="D405" s="141" t="str">
        <f>IFERROR(INDEX(Työkonekanta!$D$3:$D$27,MATCH('S0a Baseline'!$A405,Työkonekanta!$A$3:$A$24,0),1),"undefined")</f>
        <v>pom</v>
      </c>
      <c r="E405" s="145">
        <f>IFERROR(INDEX(Työkonekanta!$G$3:$G$27,MATCH($A405,Työkonekanta!$A$3:$A$24,0),1)*INDEX(Työkonekanta!$H$3:$H$27,MATCH($A405,Työkonekanta!$A$3:$A$24,0),1)*$B405,0)</f>
        <v>0</v>
      </c>
      <c r="F405" s="344">
        <f t="shared" si="116"/>
        <v>0</v>
      </c>
      <c r="G405" s="344">
        <f t="shared" si="123"/>
        <v>0</v>
      </c>
      <c r="H405" s="344">
        <f t="shared" si="124"/>
        <v>0</v>
      </c>
      <c r="I405" s="145">
        <f t="shared" si="117"/>
        <v>0</v>
      </c>
      <c r="J405" s="145">
        <f t="shared" si="118"/>
        <v>0</v>
      </c>
      <c r="K405" s="142" t="str">
        <f t="shared" si="108"/>
        <v>l</v>
      </c>
      <c r="L405" s="146">
        <f>IFERROR(INDEX(Työkonekanta!$I$3:$I$27,MATCH('S0a Baseline'!$A405,Työkonekanta!$A$3:$A$24,0),1)*(I405+J405)*f_adblue,0)</f>
        <v>0</v>
      </c>
      <c r="M405" s="146">
        <f t="shared" si="109"/>
        <v>0</v>
      </c>
      <c r="N405" s="143" t="str">
        <f>IF(tuulisähkö_vuosi&lt;='S0a Baseline'!C405,"tuulisähkö",ostosähkö_nyt)</f>
        <v>jäännössähkö</v>
      </c>
      <c r="O405" s="147">
        <f>INDEX(Muuttujat!$J$5:$J$21,MATCH($C405,Muuttujat!$H$5:$H$21,0),1)</f>
        <v>60.765893284281319</v>
      </c>
      <c r="P405" s="342">
        <f>1-(INDEX(Muuttujat!$O$5:$O$21,MATCH($C405,Muuttujat!$N$5:$N$21,0),1))</f>
        <v>0.9</v>
      </c>
      <c r="Q405" s="342">
        <f>INDEX(Muuttujat!$O$5:$O$21,MATCH($C405,Muuttujat!$N$5:$N$21,0),1)</f>
        <v>0.1</v>
      </c>
      <c r="R405" s="148">
        <f>INDEX(Muuttujat!$P$5:$P$21,MATCH($C405,Muuttujat!$N$5:$N$21,0),1)</f>
        <v>0.10417875759940039</v>
      </c>
      <c r="S405" s="149">
        <f t="shared" si="119"/>
        <v>0</v>
      </c>
      <c r="T405" s="150">
        <f t="shared" si="120"/>
        <v>0</v>
      </c>
      <c r="U405" s="150">
        <f t="shared" si="121"/>
        <v>0</v>
      </c>
      <c r="V405" s="150">
        <f>IFERROR(INDEX(Työkonekanta!$J$3:$J$27,MATCH($A405,Työkonekanta!$A$3:$A$24,0),1)*$B405*ef_li_ion_akku/1000/1000/INDEX(Työkonekanta!$K$3:$K$27,MATCH($A405,Työkonekanta!$A$3:$A$24,0)),0)</f>
        <v>0</v>
      </c>
      <c r="W405" s="149">
        <f t="shared" si="122"/>
        <v>0</v>
      </c>
      <c r="X405" s="150">
        <f t="shared" si="110"/>
        <v>0</v>
      </c>
      <c r="Y405" s="151">
        <f t="shared" si="111"/>
        <v>0</v>
      </c>
      <c r="Z405" s="152">
        <f t="shared" si="125"/>
        <v>0</v>
      </c>
      <c r="AA405" s="153">
        <f t="shared" si="113"/>
        <v>0</v>
      </c>
      <c r="AB405" s="153">
        <f t="shared" si="114"/>
        <v>0</v>
      </c>
      <c r="AC405" s="154">
        <f t="shared" si="112"/>
        <v>0</v>
      </c>
      <c r="AD405" s="156">
        <f t="shared" si="115"/>
        <v>0</v>
      </c>
    </row>
    <row r="406" spans="1:30" s="144" customFormat="1">
      <c r="A406" s="139">
        <v>14</v>
      </c>
      <c r="B406" s="139">
        <f>IFERROR(INDEX(Työkonekanta!$F$3:$F$27,MATCH('S0a Baseline'!$A406,Työkonekanta!$A$3:$A$24,0),1),0)</f>
        <v>0</v>
      </c>
      <c r="C406" s="140">
        <v>2032</v>
      </c>
      <c r="D406" s="141" t="str">
        <f>IFERROR(INDEX(Työkonekanta!$D$3:$D$27,MATCH('S0a Baseline'!$A406,Työkonekanta!$A$3:$A$24,0),1),"undefined")</f>
        <v>pom</v>
      </c>
      <c r="E406" s="145">
        <f>IFERROR(INDEX(Työkonekanta!$G$3:$G$27,MATCH($A406,Työkonekanta!$A$3:$A$24,0),1)*INDEX(Työkonekanta!$H$3:$H$27,MATCH($A406,Työkonekanta!$A$3:$A$24,0),1)*$B406,0)</f>
        <v>0</v>
      </c>
      <c r="F406" s="344">
        <f t="shared" si="116"/>
        <v>0</v>
      </c>
      <c r="G406" s="344">
        <f t="shared" si="123"/>
        <v>0</v>
      </c>
      <c r="H406" s="344">
        <f t="shared" si="124"/>
        <v>0</v>
      </c>
      <c r="I406" s="145">
        <f t="shared" si="117"/>
        <v>0</v>
      </c>
      <c r="J406" s="145">
        <f t="shared" si="118"/>
        <v>0</v>
      </c>
      <c r="K406" s="142" t="str">
        <f t="shared" si="108"/>
        <v>l</v>
      </c>
      <c r="L406" s="146">
        <f>IFERROR(INDEX(Työkonekanta!$I$3:$I$27,MATCH('S0a Baseline'!$A406,Työkonekanta!$A$3:$A$24,0),1)*(I406+J406)*f_adblue,0)</f>
        <v>0</v>
      </c>
      <c r="M406" s="146">
        <f t="shared" si="109"/>
        <v>0</v>
      </c>
      <c r="N406" s="143" t="str">
        <f>IF(tuulisähkö_vuosi&lt;='S0a Baseline'!C406,"tuulisähkö",ostosähkö_nyt)</f>
        <v>jäännössähkö</v>
      </c>
      <c r="O406" s="147">
        <f>INDEX(Muuttujat!$J$5:$J$21,MATCH($C406,Muuttujat!$H$5:$H$21,0),1)</f>
        <v>60.765893284281319</v>
      </c>
      <c r="P406" s="342">
        <f>1-(INDEX(Muuttujat!$O$5:$O$21,MATCH($C406,Muuttujat!$N$5:$N$21,0),1))</f>
        <v>0.9</v>
      </c>
      <c r="Q406" s="342">
        <f>INDEX(Muuttujat!$O$5:$O$21,MATCH($C406,Muuttujat!$N$5:$N$21,0),1)</f>
        <v>0.1</v>
      </c>
      <c r="R406" s="148">
        <f>INDEX(Muuttujat!$P$5:$P$21,MATCH($C406,Muuttujat!$N$5:$N$21,0),1)</f>
        <v>0.10417875759940039</v>
      </c>
      <c r="S406" s="149">
        <f t="shared" si="119"/>
        <v>0</v>
      </c>
      <c r="T406" s="150">
        <f t="shared" si="120"/>
        <v>0</v>
      </c>
      <c r="U406" s="150">
        <f t="shared" si="121"/>
        <v>0</v>
      </c>
      <c r="V406" s="150">
        <f>IFERROR(INDEX(Työkonekanta!$J$3:$J$27,MATCH($A406,Työkonekanta!$A$3:$A$24,0),1)*$B406*ef_li_ion_akku/1000/1000/INDEX(Työkonekanta!$K$3:$K$27,MATCH($A406,Työkonekanta!$A$3:$A$24,0)),0)</f>
        <v>0</v>
      </c>
      <c r="W406" s="149">
        <f t="shared" si="122"/>
        <v>0</v>
      </c>
      <c r="X406" s="150">
        <f t="shared" si="110"/>
        <v>0</v>
      </c>
      <c r="Y406" s="151">
        <f t="shared" si="111"/>
        <v>0</v>
      </c>
      <c r="Z406" s="152">
        <f t="shared" si="125"/>
        <v>0</v>
      </c>
      <c r="AA406" s="153">
        <f t="shared" si="113"/>
        <v>0</v>
      </c>
      <c r="AB406" s="153">
        <f t="shared" si="114"/>
        <v>0</v>
      </c>
      <c r="AC406" s="154">
        <f t="shared" si="112"/>
        <v>0</v>
      </c>
      <c r="AD406" s="156">
        <f t="shared" si="115"/>
        <v>0</v>
      </c>
    </row>
    <row r="407" spans="1:30" s="144" customFormat="1">
      <c r="A407" s="139">
        <v>15</v>
      </c>
      <c r="B407" s="139">
        <f>IFERROR(INDEX(Työkonekanta!$F$3:$F$27,MATCH('S0a Baseline'!$A407,Työkonekanta!$A$3:$A$24,0),1),0)</f>
        <v>0</v>
      </c>
      <c r="C407" s="140">
        <v>2032</v>
      </c>
      <c r="D407" s="141" t="str">
        <f>IFERROR(INDEX(Työkonekanta!$D$3:$D$27,MATCH('S0a Baseline'!$A407,Työkonekanta!$A$3:$A$24,0),1),"undefined")</f>
        <v>sähkö</v>
      </c>
      <c r="E407" s="145">
        <f>IFERROR(INDEX(Työkonekanta!$G$3:$G$27,MATCH($A407,Työkonekanta!$A$3:$A$24,0),1)*INDEX(Työkonekanta!$H$3:$H$27,MATCH($A407,Työkonekanta!$A$3:$A$24,0),1)*$B407,0)</f>
        <v>0</v>
      </c>
      <c r="F407" s="344">
        <f t="shared" si="116"/>
        <v>0</v>
      </c>
      <c r="G407" s="344">
        <f t="shared" si="123"/>
        <v>0</v>
      </c>
      <c r="H407" s="344">
        <f t="shared" si="124"/>
        <v>0</v>
      </c>
      <c r="I407" s="145">
        <f t="shared" si="117"/>
        <v>0</v>
      </c>
      <c r="J407" s="145">
        <f t="shared" si="118"/>
        <v>0</v>
      </c>
      <c r="K407" s="142" t="str">
        <f t="shared" si="108"/>
        <v>kWh</v>
      </c>
      <c r="L407" s="146">
        <f>IFERROR(INDEX(Työkonekanta!$I$3:$I$27,MATCH('S0a Baseline'!$A407,Työkonekanta!$A$3:$A$24,0),1)*(I407+J407)*f_adblue,0)</f>
        <v>0</v>
      </c>
      <c r="M407" s="146">
        <f t="shared" si="109"/>
        <v>0</v>
      </c>
      <c r="N407" s="143" t="str">
        <f>IF(tuulisähkö_vuosi&lt;='S0a Baseline'!C407,"tuulisähkö",ostosähkö_nyt)</f>
        <v>jäännössähkö</v>
      </c>
      <c r="O407" s="147">
        <f>INDEX(Muuttujat!$J$5:$J$21,MATCH($C407,Muuttujat!$H$5:$H$21,0),1)</f>
        <v>60.765893284281319</v>
      </c>
      <c r="P407" s="342">
        <f>1-(INDEX(Muuttujat!$O$5:$O$21,MATCH($C407,Muuttujat!$N$5:$N$21,0),1))</f>
        <v>0.9</v>
      </c>
      <c r="Q407" s="342">
        <f>INDEX(Muuttujat!$O$5:$O$21,MATCH($C407,Muuttujat!$N$5:$N$21,0),1)</f>
        <v>0.1</v>
      </c>
      <c r="R407" s="148">
        <f>INDEX(Muuttujat!$P$5:$P$21,MATCH($C407,Muuttujat!$N$5:$N$21,0),1)</f>
        <v>0.10417875759940039</v>
      </c>
      <c r="S407" s="149">
        <f t="shared" si="119"/>
        <v>0</v>
      </c>
      <c r="T407" s="150">
        <f t="shared" si="120"/>
        <v>0</v>
      </c>
      <c r="U407" s="150">
        <f t="shared" si="121"/>
        <v>0</v>
      </c>
      <c r="V407" s="150">
        <f>IFERROR(INDEX(Työkonekanta!$J$3:$J$27,MATCH($A407,Työkonekanta!$A$3:$A$24,0),1)*$B407*ef_li_ion_akku/1000/1000/INDEX(Työkonekanta!$K$3:$K$27,MATCH($A407,Työkonekanta!$A$3:$A$24,0)),0)</f>
        <v>0</v>
      </c>
      <c r="W407" s="149">
        <f t="shared" si="122"/>
        <v>0</v>
      </c>
      <c r="X407" s="150">
        <f t="shared" si="110"/>
        <v>0</v>
      </c>
      <c r="Y407" s="151">
        <f t="shared" si="111"/>
        <v>0</v>
      </c>
      <c r="Z407" s="152">
        <f t="shared" si="125"/>
        <v>0</v>
      </c>
      <c r="AA407" s="153">
        <f t="shared" si="113"/>
        <v>0</v>
      </c>
      <c r="AB407" s="153">
        <f t="shared" si="114"/>
        <v>0</v>
      </c>
      <c r="AC407" s="154">
        <f t="shared" si="112"/>
        <v>0</v>
      </c>
      <c r="AD407" s="156">
        <f t="shared" si="115"/>
        <v>0</v>
      </c>
    </row>
    <row r="408" spans="1:30" s="144" customFormat="1">
      <c r="A408" s="139">
        <v>16</v>
      </c>
      <c r="B408" s="139">
        <f>IFERROR(INDEX(Työkonekanta!$F$3:$F$27,MATCH('S0a Baseline'!$A408,Työkonekanta!$A$3:$A$24,0),1),0)</f>
        <v>0</v>
      </c>
      <c r="C408" s="140">
        <v>2032</v>
      </c>
      <c r="D408" s="141" t="str">
        <f>IFERROR(INDEX(Työkonekanta!$D$3:$D$27,MATCH('S0a Baseline'!$A408,Työkonekanta!$A$3:$A$24,0),1),"undefined")</f>
        <v>sähkö</v>
      </c>
      <c r="E408" s="145">
        <f>IFERROR(INDEX(Työkonekanta!$G$3:$G$27,MATCH($A408,Työkonekanta!$A$3:$A$24,0),1)*INDEX(Työkonekanta!$H$3:$H$27,MATCH($A408,Työkonekanta!$A$3:$A$24,0),1)*$B408,0)</f>
        <v>0</v>
      </c>
      <c r="F408" s="344">
        <f t="shared" si="116"/>
        <v>0</v>
      </c>
      <c r="G408" s="344">
        <f t="shared" si="123"/>
        <v>0</v>
      </c>
      <c r="H408" s="344">
        <f t="shared" si="124"/>
        <v>0</v>
      </c>
      <c r="I408" s="145">
        <f t="shared" si="117"/>
        <v>0</v>
      </c>
      <c r="J408" s="145">
        <f t="shared" si="118"/>
        <v>0</v>
      </c>
      <c r="K408" s="142" t="str">
        <f t="shared" si="108"/>
        <v>kWh</v>
      </c>
      <c r="L408" s="146">
        <f>IFERROR(INDEX(Työkonekanta!$I$3:$I$27,MATCH('S0a Baseline'!$A408,Työkonekanta!$A$3:$A$24,0),1)*(I408+J408)*f_adblue,0)</f>
        <v>0</v>
      </c>
      <c r="M408" s="146">
        <f t="shared" si="109"/>
        <v>0</v>
      </c>
      <c r="N408" s="143" t="str">
        <f>IF(tuulisähkö_vuosi&lt;='S0a Baseline'!C408,"tuulisähkö",ostosähkö_nyt)</f>
        <v>jäännössähkö</v>
      </c>
      <c r="O408" s="147">
        <f>INDEX(Muuttujat!$J$5:$J$21,MATCH($C408,Muuttujat!$H$5:$H$21,0),1)</f>
        <v>60.765893284281319</v>
      </c>
      <c r="P408" s="342">
        <f>1-(INDEX(Muuttujat!$O$5:$O$21,MATCH($C408,Muuttujat!$N$5:$N$21,0),1))</f>
        <v>0.9</v>
      </c>
      <c r="Q408" s="342">
        <f>INDEX(Muuttujat!$O$5:$O$21,MATCH($C408,Muuttujat!$N$5:$N$21,0),1)</f>
        <v>0.1</v>
      </c>
      <c r="R408" s="148">
        <f>INDEX(Muuttujat!$P$5:$P$21,MATCH($C408,Muuttujat!$N$5:$N$21,0),1)</f>
        <v>0.10417875759940039</v>
      </c>
      <c r="S408" s="149">
        <f t="shared" si="119"/>
        <v>0</v>
      </c>
      <c r="T408" s="150">
        <f t="shared" si="120"/>
        <v>0</v>
      </c>
      <c r="U408" s="150">
        <f t="shared" si="121"/>
        <v>0</v>
      </c>
      <c r="V408" s="150">
        <f>IFERROR(INDEX(Työkonekanta!$J$3:$J$27,MATCH($A408,Työkonekanta!$A$3:$A$24,0),1)*$B408*ef_li_ion_akku/1000/1000/INDEX(Työkonekanta!$K$3:$K$27,MATCH($A408,Työkonekanta!$A$3:$A$24,0)),0)</f>
        <v>0</v>
      </c>
      <c r="W408" s="149">
        <f t="shared" si="122"/>
        <v>0</v>
      </c>
      <c r="X408" s="150">
        <f t="shared" si="110"/>
        <v>0</v>
      </c>
      <c r="Y408" s="151">
        <f t="shared" si="111"/>
        <v>0</v>
      </c>
      <c r="Z408" s="152">
        <f t="shared" si="125"/>
        <v>0</v>
      </c>
      <c r="AA408" s="153">
        <f t="shared" si="113"/>
        <v>0</v>
      </c>
      <c r="AB408" s="153">
        <f t="shared" si="114"/>
        <v>0</v>
      </c>
      <c r="AC408" s="154">
        <f t="shared" si="112"/>
        <v>0</v>
      </c>
      <c r="AD408" s="156">
        <f t="shared" si="115"/>
        <v>0</v>
      </c>
    </row>
    <row r="409" spans="1:30" s="144" customFormat="1">
      <c r="A409" s="139">
        <v>17</v>
      </c>
      <c r="B409" s="139">
        <f>IFERROR(INDEX(Työkonekanta!$F$3:$F$27,MATCH('S0a Baseline'!$A409,Työkonekanta!$A$3:$A$24,0),1),0)</f>
        <v>1</v>
      </c>
      <c r="C409" s="140">
        <v>2032</v>
      </c>
      <c r="D409" s="141" t="str">
        <f>IFERROR(INDEX(Työkonekanta!$D$3:$D$27,MATCH('S0a Baseline'!$A409,Työkonekanta!$A$3:$A$24,0),1),"undefined")</f>
        <v>pom</v>
      </c>
      <c r="E409" s="145">
        <f>IFERROR(INDEX(Työkonekanta!$G$3:$G$27,MATCH($A409,Työkonekanta!$A$3:$A$24,0),1)*INDEX(Työkonekanta!$H$3:$H$27,MATCH($A409,Työkonekanta!$A$3:$A$24,0),1)*$B409,0)</f>
        <v>10000</v>
      </c>
      <c r="F409" s="344">
        <f t="shared" si="116"/>
        <v>359000</v>
      </c>
      <c r="G409" s="344">
        <f t="shared" si="123"/>
        <v>323100</v>
      </c>
      <c r="H409" s="344">
        <f t="shared" si="124"/>
        <v>35900</v>
      </c>
      <c r="I409" s="145">
        <f t="shared" si="117"/>
        <v>9000</v>
      </c>
      <c r="J409" s="145">
        <f t="shared" si="118"/>
        <v>1046.6472303206997</v>
      </c>
      <c r="K409" s="142" t="str">
        <f t="shared" si="108"/>
        <v>l</v>
      </c>
      <c r="L409" s="146">
        <f>IFERROR(INDEX(Työkonekanta!$I$3:$I$27,MATCH('S0a Baseline'!$A409,Työkonekanta!$A$3:$A$24,0),1)*(I409+J409)*f_adblue,0)</f>
        <v>502.33236151603501</v>
      </c>
      <c r="M409" s="146">
        <f t="shared" si="109"/>
        <v>0</v>
      </c>
      <c r="N409" s="143" t="str">
        <f>IF(tuulisähkö_vuosi&lt;='S0a Baseline'!C409,"tuulisähkö",ostosähkö_nyt)</f>
        <v>jäännössähkö</v>
      </c>
      <c r="O409" s="147">
        <f>INDEX(Muuttujat!$J$5:$J$21,MATCH($C409,Muuttujat!$H$5:$H$21,0),1)</f>
        <v>60.765893284281319</v>
      </c>
      <c r="P409" s="342">
        <f>1-(INDEX(Muuttujat!$O$5:$O$21,MATCH($C409,Muuttujat!$N$5:$N$21,0),1))</f>
        <v>0.9</v>
      </c>
      <c r="Q409" s="342">
        <f>INDEX(Muuttujat!$O$5:$O$21,MATCH($C409,Muuttujat!$N$5:$N$21,0),1)</f>
        <v>0.1</v>
      </c>
      <c r="R409" s="148">
        <f>INDEX(Muuttujat!$P$5:$P$21,MATCH($C409,Muuttujat!$N$5:$N$21,0),1)</f>
        <v>0.10417875759940039</v>
      </c>
      <c r="S409" s="149">
        <f t="shared" si="119"/>
        <v>6.1065899999999997</v>
      </c>
      <c r="T409" s="150">
        <f t="shared" si="120"/>
        <v>2.2401599999999999</v>
      </c>
      <c r="U409" s="150">
        <f t="shared" si="121"/>
        <v>0</v>
      </c>
      <c r="V409" s="150">
        <f>IFERROR(INDEX(Työkonekanta!$J$3:$J$27,MATCH($A409,Työkonekanta!$A$3:$A$24,0),1)*$B409*ef_li_ion_akku/1000/1000/INDEX(Työkonekanta!$K$3:$K$27,MATCH($A409,Työkonekanta!$A$3:$A$24,0)),0)</f>
        <v>0</v>
      </c>
      <c r="W409" s="149">
        <f t="shared" si="122"/>
        <v>23.847446957400003</v>
      </c>
      <c r="X409" s="150">
        <f t="shared" si="110"/>
        <v>0.31774565999999999</v>
      </c>
      <c r="Y409" s="151">
        <f t="shared" si="111"/>
        <v>0.13060641399416908</v>
      </c>
      <c r="Z409" s="152">
        <f t="shared" si="125"/>
        <v>8.3467500000000001</v>
      </c>
      <c r="AA409" s="153">
        <f t="shared" si="113"/>
        <v>23.978053371394171</v>
      </c>
      <c r="AB409" s="153">
        <f t="shared" si="114"/>
        <v>24.295799031394171</v>
      </c>
      <c r="AC409" s="154">
        <f t="shared" si="112"/>
        <v>32.324803371394168</v>
      </c>
      <c r="AD409" s="156">
        <f t="shared" si="115"/>
        <v>32.642549031394168</v>
      </c>
    </row>
    <row r="410" spans="1:30" s="144" customFormat="1">
      <c r="A410" s="139">
        <v>18</v>
      </c>
      <c r="B410" s="139">
        <f>IFERROR(INDEX(Työkonekanta!$F$3:$F$27,MATCH('S0a Baseline'!$A410,Työkonekanta!$A$3:$A$24,0),1),0)</f>
        <v>1</v>
      </c>
      <c r="C410" s="140">
        <v>2032</v>
      </c>
      <c r="D410" s="141" t="str">
        <f>IFERROR(INDEX(Työkonekanta!$D$3:$D$27,MATCH('S0a Baseline'!$A410,Työkonekanta!$A$3:$A$24,0),1),"undefined")</f>
        <v>pom</v>
      </c>
      <c r="E410" s="145">
        <f>IFERROR(INDEX(Työkonekanta!$G$3:$G$27,MATCH($A410,Työkonekanta!$A$3:$A$24,0),1)*INDEX(Työkonekanta!$H$3:$H$27,MATCH($A410,Työkonekanta!$A$3:$A$24,0),1)*$B410,0)</f>
        <v>10000</v>
      </c>
      <c r="F410" s="344">
        <f t="shared" si="116"/>
        <v>359000</v>
      </c>
      <c r="G410" s="344">
        <f t="shared" si="123"/>
        <v>323100</v>
      </c>
      <c r="H410" s="344">
        <f t="shared" si="124"/>
        <v>35900</v>
      </c>
      <c r="I410" s="145">
        <f t="shared" si="117"/>
        <v>9000</v>
      </c>
      <c r="J410" s="145">
        <f t="shared" si="118"/>
        <v>1046.6472303206997</v>
      </c>
      <c r="K410" s="142" t="str">
        <f t="shared" si="108"/>
        <v>l</v>
      </c>
      <c r="L410" s="146">
        <f>IFERROR(INDEX(Työkonekanta!$I$3:$I$27,MATCH('S0a Baseline'!$A410,Työkonekanta!$A$3:$A$24,0),1)*(I410+J410)*f_adblue,0)</f>
        <v>401.86588921282805</v>
      </c>
      <c r="M410" s="146">
        <f t="shared" si="109"/>
        <v>0</v>
      </c>
      <c r="N410" s="143" t="str">
        <f>IF(tuulisähkö_vuosi&lt;='S0a Baseline'!C410,"tuulisähkö",ostosähkö_nyt)</f>
        <v>jäännössähkö</v>
      </c>
      <c r="O410" s="147">
        <f>INDEX(Muuttujat!$J$5:$J$21,MATCH($C410,Muuttujat!$H$5:$H$21,0),1)</f>
        <v>60.765893284281319</v>
      </c>
      <c r="P410" s="342">
        <f>1-(INDEX(Muuttujat!$O$5:$O$21,MATCH($C410,Muuttujat!$N$5:$N$21,0),1))</f>
        <v>0.9</v>
      </c>
      <c r="Q410" s="342">
        <f>INDEX(Muuttujat!$O$5:$O$21,MATCH($C410,Muuttujat!$N$5:$N$21,0),1)</f>
        <v>0.1</v>
      </c>
      <c r="R410" s="148">
        <f>INDEX(Muuttujat!$P$5:$P$21,MATCH($C410,Muuttujat!$N$5:$N$21,0),1)</f>
        <v>0.10417875759940039</v>
      </c>
      <c r="S410" s="149">
        <f t="shared" si="119"/>
        <v>6.1065899999999997</v>
      </c>
      <c r="T410" s="150">
        <f t="shared" si="120"/>
        <v>2.2401599999999999</v>
      </c>
      <c r="U410" s="150">
        <f t="shared" si="121"/>
        <v>0</v>
      </c>
      <c r="V410" s="150">
        <f>IFERROR(INDEX(Työkonekanta!$J$3:$J$27,MATCH($A410,Työkonekanta!$A$3:$A$24,0),1)*$B410*ef_li_ion_akku/1000/1000/INDEX(Työkonekanta!$K$3:$K$27,MATCH($A410,Työkonekanta!$A$3:$A$24,0)),0)</f>
        <v>0</v>
      </c>
      <c r="W410" s="149">
        <f t="shared" si="122"/>
        <v>23.847446957400003</v>
      </c>
      <c r="X410" s="150">
        <f t="shared" si="110"/>
        <v>0.31774565999999999</v>
      </c>
      <c r="Y410" s="151">
        <f t="shared" si="111"/>
        <v>0.1044851311953353</v>
      </c>
      <c r="Z410" s="152">
        <f t="shared" si="125"/>
        <v>8.3467500000000001</v>
      </c>
      <c r="AA410" s="153">
        <f t="shared" si="113"/>
        <v>23.951932088595338</v>
      </c>
      <c r="AB410" s="153">
        <f t="shared" si="114"/>
        <v>24.269677748595338</v>
      </c>
      <c r="AC410" s="154">
        <f t="shared" si="112"/>
        <v>32.298682088595342</v>
      </c>
      <c r="AD410" s="156">
        <f t="shared" si="115"/>
        <v>32.616427748595342</v>
      </c>
    </row>
    <row r="411" spans="1:30" s="144" customFormat="1">
      <c r="A411" s="139">
        <v>19</v>
      </c>
      <c r="B411" s="139">
        <f>IFERROR(INDEX(Työkonekanta!$F$3:$F$27,MATCH('S0a Baseline'!$A411,Työkonekanta!$A$3:$A$24,0),1),0)</f>
        <v>0</v>
      </c>
      <c r="C411" s="140">
        <v>2032</v>
      </c>
      <c r="D411" s="141" t="str">
        <f>IFERROR(INDEX(Työkonekanta!$D$3:$D$27,MATCH('S0a Baseline'!$A411,Työkonekanta!$A$3:$A$24,0),1),"undefined")</f>
        <v>pom</v>
      </c>
      <c r="E411" s="145">
        <f>IFERROR(INDEX(Työkonekanta!$G$3:$G$27,MATCH($A411,Työkonekanta!$A$3:$A$24,0),1)*INDEX(Työkonekanta!$H$3:$H$27,MATCH($A411,Työkonekanta!$A$3:$A$24,0),1)*$B411,0)</f>
        <v>0</v>
      </c>
      <c r="F411" s="344">
        <f t="shared" si="116"/>
        <v>0</v>
      </c>
      <c r="G411" s="344">
        <f t="shared" si="123"/>
        <v>0</v>
      </c>
      <c r="H411" s="344">
        <f t="shared" si="124"/>
        <v>0</v>
      </c>
      <c r="I411" s="145">
        <f t="shared" si="117"/>
        <v>0</v>
      </c>
      <c r="J411" s="145">
        <f t="shared" si="118"/>
        <v>0</v>
      </c>
      <c r="K411" s="142" t="str">
        <f t="shared" si="108"/>
        <v>l</v>
      </c>
      <c r="L411" s="146">
        <f>IFERROR(INDEX(Työkonekanta!$I$3:$I$27,MATCH('S0a Baseline'!$A411,Työkonekanta!$A$3:$A$24,0),1)*(I411+J411)*f_adblue,0)</f>
        <v>0</v>
      </c>
      <c r="M411" s="146">
        <f t="shared" si="109"/>
        <v>0</v>
      </c>
      <c r="N411" s="143" t="str">
        <f>IF(tuulisähkö_vuosi&lt;='S0a Baseline'!C411,"tuulisähkö",ostosähkö_nyt)</f>
        <v>jäännössähkö</v>
      </c>
      <c r="O411" s="147">
        <f>INDEX(Muuttujat!$J$5:$J$21,MATCH($C411,Muuttujat!$H$5:$H$21,0),1)</f>
        <v>60.765893284281319</v>
      </c>
      <c r="P411" s="342">
        <f>1-(INDEX(Muuttujat!$O$5:$O$21,MATCH($C411,Muuttujat!$N$5:$N$21,0),1))</f>
        <v>0.9</v>
      </c>
      <c r="Q411" s="342">
        <f>INDEX(Muuttujat!$O$5:$O$21,MATCH($C411,Muuttujat!$N$5:$N$21,0),1)</f>
        <v>0.1</v>
      </c>
      <c r="R411" s="148">
        <f>INDEX(Muuttujat!$P$5:$P$21,MATCH($C411,Muuttujat!$N$5:$N$21,0),1)</f>
        <v>0.10417875759940039</v>
      </c>
      <c r="S411" s="149">
        <f t="shared" si="119"/>
        <v>0</v>
      </c>
      <c r="T411" s="150">
        <f t="shared" si="120"/>
        <v>0</v>
      </c>
      <c r="U411" s="150">
        <f t="shared" si="121"/>
        <v>0</v>
      </c>
      <c r="V411" s="150">
        <f>IFERROR(INDEX(Työkonekanta!$J$3:$J$27,MATCH($A411,Työkonekanta!$A$3:$A$24,0),1)*$B411*ef_li_ion_akku/1000/1000/INDEX(Työkonekanta!$K$3:$K$27,MATCH($A411,Työkonekanta!$A$3:$A$24,0)),0)</f>
        <v>0</v>
      </c>
      <c r="W411" s="149">
        <f t="shared" si="122"/>
        <v>0</v>
      </c>
      <c r="X411" s="150">
        <f t="shared" si="110"/>
        <v>0</v>
      </c>
      <c r="Y411" s="151">
        <f t="shared" si="111"/>
        <v>0</v>
      </c>
      <c r="Z411" s="152">
        <f t="shared" si="125"/>
        <v>0</v>
      </c>
      <c r="AA411" s="153">
        <f t="shared" si="113"/>
        <v>0</v>
      </c>
      <c r="AB411" s="153">
        <f t="shared" si="114"/>
        <v>0</v>
      </c>
      <c r="AC411" s="154">
        <f t="shared" si="112"/>
        <v>0</v>
      </c>
      <c r="AD411" s="156">
        <f t="shared" si="115"/>
        <v>0</v>
      </c>
    </row>
    <row r="412" spans="1:30" s="144" customFormat="1">
      <c r="A412" s="139">
        <v>20</v>
      </c>
      <c r="B412" s="139">
        <f>IFERROR(INDEX(Työkonekanta!$F$3:$F$27,MATCH('S0a Baseline'!$A412,Työkonekanta!$A$3:$A$24,0),1),0)</f>
        <v>0</v>
      </c>
      <c r="C412" s="140">
        <v>2032</v>
      </c>
      <c r="D412" s="141" t="str">
        <f>IFERROR(INDEX(Työkonekanta!$D$3:$D$27,MATCH('S0a Baseline'!$A412,Työkonekanta!$A$3:$A$24,0),1),"undefined")</f>
        <v>pom</v>
      </c>
      <c r="E412" s="145">
        <f>IFERROR(INDEX(Työkonekanta!$G$3:$G$27,MATCH($A412,Työkonekanta!$A$3:$A$24,0),1)*INDEX(Työkonekanta!$H$3:$H$27,MATCH($A412,Työkonekanta!$A$3:$A$24,0),1)*$B412,0)</f>
        <v>0</v>
      </c>
      <c r="F412" s="344">
        <f t="shared" si="116"/>
        <v>0</v>
      </c>
      <c r="G412" s="344">
        <f t="shared" si="123"/>
        <v>0</v>
      </c>
      <c r="H412" s="344">
        <f t="shared" si="124"/>
        <v>0</v>
      </c>
      <c r="I412" s="145">
        <f t="shared" si="117"/>
        <v>0</v>
      </c>
      <c r="J412" s="145">
        <f t="shared" si="118"/>
        <v>0</v>
      </c>
      <c r="K412" s="142" t="str">
        <f t="shared" si="108"/>
        <v>l</v>
      </c>
      <c r="L412" s="146">
        <f>IFERROR(INDEX(Työkonekanta!$I$3:$I$27,MATCH('S0a Baseline'!$A412,Työkonekanta!$A$3:$A$24,0),1)*(I412+J412)*f_adblue,0)</f>
        <v>0</v>
      </c>
      <c r="M412" s="146">
        <f t="shared" si="109"/>
        <v>0</v>
      </c>
      <c r="N412" s="143" t="str">
        <f>IF(tuulisähkö_vuosi&lt;='S0a Baseline'!C412,"tuulisähkö",ostosähkö_nyt)</f>
        <v>jäännössähkö</v>
      </c>
      <c r="O412" s="147">
        <f>INDEX(Muuttujat!$J$5:$J$21,MATCH($C412,Muuttujat!$H$5:$H$21,0),1)</f>
        <v>60.765893284281319</v>
      </c>
      <c r="P412" s="342">
        <f>1-(INDEX(Muuttujat!$O$5:$O$21,MATCH($C412,Muuttujat!$N$5:$N$21,0),1))</f>
        <v>0.9</v>
      </c>
      <c r="Q412" s="342">
        <f>INDEX(Muuttujat!$O$5:$O$21,MATCH($C412,Muuttujat!$N$5:$N$21,0),1)</f>
        <v>0.1</v>
      </c>
      <c r="R412" s="148">
        <f>INDEX(Muuttujat!$P$5:$P$21,MATCH($C412,Muuttujat!$N$5:$N$21,0),1)</f>
        <v>0.10417875759940039</v>
      </c>
      <c r="S412" s="149">
        <f t="shared" si="119"/>
        <v>0</v>
      </c>
      <c r="T412" s="150">
        <f t="shared" si="120"/>
        <v>0</v>
      </c>
      <c r="U412" s="150">
        <f t="shared" si="121"/>
        <v>0</v>
      </c>
      <c r="V412" s="150">
        <f>IFERROR(INDEX(Työkonekanta!$J$3:$J$27,MATCH($A412,Työkonekanta!$A$3:$A$24,0),1)*$B412*ef_li_ion_akku/1000/1000/INDEX(Työkonekanta!$K$3:$K$27,MATCH($A412,Työkonekanta!$A$3:$A$24,0)),0)</f>
        <v>0</v>
      </c>
      <c r="W412" s="149">
        <f t="shared" si="122"/>
        <v>0</v>
      </c>
      <c r="X412" s="150">
        <f t="shared" si="110"/>
        <v>0</v>
      </c>
      <c r="Y412" s="151">
        <f t="shared" si="111"/>
        <v>0</v>
      </c>
      <c r="Z412" s="152">
        <f t="shared" si="125"/>
        <v>0</v>
      </c>
      <c r="AA412" s="153">
        <f t="shared" si="113"/>
        <v>0</v>
      </c>
      <c r="AB412" s="153">
        <f t="shared" si="114"/>
        <v>0</v>
      </c>
      <c r="AC412" s="154">
        <f t="shared" si="112"/>
        <v>0</v>
      </c>
      <c r="AD412" s="156">
        <f t="shared" si="115"/>
        <v>0</v>
      </c>
    </row>
    <row r="413" spans="1:30" s="144" customFormat="1">
      <c r="A413" s="139">
        <v>21</v>
      </c>
      <c r="B413" s="139">
        <f>IFERROR(INDEX(Työkonekanta!$F$3:$F$27,MATCH('S0a Baseline'!$A413,Työkonekanta!$A$3:$A$24,0),1),0)</f>
        <v>35</v>
      </c>
      <c r="C413" s="140">
        <v>2032</v>
      </c>
      <c r="D413" s="141" t="str">
        <f>IFERROR(INDEX(Työkonekanta!$D$3:$D$27,MATCH('S0a Baseline'!$A413,Työkonekanta!$A$3:$A$24,0),1),"undefined")</f>
        <v>sähkö</v>
      </c>
      <c r="E413" s="145">
        <f>IFERROR(INDEX(Työkonekanta!$G$3:$G$27,MATCH($A413,Työkonekanta!$A$3:$A$24,0),1)*INDEX(Työkonekanta!$H$3:$H$27,MATCH($A413,Työkonekanta!$A$3:$A$24,0),1)*$B413,0)</f>
        <v>407199.07407407404</v>
      </c>
      <c r="F413" s="344">
        <f t="shared" si="116"/>
        <v>0</v>
      </c>
      <c r="G413" s="344">
        <f t="shared" si="123"/>
        <v>0</v>
      </c>
      <c r="H413" s="344">
        <f t="shared" si="124"/>
        <v>0</v>
      </c>
      <c r="I413" s="145">
        <f t="shared" si="117"/>
        <v>0</v>
      </c>
      <c r="J413" s="145">
        <f t="shared" si="118"/>
        <v>0</v>
      </c>
      <c r="K413" s="142" t="str">
        <f t="shared" si="108"/>
        <v>kWh</v>
      </c>
      <c r="L413" s="146">
        <f>IFERROR(INDEX(Työkonekanta!$I$3:$I$27,MATCH('S0a Baseline'!$A413,Työkonekanta!$A$3:$A$24,0),1)*(I413+J413)*f_adblue,0)</f>
        <v>0</v>
      </c>
      <c r="M413" s="146">
        <f t="shared" si="109"/>
        <v>1465916.6666666665</v>
      </c>
      <c r="N413" s="143" t="str">
        <f>IF(tuulisähkö_vuosi&lt;='S0a Baseline'!C413,"tuulisähkö",ostosähkö_nyt)</f>
        <v>jäännössähkö</v>
      </c>
      <c r="O413" s="147">
        <f>INDEX(Muuttujat!$J$5:$J$21,MATCH($C413,Muuttujat!$H$5:$H$21,0),1)</f>
        <v>60.765893284281319</v>
      </c>
      <c r="P413" s="342">
        <f>1-(INDEX(Muuttujat!$O$5:$O$21,MATCH($C413,Muuttujat!$N$5:$N$21,0),1))</f>
        <v>0.9</v>
      </c>
      <c r="Q413" s="342">
        <f>INDEX(Muuttujat!$O$5:$O$21,MATCH($C413,Muuttujat!$N$5:$N$21,0),1)</f>
        <v>0.1</v>
      </c>
      <c r="R413" s="148">
        <f>INDEX(Muuttujat!$P$5:$P$21,MATCH($C413,Muuttujat!$N$5:$N$21,0),1)</f>
        <v>0.10417875759940039</v>
      </c>
      <c r="S413" s="149">
        <f t="shared" si="119"/>
        <v>0</v>
      </c>
      <c r="T413" s="150">
        <f t="shared" si="120"/>
        <v>0</v>
      </c>
      <c r="U413" s="150">
        <f t="shared" si="121"/>
        <v>89.077735730316036</v>
      </c>
      <c r="V413" s="150">
        <f>IFERROR(INDEX(Työkonekanta!$J$3:$J$27,MATCH($A413,Työkonekanta!$A$3:$A$24,0),1)*$B413*ef_li_ion_akku/1000/1000/INDEX(Työkonekanta!$K$3:$K$27,MATCH($A413,Työkonekanta!$A$3:$A$24,0)),0)</f>
        <v>43.121723076923082</v>
      </c>
      <c r="W413" s="149">
        <f t="shared" si="122"/>
        <v>0</v>
      </c>
      <c r="X413" s="150">
        <f t="shared" si="110"/>
        <v>0</v>
      </c>
      <c r="Y413" s="151">
        <f t="shared" si="111"/>
        <v>0</v>
      </c>
      <c r="Z413" s="152">
        <f t="shared" si="125"/>
        <v>132.19945880723913</v>
      </c>
      <c r="AA413" s="153">
        <f t="shared" si="113"/>
        <v>0</v>
      </c>
      <c r="AB413" s="153">
        <f t="shared" si="114"/>
        <v>0</v>
      </c>
      <c r="AC413" s="154">
        <f t="shared" si="112"/>
        <v>132.19945880723913</v>
      </c>
      <c r="AD413" s="156">
        <f t="shared" si="115"/>
        <v>132.19945880723913</v>
      </c>
    </row>
    <row r="414" spans="1:30" s="144" customFormat="1">
      <c r="A414" s="139">
        <v>22</v>
      </c>
      <c r="B414" s="139">
        <f>IFERROR(INDEX(Työkonekanta!$F$3:$F$27,MATCH('S0a Baseline'!$A414,Työkonekanta!$A$3:$A$24,0),1),0)</f>
        <v>0</v>
      </c>
      <c r="C414" s="140">
        <v>2032</v>
      </c>
      <c r="D414" s="141" t="str">
        <f>IFERROR(INDEX(Työkonekanta!$D$3:$D$27,MATCH('S0a Baseline'!$A414,Työkonekanta!$A$3:$A$24,0),1),"undefined")</f>
        <v>sähkö</v>
      </c>
      <c r="E414" s="145">
        <f>IFERROR(INDEX(Työkonekanta!$G$3:$G$27,MATCH($A414,Työkonekanta!$A$3:$A$24,0),1)*INDEX(Työkonekanta!$H$3:$H$27,MATCH($A414,Työkonekanta!$A$3:$A$24,0),1)*$B414,0)</f>
        <v>0</v>
      </c>
      <c r="F414" s="344">
        <f t="shared" si="116"/>
        <v>0</v>
      </c>
      <c r="G414" s="344">
        <f t="shared" si="123"/>
        <v>0</v>
      </c>
      <c r="H414" s="344">
        <f t="shared" si="124"/>
        <v>0</v>
      </c>
      <c r="I414" s="145">
        <f t="shared" si="117"/>
        <v>0</v>
      </c>
      <c r="J414" s="145">
        <f t="shared" si="118"/>
        <v>0</v>
      </c>
      <c r="K414" s="142" t="str">
        <f t="shared" si="108"/>
        <v>kWh</v>
      </c>
      <c r="L414" s="146">
        <f>IFERROR(INDEX(Työkonekanta!$I$3:$I$27,MATCH('S0a Baseline'!$A414,Työkonekanta!$A$3:$A$24,0),1)*(I414+J414)*f_adblue,0)</f>
        <v>0</v>
      </c>
      <c r="M414" s="146">
        <f t="shared" si="109"/>
        <v>0</v>
      </c>
      <c r="N414" s="143" t="str">
        <f>IF(tuulisähkö_vuosi&lt;='S0a Baseline'!C414,"tuulisähkö",ostosähkö_nyt)</f>
        <v>jäännössähkö</v>
      </c>
      <c r="O414" s="147">
        <f>INDEX(Muuttujat!$J$5:$J$21,MATCH($C414,Muuttujat!$H$5:$H$21,0),1)</f>
        <v>60.765893284281319</v>
      </c>
      <c r="P414" s="342">
        <f>1-(INDEX(Muuttujat!$O$5:$O$21,MATCH($C414,Muuttujat!$N$5:$N$21,0),1))</f>
        <v>0.9</v>
      </c>
      <c r="Q414" s="342">
        <f>INDEX(Muuttujat!$O$5:$O$21,MATCH($C414,Muuttujat!$N$5:$N$21,0),1)</f>
        <v>0.1</v>
      </c>
      <c r="R414" s="148">
        <f>INDEX(Muuttujat!$P$5:$P$21,MATCH($C414,Muuttujat!$N$5:$N$21,0),1)</f>
        <v>0.10417875759940039</v>
      </c>
      <c r="S414" s="149">
        <f t="shared" si="119"/>
        <v>0</v>
      </c>
      <c r="T414" s="150">
        <f t="shared" si="120"/>
        <v>0</v>
      </c>
      <c r="U414" s="150">
        <f t="shared" si="121"/>
        <v>0</v>
      </c>
      <c r="V414" s="150">
        <f>IFERROR(INDEX(Työkonekanta!$J$3:$J$27,MATCH($A414,Työkonekanta!$A$3:$A$24,0),1)*$B414*ef_li_ion_akku/1000/1000/INDEX(Työkonekanta!$K$3:$K$27,MATCH($A414,Työkonekanta!$A$3:$A$24,0)),0)</f>
        <v>0</v>
      </c>
      <c r="W414" s="149">
        <f t="shared" si="122"/>
        <v>0</v>
      </c>
      <c r="X414" s="150">
        <f t="shared" si="110"/>
        <v>0</v>
      </c>
      <c r="Y414" s="151">
        <f t="shared" si="111"/>
        <v>0</v>
      </c>
      <c r="Z414" s="152">
        <f t="shared" si="125"/>
        <v>0</v>
      </c>
      <c r="AA414" s="153">
        <f t="shared" si="113"/>
        <v>0</v>
      </c>
      <c r="AB414" s="153">
        <f t="shared" si="114"/>
        <v>0</v>
      </c>
      <c r="AC414" s="154">
        <f t="shared" si="112"/>
        <v>0</v>
      </c>
      <c r="AD414" s="156">
        <f t="shared" si="115"/>
        <v>0</v>
      </c>
    </row>
    <row r="415" spans="1:30" s="144" customFormat="1">
      <c r="A415" s="139">
        <v>23</v>
      </c>
      <c r="B415" s="139">
        <f>IFERROR(INDEX(Työkonekanta!$F$3:$F$27,MATCH('S0a Baseline'!$A415,Työkonekanta!$A$3:$A$24,0),1),0)</f>
        <v>0</v>
      </c>
      <c r="C415" s="140">
        <v>2032</v>
      </c>
      <c r="D415" s="141" t="str">
        <f>IFERROR(INDEX(Työkonekanta!$D$3:$D$27,MATCH('S0a Baseline'!$A415,Työkonekanta!$A$3:$A$24,0),1),"undefined")</f>
        <v>undefined</v>
      </c>
      <c r="E415" s="145">
        <f>IFERROR(INDEX(Työkonekanta!$G$3:$G$27,MATCH($A415,Työkonekanta!$A$3:$A$24,0),1)*INDEX(Työkonekanta!$H$3:$H$27,MATCH($A415,Työkonekanta!$A$3:$A$24,0),1)*$B415,0)</f>
        <v>0</v>
      </c>
      <c r="F415" s="344">
        <f t="shared" si="116"/>
        <v>0</v>
      </c>
      <c r="G415" s="344">
        <f t="shared" si="123"/>
        <v>0</v>
      </c>
      <c r="H415" s="344">
        <f t="shared" si="124"/>
        <v>0</v>
      </c>
      <c r="I415" s="145">
        <f t="shared" si="117"/>
        <v>0</v>
      </c>
      <c r="J415" s="145">
        <f t="shared" si="118"/>
        <v>0</v>
      </c>
      <c r="K415" s="142" t="str">
        <f t="shared" si="108"/>
        <v>undefined</v>
      </c>
      <c r="L415" s="146">
        <f>IFERROR(INDEX(Työkonekanta!$I$3:$I$27,MATCH('S0a Baseline'!$A415,Työkonekanta!$A$3:$A$24,0),1)*(I415+J415)*f_adblue,0)</f>
        <v>0</v>
      </c>
      <c r="M415" s="146">
        <f t="shared" si="109"/>
        <v>0</v>
      </c>
      <c r="N415" s="143" t="str">
        <f>IF(tuulisähkö_vuosi&lt;='S0a Baseline'!C415,"tuulisähkö",ostosähkö_nyt)</f>
        <v>jäännössähkö</v>
      </c>
      <c r="O415" s="147">
        <f>INDEX(Muuttujat!$J$5:$J$21,MATCH($C415,Muuttujat!$H$5:$H$21,0),1)</f>
        <v>60.765893284281319</v>
      </c>
      <c r="P415" s="342">
        <f>1-(INDEX(Muuttujat!$O$5:$O$21,MATCH($C415,Muuttujat!$N$5:$N$21,0),1))</f>
        <v>0.9</v>
      </c>
      <c r="Q415" s="342">
        <f>INDEX(Muuttujat!$O$5:$O$21,MATCH($C415,Muuttujat!$N$5:$N$21,0),1)</f>
        <v>0.1</v>
      </c>
      <c r="R415" s="148">
        <f>INDEX(Muuttujat!$P$5:$P$21,MATCH($C415,Muuttujat!$N$5:$N$21,0),1)</f>
        <v>0.10417875759940039</v>
      </c>
      <c r="S415" s="149">
        <f t="shared" si="119"/>
        <v>0</v>
      </c>
      <c r="T415" s="150">
        <f t="shared" si="120"/>
        <v>0</v>
      </c>
      <c r="U415" s="150">
        <f t="shared" si="121"/>
        <v>0</v>
      </c>
      <c r="V415" s="150">
        <f>IFERROR(INDEX(Työkonekanta!$J$3:$J$27,MATCH($A415,Työkonekanta!$A$3:$A$24,0),1)*$B415*ef_li_ion_akku/1000/1000/INDEX(Työkonekanta!$K$3:$K$27,MATCH($A415,Työkonekanta!$A$3:$A$24,0)),0)</f>
        <v>0</v>
      </c>
      <c r="W415" s="149">
        <f t="shared" si="122"/>
        <v>0</v>
      </c>
      <c r="X415" s="150">
        <f t="shared" si="110"/>
        <v>0</v>
      </c>
      <c r="Y415" s="151">
        <f t="shared" si="111"/>
        <v>0</v>
      </c>
      <c r="Z415" s="152">
        <f t="shared" si="125"/>
        <v>0</v>
      </c>
      <c r="AA415" s="153">
        <f t="shared" si="113"/>
        <v>0</v>
      </c>
      <c r="AB415" s="153">
        <f t="shared" si="114"/>
        <v>0</v>
      </c>
      <c r="AC415" s="154">
        <f t="shared" si="112"/>
        <v>0</v>
      </c>
      <c r="AD415" s="156">
        <f t="shared" si="115"/>
        <v>0</v>
      </c>
    </row>
    <row r="416" spans="1:30" s="144" customFormat="1">
      <c r="A416" s="139">
        <v>24</v>
      </c>
      <c r="B416" s="139">
        <f>IFERROR(INDEX(Työkonekanta!$F$3:$F$27,MATCH('S0a Baseline'!$A416,Työkonekanta!$A$3:$A$24,0),1),0)</f>
        <v>0</v>
      </c>
      <c r="C416" s="140">
        <v>2032</v>
      </c>
      <c r="D416" s="141" t="str">
        <f>IFERROR(INDEX(Työkonekanta!$D$3:$D$27,MATCH('S0a Baseline'!$A416,Työkonekanta!$A$3:$A$24,0),1),"undefined")</f>
        <v>undefined</v>
      </c>
      <c r="E416" s="145">
        <f>IFERROR(INDEX(Työkonekanta!$G$3:$G$27,MATCH($A416,Työkonekanta!$A$3:$A$24,0),1)*INDEX(Työkonekanta!$H$3:$H$27,MATCH($A416,Työkonekanta!$A$3:$A$24,0),1)*$B416,0)</f>
        <v>0</v>
      </c>
      <c r="F416" s="344">
        <f t="shared" si="116"/>
        <v>0</v>
      </c>
      <c r="G416" s="344">
        <f t="shared" si="123"/>
        <v>0</v>
      </c>
      <c r="H416" s="344">
        <f t="shared" si="124"/>
        <v>0</v>
      </c>
      <c r="I416" s="145">
        <f t="shared" si="117"/>
        <v>0</v>
      </c>
      <c r="J416" s="145">
        <f t="shared" si="118"/>
        <v>0</v>
      </c>
      <c r="K416" s="142" t="str">
        <f t="shared" si="108"/>
        <v>undefined</v>
      </c>
      <c r="L416" s="146">
        <f>IFERROR(INDEX(Työkonekanta!$I$3:$I$27,MATCH('S0a Baseline'!$A416,Työkonekanta!$A$3:$A$24,0),1)*(I416+J416)*f_adblue,0)</f>
        <v>0</v>
      </c>
      <c r="M416" s="146">
        <f t="shared" si="109"/>
        <v>0</v>
      </c>
      <c r="N416" s="143" t="str">
        <f>IF(tuulisähkö_vuosi&lt;='S0a Baseline'!C416,"tuulisähkö",ostosähkö_nyt)</f>
        <v>jäännössähkö</v>
      </c>
      <c r="O416" s="147">
        <f>INDEX(Muuttujat!$J$5:$J$21,MATCH($C416,Muuttujat!$H$5:$H$21,0),1)</f>
        <v>60.765893284281319</v>
      </c>
      <c r="P416" s="342">
        <f>1-(INDEX(Muuttujat!$O$5:$O$21,MATCH($C416,Muuttujat!$N$5:$N$21,0),1))</f>
        <v>0.9</v>
      </c>
      <c r="Q416" s="342">
        <f>INDEX(Muuttujat!$O$5:$O$21,MATCH($C416,Muuttujat!$N$5:$N$21,0),1)</f>
        <v>0.1</v>
      </c>
      <c r="R416" s="148">
        <f>INDEX(Muuttujat!$P$5:$P$21,MATCH($C416,Muuttujat!$N$5:$N$21,0),1)</f>
        <v>0.10417875759940039</v>
      </c>
      <c r="S416" s="149">
        <f t="shared" si="119"/>
        <v>0</v>
      </c>
      <c r="T416" s="150">
        <f t="shared" si="120"/>
        <v>0</v>
      </c>
      <c r="U416" s="150">
        <f t="shared" si="121"/>
        <v>0</v>
      </c>
      <c r="V416" s="150">
        <f>IFERROR(INDEX(Työkonekanta!$J$3:$J$27,MATCH($A416,Työkonekanta!$A$3:$A$24,0),1)*$B416*ef_li_ion_akku/1000/1000/INDEX(Työkonekanta!$K$3:$K$27,MATCH($A416,Työkonekanta!$A$3:$A$24,0)),0)</f>
        <v>0</v>
      </c>
      <c r="W416" s="149">
        <f t="shared" si="122"/>
        <v>0</v>
      </c>
      <c r="X416" s="150">
        <f t="shared" si="110"/>
        <v>0</v>
      </c>
      <c r="Y416" s="151">
        <f t="shared" si="111"/>
        <v>0</v>
      </c>
      <c r="Z416" s="152">
        <f t="shared" si="125"/>
        <v>0</v>
      </c>
      <c r="AA416" s="153">
        <f t="shared" si="113"/>
        <v>0</v>
      </c>
      <c r="AB416" s="153">
        <f t="shared" si="114"/>
        <v>0</v>
      </c>
      <c r="AC416" s="154">
        <f t="shared" si="112"/>
        <v>0</v>
      </c>
      <c r="AD416" s="156">
        <f t="shared" si="115"/>
        <v>0</v>
      </c>
    </row>
    <row r="417" spans="1:30" s="144" customFormat="1">
      <c r="A417" s="139">
        <v>25</v>
      </c>
      <c r="B417" s="139">
        <f>IFERROR(INDEX(Työkonekanta!$F$3:$F$27,MATCH('S0a Baseline'!$A417,Työkonekanta!$A$3:$A$24,0),1),0)</f>
        <v>0</v>
      </c>
      <c r="C417" s="140">
        <v>2032</v>
      </c>
      <c r="D417" s="141" t="str">
        <f>IFERROR(INDEX(Työkonekanta!$D$3:$D$27,MATCH('S0a Baseline'!$A417,Työkonekanta!$A$3:$A$24,0),1),"undefined")</f>
        <v>undefined</v>
      </c>
      <c r="E417" s="145">
        <f>IFERROR(INDEX(Työkonekanta!$G$3:$G$27,MATCH($A417,Työkonekanta!$A$3:$A$24,0),1)*INDEX(Työkonekanta!$H$3:$H$27,MATCH($A417,Työkonekanta!$A$3:$A$24,0),1)*$B417,0)</f>
        <v>0</v>
      </c>
      <c r="F417" s="344">
        <f t="shared" si="116"/>
        <v>0</v>
      </c>
      <c r="G417" s="344">
        <f t="shared" si="123"/>
        <v>0</v>
      </c>
      <c r="H417" s="344">
        <f t="shared" si="124"/>
        <v>0</v>
      </c>
      <c r="I417" s="145">
        <f t="shared" si="117"/>
        <v>0</v>
      </c>
      <c r="J417" s="145">
        <f t="shared" si="118"/>
        <v>0</v>
      </c>
      <c r="K417" s="142" t="str">
        <f t="shared" si="108"/>
        <v>undefined</v>
      </c>
      <c r="L417" s="146">
        <f>IFERROR(INDEX(Työkonekanta!$I$3:$I$27,MATCH('S0a Baseline'!$A417,Työkonekanta!$A$3:$A$24,0),1)*(I417+J417)*f_adblue,0)</f>
        <v>0</v>
      </c>
      <c r="M417" s="146">
        <f t="shared" si="109"/>
        <v>0</v>
      </c>
      <c r="N417" s="143" t="str">
        <f>IF(tuulisähkö_vuosi&lt;='S0a Baseline'!C417,"tuulisähkö",ostosähkö_nyt)</f>
        <v>jäännössähkö</v>
      </c>
      <c r="O417" s="147">
        <f>INDEX(Muuttujat!$J$5:$J$21,MATCH($C417,Muuttujat!$H$5:$H$21,0),1)</f>
        <v>60.765893284281319</v>
      </c>
      <c r="P417" s="342">
        <f>1-(INDEX(Muuttujat!$O$5:$O$21,MATCH($C417,Muuttujat!$N$5:$N$21,0),1))</f>
        <v>0.9</v>
      </c>
      <c r="Q417" s="342">
        <f>INDEX(Muuttujat!$O$5:$O$21,MATCH($C417,Muuttujat!$N$5:$N$21,0),1)</f>
        <v>0.1</v>
      </c>
      <c r="R417" s="148">
        <f>INDEX(Muuttujat!$P$5:$P$21,MATCH($C417,Muuttujat!$N$5:$N$21,0),1)</f>
        <v>0.10417875759940039</v>
      </c>
      <c r="S417" s="149">
        <f t="shared" si="119"/>
        <v>0</v>
      </c>
      <c r="T417" s="150">
        <f t="shared" si="120"/>
        <v>0</v>
      </c>
      <c r="U417" s="150">
        <f t="shared" si="121"/>
        <v>0</v>
      </c>
      <c r="V417" s="150">
        <f>IFERROR(INDEX(Työkonekanta!$J$3:$J$27,MATCH($A417,Työkonekanta!$A$3:$A$24,0),1)*$B417*ef_li_ion_akku/1000/1000/INDEX(Työkonekanta!$K$3:$K$27,MATCH($A417,Työkonekanta!$A$3:$A$24,0)),0)</f>
        <v>0</v>
      </c>
      <c r="W417" s="149">
        <f t="shared" si="122"/>
        <v>0</v>
      </c>
      <c r="X417" s="150">
        <f t="shared" si="110"/>
        <v>0</v>
      </c>
      <c r="Y417" s="151">
        <f t="shared" si="111"/>
        <v>0</v>
      </c>
      <c r="Z417" s="152">
        <f t="shared" si="125"/>
        <v>0</v>
      </c>
      <c r="AA417" s="153">
        <f t="shared" si="113"/>
        <v>0</v>
      </c>
      <c r="AB417" s="153">
        <f t="shared" si="114"/>
        <v>0</v>
      </c>
      <c r="AC417" s="154">
        <f t="shared" si="112"/>
        <v>0</v>
      </c>
      <c r="AD417" s="156">
        <f t="shared" si="115"/>
        <v>0</v>
      </c>
    </row>
    <row r="418" spans="1:30" s="144" customFormat="1">
      <c r="A418" s="139">
        <v>26</v>
      </c>
      <c r="B418" s="139">
        <f>IFERROR(INDEX(Työkonekanta!$F$3:$F$27,MATCH('S0a Baseline'!$A418,Työkonekanta!$A$3:$A$24,0),1),0)</f>
        <v>0</v>
      </c>
      <c r="C418" s="140">
        <v>2032</v>
      </c>
      <c r="D418" s="141" t="str">
        <f>IFERROR(INDEX(Työkonekanta!$D$3:$D$27,MATCH('S0a Baseline'!$A418,Työkonekanta!$A$3:$A$24,0),1),"undefined")</f>
        <v>undefined</v>
      </c>
      <c r="E418" s="145">
        <f>IFERROR(INDEX(Työkonekanta!$G$3:$G$27,MATCH($A418,Työkonekanta!$A$3:$A$24,0),1)*INDEX(Työkonekanta!$H$3:$H$27,MATCH($A418,Työkonekanta!$A$3:$A$24,0),1)*$B418,0)</f>
        <v>0</v>
      </c>
      <c r="F418" s="344">
        <f t="shared" si="116"/>
        <v>0</v>
      </c>
      <c r="G418" s="344">
        <f t="shared" si="123"/>
        <v>0</v>
      </c>
      <c r="H418" s="344">
        <f t="shared" si="124"/>
        <v>0</v>
      </c>
      <c r="I418" s="145">
        <f t="shared" si="117"/>
        <v>0</v>
      </c>
      <c r="J418" s="145">
        <f t="shared" si="118"/>
        <v>0</v>
      </c>
      <c r="K418" s="142" t="str">
        <f t="shared" si="108"/>
        <v>undefined</v>
      </c>
      <c r="L418" s="146">
        <f>IFERROR(INDEX(Työkonekanta!$I$3:$I$27,MATCH('S0a Baseline'!$A418,Työkonekanta!$A$3:$A$24,0),1)*(I418+J418)*f_adblue,0)</f>
        <v>0</v>
      </c>
      <c r="M418" s="146">
        <f t="shared" si="109"/>
        <v>0</v>
      </c>
      <c r="N418" s="143" t="str">
        <f>IF(tuulisähkö_vuosi&lt;='S0a Baseline'!C418,"tuulisähkö",ostosähkö_nyt)</f>
        <v>jäännössähkö</v>
      </c>
      <c r="O418" s="147">
        <f>INDEX(Muuttujat!$J$5:$J$21,MATCH($C418,Muuttujat!$H$5:$H$21,0),1)</f>
        <v>60.765893284281319</v>
      </c>
      <c r="P418" s="342">
        <f>1-(INDEX(Muuttujat!$O$5:$O$21,MATCH($C418,Muuttujat!$N$5:$N$21,0),1))</f>
        <v>0.9</v>
      </c>
      <c r="Q418" s="342">
        <f>INDEX(Muuttujat!$O$5:$O$21,MATCH($C418,Muuttujat!$N$5:$N$21,0),1)</f>
        <v>0.1</v>
      </c>
      <c r="R418" s="148">
        <f>INDEX(Muuttujat!$P$5:$P$21,MATCH($C418,Muuttujat!$N$5:$N$21,0),1)</f>
        <v>0.10417875759940039</v>
      </c>
      <c r="S418" s="149">
        <f t="shared" si="119"/>
        <v>0</v>
      </c>
      <c r="T418" s="150">
        <f t="shared" si="120"/>
        <v>0</v>
      </c>
      <c r="U418" s="150">
        <f t="shared" si="121"/>
        <v>0</v>
      </c>
      <c r="V418" s="150">
        <f>IFERROR(INDEX(Työkonekanta!$J$3:$J$27,MATCH($A418,Työkonekanta!$A$3:$A$24,0),1)*$B418*ef_li_ion_akku/1000/1000/INDEX(Työkonekanta!$K$3:$K$27,MATCH($A418,Työkonekanta!$A$3:$A$24,0)),0)</f>
        <v>0</v>
      </c>
      <c r="W418" s="149">
        <f t="shared" si="122"/>
        <v>0</v>
      </c>
      <c r="X418" s="150">
        <f t="shared" si="110"/>
        <v>0</v>
      </c>
      <c r="Y418" s="151">
        <f t="shared" si="111"/>
        <v>0</v>
      </c>
      <c r="Z418" s="152">
        <f t="shared" si="125"/>
        <v>0</v>
      </c>
      <c r="AA418" s="153">
        <f t="shared" si="113"/>
        <v>0</v>
      </c>
      <c r="AB418" s="153">
        <f t="shared" si="114"/>
        <v>0</v>
      </c>
      <c r="AC418" s="154">
        <f t="shared" si="112"/>
        <v>0</v>
      </c>
      <c r="AD418" s="156">
        <f t="shared" si="115"/>
        <v>0</v>
      </c>
    </row>
    <row r="419" spans="1:30" s="144" customFormat="1">
      <c r="A419" s="139">
        <v>27</v>
      </c>
      <c r="B419" s="139">
        <f>IFERROR(INDEX(Työkonekanta!$F$3:$F$27,MATCH('S0a Baseline'!$A419,Työkonekanta!$A$3:$A$24,0),1),0)</f>
        <v>0</v>
      </c>
      <c r="C419" s="140">
        <v>2032</v>
      </c>
      <c r="D419" s="141" t="str">
        <f>IFERROR(INDEX(Työkonekanta!$D$3:$D$27,MATCH('S0a Baseline'!$A419,Työkonekanta!$A$3:$A$24,0),1),"undefined")</f>
        <v>undefined</v>
      </c>
      <c r="E419" s="145">
        <f>IFERROR(INDEX(Työkonekanta!$G$3:$G$27,MATCH($A419,Työkonekanta!$A$3:$A$24,0),1)*INDEX(Työkonekanta!$H$3:$H$27,MATCH($A419,Työkonekanta!$A$3:$A$24,0),1)*$B419,0)</f>
        <v>0</v>
      </c>
      <c r="F419" s="344">
        <f t="shared" si="116"/>
        <v>0</v>
      </c>
      <c r="G419" s="344">
        <f t="shared" si="123"/>
        <v>0</v>
      </c>
      <c r="H419" s="344">
        <f t="shared" si="124"/>
        <v>0</v>
      </c>
      <c r="I419" s="145">
        <f t="shared" si="117"/>
        <v>0</v>
      </c>
      <c r="J419" s="145">
        <f t="shared" si="118"/>
        <v>0</v>
      </c>
      <c r="K419" s="142" t="str">
        <f t="shared" si="108"/>
        <v>undefined</v>
      </c>
      <c r="L419" s="146">
        <f>IFERROR(INDEX(Työkonekanta!$I$3:$I$27,MATCH('S0a Baseline'!$A419,Työkonekanta!$A$3:$A$24,0),1)*(I419+J419)*f_adblue,0)</f>
        <v>0</v>
      </c>
      <c r="M419" s="146">
        <f t="shared" si="109"/>
        <v>0</v>
      </c>
      <c r="N419" s="143" t="str">
        <f>IF(tuulisähkö_vuosi&lt;='S0a Baseline'!C419,"tuulisähkö",ostosähkö_nyt)</f>
        <v>jäännössähkö</v>
      </c>
      <c r="O419" s="147">
        <f>INDEX(Muuttujat!$J$5:$J$21,MATCH($C419,Muuttujat!$H$5:$H$21,0),1)</f>
        <v>60.765893284281319</v>
      </c>
      <c r="P419" s="342">
        <f>1-(INDEX(Muuttujat!$O$5:$O$21,MATCH($C419,Muuttujat!$N$5:$N$21,0),1))</f>
        <v>0.9</v>
      </c>
      <c r="Q419" s="342">
        <f>INDEX(Muuttujat!$O$5:$O$21,MATCH($C419,Muuttujat!$N$5:$N$21,0),1)</f>
        <v>0.1</v>
      </c>
      <c r="R419" s="148">
        <f>INDEX(Muuttujat!$P$5:$P$21,MATCH($C419,Muuttujat!$N$5:$N$21,0),1)</f>
        <v>0.10417875759940039</v>
      </c>
      <c r="S419" s="149">
        <f t="shared" si="119"/>
        <v>0</v>
      </c>
      <c r="T419" s="150">
        <f t="shared" si="120"/>
        <v>0</v>
      </c>
      <c r="U419" s="150">
        <f t="shared" si="121"/>
        <v>0</v>
      </c>
      <c r="V419" s="150">
        <f>IFERROR(INDEX(Työkonekanta!$J$3:$J$27,MATCH($A419,Työkonekanta!$A$3:$A$24,0),1)*$B419*ef_li_ion_akku/1000/1000/INDEX(Työkonekanta!$K$3:$K$27,MATCH($A419,Työkonekanta!$A$3:$A$24,0)),0)</f>
        <v>0</v>
      </c>
      <c r="W419" s="149">
        <f t="shared" si="122"/>
        <v>0</v>
      </c>
      <c r="X419" s="150">
        <f t="shared" si="110"/>
        <v>0</v>
      </c>
      <c r="Y419" s="151">
        <f t="shared" si="111"/>
        <v>0</v>
      </c>
      <c r="Z419" s="152">
        <f t="shared" si="125"/>
        <v>0</v>
      </c>
      <c r="AA419" s="153">
        <f t="shared" si="113"/>
        <v>0</v>
      </c>
      <c r="AB419" s="153">
        <f t="shared" si="114"/>
        <v>0</v>
      </c>
      <c r="AC419" s="154">
        <f t="shared" si="112"/>
        <v>0</v>
      </c>
      <c r="AD419" s="156">
        <f t="shared" si="115"/>
        <v>0</v>
      </c>
    </row>
    <row r="420" spans="1:30" s="144" customFormat="1">
      <c r="A420" s="139">
        <v>28</v>
      </c>
      <c r="B420" s="139">
        <f>IFERROR(INDEX(Työkonekanta!$F$3:$F$27,MATCH('S0a Baseline'!$A420,Työkonekanta!$A$3:$A$24,0),1),0)</f>
        <v>0</v>
      </c>
      <c r="C420" s="140">
        <v>2032</v>
      </c>
      <c r="D420" s="141" t="str">
        <f>IFERROR(INDEX(Työkonekanta!$D$3:$D$27,MATCH('S0a Baseline'!$A420,Työkonekanta!$A$3:$A$24,0),1),"undefined")</f>
        <v>undefined</v>
      </c>
      <c r="E420" s="145">
        <f>IFERROR(INDEX(Työkonekanta!$G$3:$G$27,MATCH($A420,Työkonekanta!$A$3:$A$24,0),1)*INDEX(Työkonekanta!$H$3:$H$27,MATCH($A420,Työkonekanta!$A$3:$A$24,0),1)*$B420,0)</f>
        <v>0</v>
      </c>
      <c r="F420" s="344">
        <f t="shared" si="116"/>
        <v>0</v>
      </c>
      <c r="G420" s="344">
        <f t="shared" si="123"/>
        <v>0</v>
      </c>
      <c r="H420" s="344">
        <f t="shared" si="124"/>
        <v>0</v>
      </c>
      <c r="I420" s="145">
        <f t="shared" si="117"/>
        <v>0</v>
      </c>
      <c r="J420" s="145">
        <f t="shared" si="118"/>
        <v>0</v>
      </c>
      <c r="K420" s="142" t="str">
        <f t="shared" si="108"/>
        <v>undefined</v>
      </c>
      <c r="L420" s="146">
        <f>IFERROR(INDEX(Työkonekanta!$I$3:$I$27,MATCH('S0a Baseline'!$A420,Työkonekanta!$A$3:$A$24,0),1)*(I420+J420)*f_adblue,0)</f>
        <v>0</v>
      </c>
      <c r="M420" s="146">
        <f t="shared" si="109"/>
        <v>0</v>
      </c>
      <c r="N420" s="143" t="str">
        <f>IF(tuulisähkö_vuosi&lt;='S0a Baseline'!C420,"tuulisähkö",ostosähkö_nyt)</f>
        <v>jäännössähkö</v>
      </c>
      <c r="O420" s="147">
        <f>INDEX(Muuttujat!$J$5:$J$21,MATCH($C420,Muuttujat!$H$5:$H$21,0),1)</f>
        <v>60.765893284281319</v>
      </c>
      <c r="P420" s="342">
        <f>1-(INDEX(Muuttujat!$O$5:$O$21,MATCH($C420,Muuttujat!$N$5:$N$21,0),1))</f>
        <v>0.9</v>
      </c>
      <c r="Q420" s="342">
        <f>INDEX(Muuttujat!$O$5:$O$21,MATCH($C420,Muuttujat!$N$5:$N$21,0),1)</f>
        <v>0.1</v>
      </c>
      <c r="R420" s="148">
        <f>INDEX(Muuttujat!$P$5:$P$21,MATCH($C420,Muuttujat!$N$5:$N$21,0),1)</f>
        <v>0.10417875759940039</v>
      </c>
      <c r="S420" s="149">
        <f t="shared" si="119"/>
        <v>0</v>
      </c>
      <c r="T420" s="150">
        <f t="shared" si="120"/>
        <v>0</v>
      </c>
      <c r="U420" s="150">
        <f t="shared" si="121"/>
        <v>0</v>
      </c>
      <c r="V420" s="150">
        <f>IFERROR(INDEX(Työkonekanta!$J$3:$J$27,MATCH($A420,Työkonekanta!$A$3:$A$24,0),1)*$B420*ef_li_ion_akku/1000/1000/INDEX(Työkonekanta!$K$3:$K$27,MATCH($A420,Työkonekanta!$A$3:$A$24,0)),0)</f>
        <v>0</v>
      </c>
      <c r="W420" s="149">
        <f t="shared" si="122"/>
        <v>0</v>
      </c>
      <c r="X420" s="150">
        <f t="shared" si="110"/>
        <v>0</v>
      </c>
      <c r="Y420" s="151">
        <f t="shared" si="111"/>
        <v>0</v>
      </c>
      <c r="Z420" s="152">
        <f t="shared" si="125"/>
        <v>0</v>
      </c>
      <c r="AA420" s="153">
        <f t="shared" si="113"/>
        <v>0</v>
      </c>
      <c r="AB420" s="153">
        <f t="shared" si="114"/>
        <v>0</v>
      </c>
      <c r="AC420" s="154">
        <f t="shared" si="112"/>
        <v>0</v>
      </c>
      <c r="AD420" s="156">
        <f t="shared" si="115"/>
        <v>0</v>
      </c>
    </row>
    <row r="421" spans="1:30" s="144" customFormat="1">
      <c r="A421" s="139">
        <v>29</v>
      </c>
      <c r="B421" s="139">
        <f>IFERROR(INDEX(Työkonekanta!$F$3:$F$27,MATCH('S0a Baseline'!$A421,Työkonekanta!$A$3:$A$24,0),1),0)</f>
        <v>0</v>
      </c>
      <c r="C421" s="140">
        <v>2032</v>
      </c>
      <c r="D421" s="141" t="str">
        <f>IFERROR(INDEX(Työkonekanta!$D$3:$D$27,MATCH('S0a Baseline'!$A421,Työkonekanta!$A$3:$A$24,0),1),"undefined")</f>
        <v>undefined</v>
      </c>
      <c r="E421" s="145">
        <f>IFERROR(INDEX(Työkonekanta!$G$3:$G$27,MATCH($A421,Työkonekanta!$A$3:$A$24,0),1)*INDEX(Työkonekanta!$H$3:$H$27,MATCH($A421,Työkonekanta!$A$3:$A$24,0),1)*$B421,0)</f>
        <v>0</v>
      </c>
      <c r="F421" s="344">
        <f t="shared" si="116"/>
        <v>0</v>
      </c>
      <c r="G421" s="344">
        <f t="shared" si="123"/>
        <v>0</v>
      </c>
      <c r="H421" s="344">
        <f t="shared" si="124"/>
        <v>0</v>
      </c>
      <c r="I421" s="145">
        <f t="shared" si="117"/>
        <v>0</v>
      </c>
      <c r="J421" s="145">
        <f t="shared" si="118"/>
        <v>0</v>
      </c>
      <c r="K421" s="142" t="str">
        <f t="shared" si="108"/>
        <v>undefined</v>
      </c>
      <c r="L421" s="146">
        <f>IFERROR(INDEX(Työkonekanta!$I$3:$I$27,MATCH('S0a Baseline'!$A421,Työkonekanta!$A$3:$A$24,0),1)*(I421+J421)*f_adblue,0)</f>
        <v>0</v>
      </c>
      <c r="M421" s="146">
        <f t="shared" si="109"/>
        <v>0</v>
      </c>
      <c r="N421" s="143" t="str">
        <f>IF(tuulisähkö_vuosi&lt;='S0a Baseline'!C421,"tuulisähkö",ostosähkö_nyt)</f>
        <v>jäännössähkö</v>
      </c>
      <c r="O421" s="147">
        <f>INDEX(Muuttujat!$J$5:$J$21,MATCH($C421,Muuttujat!$H$5:$H$21,0),1)</f>
        <v>60.765893284281319</v>
      </c>
      <c r="P421" s="342">
        <f>1-(INDEX(Muuttujat!$O$5:$O$21,MATCH($C421,Muuttujat!$N$5:$N$21,0),1))</f>
        <v>0.9</v>
      </c>
      <c r="Q421" s="342">
        <f>INDEX(Muuttujat!$O$5:$O$21,MATCH($C421,Muuttujat!$N$5:$N$21,0),1)</f>
        <v>0.1</v>
      </c>
      <c r="R421" s="148">
        <f>INDEX(Muuttujat!$P$5:$P$21,MATCH($C421,Muuttujat!$N$5:$N$21,0),1)</f>
        <v>0.10417875759940039</v>
      </c>
      <c r="S421" s="149">
        <f t="shared" si="119"/>
        <v>0</v>
      </c>
      <c r="T421" s="150">
        <f t="shared" si="120"/>
        <v>0</v>
      </c>
      <c r="U421" s="150">
        <f t="shared" si="121"/>
        <v>0</v>
      </c>
      <c r="V421" s="150">
        <f>IFERROR(INDEX(Työkonekanta!$J$3:$J$27,MATCH($A421,Työkonekanta!$A$3:$A$24,0),1)*$B421*ef_li_ion_akku/1000/1000/INDEX(Työkonekanta!$K$3:$K$27,MATCH($A421,Työkonekanta!$A$3:$A$24,0)),0)</f>
        <v>0</v>
      </c>
      <c r="W421" s="149">
        <f t="shared" si="122"/>
        <v>0</v>
      </c>
      <c r="X421" s="150">
        <f t="shared" si="110"/>
        <v>0</v>
      </c>
      <c r="Y421" s="151">
        <f t="shared" si="111"/>
        <v>0</v>
      </c>
      <c r="Z421" s="152">
        <f t="shared" si="125"/>
        <v>0</v>
      </c>
      <c r="AA421" s="153">
        <f t="shared" si="113"/>
        <v>0</v>
      </c>
      <c r="AB421" s="153">
        <f t="shared" si="114"/>
        <v>0</v>
      </c>
      <c r="AC421" s="154">
        <f t="shared" si="112"/>
        <v>0</v>
      </c>
      <c r="AD421" s="156">
        <f t="shared" si="115"/>
        <v>0</v>
      </c>
    </row>
    <row r="422" spans="1:30" s="144" customFormat="1">
      <c r="A422" s="139">
        <v>30</v>
      </c>
      <c r="B422" s="139">
        <f>IFERROR(INDEX(Työkonekanta!$F$3:$F$27,MATCH('S0a Baseline'!$A422,Työkonekanta!$A$3:$A$24,0),1),0)</f>
        <v>0</v>
      </c>
      <c r="C422" s="140">
        <v>2032</v>
      </c>
      <c r="D422" s="141" t="str">
        <f>IFERROR(INDEX(Työkonekanta!$D$3:$D$27,MATCH('S0a Baseline'!$A422,Työkonekanta!$A$3:$A$24,0),1),"undefined")</f>
        <v>undefined</v>
      </c>
      <c r="E422" s="145">
        <f>IFERROR(INDEX(Työkonekanta!$G$3:$G$27,MATCH($A422,Työkonekanta!$A$3:$A$24,0),1)*INDEX(Työkonekanta!$H$3:$H$27,MATCH($A422,Työkonekanta!$A$3:$A$24,0),1)*$B422,0)</f>
        <v>0</v>
      </c>
      <c r="F422" s="344">
        <f t="shared" si="116"/>
        <v>0</v>
      </c>
      <c r="G422" s="344">
        <f t="shared" si="123"/>
        <v>0</v>
      </c>
      <c r="H422" s="344">
        <f t="shared" si="124"/>
        <v>0</v>
      </c>
      <c r="I422" s="145">
        <f t="shared" si="117"/>
        <v>0</v>
      </c>
      <c r="J422" s="145">
        <f t="shared" si="118"/>
        <v>0</v>
      </c>
      <c r="K422" s="142" t="str">
        <f t="shared" si="108"/>
        <v>undefined</v>
      </c>
      <c r="L422" s="146">
        <f>IFERROR(INDEX(Työkonekanta!$I$3:$I$27,MATCH('S0a Baseline'!$A422,Työkonekanta!$A$3:$A$24,0),1)*(I422+J422)*f_adblue,0)</f>
        <v>0</v>
      </c>
      <c r="M422" s="146">
        <f t="shared" si="109"/>
        <v>0</v>
      </c>
      <c r="N422" s="143" t="str">
        <f>IF(tuulisähkö_vuosi&lt;='S0a Baseline'!C422,"tuulisähkö",ostosähkö_nyt)</f>
        <v>jäännössähkö</v>
      </c>
      <c r="O422" s="147">
        <f>INDEX(Muuttujat!$J$5:$J$21,MATCH($C422,Muuttujat!$H$5:$H$21,0),1)</f>
        <v>60.765893284281319</v>
      </c>
      <c r="P422" s="342">
        <f>1-(INDEX(Muuttujat!$O$5:$O$21,MATCH($C422,Muuttujat!$N$5:$N$21,0),1))</f>
        <v>0.9</v>
      </c>
      <c r="Q422" s="342">
        <f>INDEX(Muuttujat!$O$5:$O$21,MATCH($C422,Muuttujat!$N$5:$N$21,0),1)</f>
        <v>0.1</v>
      </c>
      <c r="R422" s="148">
        <f>INDEX(Muuttujat!$P$5:$P$21,MATCH($C422,Muuttujat!$N$5:$N$21,0),1)</f>
        <v>0.10417875759940039</v>
      </c>
      <c r="S422" s="149">
        <f t="shared" si="119"/>
        <v>0</v>
      </c>
      <c r="T422" s="150">
        <f t="shared" si="120"/>
        <v>0</v>
      </c>
      <c r="U422" s="150">
        <f t="shared" si="121"/>
        <v>0</v>
      </c>
      <c r="V422" s="150">
        <f>IFERROR(INDEX(Työkonekanta!$J$3:$J$27,MATCH($A422,Työkonekanta!$A$3:$A$24,0),1)*$B422*ef_li_ion_akku/1000/1000/INDEX(Työkonekanta!$K$3:$K$27,MATCH($A422,Työkonekanta!$A$3:$A$24,0)),0)</f>
        <v>0</v>
      </c>
      <c r="W422" s="149">
        <f t="shared" si="122"/>
        <v>0</v>
      </c>
      <c r="X422" s="150">
        <f t="shared" si="110"/>
        <v>0</v>
      </c>
      <c r="Y422" s="151">
        <f t="shared" si="111"/>
        <v>0</v>
      </c>
      <c r="Z422" s="152">
        <f t="shared" si="125"/>
        <v>0</v>
      </c>
      <c r="AA422" s="153">
        <f t="shared" si="113"/>
        <v>0</v>
      </c>
      <c r="AB422" s="153">
        <f t="shared" si="114"/>
        <v>0</v>
      </c>
      <c r="AC422" s="154">
        <f t="shared" si="112"/>
        <v>0</v>
      </c>
      <c r="AD422" s="156">
        <f t="shared" si="115"/>
        <v>0</v>
      </c>
    </row>
    <row r="423" spans="1:30" s="144" customFormat="1">
      <c r="A423" s="139">
        <v>1</v>
      </c>
      <c r="B423" s="139">
        <f>IFERROR(INDEX(Työkonekanta!$F$3:$F$27,MATCH('S0a Baseline'!$A423,Työkonekanta!$A$3:$A$24,0),1),0)</f>
        <v>1</v>
      </c>
      <c r="C423" s="140">
        <v>2033</v>
      </c>
      <c r="D423" s="141" t="str">
        <f>IFERROR(INDEX(Työkonekanta!$D$3:$D$27,MATCH('S0a Baseline'!$A423,Työkonekanta!$A$3:$A$24,0),1),"undefined")</f>
        <v>pom</v>
      </c>
      <c r="E423" s="145">
        <f>IFERROR(INDEX(Työkonekanta!$G$3:$G$27,MATCH($A423,Työkonekanta!$A$3:$A$24,0),1)*INDEX(Työkonekanta!$H$3:$H$27,MATCH($A423,Työkonekanta!$A$3:$A$24,0),1)*$B423,0)</f>
        <v>10000</v>
      </c>
      <c r="F423" s="344">
        <f t="shared" si="116"/>
        <v>359000</v>
      </c>
      <c r="G423" s="344">
        <f t="shared" si="123"/>
        <v>323100</v>
      </c>
      <c r="H423" s="344">
        <f t="shared" si="124"/>
        <v>35900</v>
      </c>
      <c r="I423" s="145">
        <f t="shared" si="117"/>
        <v>9000</v>
      </c>
      <c r="J423" s="145">
        <f t="shared" si="118"/>
        <v>1046.6472303206997</v>
      </c>
      <c r="K423" s="142" t="str">
        <f t="shared" si="108"/>
        <v>l</v>
      </c>
      <c r="L423" s="146">
        <f>IFERROR(INDEX(Työkonekanta!$I$3:$I$27,MATCH('S0a Baseline'!$A423,Työkonekanta!$A$3:$A$24,0),1)*(I423+J423)*f_adblue,0)</f>
        <v>502.33236151603501</v>
      </c>
      <c r="M423" s="146">
        <f t="shared" si="109"/>
        <v>0</v>
      </c>
      <c r="N423" s="143" t="str">
        <f>IF(tuulisähkö_vuosi&lt;='S0a Baseline'!C423,"tuulisähkö",ostosähkö_nyt)</f>
        <v>jäännössähkö</v>
      </c>
      <c r="O423" s="147">
        <f>INDEX(Muuttujat!$J$5:$J$21,MATCH($C423,Muuttujat!$H$5:$H$21,0),1)</f>
        <v>60.158234351438509</v>
      </c>
      <c r="P423" s="342">
        <f>1-(INDEX(Muuttujat!$O$5:$O$21,MATCH($C423,Muuttujat!$N$5:$N$21,0),1))</f>
        <v>0.9</v>
      </c>
      <c r="Q423" s="342">
        <f>INDEX(Muuttujat!$O$5:$O$21,MATCH($C423,Muuttujat!$N$5:$N$21,0),1)</f>
        <v>0.1</v>
      </c>
      <c r="R423" s="148">
        <f>INDEX(Muuttujat!$P$5:$P$21,MATCH($C423,Muuttujat!$N$5:$N$21,0),1)</f>
        <v>0.10417875759940039</v>
      </c>
      <c r="S423" s="149">
        <f t="shared" si="119"/>
        <v>6.1065899999999997</v>
      </c>
      <c r="T423" s="150">
        <f t="shared" si="120"/>
        <v>2.2401599999999999</v>
      </c>
      <c r="U423" s="150">
        <f t="shared" si="121"/>
        <v>0</v>
      </c>
      <c r="V423" s="150">
        <f>IFERROR(INDEX(Työkonekanta!$J$3:$J$27,MATCH($A423,Työkonekanta!$A$3:$A$24,0),1)*$B423*ef_li_ion_akku/1000/1000/INDEX(Työkonekanta!$K$3:$K$27,MATCH($A423,Työkonekanta!$A$3:$A$24,0)),0)</f>
        <v>0</v>
      </c>
      <c r="W423" s="149">
        <f t="shared" si="122"/>
        <v>23.847446957400003</v>
      </c>
      <c r="X423" s="150">
        <f t="shared" si="110"/>
        <v>0.31774565999999999</v>
      </c>
      <c r="Y423" s="151">
        <f t="shared" si="111"/>
        <v>0.13060641399416908</v>
      </c>
      <c r="Z423" s="152">
        <f t="shared" si="125"/>
        <v>8.3467500000000001</v>
      </c>
      <c r="AA423" s="153">
        <f t="shared" si="113"/>
        <v>23.978053371394171</v>
      </c>
      <c r="AB423" s="153">
        <f t="shared" si="114"/>
        <v>24.295799031394171</v>
      </c>
      <c r="AC423" s="154">
        <f t="shared" si="112"/>
        <v>32.324803371394168</v>
      </c>
      <c r="AD423" s="156">
        <f t="shared" si="115"/>
        <v>32.642549031394168</v>
      </c>
    </row>
    <row r="424" spans="1:30" s="144" customFormat="1">
      <c r="A424" s="139">
        <v>2</v>
      </c>
      <c r="B424" s="139">
        <f>IFERROR(INDEX(Työkonekanta!$F$3:$F$27,MATCH('S0a Baseline'!$A424,Työkonekanta!$A$3:$A$24,0),1),0)</f>
        <v>1</v>
      </c>
      <c r="C424" s="140">
        <v>2033</v>
      </c>
      <c r="D424" s="141" t="str">
        <f>IFERROR(INDEX(Työkonekanta!$D$3:$D$27,MATCH('S0a Baseline'!$A424,Työkonekanta!$A$3:$A$24,0),1),"undefined")</f>
        <v>pom</v>
      </c>
      <c r="E424" s="145">
        <f>IFERROR(INDEX(Työkonekanta!$G$3:$G$27,MATCH($A424,Työkonekanta!$A$3:$A$24,0),1)*INDEX(Työkonekanta!$H$3:$H$27,MATCH($A424,Työkonekanta!$A$3:$A$24,0),1)*$B424,0)</f>
        <v>10000</v>
      </c>
      <c r="F424" s="344">
        <f t="shared" si="116"/>
        <v>359000</v>
      </c>
      <c r="G424" s="344">
        <f t="shared" si="123"/>
        <v>323100</v>
      </c>
      <c r="H424" s="344">
        <f t="shared" si="124"/>
        <v>35900</v>
      </c>
      <c r="I424" s="145">
        <f t="shared" si="117"/>
        <v>9000</v>
      </c>
      <c r="J424" s="145">
        <f t="shared" si="118"/>
        <v>1046.6472303206997</v>
      </c>
      <c r="K424" s="142" t="str">
        <f t="shared" si="108"/>
        <v>l</v>
      </c>
      <c r="L424" s="146">
        <f>IFERROR(INDEX(Työkonekanta!$I$3:$I$27,MATCH('S0a Baseline'!$A424,Työkonekanta!$A$3:$A$24,0),1)*(I424+J424)*f_adblue,0)</f>
        <v>502.33236151603501</v>
      </c>
      <c r="M424" s="146">
        <f t="shared" si="109"/>
        <v>0</v>
      </c>
      <c r="N424" s="143" t="str">
        <f>IF(tuulisähkö_vuosi&lt;='S0a Baseline'!C424,"tuulisähkö",ostosähkö_nyt)</f>
        <v>jäännössähkö</v>
      </c>
      <c r="O424" s="147">
        <f>INDEX(Muuttujat!$J$5:$J$21,MATCH($C424,Muuttujat!$H$5:$H$21,0),1)</f>
        <v>60.158234351438509</v>
      </c>
      <c r="P424" s="342">
        <f>1-(INDEX(Muuttujat!$O$5:$O$21,MATCH($C424,Muuttujat!$N$5:$N$21,0),1))</f>
        <v>0.9</v>
      </c>
      <c r="Q424" s="342">
        <f>INDEX(Muuttujat!$O$5:$O$21,MATCH($C424,Muuttujat!$N$5:$N$21,0),1)</f>
        <v>0.1</v>
      </c>
      <c r="R424" s="148">
        <f>INDEX(Muuttujat!$P$5:$P$21,MATCH($C424,Muuttujat!$N$5:$N$21,0),1)</f>
        <v>0.10417875759940039</v>
      </c>
      <c r="S424" s="149">
        <f t="shared" si="119"/>
        <v>6.1065899999999997</v>
      </c>
      <c r="T424" s="150">
        <f t="shared" si="120"/>
        <v>2.2401599999999999</v>
      </c>
      <c r="U424" s="150">
        <f t="shared" si="121"/>
        <v>0</v>
      </c>
      <c r="V424" s="150">
        <f>IFERROR(INDEX(Työkonekanta!$J$3:$J$27,MATCH($A424,Työkonekanta!$A$3:$A$24,0),1)*$B424*ef_li_ion_akku/1000/1000/INDEX(Työkonekanta!$K$3:$K$27,MATCH($A424,Työkonekanta!$A$3:$A$24,0)),0)</f>
        <v>0</v>
      </c>
      <c r="W424" s="149">
        <f t="shared" si="122"/>
        <v>23.847446957400003</v>
      </c>
      <c r="X424" s="150">
        <f t="shared" si="110"/>
        <v>0.31774565999999999</v>
      </c>
      <c r="Y424" s="151">
        <f t="shared" si="111"/>
        <v>0.13060641399416908</v>
      </c>
      <c r="Z424" s="152">
        <f t="shared" si="125"/>
        <v>8.3467500000000001</v>
      </c>
      <c r="AA424" s="153">
        <f t="shared" si="113"/>
        <v>23.978053371394171</v>
      </c>
      <c r="AB424" s="153">
        <f t="shared" si="114"/>
        <v>24.295799031394171</v>
      </c>
      <c r="AC424" s="154">
        <f t="shared" si="112"/>
        <v>32.324803371394168</v>
      </c>
      <c r="AD424" s="156">
        <f t="shared" si="115"/>
        <v>32.642549031394168</v>
      </c>
    </row>
    <row r="425" spans="1:30" s="144" customFormat="1">
      <c r="A425" s="139">
        <v>3</v>
      </c>
      <c r="B425" s="139">
        <f>IFERROR(INDEX(Työkonekanta!$F$3:$F$27,MATCH('S0a Baseline'!$A425,Työkonekanta!$A$3:$A$24,0),1),0)</f>
        <v>1</v>
      </c>
      <c r="C425" s="140">
        <v>2033</v>
      </c>
      <c r="D425" s="141" t="str">
        <f>IFERROR(INDEX(Työkonekanta!$D$3:$D$27,MATCH('S0a Baseline'!$A425,Työkonekanta!$A$3:$A$24,0),1),"undefined")</f>
        <v>pom</v>
      </c>
      <c r="E425" s="145">
        <f>IFERROR(INDEX(Työkonekanta!$G$3:$G$27,MATCH($A425,Työkonekanta!$A$3:$A$24,0),1)*INDEX(Työkonekanta!$H$3:$H$27,MATCH($A425,Työkonekanta!$A$3:$A$24,0),1)*$B425,0)</f>
        <v>10000</v>
      </c>
      <c r="F425" s="344">
        <f t="shared" si="116"/>
        <v>359000</v>
      </c>
      <c r="G425" s="344">
        <f t="shared" si="123"/>
        <v>323100</v>
      </c>
      <c r="H425" s="344">
        <f t="shared" si="124"/>
        <v>35900</v>
      </c>
      <c r="I425" s="145">
        <f t="shared" si="117"/>
        <v>9000</v>
      </c>
      <c r="J425" s="145">
        <f t="shared" si="118"/>
        <v>1046.6472303206997</v>
      </c>
      <c r="K425" s="142" t="str">
        <f t="shared" si="108"/>
        <v>l</v>
      </c>
      <c r="L425" s="146">
        <f>IFERROR(INDEX(Työkonekanta!$I$3:$I$27,MATCH('S0a Baseline'!$A425,Työkonekanta!$A$3:$A$24,0),1)*(I425+J425)*f_adblue,0)</f>
        <v>502.33236151603501</v>
      </c>
      <c r="M425" s="146">
        <f t="shared" si="109"/>
        <v>0</v>
      </c>
      <c r="N425" s="143" t="str">
        <f>IF(tuulisähkö_vuosi&lt;='S0a Baseline'!C425,"tuulisähkö",ostosähkö_nyt)</f>
        <v>jäännössähkö</v>
      </c>
      <c r="O425" s="147">
        <f>INDEX(Muuttujat!$J$5:$J$21,MATCH($C425,Muuttujat!$H$5:$H$21,0),1)</f>
        <v>60.158234351438509</v>
      </c>
      <c r="P425" s="342">
        <f>1-(INDEX(Muuttujat!$O$5:$O$21,MATCH($C425,Muuttujat!$N$5:$N$21,0),1))</f>
        <v>0.9</v>
      </c>
      <c r="Q425" s="342">
        <f>INDEX(Muuttujat!$O$5:$O$21,MATCH($C425,Muuttujat!$N$5:$N$21,0),1)</f>
        <v>0.1</v>
      </c>
      <c r="R425" s="148">
        <f>INDEX(Muuttujat!$P$5:$P$21,MATCH($C425,Muuttujat!$N$5:$N$21,0),1)</f>
        <v>0.10417875759940039</v>
      </c>
      <c r="S425" s="149">
        <f t="shared" si="119"/>
        <v>6.1065899999999997</v>
      </c>
      <c r="T425" s="150">
        <f t="shared" si="120"/>
        <v>2.2401599999999999</v>
      </c>
      <c r="U425" s="150">
        <f t="shared" si="121"/>
        <v>0</v>
      </c>
      <c r="V425" s="150">
        <f>IFERROR(INDEX(Työkonekanta!$J$3:$J$27,MATCH($A425,Työkonekanta!$A$3:$A$24,0),1)*$B425*ef_li_ion_akku/1000/1000/INDEX(Työkonekanta!$K$3:$K$27,MATCH($A425,Työkonekanta!$A$3:$A$24,0)),0)</f>
        <v>0</v>
      </c>
      <c r="W425" s="149">
        <f t="shared" si="122"/>
        <v>23.847446957400003</v>
      </c>
      <c r="X425" s="150">
        <f t="shared" si="110"/>
        <v>0.31774565999999999</v>
      </c>
      <c r="Y425" s="151">
        <f t="shared" si="111"/>
        <v>0.13060641399416908</v>
      </c>
      <c r="Z425" s="152">
        <f t="shared" si="125"/>
        <v>8.3467500000000001</v>
      </c>
      <c r="AA425" s="153">
        <f t="shared" si="113"/>
        <v>23.978053371394171</v>
      </c>
      <c r="AB425" s="153">
        <f t="shared" si="114"/>
        <v>24.295799031394171</v>
      </c>
      <c r="AC425" s="154">
        <f t="shared" si="112"/>
        <v>32.324803371394168</v>
      </c>
      <c r="AD425" s="156">
        <f t="shared" si="115"/>
        <v>32.642549031394168</v>
      </c>
    </row>
    <row r="426" spans="1:30" s="144" customFormat="1">
      <c r="A426" s="139">
        <v>4</v>
      </c>
      <c r="B426" s="139">
        <f>IFERROR(INDEX(Työkonekanta!$F$3:$F$27,MATCH('S0a Baseline'!$A426,Työkonekanta!$A$3:$A$24,0),1),0)</f>
        <v>1</v>
      </c>
      <c r="C426" s="140">
        <v>2033</v>
      </c>
      <c r="D426" s="141" t="str">
        <f>IFERROR(INDEX(Työkonekanta!$D$3:$D$27,MATCH('S0a Baseline'!$A426,Työkonekanta!$A$3:$A$24,0),1),"undefined")</f>
        <v>pom</v>
      </c>
      <c r="E426" s="145">
        <f>IFERROR(INDEX(Työkonekanta!$G$3:$G$27,MATCH($A426,Työkonekanta!$A$3:$A$24,0),1)*INDEX(Työkonekanta!$H$3:$H$27,MATCH($A426,Työkonekanta!$A$3:$A$24,0),1)*$B426,0)</f>
        <v>10000</v>
      </c>
      <c r="F426" s="344">
        <f t="shared" si="116"/>
        <v>359000</v>
      </c>
      <c r="G426" s="344">
        <f t="shared" si="123"/>
        <v>323100</v>
      </c>
      <c r="H426" s="344">
        <f t="shared" si="124"/>
        <v>35900</v>
      </c>
      <c r="I426" s="145">
        <f t="shared" si="117"/>
        <v>9000</v>
      </c>
      <c r="J426" s="145">
        <f t="shared" si="118"/>
        <v>1046.6472303206997</v>
      </c>
      <c r="K426" s="142" t="str">
        <f t="shared" si="108"/>
        <v>l</v>
      </c>
      <c r="L426" s="146">
        <f>IFERROR(INDEX(Työkonekanta!$I$3:$I$27,MATCH('S0a Baseline'!$A426,Työkonekanta!$A$3:$A$24,0),1)*(I426+J426)*f_adblue,0)</f>
        <v>502.33236151603501</v>
      </c>
      <c r="M426" s="146">
        <f t="shared" si="109"/>
        <v>0</v>
      </c>
      <c r="N426" s="143" t="str">
        <f>IF(tuulisähkö_vuosi&lt;='S0a Baseline'!C426,"tuulisähkö",ostosähkö_nyt)</f>
        <v>jäännössähkö</v>
      </c>
      <c r="O426" s="147">
        <f>INDEX(Muuttujat!$J$5:$J$21,MATCH($C426,Muuttujat!$H$5:$H$21,0),1)</f>
        <v>60.158234351438509</v>
      </c>
      <c r="P426" s="342">
        <f>1-(INDEX(Muuttujat!$O$5:$O$21,MATCH($C426,Muuttujat!$N$5:$N$21,0),1))</f>
        <v>0.9</v>
      </c>
      <c r="Q426" s="342">
        <f>INDEX(Muuttujat!$O$5:$O$21,MATCH($C426,Muuttujat!$N$5:$N$21,0),1)</f>
        <v>0.1</v>
      </c>
      <c r="R426" s="148">
        <f>INDEX(Muuttujat!$P$5:$P$21,MATCH($C426,Muuttujat!$N$5:$N$21,0),1)</f>
        <v>0.10417875759940039</v>
      </c>
      <c r="S426" s="149">
        <f t="shared" si="119"/>
        <v>6.1065899999999997</v>
      </c>
      <c r="T426" s="150">
        <f t="shared" si="120"/>
        <v>2.2401599999999999</v>
      </c>
      <c r="U426" s="150">
        <f t="shared" si="121"/>
        <v>0</v>
      </c>
      <c r="V426" s="150">
        <f>IFERROR(INDEX(Työkonekanta!$J$3:$J$27,MATCH($A426,Työkonekanta!$A$3:$A$24,0),1)*$B426*ef_li_ion_akku/1000/1000/INDEX(Työkonekanta!$K$3:$K$27,MATCH($A426,Työkonekanta!$A$3:$A$24,0)),0)</f>
        <v>0</v>
      </c>
      <c r="W426" s="149">
        <f t="shared" si="122"/>
        <v>23.847446957400003</v>
      </c>
      <c r="X426" s="150">
        <f t="shared" si="110"/>
        <v>0.31774565999999999</v>
      </c>
      <c r="Y426" s="151">
        <f t="shared" si="111"/>
        <v>0.13060641399416908</v>
      </c>
      <c r="Z426" s="152">
        <f t="shared" si="125"/>
        <v>8.3467500000000001</v>
      </c>
      <c r="AA426" s="153">
        <f t="shared" si="113"/>
        <v>23.978053371394171</v>
      </c>
      <c r="AB426" s="153">
        <f t="shared" si="114"/>
        <v>24.295799031394171</v>
      </c>
      <c r="AC426" s="154">
        <f t="shared" si="112"/>
        <v>32.324803371394168</v>
      </c>
      <c r="AD426" s="156">
        <f t="shared" si="115"/>
        <v>32.642549031394168</v>
      </c>
    </row>
    <row r="427" spans="1:30" s="144" customFormat="1">
      <c r="A427" s="139">
        <v>5</v>
      </c>
      <c r="B427" s="139">
        <f>IFERROR(INDEX(Työkonekanta!$F$3:$F$27,MATCH('S0a Baseline'!$A427,Työkonekanta!$A$3:$A$24,0),1),0)</f>
        <v>0</v>
      </c>
      <c r="C427" s="140">
        <v>2033</v>
      </c>
      <c r="D427" s="141" t="str">
        <f>IFERROR(INDEX(Työkonekanta!$D$3:$D$27,MATCH('S0a Baseline'!$A427,Työkonekanta!$A$3:$A$24,0),1),"undefined")</f>
        <v>sähkö</v>
      </c>
      <c r="E427" s="145">
        <f>IFERROR(INDEX(Työkonekanta!$G$3:$G$27,MATCH($A427,Työkonekanta!$A$3:$A$24,0),1)*INDEX(Työkonekanta!$H$3:$H$27,MATCH($A427,Työkonekanta!$A$3:$A$24,0),1)*$B427,0)</f>
        <v>0</v>
      </c>
      <c r="F427" s="344">
        <f t="shared" si="116"/>
        <v>0</v>
      </c>
      <c r="G427" s="344">
        <f t="shared" si="123"/>
        <v>0</v>
      </c>
      <c r="H427" s="344">
        <f t="shared" si="124"/>
        <v>0</v>
      </c>
      <c r="I427" s="145">
        <f t="shared" si="117"/>
        <v>0</v>
      </c>
      <c r="J427" s="145">
        <f t="shared" si="118"/>
        <v>0</v>
      </c>
      <c r="K427" s="142" t="str">
        <f t="shared" si="108"/>
        <v>kWh</v>
      </c>
      <c r="L427" s="146">
        <f>IFERROR(INDEX(Työkonekanta!$I$3:$I$27,MATCH('S0a Baseline'!$A427,Työkonekanta!$A$3:$A$24,0),1)*(I427+J427)*f_adblue,0)</f>
        <v>0</v>
      </c>
      <c r="M427" s="146">
        <f t="shared" si="109"/>
        <v>0</v>
      </c>
      <c r="N427" s="143" t="str">
        <f>IF(tuulisähkö_vuosi&lt;='S0a Baseline'!C427,"tuulisähkö",ostosähkö_nyt)</f>
        <v>jäännössähkö</v>
      </c>
      <c r="O427" s="147">
        <f>INDEX(Muuttujat!$J$5:$J$21,MATCH($C427,Muuttujat!$H$5:$H$21,0),1)</f>
        <v>60.158234351438509</v>
      </c>
      <c r="P427" s="342">
        <f>1-(INDEX(Muuttujat!$O$5:$O$21,MATCH($C427,Muuttujat!$N$5:$N$21,0),1))</f>
        <v>0.9</v>
      </c>
      <c r="Q427" s="342">
        <f>INDEX(Muuttujat!$O$5:$O$21,MATCH($C427,Muuttujat!$N$5:$N$21,0),1)</f>
        <v>0.1</v>
      </c>
      <c r="R427" s="148">
        <f>INDEX(Muuttujat!$P$5:$P$21,MATCH($C427,Muuttujat!$N$5:$N$21,0),1)</f>
        <v>0.10417875759940039</v>
      </c>
      <c r="S427" s="149">
        <f t="shared" si="119"/>
        <v>0</v>
      </c>
      <c r="T427" s="150">
        <f t="shared" si="120"/>
        <v>0</v>
      </c>
      <c r="U427" s="150">
        <f t="shared" si="121"/>
        <v>0</v>
      </c>
      <c r="V427" s="150">
        <f>IFERROR(INDEX(Työkonekanta!$J$3:$J$27,MATCH($A427,Työkonekanta!$A$3:$A$24,0),1)*$B427*ef_li_ion_akku/1000/1000/INDEX(Työkonekanta!$K$3:$K$27,MATCH($A427,Työkonekanta!$A$3:$A$24,0)),0)</f>
        <v>0</v>
      </c>
      <c r="W427" s="149">
        <f t="shared" si="122"/>
        <v>0</v>
      </c>
      <c r="X427" s="150">
        <f t="shared" si="110"/>
        <v>0</v>
      </c>
      <c r="Y427" s="151">
        <f t="shared" si="111"/>
        <v>0</v>
      </c>
      <c r="Z427" s="152">
        <f t="shared" si="125"/>
        <v>0</v>
      </c>
      <c r="AA427" s="153">
        <f t="shared" si="113"/>
        <v>0</v>
      </c>
      <c r="AB427" s="153">
        <f t="shared" si="114"/>
        <v>0</v>
      </c>
      <c r="AC427" s="154">
        <f t="shared" si="112"/>
        <v>0</v>
      </c>
      <c r="AD427" s="156">
        <f t="shared" si="115"/>
        <v>0</v>
      </c>
    </row>
    <row r="428" spans="1:30" s="144" customFormat="1">
      <c r="A428" s="139">
        <v>6</v>
      </c>
      <c r="B428" s="139">
        <f>IFERROR(INDEX(Työkonekanta!$F$3:$F$27,MATCH('S0a Baseline'!$A428,Työkonekanta!$A$3:$A$24,0),1),0)</f>
        <v>0</v>
      </c>
      <c r="C428" s="140">
        <v>2033</v>
      </c>
      <c r="D428" s="141" t="str">
        <f>IFERROR(INDEX(Työkonekanta!$D$3:$D$27,MATCH('S0a Baseline'!$A428,Työkonekanta!$A$3:$A$24,0),1),"undefined")</f>
        <v>sähkö</v>
      </c>
      <c r="E428" s="145">
        <f>IFERROR(INDEX(Työkonekanta!$G$3:$G$27,MATCH($A428,Työkonekanta!$A$3:$A$24,0),1)*INDEX(Työkonekanta!$H$3:$H$27,MATCH($A428,Työkonekanta!$A$3:$A$24,0),1)*$B428,0)</f>
        <v>0</v>
      </c>
      <c r="F428" s="344">
        <f t="shared" si="116"/>
        <v>0</v>
      </c>
      <c r="G428" s="344">
        <f t="shared" si="123"/>
        <v>0</v>
      </c>
      <c r="H428" s="344">
        <f t="shared" si="124"/>
        <v>0</v>
      </c>
      <c r="I428" s="145">
        <f t="shared" si="117"/>
        <v>0</v>
      </c>
      <c r="J428" s="145">
        <f t="shared" si="118"/>
        <v>0</v>
      </c>
      <c r="K428" s="142" t="str">
        <f t="shared" ref="K428:K505" si="126">IF($D428="sähkö","kWh",IF($D428="pom","l","undefined"))</f>
        <v>kWh</v>
      </c>
      <c r="L428" s="146">
        <f>IFERROR(INDEX(Työkonekanta!$I$3:$I$27,MATCH('S0a Baseline'!$A428,Työkonekanta!$A$3:$A$24,0),1)*(I428+J428)*f_adblue,0)</f>
        <v>0</v>
      </c>
      <c r="M428" s="146">
        <f t="shared" si="109"/>
        <v>0</v>
      </c>
      <c r="N428" s="143" t="str">
        <f>IF(tuulisähkö_vuosi&lt;='S0a Baseline'!C428,"tuulisähkö",ostosähkö_nyt)</f>
        <v>jäännössähkö</v>
      </c>
      <c r="O428" s="147">
        <f>INDEX(Muuttujat!$J$5:$J$21,MATCH($C428,Muuttujat!$H$5:$H$21,0),1)</f>
        <v>60.158234351438509</v>
      </c>
      <c r="P428" s="342">
        <f>1-(INDEX(Muuttujat!$O$5:$O$21,MATCH($C428,Muuttujat!$N$5:$N$21,0),1))</f>
        <v>0.9</v>
      </c>
      <c r="Q428" s="342">
        <f>INDEX(Muuttujat!$O$5:$O$21,MATCH($C428,Muuttujat!$N$5:$N$21,0),1)</f>
        <v>0.1</v>
      </c>
      <c r="R428" s="148">
        <f>INDEX(Muuttujat!$P$5:$P$21,MATCH($C428,Muuttujat!$N$5:$N$21,0),1)</f>
        <v>0.10417875759940039</v>
      </c>
      <c r="S428" s="149">
        <f t="shared" si="119"/>
        <v>0</v>
      </c>
      <c r="T428" s="150">
        <f t="shared" si="120"/>
        <v>0</v>
      </c>
      <c r="U428" s="150">
        <f t="shared" si="121"/>
        <v>0</v>
      </c>
      <c r="V428" s="150">
        <f>IFERROR(INDEX(Työkonekanta!$J$3:$J$27,MATCH($A428,Työkonekanta!$A$3:$A$24,0),1)*$B428*ef_li_ion_akku/1000/1000/INDEX(Työkonekanta!$K$3:$K$27,MATCH($A428,Työkonekanta!$A$3:$A$24,0)),0)</f>
        <v>0</v>
      </c>
      <c r="W428" s="149">
        <f t="shared" si="122"/>
        <v>0</v>
      </c>
      <c r="X428" s="150">
        <f t="shared" si="110"/>
        <v>0</v>
      </c>
      <c r="Y428" s="151">
        <f t="shared" si="111"/>
        <v>0</v>
      </c>
      <c r="Z428" s="152">
        <f t="shared" si="125"/>
        <v>0</v>
      </c>
      <c r="AA428" s="153">
        <f t="shared" si="113"/>
        <v>0</v>
      </c>
      <c r="AB428" s="153">
        <f t="shared" si="114"/>
        <v>0</v>
      </c>
      <c r="AC428" s="154">
        <f t="shared" si="112"/>
        <v>0</v>
      </c>
      <c r="AD428" s="156">
        <f t="shared" si="115"/>
        <v>0</v>
      </c>
    </row>
    <row r="429" spans="1:30" s="144" customFormat="1">
      <c r="A429" s="139">
        <v>7</v>
      </c>
      <c r="B429" s="139">
        <f>IFERROR(INDEX(Työkonekanta!$F$3:$F$27,MATCH('S0a Baseline'!$A429,Työkonekanta!$A$3:$A$24,0),1),0)</f>
        <v>1</v>
      </c>
      <c r="C429" s="140">
        <v>2033</v>
      </c>
      <c r="D429" s="141" t="str">
        <f>IFERROR(INDEX(Työkonekanta!$D$3:$D$27,MATCH('S0a Baseline'!$A429,Työkonekanta!$A$3:$A$24,0),1),"undefined")</f>
        <v>pom</v>
      </c>
      <c r="E429" s="145">
        <f>IFERROR(INDEX(Työkonekanta!$G$3:$G$27,MATCH($A429,Työkonekanta!$A$3:$A$24,0),1)*INDEX(Työkonekanta!$H$3:$H$27,MATCH($A429,Työkonekanta!$A$3:$A$24,0),1)*$B429,0)</f>
        <v>10000</v>
      </c>
      <c r="F429" s="344">
        <f t="shared" si="116"/>
        <v>359000</v>
      </c>
      <c r="G429" s="344">
        <f t="shared" si="123"/>
        <v>323100</v>
      </c>
      <c r="H429" s="344">
        <f t="shared" si="124"/>
        <v>35900</v>
      </c>
      <c r="I429" s="145">
        <f t="shared" si="117"/>
        <v>9000</v>
      </c>
      <c r="J429" s="145">
        <f t="shared" si="118"/>
        <v>1046.6472303206997</v>
      </c>
      <c r="K429" s="142" t="str">
        <f t="shared" si="126"/>
        <v>l</v>
      </c>
      <c r="L429" s="146">
        <f>IFERROR(INDEX(Työkonekanta!$I$3:$I$27,MATCH('S0a Baseline'!$A429,Työkonekanta!$A$3:$A$24,0),1)*(I429+J429)*f_adblue,0)</f>
        <v>0</v>
      </c>
      <c r="M429" s="146">
        <f t="shared" si="109"/>
        <v>0</v>
      </c>
      <c r="N429" s="143" t="str">
        <f>IF(tuulisähkö_vuosi&lt;='S0a Baseline'!C429,"tuulisähkö",ostosähkö_nyt)</f>
        <v>jäännössähkö</v>
      </c>
      <c r="O429" s="147">
        <f>INDEX(Muuttujat!$J$5:$J$21,MATCH($C429,Muuttujat!$H$5:$H$21,0),1)</f>
        <v>60.158234351438509</v>
      </c>
      <c r="P429" s="342">
        <f>1-(INDEX(Muuttujat!$O$5:$O$21,MATCH($C429,Muuttujat!$N$5:$N$21,0),1))</f>
        <v>0.9</v>
      </c>
      <c r="Q429" s="342">
        <f>INDEX(Muuttujat!$O$5:$O$21,MATCH($C429,Muuttujat!$N$5:$N$21,0),1)</f>
        <v>0.1</v>
      </c>
      <c r="R429" s="148">
        <f>INDEX(Muuttujat!$P$5:$P$21,MATCH($C429,Muuttujat!$N$5:$N$21,0),1)</f>
        <v>0.10417875759940039</v>
      </c>
      <c r="S429" s="149">
        <f t="shared" si="119"/>
        <v>6.1065899999999997</v>
      </c>
      <c r="T429" s="150">
        <f t="shared" si="120"/>
        <v>2.2401599999999999</v>
      </c>
      <c r="U429" s="150">
        <f t="shared" si="121"/>
        <v>0</v>
      </c>
      <c r="V429" s="150">
        <f>IFERROR(INDEX(Työkonekanta!$J$3:$J$27,MATCH($A429,Työkonekanta!$A$3:$A$24,0),1)*$B429*ef_li_ion_akku/1000/1000/INDEX(Työkonekanta!$K$3:$K$27,MATCH($A429,Työkonekanta!$A$3:$A$24,0)),0)</f>
        <v>0</v>
      </c>
      <c r="W429" s="149">
        <f t="shared" si="122"/>
        <v>23.847446957400003</v>
      </c>
      <c r="X429" s="150">
        <f t="shared" si="110"/>
        <v>0.31774565999999999</v>
      </c>
      <c r="Y429" s="151">
        <f t="shared" si="111"/>
        <v>0</v>
      </c>
      <c r="Z429" s="152">
        <f t="shared" si="125"/>
        <v>8.3467500000000001</v>
      </c>
      <c r="AA429" s="153">
        <f t="shared" si="113"/>
        <v>23.847446957400003</v>
      </c>
      <c r="AB429" s="153">
        <f t="shared" si="114"/>
        <v>24.165192617400002</v>
      </c>
      <c r="AC429" s="154">
        <f t="shared" si="112"/>
        <v>32.194196957400003</v>
      </c>
      <c r="AD429" s="156">
        <f t="shared" si="115"/>
        <v>32.511942617400003</v>
      </c>
    </row>
    <row r="430" spans="1:30" s="144" customFormat="1">
      <c r="A430" s="139">
        <v>8</v>
      </c>
      <c r="B430" s="139">
        <f>IFERROR(INDEX(Työkonekanta!$F$3:$F$27,MATCH('S0a Baseline'!$A430,Työkonekanta!$A$3:$A$24,0),1),0)</f>
        <v>1</v>
      </c>
      <c r="C430" s="140">
        <v>2033</v>
      </c>
      <c r="D430" s="141" t="str">
        <f>IFERROR(INDEX(Työkonekanta!$D$3:$D$27,MATCH('S0a Baseline'!$A430,Työkonekanta!$A$3:$A$24,0),1),"undefined")</f>
        <v>pom</v>
      </c>
      <c r="E430" s="145">
        <f>IFERROR(INDEX(Työkonekanta!$G$3:$G$27,MATCH($A430,Työkonekanta!$A$3:$A$24,0),1)*INDEX(Työkonekanta!$H$3:$H$27,MATCH($A430,Työkonekanta!$A$3:$A$24,0),1)*$B430,0)</f>
        <v>10000</v>
      </c>
      <c r="F430" s="344">
        <f t="shared" si="116"/>
        <v>359000</v>
      </c>
      <c r="G430" s="344">
        <f t="shared" si="123"/>
        <v>323100</v>
      </c>
      <c r="H430" s="344">
        <f t="shared" si="124"/>
        <v>35900</v>
      </c>
      <c r="I430" s="145">
        <f t="shared" si="117"/>
        <v>9000</v>
      </c>
      <c r="J430" s="145">
        <f t="shared" si="118"/>
        <v>1046.6472303206997</v>
      </c>
      <c r="K430" s="142" t="str">
        <f t="shared" si="126"/>
        <v>l</v>
      </c>
      <c r="L430" s="146">
        <f>IFERROR(INDEX(Työkonekanta!$I$3:$I$27,MATCH('S0a Baseline'!$A430,Työkonekanta!$A$3:$A$24,0),1)*(I430+J430)*f_adblue,0)</f>
        <v>502.33236151603501</v>
      </c>
      <c r="M430" s="146">
        <f t="shared" si="109"/>
        <v>0</v>
      </c>
      <c r="N430" s="143" t="str">
        <f>IF(tuulisähkö_vuosi&lt;='S0a Baseline'!C430,"tuulisähkö",ostosähkö_nyt)</f>
        <v>jäännössähkö</v>
      </c>
      <c r="O430" s="147">
        <f>INDEX(Muuttujat!$J$5:$J$21,MATCH($C430,Muuttujat!$H$5:$H$21,0),1)</f>
        <v>60.158234351438509</v>
      </c>
      <c r="P430" s="342">
        <f>1-(INDEX(Muuttujat!$O$5:$O$21,MATCH($C430,Muuttujat!$N$5:$N$21,0),1))</f>
        <v>0.9</v>
      </c>
      <c r="Q430" s="342">
        <f>INDEX(Muuttujat!$O$5:$O$21,MATCH($C430,Muuttujat!$N$5:$N$21,0),1)</f>
        <v>0.1</v>
      </c>
      <c r="R430" s="148">
        <f>INDEX(Muuttujat!$P$5:$P$21,MATCH($C430,Muuttujat!$N$5:$N$21,0),1)</f>
        <v>0.10417875759940039</v>
      </c>
      <c r="S430" s="149">
        <f t="shared" si="119"/>
        <v>6.1065899999999997</v>
      </c>
      <c r="T430" s="150">
        <f t="shared" si="120"/>
        <v>2.2401599999999999</v>
      </c>
      <c r="U430" s="150">
        <f t="shared" si="121"/>
        <v>0</v>
      </c>
      <c r="V430" s="150">
        <f>IFERROR(INDEX(Työkonekanta!$J$3:$J$27,MATCH($A430,Työkonekanta!$A$3:$A$24,0),1)*$B430*ef_li_ion_akku/1000/1000/INDEX(Työkonekanta!$K$3:$K$27,MATCH($A430,Työkonekanta!$A$3:$A$24,0)),0)</f>
        <v>0</v>
      </c>
      <c r="W430" s="149">
        <f t="shared" si="122"/>
        <v>23.847446957400003</v>
      </c>
      <c r="X430" s="150">
        <f t="shared" si="110"/>
        <v>0.31774565999999999</v>
      </c>
      <c r="Y430" s="151">
        <f t="shared" si="111"/>
        <v>0.13060641399416908</v>
      </c>
      <c r="Z430" s="152">
        <f t="shared" si="125"/>
        <v>8.3467500000000001</v>
      </c>
      <c r="AA430" s="153">
        <f t="shared" si="113"/>
        <v>23.978053371394171</v>
      </c>
      <c r="AB430" s="153">
        <f t="shared" si="114"/>
        <v>24.295799031394171</v>
      </c>
      <c r="AC430" s="154">
        <f t="shared" si="112"/>
        <v>32.324803371394168</v>
      </c>
      <c r="AD430" s="156">
        <f t="shared" si="115"/>
        <v>32.642549031394168</v>
      </c>
    </row>
    <row r="431" spans="1:30" s="144" customFormat="1">
      <c r="A431" s="139">
        <v>9</v>
      </c>
      <c r="B431" s="139">
        <f>IFERROR(INDEX(Työkonekanta!$F$3:$F$27,MATCH('S0a Baseline'!$A431,Työkonekanta!$A$3:$A$24,0),1),0)</f>
        <v>0</v>
      </c>
      <c r="C431" s="140">
        <v>2033</v>
      </c>
      <c r="D431" s="141" t="str">
        <f>IFERROR(INDEX(Työkonekanta!$D$3:$D$27,MATCH('S0a Baseline'!$A431,Työkonekanta!$A$3:$A$24,0),1),"undefined")</f>
        <v>sähkö</v>
      </c>
      <c r="E431" s="145">
        <f>IFERROR(INDEX(Työkonekanta!$G$3:$G$27,MATCH($A431,Työkonekanta!$A$3:$A$24,0),1)*INDEX(Työkonekanta!$H$3:$H$27,MATCH($A431,Työkonekanta!$A$3:$A$24,0),1)*$B431,0)</f>
        <v>0</v>
      </c>
      <c r="F431" s="344">
        <f t="shared" si="116"/>
        <v>0</v>
      </c>
      <c r="G431" s="344">
        <f t="shared" si="123"/>
        <v>0</v>
      </c>
      <c r="H431" s="344">
        <f t="shared" si="124"/>
        <v>0</v>
      </c>
      <c r="I431" s="145">
        <f t="shared" si="117"/>
        <v>0</v>
      </c>
      <c r="J431" s="145">
        <f t="shared" si="118"/>
        <v>0</v>
      </c>
      <c r="K431" s="142" t="str">
        <f t="shared" si="126"/>
        <v>kWh</v>
      </c>
      <c r="L431" s="146">
        <f>IFERROR(INDEX(Työkonekanta!$I$3:$I$27,MATCH('S0a Baseline'!$A431,Työkonekanta!$A$3:$A$24,0),1)*(I431+J431)*f_adblue,0)</f>
        <v>0</v>
      </c>
      <c r="M431" s="146">
        <f t="shared" si="109"/>
        <v>0</v>
      </c>
      <c r="N431" s="143" t="str">
        <f>IF(tuulisähkö_vuosi&lt;='S0a Baseline'!C431,"tuulisähkö",ostosähkö_nyt)</f>
        <v>jäännössähkö</v>
      </c>
      <c r="O431" s="147">
        <f>INDEX(Muuttujat!$J$5:$J$21,MATCH($C431,Muuttujat!$H$5:$H$21,0),1)</f>
        <v>60.158234351438509</v>
      </c>
      <c r="P431" s="342">
        <f>1-(INDEX(Muuttujat!$O$5:$O$21,MATCH($C431,Muuttujat!$N$5:$N$21,0),1))</f>
        <v>0.9</v>
      </c>
      <c r="Q431" s="342">
        <f>INDEX(Muuttujat!$O$5:$O$21,MATCH($C431,Muuttujat!$N$5:$N$21,0),1)</f>
        <v>0.1</v>
      </c>
      <c r="R431" s="148">
        <f>INDEX(Muuttujat!$P$5:$P$21,MATCH($C431,Muuttujat!$N$5:$N$21,0),1)</f>
        <v>0.10417875759940039</v>
      </c>
      <c r="S431" s="149">
        <f t="shared" si="119"/>
        <v>0</v>
      </c>
      <c r="T431" s="150">
        <f t="shared" si="120"/>
        <v>0</v>
      </c>
      <c r="U431" s="150">
        <f t="shared" si="121"/>
        <v>0</v>
      </c>
      <c r="V431" s="150">
        <f>IFERROR(INDEX(Työkonekanta!$J$3:$J$27,MATCH($A431,Työkonekanta!$A$3:$A$24,0),1)*$B431*ef_li_ion_akku/1000/1000/INDEX(Työkonekanta!$K$3:$K$27,MATCH($A431,Työkonekanta!$A$3:$A$24,0)),0)</f>
        <v>0</v>
      </c>
      <c r="W431" s="149">
        <f t="shared" si="122"/>
        <v>0</v>
      </c>
      <c r="X431" s="150">
        <f t="shared" si="110"/>
        <v>0</v>
      </c>
      <c r="Y431" s="151">
        <f t="shared" si="111"/>
        <v>0</v>
      </c>
      <c r="Z431" s="152">
        <f t="shared" si="125"/>
        <v>0</v>
      </c>
      <c r="AA431" s="153">
        <f t="shared" si="113"/>
        <v>0</v>
      </c>
      <c r="AB431" s="153">
        <f t="shared" si="114"/>
        <v>0</v>
      </c>
      <c r="AC431" s="154">
        <f t="shared" si="112"/>
        <v>0</v>
      </c>
      <c r="AD431" s="156">
        <f t="shared" si="115"/>
        <v>0</v>
      </c>
    </row>
    <row r="432" spans="1:30" s="144" customFormat="1">
      <c r="A432" s="139">
        <v>10</v>
      </c>
      <c r="B432" s="139">
        <f>IFERROR(INDEX(Työkonekanta!$F$3:$F$27,MATCH('S0a Baseline'!$A432,Työkonekanta!$A$3:$A$24,0),1),0)</f>
        <v>0</v>
      </c>
      <c r="C432" s="140">
        <v>2033</v>
      </c>
      <c r="D432" s="141" t="str">
        <f>IFERROR(INDEX(Työkonekanta!$D$3:$D$27,MATCH('S0a Baseline'!$A432,Työkonekanta!$A$3:$A$24,0),1),"undefined")</f>
        <v>sähkö</v>
      </c>
      <c r="E432" s="145">
        <f>IFERROR(INDEX(Työkonekanta!$G$3:$G$27,MATCH($A432,Työkonekanta!$A$3:$A$24,0),1)*INDEX(Työkonekanta!$H$3:$H$27,MATCH($A432,Työkonekanta!$A$3:$A$24,0),1)*$B432,0)</f>
        <v>0</v>
      </c>
      <c r="F432" s="344">
        <f t="shared" si="116"/>
        <v>0</v>
      </c>
      <c r="G432" s="344">
        <f t="shared" si="123"/>
        <v>0</v>
      </c>
      <c r="H432" s="344">
        <f t="shared" si="124"/>
        <v>0</v>
      </c>
      <c r="I432" s="145">
        <f t="shared" si="117"/>
        <v>0</v>
      </c>
      <c r="J432" s="145">
        <f t="shared" si="118"/>
        <v>0</v>
      </c>
      <c r="K432" s="142" t="str">
        <f t="shared" si="126"/>
        <v>kWh</v>
      </c>
      <c r="L432" s="146">
        <f>IFERROR(INDEX(Työkonekanta!$I$3:$I$27,MATCH('S0a Baseline'!$A432,Työkonekanta!$A$3:$A$24,0),1)*(I432+J432)*f_adblue,0)</f>
        <v>0</v>
      </c>
      <c r="M432" s="146">
        <f t="shared" si="109"/>
        <v>0</v>
      </c>
      <c r="N432" s="143" t="str">
        <f>IF(tuulisähkö_vuosi&lt;='S0a Baseline'!C432,"tuulisähkö",ostosähkö_nyt)</f>
        <v>jäännössähkö</v>
      </c>
      <c r="O432" s="147">
        <f>INDEX(Muuttujat!$J$5:$J$21,MATCH($C432,Muuttujat!$H$5:$H$21,0),1)</f>
        <v>60.158234351438509</v>
      </c>
      <c r="P432" s="342">
        <f>1-(INDEX(Muuttujat!$O$5:$O$21,MATCH($C432,Muuttujat!$N$5:$N$21,0),1))</f>
        <v>0.9</v>
      </c>
      <c r="Q432" s="342">
        <f>INDEX(Muuttujat!$O$5:$O$21,MATCH($C432,Muuttujat!$N$5:$N$21,0),1)</f>
        <v>0.1</v>
      </c>
      <c r="R432" s="148">
        <f>INDEX(Muuttujat!$P$5:$P$21,MATCH($C432,Muuttujat!$N$5:$N$21,0),1)</f>
        <v>0.10417875759940039</v>
      </c>
      <c r="S432" s="149">
        <f t="shared" si="119"/>
        <v>0</v>
      </c>
      <c r="T432" s="150">
        <f t="shared" si="120"/>
        <v>0</v>
      </c>
      <c r="U432" s="150">
        <f t="shared" si="121"/>
        <v>0</v>
      </c>
      <c r="V432" s="150">
        <f>IFERROR(INDEX(Työkonekanta!$J$3:$J$27,MATCH($A432,Työkonekanta!$A$3:$A$24,0),1)*$B432*ef_li_ion_akku/1000/1000/INDEX(Työkonekanta!$K$3:$K$27,MATCH($A432,Työkonekanta!$A$3:$A$24,0)),0)</f>
        <v>0</v>
      </c>
      <c r="W432" s="149">
        <f t="shared" si="122"/>
        <v>0</v>
      </c>
      <c r="X432" s="150">
        <f t="shared" si="110"/>
        <v>0</v>
      </c>
      <c r="Y432" s="151">
        <f t="shared" si="111"/>
        <v>0</v>
      </c>
      <c r="Z432" s="152">
        <f t="shared" si="125"/>
        <v>0</v>
      </c>
      <c r="AA432" s="153">
        <f t="shared" si="113"/>
        <v>0</v>
      </c>
      <c r="AB432" s="153">
        <f t="shared" si="114"/>
        <v>0</v>
      </c>
      <c r="AC432" s="154">
        <f t="shared" si="112"/>
        <v>0</v>
      </c>
      <c r="AD432" s="156">
        <f t="shared" si="115"/>
        <v>0</v>
      </c>
    </row>
    <row r="433" spans="1:30" s="144" customFormat="1">
      <c r="A433" s="139">
        <v>11</v>
      </c>
      <c r="B433" s="139">
        <f>IFERROR(INDEX(Työkonekanta!$F$3:$F$27,MATCH('S0a Baseline'!$A433,Työkonekanta!$A$3:$A$24,0),1),0)</f>
        <v>1</v>
      </c>
      <c r="C433" s="140">
        <v>2033</v>
      </c>
      <c r="D433" s="141" t="str">
        <f>IFERROR(INDEX(Työkonekanta!$D$3:$D$27,MATCH('S0a Baseline'!$A433,Työkonekanta!$A$3:$A$24,0),1),"undefined")</f>
        <v>pom</v>
      </c>
      <c r="E433" s="145">
        <f>IFERROR(INDEX(Työkonekanta!$G$3:$G$27,MATCH($A433,Työkonekanta!$A$3:$A$24,0),1)*INDEX(Työkonekanta!$H$3:$H$27,MATCH($A433,Työkonekanta!$A$3:$A$24,0),1)*$B433,0)</f>
        <v>10000</v>
      </c>
      <c r="F433" s="344">
        <f t="shared" si="116"/>
        <v>359000</v>
      </c>
      <c r="G433" s="344">
        <f t="shared" si="123"/>
        <v>323100</v>
      </c>
      <c r="H433" s="344">
        <f t="shared" si="124"/>
        <v>35900</v>
      </c>
      <c r="I433" s="145">
        <f t="shared" si="117"/>
        <v>9000</v>
      </c>
      <c r="J433" s="145">
        <f t="shared" si="118"/>
        <v>1046.6472303206997</v>
      </c>
      <c r="K433" s="142" t="str">
        <f t="shared" si="126"/>
        <v>l</v>
      </c>
      <c r="L433" s="146">
        <f>IFERROR(INDEX(Työkonekanta!$I$3:$I$27,MATCH('S0a Baseline'!$A433,Työkonekanta!$A$3:$A$24,0),1)*(I433+J433)*f_adblue,0)</f>
        <v>502.33236151603501</v>
      </c>
      <c r="M433" s="146">
        <f t="shared" si="109"/>
        <v>0</v>
      </c>
      <c r="N433" s="143" t="str">
        <f>IF(tuulisähkö_vuosi&lt;='S0a Baseline'!C433,"tuulisähkö",ostosähkö_nyt)</f>
        <v>jäännössähkö</v>
      </c>
      <c r="O433" s="147">
        <f>INDEX(Muuttujat!$J$5:$J$21,MATCH($C433,Muuttujat!$H$5:$H$21,0),1)</f>
        <v>60.158234351438509</v>
      </c>
      <c r="P433" s="342">
        <f>1-(INDEX(Muuttujat!$O$5:$O$21,MATCH($C433,Muuttujat!$N$5:$N$21,0),1))</f>
        <v>0.9</v>
      </c>
      <c r="Q433" s="342">
        <f>INDEX(Muuttujat!$O$5:$O$21,MATCH($C433,Muuttujat!$N$5:$N$21,0),1)</f>
        <v>0.1</v>
      </c>
      <c r="R433" s="148">
        <f>INDEX(Muuttujat!$P$5:$P$21,MATCH($C433,Muuttujat!$N$5:$N$21,0),1)</f>
        <v>0.10417875759940039</v>
      </c>
      <c r="S433" s="149">
        <f t="shared" si="119"/>
        <v>6.1065899999999997</v>
      </c>
      <c r="T433" s="150">
        <f t="shared" si="120"/>
        <v>2.2401599999999999</v>
      </c>
      <c r="U433" s="150">
        <f t="shared" si="121"/>
        <v>0</v>
      </c>
      <c r="V433" s="150">
        <f>IFERROR(INDEX(Työkonekanta!$J$3:$J$27,MATCH($A433,Työkonekanta!$A$3:$A$24,0),1)*$B433*ef_li_ion_akku/1000/1000/INDEX(Työkonekanta!$K$3:$K$27,MATCH($A433,Työkonekanta!$A$3:$A$24,0)),0)</f>
        <v>0</v>
      </c>
      <c r="W433" s="149">
        <f t="shared" si="122"/>
        <v>23.847446957400003</v>
      </c>
      <c r="X433" s="150">
        <f t="shared" si="110"/>
        <v>0.31774565999999999</v>
      </c>
      <c r="Y433" s="151">
        <f t="shared" si="111"/>
        <v>0.13060641399416908</v>
      </c>
      <c r="Z433" s="152">
        <f t="shared" si="125"/>
        <v>8.3467500000000001</v>
      </c>
      <c r="AA433" s="153">
        <f t="shared" si="113"/>
        <v>23.978053371394171</v>
      </c>
      <c r="AB433" s="153">
        <f t="shared" si="114"/>
        <v>24.295799031394171</v>
      </c>
      <c r="AC433" s="154">
        <f t="shared" si="112"/>
        <v>32.324803371394168</v>
      </c>
      <c r="AD433" s="156">
        <f t="shared" si="115"/>
        <v>32.642549031394168</v>
      </c>
    </row>
    <row r="434" spans="1:30" s="144" customFormat="1">
      <c r="A434" s="139">
        <v>12</v>
      </c>
      <c r="B434" s="139">
        <f>IFERROR(INDEX(Työkonekanta!$F$3:$F$27,MATCH('S0a Baseline'!$A434,Työkonekanta!$A$3:$A$24,0),1),0)</f>
        <v>1</v>
      </c>
      <c r="C434" s="140">
        <v>2033</v>
      </c>
      <c r="D434" s="141" t="str">
        <f>IFERROR(INDEX(Työkonekanta!$D$3:$D$27,MATCH('S0a Baseline'!$A434,Työkonekanta!$A$3:$A$24,0),1),"undefined")</f>
        <v>pom</v>
      </c>
      <c r="E434" s="145">
        <f>IFERROR(INDEX(Työkonekanta!$G$3:$G$27,MATCH($A434,Työkonekanta!$A$3:$A$24,0),1)*INDEX(Työkonekanta!$H$3:$H$27,MATCH($A434,Työkonekanta!$A$3:$A$24,0),1)*$B434,0)</f>
        <v>10000</v>
      </c>
      <c r="F434" s="344">
        <f t="shared" si="116"/>
        <v>359000</v>
      </c>
      <c r="G434" s="344">
        <f t="shared" si="123"/>
        <v>323100</v>
      </c>
      <c r="H434" s="344">
        <f t="shared" si="124"/>
        <v>35900</v>
      </c>
      <c r="I434" s="145">
        <f t="shared" si="117"/>
        <v>9000</v>
      </c>
      <c r="J434" s="145">
        <f t="shared" si="118"/>
        <v>1046.6472303206997</v>
      </c>
      <c r="K434" s="142" t="str">
        <f t="shared" si="126"/>
        <v>l</v>
      </c>
      <c r="L434" s="146">
        <f>IFERROR(INDEX(Työkonekanta!$I$3:$I$27,MATCH('S0a Baseline'!$A434,Työkonekanta!$A$3:$A$24,0),1)*(I434+J434)*f_adblue,0)</f>
        <v>502.33236151603501</v>
      </c>
      <c r="M434" s="146">
        <f t="shared" si="109"/>
        <v>0</v>
      </c>
      <c r="N434" s="143" t="str">
        <f>IF(tuulisähkö_vuosi&lt;='S0a Baseline'!C434,"tuulisähkö",ostosähkö_nyt)</f>
        <v>jäännössähkö</v>
      </c>
      <c r="O434" s="147">
        <f>INDEX(Muuttujat!$J$5:$J$21,MATCH($C434,Muuttujat!$H$5:$H$21,0),1)</f>
        <v>60.158234351438509</v>
      </c>
      <c r="P434" s="342">
        <f>1-(INDEX(Muuttujat!$O$5:$O$21,MATCH($C434,Muuttujat!$N$5:$N$21,0),1))</f>
        <v>0.9</v>
      </c>
      <c r="Q434" s="342">
        <f>INDEX(Muuttujat!$O$5:$O$21,MATCH($C434,Muuttujat!$N$5:$N$21,0),1)</f>
        <v>0.1</v>
      </c>
      <c r="R434" s="148">
        <f>INDEX(Muuttujat!$P$5:$P$21,MATCH($C434,Muuttujat!$N$5:$N$21,0),1)</f>
        <v>0.10417875759940039</v>
      </c>
      <c r="S434" s="149">
        <f t="shared" si="119"/>
        <v>6.1065899999999997</v>
      </c>
      <c r="T434" s="150">
        <f t="shared" si="120"/>
        <v>2.2401599999999999</v>
      </c>
      <c r="U434" s="150">
        <f t="shared" si="121"/>
        <v>0</v>
      </c>
      <c r="V434" s="150">
        <f>IFERROR(INDEX(Työkonekanta!$J$3:$J$27,MATCH($A434,Työkonekanta!$A$3:$A$24,0),1)*$B434*ef_li_ion_akku/1000/1000/INDEX(Työkonekanta!$K$3:$K$27,MATCH($A434,Työkonekanta!$A$3:$A$24,0)),0)</f>
        <v>0</v>
      </c>
      <c r="W434" s="149">
        <f t="shared" si="122"/>
        <v>23.847446957400003</v>
      </c>
      <c r="X434" s="150">
        <f t="shared" si="110"/>
        <v>0.31774565999999999</v>
      </c>
      <c r="Y434" s="151">
        <f t="shared" si="111"/>
        <v>0.13060641399416908</v>
      </c>
      <c r="Z434" s="152">
        <f t="shared" si="125"/>
        <v>8.3467500000000001</v>
      </c>
      <c r="AA434" s="153">
        <f t="shared" si="113"/>
        <v>23.978053371394171</v>
      </c>
      <c r="AB434" s="153">
        <f t="shared" si="114"/>
        <v>24.295799031394171</v>
      </c>
      <c r="AC434" s="154">
        <f t="shared" si="112"/>
        <v>32.324803371394168</v>
      </c>
      <c r="AD434" s="156">
        <f t="shared" si="115"/>
        <v>32.642549031394168</v>
      </c>
    </row>
    <row r="435" spans="1:30" s="144" customFormat="1">
      <c r="A435" s="139">
        <v>13</v>
      </c>
      <c r="B435" s="139">
        <f>IFERROR(INDEX(Työkonekanta!$F$3:$F$27,MATCH('S0a Baseline'!$A435,Työkonekanta!$A$3:$A$24,0),1),0)</f>
        <v>0</v>
      </c>
      <c r="C435" s="140">
        <v>2033</v>
      </c>
      <c r="D435" s="141" t="str">
        <f>IFERROR(INDEX(Työkonekanta!$D$3:$D$27,MATCH('S0a Baseline'!$A435,Työkonekanta!$A$3:$A$24,0),1),"undefined")</f>
        <v>pom</v>
      </c>
      <c r="E435" s="145">
        <f>IFERROR(INDEX(Työkonekanta!$G$3:$G$27,MATCH($A435,Työkonekanta!$A$3:$A$24,0),1)*INDEX(Työkonekanta!$H$3:$H$27,MATCH($A435,Työkonekanta!$A$3:$A$24,0),1)*$B435,0)</f>
        <v>0</v>
      </c>
      <c r="F435" s="344">
        <f t="shared" si="116"/>
        <v>0</v>
      </c>
      <c r="G435" s="344">
        <f t="shared" si="123"/>
        <v>0</v>
      </c>
      <c r="H435" s="344">
        <f t="shared" si="124"/>
        <v>0</v>
      </c>
      <c r="I435" s="145">
        <f t="shared" si="117"/>
        <v>0</v>
      </c>
      <c r="J435" s="145">
        <f t="shared" si="118"/>
        <v>0</v>
      </c>
      <c r="K435" s="142" t="str">
        <f t="shared" si="126"/>
        <v>l</v>
      </c>
      <c r="L435" s="146">
        <f>IFERROR(INDEX(Työkonekanta!$I$3:$I$27,MATCH('S0a Baseline'!$A435,Työkonekanta!$A$3:$A$24,0),1)*(I435+J435)*f_adblue,0)</f>
        <v>0</v>
      </c>
      <c r="M435" s="146">
        <f t="shared" ref="M435:M512" si="127">IF($D435="sähkö",conv_kwh_mj*$E435,0)</f>
        <v>0</v>
      </c>
      <c r="N435" s="143" t="str">
        <f>IF(tuulisähkö_vuosi&lt;='S0a Baseline'!C435,"tuulisähkö",ostosähkö_nyt)</f>
        <v>jäännössähkö</v>
      </c>
      <c r="O435" s="147">
        <f>INDEX(Muuttujat!$J$5:$J$21,MATCH($C435,Muuttujat!$H$5:$H$21,0),1)</f>
        <v>60.158234351438509</v>
      </c>
      <c r="P435" s="342">
        <f>1-(INDEX(Muuttujat!$O$5:$O$21,MATCH($C435,Muuttujat!$N$5:$N$21,0),1))</f>
        <v>0.9</v>
      </c>
      <c r="Q435" s="342">
        <f>INDEX(Muuttujat!$O$5:$O$21,MATCH($C435,Muuttujat!$N$5:$N$21,0),1)</f>
        <v>0.1</v>
      </c>
      <c r="R435" s="148">
        <f>INDEX(Muuttujat!$P$5:$P$21,MATCH($C435,Muuttujat!$N$5:$N$21,0),1)</f>
        <v>0.10417875759940039</v>
      </c>
      <c r="S435" s="149">
        <f t="shared" si="119"/>
        <v>0</v>
      </c>
      <c r="T435" s="150">
        <f t="shared" si="120"/>
        <v>0</v>
      </c>
      <c r="U435" s="150">
        <f t="shared" si="121"/>
        <v>0</v>
      </c>
      <c r="V435" s="150">
        <f>IFERROR(INDEX(Työkonekanta!$J$3:$J$27,MATCH($A435,Työkonekanta!$A$3:$A$24,0),1)*$B435*ef_li_ion_akku/1000/1000/INDEX(Työkonekanta!$K$3:$K$27,MATCH($A435,Työkonekanta!$A$3:$A$24,0)),0)</f>
        <v>0</v>
      </c>
      <c r="W435" s="149">
        <f t="shared" si="122"/>
        <v>0</v>
      </c>
      <c r="X435" s="150">
        <f t="shared" ref="X435:X512" si="128">($E435*(IF($D435="pom",ef_v_ch4_pom,0)*gwp100_ch4+IF($D435="pom",ef_v_n2o_pom,0)*gwp100_n2o))/1000/1000</f>
        <v>0</v>
      </c>
      <c r="Y435" s="151">
        <f t="shared" ref="Y435:Y512" si="129">$L435*ef_v_co2_adblue/1000/1000</f>
        <v>0</v>
      </c>
      <c r="Z435" s="152">
        <f t="shared" si="125"/>
        <v>0</v>
      </c>
      <c r="AA435" s="153">
        <f t="shared" si="113"/>
        <v>0</v>
      </c>
      <c r="AB435" s="153">
        <f t="shared" si="114"/>
        <v>0</v>
      </c>
      <c r="AC435" s="154">
        <f t="shared" ref="AC435:AC505" si="130">$Z435+$AA435</f>
        <v>0</v>
      </c>
      <c r="AD435" s="156">
        <f t="shared" si="115"/>
        <v>0</v>
      </c>
    </row>
    <row r="436" spans="1:30" s="144" customFormat="1">
      <c r="A436" s="139">
        <v>14</v>
      </c>
      <c r="B436" s="139">
        <f>IFERROR(INDEX(Työkonekanta!$F$3:$F$27,MATCH('S0a Baseline'!$A436,Työkonekanta!$A$3:$A$24,0),1),0)</f>
        <v>0</v>
      </c>
      <c r="C436" s="140">
        <v>2033</v>
      </c>
      <c r="D436" s="141" t="str">
        <f>IFERROR(INDEX(Työkonekanta!$D$3:$D$27,MATCH('S0a Baseline'!$A436,Työkonekanta!$A$3:$A$24,0),1),"undefined")</f>
        <v>pom</v>
      </c>
      <c r="E436" s="145">
        <f>IFERROR(INDEX(Työkonekanta!$G$3:$G$27,MATCH($A436,Työkonekanta!$A$3:$A$24,0),1)*INDEX(Työkonekanta!$H$3:$H$27,MATCH($A436,Työkonekanta!$A$3:$A$24,0),1)*$B436,0)</f>
        <v>0</v>
      </c>
      <c r="F436" s="344">
        <f t="shared" si="116"/>
        <v>0</v>
      </c>
      <c r="G436" s="344">
        <f t="shared" si="123"/>
        <v>0</v>
      </c>
      <c r="H436" s="344">
        <f t="shared" si="124"/>
        <v>0</v>
      </c>
      <c r="I436" s="145">
        <f t="shared" si="117"/>
        <v>0</v>
      </c>
      <c r="J436" s="145">
        <f t="shared" si="118"/>
        <v>0</v>
      </c>
      <c r="K436" s="142" t="str">
        <f t="shared" si="126"/>
        <v>l</v>
      </c>
      <c r="L436" s="146">
        <f>IFERROR(INDEX(Työkonekanta!$I$3:$I$27,MATCH('S0a Baseline'!$A436,Työkonekanta!$A$3:$A$24,0),1)*(I436+J436)*f_adblue,0)</f>
        <v>0</v>
      </c>
      <c r="M436" s="146">
        <f t="shared" si="127"/>
        <v>0</v>
      </c>
      <c r="N436" s="143" t="str">
        <f>IF(tuulisähkö_vuosi&lt;='S0a Baseline'!C436,"tuulisähkö",ostosähkö_nyt)</f>
        <v>jäännössähkö</v>
      </c>
      <c r="O436" s="147">
        <f>INDEX(Muuttujat!$J$5:$J$21,MATCH($C436,Muuttujat!$H$5:$H$21,0),1)</f>
        <v>60.158234351438509</v>
      </c>
      <c r="P436" s="342">
        <f>1-(INDEX(Muuttujat!$O$5:$O$21,MATCH($C436,Muuttujat!$N$5:$N$21,0),1))</f>
        <v>0.9</v>
      </c>
      <c r="Q436" s="342">
        <f>INDEX(Muuttujat!$O$5:$O$21,MATCH($C436,Muuttujat!$N$5:$N$21,0),1)</f>
        <v>0.1</v>
      </c>
      <c r="R436" s="148">
        <f>INDEX(Muuttujat!$P$5:$P$21,MATCH($C436,Muuttujat!$N$5:$N$21,0),1)</f>
        <v>0.10417875759940039</v>
      </c>
      <c r="S436" s="149">
        <f t="shared" si="119"/>
        <v>0</v>
      </c>
      <c r="T436" s="150">
        <f t="shared" si="120"/>
        <v>0</v>
      </c>
      <c r="U436" s="150">
        <f t="shared" si="121"/>
        <v>0</v>
      </c>
      <c r="V436" s="150">
        <f>IFERROR(INDEX(Työkonekanta!$J$3:$J$27,MATCH($A436,Työkonekanta!$A$3:$A$24,0),1)*$B436*ef_li_ion_akku/1000/1000/INDEX(Työkonekanta!$K$3:$K$27,MATCH($A436,Työkonekanta!$A$3:$A$24,0)),0)</f>
        <v>0</v>
      </c>
      <c r="W436" s="149">
        <f t="shared" si="122"/>
        <v>0</v>
      </c>
      <c r="X436" s="150">
        <f t="shared" si="128"/>
        <v>0</v>
      </c>
      <c r="Y436" s="151">
        <f t="shared" si="129"/>
        <v>0</v>
      </c>
      <c r="Z436" s="152">
        <f t="shared" si="125"/>
        <v>0</v>
      </c>
      <c r="AA436" s="153">
        <f t="shared" ref="AA436:AA505" si="131">$W436+$Y436</f>
        <v>0</v>
      </c>
      <c r="AB436" s="153">
        <f t="shared" ref="AB436:AB505" si="132">SUM($W436:$Y436)</f>
        <v>0</v>
      </c>
      <c r="AC436" s="154">
        <f t="shared" si="130"/>
        <v>0</v>
      </c>
      <c r="AD436" s="156">
        <f t="shared" ref="AD436:AD505" si="133">$Z436+$AB436</f>
        <v>0</v>
      </c>
    </row>
    <row r="437" spans="1:30" s="144" customFormat="1">
      <c r="A437" s="139">
        <v>15</v>
      </c>
      <c r="B437" s="139">
        <f>IFERROR(INDEX(Työkonekanta!$F$3:$F$27,MATCH('S0a Baseline'!$A437,Työkonekanta!$A$3:$A$24,0),1),0)</f>
        <v>0</v>
      </c>
      <c r="C437" s="140">
        <v>2033</v>
      </c>
      <c r="D437" s="141" t="str">
        <f>IFERROR(INDEX(Työkonekanta!$D$3:$D$27,MATCH('S0a Baseline'!$A437,Työkonekanta!$A$3:$A$24,0),1),"undefined")</f>
        <v>sähkö</v>
      </c>
      <c r="E437" s="145">
        <f>IFERROR(INDEX(Työkonekanta!$G$3:$G$27,MATCH($A437,Työkonekanta!$A$3:$A$24,0),1)*INDEX(Työkonekanta!$H$3:$H$27,MATCH($A437,Työkonekanta!$A$3:$A$24,0),1)*$B437,0)</f>
        <v>0</v>
      </c>
      <c r="F437" s="344">
        <f t="shared" si="116"/>
        <v>0</v>
      </c>
      <c r="G437" s="344">
        <f t="shared" si="123"/>
        <v>0</v>
      </c>
      <c r="H437" s="344">
        <f t="shared" si="124"/>
        <v>0</v>
      </c>
      <c r="I437" s="145">
        <f t="shared" si="117"/>
        <v>0</v>
      </c>
      <c r="J437" s="145">
        <f t="shared" si="118"/>
        <v>0</v>
      </c>
      <c r="K437" s="142" t="str">
        <f t="shared" si="126"/>
        <v>kWh</v>
      </c>
      <c r="L437" s="146">
        <f>IFERROR(INDEX(Työkonekanta!$I$3:$I$27,MATCH('S0a Baseline'!$A437,Työkonekanta!$A$3:$A$24,0),1)*(I437+J437)*f_adblue,0)</f>
        <v>0</v>
      </c>
      <c r="M437" s="146">
        <f t="shared" si="127"/>
        <v>0</v>
      </c>
      <c r="N437" s="143" t="str">
        <f>IF(tuulisähkö_vuosi&lt;='S0a Baseline'!C437,"tuulisähkö",ostosähkö_nyt)</f>
        <v>jäännössähkö</v>
      </c>
      <c r="O437" s="147">
        <f>INDEX(Muuttujat!$J$5:$J$21,MATCH($C437,Muuttujat!$H$5:$H$21,0),1)</f>
        <v>60.158234351438509</v>
      </c>
      <c r="P437" s="342">
        <f>1-(INDEX(Muuttujat!$O$5:$O$21,MATCH($C437,Muuttujat!$N$5:$N$21,0),1))</f>
        <v>0.9</v>
      </c>
      <c r="Q437" s="342">
        <f>INDEX(Muuttujat!$O$5:$O$21,MATCH($C437,Muuttujat!$N$5:$N$21,0),1)</f>
        <v>0.1</v>
      </c>
      <c r="R437" s="148">
        <f>INDEX(Muuttujat!$P$5:$P$21,MATCH($C437,Muuttujat!$N$5:$N$21,0),1)</f>
        <v>0.10417875759940039</v>
      </c>
      <c r="S437" s="149">
        <f t="shared" si="119"/>
        <v>0</v>
      </c>
      <c r="T437" s="150">
        <f t="shared" si="120"/>
        <v>0</v>
      </c>
      <c r="U437" s="150">
        <f t="shared" si="121"/>
        <v>0</v>
      </c>
      <c r="V437" s="150">
        <f>IFERROR(INDEX(Työkonekanta!$J$3:$J$27,MATCH($A437,Työkonekanta!$A$3:$A$24,0),1)*$B437*ef_li_ion_akku/1000/1000/INDEX(Työkonekanta!$K$3:$K$27,MATCH($A437,Työkonekanta!$A$3:$A$24,0)),0)</f>
        <v>0</v>
      </c>
      <c r="W437" s="149">
        <f t="shared" si="122"/>
        <v>0</v>
      </c>
      <c r="X437" s="150">
        <f t="shared" si="128"/>
        <v>0</v>
      </c>
      <c r="Y437" s="151">
        <f t="shared" si="129"/>
        <v>0</v>
      </c>
      <c r="Z437" s="152">
        <f t="shared" si="125"/>
        <v>0</v>
      </c>
      <c r="AA437" s="153">
        <f t="shared" si="131"/>
        <v>0</v>
      </c>
      <c r="AB437" s="153">
        <f t="shared" si="132"/>
        <v>0</v>
      </c>
      <c r="AC437" s="154">
        <f t="shared" si="130"/>
        <v>0</v>
      </c>
      <c r="AD437" s="156">
        <f t="shared" si="133"/>
        <v>0</v>
      </c>
    </row>
    <row r="438" spans="1:30" s="144" customFormat="1">
      <c r="A438" s="139">
        <v>16</v>
      </c>
      <c r="B438" s="139">
        <f>IFERROR(INDEX(Työkonekanta!$F$3:$F$27,MATCH('S0a Baseline'!$A438,Työkonekanta!$A$3:$A$24,0),1),0)</f>
        <v>0</v>
      </c>
      <c r="C438" s="140">
        <v>2033</v>
      </c>
      <c r="D438" s="141" t="str">
        <f>IFERROR(INDEX(Työkonekanta!$D$3:$D$27,MATCH('S0a Baseline'!$A438,Työkonekanta!$A$3:$A$24,0),1),"undefined")</f>
        <v>sähkö</v>
      </c>
      <c r="E438" s="145">
        <f>IFERROR(INDEX(Työkonekanta!$G$3:$G$27,MATCH($A438,Työkonekanta!$A$3:$A$24,0),1)*INDEX(Työkonekanta!$H$3:$H$27,MATCH($A438,Työkonekanta!$A$3:$A$24,0),1)*$B438,0)</f>
        <v>0</v>
      </c>
      <c r="F438" s="344">
        <f t="shared" si="116"/>
        <v>0</v>
      </c>
      <c r="G438" s="344">
        <f t="shared" si="123"/>
        <v>0</v>
      </c>
      <c r="H438" s="344">
        <f t="shared" si="124"/>
        <v>0</v>
      </c>
      <c r="I438" s="145">
        <f t="shared" si="117"/>
        <v>0</v>
      </c>
      <c r="J438" s="145">
        <f t="shared" si="118"/>
        <v>0</v>
      </c>
      <c r="K438" s="142" t="str">
        <f t="shared" si="126"/>
        <v>kWh</v>
      </c>
      <c r="L438" s="146">
        <f>IFERROR(INDEX(Työkonekanta!$I$3:$I$27,MATCH('S0a Baseline'!$A438,Työkonekanta!$A$3:$A$24,0),1)*(I438+J438)*f_adblue,0)</f>
        <v>0</v>
      </c>
      <c r="M438" s="146">
        <f t="shared" si="127"/>
        <v>0</v>
      </c>
      <c r="N438" s="143" t="str">
        <f>IF(tuulisähkö_vuosi&lt;='S0a Baseline'!C438,"tuulisähkö",ostosähkö_nyt)</f>
        <v>jäännössähkö</v>
      </c>
      <c r="O438" s="147">
        <f>INDEX(Muuttujat!$J$5:$J$21,MATCH($C438,Muuttujat!$H$5:$H$21,0),1)</f>
        <v>60.158234351438509</v>
      </c>
      <c r="P438" s="342">
        <f>1-(INDEX(Muuttujat!$O$5:$O$21,MATCH($C438,Muuttujat!$N$5:$N$21,0),1))</f>
        <v>0.9</v>
      </c>
      <c r="Q438" s="342">
        <f>INDEX(Muuttujat!$O$5:$O$21,MATCH($C438,Muuttujat!$N$5:$N$21,0),1)</f>
        <v>0.1</v>
      </c>
      <c r="R438" s="148">
        <f>INDEX(Muuttujat!$P$5:$P$21,MATCH($C438,Muuttujat!$N$5:$N$21,0),1)</f>
        <v>0.10417875759940039</v>
      </c>
      <c r="S438" s="149">
        <f t="shared" si="119"/>
        <v>0</v>
      </c>
      <c r="T438" s="150">
        <f t="shared" si="120"/>
        <v>0</v>
      </c>
      <c r="U438" s="150">
        <f t="shared" si="121"/>
        <v>0</v>
      </c>
      <c r="V438" s="150">
        <f>IFERROR(INDEX(Työkonekanta!$J$3:$J$27,MATCH($A438,Työkonekanta!$A$3:$A$24,0),1)*$B438*ef_li_ion_akku/1000/1000/INDEX(Työkonekanta!$K$3:$K$27,MATCH($A438,Työkonekanta!$A$3:$A$24,0)),0)</f>
        <v>0</v>
      </c>
      <c r="W438" s="149">
        <f t="shared" si="122"/>
        <v>0</v>
      </c>
      <c r="X438" s="150">
        <f t="shared" si="128"/>
        <v>0</v>
      </c>
      <c r="Y438" s="151">
        <f t="shared" si="129"/>
        <v>0</v>
      </c>
      <c r="Z438" s="152">
        <f t="shared" si="125"/>
        <v>0</v>
      </c>
      <c r="AA438" s="153">
        <f t="shared" si="131"/>
        <v>0</v>
      </c>
      <c r="AB438" s="153">
        <f t="shared" si="132"/>
        <v>0</v>
      </c>
      <c r="AC438" s="154">
        <f t="shared" si="130"/>
        <v>0</v>
      </c>
      <c r="AD438" s="156">
        <f t="shared" si="133"/>
        <v>0</v>
      </c>
    </row>
    <row r="439" spans="1:30" s="144" customFormat="1">
      <c r="A439" s="139">
        <v>17</v>
      </c>
      <c r="B439" s="139">
        <f>IFERROR(INDEX(Työkonekanta!$F$3:$F$27,MATCH('S0a Baseline'!$A439,Työkonekanta!$A$3:$A$24,0),1),0)</f>
        <v>1</v>
      </c>
      <c r="C439" s="140">
        <v>2033</v>
      </c>
      <c r="D439" s="141" t="str">
        <f>IFERROR(INDEX(Työkonekanta!$D$3:$D$27,MATCH('S0a Baseline'!$A439,Työkonekanta!$A$3:$A$24,0),1),"undefined")</f>
        <v>pom</v>
      </c>
      <c r="E439" s="145">
        <f>IFERROR(INDEX(Työkonekanta!$G$3:$G$27,MATCH($A439,Työkonekanta!$A$3:$A$24,0),1)*INDEX(Työkonekanta!$H$3:$H$27,MATCH($A439,Työkonekanta!$A$3:$A$24,0),1)*$B439,0)</f>
        <v>10000</v>
      </c>
      <c r="F439" s="344">
        <f t="shared" si="116"/>
        <v>359000</v>
      </c>
      <c r="G439" s="344">
        <f t="shared" si="123"/>
        <v>323100</v>
      </c>
      <c r="H439" s="344">
        <f t="shared" si="124"/>
        <v>35900</v>
      </c>
      <c r="I439" s="145">
        <f t="shared" si="117"/>
        <v>9000</v>
      </c>
      <c r="J439" s="145">
        <f t="shared" si="118"/>
        <v>1046.6472303206997</v>
      </c>
      <c r="K439" s="142" t="str">
        <f t="shared" si="126"/>
        <v>l</v>
      </c>
      <c r="L439" s="146">
        <f>IFERROR(INDEX(Työkonekanta!$I$3:$I$27,MATCH('S0a Baseline'!$A439,Työkonekanta!$A$3:$A$24,0),1)*(I439+J439)*f_adblue,0)</f>
        <v>502.33236151603501</v>
      </c>
      <c r="M439" s="146">
        <f t="shared" si="127"/>
        <v>0</v>
      </c>
      <c r="N439" s="143" t="str">
        <f>IF(tuulisähkö_vuosi&lt;='S0a Baseline'!C439,"tuulisähkö",ostosähkö_nyt)</f>
        <v>jäännössähkö</v>
      </c>
      <c r="O439" s="147">
        <f>INDEX(Muuttujat!$J$5:$J$21,MATCH($C439,Muuttujat!$H$5:$H$21,0),1)</f>
        <v>60.158234351438509</v>
      </c>
      <c r="P439" s="342">
        <f>1-(INDEX(Muuttujat!$O$5:$O$21,MATCH($C439,Muuttujat!$N$5:$N$21,0),1))</f>
        <v>0.9</v>
      </c>
      <c r="Q439" s="342">
        <f>INDEX(Muuttujat!$O$5:$O$21,MATCH($C439,Muuttujat!$N$5:$N$21,0),1)</f>
        <v>0.1</v>
      </c>
      <c r="R439" s="148">
        <f>INDEX(Muuttujat!$P$5:$P$21,MATCH($C439,Muuttujat!$N$5:$N$21,0),1)</f>
        <v>0.10417875759940039</v>
      </c>
      <c r="S439" s="149">
        <f t="shared" si="119"/>
        <v>6.1065899999999997</v>
      </c>
      <c r="T439" s="150">
        <f t="shared" si="120"/>
        <v>2.2401599999999999</v>
      </c>
      <c r="U439" s="150">
        <f t="shared" si="121"/>
        <v>0</v>
      </c>
      <c r="V439" s="150">
        <f>IFERROR(INDEX(Työkonekanta!$J$3:$J$27,MATCH($A439,Työkonekanta!$A$3:$A$24,0),1)*$B439*ef_li_ion_akku/1000/1000/INDEX(Työkonekanta!$K$3:$K$27,MATCH($A439,Työkonekanta!$A$3:$A$24,0)),0)</f>
        <v>0</v>
      </c>
      <c r="W439" s="149">
        <f t="shared" si="122"/>
        <v>23.847446957400003</v>
      </c>
      <c r="X439" s="150">
        <f t="shared" si="128"/>
        <v>0.31774565999999999</v>
      </c>
      <c r="Y439" s="151">
        <f t="shared" si="129"/>
        <v>0.13060641399416908</v>
      </c>
      <c r="Z439" s="152">
        <f t="shared" si="125"/>
        <v>8.3467500000000001</v>
      </c>
      <c r="AA439" s="153">
        <f t="shared" si="131"/>
        <v>23.978053371394171</v>
      </c>
      <c r="AB439" s="153">
        <f t="shared" si="132"/>
        <v>24.295799031394171</v>
      </c>
      <c r="AC439" s="154">
        <f t="shared" si="130"/>
        <v>32.324803371394168</v>
      </c>
      <c r="AD439" s="156">
        <f t="shared" si="133"/>
        <v>32.642549031394168</v>
      </c>
    </row>
    <row r="440" spans="1:30" s="144" customFormat="1">
      <c r="A440" s="139">
        <v>18</v>
      </c>
      <c r="B440" s="139">
        <f>IFERROR(INDEX(Työkonekanta!$F$3:$F$27,MATCH('S0a Baseline'!$A440,Työkonekanta!$A$3:$A$24,0),1),0)</f>
        <v>1</v>
      </c>
      <c r="C440" s="140">
        <v>2033</v>
      </c>
      <c r="D440" s="141" t="str">
        <f>IFERROR(INDEX(Työkonekanta!$D$3:$D$27,MATCH('S0a Baseline'!$A440,Työkonekanta!$A$3:$A$24,0),1),"undefined")</f>
        <v>pom</v>
      </c>
      <c r="E440" s="145">
        <f>IFERROR(INDEX(Työkonekanta!$G$3:$G$27,MATCH($A440,Työkonekanta!$A$3:$A$24,0),1)*INDEX(Työkonekanta!$H$3:$H$27,MATCH($A440,Työkonekanta!$A$3:$A$24,0),1)*$B440,0)</f>
        <v>10000</v>
      </c>
      <c r="F440" s="344">
        <f t="shared" si="116"/>
        <v>359000</v>
      </c>
      <c r="G440" s="344">
        <f t="shared" si="123"/>
        <v>323100</v>
      </c>
      <c r="H440" s="344">
        <f t="shared" si="124"/>
        <v>35900</v>
      </c>
      <c r="I440" s="145">
        <f t="shared" si="117"/>
        <v>9000</v>
      </c>
      <c r="J440" s="145">
        <f t="shared" si="118"/>
        <v>1046.6472303206997</v>
      </c>
      <c r="K440" s="142" t="str">
        <f t="shared" si="126"/>
        <v>l</v>
      </c>
      <c r="L440" s="146">
        <f>IFERROR(INDEX(Työkonekanta!$I$3:$I$27,MATCH('S0a Baseline'!$A440,Työkonekanta!$A$3:$A$24,0),1)*(I440+J440)*f_adblue,0)</f>
        <v>401.86588921282805</v>
      </c>
      <c r="M440" s="146">
        <f t="shared" si="127"/>
        <v>0</v>
      </c>
      <c r="N440" s="143" t="str">
        <f>IF(tuulisähkö_vuosi&lt;='S0a Baseline'!C440,"tuulisähkö",ostosähkö_nyt)</f>
        <v>jäännössähkö</v>
      </c>
      <c r="O440" s="147">
        <f>INDEX(Muuttujat!$J$5:$J$21,MATCH($C440,Muuttujat!$H$5:$H$21,0),1)</f>
        <v>60.158234351438509</v>
      </c>
      <c r="P440" s="342">
        <f>1-(INDEX(Muuttujat!$O$5:$O$21,MATCH($C440,Muuttujat!$N$5:$N$21,0),1))</f>
        <v>0.9</v>
      </c>
      <c r="Q440" s="342">
        <f>INDEX(Muuttujat!$O$5:$O$21,MATCH($C440,Muuttujat!$N$5:$N$21,0),1)</f>
        <v>0.1</v>
      </c>
      <c r="R440" s="148">
        <f>INDEX(Muuttujat!$P$5:$P$21,MATCH($C440,Muuttujat!$N$5:$N$21,0),1)</f>
        <v>0.10417875759940039</v>
      </c>
      <c r="S440" s="149">
        <f t="shared" si="119"/>
        <v>6.1065899999999997</v>
      </c>
      <c r="T440" s="150">
        <f t="shared" si="120"/>
        <v>2.2401599999999999</v>
      </c>
      <c r="U440" s="150">
        <f t="shared" si="121"/>
        <v>0</v>
      </c>
      <c r="V440" s="150">
        <f>IFERROR(INDEX(Työkonekanta!$J$3:$J$27,MATCH($A440,Työkonekanta!$A$3:$A$24,0),1)*$B440*ef_li_ion_akku/1000/1000/INDEX(Työkonekanta!$K$3:$K$27,MATCH($A440,Työkonekanta!$A$3:$A$24,0)),0)</f>
        <v>0</v>
      </c>
      <c r="W440" s="149">
        <f t="shared" si="122"/>
        <v>23.847446957400003</v>
      </c>
      <c r="X440" s="150">
        <f t="shared" si="128"/>
        <v>0.31774565999999999</v>
      </c>
      <c r="Y440" s="151">
        <f t="shared" si="129"/>
        <v>0.1044851311953353</v>
      </c>
      <c r="Z440" s="152">
        <f t="shared" si="125"/>
        <v>8.3467500000000001</v>
      </c>
      <c r="AA440" s="153">
        <f t="shared" si="131"/>
        <v>23.951932088595338</v>
      </c>
      <c r="AB440" s="153">
        <f t="shared" si="132"/>
        <v>24.269677748595338</v>
      </c>
      <c r="AC440" s="154">
        <f t="shared" si="130"/>
        <v>32.298682088595342</v>
      </c>
      <c r="AD440" s="156">
        <f t="shared" si="133"/>
        <v>32.616427748595342</v>
      </c>
    </row>
    <row r="441" spans="1:30" s="144" customFormat="1">
      <c r="A441" s="139">
        <v>19</v>
      </c>
      <c r="B441" s="139">
        <f>IFERROR(INDEX(Työkonekanta!$F$3:$F$27,MATCH('S0a Baseline'!$A441,Työkonekanta!$A$3:$A$24,0),1),0)</f>
        <v>0</v>
      </c>
      <c r="C441" s="140">
        <v>2033</v>
      </c>
      <c r="D441" s="141" t="str">
        <f>IFERROR(INDEX(Työkonekanta!$D$3:$D$27,MATCH('S0a Baseline'!$A441,Työkonekanta!$A$3:$A$24,0),1),"undefined")</f>
        <v>pom</v>
      </c>
      <c r="E441" s="145">
        <f>IFERROR(INDEX(Työkonekanta!$G$3:$G$27,MATCH($A441,Työkonekanta!$A$3:$A$24,0),1)*INDEX(Työkonekanta!$H$3:$H$27,MATCH($A441,Työkonekanta!$A$3:$A$24,0),1)*$B441,0)</f>
        <v>0</v>
      </c>
      <c r="F441" s="344">
        <f t="shared" si="116"/>
        <v>0</v>
      </c>
      <c r="G441" s="344">
        <f t="shared" si="123"/>
        <v>0</v>
      </c>
      <c r="H441" s="344">
        <f t="shared" si="124"/>
        <v>0</v>
      </c>
      <c r="I441" s="145">
        <f t="shared" si="117"/>
        <v>0</v>
      </c>
      <c r="J441" s="145">
        <f t="shared" si="118"/>
        <v>0</v>
      </c>
      <c r="K441" s="142" t="str">
        <f t="shared" si="126"/>
        <v>l</v>
      </c>
      <c r="L441" s="146">
        <f>IFERROR(INDEX(Työkonekanta!$I$3:$I$27,MATCH('S0a Baseline'!$A441,Työkonekanta!$A$3:$A$24,0),1)*(I441+J441)*f_adblue,0)</f>
        <v>0</v>
      </c>
      <c r="M441" s="146">
        <f t="shared" si="127"/>
        <v>0</v>
      </c>
      <c r="N441" s="143" t="str">
        <f>IF(tuulisähkö_vuosi&lt;='S0a Baseline'!C441,"tuulisähkö",ostosähkö_nyt)</f>
        <v>jäännössähkö</v>
      </c>
      <c r="O441" s="147">
        <f>INDEX(Muuttujat!$J$5:$J$21,MATCH($C441,Muuttujat!$H$5:$H$21,0),1)</f>
        <v>60.158234351438509</v>
      </c>
      <c r="P441" s="342">
        <f>1-(INDEX(Muuttujat!$O$5:$O$21,MATCH($C441,Muuttujat!$N$5:$N$21,0),1))</f>
        <v>0.9</v>
      </c>
      <c r="Q441" s="342">
        <f>INDEX(Muuttujat!$O$5:$O$21,MATCH($C441,Muuttujat!$N$5:$N$21,0),1)</f>
        <v>0.1</v>
      </c>
      <c r="R441" s="148">
        <f>INDEX(Muuttujat!$P$5:$P$21,MATCH($C441,Muuttujat!$N$5:$N$21,0),1)</f>
        <v>0.10417875759940039</v>
      </c>
      <c r="S441" s="149">
        <f t="shared" si="119"/>
        <v>0</v>
      </c>
      <c r="T441" s="150">
        <f t="shared" si="120"/>
        <v>0</v>
      </c>
      <c r="U441" s="150">
        <f t="shared" si="121"/>
        <v>0</v>
      </c>
      <c r="V441" s="150">
        <f>IFERROR(INDEX(Työkonekanta!$J$3:$J$27,MATCH($A441,Työkonekanta!$A$3:$A$24,0),1)*$B441*ef_li_ion_akku/1000/1000/INDEX(Työkonekanta!$K$3:$K$27,MATCH($A441,Työkonekanta!$A$3:$A$24,0)),0)</f>
        <v>0</v>
      </c>
      <c r="W441" s="149">
        <f t="shared" si="122"/>
        <v>0</v>
      </c>
      <c r="X441" s="150">
        <f t="shared" si="128"/>
        <v>0</v>
      </c>
      <c r="Y441" s="151">
        <f t="shared" si="129"/>
        <v>0</v>
      </c>
      <c r="Z441" s="152">
        <f t="shared" si="125"/>
        <v>0</v>
      </c>
      <c r="AA441" s="153">
        <f t="shared" si="131"/>
        <v>0</v>
      </c>
      <c r="AB441" s="153">
        <f t="shared" si="132"/>
        <v>0</v>
      </c>
      <c r="AC441" s="154">
        <f t="shared" si="130"/>
        <v>0</v>
      </c>
      <c r="AD441" s="156">
        <f t="shared" si="133"/>
        <v>0</v>
      </c>
    </row>
    <row r="442" spans="1:30" s="144" customFormat="1">
      <c r="A442" s="139">
        <v>20</v>
      </c>
      <c r="B442" s="139">
        <f>IFERROR(INDEX(Työkonekanta!$F$3:$F$27,MATCH('S0a Baseline'!$A442,Työkonekanta!$A$3:$A$24,0),1),0)</f>
        <v>0</v>
      </c>
      <c r="C442" s="140">
        <v>2033</v>
      </c>
      <c r="D442" s="141" t="str">
        <f>IFERROR(INDEX(Työkonekanta!$D$3:$D$27,MATCH('S0a Baseline'!$A442,Työkonekanta!$A$3:$A$24,0),1),"undefined")</f>
        <v>pom</v>
      </c>
      <c r="E442" s="145">
        <f>IFERROR(INDEX(Työkonekanta!$G$3:$G$27,MATCH($A442,Työkonekanta!$A$3:$A$24,0),1)*INDEX(Työkonekanta!$H$3:$H$27,MATCH($A442,Työkonekanta!$A$3:$A$24,0),1)*$B442,0)</f>
        <v>0</v>
      </c>
      <c r="F442" s="344">
        <f t="shared" si="116"/>
        <v>0</v>
      </c>
      <c r="G442" s="344">
        <f t="shared" si="123"/>
        <v>0</v>
      </c>
      <c r="H442" s="344">
        <f t="shared" si="124"/>
        <v>0</v>
      </c>
      <c r="I442" s="145">
        <f t="shared" si="117"/>
        <v>0</v>
      </c>
      <c r="J442" s="145">
        <f t="shared" si="118"/>
        <v>0</v>
      </c>
      <c r="K442" s="142" t="str">
        <f t="shared" si="126"/>
        <v>l</v>
      </c>
      <c r="L442" s="146">
        <f>IFERROR(INDEX(Työkonekanta!$I$3:$I$27,MATCH('S0a Baseline'!$A442,Työkonekanta!$A$3:$A$24,0),1)*(I442+J442)*f_adblue,0)</f>
        <v>0</v>
      </c>
      <c r="M442" s="146">
        <f t="shared" si="127"/>
        <v>0</v>
      </c>
      <c r="N442" s="143" t="str">
        <f>IF(tuulisähkö_vuosi&lt;='S0a Baseline'!C442,"tuulisähkö",ostosähkö_nyt)</f>
        <v>jäännössähkö</v>
      </c>
      <c r="O442" s="147">
        <f>INDEX(Muuttujat!$J$5:$J$21,MATCH($C442,Muuttujat!$H$5:$H$21,0),1)</f>
        <v>60.158234351438509</v>
      </c>
      <c r="P442" s="342">
        <f>1-(INDEX(Muuttujat!$O$5:$O$21,MATCH($C442,Muuttujat!$N$5:$N$21,0),1))</f>
        <v>0.9</v>
      </c>
      <c r="Q442" s="342">
        <f>INDEX(Muuttujat!$O$5:$O$21,MATCH($C442,Muuttujat!$N$5:$N$21,0),1)</f>
        <v>0.1</v>
      </c>
      <c r="R442" s="148">
        <f>INDEX(Muuttujat!$P$5:$P$21,MATCH($C442,Muuttujat!$N$5:$N$21,0),1)</f>
        <v>0.10417875759940039</v>
      </c>
      <c r="S442" s="149">
        <f t="shared" si="119"/>
        <v>0</v>
      </c>
      <c r="T442" s="150">
        <f t="shared" si="120"/>
        <v>0</v>
      </c>
      <c r="U442" s="150">
        <f t="shared" si="121"/>
        <v>0</v>
      </c>
      <c r="V442" s="150">
        <f>IFERROR(INDEX(Työkonekanta!$J$3:$J$27,MATCH($A442,Työkonekanta!$A$3:$A$24,0),1)*$B442*ef_li_ion_akku/1000/1000/INDEX(Työkonekanta!$K$3:$K$27,MATCH($A442,Työkonekanta!$A$3:$A$24,0)),0)</f>
        <v>0</v>
      </c>
      <c r="W442" s="149">
        <f t="shared" si="122"/>
        <v>0</v>
      </c>
      <c r="X442" s="150">
        <f t="shared" si="128"/>
        <v>0</v>
      </c>
      <c r="Y442" s="151">
        <f t="shared" si="129"/>
        <v>0</v>
      </c>
      <c r="Z442" s="152">
        <f t="shared" si="125"/>
        <v>0</v>
      </c>
      <c r="AA442" s="153">
        <f t="shared" si="131"/>
        <v>0</v>
      </c>
      <c r="AB442" s="153">
        <f t="shared" si="132"/>
        <v>0</v>
      </c>
      <c r="AC442" s="154">
        <f t="shared" si="130"/>
        <v>0</v>
      </c>
      <c r="AD442" s="156">
        <f t="shared" si="133"/>
        <v>0</v>
      </c>
    </row>
    <row r="443" spans="1:30" s="144" customFormat="1">
      <c r="A443" s="139">
        <v>21</v>
      </c>
      <c r="B443" s="139">
        <f>IFERROR(INDEX(Työkonekanta!$F$3:$F$27,MATCH('S0a Baseline'!$A443,Työkonekanta!$A$3:$A$24,0),1),0)</f>
        <v>35</v>
      </c>
      <c r="C443" s="140">
        <v>2033</v>
      </c>
      <c r="D443" s="141" t="str">
        <f>IFERROR(INDEX(Työkonekanta!$D$3:$D$27,MATCH('S0a Baseline'!$A443,Työkonekanta!$A$3:$A$24,0),1),"undefined")</f>
        <v>sähkö</v>
      </c>
      <c r="E443" s="145">
        <f>IFERROR(INDEX(Työkonekanta!$G$3:$G$27,MATCH($A443,Työkonekanta!$A$3:$A$24,0),1)*INDEX(Työkonekanta!$H$3:$H$27,MATCH($A443,Työkonekanta!$A$3:$A$24,0),1)*$B443,0)</f>
        <v>407199.07407407404</v>
      </c>
      <c r="F443" s="344">
        <f t="shared" si="116"/>
        <v>0</v>
      </c>
      <c r="G443" s="344">
        <f t="shared" si="123"/>
        <v>0</v>
      </c>
      <c r="H443" s="344">
        <f t="shared" si="124"/>
        <v>0</v>
      </c>
      <c r="I443" s="145">
        <f t="shared" si="117"/>
        <v>0</v>
      </c>
      <c r="J443" s="145">
        <f t="shared" si="118"/>
        <v>0</v>
      </c>
      <c r="K443" s="142" t="str">
        <f t="shared" si="126"/>
        <v>kWh</v>
      </c>
      <c r="L443" s="146">
        <f>IFERROR(INDEX(Työkonekanta!$I$3:$I$27,MATCH('S0a Baseline'!$A443,Työkonekanta!$A$3:$A$24,0),1)*(I443+J443)*f_adblue,0)</f>
        <v>0</v>
      </c>
      <c r="M443" s="146">
        <f t="shared" si="127"/>
        <v>1465916.6666666665</v>
      </c>
      <c r="N443" s="143" t="str">
        <f>IF(tuulisähkö_vuosi&lt;='S0a Baseline'!C443,"tuulisähkö",ostosähkö_nyt)</f>
        <v>jäännössähkö</v>
      </c>
      <c r="O443" s="147">
        <f>INDEX(Muuttujat!$J$5:$J$21,MATCH($C443,Muuttujat!$H$5:$H$21,0),1)</f>
        <v>60.158234351438509</v>
      </c>
      <c r="P443" s="342">
        <f>1-(INDEX(Muuttujat!$O$5:$O$21,MATCH($C443,Muuttujat!$N$5:$N$21,0),1))</f>
        <v>0.9</v>
      </c>
      <c r="Q443" s="342">
        <f>INDEX(Muuttujat!$O$5:$O$21,MATCH($C443,Muuttujat!$N$5:$N$21,0),1)</f>
        <v>0.1</v>
      </c>
      <c r="R443" s="148">
        <f>INDEX(Muuttujat!$P$5:$P$21,MATCH($C443,Muuttujat!$N$5:$N$21,0),1)</f>
        <v>0.10417875759940039</v>
      </c>
      <c r="S443" s="149">
        <f t="shared" si="119"/>
        <v>0</v>
      </c>
      <c r="T443" s="150">
        <f t="shared" si="120"/>
        <v>0</v>
      </c>
      <c r="U443" s="150">
        <f t="shared" si="121"/>
        <v>88.186958373012885</v>
      </c>
      <c r="V443" s="150">
        <f>IFERROR(INDEX(Työkonekanta!$J$3:$J$27,MATCH($A443,Työkonekanta!$A$3:$A$24,0),1)*$B443*ef_li_ion_akku/1000/1000/INDEX(Työkonekanta!$K$3:$K$27,MATCH($A443,Työkonekanta!$A$3:$A$24,0)),0)</f>
        <v>43.121723076923082</v>
      </c>
      <c r="W443" s="149">
        <f t="shared" si="122"/>
        <v>0</v>
      </c>
      <c r="X443" s="150">
        <f t="shared" si="128"/>
        <v>0</v>
      </c>
      <c r="Y443" s="151">
        <f t="shared" si="129"/>
        <v>0</v>
      </c>
      <c r="Z443" s="152">
        <f t="shared" si="125"/>
        <v>131.30868144993596</v>
      </c>
      <c r="AA443" s="153">
        <f t="shared" si="131"/>
        <v>0</v>
      </c>
      <c r="AB443" s="153">
        <f t="shared" si="132"/>
        <v>0</v>
      </c>
      <c r="AC443" s="154">
        <f t="shared" si="130"/>
        <v>131.30868144993596</v>
      </c>
      <c r="AD443" s="156">
        <f t="shared" si="133"/>
        <v>131.30868144993596</v>
      </c>
    </row>
    <row r="444" spans="1:30" s="144" customFormat="1">
      <c r="A444" s="139">
        <v>22</v>
      </c>
      <c r="B444" s="139">
        <f>IFERROR(INDEX(Työkonekanta!$F$3:$F$27,MATCH('S0a Baseline'!$A444,Työkonekanta!$A$3:$A$24,0),1),0)</f>
        <v>0</v>
      </c>
      <c r="C444" s="140">
        <v>2033</v>
      </c>
      <c r="D444" s="141" t="str">
        <f>IFERROR(INDEX(Työkonekanta!$D$3:$D$27,MATCH('S0a Baseline'!$A444,Työkonekanta!$A$3:$A$24,0),1),"undefined")</f>
        <v>sähkö</v>
      </c>
      <c r="E444" s="145">
        <f>IFERROR(INDEX(Työkonekanta!$G$3:$G$27,MATCH($A444,Työkonekanta!$A$3:$A$24,0),1)*INDEX(Työkonekanta!$H$3:$H$27,MATCH($A444,Työkonekanta!$A$3:$A$24,0),1)*$B444,0)</f>
        <v>0</v>
      </c>
      <c r="F444" s="344">
        <f t="shared" si="116"/>
        <v>0</v>
      </c>
      <c r="G444" s="344">
        <f t="shared" si="123"/>
        <v>0</v>
      </c>
      <c r="H444" s="344">
        <f t="shared" si="124"/>
        <v>0</v>
      </c>
      <c r="I444" s="145">
        <f t="shared" si="117"/>
        <v>0</v>
      </c>
      <c r="J444" s="145">
        <f t="shared" si="118"/>
        <v>0</v>
      </c>
      <c r="K444" s="142" t="str">
        <f t="shared" si="126"/>
        <v>kWh</v>
      </c>
      <c r="L444" s="146">
        <f>IFERROR(INDEX(Työkonekanta!$I$3:$I$27,MATCH('S0a Baseline'!$A444,Työkonekanta!$A$3:$A$24,0),1)*(I444+J444)*f_adblue,0)</f>
        <v>0</v>
      </c>
      <c r="M444" s="146">
        <f t="shared" si="127"/>
        <v>0</v>
      </c>
      <c r="N444" s="143" t="str">
        <f>IF(tuulisähkö_vuosi&lt;='S0a Baseline'!C444,"tuulisähkö",ostosähkö_nyt)</f>
        <v>jäännössähkö</v>
      </c>
      <c r="O444" s="147">
        <f>INDEX(Muuttujat!$J$5:$J$21,MATCH($C444,Muuttujat!$H$5:$H$21,0),1)</f>
        <v>60.158234351438509</v>
      </c>
      <c r="P444" s="342">
        <f>1-(INDEX(Muuttujat!$O$5:$O$21,MATCH($C444,Muuttujat!$N$5:$N$21,0),1))</f>
        <v>0.9</v>
      </c>
      <c r="Q444" s="342">
        <f>INDEX(Muuttujat!$O$5:$O$21,MATCH($C444,Muuttujat!$N$5:$N$21,0),1)</f>
        <v>0.1</v>
      </c>
      <c r="R444" s="148">
        <f>INDEX(Muuttujat!$P$5:$P$21,MATCH($C444,Muuttujat!$N$5:$N$21,0),1)</f>
        <v>0.10417875759940039</v>
      </c>
      <c r="S444" s="149">
        <f t="shared" si="119"/>
        <v>0</v>
      </c>
      <c r="T444" s="150">
        <f t="shared" si="120"/>
        <v>0</v>
      </c>
      <c r="U444" s="150">
        <f t="shared" si="121"/>
        <v>0</v>
      </c>
      <c r="V444" s="150">
        <f>IFERROR(INDEX(Työkonekanta!$J$3:$J$27,MATCH($A444,Työkonekanta!$A$3:$A$24,0),1)*$B444*ef_li_ion_akku/1000/1000/INDEX(Työkonekanta!$K$3:$K$27,MATCH($A444,Työkonekanta!$A$3:$A$24,0)),0)</f>
        <v>0</v>
      </c>
      <c r="W444" s="149">
        <f t="shared" si="122"/>
        <v>0</v>
      </c>
      <c r="X444" s="150">
        <f t="shared" si="128"/>
        <v>0</v>
      </c>
      <c r="Y444" s="151">
        <f t="shared" si="129"/>
        <v>0</v>
      </c>
      <c r="Z444" s="152">
        <f t="shared" si="125"/>
        <v>0</v>
      </c>
      <c r="AA444" s="153">
        <f t="shared" si="131"/>
        <v>0</v>
      </c>
      <c r="AB444" s="153">
        <f t="shared" si="132"/>
        <v>0</v>
      </c>
      <c r="AC444" s="154">
        <f t="shared" si="130"/>
        <v>0</v>
      </c>
      <c r="AD444" s="156">
        <f t="shared" si="133"/>
        <v>0</v>
      </c>
    </row>
    <row r="445" spans="1:30" s="144" customFormat="1">
      <c r="A445" s="139">
        <v>23</v>
      </c>
      <c r="B445" s="139">
        <f>IFERROR(INDEX(Työkonekanta!$F$3:$F$27,MATCH('S0a Baseline'!$A445,Työkonekanta!$A$3:$A$24,0),1),0)</f>
        <v>0</v>
      </c>
      <c r="C445" s="140">
        <v>2033</v>
      </c>
      <c r="D445" s="141" t="str">
        <f>IFERROR(INDEX(Työkonekanta!$D$3:$D$27,MATCH('S0a Baseline'!$A445,Työkonekanta!$A$3:$A$24,0),1),"undefined")</f>
        <v>undefined</v>
      </c>
      <c r="E445" s="145">
        <f>IFERROR(INDEX(Työkonekanta!$G$3:$G$27,MATCH($A445,Työkonekanta!$A$3:$A$24,0),1)*INDEX(Työkonekanta!$H$3:$H$27,MATCH($A445,Työkonekanta!$A$3:$A$24,0),1)*$B445,0)</f>
        <v>0</v>
      </c>
      <c r="F445" s="344">
        <f t="shared" si="116"/>
        <v>0</v>
      </c>
      <c r="G445" s="344">
        <f t="shared" si="123"/>
        <v>0</v>
      </c>
      <c r="H445" s="344">
        <f t="shared" si="124"/>
        <v>0</v>
      </c>
      <c r="I445" s="145">
        <f t="shared" si="117"/>
        <v>0</v>
      </c>
      <c r="J445" s="145">
        <f t="shared" si="118"/>
        <v>0</v>
      </c>
      <c r="K445" s="142" t="str">
        <f t="shared" si="126"/>
        <v>undefined</v>
      </c>
      <c r="L445" s="146">
        <f>IFERROR(INDEX(Työkonekanta!$I$3:$I$27,MATCH('S0a Baseline'!$A445,Työkonekanta!$A$3:$A$24,0),1)*(I445+J445)*f_adblue,0)</f>
        <v>0</v>
      </c>
      <c r="M445" s="146">
        <f t="shared" si="127"/>
        <v>0</v>
      </c>
      <c r="N445" s="143" t="str">
        <f>IF(tuulisähkö_vuosi&lt;='S0a Baseline'!C445,"tuulisähkö",ostosähkö_nyt)</f>
        <v>jäännössähkö</v>
      </c>
      <c r="O445" s="147">
        <f>INDEX(Muuttujat!$J$5:$J$21,MATCH($C445,Muuttujat!$H$5:$H$21,0),1)</f>
        <v>60.158234351438509</v>
      </c>
      <c r="P445" s="342">
        <f>1-(INDEX(Muuttujat!$O$5:$O$21,MATCH($C445,Muuttujat!$N$5:$N$21,0),1))</f>
        <v>0.9</v>
      </c>
      <c r="Q445" s="342">
        <f>INDEX(Muuttujat!$O$5:$O$21,MATCH($C445,Muuttujat!$N$5:$N$21,0),1)</f>
        <v>0.1</v>
      </c>
      <c r="R445" s="148">
        <f>INDEX(Muuttujat!$P$5:$P$21,MATCH($C445,Muuttujat!$N$5:$N$21,0),1)</f>
        <v>0.10417875759940039</v>
      </c>
      <c r="S445" s="149">
        <f t="shared" si="119"/>
        <v>0</v>
      </c>
      <c r="T445" s="150">
        <f t="shared" si="120"/>
        <v>0</v>
      </c>
      <c r="U445" s="150">
        <f t="shared" si="121"/>
        <v>0</v>
      </c>
      <c r="V445" s="150">
        <f>IFERROR(INDEX(Työkonekanta!$J$3:$J$27,MATCH($A445,Työkonekanta!$A$3:$A$24,0),1)*$B445*ef_li_ion_akku/1000/1000/INDEX(Työkonekanta!$K$3:$K$27,MATCH($A445,Työkonekanta!$A$3:$A$24,0)),0)</f>
        <v>0</v>
      </c>
      <c r="W445" s="149">
        <f t="shared" si="122"/>
        <v>0</v>
      </c>
      <c r="X445" s="150">
        <f t="shared" si="128"/>
        <v>0</v>
      </c>
      <c r="Y445" s="151">
        <f t="shared" si="129"/>
        <v>0</v>
      </c>
      <c r="Z445" s="152">
        <f t="shared" si="125"/>
        <v>0</v>
      </c>
      <c r="AA445" s="153">
        <f t="shared" si="131"/>
        <v>0</v>
      </c>
      <c r="AB445" s="153">
        <f t="shared" si="132"/>
        <v>0</v>
      </c>
      <c r="AC445" s="154">
        <f t="shared" si="130"/>
        <v>0</v>
      </c>
      <c r="AD445" s="156">
        <f t="shared" si="133"/>
        <v>0</v>
      </c>
    </row>
    <row r="446" spans="1:30" s="144" customFormat="1">
      <c r="A446" s="139">
        <v>24</v>
      </c>
      <c r="B446" s="139">
        <f>IFERROR(INDEX(Työkonekanta!$F$3:$F$27,MATCH('S0a Baseline'!$A446,Työkonekanta!$A$3:$A$24,0),1),0)</f>
        <v>0</v>
      </c>
      <c r="C446" s="140">
        <v>2033</v>
      </c>
      <c r="D446" s="141" t="str">
        <f>IFERROR(INDEX(Työkonekanta!$D$3:$D$27,MATCH('S0a Baseline'!$A446,Työkonekanta!$A$3:$A$24,0),1),"undefined")</f>
        <v>undefined</v>
      </c>
      <c r="E446" s="145">
        <f>IFERROR(INDEX(Työkonekanta!$G$3:$G$27,MATCH($A446,Työkonekanta!$A$3:$A$24,0),1)*INDEX(Työkonekanta!$H$3:$H$27,MATCH($A446,Työkonekanta!$A$3:$A$24,0),1)*$B446,0)</f>
        <v>0</v>
      </c>
      <c r="F446" s="344">
        <f t="shared" si="116"/>
        <v>0</v>
      </c>
      <c r="G446" s="344">
        <f t="shared" si="123"/>
        <v>0</v>
      </c>
      <c r="H446" s="344">
        <f t="shared" si="124"/>
        <v>0</v>
      </c>
      <c r="I446" s="145">
        <f t="shared" si="117"/>
        <v>0</v>
      </c>
      <c r="J446" s="145">
        <f t="shared" si="118"/>
        <v>0</v>
      </c>
      <c r="K446" s="142" t="str">
        <f t="shared" si="126"/>
        <v>undefined</v>
      </c>
      <c r="L446" s="146">
        <f>IFERROR(INDEX(Työkonekanta!$I$3:$I$27,MATCH('S0a Baseline'!$A446,Työkonekanta!$A$3:$A$24,0),1)*(I446+J446)*f_adblue,0)</f>
        <v>0</v>
      </c>
      <c r="M446" s="146">
        <f t="shared" si="127"/>
        <v>0</v>
      </c>
      <c r="N446" s="143" t="str">
        <f>IF(tuulisähkö_vuosi&lt;='S0a Baseline'!C446,"tuulisähkö",ostosähkö_nyt)</f>
        <v>jäännössähkö</v>
      </c>
      <c r="O446" s="147">
        <f>INDEX(Muuttujat!$J$5:$J$21,MATCH($C446,Muuttujat!$H$5:$H$21,0),1)</f>
        <v>60.158234351438509</v>
      </c>
      <c r="P446" s="342">
        <f>1-(INDEX(Muuttujat!$O$5:$O$21,MATCH($C446,Muuttujat!$N$5:$N$21,0),1))</f>
        <v>0.9</v>
      </c>
      <c r="Q446" s="342">
        <f>INDEX(Muuttujat!$O$5:$O$21,MATCH($C446,Muuttujat!$N$5:$N$21,0),1)</f>
        <v>0.1</v>
      </c>
      <c r="R446" s="148">
        <f>INDEX(Muuttujat!$P$5:$P$21,MATCH($C446,Muuttujat!$N$5:$N$21,0),1)</f>
        <v>0.10417875759940039</v>
      </c>
      <c r="S446" s="149">
        <f t="shared" si="119"/>
        <v>0</v>
      </c>
      <c r="T446" s="150">
        <f t="shared" si="120"/>
        <v>0</v>
      </c>
      <c r="U446" s="150">
        <f t="shared" si="121"/>
        <v>0</v>
      </c>
      <c r="V446" s="150">
        <f>IFERROR(INDEX(Työkonekanta!$J$3:$J$27,MATCH($A446,Työkonekanta!$A$3:$A$24,0),1)*$B446*ef_li_ion_akku/1000/1000/INDEX(Työkonekanta!$K$3:$K$27,MATCH($A446,Työkonekanta!$A$3:$A$24,0)),0)</f>
        <v>0</v>
      </c>
      <c r="W446" s="149">
        <f t="shared" si="122"/>
        <v>0</v>
      </c>
      <c r="X446" s="150">
        <f t="shared" si="128"/>
        <v>0</v>
      </c>
      <c r="Y446" s="151">
        <f t="shared" si="129"/>
        <v>0</v>
      </c>
      <c r="Z446" s="152">
        <f t="shared" si="125"/>
        <v>0</v>
      </c>
      <c r="AA446" s="153">
        <f t="shared" si="131"/>
        <v>0</v>
      </c>
      <c r="AB446" s="153">
        <f t="shared" si="132"/>
        <v>0</v>
      </c>
      <c r="AC446" s="154">
        <f t="shared" si="130"/>
        <v>0</v>
      </c>
      <c r="AD446" s="156">
        <f t="shared" si="133"/>
        <v>0</v>
      </c>
    </row>
    <row r="447" spans="1:30" s="144" customFormat="1">
      <c r="A447" s="139">
        <v>25</v>
      </c>
      <c r="B447" s="139">
        <f>IFERROR(INDEX(Työkonekanta!$F$3:$F$27,MATCH('S0a Baseline'!$A447,Työkonekanta!$A$3:$A$24,0),1),0)</f>
        <v>0</v>
      </c>
      <c r="C447" s="140">
        <v>2033</v>
      </c>
      <c r="D447" s="141" t="str">
        <f>IFERROR(INDEX(Työkonekanta!$D$3:$D$27,MATCH('S0a Baseline'!$A447,Työkonekanta!$A$3:$A$24,0),1),"undefined")</f>
        <v>undefined</v>
      </c>
      <c r="E447" s="145">
        <f>IFERROR(INDEX(Työkonekanta!$G$3:$G$27,MATCH($A447,Työkonekanta!$A$3:$A$24,0),1)*INDEX(Työkonekanta!$H$3:$H$27,MATCH($A447,Työkonekanta!$A$3:$A$24,0),1)*$B447,0)</f>
        <v>0</v>
      </c>
      <c r="F447" s="344">
        <f t="shared" si="116"/>
        <v>0</v>
      </c>
      <c r="G447" s="344">
        <f t="shared" si="123"/>
        <v>0</v>
      </c>
      <c r="H447" s="344">
        <f t="shared" si="124"/>
        <v>0</v>
      </c>
      <c r="I447" s="145">
        <f t="shared" si="117"/>
        <v>0</v>
      </c>
      <c r="J447" s="145">
        <f t="shared" si="118"/>
        <v>0</v>
      </c>
      <c r="K447" s="142" t="str">
        <f t="shared" si="126"/>
        <v>undefined</v>
      </c>
      <c r="L447" s="146">
        <f>IFERROR(INDEX(Työkonekanta!$I$3:$I$27,MATCH('S0a Baseline'!$A447,Työkonekanta!$A$3:$A$24,0),1)*(I447+J447)*f_adblue,0)</f>
        <v>0</v>
      </c>
      <c r="M447" s="146">
        <f t="shared" si="127"/>
        <v>0</v>
      </c>
      <c r="N447" s="143" t="str">
        <f>IF(tuulisähkö_vuosi&lt;='S0a Baseline'!C447,"tuulisähkö",ostosähkö_nyt)</f>
        <v>jäännössähkö</v>
      </c>
      <c r="O447" s="147">
        <f>INDEX(Muuttujat!$J$5:$J$21,MATCH($C447,Muuttujat!$H$5:$H$21,0),1)</f>
        <v>60.158234351438509</v>
      </c>
      <c r="P447" s="342">
        <f>1-(INDEX(Muuttujat!$O$5:$O$21,MATCH($C447,Muuttujat!$N$5:$N$21,0),1))</f>
        <v>0.9</v>
      </c>
      <c r="Q447" s="342">
        <f>INDEX(Muuttujat!$O$5:$O$21,MATCH($C447,Muuttujat!$N$5:$N$21,0),1)</f>
        <v>0.1</v>
      </c>
      <c r="R447" s="148">
        <f>INDEX(Muuttujat!$P$5:$P$21,MATCH($C447,Muuttujat!$N$5:$N$21,0),1)</f>
        <v>0.10417875759940039</v>
      </c>
      <c r="S447" s="149">
        <f t="shared" si="119"/>
        <v>0</v>
      </c>
      <c r="T447" s="150">
        <f t="shared" si="120"/>
        <v>0</v>
      </c>
      <c r="U447" s="150">
        <f t="shared" si="121"/>
        <v>0</v>
      </c>
      <c r="V447" s="150">
        <f>IFERROR(INDEX(Työkonekanta!$J$3:$J$27,MATCH($A447,Työkonekanta!$A$3:$A$24,0),1)*$B447*ef_li_ion_akku/1000/1000/INDEX(Työkonekanta!$K$3:$K$27,MATCH($A447,Työkonekanta!$A$3:$A$24,0)),0)</f>
        <v>0</v>
      </c>
      <c r="W447" s="149">
        <f t="shared" si="122"/>
        <v>0</v>
      </c>
      <c r="X447" s="150">
        <f t="shared" si="128"/>
        <v>0</v>
      </c>
      <c r="Y447" s="151">
        <f t="shared" si="129"/>
        <v>0</v>
      </c>
      <c r="Z447" s="152">
        <f t="shared" si="125"/>
        <v>0</v>
      </c>
      <c r="AA447" s="153">
        <f t="shared" si="131"/>
        <v>0</v>
      </c>
      <c r="AB447" s="153">
        <f t="shared" si="132"/>
        <v>0</v>
      </c>
      <c r="AC447" s="154">
        <f t="shared" si="130"/>
        <v>0</v>
      </c>
      <c r="AD447" s="156">
        <f t="shared" si="133"/>
        <v>0</v>
      </c>
    </row>
    <row r="448" spans="1:30" s="144" customFormat="1">
      <c r="A448" s="139">
        <v>26</v>
      </c>
      <c r="B448" s="139">
        <f>IFERROR(INDEX(Työkonekanta!$F$3:$F$27,MATCH('S0a Baseline'!$A448,Työkonekanta!$A$3:$A$24,0),1),0)</f>
        <v>0</v>
      </c>
      <c r="C448" s="140">
        <v>2033</v>
      </c>
      <c r="D448" s="141" t="str">
        <f>IFERROR(INDEX(Työkonekanta!$D$3:$D$27,MATCH('S0a Baseline'!$A448,Työkonekanta!$A$3:$A$24,0),1),"undefined")</f>
        <v>undefined</v>
      </c>
      <c r="E448" s="145">
        <f>IFERROR(INDEX(Työkonekanta!$G$3:$G$27,MATCH($A448,Työkonekanta!$A$3:$A$24,0),1)*INDEX(Työkonekanta!$H$3:$H$27,MATCH($A448,Työkonekanta!$A$3:$A$24,0),1)*$B448,0)</f>
        <v>0</v>
      </c>
      <c r="F448" s="344">
        <f t="shared" si="116"/>
        <v>0</v>
      </c>
      <c r="G448" s="344">
        <f t="shared" si="123"/>
        <v>0</v>
      </c>
      <c r="H448" s="344">
        <f t="shared" si="124"/>
        <v>0</v>
      </c>
      <c r="I448" s="145">
        <f t="shared" si="117"/>
        <v>0</v>
      </c>
      <c r="J448" s="145">
        <f t="shared" si="118"/>
        <v>0</v>
      </c>
      <c r="K448" s="142" t="str">
        <f t="shared" si="126"/>
        <v>undefined</v>
      </c>
      <c r="L448" s="146">
        <f>IFERROR(INDEX(Työkonekanta!$I$3:$I$27,MATCH('S0a Baseline'!$A448,Työkonekanta!$A$3:$A$24,0),1)*(I448+J448)*f_adblue,0)</f>
        <v>0</v>
      </c>
      <c r="M448" s="146">
        <f t="shared" si="127"/>
        <v>0</v>
      </c>
      <c r="N448" s="143" t="str">
        <f>IF(tuulisähkö_vuosi&lt;='S0a Baseline'!C448,"tuulisähkö",ostosähkö_nyt)</f>
        <v>jäännössähkö</v>
      </c>
      <c r="O448" s="147">
        <f>INDEX(Muuttujat!$J$5:$J$21,MATCH($C448,Muuttujat!$H$5:$H$21,0),1)</f>
        <v>60.158234351438509</v>
      </c>
      <c r="P448" s="342">
        <f>1-(INDEX(Muuttujat!$O$5:$O$21,MATCH($C448,Muuttujat!$N$5:$N$21,0),1))</f>
        <v>0.9</v>
      </c>
      <c r="Q448" s="342">
        <f>INDEX(Muuttujat!$O$5:$O$21,MATCH($C448,Muuttujat!$N$5:$N$21,0),1)</f>
        <v>0.1</v>
      </c>
      <c r="R448" s="148">
        <f>INDEX(Muuttujat!$P$5:$P$21,MATCH($C448,Muuttujat!$N$5:$N$21,0),1)</f>
        <v>0.10417875759940039</v>
      </c>
      <c r="S448" s="149">
        <f t="shared" si="119"/>
        <v>0</v>
      </c>
      <c r="T448" s="150">
        <f t="shared" si="120"/>
        <v>0</v>
      </c>
      <c r="U448" s="150">
        <f t="shared" si="121"/>
        <v>0</v>
      </c>
      <c r="V448" s="150">
        <f>IFERROR(INDEX(Työkonekanta!$J$3:$J$27,MATCH($A448,Työkonekanta!$A$3:$A$24,0),1)*$B448*ef_li_ion_akku/1000/1000/INDEX(Työkonekanta!$K$3:$K$27,MATCH($A448,Työkonekanta!$A$3:$A$24,0)),0)</f>
        <v>0</v>
      </c>
      <c r="W448" s="149">
        <f t="shared" si="122"/>
        <v>0</v>
      </c>
      <c r="X448" s="150">
        <f t="shared" si="128"/>
        <v>0</v>
      </c>
      <c r="Y448" s="151">
        <f t="shared" si="129"/>
        <v>0</v>
      </c>
      <c r="Z448" s="152">
        <f t="shared" si="125"/>
        <v>0</v>
      </c>
      <c r="AA448" s="153">
        <f t="shared" si="131"/>
        <v>0</v>
      </c>
      <c r="AB448" s="153">
        <f t="shared" si="132"/>
        <v>0</v>
      </c>
      <c r="AC448" s="154">
        <f t="shared" si="130"/>
        <v>0</v>
      </c>
      <c r="AD448" s="156">
        <f t="shared" si="133"/>
        <v>0</v>
      </c>
    </row>
    <row r="449" spans="1:30" s="144" customFormat="1">
      <c r="A449" s="139">
        <v>27</v>
      </c>
      <c r="B449" s="139">
        <f>IFERROR(INDEX(Työkonekanta!$F$3:$F$27,MATCH('S0a Baseline'!$A449,Työkonekanta!$A$3:$A$24,0),1),0)</f>
        <v>0</v>
      </c>
      <c r="C449" s="140">
        <v>2033</v>
      </c>
      <c r="D449" s="141" t="str">
        <f>IFERROR(INDEX(Työkonekanta!$D$3:$D$27,MATCH('S0a Baseline'!$A449,Työkonekanta!$A$3:$A$24,0),1),"undefined")</f>
        <v>undefined</v>
      </c>
      <c r="E449" s="145">
        <f>IFERROR(INDEX(Työkonekanta!$G$3:$G$27,MATCH($A449,Työkonekanta!$A$3:$A$24,0),1)*INDEX(Työkonekanta!$H$3:$H$27,MATCH($A449,Työkonekanta!$A$3:$A$24,0),1)*$B449,0)</f>
        <v>0</v>
      </c>
      <c r="F449" s="344">
        <f t="shared" si="116"/>
        <v>0</v>
      </c>
      <c r="G449" s="344">
        <f t="shared" si="123"/>
        <v>0</v>
      </c>
      <c r="H449" s="344">
        <f t="shared" si="124"/>
        <v>0</v>
      </c>
      <c r="I449" s="145">
        <f t="shared" si="117"/>
        <v>0</v>
      </c>
      <c r="J449" s="145">
        <f t="shared" si="118"/>
        <v>0</v>
      </c>
      <c r="K449" s="142" t="str">
        <f t="shared" si="126"/>
        <v>undefined</v>
      </c>
      <c r="L449" s="146">
        <f>IFERROR(INDEX(Työkonekanta!$I$3:$I$27,MATCH('S0a Baseline'!$A449,Työkonekanta!$A$3:$A$24,0),1)*(I449+J449)*f_adblue,0)</f>
        <v>0</v>
      </c>
      <c r="M449" s="146">
        <f t="shared" si="127"/>
        <v>0</v>
      </c>
      <c r="N449" s="143" t="str">
        <f>IF(tuulisähkö_vuosi&lt;='S0a Baseline'!C449,"tuulisähkö",ostosähkö_nyt)</f>
        <v>jäännössähkö</v>
      </c>
      <c r="O449" s="147">
        <f>INDEX(Muuttujat!$J$5:$J$21,MATCH($C449,Muuttujat!$H$5:$H$21,0),1)</f>
        <v>60.158234351438509</v>
      </c>
      <c r="P449" s="342">
        <f>1-(INDEX(Muuttujat!$O$5:$O$21,MATCH($C449,Muuttujat!$N$5:$N$21,0),1))</f>
        <v>0.9</v>
      </c>
      <c r="Q449" s="342">
        <f>INDEX(Muuttujat!$O$5:$O$21,MATCH($C449,Muuttujat!$N$5:$N$21,0),1)</f>
        <v>0.1</v>
      </c>
      <c r="R449" s="148">
        <f>INDEX(Muuttujat!$P$5:$P$21,MATCH($C449,Muuttujat!$N$5:$N$21,0),1)</f>
        <v>0.10417875759940039</v>
      </c>
      <c r="S449" s="149">
        <f t="shared" si="119"/>
        <v>0</v>
      </c>
      <c r="T449" s="150">
        <f t="shared" si="120"/>
        <v>0</v>
      </c>
      <c r="U449" s="150">
        <f t="shared" si="121"/>
        <v>0</v>
      </c>
      <c r="V449" s="150">
        <f>IFERROR(INDEX(Työkonekanta!$J$3:$J$27,MATCH($A449,Työkonekanta!$A$3:$A$24,0),1)*$B449*ef_li_ion_akku/1000/1000/INDEX(Työkonekanta!$K$3:$K$27,MATCH($A449,Työkonekanta!$A$3:$A$24,0)),0)</f>
        <v>0</v>
      </c>
      <c r="W449" s="149">
        <f t="shared" si="122"/>
        <v>0</v>
      </c>
      <c r="X449" s="150">
        <f t="shared" si="128"/>
        <v>0</v>
      </c>
      <c r="Y449" s="151">
        <f t="shared" si="129"/>
        <v>0</v>
      </c>
      <c r="Z449" s="152">
        <f t="shared" si="125"/>
        <v>0</v>
      </c>
      <c r="AA449" s="153">
        <f t="shared" si="131"/>
        <v>0</v>
      </c>
      <c r="AB449" s="153">
        <f t="shared" si="132"/>
        <v>0</v>
      </c>
      <c r="AC449" s="154">
        <f t="shared" si="130"/>
        <v>0</v>
      </c>
      <c r="AD449" s="156">
        <f t="shared" si="133"/>
        <v>0</v>
      </c>
    </row>
    <row r="450" spans="1:30" s="144" customFormat="1">
      <c r="A450" s="139">
        <v>28</v>
      </c>
      <c r="B450" s="139">
        <f>IFERROR(INDEX(Työkonekanta!$F$3:$F$27,MATCH('S0a Baseline'!$A450,Työkonekanta!$A$3:$A$24,0),1),0)</f>
        <v>0</v>
      </c>
      <c r="C450" s="140">
        <v>2033</v>
      </c>
      <c r="D450" s="141" t="str">
        <f>IFERROR(INDEX(Työkonekanta!$D$3:$D$27,MATCH('S0a Baseline'!$A450,Työkonekanta!$A$3:$A$24,0),1),"undefined")</f>
        <v>undefined</v>
      </c>
      <c r="E450" s="145">
        <f>IFERROR(INDEX(Työkonekanta!$G$3:$G$27,MATCH($A450,Työkonekanta!$A$3:$A$24,0),1)*INDEX(Työkonekanta!$H$3:$H$27,MATCH($A450,Työkonekanta!$A$3:$A$24,0),1)*$B450,0)</f>
        <v>0</v>
      </c>
      <c r="F450" s="344">
        <f t="shared" si="116"/>
        <v>0</v>
      </c>
      <c r="G450" s="344">
        <f t="shared" si="123"/>
        <v>0</v>
      </c>
      <c r="H450" s="344">
        <f t="shared" si="124"/>
        <v>0</v>
      </c>
      <c r="I450" s="145">
        <f t="shared" si="117"/>
        <v>0</v>
      </c>
      <c r="J450" s="145">
        <f t="shared" si="118"/>
        <v>0</v>
      </c>
      <c r="K450" s="142" t="str">
        <f t="shared" si="126"/>
        <v>undefined</v>
      </c>
      <c r="L450" s="146">
        <f>IFERROR(INDEX(Työkonekanta!$I$3:$I$27,MATCH('S0a Baseline'!$A450,Työkonekanta!$A$3:$A$24,0),1)*(I450+J450)*f_adblue,0)</f>
        <v>0</v>
      </c>
      <c r="M450" s="146">
        <f t="shared" si="127"/>
        <v>0</v>
      </c>
      <c r="N450" s="143" t="str">
        <f>IF(tuulisähkö_vuosi&lt;='S0a Baseline'!C450,"tuulisähkö",ostosähkö_nyt)</f>
        <v>jäännössähkö</v>
      </c>
      <c r="O450" s="147">
        <f>INDEX(Muuttujat!$J$5:$J$21,MATCH($C450,Muuttujat!$H$5:$H$21,0),1)</f>
        <v>60.158234351438509</v>
      </c>
      <c r="P450" s="342">
        <f>1-(INDEX(Muuttujat!$O$5:$O$21,MATCH($C450,Muuttujat!$N$5:$N$21,0),1))</f>
        <v>0.9</v>
      </c>
      <c r="Q450" s="342">
        <f>INDEX(Muuttujat!$O$5:$O$21,MATCH($C450,Muuttujat!$N$5:$N$21,0),1)</f>
        <v>0.1</v>
      </c>
      <c r="R450" s="148">
        <f>INDEX(Muuttujat!$P$5:$P$21,MATCH($C450,Muuttujat!$N$5:$N$21,0),1)</f>
        <v>0.10417875759940039</v>
      </c>
      <c r="S450" s="149">
        <f t="shared" si="119"/>
        <v>0</v>
      </c>
      <c r="T450" s="150">
        <f t="shared" si="120"/>
        <v>0</v>
      </c>
      <c r="U450" s="150">
        <f t="shared" si="121"/>
        <v>0</v>
      </c>
      <c r="V450" s="150">
        <f>IFERROR(INDEX(Työkonekanta!$J$3:$J$27,MATCH($A450,Työkonekanta!$A$3:$A$24,0),1)*$B450*ef_li_ion_akku/1000/1000/INDEX(Työkonekanta!$K$3:$K$27,MATCH($A450,Työkonekanta!$A$3:$A$24,0)),0)</f>
        <v>0</v>
      </c>
      <c r="W450" s="149">
        <f t="shared" si="122"/>
        <v>0</v>
      </c>
      <c r="X450" s="150">
        <f t="shared" si="128"/>
        <v>0</v>
      </c>
      <c r="Y450" s="151">
        <f t="shared" si="129"/>
        <v>0</v>
      </c>
      <c r="Z450" s="152">
        <f t="shared" si="125"/>
        <v>0</v>
      </c>
      <c r="AA450" s="153">
        <f t="shared" si="131"/>
        <v>0</v>
      </c>
      <c r="AB450" s="153">
        <f t="shared" si="132"/>
        <v>0</v>
      </c>
      <c r="AC450" s="154">
        <f t="shared" si="130"/>
        <v>0</v>
      </c>
      <c r="AD450" s="156">
        <f t="shared" si="133"/>
        <v>0</v>
      </c>
    </row>
    <row r="451" spans="1:30" s="144" customFormat="1">
      <c r="A451" s="139">
        <v>29</v>
      </c>
      <c r="B451" s="139">
        <f>IFERROR(INDEX(Työkonekanta!$F$3:$F$27,MATCH('S0a Baseline'!$A451,Työkonekanta!$A$3:$A$24,0),1),0)</f>
        <v>0</v>
      </c>
      <c r="C451" s="140">
        <v>2033</v>
      </c>
      <c r="D451" s="141" t="str">
        <f>IFERROR(INDEX(Työkonekanta!$D$3:$D$27,MATCH('S0a Baseline'!$A451,Työkonekanta!$A$3:$A$24,0),1),"undefined")</f>
        <v>undefined</v>
      </c>
      <c r="E451" s="145">
        <f>IFERROR(INDEX(Työkonekanta!$G$3:$G$27,MATCH($A451,Työkonekanta!$A$3:$A$24,0),1)*INDEX(Työkonekanta!$H$3:$H$27,MATCH($A451,Työkonekanta!$A$3:$A$24,0),1)*$B451,0)</f>
        <v>0</v>
      </c>
      <c r="F451" s="344">
        <f t="shared" ref="F451:F514" si="134">IF(D451="pom",$E451*hv_pom,0)</f>
        <v>0</v>
      </c>
      <c r="G451" s="344">
        <f t="shared" si="123"/>
        <v>0</v>
      </c>
      <c r="H451" s="344">
        <f t="shared" si="124"/>
        <v>0</v>
      </c>
      <c r="I451" s="145">
        <f t="shared" ref="I451:I512" si="135">$G451/hv_pom</f>
        <v>0</v>
      </c>
      <c r="J451" s="145">
        <f t="shared" ref="J451:J512" si="136">$H451/hv_biodies</f>
        <v>0</v>
      </c>
      <c r="K451" s="142" t="str">
        <f t="shared" si="126"/>
        <v>undefined</v>
      </c>
      <c r="L451" s="146">
        <f>IFERROR(INDEX(Työkonekanta!$I$3:$I$27,MATCH('S0a Baseline'!$A451,Työkonekanta!$A$3:$A$24,0),1)*(I451+J451)*f_adblue,0)</f>
        <v>0</v>
      </c>
      <c r="M451" s="146">
        <f t="shared" si="127"/>
        <v>0</v>
      </c>
      <c r="N451" s="143" t="str">
        <f>IF(tuulisähkö_vuosi&lt;='S0a Baseline'!C451,"tuulisähkö",ostosähkö_nyt)</f>
        <v>jäännössähkö</v>
      </c>
      <c r="O451" s="147">
        <f>INDEX(Muuttujat!$J$5:$J$21,MATCH($C451,Muuttujat!$H$5:$H$21,0),1)</f>
        <v>60.158234351438509</v>
      </c>
      <c r="P451" s="342">
        <f>1-(INDEX(Muuttujat!$O$5:$O$21,MATCH($C451,Muuttujat!$N$5:$N$21,0),1))</f>
        <v>0.9</v>
      </c>
      <c r="Q451" s="342">
        <f>INDEX(Muuttujat!$O$5:$O$21,MATCH($C451,Muuttujat!$N$5:$N$21,0),1)</f>
        <v>0.1</v>
      </c>
      <c r="R451" s="148">
        <f>INDEX(Muuttujat!$P$5:$P$21,MATCH($C451,Muuttujat!$N$5:$N$21,0),1)</f>
        <v>0.10417875759940039</v>
      </c>
      <c r="S451" s="149">
        <f t="shared" ref="S451:S512" si="137">wtt_ef_e_co2_dies*$G451/1000/1000</f>
        <v>0</v>
      </c>
      <c r="T451" s="150">
        <f t="shared" ref="T451:T512" si="138">wtt_ef_e_co2_biodies*$H451/1000/1000</f>
        <v>0</v>
      </c>
      <c r="U451" s="150">
        <f t="shared" ref="U451:U512" si="139">IF(N451="jäännössähkö",$O451,IF(N451="tuulisähkö",wtt_ef_e_co2_el_wind,0))*$M451/1000/1000</f>
        <v>0</v>
      </c>
      <c r="V451" s="150">
        <f>IFERROR(INDEX(Työkonekanta!$J$3:$J$27,MATCH($A451,Työkonekanta!$A$3:$A$24,0),1)*$B451*ef_li_ion_akku/1000/1000/INDEX(Työkonekanta!$K$3:$K$27,MATCH($A451,Työkonekanta!$A$3:$A$24,0)),0)</f>
        <v>0</v>
      </c>
      <c r="W451" s="149">
        <f t="shared" ref="W451:W512" si="140">($I451*IF($D451="pom",ef_v_co2_pom,0))/1000/1000</f>
        <v>0</v>
      </c>
      <c r="X451" s="150">
        <f t="shared" si="128"/>
        <v>0</v>
      </c>
      <c r="Y451" s="151">
        <f t="shared" si="129"/>
        <v>0</v>
      </c>
      <c r="Z451" s="152">
        <f t="shared" si="125"/>
        <v>0</v>
      </c>
      <c r="AA451" s="153">
        <f t="shared" si="131"/>
        <v>0</v>
      </c>
      <c r="AB451" s="153">
        <f t="shared" si="132"/>
        <v>0</v>
      </c>
      <c r="AC451" s="154">
        <f t="shared" si="130"/>
        <v>0</v>
      </c>
      <c r="AD451" s="156">
        <f t="shared" si="133"/>
        <v>0</v>
      </c>
    </row>
    <row r="452" spans="1:30" s="144" customFormat="1">
      <c r="A452" s="139">
        <v>30</v>
      </c>
      <c r="B452" s="139">
        <f>IFERROR(INDEX(Työkonekanta!$F$3:$F$27,MATCH('S0a Baseline'!$A452,Työkonekanta!$A$3:$A$24,0),1),0)</f>
        <v>0</v>
      </c>
      <c r="C452" s="140">
        <v>2033</v>
      </c>
      <c r="D452" s="141" t="str">
        <f>IFERROR(INDEX(Työkonekanta!$D$3:$D$27,MATCH('S0a Baseline'!$A452,Työkonekanta!$A$3:$A$24,0),1),"undefined")</f>
        <v>undefined</v>
      </c>
      <c r="E452" s="145">
        <f>IFERROR(INDEX(Työkonekanta!$G$3:$G$27,MATCH($A452,Työkonekanta!$A$3:$A$24,0),1)*INDEX(Työkonekanta!$H$3:$H$27,MATCH($A452,Työkonekanta!$A$3:$A$24,0),1)*$B452,0)</f>
        <v>0</v>
      </c>
      <c r="F452" s="344">
        <f t="shared" si="134"/>
        <v>0</v>
      </c>
      <c r="G452" s="344">
        <f t="shared" ref="G452:G515" si="141">$F452*$P452</f>
        <v>0</v>
      </c>
      <c r="H452" s="344">
        <f t="shared" ref="H452:H515" si="142">$F452*$Q452</f>
        <v>0</v>
      </c>
      <c r="I452" s="145">
        <f t="shared" si="135"/>
        <v>0</v>
      </c>
      <c r="J452" s="145">
        <f t="shared" si="136"/>
        <v>0</v>
      </c>
      <c r="K452" s="142" t="str">
        <f t="shared" si="126"/>
        <v>undefined</v>
      </c>
      <c r="L452" s="146">
        <f>IFERROR(INDEX(Työkonekanta!$I$3:$I$27,MATCH('S0a Baseline'!$A452,Työkonekanta!$A$3:$A$24,0),1)*(I452+J452)*f_adblue,0)</f>
        <v>0</v>
      </c>
      <c r="M452" s="146">
        <f t="shared" si="127"/>
        <v>0</v>
      </c>
      <c r="N452" s="143" t="str">
        <f>IF(tuulisähkö_vuosi&lt;='S0a Baseline'!C452,"tuulisähkö",ostosähkö_nyt)</f>
        <v>jäännössähkö</v>
      </c>
      <c r="O452" s="147">
        <f>INDEX(Muuttujat!$J$5:$J$21,MATCH($C452,Muuttujat!$H$5:$H$21,0),1)</f>
        <v>60.158234351438509</v>
      </c>
      <c r="P452" s="342">
        <f>1-(INDEX(Muuttujat!$O$5:$O$21,MATCH($C452,Muuttujat!$N$5:$N$21,0),1))</f>
        <v>0.9</v>
      </c>
      <c r="Q452" s="342">
        <f>INDEX(Muuttujat!$O$5:$O$21,MATCH($C452,Muuttujat!$N$5:$N$21,0),1)</f>
        <v>0.1</v>
      </c>
      <c r="R452" s="148">
        <f>INDEX(Muuttujat!$P$5:$P$21,MATCH($C452,Muuttujat!$N$5:$N$21,0),1)</f>
        <v>0.10417875759940039</v>
      </c>
      <c r="S452" s="149">
        <f t="shared" si="137"/>
        <v>0</v>
      </c>
      <c r="T452" s="150">
        <f t="shared" si="138"/>
        <v>0</v>
      </c>
      <c r="U452" s="150">
        <f t="shared" si="139"/>
        <v>0</v>
      </c>
      <c r="V452" s="150">
        <f>IFERROR(INDEX(Työkonekanta!$J$3:$J$27,MATCH($A452,Työkonekanta!$A$3:$A$24,0),1)*$B452*ef_li_ion_akku/1000/1000/INDEX(Työkonekanta!$K$3:$K$27,MATCH($A452,Työkonekanta!$A$3:$A$24,0)),0)</f>
        <v>0</v>
      </c>
      <c r="W452" s="149">
        <f t="shared" si="140"/>
        <v>0</v>
      </c>
      <c r="X452" s="150">
        <f t="shared" si="128"/>
        <v>0</v>
      </c>
      <c r="Y452" s="151">
        <f t="shared" si="129"/>
        <v>0</v>
      </c>
      <c r="Z452" s="152">
        <f t="shared" ref="Z452:Z512" si="143">SUM($S452:$V452)</f>
        <v>0</v>
      </c>
      <c r="AA452" s="153">
        <f t="shared" si="131"/>
        <v>0</v>
      </c>
      <c r="AB452" s="153">
        <f t="shared" si="132"/>
        <v>0</v>
      </c>
      <c r="AC452" s="154">
        <f t="shared" si="130"/>
        <v>0</v>
      </c>
      <c r="AD452" s="156">
        <f t="shared" si="133"/>
        <v>0</v>
      </c>
    </row>
    <row r="453" spans="1:30" s="144" customFormat="1">
      <c r="A453" s="139">
        <v>1</v>
      </c>
      <c r="B453" s="139">
        <f>IFERROR(INDEX(Työkonekanta!$F$3:$F$27,MATCH('S0a Baseline'!$A453,Työkonekanta!$A$3:$A$24,0),1),0)</f>
        <v>1</v>
      </c>
      <c r="C453" s="140">
        <v>2034</v>
      </c>
      <c r="D453" s="141" t="str">
        <f>IFERROR(INDEX(Työkonekanta!$D$3:$D$27,MATCH('S0a Baseline'!$A453,Työkonekanta!$A$3:$A$24,0),1),"undefined")</f>
        <v>pom</v>
      </c>
      <c r="E453" s="145">
        <f>IFERROR(INDEX(Työkonekanta!$G$3:$G$27,MATCH($A453,Työkonekanta!$A$3:$A$24,0),1)*INDEX(Työkonekanta!$H$3:$H$27,MATCH($A453,Työkonekanta!$A$3:$A$24,0),1)*$B453,0)</f>
        <v>10000</v>
      </c>
      <c r="F453" s="344">
        <f t="shared" si="134"/>
        <v>359000</v>
      </c>
      <c r="G453" s="344">
        <f t="shared" si="141"/>
        <v>323100</v>
      </c>
      <c r="H453" s="344">
        <f t="shared" si="142"/>
        <v>35900</v>
      </c>
      <c r="I453" s="145">
        <f t="shared" si="135"/>
        <v>9000</v>
      </c>
      <c r="J453" s="145">
        <f t="shared" si="136"/>
        <v>1046.6472303206997</v>
      </c>
      <c r="K453" s="142" t="str">
        <f t="shared" si="126"/>
        <v>l</v>
      </c>
      <c r="L453" s="146">
        <f>IFERROR(INDEX(Työkonekanta!$I$3:$I$27,MATCH('S0a Baseline'!$A453,Työkonekanta!$A$3:$A$24,0),1)*(I453+J453)*f_adblue,0)</f>
        <v>502.33236151603501</v>
      </c>
      <c r="M453" s="146">
        <f t="shared" si="127"/>
        <v>0</v>
      </c>
      <c r="N453" s="143" t="str">
        <f>IF(tuulisähkö_vuosi&lt;='S0a Baseline'!C453,"tuulisähkö",ostosähkö_nyt)</f>
        <v>jäännössähkö</v>
      </c>
      <c r="O453" s="147">
        <f>INDEX(Muuttujat!$J$5:$J$21,MATCH($C453,Muuttujat!$H$5:$H$21,0),1)</f>
        <v>59.556652007924122</v>
      </c>
      <c r="P453" s="342">
        <f>1-(INDEX(Muuttujat!$O$5:$O$21,MATCH($C453,Muuttujat!$N$5:$N$21,0),1))</f>
        <v>0.9</v>
      </c>
      <c r="Q453" s="342">
        <f>INDEX(Muuttujat!$O$5:$O$21,MATCH($C453,Muuttujat!$N$5:$N$21,0),1)</f>
        <v>0.1</v>
      </c>
      <c r="R453" s="148">
        <f>INDEX(Muuttujat!$P$5:$P$21,MATCH($C453,Muuttujat!$N$5:$N$21,0),1)</f>
        <v>0.10417875759940039</v>
      </c>
      <c r="S453" s="149">
        <f t="shared" si="137"/>
        <v>6.1065899999999997</v>
      </c>
      <c r="T453" s="150">
        <f t="shared" si="138"/>
        <v>2.2401599999999999</v>
      </c>
      <c r="U453" s="150">
        <f t="shared" si="139"/>
        <v>0</v>
      </c>
      <c r="V453" s="150">
        <f>IFERROR(INDEX(Työkonekanta!$J$3:$J$27,MATCH($A453,Työkonekanta!$A$3:$A$24,0),1)*$B453*ef_li_ion_akku/1000/1000/INDEX(Työkonekanta!$K$3:$K$27,MATCH($A453,Työkonekanta!$A$3:$A$24,0)),0)</f>
        <v>0</v>
      </c>
      <c r="W453" s="149">
        <f t="shared" si="140"/>
        <v>23.847446957400003</v>
      </c>
      <c r="X453" s="150">
        <f t="shared" si="128"/>
        <v>0.31774565999999999</v>
      </c>
      <c r="Y453" s="151">
        <f t="shared" si="129"/>
        <v>0.13060641399416908</v>
      </c>
      <c r="Z453" s="152">
        <f t="shared" si="143"/>
        <v>8.3467500000000001</v>
      </c>
      <c r="AA453" s="153">
        <f t="shared" si="131"/>
        <v>23.978053371394171</v>
      </c>
      <c r="AB453" s="153">
        <f t="shared" si="132"/>
        <v>24.295799031394171</v>
      </c>
      <c r="AC453" s="154">
        <f t="shared" si="130"/>
        <v>32.324803371394168</v>
      </c>
      <c r="AD453" s="156">
        <f t="shared" si="133"/>
        <v>32.642549031394168</v>
      </c>
    </row>
    <row r="454" spans="1:30" s="144" customFormat="1">
      <c r="A454" s="139">
        <v>2</v>
      </c>
      <c r="B454" s="139">
        <f>IFERROR(INDEX(Työkonekanta!$F$3:$F$27,MATCH('S0a Baseline'!$A454,Työkonekanta!$A$3:$A$24,0),1),0)</f>
        <v>1</v>
      </c>
      <c r="C454" s="140">
        <v>2034</v>
      </c>
      <c r="D454" s="141" t="str">
        <f>IFERROR(INDEX(Työkonekanta!$D$3:$D$27,MATCH('S0a Baseline'!$A454,Työkonekanta!$A$3:$A$24,0),1),"undefined")</f>
        <v>pom</v>
      </c>
      <c r="E454" s="145">
        <f>IFERROR(INDEX(Työkonekanta!$G$3:$G$27,MATCH($A454,Työkonekanta!$A$3:$A$24,0),1)*INDEX(Työkonekanta!$H$3:$H$27,MATCH($A454,Työkonekanta!$A$3:$A$24,0),1)*$B454,0)</f>
        <v>10000</v>
      </c>
      <c r="F454" s="344">
        <f t="shared" si="134"/>
        <v>359000</v>
      </c>
      <c r="G454" s="344">
        <f t="shared" si="141"/>
        <v>323100</v>
      </c>
      <c r="H454" s="344">
        <f t="shared" si="142"/>
        <v>35900</v>
      </c>
      <c r="I454" s="145">
        <f t="shared" si="135"/>
        <v>9000</v>
      </c>
      <c r="J454" s="145">
        <f t="shared" si="136"/>
        <v>1046.6472303206997</v>
      </c>
      <c r="K454" s="142" t="str">
        <f t="shared" si="126"/>
        <v>l</v>
      </c>
      <c r="L454" s="146">
        <f>IFERROR(INDEX(Työkonekanta!$I$3:$I$27,MATCH('S0a Baseline'!$A454,Työkonekanta!$A$3:$A$24,0),1)*(I454+J454)*f_adblue,0)</f>
        <v>502.33236151603501</v>
      </c>
      <c r="M454" s="146">
        <f t="shared" si="127"/>
        <v>0</v>
      </c>
      <c r="N454" s="143" t="str">
        <f>IF(tuulisähkö_vuosi&lt;='S0a Baseline'!C454,"tuulisähkö",ostosähkö_nyt)</f>
        <v>jäännössähkö</v>
      </c>
      <c r="O454" s="147">
        <f>INDEX(Muuttujat!$J$5:$J$21,MATCH($C454,Muuttujat!$H$5:$H$21,0),1)</f>
        <v>59.556652007924122</v>
      </c>
      <c r="P454" s="342">
        <f>1-(INDEX(Muuttujat!$O$5:$O$21,MATCH($C454,Muuttujat!$N$5:$N$21,0),1))</f>
        <v>0.9</v>
      </c>
      <c r="Q454" s="342">
        <f>INDEX(Muuttujat!$O$5:$O$21,MATCH($C454,Muuttujat!$N$5:$N$21,0),1)</f>
        <v>0.1</v>
      </c>
      <c r="R454" s="148">
        <f>INDEX(Muuttujat!$P$5:$P$21,MATCH($C454,Muuttujat!$N$5:$N$21,0),1)</f>
        <v>0.10417875759940039</v>
      </c>
      <c r="S454" s="149">
        <f t="shared" si="137"/>
        <v>6.1065899999999997</v>
      </c>
      <c r="T454" s="150">
        <f t="shared" si="138"/>
        <v>2.2401599999999999</v>
      </c>
      <c r="U454" s="150">
        <f t="shared" si="139"/>
        <v>0</v>
      </c>
      <c r="V454" s="150">
        <f>IFERROR(INDEX(Työkonekanta!$J$3:$J$27,MATCH($A454,Työkonekanta!$A$3:$A$24,0),1)*$B454*ef_li_ion_akku/1000/1000/INDEX(Työkonekanta!$K$3:$K$27,MATCH($A454,Työkonekanta!$A$3:$A$24,0)),0)</f>
        <v>0</v>
      </c>
      <c r="W454" s="149">
        <f t="shared" si="140"/>
        <v>23.847446957400003</v>
      </c>
      <c r="X454" s="150">
        <f t="shared" si="128"/>
        <v>0.31774565999999999</v>
      </c>
      <c r="Y454" s="151">
        <f t="shared" si="129"/>
        <v>0.13060641399416908</v>
      </c>
      <c r="Z454" s="152">
        <f t="shared" si="143"/>
        <v>8.3467500000000001</v>
      </c>
      <c r="AA454" s="153">
        <f t="shared" si="131"/>
        <v>23.978053371394171</v>
      </c>
      <c r="AB454" s="153">
        <f t="shared" si="132"/>
        <v>24.295799031394171</v>
      </c>
      <c r="AC454" s="154">
        <f t="shared" si="130"/>
        <v>32.324803371394168</v>
      </c>
      <c r="AD454" s="156">
        <f t="shared" si="133"/>
        <v>32.642549031394168</v>
      </c>
    </row>
    <row r="455" spans="1:30" s="144" customFormat="1">
      <c r="A455" s="139">
        <v>3</v>
      </c>
      <c r="B455" s="139">
        <f>IFERROR(INDEX(Työkonekanta!$F$3:$F$27,MATCH('S0a Baseline'!$A455,Työkonekanta!$A$3:$A$24,0),1),0)</f>
        <v>1</v>
      </c>
      <c r="C455" s="140">
        <v>2034</v>
      </c>
      <c r="D455" s="141" t="str">
        <f>IFERROR(INDEX(Työkonekanta!$D$3:$D$27,MATCH('S0a Baseline'!$A455,Työkonekanta!$A$3:$A$24,0),1),"undefined")</f>
        <v>pom</v>
      </c>
      <c r="E455" s="145">
        <f>IFERROR(INDEX(Työkonekanta!$G$3:$G$27,MATCH($A455,Työkonekanta!$A$3:$A$24,0),1)*INDEX(Työkonekanta!$H$3:$H$27,MATCH($A455,Työkonekanta!$A$3:$A$24,0),1)*$B455,0)</f>
        <v>10000</v>
      </c>
      <c r="F455" s="344">
        <f t="shared" si="134"/>
        <v>359000</v>
      </c>
      <c r="G455" s="344">
        <f t="shared" si="141"/>
        <v>323100</v>
      </c>
      <c r="H455" s="344">
        <f t="shared" si="142"/>
        <v>35900</v>
      </c>
      <c r="I455" s="145">
        <f t="shared" si="135"/>
        <v>9000</v>
      </c>
      <c r="J455" s="145">
        <f t="shared" si="136"/>
        <v>1046.6472303206997</v>
      </c>
      <c r="K455" s="142" t="str">
        <f t="shared" si="126"/>
        <v>l</v>
      </c>
      <c r="L455" s="146">
        <f>IFERROR(INDEX(Työkonekanta!$I$3:$I$27,MATCH('S0a Baseline'!$A455,Työkonekanta!$A$3:$A$24,0),1)*(I455+J455)*f_adblue,0)</f>
        <v>502.33236151603501</v>
      </c>
      <c r="M455" s="146">
        <f t="shared" si="127"/>
        <v>0</v>
      </c>
      <c r="N455" s="143" t="str">
        <f>IF(tuulisähkö_vuosi&lt;='S0a Baseline'!C455,"tuulisähkö",ostosähkö_nyt)</f>
        <v>jäännössähkö</v>
      </c>
      <c r="O455" s="147">
        <f>INDEX(Muuttujat!$J$5:$J$21,MATCH($C455,Muuttujat!$H$5:$H$21,0),1)</f>
        <v>59.556652007924122</v>
      </c>
      <c r="P455" s="342">
        <f>1-(INDEX(Muuttujat!$O$5:$O$21,MATCH($C455,Muuttujat!$N$5:$N$21,0),1))</f>
        <v>0.9</v>
      </c>
      <c r="Q455" s="342">
        <f>INDEX(Muuttujat!$O$5:$O$21,MATCH($C455,Muuttujat!$N$5:$N$21,0),1)</f>
        <v>0.1</v>
      </c>
      <c r="R455" s="148">
        <f>INDEX(Muuttujat!$P$5:$P$21,MATCH($C455,Muuttujat!$N$5:$N$21,0),1)</f>
        <v>0.10417875759940039</v>
      </c>
      <c r="S455" s="149">
        <f t="shared" si="137"/>
        <v>6.1065899999999997</v>
      </c>
      <c r="T455" s="150">
        <f t="shared" si="138"/>
        <v>2.2401599999999999</v>
      </c>
      <c r="U455" s="150">
        <f t="shared" si="139"/>
        <v>0</v>
      </c>
      <c r="V455" s="150">
        <f>IFERROR(INDEX(Työkonekanta!$J$3:$J$27,MATCH($A455,Työkonekanta!$A$3:$A$24,0),1)*$B455*ef_li_ion_akku/1000/1000/INDEX(Työkonekanta!$K$3:$K$27,MATCH($A455,Työkonekanta!$A$3:$A$24,0)),0)</f>
        <v>0</v>
      </c>
      <c r="W455" s="149">
        <f t="shared" si="140"/>
        <v>23.847446957400003</v>
      </c>
      <c r="X455" s="150">
        <f t="shared" si="128"/>
        <v>0.31774565999999999</v>
      </c>
      <c r="Y455" s="151">
        <f t="shared" si="129"/>
        <v>0.13060641399416908</v>
      </c>
      <c r="Z455" s="152">
        <f t="shared" si="143"/>
        <v>8.3467500000000001</v>
      </c>
      <c r="AA455" s="153">
        <f t="shared" si="131"/>
        <v>23.978053371394171</v>
      </c>
      <c r="AB455" s="153">
        <f t="shared" si="132"/>
        <v>24.295799031394171</v>
      </c>
      <c r="AC455" s="154">
        <f t="shared" si="130"/>
        <v>32.324803371394168</v>
      </c>
      <c r="AD455" s="156">
        <f t="shared" si="133"/>
        <v>32.642549031394168</v>
      </c>
    </row>
    <row r="456" spans="1:30" s="144" customFormat="1">
      <c r="A456" s="139">
        <v>4</v>
      </c>
      <c r="B456" s="139">
        <f>IFERROR(INDEX(Työkonekanta!$F$3:$F$27,MATCH('S0a Baseline'!$A456,Työkonekanta!$A$3:$A$24,0),1),0)</f>
        <v>1</v>
      </c>
      <c r="C456" s="140">
        <v>2034</v>
      </c>
      <c r="D456" s="141" t="str">
        <f>IFERROR(INDEX(Työkonekanta!$D$3:$D$27,MATCH('S0a Baseline'!$A456,Työkonekanta!$A$3:$A$24,0),1),"undefined")</f>
        <v>pom</v>
      </c>
      <c r="E456" s="145">
        <f>IFERROR(INDEX(Työkonekanta!$G$3:$G$27,MATCH($A456,Työkonekanta!$A$3:$A$24,0),1)*INDEX(Työkonekanta!$H$3:$H$27,MATCH($A456,Työkonekanta!$A$3:$A$24,0),1)*$B456,0)</f>
        <v>10000</v>
      </c>
      <c r="F456" s="344">
        <f t="shared" si="134"/>
        <v>359000</v>
      </c>
      <c r="G456" s="344">
        <f t="shared" si="141"/>
        <v>323100</v>
      </c>
      <c r="H456" s="344">
        <f t="shared" si="142"/>
        <v>35900</v>
      </c>
      <c r="I456" s="145">
        <f t="shared" si="135"/>
        <v>9000</v>
      </c>
      <c r="J456" s="145">
        <f t="shared" si="136"/>
        <v>1046.6472303206997</v>
      </c>
      <c r="K456" s="142" t="str">
        <f t="shared" si="126"/>
        <v>l</v>
      </c>
      <c r="L456" s="146">
        <f>IFERROR(INDEX(Työkonekanta!$I$3:$I$27,MATCH('S0a Baseline'!$A456,Työkonekanta!$A$3:$A$24,0),1)*(I456+J456)*f_adblue,0)</f>
        <v>502.33236151603501</v>
      </c>
      <c r="M456" s="146">
        <f t="shared" si="127"/>
        <v>0</v>
      </c>
      <c r="N456" s="143" t="str">
        <f>IF(tuulisähkö_vuosi&lt;='S0a Baseline'!C456,"tuulisähkö",ostosähkö_nyt)</f>
        <v>jäännössähkö</v>
      </c>
      <c r="O456" s="147">
        <f>INDEX(Muuttujat!$J$5:$J$21,MATCH($C456,Muuttujat!$H$5:$H$21,0),1)</f>
        <v>59.556652007924122</v>
      </c>
      <c r="P456" s="342">
        <f>1-(INDEX(Muuttujat!$O$5:$O$21,MATCH($C456,Muuttujat!$N$5:$N$21,0),1))</f>
        <v>0.9</v>
      </c>
      <c r="Q456" s="342">
        <f>INDEX(Muuttujat!$O$5:$O$21,MATCH($C456,Muuttujat!$N$5:$N$21,0),1)</f>
        <v>0.1</v>
      </c>
      <c r="R456" s="148">
        <f>INDEX(Muuttujat!$P$5:$P$21,MATCH($C456,Muuttujat!$N$5:$N$21,0),1)</f>
        <v>0.10417875759940039</v>
      </c>
      <c r="S456" s="149">
        <f t="shared" si="137"/>
        <v>6.1065899999999997</v>
      </c>
      <c r="T456" s="150">
        <f t="shared" si="138"/>
        <v>2.2401599999999999</v>
      </c>
      <c r="U456" s="150">
        <f t="shared" si="139"/>
        <v>0</v>
      </c>
      <c r="V456" s="150">
        <f>IFERROR(INDEX(Työkonekanta!$J$3:$J$27,MATCH($A456,Työkonekanta!$A$3:$A$24,0),1)*$B456*ef_li_ion_akku/1000/1000/INDEX(Työkonekanta!$K$3:$K$27,MATCH($A456,Työkonekanta!$A$3:$A$24,0)),0)</f>
        <v>0</v>
      </c>
      <c r="W456" s="149">
        <f t="shared" si="140"/>
        <v>23.847446957400003</v>
      </c>
      <c r="X456" s="150">
        <f t="shared" si="128"/>
        <v>0.31774565999999999</v>
      </c>
      <c r="Y456" s="151">
        <f t="shared" si="129"/>
        <v>0.13060641399416908</v>
      </c>
      <c r="Z456" s="152">
        <f t="shared" si="143"/>
        <v>8.3467500000000001</v>
      </c>
      <c r="AA456" s="153">
        <f t="shared" si="131"/>
        <v>23.978053371394171</v>
      </c>
      <c r="AB456" s="153">
        <f t="shared" si="132"/>
        <v>24.295799031394171</v>
      </c>
      <c r="AC456" s="154">
        <f t="shared" si="130"/>
        <v>32.324803371394168</v>
      </c>
      <c r="AD456" s="156">
        <f t="shared" si="133"/>
        <v>32.642549031394168</v>
      </c>
    </row>
    <row r="457" spans="1:30" s="144" customFormat="1">
      <c r="A457" s="139">
        <v>5</v>
      </c>
      <c r="B457" s="139">
        <f>IFERROR(INDEX(Työkonekanta!$F$3:$F$27,MATCH('S0a Baseline'!$A457,Työkonekanta!$A$3:$A$24,0),1),0)</f>
        <v>0</v>
      </c>
      <c r="C457" s="140">
        <v>2034</v>
      </c>
      <c r="D457" s="141" t="str">
        <f>IFERROR(INDEX(Työkonekanta!$D$3:$D$27,MATCH('S0a Baseline'!$A457,Työkonekanta!$A$3:$A$24,0),1),"undefined")</f>
        <v>sähkö</v>
      </c>
      <c r="E457" s="145">
        <f>IFERROR(INDEX(Työkonekanta!$G$3:$G$27,MATCH($A457,Työkonekanta!$A$3:$A$24,0),1)*INDEX(Työkonekanta!$H$3:$H$27,MATCH($A457,Työkonekanta!$A$3:$A$24,0),1)*$B457,0)</f>
        <v>0</v>
      </c>
      <c r="F457" s="344">
        <f t="shared" si="134"/>
        <v>0</v>
      </c>
      <c r="G457" s="344">
        <f t="shared" si="141"/>
        <v>0</v>
      </c>
      <c r="H457" s="344">
        <f t="shared" si="142"/>
        <v>0</v>
      </c>
      <c r="I457" s="145">
        <f t="shared" si="135"/>
        <v>0</v>
      </c>
      <c r="J457" s="145">
        <f t="shared" si="136"/>
        <v>0</v>
      </c>
      <c r="K457" s="142" t="str">
        <f t="shared" si="126"/>
        <v>kWh</v>
      </c>
      <c r="L457" s="146">
        <f>IFERROR(INDEX(Työkonekanta!$I$3:$I$27,MATCH('S0a Baseline'!$A457,Työkonekanta!$A$3:$A$24,0),1)*(I457+J457)*f_adblue,0)</f>
        <v>0</v>
      </c>
      <c r="M457" s="146">
        <f t="shared" si="127"/>
        <v>0</v>
      </c>
      <c r="N457" s="143" t="str">
        <f>IF(tuulisähkö_vuosi&lt;='S0a Baseline'!C457,"tuulisähkö",ostosähkö_nyt)</f>
        <v>jäännössähkö</v>
      </c>
      <c r="O457" s="147">
        <f>INDEX(Muuttujat!$J$5:$J$21,MATCH($C457,Muuttujat!$H$5:$H$21,0),1)</f>
        <v>59.556652007924122</v>
      </c>
      <c r="P457" s="342">
        <f>1-(INDEX(Muuttujat!$O$5:$O$21,MATCH($C457,Muuttujat!$N$5:$N$21,0),1))</f>
        <v>0.9</v>
      </c>
      <c r="Q457" s="342">
        <f>INDEX(Muuttujat!$O$5:$O$21,MATCH($C457,Muuttujat!$N$5:$N$21,0),1)</f>
        <v>0.1</v>
      </c>
      <c r="R457" s="148">
        <f>INDEX(Muuttujat!$P$5:$P$21,MATCH($C457,Muuttujat!$N$5:$N$21,0),1)</f>
        <v>0.10417875759940039</v>
      </c>
      <c r="S457" s="149">
        <f t="shared" si="137"/>
        <v>0</v>
      </c>
      <c r="T457" s="150">
        <f t="shared" si="138"/>
        <v>0</v>
      </c>
      <c r="U457" s="150">
        <f t="shared" si="139"/>
        <v>0</v>
      </c>
      <c r="V457" s="150">
        <f>IFERROR(INDEX(Työkonekanta!$J$3:$J$27,MATCH($A457,Työkonekanta!$A$3:$A$24,0),1)*$B457*ef_li_ion_akku/1000/1000/INDEX(Työkonekanta!$K$3:$K$27,MATCH($A457,Työkonekanta!$A$3:$A$24,0)),0)</f>
        <v>0</v>
      </c>
      <c r="W457" s="149">
        <f t="shared" si="140"/>
        <v>0</v>
      </c>
      <c r="X457" s="150">
        <f t="shared" si="128"/>
        <v>0</v>
      </c>
      <c r="Y457" s="151">
        <f t="shared" si="129"/>
        <v>0</v>
      </c>
      <c r="Z457" s="152">
        <f t="shared" si="143"/>
        <v>0</v>
      </c>
      <c r="AA457" s="153">
        <f t="shared" si="131"/>
        <v>0</v>
      </c>
      <c r="AB457" s="153">
        <f t="shared" si="132"/>
        <v>0</v>
      </c>
      <c r="AC457" s="154">
        <f t="shared" si="130"/>
        <v>0</v>
      </c>
      <c r="AD457" s="156">
        <f t="shared" si="133"/>
        <v>0</v>
      </c>
    </row>
    <row r="458" spans="1:30" s="144" customFormat="1">
      <c r="A458" s="139">
        <v>6</v>
      </c>
      <c r="B458" s="139">
        <f>IFERROR(INDEX(Työkonekanta!$F$3:$F$27,MATCH('S0a Baseline'!$A458,Työkonekanta!$A$3:$A$24,0),1),0)</f>
        <v>0</v>
      </c>
      <c r="C458" s="140">
        <v>2034</v>
      </c>
      <c r="D458" s="141" t="str">
        <f>IFERROR(INDEX(Työkonekanta!$D$3:$D$27,MATCH('S0a Baseline'!$A458,Työkonekanta!$A$3:$A$24,0),1),"undefined")</f>
        <v>sähkö</v>
      </c>
      <c r="E458" s="145">
        <f>IFERROR(INDEX(Työkonekanta!$G$3:$G$27,MATCH($A458,Työkonekanta!$A$3:$A$24,0),1)*INDEX(Työkonekanta!$H$3:$H$27,MATCH($A458,Työkonekanta!$A$3:$A$24,0),1)*$B458,0)</f>
        <v>0</v>
      </c>
      <c r="F458" s="344">
        <f t="shared" si="134"/>
        <v>0</v>
      </c>
      <c r="G458" s="344">
        <f t="shared" si="141"/>
        <v>0</v>
      </c>
      <c r="H458" s="344">
        <f t="shared" si="142"/>
        <v>0</v>
      </c>
      <c r="I458" s="145">
        <f t="shared" si="135"/>
        <v>0</v>
      </c>
      <c r="J458" s="145">
        <f t="shared" si="136"/>
        <v>0</v>
      </c>
      <c r="K458" s="142" t="str">
        <f t="shared" si="126"/>
        <v>kWh</v>
      </c>
      <c r="L458" s="146">
        <f>IFERROR(INDEX(Työkonekanta!$I$3:$I$27,MATCH('S0a Baseline'!$A458,Työkonekanta!$A$3:$A$24,0),1)*(I458+J458)*f_adblue,0)</f>
        <v>0</v>
      </c>
      <c r="M458" s="146">
        <f t="shared" si="127"/>
        <v>0</v>
      </c>
      <c r="N458" s="143" t="str">
        <f>IF(tuulisähkö_vuosi&lt;='S0a Baseline'!C458,"tuulisähkö",ostosähkö_nyt)</f>
        <v>jäännössähkö</v>
      </c>
      <c r="O458" s="147">
        <f>INDEX(Muuttujat!$J$5:$J$21,MATCH($C458,Muuttujat!$H$5:$H$21,0),1)</f>
        <v>59.556652007924122</v>
      </c>
      <c r="P458" s="342">
        <f>1-(INDEX(Muuttujat!$O$5:$O$21,MATCH($C458,Muuttujat!$N$5:$N$21,0),1))</f>
        <v>0.9</v>
      </c>
      <c r="Q458" s="342">
        <f>INDEX(Muuttujat!$O$5:$O$21,MATCH($C458,Muuttujat!$N$5:$N$21,0),1)</f>
        <v>0.1</v>
      </c>
      <c r="R458" s="148">
        <f>INDEX(Muuttujat!$P$5:$P$21,MATCH($C458,Muuttujat!$N$5:$N$21,0),1)</f>
        <v>0.10417875759940039</v>
      </c>
      <c r="S458" s="149">
        <f t="shared" si="137"/>
        <v>0</v>
      </c>
      <c r="T458" s="150">
        <f t="shared" si="138"/>
        <v>0</v>
      </c>
      <c r="U458" s="150">
        <f t="shared" si="139"/>
        <v>0</v>
      </c>
      <c r="V458" s="150">
        <f>IFERROR(INDEX(Työkonekanta!$J$3:$J$27,MATCH($A458,Työkonekanta!$A$3:$A$24,0),1)*$B458*ef_li_ion_akku/1000/1000/INDEX(Työkonekanta!$K$3:$K$27,MATCH($A458,Työkonekanta!$A$3:$A$24,0)),0)</f>
        <v>0</v>
      </c>
      <c r="W458" s="149">
        <f t="shared" si="140"/>
        <v>0</v>
      </c>
      <c r="X458" s="150">
        <f t="shared" si="128"/>
        <v>0</v>
      </c>
      <c r="Y458" s="151">
        <f t="shared" si="129"/>
        <v>0</v>
      </c>
      <c r="Z458" s="152">
        <f t="shared" si="143"/>
        <v>0</v>
      </c>
      <c r="AA458" s="153">
        <f t="shared" si="131"/>
        <v>0</v>
      </c>
      <c r="AB458" s="153">
        <f t="shared" si="132"/>
        <v>0</v>
      </c>
      <c r="AC458" s="154">
        <f t="shared" si="130"/>
        <v>0</v>
      </c>
      <c r="AD458" s="156">
        <f t="shared" si="133"/>
        <v>0</v>
      </c>
    </row>
    <row r="459" spans="1:30" s="144" customFormat="1">
      <c r="A459" s="139">
        <v>7</v>
      </c>
      <c r="B459" s="139">
        <f>IFERROR(INDEX(Työkonekanta!$F$3:$F$27,MATCH('S0a Baseline'!$A459,Työkonekanta!$A$3:$A$24,0),1),0)</f>
        <v>1</v>
      </c>
      <c r="C459" s="140">
        <v>2034</v>
      </c>
      <c r="D459" s="141" t="str">
        <f>IFERROR(INDEX(Työkonekanta!$D$3:$D$27,MATCH('S0a Baseline'!$A459,Työkonekanta!$A$3:$A$24,0),1),"undefined")</f>
        <v>pom</v>
      </c>
      <c r="E459" s="145">
        <f>IFERROR(INDEX(Työkonekanta!$G$3:$G$27,MATCH($A459,Työkonekanta!$A$3:$A$24,0),1)*INDEX(Työkonekanta!$H$3:$H$27,MATCH($A459,Työkonekanta!$A$3:$A$24,0),1)*$B459,0)</f>
        <v>10000</v>
      </c>
      <c r="F459" s="344">
        <f t="shared" si="134"/>
        <v>359000</v>
      </c>
      <c r="G459" s="344">
        <f t="shared" si="141"/>
        <v>323100</v>
      </c>
      <c r="H459" s="344">
        <f t="shared" si="142"/>
        <v>35900</v>
      </c>
      <c r="I459" s="145">
        <f t="shared" si="135"/>
        <v>9000</v>
      </c>
      <c r="J459" s="145">
        <f t="shared" si="136"/>
        <v>1046.6472303206997</v>
      </c>
      <c r="K459" s="142" t="str">
        <f t="shared" si="126"/>
        <v>l</v>
      </c>
      <c r="L459" s="146">
        <f>IFERROR(INDEX(Työkonekanta!$I$3:$I$27,MATCH('S0a Baseline'!$A459,Työkonekanta!$A$3:$A$24,0),1)*(I459+J459)*f_adblue,0)</f>
        <v>0</v>
      </c>
      <c r="M459" s="146">
        <f t="shared" si="127"/>
        <v>0</v>
      </c>
      <c r="N459" s="143" t="str">
        <f>IF(tuulisähkö_vuosi&lt;='S0a Baseline'!C459,"tuulisähkö",ostosähkö_nyt)</f>
        <v>jäännössähkö</v>
      </c>
      <c r="O459" s="147">
        <f>INDEX(Muuttujat!$J$5:$J$21,MATCH($C459,Muuttujat!$H$5:$H$21,0),1)</f>
        <v>59.556652007924122</v>
      </c>
      <c r="P459" s="342">
        <f>1-(INDEX(Muuttujat!$O$5:$O$21,MATCH($C459,Muuttujat!$N$5:$N$21,0),1))</f>
        <v>0.9</v>
      </c>
      <c r="Q459" s="342">
        <f>INDEX(Muuttujat!$O$5:$O$21,MATCH($C459,Muuttujat!$N$5:$N$21,0),1)</f>
        <v>0.1</v>
      </c>
      <c r="R459" s="148">
        <f>INDEX(Muuttujat!$P$5:$P$21,MATCH($C459,Muuttujat!$N$5:$N$21,0),1)</f>
        <v>0.10417875759940039</v>
      </c>
      <c r="S459" s="149">
        <f t="shared" si="137"/>
        <v>6.1065899999999997</v>
      </c>
      <c r="T459" s="150">
        <f t="shared" si="138"/>
        <v>2.2401599999999999</v>
      </c>
      <c r="U459" s="150">
        <f t="shared" si="139"/>
        <v>0</v>
      </c>
      <c r="V459" s="150">
        <f>IFERROR(INDEX(Työkonekanta!$J$3:$J$27,MATCH($A459,Työkonekanta!$A$3:$A$24,0),1)*$B459*ef_li_ion_akku/1000/1000/INDEX(Työkonekanta!$K$3:$K$27,MATCH($A459,Työkonekanta!$A$3:$A$24,0)),0)</f>
        <v>0</v>
      </c>
      <c r="W459" s="149">
        <f t="shared" si="140"/>
        <v>23.847446957400003</v>
      </c>
      <c r="X459" s="150">
        <f t="shared" si="128"/>
        <v>0.31774565999999999</v>
      </c>
      <c r="Y459" s="151">
        <f t="shared" si="129"/>
        <v>0</v>
      </c>
      <c r="Z459" s="152">
        <f t="shared" si="143"/>
        <v>8.3467500000000001</v>
      </c>
      <c r="AA459" s="153">
        <f t="shared" si="131"/>
        <v>23.847446957400003</v>
      </c>
      <c r="AB459" s="153">
        <f t="shared" si="132"/>
        <v>24.165192617400002</v>
      </c>
      <c r="AC459" s="154">
        <f t="shared" si="130"/>
        <v>32.194196957400003</v>
      </c>
      <c r="AD459" s="156">
        <f t="shared" si="133"/>
        <v>32.511942617400003</v>
      </c>
    </row>
    <row r="460" spans="1:30" s="144" customFormat="1">
      <c r="A460" s="139">
        <v>8</v>
      </c>
      <c r="B460" s="139">
        <f>IFERROR(INDEX(Työkonekanta!$F$3:$F$27,MATCH('S0a Baseline'!$A460,Työkonekanta!$A$3:$A$24,0),1),0)</f>
        <v>1</v>
      </c>
      <c r="C460" s="140">
        <v>2034</v>
      </c>
      <c r="D460" s="141" t="str">
        <f>IFERROR(INDEX(Työkonekanta!$D$3:$D$27,MATCH('S0a Baseline'!$A460,Työkonekanta!$A$3:$A$24,0),1),"undefined")</f>
        <v>pom</v>
      </c>
      <c r="E460" s="145">
        <f>IFERROR(INDEX(Työkonekanta!$G$3:$G$27,MATCH($A460,Työkonekanta!$A$3:$A$24,0),1)*INDEX(Työkonekanta!$H$3:$H$27,MATCH($A460,Työkonekanta!$A$3:$A$24,0),1)*$B460,0)</f>
        <v>10000</v>
      </c>
      <c r="F460" s="344">
        <f t="shared" si="134"/>
        <v>359000</v>
      </c>
      <c r="G460" s="344">
        <f t="shared" si="141"/>
        <v>323100</v>
      </c>
      <c r="H460" s="344">
        <f t="shared" si="142"/>
        <v>35900</v>
      </c>
      <c r="I460" s="145">
        <f t="shared" si="135"/>
        <v>9000</v>
      </c>
      <c r="J460" s="145">
        <f t="shared" si="136"/>
        <v>1046.6472303206997</v>
      </c>
      <c r="K460" s="142" t="str">
        <f t="shared" si="126"/>
        <v>l</v>
      </c>
      <c r="L460" s="146">
        <f>IFERROR(INDEX(Työkonekanta!$I$3:$I$27,MATCH('S0a Baseline'!$A460,Työkonekanta!$A$3:$A$24,0),1)*(I460+J460)*f_adblue,0)</f>
        <v>502.33236151603501</v>
      </c>
      <c r="M460" s="146">
        <f t="shared" si="127"/>
        <v>0</v>
      </c>
      <c r="N460" s="143" t="str">
        <f>IF(tuulisähkö_vuosi&lt;='S0a Baseline'!C460,"tuulisähkö",ostosähkö_nyt)</f>
        <v>jäännössähkö</v>
      </c>
      <c r="O460" s="147">
        <f>INDEX(Muuttujat!$J$5:$J$21,MATCH($C460,Muuttujat!$H$5:$H$21,0),1)</f>
        <v>59.556652007924122</v>
      </c>
      <c r="P460" s="342">
        <f>1-(INDEX(Muuttujat!$O$5:$O$21,MATCH($C460,Muuttujat!$N$5:$N$21,0),1))</f>
        <v>0.9</v>
      </c>
      <c r="Q460" s="342">
        <f>INDEX(Muuttujat!$O$5:$O$21,MATCH($C460,Muuttujat!$N$5:$N$21,0),1)</f>
        <v>0.1</v>
      </c>
      <c r="R460" s="148">
        <f>INDEX(Muuttujat!$P$5:$P$21,MATCH($C460,Muuttujat!$N$5:$N$21,0),1)</f>
        <v>0.10417875759940039</v>
      </c>
      <c r="S460" s="149">
        <f t="shared" si="137"/>
        <v>6.1065899999999997</v>
      </c>
      <c r="T460" s="150">
        <f t="shared" si="138"/>
        <v>2.2401599999999999</v>
      </c>
      <c r="U460" s="150">
        <f t="shared" si="139"/>
        <v>0</v>
      </c>
      <c r="V460" s="150">
        <f>IFERROR(INDEX(Työkonekanta!$J$3:$J$27,MATCH($A460,Työkonekanta!$A$3:$A$24,0),1)*$B460*ef_li_ion_akku/1000/1000/INDEX(Työkonekanta!$K$3:$K$27,MATCH($A460,Työkonekanta!$A$3:$A$24,0)),0)</f>
        <v>0</v>
      </c>
      <c r="W460" s="149">
        <f t="shared" si="140"/>
        <v>23.847446957400003</v>
      </c>
      <c r="X460" s="150">
        <f t="shared" si="128"/>
        <v>0.31774565999999999</v>
      </c>
      <c r="Y460" s="151">
        <f t="shared" si="129"/>
        <v>0.13060641399416908</v>
      </c>
      <c r="Z460" s="152">
        <f t="shared" si="143"/>
        <v>8.3467500000000001</v>
      </c>
      <c r="AA460" s="153">
        <f t="shared" si="131"/>
        <v>23.978053371394171</v>
      </c>
      <c r="AB460" s="153">
        <f t="shared" si="132"/>
        <v>24.295799031394171</v>
      </c>
      <c r="AC460" s="154">
        <f t="shared" si="130"/>
        <v>32.324803371394168</v>
      </c>
      <c r="AD460" s="156">
        <f t="shared" si="133"/>
        <v>32.642549031394168</v>
      </c>
    </row>
    <row r="461" spans="1:30" s="144" customFormat="1">
      <c r="A461" s="139">
        <v>9</v>
      </c>
      <c r="B461" s="139">
        <f>IFERROR(INDEX(Työkonekanta!$F$3:$F$27,MATCH('S0a Baseline'!$A461,Työkonekanta!$A$3:$A$24,0),1),0)</f>
        <v>0</v>
      </c>
      <c r="C461" s="140">
        <v>2034</v>
      </c>
      <c r="D461" s="141" t="str">
        <f>IFERROR(INDEX(Työkonekanta!$D$3:$D$27,MATCH('S0a Baseline'!$A461,Työkonekanta!$A$3:$A$24,0),1),"undefined")</f>
        <v>sähkö</v>
      </c>
      <c r="E461" s="145">
        <f>IFERROR(INDEX(Työkonekanta!$G$3:$G$27,MATCH($A461,Työkonekanta!$A$3:$A$24,0),1)*INDEX(Työkonekanta!$H$3:$H$27,MATCH($A461,Työkonekanta!$A$3:$A$24,0),1)*$B461,0)</f>
        <v>0</v>
      </c>
      <c r="F461" s="344">
        <f t="shared" si="134"/>
        <v>0</v>
      </c>
      <c r="G461" s="344">
        <f t="shared" si="141"/>
        <v>0</v>
      </c>
      <c r="H461" s="344">
        <f t="shared" si="142"/>
        <v>0</v>
      </c>
      <c r="I461" s="145">
        <f t="shared" si="135"/>
        <v>0</v>
      </c>
      <c r="J461" s="145">
        <f t="shared" si="136"/>
        <v>0</v>
      </c>
      <c r="K461" s="142" t="str">
        <f t="shared" si="126"/>
        <v>kWh</v>
      </c>
      <c r="L461" s="146">
        <f>IFERROR(INDEX(Työkonekanta!$I$3:$I$27,MATCH('S0a Baseline'!$A461,Työkonekanta!$A$3:$A$24,0),1)*(I461+J461)*f_adblue,0)</f>
        <v>0</v>
      </c>
      <c r="M461" s="146">
        <f t="shared" si="127"/>
        <v>0</v>
      </c>
      <c r="N461" s="143" t="str">
        <f>IF(tuulisähkö_vuosi&lt;='S0a Baseline'!C461,"tuulisähkö",ostosähkö_nyt)</f>
        <v>jäännössähkö</v>
      </c>
      <c r="O461" s="147">
        <f>INDEX(Muuttujat!$J$5:$J$21,MATCH($C461,Muuttujat!$H$5:$H$21,0),1)</f>
        <v>59.556652007924122</v>
      </c>
      <c r="P461" s="342">
        <f>1-(INDEX(Muuttujat!$O$5:$O$21,MATCH($C461,Muuttujat!$N$5:$N$21,0),1))</f>
        <v>0.9</v>
      </c>
      <c r="Q461" s="342">
        <f>INDEX(Muuttujat!$O$5:$O$21,MATCH($C461,Muuttujat!$N$5:$N$21,0),1)</f>
        <v>0.1</v>
      </c>
      <c r="R461" s="148">
        <f>INDEX(Muuttujat!$P$5:$P$21,MATCH($C461,Muuttujat!$N$5:$N$21,0),1)</f>
        <v>0.10417875759940039</v>
      </c>
      <c r="S461" s="149">
        <f t="shared" si="137"/>
        <v>0</v>
      </c>
      <c r="T461" s="150">
        <f t="shared" si="138"/>
        <v>0</v>
      </c>
      <c r="U461" s="150">
        <f t="shared" si="139"/>
        <v>0</v>
      </c>
      <c r="V461" s="150">
        <f>IFERROR(INDEX(Työkonekanta!$J$3:$J$27,MATCH($A461,Työkonekanta!$A$3:$A$24,0),1)*$B461*ef_li_ion_akku/1000/1000/INDEX(Työkonekanta!$K$3:$K$27,MATCH($A461,Työkonekanta!$A$3:$A$24,0)),0)</f>
        <v>0</v>
      </c>
      <c r="W461" s="149">
        <f t="shared" si="140"/>
        <v>0</v>
      </c>
      <c r="X461" s="150">
        <f t="shared" si="128"/>
        <v>0</v>
      </c>
      <c r="Y461" s="151">
        <f t="shared" si="129"/>
        <v>0</v>
      </c>
      <c r="Z461" s="152">
        <f t="shared" si="143"/>
        <v>0</v>
      </c>
      <c r="AA461" s="153">
        <f t="shared" si="131"/>
        <v>0</v>
      </c>
      <c r="AB461" s="153">
        <f t="shared" si="132"/>
        <v>0</v>
      </c>
      <c r="AC461" s="154">
        <f t="shared" si="130"/>
        <v>0</v>
      </c>
      <c r="AD461" s="156">
        <f t="shared" si="133"/>
        <v>0</v>
      </c>
    </row>
    <row r="462" spans="1:30" s="144" customFormat="1">
      <c r="A462" s="139">
        <v>10</v>
      </c>
      <c r="B462" s="139">
        <f>IFERROR(INDEX(Työkonekanta!$F$3:$F$27,MATCH('S0a Baseline'!$A462,Työkonekanta!$A$3:$A$24,0),1),0)</f>
        <v>0</v>
      </c>
      <c r="C462" s="140">
        <v>2034</v>
      </c>
      <c r="D462" s="141" t="str">
        <f>IFERROR(INDEX(Työkonekanta!$D$3:$D$27,MATCH('S0a Baseline'!$A462,Työkonekanta!$A$3:$A$24,0),1),"undefined")</f>
        <v>sähkö</v>
      </c>
      <c r="E462" s="145">
        <f>IFERROR(INDEX(Työkonekanta!$G$3:$G$27,MATCH($A462,Työkonekanta!$A$3:$A$24,0),1)*INDEX(Työkonekanta!$H$3:$H$27,MATCH($A462,Työkonekanta!$A$3:$A$24,0),1)*$B462,0)</f>
        <v>0</v>
      </c>
      <c r="F462" s="344">
        <f t="shared" si="134"/>
        <v>0</v>
      </c>
      <c r="G462" s="344">
        <f t="shared" si="141"/>
        <v>0</v>
      </c>
      <c r="H462" s="344">
        <f t="shared" si="142"/>
        <v>0</v>
      </c>
      <c r="I462" s="145">
        <f t="shared" si="135"/>
        <v>0</v>
      </c>
      <c r="J462" s="145">
        <f t="shared" si="136"/>
        <v>0</v>
      </c>
      <c r="K462" s="142" t="str">
        <f t="shared" si="126"/>
        <v>kWh</v>
      </c>
      <c r="L462" s="146">
        <f>IFERROR(INDEX(Työkonekanta!$I$3:$I$27,MATCH('S0a Baseline'!$A462,Työkonekanta!$A$3:$A$24,0),1)*(I462+J462)*f_adblue,0)</f>
        <v>0</v>
      </c>
      <c r="M462" s="146">
        <f t="shared" si="127"/>
        <v>0</v>
      </c>
      <c r="N462" s="143" t="str">
        <f>IF(tuulisähkö_vuosi&lt;='S0a Baseline'!C462,"tuulisähkö",ostosähkö_nyt)</f>
        <v>jäännössähkö</v>
      </c>
      <c r="O462" s="147">
        <f>INDEX(Muuttujat!$J$5:$J$21,MATCH($C462,Muuttujat!$H$5:$H$21,0),1)</f>
        <v>59.556652007924122</v>
      </c>
      <c r="P462" s="342">
        <f>1-(INDEX(Muuttujat!$O$5:$O$21,MATCH($C462,Muuttujat!$N$5:$N$21,0),1))</f>
        <v>0.9</v>
      </c>
      <c r="Q462" s="342">
        <f>INDEX(Muuttujat!$O$5:$O$21,MATCH($C462,Muuttujat!$N$5:$N$21,0),1)</f>
        <v>0.1</v>
      </c>
      <c r="R462" s="148">
        <f>INDEX(Muuttujat!$P$5:$P$21,MATCH($C462,Muuttujat!$N$5:$N$21,0),1)</f>
        <v>0.10417875759940039</v>
      </c>
      <c r="S462" s="149">
        <f t="shared" si="137"/>
        <v>0</v>
      </c>
      <c r="T462" s="150">
        <f t="shared" si="138"/>
        <v>0</v>
      </c>
      <c r="U462" s="150">
        <f t="shared" si="139"/>
        <v>0</v>
      </c>
      <c r="V462" s="150">
        <f>IFERROR(INDEX(Työkonekanta!$J$3:$J$27,MATCH($A462,Työkonekanta!$A$3:$A$24,0),1)*$B462*ef_li_ion_akku/1000/1000/INDEX(Työkonekanta!$K$3:$K$27,MATCH($A462,Työkonekanta!$A$3:$A$24,0)),0)</f>
        <v>0</v>
      </c>
      <c r="W462" s="149">
        <f t="shared" si="140"/>
        <v>0</v>
      </c>
      <c r="X462" s="150">
        <f t="shared" si="128"/>
        <v>0</v>
      </c>
      <c r="Y462" s="151">
        <f t="shared" si="129"/>
        <v>0</v>
      </c>
      <c r="Z462" s="152">
        <f t="shared" si="143"/>
        <v>0</v>
      </c>
      <c r="AA462" s="153">
        <f t="shared" si="131"/>
        <v>0</v>
      </c>
      <c r="AB462" s="153">
        <f t="shared" si="132"/>
        <v>0</v>
      </c>
      <c r="AC462" s="154">
        <f t="shared" si="130"/>
        <v>0</v>
      </c>
      <c r="AD462" s="156">
        <f t="shared" si="133"/>
        <v>0</v>
      </c>
    </row>
    <row r="463" spans="1:30" s="144" customFormat="1">
      <c r="A463" s="139">
        <v>11</v>
      </c>
      <c r="B463" s="139">
        <f>IFERROR(INDEX(Työkonekanta!$F$3:$F$27,MATCH('S0a Baseline'!$A463,Työkonekanta!$A$3:$A$24,0),1),0)</f>
        <v>1</v>
      </c>
      <c r="C463" s="140">
        <v>2034</v>
      </c>
      <c r="D463" s="141" t="str">
        <f>IFERROR(INDEX(Työkonekanta!$D$3:$D$27,MATCH('S0a Baseline'!$A463,Työkonekanta!$A$3:$A$24,0),1),"undefined")</f>
        <v>pom</v>
      </c>
      <c r="E463" s="145">
        <f>IFERROR(INDEX(Työkonekanta!$G$3:$G$27,MATCH($A463,Työkonekanta!$A$3:$A$24,0),1)*INDEX(Työkonekanta!$H$3:$H$27,MATCH($A463,Työkonekanta!$A$3:$A$24,0),1)*$B463,0)</f>
        <v>10000</v>
      </c>
      <c r="F463" s="344">
        <f t="shared" si="134"/>
        <v>359000</v>
      </c>
      <c r="G463" s="344">
        <f t="shared" si="141"/>
        <v>323100</v>
      </c>
      <c r="H463" s="344">
        <f t="shared" si="142"/>
        <v>35900</v>
      </c>
      <c r="I463" s="145">
        <f t="shared" si="135"/>
        <v>9000</v>
      </c>
      <c r="J463" s="145">
        <f t="shared" si="136"/>
        <v>1046.6472303206997</v>
      </c>
      <c r="K463" s="142" t="str">
        <f t="shared" si="126"/>
        <v>l</v>
      </c>
      <c r="L463" s="146">
        <f>IFERROR(INDEX(Työkonekanta!$I$3:$I$27,MATCH('S0a Baseline'!$A463,Työkonekanta!$A$3:$A$24,0),1)*(I463+J463)*f_adblue,0)</f>
        <v>502.33236151603501</v>
      </c>
      <c r="M463" s="146">
        <f t="shared" si="127"/>
        <v>0</v>
      </c>
      <c r="N463" s="143" t="str">
        <f>IF(tuulisähkö_vuosi&lt;='S0a Baseline'!C463,"tuulisähkö",ostosähkö_nyt)</f>
        <v>jäännössähkö</v>
      </c>
      <c r="O463" s="147">
        <f>INDEX(Muuttujat!$J$5:$J$21,MATCH($C463,Muuttujat!$H$5:$H$21,0),1)</f>
        <v>59.556652007924122</v>
      </c>
      <c r="P463" s="342">
        <f>1-(INDEX(Muuttujat!$O$5:$O$21,MATCH($C463,Muuttujat!$N$5:$N$21,0),1))</f>
        <v>0.9</v>
      </c>
      <c r="Q463" s="342">
        <f>INDEX(Muuttujat!$O$5:$O$21,MATCH($C463,Muuttujat!$N$5:$N$21,0),1)</f>
        <v>0.1</v>
      </c>
      <c r="R463" s="148">
        <f>INDEX(Muuttujat!$P$5:$P$21,MATCH($C463,Muuttujat!$N$5:$N$21,0),1)</f>
        <v>0.10417875759940039</v>
      </c>
      <c r="S463" s="149">
        <f t="shared" si="137"/>
        <v>6.1065899999999997</v>
      </c>
      <c r="T463" s="150">
        <f t="shared" si="138"/>
        <v>2.2401599999999999</v>
      </c>
      <c r="U463" s="150">
        <f t="shared" si="139"/>
        <v>0</v>
      </c>
      <c r="V463" s="150">
        <f>IFERROR(INDEX(Työkonekanta!$J$3:$J$27,MATCH($A463,Työkonekanta!$A$3:$A$24,0),1)*$B463*ef_li_ion_akku/1000/1000/INDEX(Työkonekanta!$K$3:$K$27,MATCH($A463,Työkonekanta!$A$3:$A$24,0)),0)</f>
        <v>0</v>
      </c>
      <c r="W463" s="149">
        <f t="shared" si="140"/>
        <v>23.847446957400003</v>
      </c>
      <c r="X463" s="150">
        <f t="shared" si="128"/>
        <v>0.31774565999999999</v>
      </c>
      <c r="Y463" s="151">
        <f t="shared" si="129"/>
        <v>0.13060641399416908</v>
      </c>
      <c r="Z463" s="152">
        <f t="shared" si="143"/>
        <v>8.3467500000000001</v>
      </c>
      <c r="AA463" s="153">
        <f t="shared" si="131"/>
        <v>23.978053371394171</v>
      </c>
      <c r="AB463" s="153">
        <f t="shared" si="132"/>
        <v>24.295799031394171</v>
      </c>
      <c r="AC463" s="154">
        <f t="shared" si="130"/>
        <v>32.324803371394168</v>
      </c>
      <c r="AD463" s="156">
        <f t="shared" si="133"/>
        <v>32.642549031394168</v>
      </c>
    </row>
    <row r="464" spans="1:30" s="144" customFormat="1">
      <c r="A464" s="139">
        <v>12</v>
      </c>
      <c r="B464" s="139">
        <f>IFERROR(INDEX(Työkonekanta!$F$3:$F$27,MATCH('S0a Baseline'!$A464,Työkonekanta!$A$3:$A$24,0),1),0)</f>
        <v>1</v>
      </c>
      <c r="C464" s="140">
        <v>2034</v>
      </c>
      <c r="D464" s="141" t="str">
        <f>IFERROR(INDEX(Työkonekanta!$D$3:$D$27,MATCH('S0a Baseline'!$A464,Työkonekanta!$A$3:$A$24,0),1),"undefined")</f>
        <v>pom</v>
      </c>
      <c r="E464" s="145">
        <f>IFERROR(INDEX(Työkonekanta!$G$3:$G$27,MATCH($A464,Työkonekanta!$A$3:$A$24,0),1)*INDEX(Työkonekanta!$H$3:$H$27,MATCH($A464,Työkonekanta!$A$3:$A$24,0),1)*$B464,0)</f>
        <v>10000</v>
      </c>
      <c r="F464" s="344">
        <f t="shared" si="134"/>
        <v>359000</v>
      </c>
      <c r="G464" s="344">
        <f t="shared" si="141"/>
        <v>323100</v>
      </c>
      <c r="H464" s="344">
        <f t="shared" si="142"/>
        <v>35900</v>
      </c>
      <c r="I464" s="145">
        <f t="shared" si="135"/>
        <v>9000</v>
      </c>
      <c r="J464" s="145">
        <f t="shared" si="136"/>
        <v>1046.6472303206997</v>
      </c>
      <c r="K464" s="142" t="str">
        <f t="shared" si="126"/>
        <v>l</v>
      </c>
      <c r="L464" s="146">
        <f>IFERROR(INDEX(Työkonekanta!$I$3:$I$27,MATCH('S0a Baseline'!$A464,Työkonekanta!$A$3:$A$24,0),1)*(I464+J464)*f_adblue,0)</f>
        <v>502.33236151603501</v>
      </c>
      <c r="M464" s="146">
        <f t="shared" si="127"/>
        <v>0</v>
      </c>
      <c r="N464" s="143" t="str">
        <f>IF(tuulisähkö_vuosi&lt;='S0a Baseline'!C464,"tuulisähkö",ostosähkö_nyt)</f>
        <v>jäännössähkö</v>
      </c>
      <c r="O464" s="147">
        <f>INDEX(Muuttujat!$J$5:$J$21,MATCH($C464,Muuttujat!$H$5:$H$21,0),1)</f>
        <v>59.556652007924122</v>
      </c>
      <c r="P464" s="342">
        <f>1-(INDEX(Muuttujat!$O$5:$O$21,MATCH($C464,Muuttujat!$N$5:$N$21,0),1))</f>
        <v>0.9</v>
      </c>
      <c r="Q464" s="342">
        <f>INDEX(Muuttujat!$O$5:$O$21,MATCH($C464,Muuttujat!$N$5:$N$21,0),1)</f>
        <v>0.1</v>
      </c>
      <c r="R464" s="148">
        <f>INDEX(Muuttujat!$P$5:$P$21,MATCH($C464,Muuttujat!$N$5:$N$21,0),1)</f>
        <v>0.10417875759940039</v>
      </c>
      <c r="S464" s="149">
        <f t="shared" si="137"/>
        <v>6.1065899999999997</v>
      </c>
      <c r="T464" s="150">
        <f t="shared" si="138"/>
        <v>2.2401599999999999</v>
      </c>
      <c r="U464" s="150">
        <f t="shared" si="139"/>
        <v>0</v>
      </c>
      <c r="V464" s="150">
        <f>IFERROR(INDEX(Työkonekanta!$J$3:$J$27,MATCH($A464,Työkonekanta!$A$3:$A$24,0),1)*$B464*ef_li_ion_akku/1000/1000/INDEX(Työkonekanta!$K$3:$K$27,MATCH($A464,Työkonekanta!$A$3:$A$24,0)),0)</f>
        <v>0</v>
      </c>
      <c r="W464" s="149">
        <f t="shared" si="140"/>
        <v>23.847446957400003</v>
      </c>
      <c r="X464" s="150">
        <f t="shared" si="128"/>
        <v>0.31774565999999999</v>
      </c>
      <c r="Y464" s="151">
        <f t="shared" si="129"/>
        <v>0.13060641399416908</v>
      </c>
      <c r="Z464" s="152">
        <f t="shared" si="143"/>
        <v>8.3467500000000001</v>
      </c>
      <c r="AA464" s="153">
        <f t="shared" si="131"/>
        <v>23.978053371394171</v>
      </c>
      <c r="AB464" s="153">
        <f t="shared" si="132"/>
        <v>24.295799031394171</v>
      </c>
      <c r="AC464" s="154">
        <f t="shared" si="130"/>
        <v>32.324803371394168</v>
      </c>
      <c r="AD464" s="156">
        <f t="shared" si="133"/>
        <v>32.642549031394168</v>
      </c>
    </row>
    <row r="465" spans="1:30" s="144" customFormat="1">
      <c r="A465" s="139">
        <v>13</v>
      </c>
      <c r="B465" s="139">
        <f>IFERROR(INDEX(Työkonekanta!$F$3:$F$27,MATCH('S0a Baseline'!$A465,Työkonekanta!$A$3:$A$24,0),1),0)</f>
        <v>0</v>
      </c>
      <c r="C465" s="140">
        <v>2034</v>
      </c>
      <c r="D465" s="141" t="str">
        <f>IFERROR(INDEX(Työkonekanta!$D$3:$D$27,MATCH('S0a Baseline'!$A465,Työkonekanta!$A$3:$A$24,0),1),"undefined")</f>
        <v>pom</v>
      </c>
      <c r="E465" s="145">
        <f>IFERROR(INDEX(Työkonekanta!$G$3:$G$27,MATCH($A465,Työkonekanta!$A$3:$A$24,0),1)*INDEX(Työkonekanta!$H$3:$H$27,MATCH($A465,Työkonekanta!$A$3:$A$24,0),1)*$B465,0)</f>
        <v>0</v>
      </c>
      <c r="F465" s="344">
        <f t="shared" si="134"/>
        <v>0</v>
      </c>
      <c r="G465" s="344">
        <f t="shared" si="141"/>
        <v>0</v>
      </c>
      <c r="H465" s="344">
        <f t="shared" si="142"/>
        <v>0</v>
      </c>
      <c r="I465" s="145">
        <f t="shared" si="135"/>
        <v>0</v>
      </c>
      <c r="J465" s="145">
        <f t="shared" si="136"/>
        <v>0</v>
      </c>
      <c r="K465" s="142" t="str">
        <f t="shared" si="126"/>
        <v>l</v>
      </c>
      <c r="L465" s="146">
        <f>IFERROR(INDEX(Työkonekanta!$I$3:$I$27,MATCH('S0a Baseline'!$A465,Työkonekanta!$A$3:$A$24,0),1)*(I465+J465)*f_adblue,0)</f>
        <v>0</v>
      </c>
      <c r="M465" s="146">
        <f t="shared" si="127"/>
        <v>0</v>
      </c>
      <c r="N465" s="143" t="str">
        <f>IF(tuulisähkö_vuosi&lt;='S0a Baseline'!C465,"tuulisähkö",ostosähkö_nyt)</f>
        <v>jäännössähkö</v>
      </c>
      <c r="O465" s="147">
        <f>INDEX(Muuttujat!$J$5:$J$21,MATCH($C465,Muuttujat!$H$5:$H$21,0),1)</f>
        <v>59.556652007924122</v>
      </c>
      <c r="P465" s="342">
        <f>1-(INDEX(Muuttujat!$O$5:$O$21,MATCH($C465,Muuttujat!$N$5:$N$21,0),1))</f>
        <v>0.9</v>
      </c>
      <c r="Q465" s="342">
        <f>INDEX(Muuttujat!$O$5:$O$21,MATCH($C465,Muuttujat!$N$5:$N$21,0),1)</f>
        <v>0.1</v>
      </c>
      <c r="R465" s="148">
        <f>INDEX(Muuttujat!$P$5:$P$21,MATCH($C465,Muuttujat!$N$5:$N$21,0),1)</f>
        <v>0.10417875759940039</v>
      </c>
      <c r="S465" s="149">
        <f t="shared" si="137"/>
        <v>0</v>
      </c>
      <c r="T465" s="150">
        <f t="shared" si="138"/>
        <v>0</v>
      </c>
      <c r="U465" s="150">
        <f t="shared" si="139"/>
        <v>0</v>
      </c>
      <c r="V465" s="150">
        <f>IFERROR(INDEX(Työkonekanta!$J$3:$J$27,MATCH($A465,Työkonekanta!$A$3:$A$24,0),1)*$B465*ef_li_ion_akku/1000/1000/INDEX(Työkonekanta!$K$3:$K$27,MATCH($A465,Työkonekanta!$A$3:$A$24,0)),0)</f>
        <v>0</v>
      </c>
      <c r="W465" s="149">
        <f t="shared" si="140"/>
        <v>0</v>
      </c>
      <c r="X465" s="150">
        <f t="shared" si="128"/>
        <v>0</v>
      </c>
      <c r="Y465" s="151">
        <f t="shared" si="129"/>
        <v>0</v>
      </c>
      <c r="Z465" s="152">
        <f t="shared" si="143"/>
        <v>0</v>
      </c>
      <c r="AA465" s="153">
        <f t="shared" si="131"/>
        <v>0</v>
      </c>
      <c r="AB465" s="153">
        <f t="shared" si="132"/>
        <v>0</v>
      </c>
      <c r="AC465" s="154">
        <f t="shared" si="130"/>
        <v>0</v>
      </c>
      <c r="AD465" s="156">
        <f t="shared" si="133"/>
        <v>0</v>
      </c>
    </row>
    <row r="466" spans="1:30" s="144" customFormat="1">
      <c r="A466" s="139">
        <v>14</v>
      </c>
      <c r="B466" s="139">
        <f>IFERROR(INDEX(Työkonekanta!$F$3:$F$27,MATCH('S0a Baseline'!$A466,Työkonekanta!$A$3:$A$24,0),1),0)</f>
        <v>0</v>
      </c>
      <c r="C466" s="140">
        <v>2034</v>
      </c>
      <c r="D466" s="141" t="str">
        <f>IFERROR(INDEX(Työkonekanta!$D$3:$D$27,MATCH('S0a Baseline'!$A466,Työkonekanta!$A$3:$A$24,0),1),"undefined")</f>
        <v>pom</v>
      </c>
      <c r="E466" s="145">
        <f>IFERROR(INDEX(Työkonekanta!$G$3:$G$27,MATCH($A466,Työkonekanta!$A$3:$A$24,0),1)*INDEX(Työkonekanta!$H$3:$H$27,MATCH($A466,Työkonekanta!$A$3:$A$24,0),1)*$B466,0)</f>
        <v>0</v>
      </c>
      <c r="F466" s="344">
        <f t="shared" si="134"/>
        <v>0</v>
      </c>
      <c r="G466" s="344">
        <f t="shared" si="141"/>
        <v>0</v>
      </c>
      <c r="H466" s="344">
        <f t="shared" si="142"/>
        <v>0</v>
      </c>
      <c r="I466" s="145">
        <f t="shared" si="135"/>
        <v>0</v>
      </c>
      <c r="J466" s="145">
        <f t="shared" si="136"/>
        <v>0</v>
      </c>
      <c r="K466" s="142" t="str">
        <f t="shared" si="126"/>
        <v>l</v>
      </c>
      <c r="L466" s="146">
        <f>IFERROR(INDEX(Työkonekanta!$I$3:$I$27,MATCH('S0a Baseline'!$A466,Työkonekanta!$A$3:$A$24,0),1)*(I466+J466)*f_adblue,0)</f>
        <v>0</v>
      </c>
      <c r="M466" s="146">
        <f t="shared" si="127"/>
        <v>0</v>
      </c>
      <c r="N466" s="143" t="str">
        <f>IF(tuulisähkö_vuosi&lt;='S0a Baseline'!C466,"tuulisähkö",ostosähkö_nyt)</f>
        <v>jäännössähkö</v>
      </c>
      <c r="O466" s="147">
        <f>INDEX(Muuttujat!$J$5:$J$21,MATCH($C466,Muuttujat!$H$5:$H$21,0),1)</f>
        <v>59.556652007924122</v>
      </c>
      <c r="P466" s="342">
        <f>1-(INDEX(Muuttujat!$O$5:$O$21,MATCH($C466,Muuttujat!$N$5:$N$21,0),1))</f>
        <v>0.9</v>
      </c>
      <c r="Q466" s="342">
        <f>INDEX(Muuttujat!$O$5:$O$21,MATCH($C466,Muuttujat!$N$5:$N$21,0),1)</f>
        <v>0.1</v>
      </c>
      <c r="R466" s="148">
        <f>INDEX(Muuttujat!$P$5:$P$21,MATCH($C466,Muuttujat!$N$5:$N$21,0),1)</f>
        <v>0.10417875759940039</v>
      </c>
      <c r="S466" s="149">
        <f t="shared" si="137"/>
        <v>0</v>
      </c>
      <c r="T466" s="150">
        <f t="shared" si="138"/>
        <v>0</v>
      </c>
      <c r="U466" s="150">
        <f t="shared" si="139"/>
        <v>0</v>
      </c>
      <c r="V466" s="150">
        <f>IFERROR(INDEX(Työkonekanta!$J$3:$J$27,MATCH($A466,Työkonekanta!$A$3:$A$24,0),1)*$B466*ef_li_ion_akku/1000/1000/INDEX(Työkonekanta!$K$3:$K$27,MATCH($A466,Työkonekanta!$A$3:$A$24,0)),0)</f>
        <v>0</v>
      </c>
      <c r="W466" s="149">
        <f t="shared" si="140"/>
        <v>0</v>
      </c>
      <c r="X466" s="150">
        <f t="shared" si="128"/>
        <v>0</v>
      </c>
      <c r="Y466" s="151">
        <f t="shared" si="129"/>
        <v>0</v>
      </c>
      <c r="Z466" s="152">
        <f t="shared" si="143"/>
        <v>0</v>
      </c>
      <c r="AA466" s="153">
        <f t="shared" si="131"/>
        <v>0</v>
      </c>
      <c r="AB466" s="153">
        <f t="shared" si="132"/>
        <v>0</v>
      </c>
      <c r="AC466" s="154">
        <f t="shared" si="130"/>
        <v>0</v>
      </c>
      <c r="AD466" s="156">
        <f t="shared" si="133"/>
        <v>0</v>
      </c>
    </row>
    <row r="467" spans="1:30" s="144" customFormat="1">
      <c r="A467" s="139">
        <v>15</v>
      </c>
      <c r="B467" s="139">
        <f>IFERROR(INDEX(Työkonekanta!$F$3:$F$27,MATCH('S0a Baseline'!$A467,Työkonekanta!$A$3:$A$24,0),1),0)</f>
        <v>0</v>
      </c>
      <c r="C467" s="140">
        <v>2034</v>
      </c>
      <c r="D467" s="141" t="str">
        <f>IFERROR(INDEX(Työkonekanta!$D$3:$D$27,MATCH('S0a Baseline'!$A467,Työkonekanta!$A$3:$A$24,0),1),"undefined")</f>
        <v>sähkö</v>
      </c>
      <c r="E467" s="145">
        <f>IFERROR(INDEX(Työkonekanta!$G$3:$G$27,MATCH($A467,Työkonekanta!$A$3:$A$24,0),1)*INDEX(Työkonekanta!$H$3:$H$27,MATCH($A467,Työkonekanta!$A$3:$A$24,0),1)*$B467,0)</f>
        <v>0</v>
      </c>
      <c r="F467" s="344">
        <f t="shared" si="134"/>
        <v>0</v>
      </c>
      <c r="G467" s="344">
        <f t="shared" si="141"/>
        <v>0</v>
      </c>
      <c r="H467" s="344">
        <f t="shared" si="142"/>
        <v>0</v>
      </c>
      <c r="I467" s="145">
        <f t="shared" si="135"/>
        <v>0</v>
      </c>
      <c r="J467" s="145">
        <f t="shared" si="136"/>
        <v>0</v>
      </c>
      <c r="K467" s="142" t="str">
        <f t="shared" si="126"/>
        <v>kWh</v>
      </c>
      <c r="L467" s="146">
        <f>IFERROR(INDEX(Työkonekanta!$I$3:$I$27,MATCH('S0a Baseline'!$A467,Työkonekanta!$A$3:$A$24,0),1)*(I467+J467)*f_adblue,0)</f>
        <v>0</v>
      </c>
      <c r="M467" s="146">
        <f t="shared" si="127"/>
        <v>0</v>
      </c>
      <c r="N467" s="143" t="str">
        <f>IF(tuulisähkö_vuosi&lt;='S0a Baseline'!C467,"tuulisähkö",ostosähkö_nyt)</f>
        <v>jäännössähkö</v>
      </c>
      <c r="O467" s="147">
        <f>INDEX(Muuttujat!$J$5:$J$21,MATCH($C467,Muuttujat!$H$5:$H$21,0),1)</f>
        <v>59.556652007924122</v>
      </c>
      <c r="P467" s="342">
        <f>1-(INDEX(Muuttujat!$O$5:$O$21,MATCH($C467,Muuttujat!$N$5:$N$21,0),1))</f>
        <v>0.9</v>
      </c>
      <c r="Q467" s="342">
        <f>INDEX(Muuttujat!$O$5:$O$21,MATCH($C467,Muuttujat!$N$5:$N$21,0),1)</f>
        <v>0.1</v>
      </c>
      <c r="R467" s="148">
        <f>INDEX(Muuttujat!$P$5:$P$21,MATCH($C467,Muuttujat!$N$5:$N$21,0),1)</f>
        <v>0.10417875759940039</v>
      </c>
      <c r="S467" s="149">
        <f t="shared" si="137"/>
        <v>0</v>
      </c>
      <c r="T467" s="150">
        <f t="shared" si="138"/>
        <v>0</v>
      </c>
      <c r="U467" s="150">
        <f t="shared" si="139"/>
        <v>0</v>
      </c>
      <c r="V467" s="150">
        <f>IFERROR(INDEX(Työkonekanta!$J$3:$J$27,MATCH($A467,Työkonekanta!$A$3:$A$24,0),1)*$B467*ef_li_ion_akku/1000/1000/INDEX(Työkonekanta!$K$3:$K$27,MATCH($A467,Työkonekanta!$A$3:$A$24,0)),0)</f>
        <v>0</v>
      </c>
      <c r="W467" s="149">
        <f t="shared" si="140"/>
        <v>0</v>
      </c>
      <c r="X467" s="150">
        <f t="shared" si="128"/>
        <v>0</v>
      </c>
      <c r="Y467" s="151">
        <f t="shared" si="129"/>
        <v>0</v>
      </c>
      <c r="Z467" s="152">
        <f t="shared" si="143"/>
        <v>0</v>
      </c>
      <c r="AA467" s="153">
        <f t="shared" si="131"/>
        <v>0</v>
      </c>
      <c r="AB467" s="153">
        <f t="shared" si="132"/>
        <v>0</v>
      </c>
      <c r="AC467" s="154">
        <f t="shared" si="130"/>
        <v>0</v>
      </c>
      <c r="AD467" s="156">
        <f t="shared" si="133"/>
        <v>0</v>
      </c>
    </row>
    <row r="468" spans="1:30" s="144" customFormat="1">
      <c r="A468" s="139">
        <v>16</v>
      </c>
      <c r="B468" s="139">
        <f>IFERROR(INDEX(Työkonekanta!$F$3:$F$27,MATCH('S0a Baseline'!$A468,Työkonekanta!$A$3:$A$24,0),1),0)</f>
        <v>0</v>
      </c>
      <c r="C468" s="140">
        <v>2034</v>
      </c>
      <c r="D468" s="141" t="str">
        <f>IFERROR(INDEX(Työkonekanta!$D$3:$D$27,MATCH('S0a Baseline'!$A468,Työkonekanta!$A$3:$A$24,0),1),"undefined")</f>
        <v>sähkö</v>
      </c>
      <c r="E468" s="145">
        <f>IFERROR(INDEX(Työkonekanta!$G$3:$G$27,MATCH($A468,Työkonekanta!$A$3:$A$24,0),1)*INDEX(Työkonekanta!$H$3:$H$27,MATCH($A468,Työkonekanta!$A$3:$A$24,0),1)*$B468,0)</f>
        <v>0</v>
      </c>
      <c r="F468" s="344">
        <f t="shared" si="134"/>
        <v>0</v>
      </c>
      <c r="G468" s="344">
        <f t="shared" si="141"/>
        <v>0</v>
      </c>
      <c r="H468" s="344">
        <f t="shared" si="142"/>
        <v>0</v>
      </c>
      <c r="I468" s="145">
        <f t="shared" si="135"/>
        <v>0</v>
      </c>
      <c r="J468" s="145">
        <f t="shared" si="136"/>
        <v>0</v>
      </c>
      <c r="K468" s="142" t="str">
        <f t="shared" si="126"/>
        <v>kWh</v>
      </c>
      <c r="L468" s="146">
        <f>IFERROR(INDEX(Työkonekanta!$I$3:$I$27,MATCH('S0a Baseline'!$A468,Työkonekanta!$A$3:$A$24,0),1)*(I468+J468)*f_adblue,0)</f>
        <v>0</v>
      </c>
      <c r="M468" s="146">
        <f t="shared" si="127"/>
        <v>0</v>
      </c>
      <c r="N468" s="143" t="str">
        <f>IF(tuulisähkö_vuosi&lt;='S0a Baseline'!C468,"tuulisähkö",ostosähkö_nyt)</f>
        <v>jäännössähkö</v>
      </c>
      <c r="O468" s="147">
        <f>INDEX(Muuttujat!$J$5:$J$21,MATCH($C468,Muuttujat!$H$5:$H$21,0),1)</f>
        <v>59.556652007924122</v>
      </c>
      <c r="P468" s="342">
        <f>1-(INDEX(Muuttujat!$O$5:$O$21,MATCH($C468,Muuttujat!$N$5:$N$21,0),1))</f>
        <v>0.9</v>
      </c>
      <c r="Q468" s="342">
        <f>INDEX(Muuttujat!$O$5:$O$21,MATCH($C468,Muuttujat!$N$5:$N$21,0),1)</f>
        <v>0.1</v>
      </c>
      <c r="R468" s="148">
        <f>INDEX(Muuttujat!$P$5:$P$21,MATCH($C468,Muuttujat!$N$5:$N$21,0),1)</f>
        <v>0.10417875759940039</v>
      </c>
      <c r="S468" s="149">
        <f t="shared" si="137"/>
        <v>0</v>
      </c>
      <c r="T468" s="150">
        <f t="shared" si="138"/>
        <v>0</v>
      </c>
      <c r="U468" s="150">
        <f t="shared" si="139"/>
        <v>0</v>
      </c>
      <c r="V468" s="150">
        <f>IFERROR(INDEX(Työkonekanta!$J$3:$J$27,MATCH($A468,Työkonekanta!$A$3:$A$24,0),1)*$B468*ef_li_ion_akku/1000/1000/INDEX(Työkonekanta!$K$3:$K$27,MATCH($A468,Työkonekanta!$A$3:$A$24,0)),0)</f>
        <v>0</v>
      </c>
      <c r="W468" s="149">
        <f t="shared" si="140"/>
        <v>0</v>
      </c>
      <c r="X468" s="150">
        <f t="shared" si="128"/>
        <v>0</v>
      </c>
      <c r="Y468" s="151">
        <f t="shared" si="129"/>
        <v>0</v>
      </c>
      <c r="Z468" s="152">
        <f t="shared" si="143"/>
        <v>0</v>
      </c>
      <c r="AA468" s="153">
        <f t="shared" si="131"/>
        <v>0</v>
      </c>
      <c r="AB468" s="153">
        <f t="shared" si="132"/>
        <v>0</v>
      </c>
      <c r="AC468" s="154">
        <f t="shared" si="130"/>
        <v>0</v>
      </c>
      <c r="AD468" s="156">
        <f t="shared" si="133"/>
        <v>0</v>
      </c>
    </row>
    <row r="469" spans="1:30" s="144" customFormat="1">
      <c r="A469" s="139">
        <v>17</v>
      </c>
      <c r="B469" s="139">
        <f>IFERROR(INDEX(Työkonekanta!$F$3:$F$27,MATCH('S0a Baseline'!$A469,Työkonekanta!$A$3:$A$24,0),1),0)</f>
        <v>1</v>
      </c>
      <c r="C469" s="140">
        <v>2034</v>
      </c>
      <c r="D469" s="141" t="str">
        <f>IFERROR(INDEX(Työkonekanta!$D$3:$D$27,MATCH('S0a Baseline'!$A469,Työkonekanta!$A$3:$A$24,0),1),"undefined")</f>
        <v>pom</v>
      </c>
      <c r="E469" s="145">
        <f>IFERROR(INDEX(Työkonekanta!$G$3:$G$27,MATCH($A469,Työkonekanta!$A$3:$A$24,0),1)*INDEX(Työkonekanta!$H$3:$H$27,MATCH($A469,Työkonekanta!$A$3:$A$24,0),1)*$B469,0)</f>
        <v>10000</v>
      </c>
      <c r="F469" s="344">
        <f t="shared" si="134"/>
        <v>359000</v>
      </c>
      <c r="G469" s="344">
        <f t="shared" si="141"/>
        <v>323100</v>
      </c>
      <c r="H469" s="344">
        <f t="shared" si="142"/>
        <v>35900</v>
      </c>
      <c r="I469" s="145">
        <f t="shared" si="135"/>
        <v>9000</v>
      </c>
      <c r="J469" s="145">
        <f t="shared" si="136"/>
        <v>1046.6472303206997</v>
      </c>
      <c r="K469" s="142" t="str">
        <f t="shared" si="126"/>
        <v>l</v>
      </c>
      <c r="L469" s="146">
        <f>IFERROR(INDEX(Työkonekanta!$I$3:$I$27,MATCH('S0a Baseline'!$A469,Työkonekanta!$A$3:$A$24,0),1)*(I469+J469)*f_adblue,0)</f>
        <v>502.33236151603501</v>
      </c>
      <c r="M469" s="146">
        <f t="shared" si="127"/>
        <v>0</v>
      </c>
      <c r="N469" s="143" t="str">
        <f>IF(tuulisähkö_vuosi&lt;='S0a Baseline'!C469,"tuulisähkö",ostosähkö_nyt)</f>
        <v>jäännössähkö</v>
      </c>
      <c r="O469" s="147">
        <f>INDEX(Muuttujat!$J$5:$J$21,MATCH($C469,Muuttujat!$H$5:$H$21,0),1)</f>
        <v>59.556652007924122</v>
      </c>
      <c r="P469" s="342">
        <f>1-(INDEX(Muuttujat!$O$5:$O$21,MATCH($C469,Muuttujat!$N$5:$N$21,0),1))</f>
        <v>0.9</v>
      </c>
      <c r="Q469" s="342">
        <f>INDEX(Muuttujat!$O$5:$O$21,MATCH($C469,Muuttujat!$N$5:$N$21,0),1)</f>
        <v>0.1</v>
      </c>
      <c r="R469" s="148">
        <f>INDEX(Muuttujat!$P$5:$P$21,MATCH($C469,Muuttujat!$N$5:$N$21,0),1)</f>
        <v>0.10417875759940039</v>
      </c>
      <c r="S469" s="149">
        <f t="shared" si="137"/>
        <v>6.1065899999999997</v>
      </c>
      <c r="T469" s="150">
        <f t="shared" si="138"/>
        <v>2.2401599999999999</v>
      </c>
      <c r="U469" s="150">
        <f t="shared" si="139"/>
        <v>0</v>
      </c>
      <c r="V469" s="150">
        <f>IFERROR(INDEX(Työkonekanta!$J$3:$J$27,MATCH($A469,Työkonekanta!$A$3:$A$24,0),1)*$B469*ef_li_ion_akku/1000/1000/INDEX(Työkonekanta!$K$3:$K$27,MATCH($A469,Työkonekanta!$A$3:$A$24,0)),0)</f>
        <v>0</v>
      </c>
      <c r="W469" s="149">
        <f t="shared" si="140"/>
        <v>23.847446957400003</v>
      </c>
      <c r="X469" s="150">
        <f t="shared" si="128"/>
        <v>0.31774565999999999</v>
      </c>
      <c r="Y469" s="151">
        <f t="shared" si="129"/>
        <v>0.13060641399416908</v>
      </c>
      <c r="Z469" s="152">
        <f t="shared" si="143"/>
        <v>8.3467500000000001</v>
      </c>
      <c r="AA469" s="153">
        <f t="shared" si="131"/>
        <v>23.978053371394171</v>
      </c>
      <c r="AB469" s="153">
        <f t="shared" si="132"/>
        <v>24.295799031394171</v>
      </c>
      <c r="AC469" s="154">
        <f t="shared" si="130"/>
        <v>32.324803371394168</v>
      </c>
      <c r="AD469" s="156">
        <f t="shared" si="133"/>
        <v>32.642549031394168</v>
      </c>
    </row>
    <row r="470" spans="1:30" s="144" customFormat="1">
      <c r="A470" s="139">
        <v>18</v>
      </c>
      <c r="B470" s="139">
        <f>IFERROR(INDEX(Työkonekanta!$F$3:$F$27,MATCH('S0a Baseline'!$A470,Työkonekanta!$A$3:$A$24,0),1),0)</f>
        <v>1</v>
      </c>
      <c r="C470" s="140">
        <v>2034</v>
      </c>
      <c r="D470" s="141" t="str">
        <f>IFERROR(INDEX(Työkonekanta!$D$3:$D$27,MATCH('S0a Baseline'!$A470,Työkonekanta!$A$3:$A$24,0),1),"undefined")</f>
        <v>pom</v>
      </c>
      <c r="E470" s="145">
        <f>IFERROR(INDEX(Työkonekanta!$G$3:$G$27,MATCH($A470,Työkonekanta!$A$3:$A$24,0),1)*INDEX(Työkonekanta!$H$3:$H$27,MATCH($A470,Työkonekanta!$A$3:$A$24,0),1)*$B470,0)</f>
        <v>10000</v>
      </c>
      <c r="F470" s="344">
        <f t="shared" si="134"/>
        <v>359000</v>
      </c>
      <c r="G470" s="344">
        <f t="shared" si="141"/>
        <v>323100</v>
      </c>
      <c r="H470" s="344">
        <f t="shared" si="142"/>
        <v>35900</v>
      </c>
      <c r="I470" s="145">
        <f t="shared" si="135"/>
        <v>9000</v>
      </c>
      <c r="J470" s="145">
        <f t="shared" si="136"/>
        <v>1046.6472303206997</v>
      </c>
      <c r="K470" s="142" t="str">
        <f t="shared" si="126"/>
        <v>l</v>
      </c>
      <c r="L470" s="146">
        <f>IFERROR(INDEX(Työkonekanta!$I$3:$I$27,MATCH('S0a Baseline'!$A470,Työkonekanta!$A$3:$A$24,0),1)*(I470+J470)*f_adblue,0)</f>
        <v>401.86588921282805</v>
      </c>
      <c r="M470" s="146">
        <f t="shared" si="127"/>
        <v>0</v>
      </c>
      <c r="N470" s="143" t="str">
        <f>IF(tuulisähkö_vuosi&lt;='S0a Baseline'!C470,"tuulisähkö",ostosähkö_nyt)</f>
        <v>jäännössähkö</v>
      </c>
      <c r="O470" s="147">
        <f>INDEX(Muuttujat!$J$5:$J$21,MATCH($C470,Muuttujat!$H$5:$H$21,0),1)</f>
        <v>59.556652007924122</v>
      </c>
      <c r="P470" s="342">
        <f>1-(INDEX(Muuttujat!$O$5:$O$21,MATCH($C470,Muuttujat!$N$5:$N$21,0),1))</f>
        <v>0.9</v>
      </c>
      <c r="Q470" s="342">
        <f>INDEX(Muuttujat!$O$5:$O$21,MATCH($C470,Muuttujat!$N$5:$N$21,0),1)</f>
        <v>0.1</v>
      </c>
      <c r="R470" s="148">
        <f>INDEX(Muuttujat!$P$5:$P$21,MATCH($C470,Muuttujat!$N$5:$N$21,0),1)</f>
        <v>0.10417875759940039</v>
      </c>
      <c r="S470" s="149">
        <f t="shared" si="137"/>
        <v>6.1065899999999997</v>
      </c>
      <c r="T470" s="150">
        <f t="shared" si="138"/>
        <v>2.2401599999999999</v>
      </c>
      <c r="U470" s="150">
        <f t="shared" si="139"/>
        <v>0</v>
      </c>
      <c r="V470" s="150">
        <f>IFERROR(INDEX(Työkonekanta!$J$3:$J$27,MATCH($A470,Työkonekanta!$A$3:$A$24,0),1)*$B470*ef_li_ion_akku/1000/1000/INDEX(Työkonekanta!$K$3:$K$27,MATCH($A470,Työkonekanta!$A$3:$A$24,0)),0)</f>
        <v>0</v>
      </c>
      <c r="W470" s="149">
        <f t="shared" si="140"/>
        <v>23.847446957400003</v>
      </c>
      <c r="X470" s="150">
        <f t="shared" si="128"/>
        <v>0.31774565999999999</v>
      </c>
      <c r="Y470" s="151">
        <f t="shared" si="129"/>
        <v>0.1044851311953353</v>
      </c>
      <c r="Z470" s="152">
        <f t="shared" si="143"/>
        <v>8.3467500000000001</v>
      </c>
      <c r="AA470" s="153">
        <f t="shared" si="131"/>
        <v>23.951932088595338</v>
      </c>
      <c r="AB470" s="153">
        <f t="shared" si="132"/>
        <v>24.269677748595338</v>
      </c>
      <c r="AC470" s="154">
        <f t="shared" si="130"/>
        <v>32.298682088595342</v>
      </c>
      <c r="AD470" s="156">
        <f t="shared" si="133"/>
        <v>32.616427748595342</v>
      </c>
    </row>
    <row r="471" spans="1:30" s="144" customFormat="1">
      <c r="A471" s="139">
        <v>19</v>
      </c>
      <c r="B471" s="139">
        <f>IFERROR(INDEX(Työkonekanta!$F$3:$F$27,MATCH('S0a Baseline'!$A471,Työkonekanta!$A$3:$A$24,0),1),0)</f>
        <v>0</v>
      </c>
      <c r="C471" s="140">
        <v>2034</v>
      </c>
      <c r="D471" s="141" t="str">
        <f>IFERROR(INDEX(Työkonekanta!$D$3:$D$27,MATCH('S0a Baseline'!$A471,Työkonekanta!$A$3:$A$24,0),1),"undefined")</f>
        <v>pom</v>
      </c>
      <c r="E471" s="145">
        <f>IFERROR(INDEX(Työkonekanta!$G$3:$G$27,MATCH($A471,Työkonekanta!$A$3:$A$24,0),1)*INDEX(Työkonekanta!$H$3:$H$27,MATCH($A471,Työkonekanta!$A$3:$A$24,0),1)*$B471,0)</f>
        <v>0</v>
      </c>
      <c r="F471" s="344">
        <f t="shared" si="134"/>
        <v>0</v>
      </c>
      <c r="G471" s="344">
        <f t="shared" si="141"/>
        <v>0</v>
      </c>
      <c r="H471" s="344">
        <f t="shared" si="142"/>
        <v>0</v>
      </c>
      <c r="I471" s="145">
        <f t="shared" si="135"/>
        <v>0</v>
      </c>
      <c r="J471" s="145">
        <f t="shared" si="136"/>
        <v>0</v>
      </c>
      <c r="K471" s="142" t="str">
        <f t="shared" si="126"/>
        <v>l</v>
      </c>
      <c r="L471" s="146">
        <f>IFERROR(INDEX(Työkonekanta!$I$3:$I$27,MATCH('S0a Baseline'!$A471,Työkonekanta!$A$3:$A$24,0),1)*(I471+J471)*f_adblue,0)</f>
        <v>0</v>
      </c>
      <c r="M471" s="146">
        <f t="shared" si="127"/>
        <v>0</v>
      </c>
      <c r="N471" s="143" t="str">
        <f>IF(tuulisähkö_vuosi&lt;='S0a Baseline'!C471,"tuulisähkö",ostosähkö_nyt)</f>
        <v>jäännössähkö</v>
      </c>
      <c r="O471" s="147">
        <f>INDEX(Muuttujat!$J$5:$J$21,MATCH($C471,Muuttujat!$H$5:$H$21,0),1)</f>
        <v>59.556652007924122</v>
      </c>
      <c r="P471" s="342">
        <f>1-(INDEX(Muuttujat!$O$5:$O$21,MATCH($C471,Muuttujat!$N$5:$N$21,0),1))</f>
        <v>0.9</v>
      </c>
      <c r="Q471" s="342">
        <f>INDEX(Muuttujat!$O$5:$O$21,MATCH($C471,Muuttujat!$N$5:$N$21,0),1)</f>
        <v>0.1</v>
      </c>
      <c r="R471" s="148">
        <f>INDEX(Muuttujat!$P$5:$P$21,MATCH($C471,Muuttujat!$N$5:$N$21,0),1)</f>
        <v>0.10417875759940039</v>
      </c>
      <c r="S471" s="149">
        <f t="shared" si="137"/>
        <v>0</v>
      </c>
      <c r="T471" s="150">
        <f t="shared" si="138"/>
        <v>0</v>
      </c>
      <c r="U471" s="150">
        <f t="shared" si="139"/>
        <v>0</v>
      </c>
      <c r="V471" s="150">
        <f>IFERROR(INDEX(Työkonekanta!$J$3:$J$27,MATCH($A471,Työkonekanta!$A$3:$A$24,0),1)*$B471*ef_li_ion_akku/1000/1000/INDEX(Työkonekanta!$K$3:$K$27,MATCH($A471,Työkonekanta!$A$3:$A$24,0)),0)</f>
        <v>0</v>
      </c>
      <c r="W471" s="149">
        <f t="shared" si="140"/>
        <v>0</v>
      </c>
      <c r="X471" s="150">
        <f t="shared" si="128"/>
        <v>0</v>
      </c>
      <c r="Y471" s="151">
        <f t="shared" si="129"/>
        <v>0</v>
      </c>
      <c r="Z471" s="152">
        <f t="shared" si="143"/>
        <v>0</v>
      </c>
      <c r="AA471" s="153">
        <f t="shared" si="131"/>
        <v>0</v>
      </c>
      <c r="AB471" s="153">
        <f t="shared" si="132"/>
        <v>0</v>
      </c>
      <c r="AC471" s="154">
        <f t="shared" si="130"/>
        <v>0</v>
      </c>
      <c r="AD471" s="156">
        <f t="shared" si="133"/>
        <v>0</v>
      </c>
    </row>
    <row r="472" spans="1:30" s="144" customFormat="1">
      <c r="A472" s="139">
        <v>20</v>
      </c>
      <c r="B472" s="139">
        <f>IFERROR(INDEX(Työkonekanta!$F$3:$F$27,MATCH('S0a Baseline'!$A472,Työkonekanta!$A$3:$A$24,0),1),0)</f>
        <v>0</v>
      </c>
      <c r="C472" s="140">
        <v>2034</v>
      </c>
      <c r="D472" s="141" t="str">
        <f>IFERROR(INDEX(Työkonekanta!$D$3:$D$27,MATCH('S0a Baseline'!$A472,Työkonekanta!$A$3:$A$24,0),1),"undefined")</f>
        <v>pom</v>
      </c>
      <c r="E472" s="145">
        <f>IFERROR(INDEX(Työkonekanta!$G$3:$G$27,MATCH($A472,Työkonekanta!$A$3:$A$24,0),1)*INDEX(Työkonekanta!$H$3:$H$27,MATCH($A472,Työkonekanta!$A$3:$A$24,0),1)*$B472,0)</f>
        <v>0</v>
      </c>
      <c r="F472" s="344">
        <f t="shared" si="134"/>
        <v>0</v>
      </c>
      <c r="G472" s="344">
        <f t="shared" si="141"/>
        <v>0</v>
      </c>
      <c r="H472" s="344">
        <f t="shared" si="142"/>
        <v>0</v>
      </c>
      <c r="I472" s="145">
        <f t="shared" si="135"/>
        <v>0</v>
      </c>
      <c r="J472" s="145">
        <f t="shared" si="136"/>
        <v>0</v>
      </c>
      <c r="K472" s="142" t="str">
        <f t="shared" si="126"/>
        <v>l</v>
      </c>
      <c r="L472" s="146">
        <f>IFERROR(INDEX(Työkonekanta!$I$3:$I$27,MATCH('S0a Baseline'!$A472,Työkonekanta!$A$3:$A$24,0),1)*(I472+J472)*f_adblue,0)</f>
        <v>0</v>
      </c>
      <c r="M472" s="146">
        <f t="shared" si="127"/>
        <v>0</v>
      </c>
      <c r="N472" s="143" t="str">
        <f>IF(tuulisähkö_vuosi&lt;='S0a Baseline'!C472,"tuulisähkö",ostosähkö_nyt)</f>
        <v>jäännössähkö</v>
      </c>
      <c r="O472" s="147">
        <f>INDEX(Muuttujat!$J$5:$J$21,MATCH($C472,Muuttujat!$H$5:$H$21,0),1)</f>
        <v>59.556652007924122</v>
      </c>
      <c r="P472" s="342">
        <f>1-(INDEX(Muuttujat!$O$5:$O$21,MATCH($C472,Muuttujat!$N$5:$N$21,0),1))</f>
        <v>0.9</v>
      </c>
      <c r="Q472" s="342">
        <f>INDEX(Muuttujat!$O$5:$O$21,MATCH($C472,Muuttujat!$N$5:$N$21,0),1)</f>
        <v>0.1</v>
      </c>
      <c r="R472" s="148">
        <f>INDEX(Muuttujat!$P$5:$P$21,MATCH($C472,Muuttujat!$N$5:$N$21,0),1)</f>
        <v>0.10417875759940039</v>
      </c>
      <c r="S472" s="149">
        <f t="shared" si="137"/>
        <v>0</v>
      </c>
      <c r="T472" s="150">
        <f t="shared" si="138"/>
        <v>0</v>
      </c>
      <c r="U472" s="150">
        <f t="shared" si="139"/>
        <v>0</v>
      </c>
      <c r="V472" s="150">
        <f>IFERROR(INDEX(Työkonekanta!$J$3:$J$27,MATCH($A472,Työkonekanta!$A$3:$A$24,0),1)*$B472*ef_li_ion_akku/1000/1000/INDEX(Työkonekanta!$K$3:$K$27,MATCH($A472,Työkonekanta!$A$3:$A$24,0)),0)</f>
        <v>0</v>
      </c>
      <c r="W472" s="149">
        <f t="shared" si="140"/>
        <v>0</v>
      </c>
      <c r="X472" s="150">
        <f t="shared" si="128"/>
        <v>0</v>
      </c>
      <c r="Y472" s="151">
        <f t="shared" si="129"/>
        <v>0</v>
      </c>
      <c r="Z472" s="152">
        <f t="shared" si="143"/>
        <v>0</v>
      </c>
      <c r="AA472" s="153">
        <f t="shared" si="131"/>
        <v>0</v>
      </c>
      <c r="AB472" s="153">
        <f t="shared" si="132"/>
        <v>0</v>
      </c>
      <c r="AC472" s="154">
        <f t="shared" si="130"/>
        <v>0</v>
      </c>
      <c r="AD472" s="156">
        <f t="shared" si="133"/>
        <v>0</v>
      </c>
    </row>
    <row r="473" spans="1:30" s="144" customFormat="1">
      <c r="A473" s="139">
        <v>21</v>
      </c>
      <c r="B473" s="139">
        <f>IFERROR(INDEX(Työkonekanta!$F$3:$F$27,MATCH('S0a Baseline'!$A473,Työkonekanta!$A$3:$A$24,0),1),0)</f>
        <v>35</v>
      </c>
      <c r="C473" s="140">
        <v>2034</v>
      </c>
      <c r="D473" s="141" t="str">
        <f>IFERROR(INDEX(Työkonekanta!$D$3:$D$27,MATCH('S0a Baseline'!$A473,Työkonekanta!$A$3:$A$24,0),1),"undefined")</f>
        <v>sähkö</v>
      </c>
      <c r="E473" s="145">
        <f>IFERROR(INDEX(Työkonekanta!$G$3:$G$27,MATCH($A473,Työkonekanta!$A$3:$A$24,0),1)*INDEX(Työkonekanta!$H$3:$H$27,MATCH($A473,Työkonekanta!$A$3:$A$24,0),1)*$B473,0)</f>
        <v>407199.07407407404</v>
      </c>
      <c r="F473" s="344">
        <f t="shared" si="134"/>
        <v>0</v>
      </c>
      <c r="G473" s="344">
        <f t="shared" si="141"/>
        <v>0</v>
      </c>
      <c r="H473" s="344">
        <f t="shared" si="142"/>
        <v>0</v>
      </c>
      <c r="I473" s="145">
        <f t="shared" si="135"/>
        <v>0</v>
      </c>
      <c r="J473" s="145">
        <f t="shared" si="136"/>
        <v>0</v>
      </c>
      <c r="K473" s="142" t="str">
        <f t="shared" si="126"/>
        <v>kWh</v>
      </c>
      <c r="L473" s="146">
        <f>IFERROR(INDEX(Työkonekanta!$I$3:$I$27,MATCH('S0a Baseline'!$A473,Työkonekanta!$A$3:$A$24,0),1)*(I473+J473)*f_adblue,0)</f>
        <v>0</v>
      </c>
      <c r="M473" s="146">
        <f t="shared" si="127"/>
        <v>1465916.6666666665</v>
      </c>
      <c r="N473" s="143" t="str">
        <f>IF(tuulisähkö_vuosi&lt;='S0a Baseline'!C473,"tuulisähkö",ostosähkö_nyt)</f>
        <v>jäännössähkö</v>
      </c>
      <c r="O473" s="147">
        <f>INDEX(Muuttujat!$J$5:$J$21,MATCH($C473,Muuttujat!$H$5:$H$21,0),1)</f>
        <v>59.556652007924122</v>
      </c>
      <c r="P473" s="342">
        <f>1-(INDEX(Muuttujat!$O$5:$O$21,MATCH($C473,Muuttujat!$N$5:$N$21,0),1))</f>
        <v>0.9</v>
      </c>
      <c r="Q473" s="342">
        <f>INDEX(Muuttujat!$O$5:$O$21,MATCH($C473,Muuttujat!$N$5:$N$21,0),1)</f>
        <v>0.1</v>
      </c>
      <c r="R473" s="148">
        <f>INDEX(Muuttujat!$P$5:$P$21,MATCH($C473,Muuttujat!$N$5:$N$21,0),1)</f>
        <v>0.10417875759940039</v>
      </c>
      <c r="S473" s="149">
        <f t="shared" si="137"/>
        <v>0</v>
      </c>
      <c r="T473" s="150">
        <f t="shared" si="138"/>
        <v>0</v>
      </c>
      <c r="U473" s="150">
        <f t="shared" si="139"/>
        <v>87.305088789282763</v>
      </c>
      <c r="V473" s="150">
        <f>IFERROR(INDEX(Työkonekanta!$J$3:$J$27,MATCH($A473,Työkonekanta!$A$3:$A$24,0),1)*$B473*ef_li_ion_akku/1000/1000/INDEX(Työkonekanta!$K$3:$K$27,MATCH($A473,Työkonekanta!$A$3:$A$24,0)),0)</f>
        <v>43.121723076923082</v>
      </c>
      <c r="W473" s="149">
        <f t="shared" si="140"/>
        <v>0</v>
      </c>
      <c r="X473" s="150">
        <f t="shared" si="128"/>
        <v>0</v>
      </c>
      <c r="Y473" s="151">
        <f t="shared" si="129"/>
        <v>0</v>
      </c>
      <c r="Z473" s="152">
        <f t="shared" si="143"/>
        <v>130.42681186620584</v>
      </c>
      <c r="AA473" s="153">
        <f t="shared" si="131"/>
        <v>0</v>
      </c>
      <c r="AB473" s="153">
        <f t="shared" si="132"/>
        <v>0</v>
      </c>
      <c r="AC473" s="154">
        <f t="shared" si="130"/>
        <v>130.42681186620584</v>
      </c>
      <c r="AD473" s="156">
        <f t="shared" si="133"/>
        <v>130.42681186620584</v>
      </c>
    </row>
    <row r="474" spans="1:30" s="144" customFormat="1">
      <c r="A474" s="139">
        <v>22</v>
      </c>
      <c r="B474" s="139">
        <f>IFERROR(INDEX(Työkonekanta!$F$3:$F$27,MATCH('S0a Baseline'!$A474,Työkonekanta!$A$3:$A$24,0),1),0)</f>
        <v>0</v>
      </c>
      <c r="C474" s="140">
        <v>2034</v>
      </c>
      <c r="D474" s="141" t="str">
        <f>IFERROR(INDEX(Työkonekanta!$D$3:$D$27,MATCH('S0a Baseline'!$A474,Työkonekanta!$A$3:$A$24,0),1),"undefined")</f>
        <v>sähkö</v>
      </c>
      <c r="E474" s="145">
        <f>IFERROR(INDEX(Työkonekanta!$G$3:$G$27,MATCH($A474,Työkonekanta!$A$3:$A$24,0),1)*INDEX(Työkonekanta!$H$3:$H$27,MATCH($A474,Työkonekanta!$A$3:$A$24,0),1)*$B474,0)</f>
        <v>0</v>
      </c>
      <c r="F474" s="344">
        <f t="shared" si="134"/>
        <v>0</v>
      </c>
      <c r="G474" s="344">
        <f t="shared" si="141"/>
        <v>0</v>
      </c>
      <c r="H474" s="344">
        <f t="shared" si="142"/>
        <v>0</v>
      </c>
      <c r="I474" s="145">
        <f t="shared" si="135"/>
        <v>0</v>
      </c>
      <c r="J474" s="145">
        <f t="shared" si="136"/>
        <v>0</v>
      </c>
      <c r="K474" s="142" t="str">
        <f t="shared" si="126"/>
        <v>kWh</v>
      </c>
      <c r="L474" s="146">
        <f>IFERROR(INDEX(Työkonekanta!$I$3:$I$27,MATCH('S0a Baseline'!$A474,Työkonekanta!$A$3:$A$24,0),1)*(I474+J474)*f_adblue,0)</f>
        <v>0</v>
      </c>
      <c r="M474" s="146">
        <f t="shared" si="127"/>
        <v>0</v>
      </c>
      <c r="N474" s="143" t="str">
        <f>IF(tuulisähkö_vuosi&lt;='S0a Baseline'!C474,"tuulisähkö",ostosähkö_nyt)</f>
        <v>jäännössähkö</v>
      </c>
      <c r="O474" s="147">
        <f>INDEX(Muuttujat!$J$5:$J$21,MATCH($C474,Muuttujat!$H$5:$H$21,0),1)</f>
        <v>59.556652007924122</v>
      </c>
      <c r="P474" s="342">
        <f>1-(INDEX(Muuttujat!$O$5:$O$21,MATCH($C474,Muuttujat!$N$5:$N$21,0),1))</f>
        <v>0.9</v>
      </c>
      <c r="Q474" s="342">
        <f>INDEX(Muuttujat!$O$5:$O$21,MATCH($C474,Muuttujat!$N$5:$N$21,0),1)</f>
        <v>0.1</v>
      </c>
      <c r="R474" s="148">
        <f>INDEX(Muuttujat!$P$5:$P$21,MATCH($C474,Muuttujat!$N$5:$N$21,0),1)</f>
        <v>0.10417875759940039</v>
      </c>
      <c r="S474" s="149">
        <f t="shared" si="137"/>
        <v>0</v>
      </c>
      <c r="T474" s="150">
        <f t="shared" si="138"/>
        <v>0</v>
      </c>
      <c r="U474" s="150">
        <f t="shared" si="139"/>
        <v>0</v>
      </c>
      <c r="V474" s="150">
        <f>IFERROR(INDEX(Työkonekanta!$J$3:$J$27,MATCH($A474,Työkonekanta!$A$3:$A$24,0),1)*$B474*ef_li_ion_akku/1000/1000/INDEX(Työkonekanta!$K$3:$K$27,MATCH($A474,Työkonekanta!$A$3:$A$24,0)),0)</f>
        <v>0</v>
      </c>
      <c r="W474" s="149">
        <f t="shared" si="140"/>
        <v>0</v>
      </c>
      <c r="X474" s="150">
        <f t="shared" si="128"/>
        <v>0</v>
      </c>
      <c r="Y474" s="151">
        <f t="shared" si="129"/>
        <v>0</v>
      </c>
      <c r="Z474" s="152">
        <f t="shared" si="143"/>
        <v>0</v>
      </c>
      <c r="AA474" s="153">
        <f t="shared" si="131"/>
        <v>0</v>
      </c>
      <c r="AB474" s="153">
        <f t="shared" si="132"/>
        <v>0</v>
      </c>
      <c r="AC474" s="154">
        <f t="shared" si="130"/>
        <v>0</v>
      </c>
      <c r="AD474" s="156">
        <f t="shared" si="133"/>
        <v>0</v>
      </c>
    </row>
    <row r="475" spans="1:30" s="144" customFormat="1">
      <c r="A475" s="139">
        <v>23</v>
      </c>
      <c r="B475" s="139">
        <f>IFERROR(INDEX(Työkonekanta!$F$3:$F$27,MATCH('S0a Baseline'!$A475,Työkonekanta!$A$3:$A$24,0),1),0)</f>
        <v>0</v>
      </c>
      <c r="C475" s="140">
        <v>2034</v>
      </c>
      <c r="D475" s="141" t="str">
        <f>IFERROR(INDEX(Työkonekanta!$D$3:$D$27,MATCH('S0a Baseline'!$A475,Työkonekanta!$A$3:$A$24,0),1),"undefined")</f>
        <v>undefined</v>
      </c>
      <c r="E475" s="145">
        <f>IFERROR(INDEX(Työkonekanta!$G$3:$G$27,MATCH($A475,Työkonekanta!$A$3:$A$24,0),1)*INDEX(Työkonekanta!$H$3:$H$27,MATCH($A475,Työkonekanta!$A$3:$A$24,0),1)*$B475,0)</f>
        <v>0</v>
      </c>
      <c r="F475" s="344">
        <f t="shared" si="134"/>
        <v>0</v>
      </c>
      <c r="G475" s="344">
        <f t="shared" si="141"/>
        <v>0</v>
      </c>
      <c r="H475" s="344">
        <f t="shared" si="142"/>
        <v>0</v>
      </c>
      <c r="I475" s="145">
        <f t="shared" si="135"/>
        <v>0</v>
      </c>
      <c r="J475" s="145">
        <f t="shared" si="136"/>
        <v>0</v>
      </c>
      <c r="K475" s="142" t="str">
        <f t="shared" si="126"/>
        <v>undefined</v>
      </c>
      <c r="L475" s="146">
        <f>IFERROR(INDEX(Työkonekanta!$I$3:$I$27,MATCH('S0a Baseline'!$A475,Työkonekanta!$A$3:$A$24,0),1)*(I475+J475)*f_adblue,0)</f>
        <v>0</v>
      </c>
      <c r="M475" s="146">
        <f t="shared" si="127"/>
        <v>0</v>
      </c>
      <c r="N475" s="143" t="str">
        <f>IF(tuulisähkö_vuosi&lt;='S0a Baseline'!C475,"tuulisähkö",ostosähkö_nyt)</f>
        <v>jäännössähkö</v>
      </c>
      <c r="O475" s="147">
        <f>INDEX(Muuttujat!$J$5:$J$21,MATCH($C475,Muuttujat!$H$5:$H$21,0),1)</f>
        <v>59.556652007924122</v>
      </c>
      <c r="P475" s="342">
        <f>1-(INDEX(Muuttujat!$O$5:$O$21,MATCH($C475,Muuttujat!$N$5:$N$21,0),1))</f>
        <v>0.9</v>
      </c>
      <c r="Q475" s="342">
        <f>INDEX(Muuttujat!$O$5:$O$21,MATCH($C475,Muuttujat!$N$5:$N$21,0),1)</f>
        <v>0.1</v>
      </c>
      <c r="R475" s="148">
        <f>INDEX(Muuttujat!$P$5:$P$21,MATCH($C475,Muuttujat!$N$5:$N$21,0),1)</f>
        <v>0.10417875759940039</v>
      </c>
      <c r="S475" s="149">
        <f t="shared" si="137"/>
        <v>0</v>
      </c>
      <c r="T475" s="150">
        <f t="shared" si="138"/>
        <v>0</v>
      </c>
      <c r="U475" s="150">
        <f t="shared" si="139"/>
        <v>0</v>
      </c>
      <c r="V475" s="150">
        <f>IFERROR(INDEX(Työkonekanta!$J$3:$J$27,MATCH($A475,Työkonekanta!$A$3:$A$24,0),1)*$B475*ef_li_ion_akku/1000/1000/INDEX(Työkonekanta!$K$3:$K$27,MATCH($A475,Työkonekanta!$A$3:$A$24,0)),0)</f>
        <v>0</v>
      </c>
      <c r="W475" s="149">
        <f t="shared" si="140"/>
        <v>0</v>
      </c>
      <c r="X475" s="150">
        <f t="shared" si="128"/>
        <v>0</v>
      </c>
      <c r="Y475" s="151">
        <f t="shared" si="129"/>
        <v>0</v>
      </c>
      <c r="Z475" s="152">
        <f t="shared" si="143"/>
        <v>0</v>
      </c>
      <c r="AA475" s="153">
        <f t="shared" si="131"/>
        <v>0</v>
      </c>
      <c r="AB475" s="153">
        <f t="shared" si="132"/>
        <v>0</v>
      </c>
      <c r="AC475" s="154">
        <f t="shared" si="130"/>
        <v>0</v>
      </c>
      <c r="AD475" s="156">
        <f t="shared" si="133"/>
        <v>0</v>
      </c>
    </row>
    <row r="476" spans="1:30" s="144" customFormat="1">
      <c r="A476" s="139">
        <v>24</v>
      </c>
      <c r="B476" s="139">
        <f>IFERROR(INDEX(Työkonekanta!$F$3:$F$27,MATCH('S0a Baseline'!$A476,Työkonekanta!$A$3:$A$24,0),1),0)</f>
        <v>0</v>
      </c>
      <c r="C476" s="140">
        <v>2034</v>
      </c>
      <c r="D476" s="141" t="str">
        <f>IFERROR(INDEX(Työkonekanta!$D$3:$D$27,MATCH('S0a Baseline'!$A476,Työkonekanta!$A$3:$A$24,0),1),"undefined")</f>
        <v>undefined</v>
      </c>
      <c r="E476" s="145">
        <f>IFERROR(INDEX(Työkonekanta!$G$3:$G$27,MATCH($A476,Työkonekanta!$A$3:$A$24,0),1)*INDEX(Työkonekanta!$H$3:$H$27,MATCH($A476,Työkonekanta!$A$3:$A$24,0),1)*$B476,0)</f>
        <v>0</v>
      </c>
      <c r="F476" s="344">
        <f t="shared" si="134"/>
        <v>0</v>
      </c>
      <c r="G476" s="344">
        <f t="shared" si="141"/>
        <v>0</v>
      </c>
      <c r="H476" s="344">
        <f t="shared" si="142"/>
        <v>0</v>
      </c>
      <c r="I476" s="145">
        <f t="shared" si="135"/>
        <v>0</v>
      </c>
      <c r="J476" s="145">
        <f t="shared" si="136"/>
        <v>0</v>
      </c>
      <c r="K476" s="142" t="str">
        <f t="shared" si="126"/>
        <v>undefined</v>
      </c>
      <c r="L476" s="146">
        <f>IFERROR(INDEX(Työkonekanta!$I$3:$I$27,MATCH('S0a Baseline'!$A476,Työkonekanta!$A$3:$A$24,0),1)*(I476+J476)*f_adblue,0)</f>
        <v>0</v>
      </c>
      <c r="M476" s="146">
        <f t="shared" si="127"/>
        <v>0</v>
      </c>
      <c r="N476" s="143" t="str">
        <f>IF(tuulisähkö_vuosi&lt;='S0a Baseline'!C476,"tuulisähkö",ostosähkö_nyt)</f>
        <v>jäännössähkö</v>
      </c>
      <c r="O476" s="147">
        <f>INDEX(Muuttujat!$J$5:$J$21,MATCH($C476,Muuttujat!$H$5:$H$21,0),1)</f>
        <v>59.556652007924122</v>
      </c>
      <c r="P476" s="342">
        <f>1-(INDEX(Muuttujat!$O$5:$O$21,MATCH($C476,Muuttujat!$N$5:$N$21,0),1))</f>
        <v>0.9</v>
      </c>
      <c r="Q476" s="342">
        <f>INDEX(Muuttujat!$O$5:$O$21,MATCH($C476,Muuttujat!$N$5:$N$21,0),1)</f>
        <v>0.1</v>
      </c>
      <c r="R476" s="148">
        <f>INDEX(Muuttujat!$P$5:$P$21,MATCH($C476,Muuttujat!$N$5:$N$21,0),1)</f>
        <v>0.10417875759940039</v>
      </c>
      <c r="S476" s="149">
        <f t="shared" si="137"/>
        <v>0</v>
      </c>
      <c r="T476" s="150">
        <f t="shared" si="138"/>
        <v>0</v>
      </c>
      <c r="U476" s="150">
        <f t="shared" si="139"/>
        <v>0</v>
      </c>
      <c r="V476" s="150">
        <f>IFERROR(INDEX(Työkonekanta!$J$3:$J$27,MATCH($A476,Työkonekanta!$A$3:$A$24,0),1)*$B476*ef_li_ion_akku/1000/1000/INDEX(Työkonekanta!$K$3:$K$27,MATCH($A476,Työkonekanta!$A$3:$A$24,0)),0)</f>
        <v>0</v>
      </c>
      <c r="W476" s="149">
        <f t="shared" si="140"/>
        <v>0</v>
      </c>
      <c r="X476" s="150">
        <f t="shared" si="128"/>
        <v>0</v>
      </c>
      <c r="Y476" s="151">
        <f t="shared" si="129"/>
        <v>0</v>
      </c>
      <c r="Z476" s="152">
        <f t="shared" si="143"/>
        <v>0</v>
      </c>
      <c r="AA476" s="153">
        <f t="shared" si="131"/>
        <v>0</v>
      </c>
      <c r="AB476" s="153">
        <f t="shared" si="132"/>
        <v>0</v>
      </c>
      <c r="AC476" s="154">
        <f t="shared" si="130"/>
        <v>0</v>
      </c>
      <c r="AD476" s="156">
        <f t="shared" si="133"/>
        <v>0</v>
      </c>
    </row>
    <row r="477" spans="1:30" s="144" customFormat="1">
      <c r="A477" s="139">
        <v>25</v>
      </c>
      <c r="B477" s="139">
        <f>IFERROR(INDEX(Työkonekanta!$F$3:$F$27,MATCH('S0a Baseline'!$A477,Työkonekanta!$A$3:$A$24,0),1),0)</f>
        <v>0</v>
      </c>
      <c r="C477" s="140">
        <v>2034</v>
      </c>
      <c r="D477" s="141" t="str">
        <f>IFERROR(INDEX(Työkonekanta!$D$3:$D$27,MATCH('S0a Baseline'!$A477,Työkonekanta!$A$3:$A$24,0),1),"undefined")</f>
        <v>undefined</v>
      </c>
      <c r="E477" s="145">
        <f>IFERROR(INDEX(Työkonekanta!$G$3:$G$27,MATCH($A477,Työkonekanta!$A$3:$A$24,0),1)*INDEX(Työkonekanta!$H$3:$H$27,MATCH($A477,Työkonekanta!$A$3:$A$24,0),1)*$B477,0)</f>
        <v>0</v>
      </c>
      <c r="F477" s="344">
        <f t="shared" si="134"/>
        <v>0</v>
      </c>
      <c r="G477" s="344">
        <f t="shared" si="141"/>
        <v>0</v>
      </c>
      <c r="H477" s="344">
        <f t="shared" si="142"/>
        <v>0</v>
      </c>
      <c r="I477" s="145">
        <f t="shared" si="135"/>
        <v>0</v>
      </c>
      <c r="J477" s="145">
        <f t="shared" si="136"/>
        <v>0</v>
      </c>
      <c r="K477" s="142" t="str">
        <f t="shared" si="126"/>
        <v>undefined</v>
      </c>
      <c r="L477" s="146">
        <f>IFERROR(INDEX(Työkonekanta!$I$3:$I$27,MATCH('S0a Baseline'!$A477,Työkonekanta!$A$3:$A$24,0),1)*(I477+J477)*f_adblue,0)</f>
        <v>0</v>
      </c>
      <c r="M477" s="146">
        <f t="shared" si="127"/>
        <v>0</v>
      </c>
      <c r="N477" s="143" t="str">
        <f>IF(tuulisähkö_vuosi&lt;='S0a Baseline'!C477,"tuulisähkö",ostosähkö_nyt)</f>
        <v>jäännössähkö</v>
      </c>
      <c r="O477" s="147">
        <f>INDEX(Muuttujat!$J$5:$J$21,MATCH($C477,Muuttujat!$H$5:$H$21,0),1)</f>
        <v>59.556652007924122</v>
      </c>
      <c r="P477" s="342">
        <f>1-(INDEX(Muuttujat!$O$5:$O$21,MATCH($C477,Muuttujat!$N$5:$N$21,0),1))</f>
        <v>0.9</v>
      </c>
      <c r="Q477" s="342">
        <f>INDEX(Muuttujat!$O$5:$O$21,MATCH($C477,Muuttujat!$N$5:$N$21,0),1)</f>
        <v>0.1</v>
      </c>
      <c r="R477" s="148">
        <f>INDEX(Muuttujat!$P$5:$P$21,MATCH($C477,Muuttujat!$N$5:$N$21,0),1)</f>
        <v>0.10417875759940039</v>
      </c>
      <c r="S477" s="149">
        <f t="shared" si="137"/>
        <v>0</v>
      </c>
      <c r="T477" s="150">
        <f t="shared" si="138"/>
        <v>0</v>
      </c>
      <c r="U477" s="150">
        <f t="shared" si="139"/>
        <v>0</v>
      </c>
      <c r="V477" s="150">
        <f>IFERROR(INDEX(Työkonekanta!$J$3:$J$27,MATCH($A477,Työkonekanta!$A$3:$A$24,0),1)*$B477*ef_li_ion_akku/1000/1000/INDEX(Työkonekanta!$K$3:$K$27,MATCH($A477,Työkonekanta!$A$3:$A$24,0)),0)</f>
        <v>0</v>
      </c>
      <c r="W477" s="149">
        <f t="shared" si="140"/>
        <v>0</v>
      </c>
      <c r="X477" s="150">
        <f t="shared" si="128"/>
        <v>0</v>
      </c>
      <c r="Y477" s="151">
        <f t="shared" si="129"/>
        <v>0</v>
      </c>
      <c r="Z477" s="152">
        <f t="shared" si="143"/>
        <v>0</v>
      </c>
      <c r="AA477" s="153">
        <f t="shared" si="131"/>
        <v>0</v>
      </c>
      <c r="AB477" s="153">
        <f t="shared" si="132"/>
        <v>0</v>
      </c>
      <c r="AC477" s="154">
        <f t="shared" si="130"/>
        <v>0</v>
      </c>
      <c r="AD477" s="156">
        <f t="shared" si="133"/>
        <v>0</v>
      </c>
    </row>
    <row r="478" spans="1:30" s="144" customFormat="1">
      <c r="A478" s="139">
        <v>26</v>
      </c>
      <c r="B478" s="139">
        <f>IFERROR(INDEX(Työkonekanta!$F$3:$F$27,MATCH('S0a Baseline'!$A478,Työkonekanta!$A$3:$A$24,0),1),0)</f>
        <v>0</v>
      </c>
      <c r="C478" s="140">
        <v>2034</v>
      </c>
      <c r="D478" s="141" t="str">
        <f>IFERROR(INDEX(Työkonekanta!$D$3:$D$27,MATCH('S0a Baseline'!$A478,Työkonekanta!$A$3:$A$24,0),1),"undefined")</f>
        <v>undefined</v>
      </c>
      <c r="E478" s="145">
        <f>IFERROR(INDEX(Työkonekanta!$G$3:$G$27,MATCH($A478,Työkonekanta!$A$3:$A$24,0),1)*INDEX(Työkonekanta!$H$3:$H$27,MATCH($A478,Työkonekanta!$A$3:$A$24,0),1)*$B478,0)</f>
        <v>0</v>
      </c>
      <c r="F478" s="344">
        <f t="shared" si="134"/>
        <v>0</v>
      </c>
      <c r="G478" s="344">
        <f t="shared" si="141"/>
        <v>0</v>
      </c>
      <c r="H478" s="344">
        <f t="shared" si="142"/>
        <v>0</v>
      </c>
      <c r="I478" s="145">
        <f t="shared" si="135"/>
        <v>0</v>
      </c>
      <c r="J478" s="145">
        <f t="shared" si="136"/>
        <v>0</v>
      </c>
      <c r="K478" s="142" t="str">
        <f t="shared" si="126"/>
        <v>undefined</v>
      </c>
      <c r="L478" s="146">
        <f>IFERROR(INDEX(Työkonekanta!$I$3:$I$27,MATCH('S0a Baseline'!$A478,Työkonekanta!$A$3:$A$24,0),1)*(I478+J478)*f_adblue,0)</f>
        <v>0</v>
      </c>
      <c r="M478" s="146">
        <f t="shared" si="127"/>
        <v>0</v>
      </c>
      <c r="N478" s="143" t="str">
        <f>IF(tuulisähkö_vuosi&lt;='S0a Baseline'!C478,"tuulisähkö",ostosähkö_nyt)</f>
        <v>jäännössähkö</v>
      </c>
      <c r="O478" s="147">
        <f>INDEX(Muuttujat!$J$5:$J$21,MATCH($C478,Muuttujat!$H$5:$H$21,0),1)</f>
        <v>59.556652007924122</v>
      </c>
      <c r="P478" s="342">
        <f>1-(INDEX(Muuttujat!$O$5:$O$21,MATCH($C478,Muuttujat!$N$5:$N$21,0),1))</f>
        <v>0.9</v>
      </c>
      <c r="Q478" s="342">
        <f>INDEX(Muuttujat!$O$5:$O$21,MATCH($C478,Muuttujat!$N$5:$N$21,0),1)</f>
        <v>0.1</v>
      </c>
      <c r="R478" s="148">
        <f>INDEX(Muuttujat!$P$5:$P$21,MATCH($C478,Muuttujat!$N$5:$N$21,0),1)</f>
        <v>0.10417875759940039</v>
      </c>
      <c r="S478" s="149">
        <f t="shared" si="137"/>
        <v>0</v>
      </c>
      <c r="T478" s="150">
        <f t="shared" si="138"/>
        <v>0</v>
      </c>
      <c r="U478" s="150">
        <f t="shared" si="139"/>
        <v>0</v>
      </c>
      <c r="V478" s="150">
        <f>IFERROR(INDEX(Työkonekanta!$J$3:$J$27,MATCH($A478,Työkonekanta!$A$3:$A$24,0),1)*$B478*ef_li_ion_akku/1000/1000/INDEX(Työkonekanta!$K$3:$K$27,MATCH($A478,Työkonekanta!$A$3:$A$24,0)),0)</f>
        <v>0</v>
      </c>
      <c r="W478" s="149">
        <f t="shared" si="140"/>
        <v>0</v>
      </c>
      <c r="X478" s="150">
        <f t="shared" si="128"/>
        <v>0</v>
      </c>
      <c r="Y478" s="151">
        <f t="shared" si="129"/>
        <v>0</v>
      </c>
      <c r="Z478" s="152">
        <f t="shared" si="143"/>
        <v>0</v>
      </c>
      <c r="AA478" s="153">
        <f t="shared" si="131"/>
        <v>0</v>
      </c>
      <c r="AB478" s="153">
        <f t="shared" si="132"/>
        <v>0</v>
      </c>
      <c r="AC478" s="154">
        <f t="shared" si="130"/>
        <v>0</v>
      </c>
      <c r="AD478" s="156">
        <f t="shared" si="133"/>
        <v>0</v>
      </c>
    </row>
    <row r="479" spans="1:30" s="144" customFormat="1">
      <c r="A479" s="139">
        <v>27</v>
      </c>
      <c r="B479" s="139">
        <f>IFERROR(INDEX(Työkonekanta!$F$3:$F$27,MATCH('S0a Baseline'!$A479,Työkonekanta!$A$3:$A$24,0),1),0)</f>
        <v>0</v>
      </c>
      <c r="C479" s="140">
        <v>2034</v>
      </c>
      <c r="D479" s="141" t="str">
        <f>IFERROR(INDEX(Työkonekanta!$D$3:$D$27,MATCH('S0a Baseline'!$A479,Työkonekanta!$A$3:$A$24,0),1),"undefined")</f>
        <v>undefined</v>
      </c>
      <c r="E479" s="145">
        <f>IFERROR(INDEX(Työkonekanta!$G$3:$G$27,MATCH($A479,Työkonekanta!$A$3:$A$24,0),1)*INDEX(Työkonekanta!$H$3:$H$27,MATCH($A479,Työkonekanta!$A$3:$A$24,0),1)*$B479,0)</f>
        <v>0</v>
      </c>
      <c r="F479" s="344">
        <f t="shared" si="134"/>
        <v>0</v>
      </c>
      <c r="G479" s="344">
        <f t="shared" si="141"/>
        <v>0</v>
      </c>
      <c r="H479" s="344">
        <f t="shared" si="142"/>
        <v>0</v>
      </c>
      <c r="I479" s="145">
        <f t="shared" si="135"/>
        <v>0</v>
      </c>
      <c r="J479" s="145">
        <f t="shared" si="136"/>
        <v>0</v>
      </c>
      <c r="K479" s="142" t="str">
        <f t="shared" si="126"/>
        <v>undefined</v>
      </c>
      <c r="L479" s="146">
        <f>IFERROR(INDEX(Työkonekanta!$I$3:$I$27,MATCH('S0a Baseline'!$A479,Työkonekanta!$A$3:$A$24,0),1)*(I479+J479)*f_adblue,0)</f>
        <v>0</v>
      </c>
      <c r="M479" s="146">
        <f t="shared" si="127"/>
        <v>0</v>
      </c>
      <c r="N479" s="143" t="str">
        <f>IF(tuulisähkö_vuosi&lt;='S0a Baseline'!C479,"tuulisähkö",ostosähkö_nyt)</f>
        <v>jäännössähkö</v>
      </c>
      <c r="O479" s="147">
        <f>INDEX(Muuttujat!$J$5:$J$21,MATCH($C479,Muuttujat!$H$5:$H$21,0),1)</f>
        <v>59.556652007924122</v>
      </c>
      <c r="P479" s="342">
        <f>1-(INDEX(Muuttujat!$O$5:$O$21,MATCH($C479,Muuttujat!$N$5:$N$21,0),1))</f>
        <v>0.9</v>
      </c>
      <c r="Q479" s="342">
        <f>INDEX(Muuttujat!$O$5:$O$21,MATCH($C479,Muuttujat!$N$5:$N$21,0),1)</f>
        <v>0.1</v>
      </c>
      <c r="R479" s="148">
        <f>INDEX(Muuttujat!$P$5:$P$21,MATCH($C479,Muuttujat!$N$5:$N$21,0),1)</f>
        <v>0.10417875759940039</v>
      </c>
      <c r="S479" s="149">
        <f t="shared" si="137"/>
        <v>0</v>
      </c>
      <c r="T479" s="150">
        <f t="shared" si="138"/>
        <v>0</v>
      </c>
      <c r="U479" s="150">
        <f t="shared" si="139"/>
        <v>0</v>
      </c>
      <c r="V479" s="150">
        <f>IFERROR(INDEX(Työkonekanta!$J$3:$J$27,MATCH($A479,Työkonekanta!$A$3:$A$24,0),1)*$B479*ef_li_ion_akku/1000/1000/INDEX(Työkonekanta!$K$3:$K$27,MATCH($A479,Työkonekanta!$A$3:$A$24,0)),0)</f>
        <v>0</v>
      </c>
      <c r="W479" s="149">
        <f t="shared" si="140"/>
        <v>0</v>
      </c>
      <c r="X479" s="150">
        <f t="shared" si="128"/>
        <v>0</v>
      </c>
      <c r="Y479" s="151">
        <f t="shared" si="129"/>
        <v>0</v>
      </c>
      <c r="Z479" s="152">
        <f t="shared" si="143"/>
        <v>0</v>
      </c>
      <c r="AA479" s="153">
        <f t="shared" si="131"/>
        <v>0</v>
      </c>
      <c r="AB479" s="153">
        <f t="shared" si="132"/>
        <v>0</v>
      </c>
      <c r="AC479" s="154">
        <f t="shared" si="130"/>
        <v>0</v>
      </c>
      <c r="AD479" s="156">
        <f t="shared" si="133"/>
        <v>0</v>
      </c>
    </row>
    <row r="480" spans="1:30" s="144" customFormat="1">
      <c r="A480" s="139">
        <v>28</v>
      </c>
      <c r="B480" s="139">
        <f>IFERROR(INDEX(Työkonekanta!$F$3:$F$27,MATCH('S0a Baseline'!$A480,Työkonekanta!$A$3:$A$24,0),1),0)</f>
        <v>0</v>
      </c>
      <c r="C480" s="140">
        <v>2034</v>
      </c>
      <c r="D480" s="141" t="str">
        <f>IFERROR(INDEX(Työkonekanta!$D$3:$D$27,MATCH('S0a Baseline'!$A480,Työkonekanta!$A$3:$A$24,0),1),"undefined")</f>
        <v>undefined</v>
      </c>
      <c r="E480" s="145">
        <f>IFERROR(INDEX(Työkonekanta!$G$3:$G$27,MATCH($A480,Työkonekanta!$A$3:$A$24,0),1)*INDEX(Työkonekanta!$H$3:$H$27,MATCH($A480,Työkonekanta!$A$3:$A$24,0),1)*$B480,0)</f>
        <v>0</v>
      </c>
      <c r="F480" s="344">
        <f t="shared" si="134"/>
        <v>0</v>
      </c>
      <c r="G480" s="344">
        <f t="shared" si="141"/>
        <v>0</v>
      </c>
      <c r="H480" s="344">
        <f t="shared" si="142"/>
        <v>0</v>
      </c>
      <c r="I480" s="145">
        <f t="shared" si="135"/>
        <v>0</v>
      </c>
      <c r="J480" s="145">
        <f t="shared" si="136"/>
        <v>0</v>
      </c>
      <c r="K480" s="142" t="str">
        <f t="shared" si="126"/>
        <v>undefined</v>
      </c>
      <c r="L480" s="146">
        <f>IFERROR(INDEX(Työkonekanta!$I$3:$I$27,MATCH('S0a Baseline'!$A480,Työkonekanta!$A$3:$A$24,0),1)*(I480+J480)*f_adblue,0)</f>
        <v>0</v>
      </c>
      <c r="M480" s="146">
        <f t="shared" si="127"/>
        <v>0</v>
      </c>
      <c r="N480" s="143" t="str">
        <f>IF(tuulisähkö_vuosi&lt;='S0a Baseline'!C480,"tuulisähkö",ostosähkö_nyt)</f>
        <v>jäännössähkö</v>
      </c>
      <c r="O480" s="147">
        <f>INDEX(Muuttujat!$J$5:$J$21,MATCH($C480,Muuttujat!$H$5:$H$21,0),1)</f>
        <v>59.556652007924122</v>
      </c>
      <c r="P480" s="342">
        <f>1-(INDEX(Muuttujat!$O$5:$O$21,MATCH($C480,Muuttujat!$N$5:$N$21,0),1))</f>
        <v>0.9</v>
      </c>
      <c r="Q480" s="342">
        <f>INDEX(Muuttujat!$O$5:$O$21,MATCH($C480,Muuttujat!$N$5:$N$21,0),1)</f>
        <v>0.1</v>
      </c>
      <c r="R480" s="148">
        <f>INDEX(Muuttujat!$P$5:$P$21,MATCH($C480,Muuttujat!$N$5:$N$21,0),1)</f>
        <v>0.10417875759940039</v>
      </c>
      <c r="S480" s="149">
        <f t="shared" si="137"/>
        <v>0</v>
      </c>
      <c r="T480" s="150">
        <f t="shared" si="138"/>
        <v>0</v>
      </c>
      <c r="U480" s="150">
        <f t="shared" si="139"/>
        <v>0</v>
      </c>
      <c r="V480" s="150">
        <f>IFERROR(INDEX(Työkonekanta!$J$3:$J$27,MATCH($A480,Työkonekanta!$A$3:$A$24,0),1)*$B480*ef_li_ion_akku/1000/1000/INDEX(Työkonekanta!$K$3:$K$27,MATCH($A480,Työkonekanta!$A$3:$A$24,0)),0)</f>
        <v>0</v>
      </c>
      <c r="W480" s="149">
        <f t="shared" si="140"/>
        <v>0</v>
      </c>
      <c r="X480" s="150">
        <f t="shared" si="128"/>
        <v>0</v>
      </c>
      <c r="Y480" s="151">
        <f t="shared" si="129"/>
        <v>0</v>
      </c>
      <c r="Z480" s="152">
        <f t="shared" si="143"/>
        <v>0</v>
      </c>
      <c r="AA480" s="153">
        <f t="shared" si="131"/>
        <v>0</v>
      </c>
      <c r="AB480" s="153">
        <f t="shared" si="132"/>
        <v>0</v>
      </c>
      <c r="AC480" s="154">
        <f t="shared" si="130"/>
        <v>0</v>
      </c>
      <c r="AD480" s="156">
        <f t="shared" si="133"/>
        <v>0</v>
      </c>
    </row>
    <row r="481" spans="1:30" s="144" customFormat="1">
      <c r="A481" s="139">
        <v>29</v>
      </c>
      <c r="B481" s="139">
        <f>IFERROR(INDEX(Työkonekanta!$F$3:$F$27,MATCH('S0a Baseline'!$A481,Työkonekanta!$A$3:$A$24,0),1),0)</f>
        <v>0</v>
      </c>
      <c r="C481" s="140">
        <v>2034</v>
      </c>
      <c r="D481" s="141" t="str">
        <f>IFERROR(INDEX(Työkonekanta!$D$3:$D$27,MATCH('S0a Baseline'!$A481,Työkonekanta!$A$3:$A$24,0),1),"undefined")</f>
        <v>undefined</v>
      </c>
      <c r="E481" s="145">
        <f>IFERROR(INDEX(Työkonekanta!$G$3:$G$27,MATCH($A481,Työkonekanta!$A$3:$A$24,0),1)*INDEX(Työkonekanta!$H$3:$H$27,MATCH($A481,Työkonekanta!$A$3:$A$24,0),1)*$B481,0)</f>
        <v>0</v>
      </c>
      <c r="F481" s="344">
        <f t="shared" si="134"/>
        <v>0</v>
      </c>
      <c r="G481" s="344">
        <f t="shared" si="141"/>
        <v>0</v>
      </c>
      <c r="H481" s="344">
        <f t="shared" si="142"/>
        <v>0</v>
      </c>
      <c r="I481" s="145">
        <f t="shared" si="135"/>
        <v>0</v>
      </c>
      <c r="J481" s="145">
        <f t="shared" si="136"/>
        <v>0</v>
      </c>
      <c r="K481" s="142" t="str">
        <f t="shared" si="126"/>
        <v>undefined</v>
      </c>
      <c r="L481" s="146">
        <f>IFERROR(INDEX(Työkonekanta!$I$3:$I$27,MATCH('S0a Baseline'!$A481,Työkonekanta!$A$3:$A$24,0),1)*(I481+J481)*f_adblue,0)</f>
        <v>0</v>
      </c>
      <c r="M481" s="146">
        <f t="shared" si="127"/>
        <v>0</v>
      </c>
      <c r="N481" s="143" t="str">
        <f>IF(tuulisähkö_vuosi&lt;='S0a Baseline'!C481,"tuulisähkö",ostosähkö_nyt)</f>
        <v>jäännössähkö</v>
      </c>
      <c r="O481" s="147">
        <f>INDEX(Muuttujat!$J$5:$J$21,MATCH($C481,Muuttujat!$H$5:$H$21,0),1)</f>
        <v>59.556652007924122</v>
      </c>
      <c r="P481" s="342">
        <f>1-(INDEX(Muuttujat!$O$5:$O$21,MATCH($C481,Muuttujat!$N$5:$N$21,0),1))</f>
        <v>0.9</v>
      </c>
      <c r="Q481" s="342">
        <f>INDEX(Muuttujat!$O$5:$O$21,MATCH($C481,Muuttujat!$N$5:$N$21,0),1)</f>
        <v>0.1</v>
      </c>
      <c r="R481" s="148">
        <f>INDEX(Muuttujat!$P$5:$P$21,MATCH($C481,Muuttujat!$N$5:$N$21,0),1)</f>
        <v>0.10417875759940039</v>
      </c>
      <c r="S481" s="149">
        <f t="shared" si="137"/>
        <v>0</v>
      </c>
      <c r="T481" s="150">
        <f t="shared" si="138"/>
        <v>0</v>
      </c>
      <c r="U481" s="150">
        <f t="shared" si="139"/>
        <v>0</v>
      </c>
      <c r="V481" s="150">
        <f>IFERROR(INDEX(Työkonekanta!$J$3:$J$27,MATCH($A481,Työkonekanta!$A$3:$A$24,0),1)*$B481*ef_li_ion_akku/1000/1000/INDEX(Työkonekanta!$K$3:$K$27,MATCH($A481,Työkonekanta!$A$3:$A$24,0)),0)</f>
        <v>0</v>
      </c>
      <c r="W481" s="149">
        <f t="shared" si="140"/>
        <v>0</v>
      </c>
      <c r="X481" s="150">
        <f t="shared" si="128"/>
        <v>0</v>
      </c>
      <c r="Y481" s="151">
        <f t="shared" si="129"/>
        <v>0</v>
      </c>
      <c r="Z481" s="152">
        <f t="shared" si="143"/>
        <v>0</v>
      </c>
      <c r="AA481" s="153">
        <f t="shared" si="131"/>
        <v>0</v>
      </c>
      <c r="AB481" s="153">
        <f t="shared" si="132"/>
        <v>0</v>
      </c>
      <c r="AC481" s="154">
        <f t="shared" si="130"/>
        <v>0</v>
      </c>
      <c r="AD481" s="156">
        <f t="shared" si="133"/>
        <v>0</v>
      </c>
    </row>
    <row r="482" spans="1:30" s="144" customFormat="1">
      <c r="A482" s="139">
        <v>30</v>
      </c>
      <c r="B482" s="139">
        <f>IFERROR(INDEX(Työkonekanta!$F$3:$F$27,MATCH('S0a Baseline'!$A482,Työkonekanta!$A$3:$A$24,0),1),0)</f>
        <v>0</v>
      </c>
      <c r="C482" s="140">
        <v>2034</v>
      </c>
      <c r="D482" s="141" t="str">
        <f>IFERROR(INDEX(Työkonekanta!$D$3:$D$27,MATCH('S0a Baseline'!$A482,Työkonekanta!$A$3:$A$24,0),1),"undefined")</f>
        <v>undefined</v>
      </c>
      <c r="E482" s="145">
        <f>IFERROR(INDEX(Työkonekanta!$G$3:$G$27,MATCH($A482,Työkonekanta!$A$3:$A$24,0),1)*INDEX(Työkonekanta!$H$3:$H$27,MATCH($A482,Työkonekanta!$A$3:$A$24,0),1)*$B482,0)</f>
        <v>0</v>
      </c>
      <c r="F482" s="344">
        <f t="shared" si="134"/>
        <v>0</v>
      </c>
      <c r="G482" s="344">
        <f t="shared" si="141"/>
        <v>0</v>
      </c>
      <c r="H482" s="344">
        <f t="shared" si="142"/>
        <v>0</v>
      </c>
      <c r="I482" s="145">
        <f t="shared" si="135"/>
        <v>0</v>
      </c>
      <c r="J482" s="145">
        <f t="shared" si="136"/>
        <v>0</v>
      </c>
      <c r="K482" s="142" t="str">
        <f t="shared" si="126"/>
        <v>undefined</v>
      </c>
      <c r="L482" s="146">
        <f>IFERROR(INDEX(Työkonekanta!$I$3:$I$27,MATCH('S0a Baseline'!$A482,Työkonekanta!$A$3:$A$24,0),1)*(I482+J482)*f_adblue,0)</f>
        <v>0</v>
      </c>
      <c r="M482" s="146">
        <f t="shared" si="127"/>
        <v>0</v>
      </c>
      <c r="N482" s="143" t="str">
        <f>IF(tuulisähkö_vuosi&lt;='S0a Baseline'!C482,"tuulisähkö",ostosähkö_nyt)</f>
        <v>jäännössähkö</v>
      </c>
      <c r="O482" s="147">
        <f>INDEX(Muuttujat!$J$5:$J$21,MATCH($C482,Muuttujat!$H$5:$H$21,0),1)</f>
        <v>59.556652007924122</v>
      </c>
      <c r="P482" s="342">
        <f>1-(INDEX(Muuttujat!$O$5:$O$21,MATCH($C482,Muuttujat!$N$5:$N$21,0),1))</f>
        <v>0.9</v>
      </c>
      <c r="Q482" s="342">
        <f>INDEX(Muuttujat!$O$5:$O$21,MATCH($C482,Muuttujat!$N$5:$N$21,0),1)</f>
        <v>0.1</v>
      </c>
      <c r="R482" s="148">
        <f>INDEX(Muuttujat!$P$5:$P$21,MATCH($C482,Muuttujat!$N$5:$N$21,0),1)</f>
        <v>0.10417875759940039</v>
      </c>
      <c r="S482" s="149">
        <f t="shared" si="137"/>
        <v>0</v>
      </c>
      <c r="T482" s="150">
        <f t="shared" si="138"/>
        <v>0</v>
      </c>
      <c r="U482" s="150">
        <f t="shared" si="139"/>
        <v>0</v>
      </c>
      <c r="V482" s="150">
        <f>IFERROR(INDEX(Työkonekanta!$J$3:$J$27,MATCH($A482,Työkonekanta!$A$3:$A$24,0),1)*$B482*ef_li_ion_akku/1000/1000/INDEX(Työkonekanta!$K$3:$K$27,MATCH($A482,Työkonekanta!$A$3:$A$24,0)),0)</f>
        <v>0</v>
      </c>
      <c r="W482" s="149">
        <f t="shared" si="140"/>
        <v>0</v>
      </c>
      <c r="X482" s="150">
        <f t="shared" si="128"/>
        <v>0</v>
      </c>
      <c r="Y482" s="151">
        <f t="shared" si="129"/>
        <v>0</v>
      </c>
      <c r="Z482" s="152">
        <f t="shared" si="143"/>
        <v>0</v>
      </c>
      <c r="AA482" s="153">
        <f t="shared" si="131"/>
        <v>0</v>
      </c>
      <c r="AB482" s="153">
        <f t="shared" si="132"/>
        <v>0</v>
      </c>
      <c r="AC482" s="154">
        <f t="shared" si="130"/>
        <v>0</v>
      </c>
      <c r="AD482" s="156">
        <f t="shared" si="133"/>
        <v>0</v>
      </c>
    </row>
    <row r="483" spans="1:30" s="144" customFormat="1">
      <c r="A483" s="139">
        <v>1</v>
      </c>
      <c r="B483" s="139">
        <f>IFERROR(INDEX(Työkonekanta!$F$3:$F$27,MATCH('S0a Baseline'!$A483,Työkonekanta!$A$3:$A$24,0),1),0)</f>
        <v>1</v>
      </c>
      <c r="C483" s="140">
        <v>2035</v>
      </c>
      <c r="D483" s="141" t="str">
        <f>IFERROR(INDEX(Työkonekanta!$D$3:$D$27,MATCH('S0a Baseline'!$A483,Työkonekanta!$A$3:$A$24,0),1),"undefined")</f>
        <v>pom</v>
      </c>
      <c r="E483" s="145">
        <f>IFERROR(INDEX(Työkonekanta!$G$3:$G$27,MATCH($A483,Työkonekanta!$A$3:$A$24,0),1)*INDEX(Työkonekanta!$H$3:$H$27,MATCH($A483,Työkonekanta!$A$3:$A$24,0),1)*$B483,0)</f>
        <v>10000</v>
      </c>
      <c r="F483" s="344">
        <f t="shared" si="134"/>
        <v>359000</v>
      </c>
      <c r="G483" s="344">
        <f t="shared" si="141"/>
        <v>323100</v>
      </c>
      <c r="H483" s="344">
        <f t="shared" si="142"/>
        <v>35900</v>
      </c>
      <c r="I483" s="145">
        <f t="shared" si="135"/>
        <v>9000</v>
      </c>
      <c r="J483" s="145">
        <f t="shared" si="136"/>
        <v>1046.6472303206997</v>
      </c>
      <c r="K483" s="142" t="str">
        <f t="shared" si="126"/>
        <v>l</v>
      </c>
      <c r="L483" s="146">
        <f>IFERROR(INDEX(Työkonekanta!$I$3:$I$27,MATCH('S0a Baseline'!$A483,Työkonekanta!$A$3:$A$24,0),1)*(I483+J483)*f_adblue,0)</f>
        <v>502.33236151603501</v>
      </c>
      <c r="M483" s="146">
        <f t="shared" si="127"/>
        <v>0</v>
      </c>
      <c r="N483" s="143" t="str">
        <f>IF(tuulisähkö_vuosi&lt;='S0a Baseline'!C483,"tuulisähkö",ostosähkö_nyt)</f>
        <v>jäännössähkö</v>
      </c>
      <c r="O483" s="147">
        <f>INDEX(Muuttujat!$J$5:$J$21,MATCH($C483,Muuttujat!$H$5:$H$21,0),1)</f>
        <v>58.961085487844883</v>
      </c>
      <c r="P483" s="342">
        <f>1-(INDEX(Muuttujat!$O$5:$O$21,MATCH($C483,Muuttujat!$N$5:$N$21,0),1))</f>
        <v>0.9</v>
      </c>
      <c r="Q483" s="342">
        <f>INDEX(Muuttujat!$O$5:$O$21,MATCH($C483,Muuttujat!$N$5:$N$21,0),1)</f>
        <v>0.1</v>
      </c>
      <c r="R483" s="148">
        <f>INDEX(Muuttujat!$P$5:$P$21,MATCH($C483,Muuttujat!$N$5:$N$21,0),1)</f>
        <v>0.10417875759940039</v>
      </c>
      <c r="S483" s="149">
        <f t="shared" si="137"/>
        <v>6.1065899999999997</v>
      </c>
      <c r="T483" s="150">
        <f t="shared" si="138"/>
        <v>2.2401599999999999</v>
      </c>
      <c r="U483" s="150">
        <f t="shared" si="139"/>
        <v>0</v>
      </c>
      <c r="V483" s="150">
        <f>IFERROR(INDEX(Työkonekanta!$J$3:$J$27,MATCH($A483,Työkonekanta!$A$3:$A$24,0),1)*$B483*ef_li_ion_akku/1000/1000/INDEX(Työkonekanta!$K$3:$K$27,MATCH($A483,Työkonekanta!$A$3:$A$24,0)),0)</f>
        <v>0</v>
      </c>
      <c r="W483" s="149">
        <f t="shared" si="140"/>
        <v>23.847446957400003</v>
      </c>
      <c r="X483" s="150">
        <f t="shared" si="128"/>
        <v>0.31774565999999999</v>
      </c>
      <c r="Y483" s="151">
        <f t="shared" si="129"/>
        <v>0.13060641399416908</v>
      </c>
      <c r="Z483" s="152">
        <f t="shared" si="143"/>
        <v>8.3467500000000001</v>
      </c>
      <c r="AA483" s="153">
        <f t="shared" si="131"/>
        <v>23.978053371394171</v>
      </c>
      <c r="AB483" s="153">
        <f t="shared" si="132"/>
        <v>24.295799031394171</v>
      </c>
      <c r="AC483" s="154">
        <f t="shared" si="130"/>
        <v>32.324803371394168</v>
      </c>
      <c r="AD483" s="156">
        <f t="shared" si="133"/>
        <v>32.642549031394168</v>
      </c>
    </row>
    <row r="484" spans="1:30" s="144" customFormat="1">
      <c r="A484" s="139">
        <v>2</v>
      </c>
      <c r="B484" s="139">
        <f>IFERROR(INDEX(Työkonekanta!$F$3:$F$27,MATCH('S0a Baseline'!$A484,Työkonekanta!$A$3:$A$24,0),1),0)</f>
        <v>1</v>
      </c>
      <c r="C484" s="140">
        <v>2035</v>
      </c>
      <c r="D484" s="141" t="str">
        <f>IFERROR(INDEX(Työkonekanta!$D$3:$D$27,MATCH('S0a Baseline'!$A484,Työkonekanta!$A$3:$A$24,0),1),"undefined")</f>
        <v>pom</v>
      </c>
      <c r="E484" s="145">
        <f>IFERROR(INDEX(Työkonekanta!$G$3:$G$27,MATCH($A484,Työkonekanta!$A$3:$A$24,0),1)*INDEX(Työkonekanta!$H$3:$H$27,MATCH($A484,Työkonekanta!$A$3:$A$24,0),1)*$B484,0)</f>
        <v>10000</v>
      </c>
      <c r="F484" s="344">
        <f t="shared" si="134"/>
        <v>359000</v>
      </c>
      <c r="G484" s="344">
        <f t="shared" si="141"/>
        <v>323100</v>
      </c>
      <c r="H484" s="344">
        <f t="shared" si="142"/>
        <v>35900</v>
      </c>
      <c r="I484" s="145">
        <f t="shared" si="135"/>
        <v>9000</v>
      </c>
      <c r="J484" s="145">
        <f t="shared" si="136"/>
        <v>1046.6472303206997</v>
      </c>
      <c r="K484" s="142" t="str">
        <f t="shared" si="126"/>
        <v>l</v>
      </c>
      <c r="L484" s="146">
        <f>IFERROR(INDEX(Työkonekanta!$I$3:$I$27,MATCH('S0a Baseline'!$A484,Työkonekanta!$A$3:$A$24,0),1)*(I484+J484)*f_adblue,0)</f>
        <v>502.33236151603501</v>
      </c>
      <c r="M484" s="146">
        <f t="shared" si="127"/>
        <v>0</v>
      </c>
      <c r="N484" s="143" t="str">
        <f>IF(tuulisähkö_vuosi&lt;='S0a Baseline'!C484,"tuulisähkö",ostosähkö_nyt)</f>
        <v>jäännössähkö</v>
      </c>
      <c r="O484" s="147">
        <f>INDEX(Muuttujat!$J$5:$J$21,MATCH($C484,Muuttujat!$H$5:$H$21,0),1)</f>
        <v>58.961085487844883</v>
      </c>
      <c r="P484" s="342">
        <f>1-(INDEX(Muuttujat!$O$5:$O$21,MATCH($C484,Muuttujat!$N$5:$N$21,0),1))</f>
        <v>0.9</v>
      </c>
      <c r="Q484" s="342">
        <f>INDEX(Muuttujat!$O$5:$O$21,MATCH($C484,Muuttujat!$N$5:$N$21,0),1)</f>
        <v>0.1</v>
      </c>
      <c r="R484" s="148">
        <f>INDEX(Muuttujat!$P$5:$P$21,MATCH($C484,Muuttujat!$N$5:$N$21,0),1)</f>
        <v>0.10417875759940039</v>
      </c>
      <c r="S484" s="149">
        <f t="shared" si="137"/>
        <v>6.1065899999999997</v>
      </c>
      <c r="T484" s="150">
        <f t="shared" si="138"/>
        <v>2.2401599999999999</v>
      </c>
      <c r="U484" s="150">
        <f t="shared" si="139"/>
        <v>0</v>
      </c>
      <c r="V484" s="150">
        <f>IFERROR(INDEX(Työkonekanta!$J$3:$J$27,MATCH($A484,Työkonekanta!$A$3:$A$24,0),1)*$B484*ef_li_ion_akku/1000/1000/INDEX(Työkonekanta!$K$3:$K$27,MATCH($A484,Työkonekanta!$A$3:$A$24,0)),0)</f>
        <v>0</v>
      </c>
      <c r="W484" s="149">
        <f t="shared" si="140"/>
        <v>23.847446957400003</v>
      </c>
      <c r="X484" s="150">
        <f t="shared" si="128"/>
        <v>0.31774565999999999</v>
      </c>
      <c r="Y484" s="151">
        <f t="shared" si="129"/>
        <v>0.13060641399416908</v>
      </c>
      <c r="Z484" s="152">
        <f t="shared" si="143"/>
        <v>8.3467500000000001</v>
      </c>
      <c r="AA484" s="153">
        <f t="shared" si="131"/>
        <v>23.978053371394171</v>
      </c>
      <c r="AB484" s="153">
        <f t="shared" si="132"/>
        <v>24.295799031394171</v>
      </c>
      <c r="AC484" s="154">
        <f t="shared" si="130"/>
        <v>32.324803371394168</v>
      </c>
      <c r="AD484" s="156">
        <f t="shared" si="133"/>
        <v>32.642549031394168</v>
      </c>
    </row>
    <row r="485" spans="1:30" s="144" customFormat="1">
      <c r="A485" s="139">
        <v>3</v>
      </c>
      <c r="B485" s="139">
        <f>IFERROR(INDEX(Työkonekanta!$F$3:$F$27,MATCH('S0a Baseline'!$A485,Työkonekanta!$A$3:$A$24,0),1),0)</f>
        <v>1</v>
      </c>
      <c r="C485" s="140">
        <v>2035</v>
      </c>
      <c r="D485" s="141" t="str">
        <f>IFERROR(INDEX(Työkonekanta!$D$3:$D$27,MATCH('S0a Baseline'!$A485,Työkonekanta!$A$3:$A$24,0),1),"undefined")</f>
        <v>pom</v>
      </c>
      <c r="E485" s="145">
        <f>IFERROR(INDEX(Työkonekanta!$G$3:$G$27,MATCH($A485,Työkonekanta!$A$3:$A$24,0),1)*INDEX(Työkonekanta!$H$3:$H$27,MATCH($A485,Työkonekanta!$A$3:$A$24,0),1)*$B485,0)</f>
        <v>10000</v>
      </c>
      <c r="F485" s="344">
        <f t="shared" si="134"/>
        <v>359000</v>
      </c>
      <c r="G485" s="344">
        <f t="shared" si="141"/>
        <v>323100</v>
      </c>
      <c r="H485" s="344">
        <f t="shared" si="142"/>
        <v>35900</v>
      </c>
      <c r="I485" s="145">
        <f t="shared" si="135"/>
        <v>9000</v>
      </c>
      <c r="J485" s="145">
        <f t="shared" si="136"/>
        <v>1046.6472303206997</v>
      </c>
      <c r="K485" s="142" t="str">
        <f t="shared" si="126"/>
        <v>l</v>
      </c>
      <c r="L485" s="146">
        <f>IFERROR(INDEX(Työkonekanta!$I$3:$I$27,MATCH('S0a Baseline'!$A485,Työkonekanta!$A$3:$A$24,0),1)*(I485+J485)*f_adblue,0)</f>
        <v>502.33236151603501</v>
      </c>
      <c r="M485" s="146">
        <f t="shared" si="127"/>
        <v>0</v>
      </c>
      <c r="N485" s="143" t="str">
        <f>IF(tuulisähkö_vuosi&lt;='S0a Baseline'!C485,"tuulisähkö",ostosähkö_nyt)</f>
        <v>jäännössähkö</v>
      </c>
      <c r="O485" s="147">
        <f>INDEX(Muuttujat!$J$5:$J$21,MATCH($C485,Muuttujat!$H$5:$H$21,0),1)</f>
        <v>58.961085487844883</v>
      </c>
      <c r="P485" s="342">
        <f>1-(INDEX(Muuttujat!$O$5:$O$21,MATCH($C485,Muuttujat!$N$5:$N$21,0),1))</f>
        <v>0.9</v>
      </c>
      <c r="Q485" s="342">
        <f>INDEX(Muuttujat!$O$5:$O$21,MATCH($C485,Muuttujat!$N$5:$N$21,0),1)</f>
        <v>0.1</v>
      </c>
      <c r="R485" s="148">
        <f>INDEX(Muuttujat!$P$5:$P$21,MATCH($C485,Muuttujat!$N$5:$N$21,0),1)</f>
        <v>0.10417875759940039</v>
      </c>
      <c r="S485" s="149">
        <f t="shared" si="137"/>
        <v>6.1065899999999997</v>
      </c>
      <c r="T485" s="150">
        <f t="shared" si="138"/>
        <v>2.2401599999999999</v>
      </c>
      <c r="U485" s="150">
        <f t="shared" si="139"/>
        <v>0</v>
      </c>
      <c r="V485" s="150">
        <f>IFERROR(INDEX(Työkonekanta!$J$3:$J$27,MATCH($A485,Työkonekanta!$A$3:$A$24,0),1)*$B485*ef_li_ion_akku/1000/1000/INDEX(Työkonekanta!$K$3:$K$27,MATCH($A485,Työkonekanta!$A$3:$A$24,0)),0)</f>
        <v>0</v>
      </c>
      <c r="W485" s="149">
        <f t="shared" si="140"/>
        <v>23.847446957400003</v>
      </c>
      <c r="X485" s="150">
        <f t="shared" si="128"/>
        <v>0.31774565999999999</v>
      </c>
      <c r="Y485" s="151">
        <f t="shared" si="129"/>
        <v>0.13060641399416908</v>
      </c>
      <c r="Z485" s="152">
        <f t="shared" si="143"/>
        <v>8.3467500000000001</v>
      </c>
      <c r="AA485" s="153">
        <f t="shared" si="131"/>
        <v>23.978053371394171</v>
      </c>
      <c r="AB485" s="153">
        <f t="shared" si="132"/>
        <v>24.295799031394171</v>
      </c>
      <c r="AC485" s="154">
        <f t="shared" si="130"/>
        <v>32.324803371394168</v>
      </c>
      <c r="AD485" s="156">
        <f t="shared" si="133"/>
        <v>32.642549031394168</v>
      </c>
    </row>
    <row r="486" spans="1:30" s="144" customFormat="1">
      <c r="A486" s="139">
        <v>4</v>
      </c>
      <c r="B486" s="139">
        <f>IFERROR(INDEX(Työkonekanta!$F$3:$F$27,MATCH('S0a Baseline'!$A486,Työkonekanta!$A$3:$A$24,0),1),0)</f>
        <v>1</v>
      </c>
      <c r="C486" s="140">
        <v>2035</v>
      </c>
      <c r="D486" s="141" t="str">
        <f>IFERROR(INDEX(Työkonekanta!$D$3:$D$27,MATCH('S0a Baseline'!$A486,Työkonekanta!$A$3:$A$24,0),1),"undefined")</f>
        <v>pom</v>
      </c>
      <c r="E486" s="145">
        <f>IFERROR(INDEX(Työkonekanta!$G$3:$G$27,MATCH($A486,Työkonekanta!$A$3:$A$24,0),1)*INDEX(Työkonekanta!$H$3:$H$27,MATCH($A486,Työkonekanta!$A$3:$A$24,0),1)*$B486,0)</f>
        <v>10000</v>
      </c>
      <c r="F486" s="344">
        <f t="shared" si="134"/>
        <v>359000</v>
      </c>
      <c r="G486" s="344">
        <f t="shared" si="141"/>
        <v>323100</v>
      </c>
      <c r="H486" s="344">
        <f t="shared" si="142"/>
        <v>35900</v>
      </c>
      <c r="I486" s="145">
        <f t="shared" si="135"/>
        <v>9000</v>
      </c>
      <c r="J486" s="145">
        <f t="shared" si="136"/>
        <v>1046.6472303206997</v>
      </c>
      <c r="K486" s="142" t="str">
        <f t="shared" si="126"/>
        <v>l</v>
      </c>
      <c r="L486" s="146">
        <f>IFERROR(INDEX(Työkonekanta!$I$3:$I$27,MATCH('S0a Baseline'!$A486,Työkonekanta!$A$3:$A$24,0),1)*(I486+J486)*f_adblue,0)</f>
        <v>502.33236151603501</v>
      </c>
      <c r="M486" s="146">
        <f t="shared" si="127"/>
        <v>0</v>
      </c>
      <c r="N486" s="143" t="str">
        <f>IF(tuulisähkö_vuosi&lt;='S0a Baseline'!C486,"tuulisähkö",ostosähkö_nyt)</f>
        <v>jäännössähkö</v>
      </c>
      <c r="O486" s="147">
        <f>INDEX(Muuttujat!$J$5:$J$21,MATCH($C486,Muuttujat!$H$5:$H$21,0),1)</f>
        <v>58.961085487844883</v>
      </c>
      <c r="P486" s="342">
        <f>1-(INDEX(Muuttujat!$O$5:$O$21,MATCH($C486,Muuttujat!$N$5:$N$21,0),1))</f>
        <v>0.9</v>
      </c>
      <c r="Q486" s="342">
        <f>INDEX(Muuttujat!$O$5:$O$21,MATCH($C486,Muuttujat!$N$5:$N$21,0),1)</f>
        <v>0.1</v>
      </c>
      <c r="R486" s="148">
        <f>INDEX(Muuttujat!$P$5:$P$21,MATCH($C486,Muuttujat!$N$5:$N$21,0),1)</f>
        <v>0.10417875759940039</v>
      </c>
      <c r="S486" s="149">
        <f t="shared" si="137"/>
        <v>6.1065899999999997</v>
      </c>
      <c r="T486" s="150">
        <f t="shared" si="138"/>
        <v>2.2401599999999999</v>
      </c>
      <c r="U486" s="150">
        <f t="shared" si="139"/>
        <v>0</v>
      </c>
      <c r="V486" s="150">
        <f>IFERROR(INDEX(Työkonekanta!$J$3:$J$27,MATCH($A486,Työkonekanta!$A$3:$A$24,0),1)*$B486*ef_li_ion_akku/1000/1000/INDEX(Työkonekanta!$K$3:$K$27,MATCH($A486,Työkonekanta!$A$3:$A$24,0)),0)</f>
        <v>0</v>
      </c>
      <c r="W486" s="149">
        <f t="shared" si="140"/>
        <v>23.847446957400003</v>
      </c>
      <c r="X486" s="150">
        <f t="shared" si="128"/>
        <v>0.31774565999999999</v>
      </c>
      <c r="Y486" s="151">
        <f t="shared" si="129"/>
        <v>0.13060641399416908</v>
      </c>
      <c r="Z486" s="152">
        <f t="shared" si="143"/>
        <v>8.3467500000000001</v>
      </c>
      <c r="AA486" s="153">
        <f t="shared" si="131"/>
        <v>23.978053371394171</v>
      </c>
      <c r="AB486" s="153">
        <f t="shared" si="132"/>
        <v>24.295799031394171</v>
      </c>
      <c r="AC486" s="154">
        <f t="shared" si="130"/>
        <v>32.324803371394168</v>
      </c>
      <c r="AD486" s="156">
        <f t="shared" si="133"/>
        <v>32.642549031394168</v>
      </c>
    </row>
    <row r="487" spans="1:30" s="144" customFormat="1">
      <c r="A487" s="139">
        <v>5</v>
      </c>
      <c r="B487" s="139">
        <f>IFERROR(INDEX(Työkonekanta!$F$3:$F$27,MATCH('S0a Baseline'!$A487,Työkonekanta!$A$3:$A$24,0),1),0)</f>
        <v>0</v>
      </c>
      <c r="C487" s="140">
        <v>2035</v>
      </c>
      <c r="D487" s="141" t="str">
        <f>IFERROR(INDEX(Työkonekanta!$D$3:$D$27,MATCH('S0a Baseline'!$A487,Työkonekanta!$A$3:$A$24,0),1),"undefined")</f>
        <v>sähkö</v>
      </c>
      <c r="E487" s="145">
        <f>IFERROR(INDEX(Työkonekanta!$G$3:$G$27,MATCH($A487,Työkonekanta!$A$3:$A$24,0),1)*INDEX(Työkonekanta!$H$3:$H$27,MATCH($A487,Työkonekanta!$A$3:$A$24,0),1)*$B487,0)</f>
        <v>0</v>
      </c>
      <c r="F487" s="344">
        <f t="shared" si="134"/>
        <v>0</v>
      </c>
      <c r="G487" s="344">
        <f t="shared" si="141"/>
        <v>0</v>
      </c>
      <c r="H487" s="344">
        <f t="shared" si="142"/>
        <v>0</v>
      </c>
      <c r="I487" s="145">
        <f t="shared" si="135"/>
        <v>0</v>
      </c>
      <c r="J487" s="145">
        <f t="shared" si="136"/>
        <v>0</v>
      </c>
      <c r="K487" s="142" t="str">
        <f t="shared" si="126"/>
        <v>kWh</v>
      </c>
      <c r="L487" s="146">
        <f>IFERROR(INDEX(Työkonekanta!$I$3:$I$27,MATCH('S0a Baseline'!$A487,Työkonekanta!$A$3:$A$24,0),1)*(I487+J487)*f_adblue,0)</f>
        <v>0</v>
      </c>
      <c r="M487" s="146">
        <f t="shared" si="127"/>
        <v>0</v>
      </c>
      <c r="N487" s="143" t="str">
        <f>IF(tuulisähkö_vuosi&lt;='S0a Baseline'!C487,"tuulisähkö",ostosähkö_nyt)</f>
        <v>jäännössähkö</v>
      </c>
      <c r="O487" s="147">
        <f>INDEX(Muuttujat!$J$5:$J$21,MATCH($C487,Muuttujat!$H$5:$H$21,0),1)</f>
        <v>58.961085487844883</v>
      </c>
      <c r="P487" s="342">
        <f>1-(INDEX(Muuttujat!$O$5:$O$21,MATCH($C487,Muuttujat!$N$5:$N$21,0),1))</f>
        <v>0.9</v>
      </c>
      <c r="Q487" s="342">
        <f>INDEX(Muuttujat!$O$5:$O$21,MATCH($C487,Muuttujat!$N$5:$N$21,0),1)</f>
        <v>0.1</v>
      </c>
      <c r="R487" s="148">
        <f>INDEX(Muuttujat!$P$5:$P$21,MATCH($C487,Muuttujat!$N$5:$N$21,0),1)</f>
        <v>0.10417875759940039</v>
      </c>
      <c r="S487" s="149">
        <f t="shared" si="137"/>
        <v>0</v>
      </c>
      <c r="T487" s="150">
        <f t="shared" si="138"/>
        <v>0</v>
      </c>
      <c r="U487" s="150">
        <f t="shared" si="139"/>
        <v>0</v>
      </c>
      <c r="V487" s="150">
        <f>IFERROR(INDEX(Työkonekanta!$J$3:$J$27,MATCH($A487,Työkonekanta!$A$3:$A$24,0),1)*$B487*ef_li_ion_akku/1000/1000/INDEX(Työkonekanta!$K$3:$K$27,MATCH($A487,Työkonekanta!$A$3:$A$24,0)),0)</f>
        <v>0</v>
      </c>
      <c r="W487" s="149">
        <f t="shared" si="140"/>
        <v>0</v>
      </c>
      <c r="X487" s="150">
        <f t="shared" si="128"/>
        <v>0</v>
      </c>
      <c r="Y487" s="151">
        <f t="shared" si="129"/>
        <v>0</v>
      </c>
      <c r="Z487" s="152">
        <f t="shared" si="143"/>
        <v>0</v>
      </c>
      <c r="AA487" s="153">
        <f t="shared" si="131"/>
        <v>0</v>
      </c>
      <c r="AB487" s="153">
        <f t="shared" si="132"/>
        <v>0</v>
      </c>
      <c r="AC487" s="154">
        <f t="shared" si="130"/>
        <v>0</v>
      </c>
      <c r="AD487" s="156">
        <f t="shared" si="133"/>
        <v>0</v>
      </c>
    </row>
    <row r="488" spans="1:30" s="144" customFormat="1">
      <c r="A488" s="139">
        <v>6</v>
      </c>
      <c r="B488" s="139">
        <f>IFERROR(INDEX(Työkonekanta!$F$3:$F$27,MATCH('S0a Baseline'!$A488,Työkonekanta!$A$3:$A$24,0),1),0)</f>
        <v>0</v>
      </c>
      <c r="C488" s="140">
        <v>2035</v>
      </c>
      <c r="D488" s="141" t="str">
        <f>IFERROR(INDEX(Työkonekanta!$D$3:$D$27,MATCH('S0a Baseline'!$A488,Työkonekanta!$A$3:$A$24,0),1),"undefined")</f>
        <v>sähkö</v>
      </c>
      <c r="E488" s="145">
        <f>IFERROR(INDEX(Työkonekanta!$G$3:$G$27,MATCH($A488,Työkonekanta!$A$3:$A$24,0),1)*INDEX(Työkonekanta!$H$3:$H$27,MATCH($A488,Työkonekanta!$A$3:$A$24,0),1)*$B488,0)</f>
        <v>0</v>
      </c>
      <c r="F488" s="344">
        <f t="shared" si="134"/>
        <v>0</v>
      </c>
      <c r="G488" s="344">
        <f t="shared" si="141"/>
        <v>0</v>
      </c>
      <c r="H488" s="344">
        <f t="shared" si="142"/>
        <v>0</v>
      </c>
      <c r="I488" s="145">
        <f t="shared" si="135"/>
        <v>0</v>
      </c>
      <c r="J488" s="145">
        <f t="shared" si="136"/>
        <v>0</v>
      </c>
      <c r="K488" s="142" t="str">
        <f t="shared" si="126"/>
        <v>kWh</v>
      </c>
      <c r="L488" s="146">
        <f>IFERROR(INDEX(Työkonekanta!$I$3:$I$27,MATCH('S0a Baseline'!$A488,Työkonekanta!$A$3:$A$24,0),1)*(I488+J488)*f_adblue,0)</f>
        <v>0</v>
      </c>
      <c r="M488" s="146">
        <f t="shared" si="127"/>
        <v>0</v>
      </c>
      <c r="N488" s="143" t="str">
        <f>IF(tuulisähkö_vuosi&lt;='S0a Baseline'!C488,"tuulisähkö",ostosähkö_nyt)</f>
        <v>jäännössähkö</v>
      </c>
      <c r="O488" s="147">
        <f>INDEX(Muuttujat!$J$5:$J$21,MATCH($C488,Muuttujat!$H$5:$H$21,0),1)</f>
        <v>58.961085487844883</v>
      </c>
      <c r="P488" s="342">
        <f>1-(INDEX(Muuttujat!$O$5:$O$21,MATCH($C488,Muuttujat!$N$5:$N$21,0),1))</f>
        <v>0.9</v>
      </c>
      <c r="Q488" s="342">
        <f>INDEX(Muuttujat!$O$5:$O$21,MATCH($C488,Muuttujat!$N$5:$N$21,0),1)</f>
        <v>0.1</v>
      </c>
      <c r="R488" s="148">
        <f>INDEX(Muuttujat!$P$5:$P$21,MATCH($C488,Muuttujat!$N$5:$N$21,0),1)</f>
        <v>0.10417875759940039</v>
      </c>
      <c r="S488" s="149">
        <f t="shared" si="137"/>
        <v>0</v>
      </c>
      <c r="T488" s="150">
        <f t="shared" si="138"/>
        <v>0</v>
      </c>
      <c r="U488" s="150">
        <f t="shared" si="139"/>
        <v>0</v>
      </c>
      <c r="V488" s="150">
        <f>IFERROR(INDEX(Työkonekanta!$J$3:$J$27,MATCH($A488,Työkonekanta!$A$3:$A$24,0),1)*$B488*ef_li_ion_akku/1000/1000/INDEX(Työkonekanta!$K$3:$K$27,MATCH($A488,Työkonekanta!$A$3:$A$24,0)),0)</f>
        <v>0</v>
      </c>
      <c r="W488" s="149">
        <f t="shared" si="140"/>
        <v>0</v>
      </c>
      <c r="X488" s="150">
        <f t="shared" si="128"/>
        <v>0</v>
      </c>
      <c r="Y488" s="151">
        <f t="shared" si="129"/>
        <v>0</v>
      </c>
      <c r="Z488" s="152">
        <f t="shared" si="143"/>
        <v>0</v>
      </c>
      <c r="AA488" s="153">
        <f t="shared" si="131"/>
        <v>0</v>
      </c>
      <c r="AB488" s="153">
        <f t="shared" si="132"/>
        <v>0</v>
      </c>
      <c r="AC488" s="154">
        <f t="shared" si="130"/>
        <v>0</v>
      </c>
      <c r="AD488" s="156">
        <f t="shared" si="133"/>
        <v>0</v>
      </c>
    </row>
    <row r="489" spans="1:30" s="144" customFormat="1">
      <c r="A489" s="139">
        <v>7</v>
      </c>
      <c r="B489" s="139">
        <f>IFERROR(INDEX(Työkonekanta!$F$3:$F$27,MATCH('S0a Baseline'!$A489,Työkonekanta!$A$3:$A$24,0),1),0)</f>
        <v>1</v>
      </c>
      <c r="C489" s="140">
        <v>2035</v>
      </c>
      <c r="D489" s="141" t="str">
        <f>IFERROR(INDEX(Työkonekanta!$D$3:$D$27,MATCH('S0a Baseline'!$A489,Työkonekanta!$A$3:$A$24,0),1),"undefined")</f>
        <v>pom</v>
      </c>
      <c r="E489" s="145">
        <f>IFERROR(INDEX(Työkonekanta!$G$3:$G$27,MATCH($A489,Työkonekanta!$A$3:$A$24,0),1)*INDEX(Työkonekanta!$H$3:$H$27,MATCH($A489,Työkonekanta!$A$3:$A$24,0),1)*$B489,0)</f>
        <v>10000</v>
      </c>
      <c r="F489" s="344">
        <f t="shared" si="134"/>
        <v>359000</v>
      </c>
      <c r="G489" s="344">
        <f t="shared" si="141"/>
        <v>323100</v>
      </c>
      <c r="H489" s="344">
        <f t="shared" si="142"/>
        <v>35900</v>
      </c>
      <c r="I489" s="145">
        <f t="shared" si="135"/>
        <v>9000</v>
      </c>
      <c r="J489" s="145">
        <f t="shared" si="136"/>
        <v>1046.6472303206997</v>
      </c>
      <c r="K489" s="142" t="str">
        <f t="shared" si="126"/>
        <v>l</v>
      </c>
      <c r="L489" s="146">
        <f>IFERROR(INDEX(Työkonekanta!$I$3:$I$27,MATCH('S0a Baseline'!$A489,Työkonekanta!$A$3:$A$24,0),1)*(I489+J489)*f_adblue,0)</f>
        <v>0</v>
      </c>
      <c r="M489" s="146">
        <f t="shared" si="127"/>
        <v>0</v>
      </c>
      <c r="N489" s="143" t="str">
        <f>IF(tuulisähkö_vuosi&lt;='S0a Baseline'!C489,"tuulisähkö",ostosähkö_nyt)</f>
        <v>jäännössähkö</v>
      </c>
      <c r="O489" s="147">
        <f>INDEX(Muuttujat!$J$5:$J$21,MATCH($C489,Muuttujat!$H$5:$H$21,0),1)</f>
        <v>58.961085487844883</v>
      </c>
      <c r="P489" s="342">
        <f>1-(INDEX(Muuttujat!$O$5:$O$21,MATCH($C489,Muuttujat!$N$5:$N$21,0),1))</f>
        <v>0.9</v>
      </c>
      <c r="Q489" s="342">
        <f>INDEX(Muuttujat!$O$5:$O$21,MATCH($C489,Muuttujat!$N$5:$N$21,0),1)</f>
        <v>0.1</v>
      </c>
      <c r="R489" s="148">
        <f>INDEX(Muuttujat!$P$5:$P$21,MATCH($C489,Muuttujat!$N$5:$N$21,0),1)</f>
        <v>0.10417875759940039</v>
      </c>
      <c r="S489" s="149">
        <f t="shared" si="137"/>
        <v>6.1065899999999997</v>
      </c>
      <c r="T489" s="150">
        <f t="shared" si="138"/>
        <v>2.2401599999999999</v>
      </c>
      <c r="U489" s="150">
        <f t="shared" si="139"/>
        <v>0</v>
      </c>
      <c r="V489" s="150">
        <f>IFERROR(INDEX(Työkonekanta!$J$3:$J$27,MATCH($A489,Työkonekanta!$A$3:$A$24,0),1)*$B489*ef_li_ion_akku/1000/1000/INDEX(Työkonekanta!$K$3:$K$27,MATCH($A489,Työkonekanta!$A$3:$A$24,0)),0)</f>
        <v>0</v>
      </c>
      <c r="W489" s="149">
        <f t="shared" si="140"/>
        <v>23.847446957400003</v>
      </c>
      <c r="X489" s="150">
        <f t="shared" si="128"/>
        <v>0.31774565999999999</v>
      </c>
      <c r="Y489" s="151">
        <f t="shared" si="129"/>
        <v>0</v>
      </c>
      <c r="Z489" s="152">
        <f t="shared" si="143"/>
        <v>8.3467500000000001</v>
      </c>
      <c r="AA489" s="153">
        <f t="shared" si="131"/>
        <v>23.847446957400003</v>
      </c>
      <c r="AB489" s="153">
        <f t="shared" si="132"/>
        <v>24.165192617400002</v>
      </c>
      <c r="AC489" s="154">
        <f t="shared" si="130"/>
        <v>32.194196957400003</v>
      </c>
      <c r="AD489" s="156">
        <f t="shared" si="133"/>
        <v>32.511942617400003</v>
      </c>
    </row>
    <row r="490" spans="1:30" s="144" customFormat="1">
      <c r="A490" s="139">
        <v>8</v>
      </c>
      <c r="B490" s="139">
        <f>IFERROR(INDEX(Työkonekanta!$F$3:$F$27,MATCH('S0a Baseline'!$A490,Työkonekanta!$A$3:$A$24,0),1),0)</f>
        <v>1</v>
      </c>
      <c r="C490" s="140">
        <v>2035</v>
      </c>
      <c r="D490" s="141" t="str">
        <f>IFERROR(INDEX(Työkonekanta!$D$3:$D$27,MATCH('S0a Baseline'!$A490,Työkonekanta!$A$3:$A$24,0),1),"undefined")</f>
        <v>pom</v>
      </c>
      <c r="E490" s="145">
        <f>IFERROR(INDEX(Työkonekanta!$G$3:$G$27,MATCH($A490,Työkonekanta!$A$3:$A$24,0),1)*INDEX(Työkonekanta!$H$3:$H$27,MATCH($A490,Työkonekanta!$A$3:$A$24,0),1)*$B490,0)</f>
        <v>10000</v>
      </c>
      <c r="F490" s="344">
        <f t="shared" si="134"/>
        <v>359000</v>
      </c>
      <c r="G490" s="344">
        <f t="shared" si="141"/>
        <v>323100</v>
      </c>
      <c r="H490" s="344">
        <f t="shared" si="142"/>
        <v>35900</v>
      </c>
      <c r="I490" s="145">
        <f t="shared" si="135"/>
        <v>9000</v>
      </c>
      <c r="J490" s="145">
        <f t="shared" si="136"/>
        <v>1046.6472303206997</v>
      </c>
      <c r="K490" s="142" t="str">
        <f t="shared" si="126"/>
        <v>l</v>
      </c>
      <c r="L490" s="146">
        <f>IFERROR(INDEX(Työkonekanta!$I$3:$I$27,MATCH('S0a Baseline'!$A490,Työkonekanta!$A$3:$A$24,0),1)*(I490+J490)*f_adblue,0)</f>
        <v>502.33236151603501</v>
      </c>
      <c r="M490" s="146">
        <f t="shared" si="127"/>
        <v>0</v>
      </c>
      <c r="N490" s="143" t="str">
        <f>IF(tuulisähkö_vuosi&lt;='S0a Baseline'!C490,"tuulisähkö",ostosähkö_nyt)</f>
        <v>jäännössähkö</v>
      </c>
      <c r="O490" s="147">
        <f>INDEX(Muuttujat!$J$5:$J$21,MATCH($C490,Muuttujat!$H$5:$H$21,0),1)</f>
        <v>58.961085487844883</v>
      </c>
      <c r="P490" s="342">
        <f>1-(INDEX(Muuttujat!$O$5:$O$21,MATCH($C490,Muuttujat!$N$5:$N$21,0),1))</f>
        <v>0.9</v>
      </c>
      <c r="Q490" s="342">
        <f>INDEX(Muuttujat!$O$5:$O$21,MATCH($C490,Muuttujat!$N$5:$N$21,0),1)</f>
        <v>0.1</v>
      </c>
      <c r="R490" s="148">
        <f>INDEX(Muuttujat!$P$5:$P$21,MATCH($C490,Muuttujat!$N$5:$N$21,0),1)</f>
        <v>0.10417875759940039</v>
      </c>
      <c r="S490" s="149">
        <f t="shared" si="137"/>
        <v>6.1065899999999997</v>
      </c>
      <c r="T490" s="150">
        <f t="shared" si="138"/>
        <v>2.2401599999999999</v>
      </c>
      <c r="U490" s="150">
        <f t="shared" si="139"/>
        <v>0</v>
      </c>
      <c r="V490" s="150">
        <f>IFERROR(INDEX(Työkonekanta!$J$3:$J$27,MATCH($A490,Työkonekanta!$A$3:$A$24,0),1)*$B490*ef_li_ion_akku/1000/1000/INDEX(Työkonekanta!$K$3:$K$27,MATCH($A490,Työkonekanta!$A$3:$A$24,0)),0)</f>
        <v>0</v>
      </c>
      <c r="W490" s="149">
        <f t="shared" si="140"/>
        <v>23.847446957400003</v>
      </c>
      <c r="X490" s="150">
        <f t="shared" si="128"/>
        <v>0.31774565999999999</v>
      </c>
      <c r="Y490" s="151">
        <f t="shared" si="129"/>
        <v>0.13060641399416908</v>
      </c>
      <c r="Z490" s="152">
        <f t="shared" si="143"/>
        <v>8.3467500000000001</v>
      </c>
      <c r="AA490" s="153">
        <f t="shared" si="131"/>
        <v>23.978053371394171</v>
      </c>
      <c r="AB490" s="153">
        <f t="shared" si="132"/>
        <v>24.295799031394171</v>
      </c>
      <c r="AC490" s="154">
        <f t="shared" si="130"/>
        <v>32.324803371394168</v>
      </c>
      <c r="AD490" s="156">
        <f t="shared" si="133"/>
        <v>32.642549031394168</v>
      </c>
    </row>
    <row r="491" spans="1:30" s="144" customFormat="1">
      <c r="A491" s="139">
        <v>9</v>
      </c>
      <c r="B491" s="139">
        <f>IFERROR(INDEX(Työkonekanta!$F$3:$F$27,MATCH('S0a Baseline'!$A491,Työkonekanta!$A$3:$A$24,0),1),0)</f>
        <v>0</v>
      </c>
      <c r="C491" s="140">
        <v>2035</v>
      </c>
      <c r="D491" s="141" t="str">
        <f>IFERROR(INDEX(Työkonekanta!$D$3:$D$27,MATCH('S0a Baseline'!$A491,Työkonekanta!$A$3:$A$24,0),1),"undefined")</f>
        <v>sähkö</v>
      </c>
      <c r="E491" s="145">
        <f>IFERROR(INDEX(Työkonekanta!$G$3:$G$27,MATCH($A491,Työkonekanta!$A$3:$A$24,0),1)*INDEX(Työkonekanta!$H$3:$H$27,MATCH($A491,Työkonekanta!$A$3:$A$24,0),1)*$B491,0)</f>
        <v>0</v>
      </c>
      <c r="F491" s="344">
        <f t="shared" si="134"/>
        <v>0</v>
      </c>
      <c r="G491" s="344">
        <f t="shared" si="141"/>
        <v>0</v>
      </c>
      <c r="H491" s="344">
        <f t="shared" si="142"/>
        <v>0</v>
      </c>
      <c r="I491" s="145">
        <f t="shared" si="135"/>
        <v>0</v>
      </c>
      <c r="J491" s="145">
        <f t="shared" si="136"/>
        <v>0</v>
      </c>
      <c r="K491" s="142" t="str">
        <f t="shared" si="126"/>
        <v>kWh</v>
      </c>
      <c r="L491" s="146">
        <f>IFERROR(INDEX(Työkonekanta!$I$3:$I$27,MATCH('S0a Baseline'!$A491,Työkonekanta!$A$3:$A$24,0),1)*(I491+J491)*f_adblue,0)</f>
        <v>0</v>
      </c>
      <c r="M491" s="146">
        <f t="shared" si="127"/>
        <v>0</v>
      </c>
      <c r="N491" s="143" t="str">
        <f>IF(tuulisähkö_vuosi&lt;='S0a Baseline'!C491,"tuulisähkö",ostosähkö_nyt)</f>
        <v>jäännössähkö</v>
      </c>
      <c r="O491" s="147">
        <f>INDEX(Muuttujat!$J$5:$J$21,MATCH($C491,Muuttujat!$H$5:$H$21,0),1)</f>
        <v>58.961085487844883</v>
      </c>
      <c r="P491" s="342">
        <f>1-(INDEX(Muuttujat!$O$5:$O$21,MATCH($C491,Muuttujat!$N$5:$N$21,0),1))</f>
        <v>0.9</v>
      </c>
      <c r="Q491" s="342">
        <f>INDEX(Muuttujat!$O$5:$O$21,MATCH($C491,Muuttujat!$N$5:$N$21,0),1)</f>
        <v>0.1</v>
      </c>
      <c r="R491" s="148">
        <f>INDEX(Muuttujat!$P$5:$P$21,MATCH($C491,Muuttujat!$N$5:$N$21,0),1)</f>
        <v>0.10417875759940039</v>
      </c>
      <c r="S491" s="149">
        <f t="shared" si="137"/>
        <v>0</v>
      </c>
      <c r="T491" s="150">
        <f t="shared" si="138"/>
        <v>0</v>
      </c>
      <c r="U491" s="150">
        <f t="shared" si="139"/>
        <v>0</v>
      </c>
      <c r="V491" s="150">
        <f>IFERROR(INDEX(Työkonekanta!$J$3:$J$27,MATCH($A491,Työkonekanta!$A$3:$A$24,0),1)*$B491*ef_li_ion_akku/1000/1000/INDEX(Työkonekanta!$K$3:$K$27,MATCH($A491,Työkonekanta!$A$3:$A$24,0)),0)</f>
        <v>0</v>
      </c>
      <c r="W491" s="149">
        <f t="shared" si="140"/>
        <v>0</v>
      </c>
      <c r="X491" s="150">
        <f t="shared" si="128"/>
        <v>0</v>
      </c>
      <c r="Y491" s="151">
        <f t="shared" si="129"/>
        <v>0</v>
      </c>
      <c r="Z491" s="152">
        <f t="shared" si="143"/>
        <v>0</v>
      </c>
      <c r="AA491" s="153">
        <f t="shared" si="131"/>
        <v>0</v>
      </c>
      <c r="AB491" s="153">
        <f t="shared" si="132"/>
        <v>0</v>
      </c>
      <c r="AC491" s="154">
        <f t="shared" si="130"/>
        <v>0</v>
      </c>
      <c r="AD491" s="156">
        <f t="shared" si="133"/>
        <v>0</v>
      </c>
    </row>
    <row r="492" spans="1:30" s="144" customFormat="1">
      <c r="A492" s="139">
        <v>10</v>
      </c>
      <c r="B492" s="139">
        <f>IFERROR(INDEX(Työkonekanta!$F$3:$F$27,MATCH('S0a Baseline'!$A492,Työkonekanta!$A$3:$A$24,0),1),0)</f>
        <v>0</v>
      </c>
      <c r="C492" s="140">
        <v>2035</v>
      </c>
      <c r="D492" s="141" t="str">
        <f>IFERROR(INDEX(Työkonekanta!$D$3:$D$27,MATCH('S0a Baseline'!$A492,Työkonekanta!$A$3:$A$24,0),1),"undefined")</f>
        <v>sähkö</v>
      </c>
      <c r="E492" s="145">
        <f>IFERROR(INDEX(Työkonekanta!$G$3:$G$27,MATCH($A492,Työkonekanta!$A$3:$A$24,0),1)*INDEX(Työkonekanta!$H$3:$H$27,MATCH($A492,Työkonekanta!$A$3:$A$24,0),1)*$B492,0)</f>
        <v>0</v>
      </c>
      <c r="F492" s="344">
        <f t="shared" si="134"/>
        <v>0</v>
      </c>
      <c r="G492" s="344">
        <f t="shared" si="141"/>
        <v>0</v>
      </c>
      <c r="H492" s="344">
        <f t="shared" si="142"/>
        <v>0</v>
      </c>
      <c r="I492" s="145">
        <f t="shared" si="135"/>
        <v>0</v>
      </c>
      <c r="J492" s="145">
        <f t="shared" si="136"/>
        <v>0</v>
      </c>
      <c r="K492" s="142" t="str">
        <f t="shared" si="126"/>
        <v>kWh</v>
      </c>
      <c r="L492" s="146">
        <f>IFERROR(INDEX(Työkonekanta!$I$3:$I$27,MATCH('S0a Baseline'!$A492,Työkonekanta!$A$3:$A$24,0),1)*(I492+J492)*f_adblue,0)</f>
        <v>0</v>
      </c>
      <c r="M492" s="146">
        <f t="shared" si="127"/>
        <v>0</v>
      </c>
      <c r="N492" s="143" t="str">
        <f>IF(tuulisähkö_vuosi&lt;='S0a Baseline'!C492,"tuulisähkö",ostosähkö_nyt)</f>
        <v>jäännössähkö</v>
      </c>
      <c r="O492" s="147">
        <f>INDEX(Muuttujat!$J$5:$J$21,MATCH($C492,Muuttujat!$H$5:$H$21,0),1)</f>
        <v>58.961085487844883</v>
      </c>
      <c r="P492" s="342">
        <f>1-(INDEX(Muuttujat!$O$5:$O$21,MATCH($C492,Muuttujat!$N$5:$N$21,0),1))</f>
        <v>0.9</v>
      </c>
      <c r="Q492" s="342">
        <f>INDEX(Muuttujat!$O$5:$O$21,MATCH($C492,Muuttujat!$N$5:$N$21,0),1)</f>
        <v>0.1</v>
      </c>
      <c r="R492" s="148">
        <f>INDEX(Muuttujat!$P$5:$P$21,MATCH($C492,Muuttujat!$N$5:$N$21,0),1)</f>
        <v>0.10417875759940039</v>
      </c>
      <c r="S492" s="149">
        <f t="shared" si="137"/>
        <v>0</v>
      </c>
      <c r="T492" s="150">
        <f t="shared" si="138"/>
        <v>0</v>
      </c>
      <c r="U492" s="150">
        <f t="shared" si="139"/>
        <v>0</v>
      </c>
      <c r="V492" s="150">
        <f>IFERROR(INDEX(Työkonekanta!$J$3:$J$27,MATCH($A492,Työkonekanta!$A$3:$A$24,0),1)*$B492*ef_li_ion_akku/1000/1000/INDEX(Työkonekanta!$K$3:$K$27,MATCH($A492,Työkonekanta!$A$3:$A$24,0)),0)</f>
        <v>0</v>
      </c>
      <c r="W492" s="149">
        <f t="shared" si="140"/>
        <v>0</v>
      </c>
      <c r="X492" s="150">
        <f t="shared" si="128"/>
        <v>0</v>
      </c>
      <c r="Y492" s="151">
        <f t="shared" si="129"/>
        <v>0</v>
      </c>
      <c r="Z492" s="152">
        <f t="shared" si="143"/>
        <v>0</v>
      </c>
      <c r="AA492" s="153">
        <f t="shared" si="131"/>
        <v>0</v>
      </c>
      <c r="AB492" s="153">
        <f t="shared" si="132"/>
        <v>0</v>
      </c>
      <c r="AC492" s="154">
        <f t="shared" si="130"/>
        <v>0</v>
      </c>
      <c r="AD492" s="156">
        <f t="shared" si="133"/>
        <v>0</v>
      </c>
    </row>
    <row r="493" spans="1:30" s="144" customFormat="1">
      <c r="A493" s="139">
        <v>11</v>
      </c>
      <c r="B493" s="139">
        <f>IFERROR(INDEX(Työkonekanta!$F$3:$F$27,MATCH('S0a Baseline'!$A493,Työkonekanta!$A$3:$A$24,0),1),0)</f>
        <v>1</v>
      </c>
      <c r="C493" s="140">
        <v>2035</v>
      </c>
      <c r="D493" s="141" t="str">
        <f>IFERROR(INDEX(Työkonekanta!$D$3:$D$27,MATCH('S0a Baseline'!$A493,Työkonekanta!$A$3:$A$24,0),1),"undefined")</f>
        <v>pom</v>
      </c>
      <c r="E493" s="145">
        <f>IFERROR(INDEX(Työkonekanta!$G$3:$G$27,MATCH($A493,Työkonekanta!$A$3:$A$24,0),1)*INDEX(Työkonekanta!$H$3:$H$27,MATCH($A493,Työkonekanta!$A$3:$A$24,0),1)*$B493,0)</f>
        <v>10000</v>
      </c>
      <c r="F493" s="344">
        <f t="shared" si="134"/>
        <v>359000</v>
      </c>
      <c r="G493" s="344">
        <f t="shared" si="141"/>
        <v>323100</v>
      </c>
      <c r="H493" s="344">
        <f t="shared" si="142"/>
        <v>35900</v>
      </c>
      <c r="I493" s="145">
        <f t="shared" si="135"/>
        <v>9000</v>
      </c>
      <c r="J493" s="145">
        <f t="shared" si="136"/>
        <v>1046.6472303206997</v>
      </c>
      <c r="K493" s="142" t="str">
        <f t="shared" si="126"/>
        <v>l</v>
      </c>
      <c r="L493" s="146">
        <f>IFERROR(INDEX(Työkonekanta!$I$3:$I$27,MATCH('S0a Baseline'!$A493,Työkonekanta!$A$3:$A$24,0),1)*(I493+J493)*f_adblue,0)</f>
        <v>502.33236151603501</v>
      </c>
      <c r="M493" s="146">
        <f t="shared" si="127"/>
        <v>0</v>
      </c>
      <c r="N493" s="143" t="str">
        <f>IF(tuulisähkö_vuosi&lt;='S0a Baseline'!C493,"tuulisähkö",ostosähkö_nyt)</f>
        <v>jäännössähkö</v>
      </c>
      <c r="O493" s="147">
        <f>INDEX(Muuttujat!$J$5:$J$21,MATCH($C493,Muuttujat!$H$5:$H$21,0),1)</f>
        <v>58.961085487844883</v>
      </c>
      <c r="P493" s="342">
        <f>1-(INDEX(Muuttujat!$O$5:$O$21,MATCH($C493,Muuttujat!$N$5:$N$21,0),1))</f>
        <v>0.9</v>
      </c>
      <c r="Q493" s="342">
        <f>INDEX(Muuttujat!$O$5:$O$21,MATCH($C493,Muuttujat!$N$5:$N$21,0),1)</f>
        <v>0.1</v>
      </c>
      <c r="R493" s="148">
        <f>INDEX(Muuttujat!$P$5:$P$21,MATCH($C493,Muuttujat!$N$5:$N$21,0),1)</f>
        <v>0.10417875759940039</v>
      </c>
      <c r="S493" s="149">
        <f t="shared" si="137"/>
        <v>6.1065899999999997</v>
      </c>
      <c r="T493" s="150">
        <f t="shared" si="138"/>
        <v>2.2401599999999999</v>
      </c>
      <c r="U493" s="150">
        <f t="shared" si="139"/>
        <v>0</v>
      </c>
      <c r="V493" s="150">
        <f>IFERROR(INDEX(Työkonekanta!$J$3:$J$27,MATCH($A493,Työkonekanta!$A$3:$A$24,0),1)*$B493*ef_li_ion_akku/1000/1000/INDEX(Työkonekanta!$K$3:$K$27,MATCH($A493,Työkonekanta!$A$3:$A$24,0)),0)</f>
        <v>0</v>
      </c>
      <c r="W493" s="149">
        <f t="shared" si="140"/>
        <v>23.847446957400003</v>
      </c>
      <c r="X493" s="150">
        <f t="shared" si="128"/>
        <v>0.31774565999999999</v>
      </c>
      <c r="Y493" s="151">
        <f t="shared" si="129"/>
        <v>0.13060641399416908</v>
      </c>
      <c r="Z493" s="152">
        <f t="shared" si="143"/>
        <v>8.3467500000000001</v>
      </c>
      <c r="AA493" s="153">
        <f t="shared" si="131"/>
        <v>23.978053371394171</v>
      </c>
      <c r="AB493" s="153">
        <f t="shared" si="132"/>
        <v>24.295799031394171</v>
      </c>
      <c r="AC493" s="154">
        <f t="shared" si="130"/>
        <v>32.324803371394168</v>
      </c>
      <c r="AD493" s="156">
        <f t="shared" si="133"/>
        <v>32.642549031394168</v>
      </c>
    </row>
    <row r="494" spans="1:30" s="144" customFormat="1">
      <c r="A494" s="139">
        <v>12</v>
      </c>
      <c r="B494" s="139">
        <f>IFERROR(INDEX(Työkonekanta!$F$3:$F$27,MATCH('S0a Baseline'!$A494,Työkonekanta!$A$3:$A$24,0),1),0)</f>
        <v>1</v>
      </c>
      <c r="C494" s="140">
        <v>2035</v>
      </c>
      <c r="D494" s="141" t="str">
        <f>IFERROR(INDEX(Työkonekanta!$D$3:$D$27,MATCH('S0a Baseline'!$A494,Työkonekanta!$A$3:$A$24,0),1),"undefined")</f>
        <v>pom</v>
      </c>
      <c r="E494" s="145">
        <f>IFERROR(INDEX(Työkonekanta!$G$3:$G$27,MATCH($A494,Työkonekanta!$A$3:$A$24,0),1)*INDEX(Työkonekanta!$H$3:$H$27,MATCH($A494,Työkonekanta!$A$3:$A$24,0),1)*$B494,0)</f>
        <v>10000</v>
      </c>
      <c r="F494" s="344">
        <f t="shared" si="134"/>
        <v>359000</v>
      </c>
      <c r="G494" s="344">
        <f t="shared" si="141"/>
        <v>323100</v>
      </c>
      <c r="H494" s="344">
        <f t="shared" si="142"/>
        <v>35900</v>
      </c>
      <c r="I494" s="145">
        <f t="shared" si="135"/>
        <v>9000</v>
      </c>
      <c r="J494" s="145">
        <f t="shared" si="136"/>
        <v>1046.6472303206997</v>
      </c>
      <c r="K494" s="142" t="str">
        <f t="shared" si="126"/>
        <v>l</v>
      </c>
      <c r="L494" s="146">
        <f>IFERROR(INDEX(Työkonekanta!$I$3:$I$27,MATCH('S0a Baseline'!$A494,Työkonekanta!$A$3:$A$24,0),1)*(I494+J494)*f_adblue,0)</f>
        <v>502.33236151603501</v>
      </c>
      <c r="M494" s="146">
        <f t="shared" si="127"/>
        <v>0</v>
      </c>
      <c r="N494" s="143" t="str">
        <f>IF(tuulisähkö_vuosi&lt;='S0a Baseline'!C494,"tuulisähkö",ostosähkö_nyt)</f>
        <v>jäännössähkö</v>
      </c>
      <c r="O494" s="147">
        <f>INDEX(Muuttujat!$J$5:$J$21,MATCH($C494,Muuttujat!$H$5:$H$21,0),1)</f>
        <v>58.961085487844883</v>
      </c>
      <c r="P494" s="342">
        <f>1-(INDEX(Muuttujat!$O$5:$O$21,MATCH($C494,Muuttujat!$N$5:$N$21,0),1))</f>
        <v>0.9</v>
      </c>
      <c r="Q494" s="342">
        <f>INDEX(Muuttujat!$O$5:$O$21,MATCH($C494,Muuttujat!$N$5:$N$21,0),1)</f>
        <v>0.1</v>
      </c>
      <c r="R494" s="148">
        <f>INDEX(Muuttujat!$P$5:$P$21,MATCH($C494,Muuttujat!$N$5:$N$21,0),1)</f>
        <v>0.10417875759940039</v>
      </c>
      <c r="S494" s="149">
        <f t="shared" si="137"/>
        <v>6.1065899999999997</v>
      </c>
      <c r="T494" s="150">
        <f t="shared" si="138"/>
        <v>2.2401599999999999</v>
      </c>
      <c r="U494" s="150">
        <f t="shared" si="139"/>
        <v>0</v>
      </c>
      <c r="V494" s="150">
        <f>IFERROR(INDEX(Työkonekanta!$J$3:$J$27,MATCH($A494,Työkonekanta!$A$3:$A$24,0),1)*$B494*ef_li_ion_akku/1000/1000/INDEX(Työkonekanta!$K$3:$K$27,MATCH($A494,Työkonekanta!$A$3:$A$24,0)),0)</f>
        <v>0</v>
      </c>
      <c r="W494" s="149">
        <f t="shared" si="140"/>
        <v>23.847446957400003</v>
      </c>
      <c r="X494" s="150">
        <f t="shared" si="128"/>
        <v>0.31774565999999999</v>
      </c>
      <c r="Y494" s="151">
        <f t="shared" si="129"/>
        <v>0.13060641399416908</v>
      </c>
      <c r="Z494" s="152">
        <f t="shared" si="143"/>
        <v>8.3467500000000001</v>
      </c>
      <c r="AA494" s="153">
        <f t="shared" si="131"/>
        <v>23.978053371394171</v>
      </c>
      <c r="AB494" s="153">
        <f t="shared" si="132"/>
        <v>24.295799031394171</v>
      </c>
      <c r="AC494" s="154">
        <f t="shared" si="130"/>
        <v>32.324803371394168</v>
      </c>
      <c r="AD494" s="156">
        <f t="shared" si="133"/>
        <v>32.642549031394168</v>
      </c>
    </row>
    <row r="495" spans="1:30" s="144" customFormat="1">
      <c r="A495" s="139">
        <v>13</v>
      </c>
      <c r="B495" s="139">
        <f>IFERROR(INDEX(Työkonekanta!$F$3:$F$27,MATCH('S0a Baseline'!$A495,Työkonekanta!$A$3:$A$24,0),1),0)</f>
        <v>0</v>
      </c>
      <c r="C495" s="140">
        <v>2035</v>
      </c>
      <c r="D495" s="141" t="str">
        <f>IFERROR(INDEX(Työkonekanta!$D$3:$D$27,MATCH('S0a Baseline'!$A495,Työkonekanta!$A$3:$A$24,0),1),"undefined")</f>
        <v>pom</v>
      </c>
      <c r="E495" s="145">
        <f>IFERROR(INDEX(Työkonekanta!$G$3:$G$27,MATCH($A495,Työkonekanta!$A$3:$A$24,0),1)*INDEX(Työkonekanta!$H$3:$H$27,MATCH($A495,Työkonekanta!$A$3:$A$24,0),1)*$B495,0)</f>
        <v>0</v>
      </c>
      <c r="F495" s="344">
        <f t="shared" si="134"/>
        <v>0</v>
      </c>
      <c r="G495" s="344">
        <f t="shared" si="141"/>
        <v>0</v>
      </c>
      <c r="H495" s="344">
        <f t="shared" si="142"/>
        <v>0</v>
      </c>
      <c r="I495" s="145">
        <f t="shared" si="135"/>
        <v>0</v>
      </c>
      <c r="J495" s="145">
        <f t="shared" si="136"/>
        <v>0</v>
      </c>
      <c r="K495" s="142" t="str">
        <f t="shared" si="126"/>
        <v>l</v>
      </c>
      <c r="L495" s="146">
        <f>IFERROR(INDEX(Työkonekanta!$I$3:$I$27,MATCH('S0a Baseline'!$A495,Työkonekanta!$A$3:$A$24,0),1)*(I495+J495)*f_adblue,0)</f>
        <v>0</v>
      </c>
      <c r="M495" s="146">
        <f t="shared" si="127"/>
        <v>0</v>
      </c>
      <c r="N495" s="143" t="str">
        <f>IF(tuulisähkö_vuosi&lt;='S0a Baseline'!C495,"tuulisähkö",ostosähkö_nyt)</f>
        <v>jäännössähkö</v>
      </c>
      <c r="O495" s="147">
        <f>INDEX(Muuttujat!$J$5:$J$21,MATCH($C495,Muuttujat!$H$5:$H$21,0),1)</f>
        <v>58.961085487844883</v>
      </c>
      <c r="P495" s="342">
        <f>1-(INDEX(Muuttujat!$O$5:$O$21,MATCH($C495,Muuttujat!$N$5:$N$21,0),1))</f>
        <v>0.9</v>
      </c>
      <c r="Q495" s="342">
        <f>INDEX(Muuttujat!$O$5:$O$21,MATCH($C495,Muuttujat!$N$5:$N$21,0),1)</f>
        <v>0.1</v>
      </c>
      <c r="R495" s="148">
        <f>INDEX(Muuttujat!$P$5:$P$21,MATCH($C495,Muuttujat!$N$5:$N$21,0),1)</f>
        <v>0.10417875759940039</v>
      </c>
      <c r="S495" s="149">
        <f t="shared" si="137"/>
        <v>0</v>
      </c>
      <c r="T495" s="150">
        <f t="shared" si="138"/>
        <v>0</v>
      </c>
      <c r="U495" s="150">
        <f t="shared" si="139"/>
        <v>0</v>
      </c>
      <c r="V495" s="150">
        <f>IFERROR(INDEX(Työkonekanta!$J$3:$J$27,MATCH($A495,Työkonekanta!$A$3:$A$24,0),1)*$B495*ef_li_ion_akku/1000/1000/INDEX(Työkonekanta!$K$3:$K$27,MATCH($A495,Työkonekanta!$A$3:$A$24,0)),0)</f>
        <v>0</v>
      </c>
      <c r="W495" s="149">
        <f t="shared" si="140"/>
        <v>0</v>
      </c>
      <c r="X495" s="150">
        <f t="shared" si="128"/>
        <v>0</v>
      </c>
      <c r="Y495" s="151">
        <f t="shared" si="129"/>
        <v>0</v>
      </c>
      <c r="Z495" s="152">
        <f t="shared" si="143"/>
        <v>0</v>
      </c>
      <c r="AA495" s="153">
        <f t="shared" si="131"/>
        <v>0</v>
      </c>
      <c r="AB495" s="153">
        <f t="shared" si="132"/>
        <v>0</v>
      </c>
      <c r="AC495" s="154">
        <f t="shared" si="130"/>
        <v>0</v>
      </c>
      <c r="AD495" s="156">
        <f t="shared" si="133"/>
        <v>0</v>
      </c>
    </row>
    <row r="496" spans="1:30" s="144" customFormat="1">
      <c r="A496" s="139">
        <v>14</v>
      </c>
      <c r="B496" s="139">
        <f>IFERROR(INDEX(Työkonekanta!$F$3:$F$27,MATCH('S0a Baseline'!$A496,Työkonekanta!$A$3:$A$24,0),1),0)</f>
        <v>0</v>
      </c>
      <c r="C496" s="140">
        <v>2035</v>
      </c>
      <c r="D496" s="141" t="str">
        <f>IFERROR(INDEX(Työkonekanta!$D$3:$D$27,MATCH('S0a Baseline'!$A496,Työkonekanta!$A$3:$A$24,0),1),"undefined")</f>
        <v>pom</v>
      </c>
      <c r="E496" s="145">
        <f>IFERROR(INDEX(Työkonekanta!$G$3:$G$27,MATCH($A496,Työkonekanta!$A$3:$A$24,0),1)*INDEX(Työkonekanta!$H$3:$H$27,MATCH($A496,Työkonekanta!$A$3:$A$24,0),1)*$B496,0)</f>
        <v>0</v>
      </c>
      <c r="F496" s="344">
        <f t="shared" si="134"/>
        <v>0</v>
      </c>
      <c r="G496" s="344">
        <f t="shared" si="141"/>
        <v>0</v>
      </c>
      <c r="H496" s="344">
        <f t="shared" si="142"/>
        <v>0</v>
      </c>
      <c r="I496" s="145">
        <f t="shared" si="135"/>
        <v>0</v>
      </c>
      <c r="J496" s="145">
        <f t="shared" si="136"/>
        <v>0</v>
      </c>
      <c r="K496" s="142" t="str">
        <f t="shared" si="126"/>
        <v>l</v>
      </c>
      <c r="L496" s="146">
        <f>IFERROR(INDEX(Työkonekanta!$I$3:$I$27,MATCH('S0a Baseline'!$A496,Työkonekanta!$A$3:$A$24,0),1)*(I496+J496)*f_adblue,0)</f>
        <v>0</v>
      </c>
      <c r="M496" s="146">
        <f t="shared" si="127"/>
        <v>0</v>
      </c>
      <c r="N496" s="143" t="str">
        <f>IF(tuulisähkö_vuosi&lt;='S0a Baseline'!C496,"tuulisähkö",ostosähkö_nyt)</f>
        <v>jäännössähkö</v>
      </c>
      <c r="O496" s="147">
        <f>INDEX(Muuttujat!$J$5:$J$21,MATCH($C496,Muuttujat!$H$5:$H$21,0),1)</f>
        <v>58.961085487844883</v>
      </c>
      <c r="P496" s="342">
        <f>1-(INDEX(Muuttujat!$O$5:$O$21,MATCH($C496,Muuttujat!$N$5:$N$21,0),1))</f>
        <v>0.9</v>
      </c>
      <c r="Q496" s="342">
        <f>INDEX(Muuttujat!$O$5:$O$21,MATCH($C496,Muuttujat!$N$5:$N$21,0),1)</f>
        <v>0.1</v>
      </c>
      <c r="R496" s="148">
        <f>INDEX(Muuttujat!$P$5:$P$21,MATCH($C496,Muuttujat!$N$5:$N$21,0),1)</f>
        <v>0.10417875759940039</v>
      </c>
      <c r="S496" s="149">
        <f t="shared" si="137"/>
        <v>0</v>
      </c>
      <c r="T496" s="150">
        <f t="shared" si="138"/>
        <v>0</v>
      </c>
      <c r="U496" s="150">
        <f t="shared" si="139"/>
        <v>0</v>
      </c>
      <c r="V496" s="150">
        <f>IFERROR(INDEX(Työkonekanta!$J$3:$J$27,MATCH($A496,Työkonekanta!$A$3:$A$24,0),1)*$B496*ef_li_ion_akku/1000/1000/INDEX(Työkonekanta!$K$3:$K$27,MATCH($A496,Työkonekanta!$A$3:$A$24,0)),0)</f>
        <v>0</v>
      </c>
      <c r="W496" s="149">
        <f t="shared" si="140"/>
        <v>0</v>
      </c>
      <c r="X496" s="150">
        <f t="shared" si="128"/>
        <v>0</v>
      </c>
      <c r="Y496" s="151">
        <f t="shared" si="129"/>
        <v>0</v>
      </c>
      <c r="Z496" s="152">
        <f t="shared" si="143"/>
        <v>0</v>
      </c>
      <c r="AA496" s="153">
        <f t="shared" si="131"/>
        <v>0</v>
      </c>
      <c r="AB496" s="153">
        <f t="shared" si="132"/>
        <v>0</v>
      </c>
      <c r="AC496" s="154">
        <f t="shared" si="130"/>
        <v>0</v>
      </c>
      <c r="AD496" s="156">
        <f t="shared" si="133"/>
        <v>0</v>
      </c>
    </row>
    <row r="497" spans="1:30" s="144" customFormat="1">
      <c r="A497" s="139">
        <v>15</v>
      </c>
      <c r="B497" s="139">
        <f>IFERROR(INDEX(Työkonekanta!$F$3:$F$27,MATCH('S0a Baseline'!$A497,Työkonekanta!$A$3:$A$24,0),1),0)</f>
        <v>0</v>
      </c>
      <c r="C497" s="140">
        <v>2035</v>
      </c>
      <c r="D497" s="141" t="str">
        <f>IFERROR(INDEX(Työkonekanta!$D$3:$D$27,MATCH('S0a Baseline'!$A497,Työkonekanta!$A$3:$A$24,0),1),"undefined")</f>
        <v>sähkö</v>
      </c>
      <c r="E497" s="145">
        <f>IFERROR(INDEX(Työkonekanta!$G$3:$G$27,MATCH($A497,Työkonekanta!$A$3:$A$24,0),1)*INDEX(Työkonekanta!$H$3:$H$27,MATCH($A497,Työkonekanta!$A$3:$A$24,0),1)*$B497,0)</f>
        <v>0</v>
      </c>
      <c r="F497" s="344">
        <f t="shared" si="134"/>
        <v>0</v>
      </c>
      <c r="G497" s="344">
        <f t="shared" si="141"/>
        <v>0</v>
      </c>
      <c r="H497" s="344">
        <f t="shared" si="142"/>
        <v>0</v>
      </c>
      <c r="I497" s="145">
        <f t="shared" si="135"/>
        <v>0</v>
      </c>
      <c r="J497" s="145">
        <f t="shared" si="136"/>
        <v>0</v>
      </c>
      <c r="K497" s="142" t="str">
        <f t="shared" si="126"/>
        <v>kWh</v>
      </c>
      <c r="L497" s="146">
        <f>IFERROR(INDEX(Työkonekanta!$I$3:$I$27,MATCH('S0a Baseline'!$A497,Työkonekanta!$A$3:$A$24,0),1)*(I497+J497)*f_adblue,0)</f>
        <v>0</v>
      </c>
      <c r="M497" s="146">
        <f t="shared" si="127"/>
        <v>0</v>
      </c>
      <c r="N497" s="143" t="str">
        <f>IF(tuulisähkö_vuosi&lt;='S0a Baseline'!C497,"tuulisähkö",ostosähkö_nyt)</f>
        <v>jäännössähkö</v>
      </c>
      <c r="O497" s="147">
        <f>INDEX(Muuttujat!$J$5:$J$21,MATCH($C497,Muuttujat!$H$5:$H$21,0),1)</f>
        <v>58.961085487844883</v>
      </c>
      <c r="P497" s="342">
        <f>1-(INDEX(Muuttujat!$O$5:$O$21,MATCH($C497,Muuttujat!$N$5:$N$21,0),1))</f>
        <v>0.9</v>
      </c>
      <c r="Q497" s="342">
        <f>INDEX(Muuttujat!$O$5:$O$21,MATCH($C497,Muuttujat!$N$5:$N$21,0),1)</f>
        <v>0.1</v>
      </c>
      <c r="R497" s="148">
        <f>INDEX(Muuttujat!$P$5:$P$21,MATCH($C497,Muuttujat!$N$5:$N$21,0),1)</f>
        <v>0.10417875759940039</v>
      </c>
      <c r="S497" s="149">
        <f t="shared" si="137"/>
        <v>0</v>
      </c>
      <c r="T497" s="150">
        <f t="shared" si="138"/>
        <v>0</v>
      </c>
      <c r="U497" s="150">
        <f t="shared" si="139"/>
        <v>0</v>
      </c>
      <c r="V497" s="150">
        <f>IFERROR(INDEX(Työkonekanta!$J$3:$J$27,MATCH($A497,Työkonekanta!$A$3:$A$24,0),1)*$B497*ef_li_ion_akku/1000/1000/INDEX(Työkonekanta!$K$3:$K$27,MATCH($A497,Työkonekanta!$A$3:$A$24,0)),0)</f>
        <v>0</v>
      </c>
      <c r="W497" s="149">
        <f t="shared" si="140"/>
        <v>0</v>
      </c>
      <c r="X497" s="150">
        <f t="shared" si="128"/>
        <v>0</v>
      </c>
      <c r="Y497" s="151">
        <f t="shared" si="129"/>
        <v>0</v>
      </c>
      <c r="Z497" s="152">
        <f t="shared" si="143"/>
        <v>0</v>
      </c>
      <c r="AA497" s="153">
        <f t="shared" si="131"/>
        <v>0</v>
      </c>
      <c r="AB497" s="153">
        <f t="shared" si="132"/>
        <v>0</v>
      </c>
      <c r="AC497" s="154">
        <f t="shared" si="130"/>
        <v>0</v>
      </c>
      <c r="AD497" s="156">
        <f t="shared" si="133"/>
        <v>0</v>
      </c>
    </row>
    <row r="498" spans="1:30" s="144" customFormat="1">
      <c r="A498" s="139">
        <v>16</v>
      </c>
      <c r="B498" s="139">
        <f>IFERROR(INDEX(Työkonekanta!$F$3:$F$27,MATCH('S0a Baseline'!$A498,Työkonekanta!$A$3:$A$24,0),1),0)</f>
        <v>0</v>
      </c>
      <c r="C498" s="140">
        <v>2035</v>
      </c>
      <c r="D498" s="141" t="str">
        <f>IFERROR(INDEX(Työkonekanta!$D$3:$D$27,MATCH('S0a Baseline'!$A498,Työkonekanta!$A$3:$A$24,0),1),"undefined")</f>
        <v>sähkö</v>
      </c>
      <c r="E498" s="145">
        <f>IFERROR(INDEX(Työkonekanta!$G$3:$G$27,MATCH($A498,Työkonekanta!$A$3:$A$24,0),1)*INDEX(Työkonekanta!$H$3:$H$27,MATCH($A498,Työkonekanta!$A$3:$A$24,0),1)*$B498,0)</f>
        <v>0</v>
      </c>
      <c r="F498" s="344">
        <f t="shared" si="134"/>
        <v>0</v>
      </c>
      <c r="G498" s="344">
        <f t="shared" si="141"/>
        <v>0</v>
      </c>
      <c r="H498" s="344">
        <f t="shared" si="142"/>
        <v>0</v>
      </c>
      <c r="I498" s="145">
        <f t="shared" si="135"/>
        <v>0</v>
      </c>
      <c r="J498" s="145">
        <f t="shared" si="136"/>
        <v>0</v>
      </c>
      <c r="K498" s="142" t="str">
        <f t="shared" si="126"/>
        <v>kWh</v>
      </c>
      <c r="L498" s="146">
        <f>IFERROR(INDEX(Työkonekanta!$I$3:$I$27,MATCH('S0a Baseline'!$A498,Työkonekanta!$A$3:$A$24,0),1)*(I498+J498)*f_adblue,0)</f>
        <v>0</v>
      </c>
      <c r="M498" s="146">
        <f t="shared" si="127"/>
        <v>0</v>
      </c>
      <c r="N498" s="143" t="str">
        <f>IF(tuulisähkö_vuosi&lt;='S0a Baseline'!C498,"tuulisähkö",ostosähkö_nyt)</f>
        <v>jäännössähkö</v>
      </c>
      <c r="O498" s="147">
        <f>INDEX(Muuttujat!$J$5:$J$21,MATCH($C498,Muuttujat!$H$5:$H$21,0),1)</f>
        <v>58.961085487844883</v>
      </c>
      <c r="P498" s="342">
        <f>1-(INDEX(Muuttujat!$O$5:$O$21,MATCH($C498,Muuttujat!$N$5:$N$21,0),1))</f>
        <v>0.9</v>
      </c>
      <c r="Q498" s="342">
        <f>INDEX(Muuttujat!$O$5:$O$21,MATCH($C498,Muuttujat!$N$5:$N$21,0),1)</f>
        <v>0.1</v>
      </c>
      <c r="R498" s="148">
        <f>INDEX(Muuttujat!$P$5:$P$21,MATCH($C498,Muuttujat!$N$5:$N$21,0),1)</f>
        <v>0.10417875759940039</v>
      </c>
      <c r="S498" s="149">
        <f t="shared" si="137"/>
        <v>0</v>
      </c>
      <c r="T498" s="150">
        <f t="shared" si="138"/>
        <v>0</v>
      </c>
      <c r="U498" s="150">
        <f t="shared" si="139"/>
        <v>0</v>
      </c>
      <c r="V498" s="150">
        <f>IFERROR(INDEX(Työkonekanta!$J$3:$J$27,MATCH($A498,Työkonekanta!$A$3:$A$24,0),1)*$B498*ef_li_ion_akku/1000/1000/INDEX(Työkonekanta!$K$3:$K$27,MATCH($A498,Työkonekanta!$A$3:$A$24,0)),0)</f>
        <v>0</v>
      </c>
      <c r="W498" s="149">
        <f t="shared" si="140"/>
        <v>0</v>
      </c>
      <c r="X498" s="150">
        <f t="shared" si="128"/>
        <v>0</v>
      </c>
      <c r="Y498" s="151">
        <f t="shared" si="129"/>
        <v>0</v>
      </c>
      <c r="Z498" s="152">
        <f t="shared" si="143"/>
        <v>0</v>
      </c>
      <c r="AA498" s="153">
        <f t="shared" si="131"/>
        <v>0</v>
      </c>
      <c r="AB498" s="153">
        <f t="shared" si="132"/>
        <v>0</v>
      </c>
      <c r="AC498" s="154">
        <f t="shared" si="130"/>
        <v>0</v>
      </c>
      <c r="AD498" s="156">
        <f t="shared" si="133"/>
        <v>0</v>
      </c>
    </row>
    <row r="499" spans="1:30" s="144" customFormat="1">
      <c r="A499" s="139">
        <v>17</v>
      </c>
      <c r="B499" s="139">
        <f>IFERROR(INDEX(Työkonekanta!$F$3:$F$27,MATCH('S0a Baseline'!$A499,Työkonekanta!$A$3:$A$24,0),1),0)</f>
        <v>1</v>
      </c>
      <c r="C499" s="140">
        <v>2035</v>
      </c>
      <c r="D499" s="141" t="str">
        <f>IFERROR(INDEX(Työkonekanta!$D$3:$D$27,MATCH('S0a Baseline'!$A499,Työkonekanta!$A$3:$A$24,0),1),"undefined")</f>
        <v>pom</v>
      </c>
      <c r="E499" s="145">
        <f>IFERROR(INDEX(Työkonekanta!$G$3:$G$27,MATCH($A499,Työkonekanta!$A$3:$A$24,0),1)*INDEX(Työkonekanta!$H$3:$H$27,MATCH($A499,Työkonekanta!$A$3:$A$24,0),1)*$B499,0)</f>
        <v>10000</v>
      </c>
      <c r="F499" s="344">
        <f t="shared" si="134"/>
        <v>359000</v>
      </c>
      <c r="G499" s="344">
        <f t="shared" si="141"/>
        <v>323100</v>
      </c>
      <c r="H499" s="344">
        <f t="shared" si="142"/>
        <v>35900</v>
      </c>
      <c r="I499" s="145">
        <f t="shared" si="135"/>
        <v>9000</v>
      </c>
      <c r="J499" s="145">
        <f t="shared" si="136"/>
        <v>1046.6472303206997</v>
      </c>
      <c r="K499" s="142" t="str">
        <f t="shared" si="126"/>
        <v>l</v>
      </c>
      <c r="L499" s="146">
        <f>IFERROR(INDEX(Työkonekanta!$I$3:$I$27,MATCH('S0a Baseline'!$A499,Työkonekanta!$A$3:$A$24,0),1)*(I499+J499)*f_adblue,0)</f>
        <v>502.33236151603501</v>
      </c>
      <c r="M499" s="146">
        <f t="shared" si="127"/>
        <v>0</v>
      </c>
      <c r="N499" s="143" t="str">
        <f>IF(tuulisähkö_vuosi&lt;='S0a Baseline'!C499,"tuulisähkö",ostosähkö_nyt)</f>
        <v>jäännössähkö</v>
      </c>
      <c r="O499" s="147">
        <f>INDEX(Muuttujat!$J$5:$J$21,MATCH($C499,Muuttujat!$H$5:$H$21,0),1)</f>
        <v>58.961085487844883</v>
      </c>
      <c r="P499" s="342">
        <f>1-(INDEX(Muuttujat!$O$5:$O$21,MATCH($C499,Muuttujat!$N$5:$N$21,0),1))</f>
        <v>0.9</v>
      </c>
      <c r="Q499" s="342">
        <f>INDEX(Muuttujat!$O$5:$O$21,MATCH($C499,Muuttujat!$N$5:$N$21,0),1)</f>
        <v>0.1</v>
      </c>
      <c r="R499" s="148">
        <f>INDEX(Muuttujat!$P$5:$P$21,MATCH($C499,Muuttujat!$N$5:$N$21,0),1)</f>
        <v>0.10417875759940039</v>
      </c>
      <c r="S499" s="149">
        <f t="shared" si="137"/>
        <v>6.1065899999999997</v>
      </c>
      <c r="T499" s="150">
        <f t="shared" si="138"/>
        <v>2.2401599999999999</v>
      </c>
      <c r="U499" s="150">
        <f t="shared" si="139"/>
        <v>0</v>
      </c>
      <c r="V499" s="150">
        <f>IFERROR(INDEX(Työkonekanta!$J$3:$J$27,MATCH($A499,Työkonekanta!$A$3:$A$24,0),1)*$B499*ef_li_ion_akku/1000/1000/INDEX(Työkonekanta!$K$3:$K$27,MATCH($A499,Työkonekanta!$A$3:$A$24,0)),0)</f>
        <v>0</v>
      </c>
      <c r="W499" s="149">
        <f t="shared" si="140"/>
        <v>23.847446957400003</v>
      </c>
      <c r="X499" s="150">
        <f t="shared" si="128"/>
        <v>0.31774565999999999</v>
      </c>
      <c r="Y499" s="151">
        <f t="shared" si="129"/>
        <v>0.13060641399416908</v>
      </c>
      <c r="Z499" s="152">
        <f t="shared" si="143"/>
        <v>8.3467500000000001</v>
      </c>
      <c r="AA499" s="153">
        <f t="shared" si="131"/>
        <v>23.978053371394171</v>
      </c>
      <c r="AB499" s="153">
        <f t="shared" si="132"/>
        <v>24.295799031394171</v>
      </c>
      <c r="AC499" s="154">
        <f t="shared" si="130"/>
        <v>32.324803371394168</v>
      </c>
      <c r="AD499" s="156">
        <f t="shared" si="133"/>
        <v>32.642549031394168</v>
      </c>
    </row>
    <row r="500" spans="1:30" s="144" customFormat="1">
      <c r="A500" s="139">
        <v>18</v>
      </c>
      <c r="B500" s="139">
        <f>IFERROR(INDEX(Työkonekanta!$F$3:$F$27,MATCH('S0a Baseline'!$A500,Työkonekanta!$A$3:$A$24,0),1),0)</f>
        <v>1</v>
      </c>
      <c r="C500" s="140">
        <v>2035</v>
      </c>
      <c r="D500" s="141" t="str">
        <f>IFERROR(INDEX(Työkonekanta!$D$3:$D$27,MATCH('S0a Baseline'!$A500,Työkonekanta!$A$3:$A$24,0),1),"undefined")</f>
        <v>pom</v>
      </c>
      <c r="E500" s="145">
        <f>IFERROR(INDEX(Työkonekanta!$G$3:$G$27,MATCH($A500,Työkonekanta!$A$3:$A$24,0),1)*INDEX(Työkonekanta!$H$3:$H$27,MATCH($A500,Työkonekanta!$A$3:$A$24,0),1)*$B500,0)</f>
        <v>10000</v>
      </c>
      <c r="F500" s="344">
        <f t="shared" si="134"/>
        <v>359000</v>
      </c>
      <c r="G500" s="344">
        <f t="shared" si="141"/>
        <v>323100</v>
      </c>
      <c r="H500" s="344">
        <f t="shared" si="142"/>
        <v>35900</v>
      </c>
      <c r="I500" s="145">
        <f t="shared" si="135"/>
        <v>9000</v>
      </c>
      <c r="J500" s="145">
        <f t="shared" si="136"/>
        <v>1046.6472303206997</v>
      </c>
      <c r="K500" s="142" t="str">
        <f t="shared" si="126"/>
        <v>l</v>
      </c>
      <c r="L500" s="146">
        <f>IFERROR(INDEX(Työkonekanta!$I$3:$I$27,MATCH('S0a Baseline'!$A500,Työkonekanta!$A$3:$A$24,0),1)*(I500+J500)*f_adblue,0)</f>
        <v>401.86588921282805</v>
      </c>
      <c r="M500" s="146">
        <f t="shared" si="127"/>
        <v>0</v>
      </c>
      <c r="N500" s="143" t="str">
        <f>IF(tuulisähkö_vuosi&lt;='S0a Baseline'!C500,"tuulisähkö",ostosähkö_nyt)</f>
        <v>jäännössähkö</v>
      </c>
      <c r="O500" s="147">
        <f>INDEX(Muuttujat!$J$5:$J$21,MATCH($C500,Muuttujat!$H$5:$H$21,0),1)</f>
        <v>58.961085487844883</v>
      </c>
      <c r="P500" s="342">
        <f>1-(INDEX(Muuttujat!$O$5:$O$21,MATCH($C500,Muuttujat!$N$5:$N$21,0),1))</f>
        <v>0.9</v>
      </c>
      <c r="Q500" s="342">
        <f>INDEX(Muuttujat!$O$5:$O$21,MATCH($C500,Muuttujat!$N$5:$N$21,0),1)</f>
        <v>0.1</v>
      </c>
      <c r="R500" s="148">
        <f>INDEX(Muuttujat!$P$5:$P$21,MATCH($C500,Muuttujat!$N$5:$N$21,0),1)</f>
        <v>0.10417875759940039</v>
      </c>
      <c r="S500" s="149">
        <f t="shared" si="137"/>
        <v>6.1065899999999997</v>
      </c>
      <c r="T500" s="150">
        <f t="shared" si="138"/>
        <v>2.2401599999999999</v>
      </c>
      <c r="U500" s="150">
        <f t="shared" si="139"/>
        <v>0</v>
      </c>
      <c r="V500" s="150">
        <f>IFERROR(INDEX(Työkonekanta!$J$3:$J$27,MATCH($A500,Työkonekanta!$A$3:$A$24,0),1)*$B500*ef_li_ion_akku/1000/1000/INDEX(Työkonekanta!$K$3:$K$27,MATCH($A500,Työkonekanta!$A$3:$A$24,0)),0)</f>
        <v>0</v>
      </c>
      <c r="W500" s="149">
        <f t="shared" si="140"/>
        <v>23.847446957400003</v>
      </c>
      <c r="X500" s="150">
        <f t="shared" si="128"/>
        <v>0.31774565999999999</v>
      </c>
      <c r="Y500" s="151">
        <f t="shared" si="129"/>
        <v>0.1044851311953353</v>
      </c>
      <c r="Z500" s="152">
        <f t="shared" si="143"/>
        <v>8.3467500000000001</v>
      </c>
      <c r="AA500" s="153">
        <f t="shared" si="131"/>
        <v>23.951932088595338</v>
      </c>
      <c r="AB500" s="153">
        <f t="shared" si="132"/>
        <v>24.269677748595338</v>
      </c>
      <c r="AC500" s="154">
        <f t="shared" si="130"/>
        <v>32.298682088595342</v>
      </c>
      <c r="AD500" s="156">
        <f t="shared" si="133"/>
        <v>32.616427748595342</v>
      </c>
    </row>
    <row r="501" spans="1:30" s="144" customFormat="1">
      <c r="A501" s="139">
        <v>19</v>
      </c>
      <c r="B501" s="139">
        <f>IFERROR(INDEX(Työkonekanta!$F$3:$F$27,MATCH('S0a Baseline'!$A501,Työkonekanta!$A$3:$A$24,0),1),0)</f>
        <v>0</v>
      </c>
      <c r="C501" s="140">
        <v>2035</v>
      </c>
      <c r="D501" s="141" t="str">
        <f>IFERROR(INDEX(Työkonekanta!$D$3:$D$27,MATCH('S0a Baseline'!$A501,Työkonekanta!$A$3:$A$24,0),1),"undefined")</f>
        <v>pom</v>
      </c>
      <c r="E501" s="145">
        <f>IFERROR(INDEX(Työkonekanta!$G$3:$G$27,MATCH($A501,Työkonekanta!$A$3:$A$24,0),1)*INDEX(Työkonekanta!$H$3:$H$27,MATCH($A501,Työkonekanta!$A$3:$A$24,0),1)*$B501,0)</f>
        <v>0</v>
      </c>
      <c r="F501" s="344">
        <f t="shared" si="134"/>
        <v>0</v>
      </c>
      <c r="G501" s="344">
        <f t="shared" si="141"/>
        <v>0</v>
      </c>
      <c r="H501" s="344">
        <f t="shared" si="142"/>
        <v>0</v>
      </c>
      <c r="I501" s="145">
        <f t="shared" si="135"/>
        <v>0</v>
      </c>
      <c r="J501" s="145">
        <f t="shared" si="136"/>
        <v>0</v>
      </c>
      <c r="K501" s="142" t="str">
        <f t="shared" si="126"/>
        <v>l</v>
      </c>
      <c r="L501" s="146">
        <f>IFERROR(INDEX(Työkonekanta!$I$3:$I$27,MATCH('S0a Baseline'!$A501,Työkonekanta!$A$3:$A$24,0),1)*(I501+J501)*f_adblue,0)</f>
        <v>0</v>
      </c>
      <c r="M501" s="146">
        <f t="shared" si="127"/>
        <v>0</v>
      </c>
      <c r="N501" s="143" t="str">
        <f>IF(tuulisähkö_vuosi&lt;='S0a Baseline'!C501,"tuulisähkö",ostosähkö_nyt)</f>
        <v>jäännössähkö</v>
      </c>
      <c r="O501" s="147">
        <f>INDEX(Muuttujat!$J$5:$J$21,MATCH($C501,Muuttujat!$H$5:$H$21,0),1)</f>
        <v>58.961085487844883</v>
      </c>
      <c r="P501" s="342">
        <f>1-(INDEX(Muuttujat!$O$5:$O$21,MATCH($C501,Muuttujat!$N$5:$N$21,0),1))</f>
        <v>0.9</v>
      </c>
      <c r="Q501" s="342">
        <f>INDEX(Muuttujat!$O$5:$O$21,MATCH($C501,Muuttujat!$N$5:$N$21,0),1)</f>
        <v>0.1</v>
      </c>
      <c r="R501" s="148">
        <f>INDEX(Muuttujat!$P$5:$P$21,MATCH($C501,Muuttujat!$N$5:$N$21,0),1)</f>
        <v>0.10417875759940039</v>
      </c>
      <c r="S501" s="149">
        <f t="shared" si="137"/>
        <v>0</v>
      </c>
      <c r="T501" s="150">
        <f t="shared" si="138"/>
        <v>0</v>
      </c>
      <c r="U501" s="150">
        <f t="shared" si="139"/>
        <v>0</v>
      </c>
      <c r="V501" s="150">
        <f>IFERROR(INDEX(Työkonekanta!$J$3:$J$27,MATCH($A501,Työkonekanta!$A$3:$A$24,0),1)*$B501*ef_li_ion_akku/1000/1000/INDEX(Työkonekanta!$K$3:$K$27,MATCH($A501,Työkonekanta!$A$3:$A$24,0)),0)</f>
        <v>0</v>
      </c>
      <c r="W501" s="149">
        <f t="shared" si="140"/>
        <v>0</v>
      </c>
      <c r="X501" s="150">
        <f t="shared" si="128"/>
        <v>0</v>
      </c>
      <c r="Y501" s="151">
        <f t="shared" si="129"/>
        <v>0</v>
      </c>
      <c r="Z501" s="152">
        <f t="shared" si="143"/>
        <v>0</v>
      </c>
      <c r="AA501" s="153">
        <f t="shared" si="131"/>
        <v>0</v>
      </c>
      <c r="AB501" s="153">
        <f t="shared" si="132"/>
        <v>0</v>
      </c>
      <c r="AC501" s="154">
        <f t="shared" si="130"/>
        <v>0</v>
      </c>
      <c r="AD501" s="156">
        <f t="shared" si="133"/>
        <v>0</v>
      </c>
    </row>
    <row r="502" spans="1:30" s="144" customFormat="1">
      <c r="A502" s="139">
        <v>20</v>
      </c>
      <c r="B502" s="139">
        <f>IFERROR(INDEX(Työkonekanta!$F$3:$F$27,MATCH('S0a Baseline'!$A502,Työkonekanta!$A$3:$A$24,0),1),0)</f>
        <v>0</v>
      </c>
      <c r="C502" s="140">
        <v>2035</v>
      </c>
      <c r="D502" s="141" t="str">
        <f>IFERROR(INDEX(Työkonekanta!$D$3:$D$27,MATCH('S0a Baseline'!$A502,Työkonekanta!$A$3:$A$24,0),1),"undefined")</f>
        <v>pom</v>
      </c>
      <c r="E502" s="145">
        <f>IFERROR(INDEX(Työkonekanta!$G$3:$G$27,MATCH($A502,Työkonekanta!$A$3:$A$24,0),1)*INDEX(Työkonekanta!$H$3:$H$27,MATCH($A502,Työkonekanta!$A$3:$A$24,0),1)*$B502,0)</f>
        <v>0</v>
      </c>
      <c r="F502" s="344">
        <f t="shared" si="134"/>
        <v>0</v>
      </c>
      <c r="G502" s="344">
        <f t="shared" si="141"/>
        <v>0</v>
      </c>
      <c r="H502" s="344">
        <f t="shared" si="142"/>
        <v>0</v>
      </c>
      <c r="I502" s="145">
        <f t="shared" si="135"/>
        <v>0</v>
      </c>
      <c r="J502" s="145">
        <f t="shared" si="136"/>
        <v>0</v>
      </c>
      <c r="K502" s="142" t="str">
        <f t="shared" si="126"/>
        <v>l</v>
      </c>
      <c r="L502" s="146">
        <f>IFERROR(INDEX(Työkonekanta!$I$3:$I$27,MATCH('S0a Baseline'!$A502,Työkonekanta!$A$3:$A$24,0),1)*(I502+J502)*f_adblue,0)</f>
        <v>0</v>
      </c>
      <c r="M502" s="146">
        <f t="shared" si="127"/>
        <v>0</v>
      </c>
      <c r="N502" s="143" t="str">
        <f>IF(tuulisähkö_vuosi&lt;='S0a Baseline'!C502,"tuulisähkö",ostosähkö_nyt)</f>
        <v>jäännössähkö</v>
      </c>
      <c r="O502" s="147">
        <f>INDEX(Muuttujat!$J$5:$J$21,MATCH($C502,Muuttujat!$H$5:$H$21,0),1)</f>
        <v>58.961085487844883</v>
      </c>
      <c r="P502" s="342">
        <f>1-(INDEX(Muuttujat!$O$5:$O$21,MATCH($C502,Muuttujat!$N$5:$N$21,0),1))</f>
        <v>0.9</v>
      </c>
      <c r="Q502" s="342">
        <f>INDEX(Muuttujat!$O$5:$O$21,MATCH($C502,Muuttujat!$N$5:$N$21,0),1)</f>
        <v>0.1</v>
      </c>
      <c r="R502" s="148">
        <f>INDEX(Muuttujat!$P$5:$P$21,MATCH($C502,Muuttujat!$N$5:$N$21,0),1)</f>
        <v>0.10417875759940039</v>
      </c>
      <c r="S502" s="149">
        <f t="shared" si="137"/>
        <v>0</v>
      </c>
      <c r="T502" s="150">
        <f t="shared" si="138"/>
        <v>0</v>
      </c>
      <c r="U502" s="150">
        <f t="shared" si="139"/>
        <v>0</v>
      </c>
      <c r="V502" s="150">
        <f>IFERROR(INDEX(Työkonekanta!$J$3:$J$27,MATCH($A502,Työkonekanta!$A$3:$A$24,0),1)*$B502*ef_li_ion_akku/1000/1000/INDEX(Työkonekanta!$K$3:$K$27,MATCH($A502,Työkonekanta!$A$3:$A$24,0)),0)</f>
        <v>0</v>
      </c>
      <c r="W502" s="149">
        <f t="shared" si="140"/>
        <v>0</v>
      </c>
      <c r="X502" s="150">
        <f t="shared" si="128"/>
        <v>0</v>
      </c>
      <c r="Y502" s="151">
        <f t="shared" si="129"/>
        <v>0</v>
      </c>
      <c r="Z502" s="152">
        <f t="shared" si="143"/>
        <v>0</v>
      </c>
      <c r="AA502" s="153">
        <f t="shared" si="131"/>
        <v>0</v>
      </c>
      <c r="AB502" s="153">
        <f t="shared" si="132"/>
        <v>0</v>
      </c>
      <c r="AC502" s="154">
        <f t="shared" si="130"/>
        <v>0</v>
      </c>
      <c r="AD502" s="156">
        <f t="shared" si="133"/>
        <v>0</v>
      </c>
    </row>
    <row r="503" spans="1:30" s="144" customFormat="1">
      <c r="A503" s="139">
        <v>21</v>
      </c>
      <c r="B503" s="139">
        <f>IFERROR(INDEX(Työkonekanta!$F$3:$F$27,MATCH('S0a Baseline'!$A503,Työkonekanta!$A$3:$A$24,0),1),0)</f>
        <v>35</v>
      </c>
      <c r="C503" s="140">
        <v>2035</v>
      </c>
      <c r="D503" s="141" t="str">
        <f>IFERROR(INDEX(Työkonekanta!$D$3:$D$27,MATCH('S0a Baseline'!$A503,Työkonekanta!$A$3:$A$24,0),1),"undefined")</f>
        <v>sähkö</v>
      </c>
      <c r="E503" s="145">
        <f>IFERROR(INDEX(Työkonekanta!$G$3:$G$27,MATCH($A503,Työkonekanta!$A$3:$A$24,0),1)*INDEX(Työkonekanta!$H$3:$H$27,MATCH($A503,Työkonekanta!$A$3:$A$24,0),1)*$B503,0)</f>
        <v>407199.07407407404</v>
      </c>
      <c r="F503" s="344">
        <f t="shared" si="134"/>
        <v>0</v>
      </c>
      <c r="G503" s="344">
        <f t="shared" si="141"/>
        <v>0</v>
      </c>
      <c r="H503" s="344">
        <f t="shared" si="142"/>
        <v>0</v>
      </c>
      <c r="I503" s="145">
        <f t="shared" si="135"/>
        <v>0</v>
      </c>
      <c r="J503" s="145">
        <f t="shared" si="136"/>
        <v>0</v>
      </c>
      <c r="K503" s="142" t="str">
        <f t="shared" si="126"/>
        <v>kWh</v>
      </c>
      <c r="L503" s="146">
        <f>IFERROR(INDEX(Työkonekanta!$I$3:$I$27,MATCH('S0a Baseline'!$A503,Työkonekanta!$A$3:$A$24,0),1)*(I503+J503)*f_adblue,0)</f>
        <v>0</v>
      </c>
      <c r="M503" s="146">
        <f t="shared" si="127"/>
        <v>1465916.6666666665</v>
      </c>
      <c r="N503" s="143" t="str">
        <f>IF(tuulisähkö_vuosi&lt;='S0a Baseline'!C503,"tuulisähkö",ostosähkö_nyt)</f>
        <v>jäännössähkö</v>
      </c>
      <c r="O503" s="147">
        <f>INDEX(Muuttujat!$J$5:$J$21,MATCH($C503,Muuttujat!$H$5:$H$21,0),1)</f>
        <v>58.961085487844883</v>
      </c>
      <c r="P503" s="342">
        <f>1-(INDEX(Muuttujat!$O$5:$O$21,MATCH($C503,Muuttujat!$N$5:$N$21,0),1))</f>
        <v>0.9</v>
      </c>
      <c r="Q503" s="342">
        <f>INDEX(Muuttujat!$O$5:$O$21,MATCH($C503,Muuttujat!$N$5:$N$21,0),1)</f>
        <v>0.1</v>
      </c>
      <c r="R503" s="148">
        <f>INDEX(Muuttujat!$P$5:$P$21,MATCH($C503,Muuttujat!$N$5:$N$21,0),1)</f>
        <v>0.10417875759940039</v>
      </c>
      <c r="S503" s="149">
        <f t="shared" si="137"/>
        <v>0</v>
      </c>
      <c r="T503" s="150">
        <f t="shared" si="138"/>
        <v>0</v>
      </c>
      <c r="U503" s="150">
        <f t="shared" si="139"/>
        <v>86.432037901389933</v>
      </c>
      <c r="V503" s="150">
        <f>IFERROR(INDEX(Työkonekanta!$J$3:$J$27,MATCH($A503,Työkonekanta!$A$3:$A$24,0),1)*$B503*ef_li_ion_akku/1000/1000/INDEX(Työkonekanta!$K$3:$K$27,MATCH($A503,Työkonekanta!$A$3:$A$24,0)),0)</f>
        <v>43.121723076923082</v>
      </c>
      <c r="W503" s="149">
        <f t="shared" si="140"/>
        <v>0</v>
      </c>
      <c r="X503" s="150">
        <f t="shared" si="128"/>
        <v>0</v>
      </c>
      <c r="Y503" s="151">
        <f t="shared" si="129"/>
        <v>0</v>
      </c>
      <c r="Z503" s="152">
        <f t="shared" si="143"/>
        <v>129.55376097831302</v>
      </c>
      <c r="AA503" s="153">
        <f t="shared" si="131"/>
        <v>0</v>
      </c>
      <c r="AB503" s="153">
        <f t="shared" si="132"/>
        <v>0</v>
      </c>
      <c r="AC503" s="154">
        <f t="shared" si="130"/>
        <v>129.55376097831302</v>
      </c>
      <c r="AD503" s="156">
        <f t="shared" si="133"/>
        <v>129.55376097831302</v>
      </c>
    </row>
    <row r="504" spans="1:30" s="144" customFormat="1">
      <c r="A504" s="139">
        <v>22</v>
      </c>
      <c r="B504" s="139">
        <f>IFERROR(INDEX(Työkonekanta!$F$3:$F$27,MATCH('S0a Baseline'!$A504,Työkonekanta!$A$3:$A$24,0),1),0)</f>
        <v>0</v>
      </c>
      <c r="C504" s="140">
        <v>2035</v>
      </c>
      <c r="D504" s="141" t="str">
        <f>IFERROR(INDEX(Työkonekanta!$D$3:$D$27,MATCH('S0a Baseline'!$A504,Työkonekanta!$A$3:$A$24,0),1),"undefined")</f>
        <v>sähkö</v>
      </c>
      <c r="E504" s="145">
        <f>IFERROR(INDEX(Työkonekanta!$G$3:$G$27,MATCH($A504,Työkonekanta!$A$3:$A$24,0),1)*INDEX(Työkonekanta!$H$3:$H$27,MATCH($A504,Työkonekanta!$A$3:$A$24,0),1)*$B504,0)</f>
        <v>0</v>
      </c>
      <c r="F504" s="344">
        <f t="shared" si="134"/>
        <v>0</v>
      </c>
      <c r="G504" s="344">
        <f t="shared" si="141"/>
        <v>0</v>
      </c>
      <c r="H504" s="344">
        <f t="shared" si="142"/>
        <v>0</v>
      </c>
      <c r="I504" s="145">
        <f t="shared" si="135"/>
        <v>0</v>
      </c>
      <c r="J504" s="145">
        <f t="shared" si="136"/>
        <v>0</v>
      </c>
      <c r="K504" s="142" t="str">
        <f t="shared" si="126"/>
        <v>kWh</v>
      </c>
      <c r="L504" s="146">
        <f>IFERROR(INDEX(Työkonekanta!$I$3:$I$27,MATCH('S0a Baseline'!$A504,Työkonekanta!$A$3:$A$24,0),1)*(I504+J504)*f_adblue,0)</f>
        <v>0</v>
      </c>
      <c r="M504" s="146">
        <f t="shared" si="127"/>
        <v>0</v>
      </c>
      <c r="N504" s="143" t="str">
        <f>IF(tuulisähkö_vuosi&lt;='S0a Baseline'!C504,"tuulisähkö",ostosähkö_nyt)</f>
        <v>jäännössähkö</v>
      </c>
      <c r="O504" s="147">
        <f>INDEX(Muuttujat!$J$5:$J$21,MATCH($C504,Muuttujat!$H$5:$H$21,0),1)</f>
        <v>58.961085487844883</v>
      </c>
      <c r="P504" s="342">
        <f>1-(INDEX(Muuttujat!$O$5:$O$21,MATCH($C504,Muuttujat!$N$5:$N$21,0),1))</f>
        <v>0.9</v>
      </c>
      <c r="Q504" s="342">
        <f>INDEX(Muuttujat!$O$5:$O$21,MATCH($C504,Muuttujat!$N$5:$N$21,0),1)</f>
        <v>0.1</v>
      </c>
      <c r="R504" s="148">
        <f>INDEX(Muuttujat!$P$5:$P$21,MATCH($C504,Muuttujat!$N$5:$N$21,0),1)</f>
        <v>0.10417875759940039</v>
      </c>
      <c r="S504" s="149">
        <f t="shared" si="137"/>
        <v>0</v>
      </c>
      <c r="T504" s="150">
        <f t="shared" si="138"/>
        <v>0</v>
      </c>
      <c r="U504" s="150">
        <f t="shared" si="139"/>
        <v>0</v>
      </c>
      <c r="V504" s="150">
        <f>IFERROR(INDEX(Työkonekanta!$J$3:$J$27,MATCH($A504,Työkonekanta!$A$3:$A$24,0),1)*$B504*ef_li_ion_akku/1000/1000/INDEX(Työkonekanta!$K$3:$K$27,MATCH($A504,Työkonekanta!$A$3:$A$24,0)),0)</f>
        <v>0</v>
      </c>
      <c r="W504" s="149">
        <f t="shared" si="140"/>
        <v>0</v>
      </c>
      <c r="X504" s="150">
        <f t="shared" si="128"/>
        <v>0</v>
      </c>
      <c r="Y504" s="151">
        <f t="shared" si="129"/>
        <v>0</v>
      </c>
      <c r="Z504" s="152">
        <f t="shared" si="143"/>
        <v>0</v>
      </c>
      <c r="AA504" s="153">
        <f t="shared" si="131"/>
        <v>0</v>
      </c>
      <c r="AB504" s="153">
        <f t="shared" si="132"/>
        <v>0</v>
      </c>
      <c r="AC504" s="154">
        <f t="shared" si="130"/>
        <v>0</v>
      </c>
      <c r="AD504" s="156">
        <f t="shared" si="133"/>
        <v>0</v>
      </c>
    </row>
    <row r="505" spans="1:30" s="144" customFormat="1">
      <c r="A505" s="139">
        <v>23</v>
      </c>
      <c r="B505" s="139">
        <f>IFERROR(INDEX(Työkonekanta!$F$3:$F$27,MATCH('S0a Baseline'!$A505,Työkonekanta!$A$3:$A$24,0),1),0)</f>
        <v>0</v>
      </c>
      <c r="C505" s="140">
        <v>2035</v>
      </c>
      <c r="D505" s="141" t="str">
        <f>IFERROR(INDEX(Työkonekanta!$D$3:$D$27,MATCH('S0a Baseline'!$A505,Työkonekanta!$A$3:$A$24,0),1),"undefined")</f>
        <v>undefined</v>
      </c>
      <c r="E505" s="145">
        <f>IFERROR(INDEX(Työkonekanta!$G$3:$G$27,MATCH($A505,Työkonekanta!$A$3:$A$24,0),1)*INDEX(Työkonekanta!$H$3:$H$27,MATCH($A505,Työkonekanta!$A$3:$A$24,0),1)*$B505,0)</f>
        <v>0</v>
      </c>
      <c r="F505" s="344">
        <f t="shared" si="134"/>
        <v>0</v>
      </c>
      <c r="G505" s="344">
        <f t="shared" si="141"/>
        <v>0</v>
      </c>
      <c r="H505" s="344">
        <f t="shared" si="142"/>
        <v>0</v>
      </c>
      <c r="I505" s="145">
        <f t="shared" si="135"/>
        <v>0</v>
      </c>
      <c r="J505" s="145">
        <f t="shared" si="136"/>
        <v>0</v>
      </c>
      <c r="K505" s="142" t="str">
        <f t="shared" si="126"/>
        <v>undefined</v>
      </c>
      <c r="L505" s="146">
        <f>IFERROR(INDEX(Työkonekanta!$I$3:$I$27,MATCH('S0a Baseline'!$A505,Työkonekanta!$A$3:$A$24,0),1)*(I505+J505)*f_adblue,0)</f>
        <v>0</v>
      </c>
      <c r="M505" s="146">
        <f t="shared" si="127"/>
        <v>0</v>
      </c>
      <c r="N505" s="143" t="str">
        <f>IF(tuulisähkö_vuosi&lt;='S0a Baseline'!C505,"tuulisähkö",ostosähkö_nyt)</f>
        <v>jäännössähkö</v>
      </c>
      <c r="O505" s="147">
        <f>INDEX(Muuttujat!$J$5:$J$21,MATCH($C505,Muuttujat!$H$5:$H$21,0),1)</f>
        <v>58.961085487844883</v>
      </c>
      <c r="P505" s="342">
        <f>1-(INDEX(Muuttujat!$O$5:$O$21,MATCH($C505,Muuttujat!$N$5:$N$21,0),1))</f>
        <v>0.9</v>
      </c>
      <c r="Q505" s="342">
        <f>INDEX(Muuttujat!$O$5:$O$21,MATCH($C505,Muuttujat!$N$5:$N$21,0),1)</f>
        <v>0.1</v>
      </c>
      <c r="R505" s="148">
        <f>INDEX(Muuttujat!$P$5:$P$21,MATCH($C505,Muuttujat!$N$5:$N$21,0),1)</f>
        <v>0.10417875759940039</v>
      </c>
      <c r="S505" s="149">
        <f t="shared" si="137"/>
        <v>0</v>
      </c>
      <c r="T505" s="150">
        <f t="shared" si="138"/>
        <v>0</v>
      </c>
      <c r="U505" s="150">
        <f t="shared" si="139"/>
        <v>0</v>
      </c>
      <c r="V505" s="150">
        <f>IFERROR(INDEX(Työkonekanta!$J$3:$J$27,MATCH($A505,Työkonekanta!$A$3:$A$24,0),1)*$B505*ef_li_ion_akku/1000/1000/INDEX(Työkonekanta!$K$3:$K$27,MATCH($A505,Työkonekanta!$A$3:$A$24,0)),0)</f>
        <v>0</v>
      </c>
      <c r="W505" s="149">
        <f t="shared" si="140"/>
        <v>0</v>
      </c>
      <c r="X505" s="150">
        <f t="shared" si="128"/>
        <v>0</v>
      </c>
      <c r="Y505" s="151">
        <f t="shared" si="129"/>
        <v>0</v>
      </c>
      <c r="Z505" s="152">
        <f t="shared" si="143"/>
        <v>0</v>
      </c>
      <c r="AA505" s="153">
        <f t="shared" si="131"/>
        <v>0</v>
      </c>
      <c r="AB505" s="153">
        <f t="shared" si="132"/>
        <v>0</v>
      </c>
      <c r="AC505" s="154">
        <f t="shared" si="130"/>
        <v>0</v>
      </c>
      <c r="AD505" s="156">
        <f t="shared" si="133"/>
        <v>0</v>
      </c>
    </row>
    <row r="506" spans="1:30" s="144" customFormat="1">
      <c r="A506" s="139">
        <v>24</v>
      </c>
      <c r="B506" s="139">
        <f>IFERROR(INDEX(Työkonekanta!$F$3:$F$27,MATCH('S0a Baseline'!$A506,Työkonekanta!$A$3:$A$24,0),1),0)</f>
        <v>0</v>
      </c>
      <c r="C506" s="140">
        <v>2035</v>
      </c>
      <c r="D506" s="141" t="str">
        <f>IFERROR(INDEX(Työkonekanta!$D$3:$D$27,MATCH('S0a Baseline'!$A506,Työkonekanta!$A$3:$A$24,0),1),"undefined")</f>
        <v>undefined</v>
      </c>
      <c r="E506" s="145">
        <f>IFERROR(INDEX(Työkonekanta!$G$3:$G$27,MATCH($A506,Työkonekanta!$A$3:$A$24,0),1)*INDEX(Työkonekanta!$H$3:$H$27,MATCH($A506,Työkonekanta!$A$3:$A$24,0),1)*$B506,0)</f>
        <v>0</v>
      </c>
      <c r="F506" s="344">
        <f t="shared" si="134"/>
        <v>0</v>
      </c>
      <c r="G506" s="344">
        <f t="shared" si="141"/>
        <v>0</v>
      </c>
      <c r="H506" s="344">
        <f t="shared" si="142"/>
        <v>0</v>
      </c>
      <c r="I506" s="145">
        <f t="shared" si="135"/>
        <v>0</v>
      </c>
      <c r="J506" s="145">
        <f t="shared" si="136"/>
        <v>0</v>
      </c>
      <c r="K506" s="142" t="str">
        <f t="shared" ref="K506:K512" si="144">IF($D506="sähkö","kWh",IF($D506="pom","l","undefined"))</f>
        <v>undefined</v>
      </c>
      <c r="L506" s="146">
        <f>IFERROR(INDEX(Työkonekanta!$I$3:$I$27,MATCH('S0a Baseline'!$A506,Työkonekanta!$A$3:$A$24,0),1)*(I506+J506)*f_adblue,0)</f>
        <v>0</v>
      </c>
      <c r="M506" s="146">
        <f t="shared" si="127"/>
        <v>0</v>
      </c>
      <c r="N506" s="143" t="str">
        <f>IF(tuulisähkö_vuosi&lt;='S0a Baseline'!C506,"tuulisähkö",ostosähkö_nyt)</f>
        <v>jäännössähkö</v>
      </c>
      <c r="O506" s="147">
        <f>INDEX(Muuttujat!$J$5:$J$21,MATCH($C506,Muuttujat!$H$5:$H$21,0),1)</f>
        <v>58.961085487844883</v>
      </c>
      <c r="P506" s="342">
        <f>1-(INDEX(Muuttujat!$O$5:$O$21,MATCH($C506,Muuttujat!$N$5:$N$21,0),1))</f>
        <v>0.9</v>
      </c>
      <c r="Q506" s="342">
        <f>INDEX(Muuttujat!$O$5:$O$21,MATCH($C506,Muuttujat!$N$5:$N$21,0),1)</f>
        <v>0.1</v>
      </c>
      <c r="R506" s="148">
        <f>INDEX(Muuttujat!$P$5:$P$21,MATCH($C506,Muuttujat!$N$5:$N$21,0),1)</f>
        <v>0.10417875759940039</v>
      </c>
      <c r="S506" s="149">
        <f t="shared" si="137"/>
        <v>0</v>
      </c>
      <c r="T506" s="150">
        <f t="shared" si="138"/>
        <v>0</v>
      </c>
      <c r="U506" s="150">
        <f t="shared" si="139"/>
        <v>0</v>
      </c>
      <c r="V506" s="150">
        <f>IFERROR(INDEX(Työkonekanta!$J$3:$J$27,MATCH($A506,Työkonekanta!$A$3:$A$24,0),1)*$B506*ef_li_ion_akku/1000/1000/INDEX(Työkonekanta!$K$3:$K$27,MATCH($A506,Työkonekanta!$A$3:$A$24,0)),0)</f>
        <v>0</v>
      </c>
      <c r="W506" s="149">
        <f t="shared" si="140"/>
        <v>0</v>
      </c>
      <c r="X506" s="150">
        <f t="shared" si="128"/>
        <v>0</v>
      </c>
      <c r="Y506" s="151">
        <f t="shared" si="129"/>
        <v>0</v>
      </c>
      <c r="Z506" s="152">
        <f t="shared" si="143"/>
        <v>0</v>
      </c>
      <c r="AA506" s="153">
        <f t="shared" ref="AA506:AA512" si="145">$W506+$Y506</f>
        <v>0</v>
      </c>
      <c r="AB506" s="153">
        <f t="shared" ref="AB506:AB512" si="146">SUM($W506:$Y506)</f>
        <v>0</v>
      </c>
      <c r="AC506" s="154">
        <f t="shared" ref="AC506:AC512" si="147">$Z506+$AA506</f>
        <v>0</v>
      </c>
      <c r="AD506" s="156">
        <f t="shared" ref="AD506:AD512" si="148">$Z506+$AB506</f>
        <v>0</v>
      </c>
    </row>
    <row r="507" spans="1:30" s="144" customFormat="1">
      <c r="A507" s="139">
        <v>25</v>
      </c>
      <c r="B507" s="139">
        <f>IFERROR(INDEX(Työkonekanta!$F$3:$F$27,MATCH('S0a Baseline'!$A507,Työkonekanta!$A$3:$A$24,0),1),0)</f>
        <v>0</v>
      </c>
      <c r="C507" s="140">
        <v>2035</v>
      </c>
      <c r="D507" s="141" t="str">
        <f>IFERROR(INDEX(Työkonekanta!$D$3:$D$27,MATCH('S0a Baseline'!$A507,Työkonekanta!$A$3:$A$24,0),1),"undefined")</f>
        <v>undefined</v>
      </c>
      <c r="E507" s="145">
        <f>IFERROR(INDEX(Työkonekanta!$G$3:$G$27,MATCH($A507,Työkonekanta!$A$3:$A$24,0),1)*INDEX(Työkonekanta!$H$3:$H$27,MATCH($A507,Työkonekanta!$A$3:$A$24,0),1)*$B507,0)</f>
        <v>0</v>
      </c>
      <c r="F507" s="344">
        <f t="shared" si="134"/>
        <v>0</v>
      </c>
      <c r="G507" s="344">
        <f t="shared" si="141"/>
        <v>0</v>
      </c>
      <c r="H507" s="344">
        <f t="shared" si="142"/>
        <v>0</v>
      </c>
      <c r="I507" s="145">
        <f t="shared" si="135"/>
        <v>0</v>
      </c>
      <c r="J507" s="145">
        <f t="shared" si="136"/>
        <v>0</v>
      </c>
      <c r="K507" s="142" t="str">
        <f t="shared" si="144"/>
        <v>undefined</v>
      </c>
      <c r="L507" s="146">
        <f>IFERROR(INDEX(Työkonekanta!$I$3:$I$27,MATCH('S0a Baseline'!$A507,Työkonekanta!$A$3:$A$24,0),1)*(I507+J507)*f_adblue,0)</f>
        <v>0</v>
      </c>
      <c r="M507" s="146">
        <f t="shared" si="127"/>
        <v>0</v>
      </c>
      <c r="N507" s="143" t="str">
        <f>IF(tuulisähkö_vuosi&lt;='S0a Baseline'!C507,"tuulisähkö",ostosähkö_nyt)</f>
        <v>jäännössähkö</v>
      </c>
      <c r="O507" s="147">
        <f>INDEX(Muuttujat!$J$5:$J$21,MATCH($C507,Muuttujat!$H$5:$H$21,0),1)</f>
        <v>58.961085487844883</v>
      </c>
      <c r="P507" s="342">
        <f>1-(INDEX(Muuttujat!$O$5:$O$21,MATCH($C507,Muuttujat!$N$5:$N$21,0),1))</f>
        <v>0.9</v>
      </c>
      <c r="Q507" s="342">
        <f>INDEX(Muuttujat!$O$5:$O$21,MATCH($C507,Muuttujat!$N$5:$N$21,0),1)</f>
        <v>0.1</v>
      </c>
      <c r="R507" s="148">
        <f>INDEX(Muuttujat!$P$5:$P$21,MATCH($C507,Muuttujat!$N$5:$N$21,0),1)</f>
        <v>0.10417875759940039</v>
      </c>
      <c r="S507" s="149">
        <f t="shared" si="137"/>
        <v>0</v>
      </c>
      <c r="T507" s="150">
        <f t="shared" si="138"/>
        <v>0</v>
      </c>
      <c r="U507" s="150">
        <f t="shared" si="139"/>
        <v>0</v>
      </c>
      <c r="V507" s="150">
        <f>IFERROR(INDEX(Työkonekanta!$J$3:$J$27,MATCH($A507,Työkonekanta!$A$3:$A$24,0),1)*$B507*ef_li_ion_akku/1000/1000/INDEX(Työkonekanta!$K$3:$K$27,MATCH($A507,Työkonekanta!$A$3:$A$24,0)),0)</f>
        <v>0</v>
      </c>
      <c r="W507" s="149">
        <f t="shared" si="140"/>
        <v>0</v>
      </c>
      <c r="X507" s="150">
        <f t="shared" si="128"/>
        <v>0</v>
      </c>
      <c r="Y507" s="151">
        <f t="shared" si="129"/>
        <v>0</v>
      </c>
      <c r="Z507" s="152">
        <f t="shared" si="143"/>
        <v>0</v>
      </c>
      <c r="AA507" s="153">
        <f t="shared" si="145"/>
        <v>0</v>
      </c>
      <c r="AB507" s="153">
        <f t="shared" si="146"/>
        <v>0</v>
      </c>
      <c r="AC507" s="154">
        <f t="shared" si="147"/>
        <v>0</v>
      </c>
      <c r="AD507" s="156">
        <f t="shared" si="148"/>
        <v>0</v>
      </c>
    </row>
    <row r="508" spans="1:30" s="144" customFormat="1">
      <c r="A508" s="139">
        <v>26</v>
      </c>
      <c r="B508" s="139">
        <f>IFERROR(INDEX(Työkonekanta!$F$3:$F$27,MATCH('S0a Baseline'!$A508,Työkonekanta!$A$3:$A$24,0),1),0)</f>
        <v>0</v>
      </c>
      <c r="C508" s="140">
        <v>2035</v>
      </c>
      <c r="D508" s="141" t="str">
        <f>IFERROR(INDEX(Työkonekanta!$D$3:$D$27,MATCH('S0a Baseline'!$A508,Työkonekanta!$A$3:$A$24,0),1),"undefined")</f>
        <v>undefined</v>
      </c>
      <c r="E508" s="145">
        <f>IFERROR(INDEX(Työkonekanta!$G$3:$G$27,MATCH($A508,Työkonekanta!$A$3:$A$24,0),1)*INDEX(Työkonekanta!$H$3:$H$27,MATCH($A508,Työkonekanta!$A$3:$A$24,0),1)*$B508,0)</f>
        <v>0</v>
      </c>
      <c r="F508" s="344">
        <f t="shared" si="134"/>
        <v>0</v>
      </c>
      <c r="G508" s="344">
        <f t="shared" si="141"/>
        <v>0</v>
      </c>
      <c r="H508" s="344">
        <f t="shared" si="142"/>
        <v>0</v>
      </c>
      <c r="I508" s="145">
        <f t="shared" si="135"/>
        <v>0</v>
      </c>
      <c r="J508" s="145">
        <f t="shared" si="136"/>
        <v>0</v>
      </c>
      <c r="K508" s="142" t="str">
        <f t="shared" si="144"/>
        <v>undefined</v>
      </c>
      <c r="L508" s="146">
        <f>IFERROR(INDEX(Työkonekanta!$I$3:$I$27,MATCH('S0a Baseline'!$A508,Työkonekanta!$A$3:$A$24,0),1)*(I508+J508)*f_adblue,0)</f>
        <v>0</v>
      </c>
      <c r="M508" s="146">
        <f t="shared" si="127"/>
        <v>0</v>
      </c>
      <c r="N508" s="143" t="str">
        <f>IF(tuulisähkö_vuosi&lt;='S0a Baseline'!C508,"tuulisähkö",ostosähkö_nyt)</f>
        <v>jäännössähkö</v>
      </c>
      <c r="O508" s="147">
        <f>INDEX(Muuttujat!$J$5:$J$21,MATCH($C508,Muuttujat!$H$5:$H$21,0),1)</f>
        <v>58.961085487844883</v>
      </c>
      <c r="P508" s="342">
        <f>1-(INDEX(Muuttujat!$O$5:$O$21,MATCH($C508,Muuttujat!$N$5:$N$21,0),1))</f>
        <v>0.9</v>
      </c>
      <c r="Q508" s="342">
        <f>INDEX(Muuttujat!$O$5:$O$21,MATCH($C508,Muuttujat!$N$5:$N$21,0),1)</f>
        <v>0.1</v>
      </c>
      <c r="R508" s="148">
        <f>INDEX(Muuttujat!$P$5:$P$21,MATCH($C508,Muuttujat!$N$5:$N$21,0),1)</f>
        <v>0.10417875759940039</v>
      </c>
      <c r="S508" s="149">
        <f t="shared" si="137"/>
        <v>0</v>
      </c>
      <c r="T508" s="150">
        <f t="shared" si="138"/>
        <v>0</v>
      </c>
      <c r="U508" s="150">
        <f t="shared" si="139"/>
        <v>0</v>
      </c>
      <c r="V508" s="150">
        <f>IFERROR(INDEX(Työkonekanta!$J$3:$J$27,MATCH($A508,Työkonekanta!$A$3:$A$24,0),1)*$B508*ef_li_ion_akku/1000/1000/INDEX(Työkonekanta!$K$3:$K$27,MATCH($A508,Työkonekanta!$A$3:$A$24,0)),0)</f>
        <v>0</v>
      </c>
      <c r="W508" s="149">
        <f t="shared" si="140"/>
        <v>0</v>
      </c>
      <c r="X508" s="150">
        <f t="shared" si="128"/>
        <v>0</v>
      </c>
      <c r="Y508" s="151">
        <f t="shared" si="129"/>
        <v>0</v>
      </c>
      <c r="Z508" s="152">
        <f t="shared" si="143"/>
        <v>0</v>
      </c>
      <c r="AA508" s="153">
        <f t="shared" si="145"/>
        <v>0</v>
      </c>
      <c r="AB508" s="153">
        <f t="shared" si="146"/>
        <v>0</v>
      </c>
      <c r="AC508" s="154">
        <f t="shared" si="147"/>
        <v>0</v>
      </c>
      <c r="AD508" s="156">
        <f t="shared" si="148"/>
        <v>0</v>
      </c>
    </row>
    <row r="509" spans="1:30" s="144" customFormat="1">
      <c r="A509" s="139">
        <v>27</v>
      </c>
      <c r="B509" s="139">
        <f>IFERROR(INDEX(Työkonekanta!$F$3:$F$27,MATCH('S0a Baseline'!$A509,Työkonekanta!$A$3:$A$24,0),1),0)</f>
        <v>0</v>
      </c>
      <c r="C509" s="140">
        <v>2035</v>
      </c>
      <c r="D509" s="141" t="str">
        <f>IFERROR(INDEX(Työkonekanta!$D$3:$D$27,MATCH('S0a Baseline'!$A509,Työkonekanta!$A$3:$A$24,0),1),"undefined")</f>
        <v>undefined</v>
      </c>
      <c r="E509" s="145">
        <f>IFERROR(INDEX(Työkonekanta!$G$3:$G$27,MATCH($A509,Työkonekanta!$A$3:$A$24,0),1)*INDEX(Työkonekanta!$H$3:$H$27,MATCH($A509,Työkonekanta!$A$3:$A$24,0),1)*$B509,0)</f>
        <v>0</v>
      </c>
      <c r="F509" s="344">
        <f t="shared" si="134"/>
        <v>0</v>
      </c>
      <c r="G509" s="344">
        <f t="shared" si="141"/>
        <v>0</v>
      </c>
      <c r="H509" s="344">
        <f t="shared" si="142"/>
        <v>0</v>
      </c>
      <c r="I509" s="145">
        <f t="shared" si="135"/>
        <v>0</v>
      </c>
      <c r="J509" s="145">
        <f t="shared" si="136"/>
        <v>0</v>
      </c>
      <c r="K509" s="142" t="str">
        <f t="shared" si="144"/>
        <v>undefined</v>
      </c>
      <c r="L509" s="146">
        <f>IFERROR(INDEX(Työkonekanta!$I$3:$I$27,MATCH('S0a Baseline'!$A509,Työkonekanta!$A$3:$A$24,0),1)*(I509+J509)*f_adblue,0)</f>
        <v>0</v>
      </c>
      <c r="M509" s="146">
        <f t="shared" si="127"/>
        <v>0</v>
      </c>
      <c r="N509" s="143" t="str">
        <f>IF(tuulisähkö_vuosi&lt;='S0a Baseline'!C509,"tuulisähkö",ostosähkö_nyt)</f>
        <v>jäännössähkö</v>
      </c>
      <c r="O509" s="147">
        <f>INDEX(Muuttujat!$J$5:$J$21,MATCH($C509,Muuttujat!$H$5:$H$21,0),1)</f>
        <v>58.961085487844883</v>
      </c>
      <c r="P509" s="342">
        <f>1-(INDEX(Muuttujat!$O$5:$O$21,MATCH($C509,Muuttujat!$N$5:$N$21,0),1))</f>
        <v>0.9</v>
      </c>
      <c r="Q509" s="342">
        <f>INDEX(Muuttujat!$O$5:$O$21,MATCH($C509,Muuttujat!$N$5:$N$21,0),1)</f>
        <v>0.1</v>
      </c>
      <c r="R509" s="148">
        <f>INDEX(Muuttujat!$P$5:$P$21,MATCH($C509,Muuttujat!$N$5:$N$21,0),1)</f>
        <v>0.10417875759940039</v>
      </c>
      <c r="S509" s="149">
        <f t="shared" si="137"/>
        <v>0</v>
      </c>
      <c r="T509" s="150">
        <f t="shared" si="138"/>
        <v>0</v>
      </c>
      <c r="U509" s="150">
        <f t="shared" si="139"/>
        <v>0</v>
      </c>
      <c r="V509" s="150">
        <f>IFERROR(INDEX(Työkonekanta!$J$3:$J$27,MATCH($A509,Työkonekanta!$A$3:$A$24,0),1)*$B509*ef_li_ion_akku/1000/1000/INDEX(Työkonekanta!$K$3:$K$27,MATCH($A509,Työkonekanta!$A$3:$A$24,0)),0)</f>
        <v>0</v>
      </c>
      <c r="W509" s="149">
        <f t="shared" si="140"/>
        <v>0</v>
      </c>
      <c r="X509" s="150">
        <f t="shared" si="128"/>
        <v>0</v>
      </c>
      <c r="Y509" s="151">
        <f t="shared" si="129"/>
        <v>0</v>
      </c>
      <c r="Z509" s="152">
        <f t="shared" si="143"/>
        <v>0</v>
      </c>
      <c r="AA509" s="153">
        <f t="shared" si="145"/>
        <v>0</v>
      </c>
      <c r="AB509" s="153">
        <f t="shared" si="146"/>
        <v>0</v>
      </c>
      <c r="AC509" s="154">
        <f t="shared" si="147"/>
        <v>0</v>
      </c>
      <c r="AD509" s="156">
        <f t="shared" si="148"/>
        <v>0</v>
      </c>
    </row>
    <row r="510" spans="1:30" s="144" customFormat="1">
      <c r="A510" s="139">
        <v>28</v>
      </c>
      <c r="B510" s="139">
        <f>IFERROR(INDEX(Työkonekanta!$F$3:$F$27,MATCH('S0a Baseline'!$A510,Työkonekanta!$A$3:$A$24,0),1),0)</f>
        <v>0</v>
      </c>
      <c r="C510" s="140">
        <v>2035</v>
      </c>
      <c r="D510" s="141" t="str">
        <f>IFERROR(INDEX(Työkonekanta!$D$3:$D$27,MATCH('S0a Baseline'!$A510,Työkonekanta!$A$3:$A$24,0),1),"undefined")</f>
        <v>undefined</v>
      </c>
      <c r="E510" s="145">
        <f>IFERROR(INDEX(Työkonekanta!$G$3:$G$27,MATCH($A510,Työkonekanta!$A$3:$A$24,0),1)*INDEX(Työkonekanta!$H$3:$H$27,MATCH($A510,Työkonekanta!$A$3:$A$24,0),1)*$B510,0)</f>
        <v>0</v>
      </c>
      <c r="F510" s="344">
        <f t="shared" si="134"/>
        <v>0</v>
      </c>
      <c r="G510" s="344">
        <f t="shared" si="141"/>
        <v>0</v>
      </c>
      <c r="H510" s="344">
        <f t="shared" si="142"/>
        <v>0</v>
      </c>
      <c r="I510" s="145">
        <f t="shared" si="135"/>
        <v>0</v>
      </c>
      <c r="J510" s="145">
        <f t="shared" si="136"/>
        <v>0</v>
      </c>
      <c r="K510" s="142" t="str">
        <f t="shared" si="144"/>
        <v>undefined</v>
      </c>
      <c r="L510" s="146">
        <f>IFERROR(INDEX(Työkonekanta!$I$3:$I$27,MATCH('S0a Baseline'!$A510,Työkonekanta!$A$3:$A$24,0),1)*(I510+J510)*f_adblue,0)</f>
        <v>0</v>
      </c>
      <c r="M510" s="146">
        <f t="shared" si="127"/>
        <v>0</v>
      </c>
      <c r="N510" s="143" t="str">
        <f>IF(tuulisähkö_vuosi&lt;='S0a Baseline'!C510,"tuulisähkö",ostosähkö_nyt)</f>
        <v>jäännössähkö</v>
      </c>
      <c r="O510" s="147">
        <f>INDEX(Muuttujat!$J$5:$J$21,MATCH($C510,Muuttujat!$H$5:$H$21,0),1)</f>
        <v>58.961085487844883</v>
      </c>
      <c r="P510" s="342">
        <f>1-(INDEX(Muuttujat!$O$5:$O$21,MATCH($C510,Muuttujat!$N$5:$N$21,0),1))</f>
        <v>0.9</v>
      </c>
      <c r="Q510" s="342">
        <f>INDEX(Muuttujat!$O$5:$O$21,MATCH($C510,Muuttujat!$N$5:$N$21,0),1)</f>
        <v>0.1</v>
      </c>
      <c r="R510" s="148">
        <f>INDEX(Muuttujat!$P$5:$P$21,MATCH($C510,Muuttujat!$N$5:$N$21,0),1)</f>
        <v>0.10417875759940039</v>
      </c>
      <c r="S510" s="149">
        <f t="shared" si="137"/>
        <v>0</v>
      </c>
      <c r="T510" s="150">
        <f t="shared" si="138"/>
        <v>0</v>
      </c>
      <c r="U510" s="150">
        <f t="shared" si="139"/>
        <v>0</v>
      </c>
      <c r="V510" s="150">
        <f>IFERROR(INDEX(Työkonekanta!$J$3:$J$27,MATCH($A510,Työkonekanta!$A$3:$A$24,0),1)*$B510*ef_li_ion_akku/1000/1000/INDEX(Työkonekanta!$K$3:$K$27,MATCH($A510,Työkonekanta!$A$3:$A$24,0)),0)</f>
        <v>0</v>
      </c>
      <c r="W510" s="149">
        <f t="shared" si="140"/>
        <v>0</v>
      </c>
      <c r="X510" s="150">
        <f t="shared" si="128"/>
        <v>0</v>
      </c>
      <c r="Y510" s="151">
        <f t="shared" si="129"/>
        <v>0</v>
      </c>
      <c r="Z510" s="152">
        <f t="shared" si="143"/>
        <v>0</v>
      </c>
      <c r="AA510" s="153">
        <f t="shared" si="145"/>
        <v>0</v>
      </c>
      <c r="AB510" s="153">
        <f t="shared" si="146"/>
        <v>0</v>
      </c>
      <c r="AC510" s="154">
        <f t="shared" si="147"/>
        <v>0</v>
      </c>
      <c r="AD510" s="156">
        <f t="shared" si="148"/>
        <v>0</v>
      </c>
    </row>
    <row r="511" spans="1:30" s="144" customFormat="1">
      <c r="A511" s="139">
        <v>29</v>
      </c>
      <c r="B511" s="139">
        <f>IFERROR(INDEX(Työkonekanta!$F$3:$F$27,MATCH('S0a Baseline'!$A511,Työkonekanta!$A$3:$A$24,0),1),0)</f>
        <v>0</v>
      </c>
      <c r="C511" s="140">
        <v>2035</v>
      </c>
      <c r="D511" s="141" t="str">
        <f>IFERROR(INDEX(Työkonekanta!$D$3:$D$27,MATCH('S0a Baseline'!$A511,Työkonekanta!$A$3:$A$24,0),1),"undefined")</f>
        <v>undefined</v>
      </c>
      <c r="E511" s="145">
        <f>IFERROR(INDEX(Työkonekanta!$G$3:$G$27,MATCH($A511,Työkonekanta!$A$3:$A$24,0),1)*INDEX(Työkonekanta!$H$3:$H$27,MATCH($A511,Työkonekanta!$A$3:$A$24,0),1)*$B511,0)</f>
        <v>0</v>
      </c>
      <c r="F511" s="344">
        <f t="shared" si="134"/>
        <v>0</v>
      </c>
      <c r="G511" s="344">
        <f t="shared" si="141"/>
        <v>0</v>
      </c>
      <c r="H511" s="344">
        <f t="shared" si="142"/>
        <v>0</v>
      </c>
      <c r="I511" s="145">
        <f t="shared" si="135"/>
        <v>0</v>
      </c>
      <c r="J511" s="145">
        <f t="shared" si="136"/>
        <v>0</v>
      </c>
      <c r="K511" s="142" t="str">
        <f t="shared" si="144"/>
        <v>undefined</v>
      </c>
      <c r="L511" s="146">
        <f>IFERROR(INDEX(Työkonekanta!$I$3:$I$27,MATCH('S0a Baseline'!$A511,Työkonekanta!$A$3:$A$24,0),1)*(I511+J511)*f_adblue,0)</f>
        <v>0</v>
      </c>
      <c r="M511" s="146">
        <f t="shared" si="127"/>
        <v>0</v>
      </c>
      <c r="N511" s="143" t="str">
        <f>IF(tuulisähkö_vuosi&lt;='S0a Baseline'!C511,"tuulisähkö",ostosähkö_nyt)</f>
        <v>jäännössähkö</v>
      </c>
      <c r="O511" s="147">
        <f>INDEX(Muuttujat!$J$5:$J$21,MATCH($C511,Muuttujat!$H$5:$H$21,0),1)</f>
        <v>58.961085487844883</v>
      </c>
      <c r="P511" s="342">
        <f>1-(INDEX(Muuttujat!$O$5:$O$21,MATCH($C511,Muuttujat!$N$5:$N$21,0),1))</f>
        <v>0.9</v>
      </c>
      <c r="Q511" s="342">
        <f>INDEX(Muuttujat!$O$5:$O$21,MATCH($C511,Muuttujat!$N$5:$N$21,0),1)</f>
        <v>0.1</v>
      </c>
      <c r="R511" s="148">
        <f>INDEX(Muuttujat!$P$5:$P$21,MATCH($C511,Muuttujat!$N$5:$N$21,0),1)</f>
        <v>0.10417875759940039</v>
      </c>
      <c r="S511" s="149">
        <f t="shared" si="137"/>
        <v>0</v>
      </c>
      <c r="T511" s="150">
        <f t="shared" si="138"/>
        <v>0</v>
      </c>
      <c r="U511" s="150">
        <f t="shared" si="139"/>
        <v>0</v>
      </c>
      <c r="V511" s="150">
        <f>IFERROR(INDEX(Työkonekanta!$J$3:$J$27,MATCH($A511,Työkonekanta!$A$3:$A$24,0),1)*$B511*ef_li_ion_akku/1000/1000/INDEX(Työkonekanta!$K$3:$K$27,MATCH($A511,Työkonekanta!$A$3:$A$24,0)),0)</f>
        <v>0</v>
      </c>
      <c r="W511" s="149">
        <f t="shared" si="140"/>
        <v>0</v>
      </c>
      <c r="X511" s="150">
        <f t="shared" si="128"/>
        <v>0</v>
      </c>
      <c r="Y511" s="151">
        <f t="shared" si="129"/>
        <v>0</v>
      </c>
      <c r="Z511" s="152">
        <f t="shared" si="143"/>
        <v>0</v>
      </c>
      <c r="AA511" s="153">
        <f t="shared" si="145"/>
        <v>0</v>
      </c>
      <c r="AB511" s="153">
        <f t="shared" si="146"/>
        <v>0</v>
      </c>
      <c r="AC511" s="154">
        <f t="shared" si="147"/>
        <v>0</v>
      </c>
      <c r="AD511" s="156">
        <f t="shared" si="148"/>
        <v>0</v>
      </c>
    </row>
    <row r="512" spans="1:30" s="144" customFormat="1">
      <c r="A512" s="165">
        <v>30</v>
      </c>
      <c r="B512" s="165">
        <f>IFERROR(INDEX(Työkonekanta!$F$3:$F$27,MATCH('S0a Baseline'!$A512,Työkonekanta!$A$3:$A$24,0),1),0)</f>
        <v>0</v>
      </c>
      <c r="C512" s="165">
        <v>2035</v>
      </c>
      <c r="D512" s="166" t="str">
        <f>IFERROR(INDEX(Työkonekanta!$D$3:$D$27,MATCH('S0a Baseline'!$A512,Työkonekanta!$A$3:$A$24,0),1),"undefined")</f>
        <v>undefined</v>
      </c>
      <c r="E512" s="167">
        <f>IFERROR(INDEX(Työkonekanta!$G$3:$G$27,MATCH($A512,Työkonekanta!$A$3:$A$24,0),1)*INDEX(Työkonekanta!$H$3:$H$27,MATCH($A512,Työkonekanta!$A$3:$A$24,0),1)*$B512,0)</f>
        <v>0</v>
      </c>
      <c r="F512" s="344">
        <f t="shared" si="134"/>
        <v>0</v>
      </c>
      <c r="G512" s="344">
        <f t="shared" si="141"/>
        <v>0</v>
      </c>
      <c r="H512" s="344">
        <f t="shared" si="142"/>
        <v>0</v>
      </c>
      <c r="I512" s="145">
        <f t="shared" si="135"/>
        <v>0</v>
      </c>
      <c r="J512" s="145">
        <f t="shared" si="136"/>
        <v>0</v>
      </c>
      <c r="K512" s="168" t="str">
        <f t="shared" si="144"/>
        <v>undefined</v>
      </c>
      <c r="L512" s="167">
        <f>IFERROR(INDEX(Työkonekanta!$I$3:$I$27,MATCH('S0a Baseline'!$A512,Työkonekanta!$A$3:$A$24,0),1)*(I512+J512)*f_adblue,0)</f>
        <v>0</v>
      </c>
      <c r="M512" s="167">
        <f t="shared" si="127"/>
        <v>0</v>
      </c>
      <c r="N512" s="169" t="str">
        <f>IF(tuulisähkö_vuosi&lt;='S0a Baseline'!C512,"tuulisähkö",ostosähkö_nyt)</f>
        <v>jäännössähkö</v>
      </c>
      <c r="O512" s="170">
        <f>INDEX(Muuttujat!$J$5:$J$21,MATCH($C512,Muuttujat!$H$5:$H$21,0),1)</f>
        <v>58.961085487844883</v>
      </c>
      <c r="P512" s="342">
        <f>1-(INDEX(Muuttujat!$O$5:$O$21,MATCH($C512,Muuttujat!$N$5:$N$21,0),1))</f>
        <v>0.9</v>
      </c>
      <c r="Q512" s="342">
        <f>INDEX(Muuttujat!$O$5:$O$21,MATCH($C512,Muuttujat!$N$5:$N$21,0),1)</f>
        <v>0.1</v>
      </c>
      <c r="R512" s="171">
        <f>INDEX(Muuttujat!$P$5:$P$21,MATCH($C512,Muuttujat!$N$5:$N$21,0),1)</f>
        <v>0.10417875759940039</v>
      </c>
      <c r="S512" s="149">
        <f t="shared" si="137"/>
        <v>0</v>
      </c>
      <c r="T512" s="150">
        <f t="shared" si="138"/>
        <v>0</v>
      </c>
      <c r="U512" s="173">
        <f t="shared" si="139"/>
        <v>0</v>
      </c>
      <c r="V512" s="173">
        <f>IFERROR(INDEX(Työkonekanta!$J$3:$J$27,MATCH($A512,Työkonekanta!$A$3:$A$24,0),1)*$B512*ef_li_ion_akku/1000/1000/INDEX(Työkonekanta!$K$3:$K$27,MATCH($A512,Työkonekanta!$A$3:$A$24,0)),0)</f>
        <v>0</v>
      </c>
      <c r="W512" s="172">
        <f t="shared" si="140"/>
        <v>0</v>
      </c>
      <c r="X512" s="173">
        <f t="shared" si="128"/>
        <v>0</v>
      </c>
      <c r="Y512" s="174">
        <f t="shared" si="129"/>
        <v>0</v>
      </c>
      <c r="Z512" s="175">
        <f t="shared" si="143"/>
        <v>0</v>
      </c>
      <c r="AA512" s="176">
        <f t="shared" si="145"/>
        <v>0</v>
      </c>
      <c r="AB512" s="176">
        <f t="shared" si="146"/>
        <v>0</v>
      </c>
      <c r="AC512" s="177">
        <f t="shared" si="147"/>
        <v>0</v>
      </c>
      <c r="AD512" s="178">
        <f t="shared" si="148"/>
        <v>0</v>
      </c>
    </row>
    <row r="513" spans="4:30">
      <c r="D513" s="160"/>
      <c r="F513" s="344">
        <f t="shared" si="134"/>
        <v>0</v>
      </c>
      <c r="G513" s="344" t="e">
        <f t="shared" si="141"/>
        <v>#N/A</v>
      </c>
      <c r="H513" s="344" t="e">
        <f t="shared" si="142"/>
        <v>#N/A</v>
      </c>
      <c r="P513" s="342" t="e">
        <f>1-(INDEX(Muuttujat!$O$5:$O$21,MATCH($C513,Muuttujat!$N$5:$N$21,0),1))</f>
        <v>#N/A</v>
      </c>
      <c r="Q513" s="342" t="e">
        <f>INDEX(Muuttujat!$O$5:$O$21,MATCH($C513,Muuttujat!$N$5:$N$21,0),1)</f>
        <v>#N/A</v>
      </c>
      <c r="R513" s="162"/>
      <c r="S513" s="163"/>
      <c r="T513" s="163"/>
      <c r="U513" s="163"/>
      <c r="V513" s="163"/>
      <c r="W513" s="163"/>
      <c r="X513" s="163"/>
      <c r="Y513" s="160"/>
      <c r="Z513" s="164"/>
      <c r="AA513" s="164"/>
      <c r="AB513" s="164"/>
      <c r="AC513" s="164"/>
      <c r="AD513" s="164"/>
    </row>
    <row r="514" spans="4:30">
      <c r="D514" s="160"/>
      <c r="F514" s="344">
        <f t="shared" si="134"/>
        <v>0</v>
      </c>
      <c r="G514" s="344" t="e">
        <f t="shared" si="141"/>
        <v>#N/A</v>
      </c>
      <c r="H514" s="344" t="e">
        <f t="shared" si="142"/>
        <v>#N/A</v>
      </c>
      <c r="P514" s="342" t="e">
        <f>1-(INDEX(Muuttujat!$O$5:$O$21,MATCH($C514,Muuttujat!$N$5:$N$21,0),1))</f>
        <v>#N/A</v>
      </c>
      <c r="Q514" s="342" t="e">
        <f>INDEX(Muuttujat!$O$5:$O$21,MATCH($C514,Muuttujat!$N$5:$N$21,0),1)</f>
        <v>#N/A</v>
      </c>
      <c r="R514" s="162"/>
      <c r="S514" s="163"/>
      <c r="T514" s="163"/>
      <c r="U514" s="163"/>
      <c r="V514" s="163"/>
      <c r="W514" s="163"/>
      <c r="X514" s="163"/>
      <c r="Y514" s="160"/>
      <c r="Z514" s="164"/>
      <c r="AA514" s="164"/>
      <c r="AB514" s="164"/>
      <c r="AC514" s="164"/>
      <c r="AD514" s="164"/>
    </row>
    <row r="515" spans="4:30">
      <c r="D515" s="160"/>
      <c r="F515" s="344">
        <f t="shared" ref="F515:F578" si="149">IF(D515="pom",$E515*hv_pom,0)</f>
        <v>0</v>
      </c>
      <c r="G515" s="344" t="e">
        <f t="shared" si="141"/>
        <v>#N/A</v>
      </c>
      <c r="H515" s="344" t="e">
        <f t="shared" si="142"/>
        <v>#N/A</v>
      </c>
      <c r="P515" s="342" t="e">
        <f>1-(INDEX(Muuttujat!$O$5:$O$21,MATCH($C515,Muuttujat!$N$5:$N$21,0),1))</f>
        <v>#N/A</v>
      </c>
      <c r="Q515" s="342" t="e">
        <f>INDEX(Muuttujat!$O$5:$O$21,MATCH($C515,Muuttujat!$N$5:$N$21,0),1)</f>
        <v>#N/A</v>
      </c>
      <c r="R515" s="162"/>
      <c r="S515" s="163"/>
      <c r="T515" s="163"/>
      <c r="U515" s="163"/>
      <c r="V515" s="163"/>
      <c r="W515" s="163"/>
      <c r="X515" s="163"/>
      <c r="Y515" s="160"/>
      <c r="Z515" s="164"/>
      <c r="AA515" s="164"/>
      <c r="AB515" s="164"/>
      <c r="AC515" s="164"/>
      <c r="AD515" s="164"/>
    </row>
    <row r="516" spans="4:30">
      <c r="D516" s="160"/>
      <c r="F516" s="344">
        <f t="shared" si="149"/>
        <v>0</v>
      </c>
      <c r="G516" s="344" t="e">
        <f t="shared" ref="G516:G579" si="150">$F516*$P516</f>
        <v>#N/A</v>
      </c>
      <c r="H516" s="344" t="e">
        <f t="shared" ref="H516:H579" si="151">$F516*$Q516</f>
        <v>#N/A</v>
      </c>
      <c r="P516" s="342" t="e">
        <f>1-(INDEX(Muuttujat!$O$5:$O$21,MATCH($C516,Muuttujat!$N$5:$N$21,0),1))</f>
        <v>#N/A</v>
      </c>
      <c r="Q516" s="342" t="e">
        <f>INDEX(Muuttujat!$O$5:$O$21,MATCH($C516,Muuttujat!$N$5:$N$21,0),1)</f>
        <v>#N/A</v>
      </c>
      <c r="R516" s="162"/>
      <c r="S516" s="163"/>
      <c r="T516" s="163"/>
      <c r="U516" s="163"/>
      <c r="V516" s="163"/>
      <c r="W516" s="163"/>
      <c r="X516" s="163"/>
      <c r="Y516" s="160"/>
      <c r="Z516" s="164"/>
      <c r="AA516" s="164"/>
      <c r="AB516" s="164"/>
      <c r="AC516" s="164"/>
      <c r="AD516" s="164"/>
    </row>
    <row r="517" spans="4:30">
      <c r="D517" s="160"/>
      <c r="F517" s="344">
        <f t="shared" si="149"/>
        <v>0</v>
      </c>
      <c r="G517" s="344" t="e">
        <f t="shared" si="150"/>
        <v>#N/A</v>
      </c>
      <c r="H517" s="344" t="e">
        <f t="shared" si="151"/>
        <v>#N/A</v>
      </c>
      <c r="P517" s="342" t="e">
        <f>1-(INDEX(Muuttujat!$O$5:$O$21,MATCH($C517,Muuttujat!$N$5:$N$21,0),1))</f>
        <v>#N/A</v>
      </c>
      <c r="Q517" s="342" t="e">
        <f>INDEX(Muuttujat!$O$5:$O$21,MATCH($C517,Muuttujat!$N$5:$N$21,0),1)</f>
        <v>#N/A</v>
      </c>
      <c r="R517" s="162"/>
      <c r="S517" s="163"/>
      <c r="T517" s="163"/>
      <c r="U517" s="163"/>
      <c r="V517" s="163"/>
      <c r="W517" s="163"/>
      <c r="X517" s="163"/>
      <c r="Y517" s="160"/>
      <c r="Z517" s="164"/>
      <c r="AA517" s="164"/>
      <c r="AB517" s="164"/>
      <c r="AC517" s="164"/>
      <c r="AD517" s="164"/>
    </row>
    <row r="518" spans="4:30">
      <c r="D518" s="160"/>
      <c r="F518" s="344">
        <f t="shared" si="149"/>
        <v>0</v>
      </c>
      <c r="G518" s="344" t="e">
        <f t="shared" si="150"/>
        <v>#N/A</v>
      </c>
      <c r="H518" s="344" t="e">
        <f t="shared" si="151"/>
        <v>#N/A</v>
      </c>
      <c r="P518" s="342" t="e">
        <f>1-(INDEX(Muuttujat!$O$5:$O$21,MATCH($C518,Muuttujat!$N$5:$N$21,0),1))</f>
        <v>#N/A</v>
      </c>
      <c r="Q518" s="342" t="e">
        <f>INDEX(Muuttujat!$O$5:$O$21,MATCH($C518,Muuttujat!$N$5:$N$21,0),1)</f>
        <v>#N/A</v>
      </c>
      <c r="R518" s="162"/>
      <c r="S518" s="163"/>
      <c r="T518" s="163"/>
      <c r="U518" s="163"/>
      <c r="V518" s="163"/>
      <c r="W518" s="163"/>
      <c r="X518" s="163"/>
      <c r="Y518" s="160"/>
      <c r="Z518" s="164"/>
      <c r="AA518" s="164"/>
      <c r="AB518" s="164"/>
      <c r="AC518" s="164"/>
      <c r="AD518" s="164"/>
    </row>
    <row r="519" spans="4:30">
      <c r="D519" s="160"/>
      <c r="F519" s="344">
        <f t="shared" si="149"/>
        <v>0</v>
      </c>
      <c r="G519" s="344" t="e">
        <f t="shared" si="150"/>
        <v>#N/A</v>
      </c>
      <c r="H519" s="344" t="e">
        <f t="shared" si="151"/>
        <v>#N/A</v>
      </c>
      <c r="P519" s="342" t="e">
        <f>1-(INDEX(Muuttujat!$O$5:$O$21,MATCH($C519,Muuttujat!$N$5:$N$21,0),1))</f>
        <v>#N/A</v>
      </c>
      <c r="Q519" s="342" t="e">
        <f>INDEX(Muuttujat!$O$5:$O$21,MATCH($C519,Muuttujat!$N$5:$N$21,0),1)</f>
        <v>#N/A</v>
      </c>
      <c r="R519" s="162"/>
      <c r="S519" s="163"/>
      <c r="T519" s="163"/>
      <c r="U519" s="163"/>
      <c r="V519" s="163"/>
      <c r="W519" s="163"/>
      <c r="X519" s="163"/>
      <c r="Y519" s="160"/>
      <c r="Z519" s="164"/>
      <c r="AA519" s="164"/>
      <c r="AB519" s="164"/>
      <c r="AC519" s="164"/>
      <c r="AD519" s="164"/>
    </row>
    <row r="520" spans="4:30">
      <c r="D520" s="160"/>
      <c r="F520" s="344">
        <f t="shared" si="149"/>
        <v>0</v>
      </c>
      <c r="G520" s="344" t="e">
        <f t="shared" si="150"/>
        <v>#N/A</v>
      </c>
      <c r="H520" s="344" t="e">
        <f t="shared" si="151"/>
        <v>#N/A</v>
      </c>
      <c r="P520" s="342" t="e">
        <f>1-(INDEX(Muuttujat!$O$5:$O$21,MATCH($C520,Muuttujat!$N$5:$N$21,0),1))</f>
        <v>#N/A</v>
      </c>
      <c r="Q520" s="342" t="e">
        <f>INDEX(Muuttujat!$O$5:$O$21,MATCH($C520,Muuttujat!$N$5:$N$21,0),1)</f>
        <v>#N/A</v>
      </c>
      <c r="R520" s="162"/>
      <c r="S520" s="163"/>
      <c r="T520" s="163"/>
      <c r="U520" s="163"/>
      <c r="V520" s="163"/>
      <c r="W520" s="163"/>
      <c r="X520" s="163"/>
      <c r="Y520" s="160"/>
      <c r="Z520" s="164"/>
      <c r="AA520" s="164"/>
      <c r="AB520" s="164"/>
      <c r="AC520" s="164"/>
      <c r="AD520" s="164"/>
    </row>
    <row r="521" spans="4:30">
      <c r="D521" s="160"/>
      <c r="F521" s="344">
        <f t="shared" si="149"/>
        <v>0</v>
      </c>
      <c r="G521" s="344" t="e">
        <f t="shared" si="150"/>
        <v>#N/A</v>
      </c>
      <c r="H521" s="344" t="e">
        <f t="shared" si="151"/>
        <v>#N/A</v>
      </c>
      <c r="P521" s="342" t="e">
        <f>1-(INDEX(Muuttujat!$O$5:$O$21,MATCH($C521,Muuttujat!$N$5:$N$21,0),1))</f>
        <v>#N/A</v>
      </c>
      <c r="Q521" s="342" t="e">
        <f>INDEX(Muuttujat!$O$5:$O$21,MATCH($C521,Muuttujat!$N$5:$N$21,0),1)</f>
        <v>#N/A</v>
      </c>
      <c r="R521" s="162"/>
      <c r="S521" s="163"/>
      <c r="T521" s="163"/>
      <c r="U521" s="163"/>
      <c r="V521" s="163"/>
      <c r="W521" s="163"/>
      <c r="X521" s="163"/>
      <c r="Y521" s="160"/>
      <c r="Z521" s="164"/>
      <c r="AA521" s="164"/>
      <c r="AB521" s="164"/>
      <c r="AC521" s="164"/>
      <c r="AD521" s="164"/>
    </row>
    <row r="522" spans="4:30">
      <c r="D522" s="160"/>
      <c r="F522" s="344">
        <f t="shared" si="149"/>
        <v>0</v>
      </c>
      <c r="G522" s="344" t="e">
        <f t="shared" si="150"/>
        <v>#N/A</v>
      </c>
      <c r="H522" s="344" t="e">
        <f t="shared" si="151"/>
        <v>#N/A</v>
      </c>
      <c r="P522" s="342" t="e">
        <f>1-(INDEX(Muuttujat!$O$5:$O$21,MATCH($C522,Muuttujat!$N$5:$N$21,0),1))</f>
        <v>#N/A</v>
      </c>
      <c r="Q522" s="342" t="e">
        <f>INDEX(Muuttujat!$O$5:$O$21,MATCH($C522,Muuttujat!$N$5:$N$21,0),1)</f>
        <v>#N/A</v>
      </c>
      <c r="R522" s="162"/>
      <c r="S522" s="163"/>
      <c r="T522" s="163"/>
      <c r="U522" s="163"/>
      <c r="V522" s="163"/>
      <c r="W522" s="163"/>
      <c r="X522" s="163"/>
      <c r="Y522" s="160"/>
      <c r="Z522" s="164"/>
      <c r="AA522" s="164"/>
      <c r="AB522" s="164"/>
      <c r="AC522" s="164"/>
      <c r="AD522" s="164"/>
    </row>
    <row r="523" spans="4:30">
      <c r="D523" s="160"/>
      <c r="F523" s="344">
        <f t="shared" si="149"/>
        <v>0</v>
      </c>
      <c r="G523" s="344" t="e">
        <f t="shared" si="150"/>
        <v>#N/A</v>
      </c>
      <c r="H523" s="344" t="e">
        <f t="shared" si="151"/>
        <v>#N/A</v>
      </c>
      <c r="P523" s="342" t="e">
        <f>1-(INDEX(Muuttujat!$O$5:$O$21,MATCH($C523,Muuttujat!$N$5:$N$21,0),1))</f>
        <v>#N/A</v>
      </c>
      <c r="Q523" s="342" t="e">
        <f>INDEX(Muuttujat!$O$5:$O$21,MATCH($C523,Muuttujat!$N$5:$N$21,0),1)</f>
        <v>#N/A</v>
      </c>
      <c r="R523" s="162"/>
      <c r="S523" s="163"/>
      <c r="T523" s="163"/>
      <c r="U523" s="163"/>
      <c r="V523" s="163"/>
      <c r="W523" s="163"/>
      <c r="X523" s="163"/>
      <c r="Y523" s="160"/>
      <c r="Z523" s="164"/>
      <c r="AA523" s="164"/>
      <c r="AB523" s="164"/>
      <c r="AC523" s="164"/>
      <c r="AD523" s="164"/>
    </row>
    <row r="524" spans="4:30">
      <c r="D524" s="160"/>
      <c r="F524" s="344">
        <f t="shared" si="149"/>
        <v>0</v>
      </c>
      <c r="G524" s="344" t="e">
        <f t="shared" si="150"/>
        <v>#N/A</v>
      </c>
      <c r="H524" s="344" t="e">
        <f t="shared" si="151"/>
        <v>#N/A</v>
      </c>
      <c r="P524" s="342" t="e">
        <f>1-(INDEX(Muuttujat!$O$5:$O$21,MATCH($C524,Muuttujat!$N$5:$N$21,0),1))</f>
        <v>#N/A</v>
      </c>
      <c r="Q524" s="342" t="e">
        <f>INDEX(Muuttujat!$O$5:$O$21,MATCH($C524,Muuttujat!$N$5:$N$21,0),1)</f>
        <v>#N/A</v>
      </c>
      <c r="R524" s="162"/>
      <c r="S524" s="163"/>
      <c r="T524" s="163"/>
      <c r="U524" s="163"/>
      <c r="V524" s="163"/>
      <c r="W524" s="163"/>
      <c r="X524" s="163"/>
      <c r="Y524" s="160"/>
      <c r="Z524" s="164"/>
      <c r="AA524" s="164"/>
      <c r="AB524" s="164"/>
      <c r="AC524" s="164"/>
      <c r="AD524" s="164"/>
    </row>
    <row r="525" spans="4:30">
      <c r="D525" s="160"/>
      <c r="F525" s="344">
        <f t="shared" si="149"/>
        <v>0</v>
      </c>
      <c r="G525" s="344" t="e">
        <f t="shared" si="150"/>
        <v>#N/A</v>
      </c>
      <c r="H525" s="344" t="e">
        <f t="shared" si="151"/>
        <v>#N/A</v>
      </c>
      <c r="P525" s="342" t="e">
        <f>1-(INDEX(Muuttujat!$O$5:$O$21,MATCH($C525,Muuttujat!$N$5:$N$21,0),1))</f>
        <v>#N/A</v>
      </c>
      <c r="Q525" s="342" t="e">
        <f>INDEX(Muuttujat!$O$5:$O$21,MATCH($C525,Muuttujat!$N$5:$N$21,0),1)</f>
        <v>#N/A</v>
      </c>
      <c r="R525" s="162"/>
      <c r="S525" s="163"/>
      <c r="T525" s="163"/>
      <c r="U525" s="163"/>
      <c r="V525" s="163"/>
      <c r="W525" s="163"/>
      <c r="X525" s="163"/>
      <c r="Y525" s="160"/>
      <c r="Z525" s="164"/>
      <c r="AA525" s="164"/>
      <c r="AB525" s="164"/>
      <c r="AC525" s="164"/>
      <c r="AD525" s="164"/>
    </row>
    <row r="526" spans="4:30">
      <c r="D526" s="160"/>
      <c r="F526" s="344">
        <f t="shared" si="149"/>
        <v>0</v>
      </c>
      <c r="G526" s="344" t="e">
        <f t="shared" si="150"/>
        <v>#N/A</v>
      </c>
      <c r="H526" s="344" t="e">
        <f t="shared" si="151"/>
        <v>#N/A</v>
      </c>
      <c r="P526" s="342" t="e">
        <f>1-(INDEX(Muuttujat!$O$5:$O$21,MATCH($C526,Muuttujat!$N$5:$N$21,0),1))</f>
        <v>#N/A</v>
      </c>
      <c r="Q526" s="342" t="e">
        <f>INDEX(Muuttujat!$O$5:$O$21,MATCH($C526,Muuttujat!$N$5:$N$21,0),1)</f>
        <v>#N/A</v>
      </c>
      <c r="R526" s="162"/>
      <c r="S526" s="163"/>
      <c r="T526" s="163"/>
      <c r="U526" s="163"/>
      <c r="V526" s="163"/>
      <c r="W526" s="163"/>
      <c r="X526" s="163"/>
      <c r="Y526" s="160"/>
      <c r="Z526" s="164"/>
      <c r="AA526" s="164"/>
      <c r="AB526" s="164"/>
      <c r="AC526" s="164"/>
      <c r="AD526" s="164"/>
    </row>
    <row r="527" spans="4:30">
      <c r="D527" s="160"/>
      <c r="F527" s="344">
        <f t="shared" si="149"/>
        <v>0</v>
      </c>
      <c r="G527" s="344" t="e">
        <f t="shared" si="150"/>
        <v>#N/A</v>
      </c>
      <c r="H527" s="344" t="e">
        <f t="shared" si="151"/>
        <v>#N/A</v>
      </c>
      <c r="P527" s="342" t="e">
        <f>1-(INDEX(Muuttujat!$O$5:$O$21,MATCH($C527,Muuttujat!$N$5:$N$21,0),1))</f>
        <v>#N/A</v>
      </c>
      <c r="Q527" s="342" t="e">
        <f>INDEX(Muuttujat!$O$5:$O$21,MATCH($C527,Muuttujat!$N$5:$N$21,0),1)</f>
        <v>#N/A</v>
      </c>
      <c r="R527" s="162"/>
      <c r="S527" s="163"/>
      <c r="T527" s="163"/>
      <c r="U527" s="163"/>
      <c r="V527" s="163"/>
      <c r="W527" s="163"/>
      <c r="X527" s="163"/>
      <c r="Y527" s="160"/>
      <c r="Z527" s="164"/>
      <c r="AA527" s="164"/>
      <c r="AB527" s="164"/>
      <c r="AC527" s="164"/>
      <c r="AD527" s="164"/>
    </row>
    <row r="528" spans="4:30">
      <c r="D528" s="160"/>
      <c r="F528" s="344">
        <f t="shared" si="149"/>
        <v>0</v>
      </c>
      <c r="G528" s="344" t="e">
        <f t="shared" si="150"/>
        <v>#N/A</v>
      </c>
      <c r="H528" s="344" t="e">
        <f t="shared" si="151"/>
        <v>#N/A</v>
      </c>
      <c r="P528" s="342" t="e">
        <f>1-(INDEX(Muuttujat!$O$5:$O$21,MATCH($C528,Muuttujat!$N$5:$N$21,0),1))</f>
        <v>#N/A</v>
      </c>
      <c r="Q528" s="342" t="e">
        <f>INDEX(Muuttujat!$O$5:$O$21,MATCH($C528,Muuttujat!$N$5:$N$21,0),1)</f>
        <v>#N/A</v>
      </c>
      <c r="R528" s="162"/>
      <c r="S528" s="163"/>
      <c r="T528" s="163"/>
      <c r="U528" s="163"/>
      <c r="V528" s="163"/>
      <c r="W528" s="163"/>
      <c r="X528" s="163"/>
      <c r="Y528" s="160"/>
      <c r="Z528" s="164"/>
      <c r="AA528" s="164"/>
      <c r="AB528" s="164"/>
      <c r="AC528" s="164"/>
      <c r="AD528" s="164"/>
    </row>
    <row r="529" spans="4:30">
      <c r="D529" s="160"/>
      <c r="F529" s="344">
        <f t="shared" si="149"/>
        <v>0</v>
      </c>
      <c r="G529" s="344" t="e">
        <f t="shared" si="150"/>
        <v>#N/A</v>
      </c>
      <c r="H529" s="344" t="e">
        <f t="shared" si="151"/>
        <v>#N/A</v>
      </c>
      <c r="P529" s="342" t="e">
        <f>1-(INDEX(Muuttujat!$O$5:$O$21,MATCH($C529,Muuttujat!$N$5:$N$21,0),1))</f>
        <v>#N/A</v>
      </c>
      <c r="Q529" s="342" t="e">
        <f>INDEX(Muuttujat!$O$5:$O$21,MATCH($C529,Muuttujat!$N$5:$N$21,0),1)</f>
        <v>#N/A</v>
      </c>
      <c r="R529" s="162"/>
      <c r="S529" s="163"/>
      <c r="T529" s="163"/>
      <c r="U529" s="163"/>
      <c r="V529" s="163"/>
      <c r="W529" s="163"/>
      <c r="X529" s="163"/>
      <c r="Y529" s="160"/>
      <c r="Z529" s="164"/>
      <c r="AA529" s="164"/>
      <c r="AB529" s="164"/>
      <c r="AC529" s="164"/>
      <c r="AD529" s="164"/>
    </row>
    <row r="530" spans="4:30">
      <c r="D530" s="160"/>
      <c r="F530" s="344">
        <f t="shared" si="149"/>
        <v>0</v>
      </c>
      <c r="G530" s="344" t="e">
        <f t="shared" si="150"/>
        <v>#N/A</v>
      </c>
      <c r="H530" s="344" t="e">
        <f t="shared" si="151"/>
        <v>#N/A</v>
      </c>
      <c r="P530" s="342" t="e">
        <f>1-(INDEX(Muuttujat!$O$5:$O$21,MATCH($C530,Muuttujat!$N$5:$N$21,0),1))</f>
        <v>#N/A</v>
      </c>
      <c r="Q530" s="342" t="e">
        <f>INDEX(Muuttujat!$O$5:$O$21,MATCH($C530,Muuttujat!$N$5:$N$21,0),1)</f>
        <v>#N/A</v>
      </c>
      <c r="R530" s="162"/>
      <c r="S530" s="163"/>
      <c r="T530" s="163"/>
      <c r="U530" s="163"/>
      <c r="V530" s="163"/>
      <c r="W530" s="163"/>
      <c r="X530" s="163"/>
      <c r="Y530" s="160"/>
      <c r="Z530" s="164"/>
      <c r="AA530" s="164"/>
      <c r="AB530" s="164"/>
      <c r="AC530" s="164"/>
      <c r="AD530" s="164"/>
    </row>
    <row r="531" spans="4:30">
      <c r="D531" s="160"/>
      <c r="F531" s="344">
        <f t="shared" si="149"/>
        <v>0</v>
      </c>
      <c r="G531" s="344" t="e">
        <f t="shared" si="150"/>
        <v>#N/A</v>
      </c>
      <c r="H531" s="344" t="e">
        <f t="shared" si="151"/>
        <v>#N/A</v>
      </c>
      <c r="P531" s="342" t="e">
        <f>1-(INDEX(Muuttujat!$O$5:$O$21,MATCH($C531,Muuttujat!$N$5:$N$21,0),1))</f>
        <v>#N/A</v>
      </c>
      <c r="Q531" s="342" t="e">
        <f>INDEX(Muuttujat!$O$5:$O$21,MATCH($C531,Muuttujat!$N$5:$N$21,0),1)</f>
        <v>#N/A</v>
      </c>
      <c r="R531" s="162"/>
      <c r="S531" s="163"/>
      <c r="T531" s="163"/>
      <c r="U531" s="163"/>
      <c r="V531" s="163"/>
      <c r="W531" s="163"/>
      <c r="X531" s="163"/>
      <c r="Y531" s="160"/>
      <c r="Z531" s="164"/>
      <c r="AA531" s="164"/>
      <c r="AB531" s="164"/>
      <c r="AC531" s="164"/>
      <c r="AD531" s="164"/>
    </row>
    <row r="532" spans="4:30">
      <c r="D532" s="160"/>
      <c r="F532" s="344">
        <f t="shared" si="149"/>
        <v>0</v>
      </c>
      <c r="G532" s="344" t="e">
        <f t="shared" si="150"/>
        <v>#N/A</v>
      </c>
      <c r="H532" s="344" t="e">
        <f t="shared" si="151"/>
        <v>#N/A</v>
      </c>
      <c r="P532" s="342" t="e">
        <f>1-(INDEX(Muuttujat!$O$5:$O$21,MATCH($C532,Muuttujat!$N$5:$N$21,0),1))</f>
        <v>#N/A</v>
      </c>
      <c r="Q532" s="342" t="e">
        <f>INDEX(Muuttujat!$O$5:$O$21,MATCH($C532,Muuttujat!$N$5:$N$21,0),1)</f>
        <v>#N/A</v>
      </c>
      <c r="R532" s="162"/>
      <c r="S532" s="163"/>
      <c r="T532" s="163"/>
      <c r="U532" s="163"/>
      <c r="V532" s="163"/>
      <c r="W532" s="163"/>
      <c r="X532" s="163"/>
      <c r="Y532" s="160"/>
      <c r="Z532" s="164"/>
      <c r="AA532" s="164"/>
      <c r="AB532" s="164"/>
      <c r="AC532" s="164"/>
      <c r="AD532" s="164"/>
    </row>
    <row r="533" spans="4:30">
      <c r="D533" s="160"/>
      <c r="F533" s="344">
        <f t="shared" si="149"/>
        <v>0</v>
      </c>
      <c r="G533" s="344" t="e">
        <f t="shared" si="150"/>
        <v>#N/A</v>
      </c>
      <c r="H533" s="344" t="e">
        <f t="shared" si="151"/>
        <v>#N/A</v>
      </c>
      <c r="P533" s="342" t="e">
        <f>1-(INDEX(Muuttujat!$O$5:$O$21,MATCH($C533,Muuttujat!$N$5:$N$21,0),1))</f>
        <v>#N/A</v>
      </c>
      <c r="Q533" s="342" t="e">
        <f>INDEX(Muuttujat!$O$5:$O$21,MATCH($C533,Muuttujat!$N$5:$N$21,0),1)</f>
        <v>#N/A</v>
      </c>
      <c r="R533" s="162"/>
      <c r="S533" s="163"/>
      <c r="T533" s="163"/>
      <c r="U533" s="163"/>
      <c r="V533" s="163"/>
      <c r="W533" s="163"/>
      <c r="X533" s="163"/>
      <c r="Y533" s="160"/>
      <c r="Z533" s="164"/>
      <c r="AA533" s="164"/>
      <c r="AB533" s="164"/>
      <c r="AC533" s="164"/>
      <c r="AD533" s="164"/>
    </row>
    <row r="534" spans="4:30">
      <c r="D534" s="160"/>
      <c r="F534" s="344">
        <f t="shared" si="149"/>
        <v>0</v>
      </c>
      <c r="G534" s="344" t="e">
        <f t="shared" si="150"/>
        <v>#N/A</v>
      </c>
      <c r="H534" s="344" t="e">
        <f t="shared" si="151"/>
        <v>#N/A</v>
      </c>
      <c r="P534" s="342" t="e">
        <f>1-(INDEX(Muuttujat!$O$5:$O$21,MATCH($C534,Muuttujat!$N$5:$N$21,0),1))</f>
        <v>#N/A</v>
      </c>
      <c r="Q534" s="342" t="e">
        <f>INDEX(Muuttujat!$O$5:$O$21,MATCH($C534,Muuttujat!$N$5:$N$21,0),1)</f>
        <v>#N/A</v>
      </c>
      <c r="R534" s="162"/>
      <c r="S534" s="163"/>
      <c r="T534" s="163"/>
      <c r="U534" s="163"/>
      <c r="V534" s="163"/>
      <c r="W534" s="163"/>
      <c r="X534" s="163"/>
      <c r="Y534" s="160"/>
      <c r="Z534" s="164"/>
      <c r="AA534" s="164"/>
      <c r="AB534" s="164"/>
      <c r="AC534" s="164"/>
      <c r="AD534" s="164"/>
    </row>
    <row r="535" spans="4:30">
      <c r="D535" s="160"/>
      <c r="F535" s="344">
        <f t="shared" si="149"/>
        <v>0</v>
      </c>
      <c r="G535" s="344" t="e">
        <f t="shared" si="150"/>
        <v>#N/A</v>
      </c>
      <c r="H535" s="344" t="e">
        <f t="shared" si="151"/>
        <v>#N/A</v>
      </c>
      <c r="P535" s="342" t="e">
        <f>1-(INDEX(Muuttujat!$O$5:$O$21,MATCH($C535,Muuttujat!$N$5:$N$21,0),1))</f>
        <v>#N/A</v>
      </c>
      <c r="Q535" s="342" t="e">
        <f>INDEX(Muuttujat!$O$5:$O$21,MATCH($C535,Muuttujat!$N$5:$N$21,0),1)</f>
        <v>#N/A</v>
      </c>
      <c r="R535" s="162"/>
      <c r="S535" s="163"/>
      <c r="T535" s="163"/>
      <c r="U535" s="163"/>
      <c r="V535" s="163"/>
      <c r="W535" s="163"/>
      <c r="X535" s="163"/>
      <c r="Y535" s="160"/>
      <c r="Z535" s="164"/>
      <c r="AA535" s="164"/>
      <c r="AB535" s="164"/>
      <c r="AC535" s="164"/>
      <c r="AD535" s="164"/>
    </row>
    <row r="536" spans="4:30">
      <c r="D536" s="160"/>
      <c r="F536" s="344">
        <f t="shared" si="149"/>
        <v>0</v>
      </c>
      <c r="G536" s="344" t="e">
        <f t="shared" si="150"/>
        <v>#N/A</v>
      </c>
      <c r="H536" s="344" t="e">
        <f t="shared" si="151"/>
        <v>#N/A</v>
      </c>
      <c r="P536" s="342" t="e">
        <f>1-(INDEX(Muuttujat!$O$5:$O$21,MATCH($C536,Muuttujat!$N$5:$N$21,0),1))</f>
        <v>#N/A</v>
      </c>
      <c r="Q536" s="342" t="e">
        <f>INDEX(Muuttujat!$O$5:$O$21,MATCH($C536,Muuttujat!$N$5:$N$21,0),1)</f>
        <v>#N/A</v>
      </c>
      <c r="R536" s="162"/>
      <c r="S536" s="163"/>
      <c r="T536" s="163"/>
      <c r="U536" s="163"/>
      <c r="V536" s="163"/>
      <c r="W536" s="163"/>
      <c r="X536" s="163"/>
      <c r="Y536" s="160"/>
      <c r="Z536" s="164"/>
      <c r="AA536" s="164"/>
      <c r="AB536" s="164"/>
      <c r="AC536" s="164"/>
      <c r="AD536" s="164"/>
    </row>
    <row r="537" spans="4:30">
      <c r="D537" s="160"/>
      <c r="F537" s="344">
        <f t="shared" si="149"/>
        <v>0</v>
      </c>
      <c r="G537" s="344" t="e">
        <f t="shared" si="150"/>
        <v>#N/A</v>
      </c>
      <c r="H537" s="344" t="e">
        <f t="shared" si="151"/>
        <v>#N/A</v>
      </c>
      <c r="P537" s="342" t="e">
        <f>1-(INDEX(Muuttujat!$O$5:$O$21,MATCH($C537,Muuttujat!$N$5:$N$21,0),1))</f>
        <v>#N/A</v>
      </c>
      <c r="Q537" s="342" t="e">
        <f>INDEX(Muuttujat!$O$5:$O$21,MATCH($C537,Muuttujat!$N$5:$N$21,0),1)</f>
        <v>#N/A</v>
      </c>
      <c r="R537" s="162"/>
      <c r="S537" s="163"/>
      <c r="T537" s="163"/>
      <c r="U537" s="163"/>
      <c r="V537" s="163"/>
      <c r="W537" s="163"/>
      <c r="X537" s="163"/>
      <c r="Y537" s="160"/>
      <c r="Z537" s="164"/>
      <c r="AA537" s="164"/>
      <c r="AB537" s="164"/>
      <c r="AC537" s="164"/>
      <c r="AD537" s="164"/>
    </row>
    <row r="538" spans="4:30">
      <c r="D538" s="160"/>
      <c r="F538" s="344">
        <f t="shared" si="149"/>
        <v>0</v>
      </c>
      <c r="G538" s="344" t="e">
        <f t="shared" si="150"/>
        <v>#N/A</v>
      </c>
      <c r="H538" s="344" t="e">
        <f t="shared" si="151"/>
        <v>#N/A</v>
      </c>
      <c r="P538" s="342" t="e">
        <f>1-(INDEX(Muuttujat!$O$5:$O$21,MATCH($C538,Muuttujat!$N$5:$N$21,0),1))</f>
        <v>#N/A</v>
      </c>
      <c r="Q538" s="342" t="e">
        <f>INDEX(Muuttujat!$O$5:$O$21,MATCH($C538,Muuttujat!$N$5:$N$21,0),1)</f>
        <v>#N/A</v>
      </c>
      <c r="R538" s="162"/>
      <c r="S538" s="163"/>
      <c r="T538" s="163"/>
      <c r="U538" s="163"/>
      <c r="V538" s="163"/>
      <c r="W538" s="163"/>
      <c r="X538" s="163"/>
      <c r="Y538" s="160"/>
      <c r="Z538" s="164"/>
      <c r="AA538" s="164"/>
      <c r="AB538" s="164"/>
      <c r="AC538" s="164"/>
      <c r="AD538" s="164"/>
    </row>
    <row r="539" spans="4:30">
      <c r="D539" s="160"/>
      <c r="F539" s="344">
        <f t="shared" si="149"/>
        <v>0</v>
      </c>
      <c r="G539" s="344" t="e">
        <f t="shared" si="150"/>
        <v>#N/A</v>
      </c>
      <c r="H539" s="344" t="e">
        <f t="shared" si="151"/>
        <v>#N/A</v>
      </c>
      <c r="P539" s="342" t="e">
        <f>1-(INDEX(Muuttujat!$O$5:$O$21,MATCH($C539,Muuttujat!$N$5:$N$21,0),1))</f>
        <v>#N/A</v>
      </c>
      <c r="Q539" s="342" t="e">
        <f>INDEX(Muuttujat!$O$5:$O$21,MATCH($C539,Muuttujat!$N$5:$N$21,0),1)</f>
        <v>#N/A</v>
      </c>
      <c r="R539" s="162"/>
      <c r="S539" s="163"/>
      <c r="T539" s="163"/>
      <c r="U539" s="163"/>
      <c r="V539" s="163"/>
      <c r="W539" s="163"/>
      <c r="X539" s="163"/>
      <c r="Y539" s="160"/>
      <c r="Z539" s="164"/>
      <c r="AA539" s="164"/>
      <c r="AB539" s="164"/>
      <c r="AC539" s="164"/>
      <c r="AD539" s="164"/>
    </row>
    <row r="540" spans="4:30">
      <c r="D540" s="160"/>
      <c r="F540" s="344">
        <f t="shared" si="149"/>
        <v>0</v>
      </c>
      <c r="G540" s="344" t="e">
        <f t="shared" si="150"/>
        <v>#N/A</v>
      </c>
      <c r="H540" s="344" t="e">
        <f t="shared" si="151"/>
        <v>#N/A</v>
      </c>
      <c r="P540" s="342" t="e">
        <f>1-(INDEX(Muuttujat!$O$5:$O$21,MATCH($C540,Muuttujat!$N$5:$N$21,0),1))</f>
        <v>#N/A</v>
      </c>
      <c r="Q540" s="342" t="e">
        <f>INDEX(Muuttujat!$O$5:$O$21,MATCH($C540,Muuttujat!$N$5:$N$21,0),1)</f>
        <v>#N/A</v>
      </c>
      <c r="R540" s="162"/>
      <c r="S540" s="163"/>
      <c r="T540" s="163"/>
      <c r="U540" s="163"/>
      <c r="V540" s="163"/>
      <c r="W540" s="163"/>
      <c r="X540" s="163"/>
      <c r="Y540" s="160"/>
      <c r="Z540" s="164"/>
      <c r="AA540" s="164"/>
      <c r="AB540" s="164"/>
      <c r="AC540" s="164"/>
      <c r="AD540" s="164"/>
    </row>
    <row r="541" spans="4:30">
      <c r="D541" s="160"/>
      <c r="F541" s="344">
        <f t="shared" si="149"/>
        <v>0</v>
      </c>
      <c r="G541" s="344" t="e">
        <f t="shared" si="150"/>
        <v>#N/A</v>
      </c>
      <c r="H541" s="344" t="e">
        <f t="shared" si="151"/>
        <v>#N/A</v>
      </c>
      <c r="P541" s="342" t="e">
        <f>1-(INDEX(Muuttujat!$O$5:$O$21,MATCH($C541,Muuttujat!$N$5:$N$21,0),1))</f>
        <v>#N/A</v>
      </c>
      <c r="Q541" s="342" t="e">
        <f>INDEX(Muuttujat!$O$5:$O$21,MATCH($C541,Muuttujat!$N$5:$N$21,0),1)</f>
        <v>#N/A</v>
      </c>
      <c r="R541" s="162"/>
      <c r="S541" s="163"/>
      <c r="T541" s="163"/>
      <c r="U541" s="163"/>
      <c r="V541" s="163"/>
      <c r="W541" s="163"/>
      <c r="X541" s="163"/>
      <c r="Y541" s="160"/>
      <c r="Z541" s="164"/>
      <c r="AA541" s="164"/>
      <c r="AB541" s="164"/>
      <c r="AC541" s="164"/>
      <c r="AD541" s="164"/>
    </row>
    <row r="542" spans="4:30">
      <c r="D542" s="160"/>
      <c r="F542" s="344">
        <f t="shared" si="149"/>
        <v>0</v>
      </c>
      <c r="G542" s="344" t="e">
        <f t="shared" si="150"/>
        <v>#N/A</v>
      </c>
      <c r="H542" s="344" t="e">
        <f t="shared" si="151"/>
        <v>#N/A</v>
      </c>
      <c r="P542" s="342" t="e">
        <f>1-(INDEX(Muuttujat!$O$5:$O$21,MATCH($C542,Muuttujat!$N$5:$N$21,0),1))</f>
        <v>#N/A</v>
      </c>
      <c r="Q542" s="342" t="e">
        <f>INDEX(Muuttujat!$O$5:$O$21,MATCH($C542,Muuttujat!$N$5:$N$21,0),1)</f>
        <v>#N/A</v>
      </c>
      <c r="R542" s="162"/>
      <c r="S542" s="163"/>
      <c r="T542" s="163"/>
      <c r="U542" s="163"/>
      <c r="V542" s="163"/>
      <c r="W542" s="163"/>
      <c r="X542" s="163"/>
      <c r="Y542" s="160"/>
      <c r="Z542" s="164"/>
      <c r="AA542" s="164"/>
      <c r="AB542" s="164"/>
      <c r="AC542" s="164"/>
      <c r="AD542" s="164"/>
    </row>
    <row r="543" spans="4:30">
      <c r="D543" s="160"/>
      <c r="F543" s="344">
        <f t="shared" si="149"/>
        <v>0</v>
      </c>
      <c r="G543" s="344" t="e">
        <f t="shared" si="150"/>
        <v>#N/A</v>
      </c>
      <c r="H543" s="344" t="e">
        <f t="shared" si="151"/>
        <v>#N/A</v>
      </c>
      <c r="P543" s="342" t="e">
        <f>1-(INDEX(Muuttujat!$O$5:$O$21,MATCH($C543,Muuttujat!$N$5:$N$21,0),1))</f>
        <v>#N/A</v>
      </c>
      <c r="Q543" s="342" t="e">
        <f>INDEX(Muuttujat!$O$5:$O$21,MATCH($C543,Muuttujat!$N$5:$N$21,0),1)</f>
        <v>#N/A</v>
      </c>
      <c r="R543" s="162"/>
      <c r="S543" s="163"/>
      <c r="T543" s="163"/>
      <c r="U543" s="163"/>
      <c r="V543" s="163"/>
      <c r="W543" s="163"/>
      <c r="X543" s="163"/>
      <c r="Y543" s="160"/>
      <c r="Z543" s="164"/>
      <c r="AA543" s="164"/>
      <c r="AB543" s="164"/>
      <c r="AC543" s="164"/>
      <c r="AD543" s="164"/>
    </row>
    <row r="544" spans="4:30">
      <c r="D544" s="160"/>
      <c r="F544" s="344">
        <f t="shared" si="149"/>
        <v>0</v>
      </c>
      <c r="G544" s="344" t="e">
        <f t="shared" si="150"/>
        <v>#N/A</v>
      </c>
      <c r="H544" s="344" t="e">
        <f t="shared" si="151"/>
        <v>#N/A</v>
      </c>
      <c r="P544" s="342" t="e">
        <f>1-(INDEX(Muuttujat!$O$5:$O$21,MATCH($C544,Muuttujat!$N$5:$N$21,0),1))</f>
        <v>#N/A</v>
      </c>
      <c r="Q544" s="342" t="e">
        <f>INDEX(Muuttujat!$O$5:$O$21,MATCH($C544,Muuttujat!$N$5:$N$21,0),1)</f>
        <v>#N/A</v>
      </c>
      <c r="R544" s="162"/>
      <c r="S544" s="163"/>
      <c r="T544" s="163"/>
      <c r="U544" s="163"/>
      <c r="V544" s="163"/>
      <c r="W544" s="163"/>
      <c r="X544" s="163"/>
      <c r="Y544" s="160"/>
      <c r="Z544" s="164"/>
      <c r="AA544" s="164"/>
      <c r="AB544" s="164"/>
      <c r="AC544" s="164"/>
      <c r="AD544" s="164"/>
    </row>
    <row r="545" spans="4:30">
      <c r="D545" s="160"/>
      <c r="F545" s="344">
        <f t="shared" si="149"/>
        <v>0</v>
      </c>
      <c r="G545" s="344" t="e">
        <f t="shared" si="150"/>
        <v>#N/A</v>
      </c>
      <c r="H545" s="344" t="e">
        <f t="shared" si="151"/>
        <v>#N/A</v>
      </c>
      <c r="P545" s="342" t="e">
        <f>1-(INDEX(Muuttujat!$O$5:$O$21,MATCH($C545,Muuttujat!$N$5:$N$21,0),1))</f>
        <v>#N/A</v>
      </c>
      <c r="Q545" s="342" t="e">
        <f>INDEX(Muuttujat!$O$5:$O$21,MATCH($C545,Muuttujat!$N$5:$N$21,0),1)</f>
        <v>#N/A</v>
      </c>
      <c r="R545" s="162"/>
      <c r="S545" s="163"/>
      <c r="T545" s="163"/>
      <c r="U545" s="163"/>
      <c r="V545" s="163"/>
      <c r="W545" s="163"/>
      <c r="X545" s="163"/>
      <c r="Y545" s="160"/>
      <c r="Z545" s="164"/>
      <c r="AA545" s="164"/>
      <c r="AB545" s="164"/>
      <c r="AC545" s="164"/>
      <c r="AD545" s="164"/>
    </row>
    <row r="546" spans="4:30">
      <c r="D546" s="160"/>
      <c r="F546" s="344">
        <f t="shared" si="149"/>
        <v>0</v>
      </c>
      <c r="G546" s="344" t="e">
        <f t="shared" si="150"/>
        <v>#N/A</v>
      </c>
      <c r="H546" s="344" t="e">
        <f t="shared" si="151"/>
        <v>#N/A</v>
      </c>
      <c r="P546" s="342" t="e">
        <f>1-(INDEX(Muuttujat!$O$5:$O$21,MATCH($C546,Muuttujat!$N$5:$N$21,0),1))</f>
        <v>#N/A</v>
      </c>
      <c r="Q546" s="342" t="e">
        <f>INDEX(Muuttujat!$O$5:$O$21,MATCH($C546,Muuttujat!$N$5:$N$21,0),1)</f>
        <v>#N/A</v>
      </c>
      <c r="R546" s="162"/>
      <c r="S546" s="163"/>
      <c r="T546" s="163"/>
      <c r="U546" s="163"/>
      <c r="V546" s="163"/>
      <c r="W546" s="163"/>
      <c r="X546" s="163"/>
      <c r="Y546" s="160"/>
      <c r="Z546" s="164"/>
      <c r="AA546" s="164"/>
      <c r="AB546" s="164"/>
      <c r="AC546" s="164"/>
      <c r="AD546" s="164"/>
    </row>
    <row r="547" spans="4:30">
      <c r="D547" s="160"/>
      <c r="F547" s="344">
        <f t="shared" si="149"/>
        <v>0</v>
      </c>
      <c r="G547" s="344" t="e">
        <f t="shared" si="150"/>
        <v>#N/A</v>
      </c>
      <c r="H547" s="344" t="e">
        <f t="shared" si="151"/>
        <v>#N/A</v>
      </c>
      <c r="P547" s="342" t="e">
        <f>1-(INDEX(Muuttujat!$O$5:$O$21,MATCH($C547,Muuttujat!$N$5:$N$21,0),1))</f>
        <v>#N/A</v>
      </c>
      <c r="Q547" s="342" t="e">
        <f>INDEX(Muuttujat!$O$5:$O$21,MATCH($C547,Muuttujat!$N$5:$N$21,0),1)</f>
        <v>#N/A</v>
      </c>
      <c r="R547" s="162"/>
      <c r="S547" s="163"/>
      <c r="T547" s="163"/>
      <c r="U547" s="163"/>
      <c r="V547" s="163"/>
      <c r="W547" s="163"/>
      <c r="X547" s="163"/>
      <c r="Y547" s="160"/>
      <c r="Z547" s="164"/>
      <c r="AA547" s="164"/>
      <c r="AB547" s="164"/>
      <c r="AC547" s="164"/>
      <c r="AD547" s="164"/>
    </row>
    <row r="548" spans="4:30">
      <c r="D548" s="160"/>
      <c r="F548" s="344">
        <f t="shared" si="149"/>
        <v>0</v>
      </c>
      <c r="G548" s="344" t="e">
        <f t="shared" si="150"/>
        <v>#N/A</v>
      </c>
      <c r="H548" s="344" t="e">
        <f t="shared" si="151"/>
        <v>#N/A</v>
      </c>
      <c r="P548" s="342" t="e">
        <f>1-(INDEX(Muuttujat!$O$5:$O$21,MATCH($C548,Muuttujat!$N$5:$N$21,0),1))</f>
        <v>#N/A</v>
      </c>
      <c r="Q548" s="342" t="e">
        <f>INDEX(Muuttujat!$O$5:$O$21,MATCH($C548,Muuttujat!$N$5:$N$21,0),1)</f>
        <v>#N/A</v>
      </c>
      <c r="R548" s="162"/>
      <c r="S548" s="163"/>
      <c r="T548" s="163"/>
      <c r="U548" s="163"/>
      <c r="V548" s="163"/>
      <c r="W548" s="163"/>
      <c r="X548" s="163"/>
      <c r="Y548" s="160"/>
      <c r="Z548" s="164"/>
      <c r="AA548" s="164"/>
      <c r="AB548" s="164"/>
      <c r="AC548" s="164"/>
      <c r="AD548" s="164"/>
    </row>
    <row r="549" spans="4:30">
      <c r="D549" s="160"/>
      <c r="F549" s="344">
        <f t="shared" si="149"/>
        <v>0</v>
      </c>
      <c r="G549" s="344" t="e">
        <f t="shared" si="150"/>
        <v>#N/A</v>
      </c>
      <c r="H549" s="344" t="e">
        <f t="shared" si="151"/>
        <v>#N/A</v>
      </c>
      <c r="P549" s="342" t="e">
        <f>1-(INDEX(Muuttujat!$O$5:$O$21,MATCH($C549,Muuttujat!$N$5:$N$21,0),1))</f>
        <v>#N/A</v>
      </c>
      <c r="Q549" s="342" t="e">
        <f>INDEX(Muuttujat!$O$5:$O$21,MATCH($C549,Muuttujat!$N$5:$N$21,0),1)</f>
        <v>#N/A</v>
      </c>
      <c r="R549" s="162"/>
      <c r="S549" s="163"/>
      <c r="T549" s="163"/>
      <c r="U549" s="163"/>
      <c r="V549" s="163"/>
      <c r="W549" s="163"/>
      <c r="X549" s="163"/>
      <c r="Y549" s="160"/>
      <c r="Z549" s="164"/>
      <c r="AA549" s="164"/>
      <c r="AB549" s="164"/>
      <c r="AC549" s="164"/>
      <c r="AD549" s="164"/>
    </row>
    <row r="550" spans="4:30">
      <c r="D550" s="160"/>
      <c r="F550" s="344">
        <f t="shared" si="149"/>
        <v>0</v>
      </c>
      <c r="G550" s="344" t="e">
        <f t="shared" si="150"/>
        <v>#N/A</v>
      </c>
      <c r="H550" s="344" t="e">
        <f t="shared" si="151"/>
        <v>#N/A</v>
      </c>
      <c r="P550" s="342" t="e">
        <f>1-(INDEX(Muuttujat!$O$5:$O$21,MATCH($C550,Muuttujat!$N$5:$N$21,0),1))</f>
        <v>#N/A</v>
      </c>
      <c r="Q550" s="342" t="e">
        <f>INDEX(Muuttujat!$O$5:$O$21,MATCH($C550,Muuttujat!$N$5:$N$21,0),1)</f>
        <v>#N/A</v>
      </c>
      <c r="R550" s="162"/>
      <c r="S550" s="163"/>
      <c r="T550" s="163"/>
      <c r="U550" s="163"/>
      <c r="V550" s="163"/>
      <c r="W550" s="163"/>
      <c r="X550" s="163"/>
      <c r="Y550" s="160"/>
      <c r="Z550" s="164"/>
      <c r="AA550" s="164"/>
      <c r="AB550" s="164"/>
      <c r="AC550" s="164"/>
      <c r="AD550" s="164"/>
    </row>
    <row r="551" spans="4:30">
      <c r="D551" s="160"/>
      <c r="F551" s="344">
        <f t="shared" si="149"/>
        <v>0</v>
      </c>
      <c r="G551" s="344" t="e">
        <f t="shared" si="150"/>
        <v>#N/A</v>
      </c>
      <c r="H551" s="344" t="e">
        <f t="shared" si="151"/>
        <v>#N/A</v>
      </c>
      <c r="P551" s="342" t="e">
        <f>1-(INDEX(Muuttujat!$O$5:$O$21,MATCH($C551,Muuttujat!$N$5:$N$21,0),1))</f>
        <v>#N/A</v>
      </c>
      <c r="Q551" s="342" t="e">
        <f>INDEX(Muuttujat!$O$5:$O$21,MATCH($C551,Muuttujat!$N$5:$N$21,0),1)</f>
        <v>#N/A</v>
      </c>
      <c r="R551" s="162"/>
      <c r="S551" s="163"/>
      <c r="T551" s="163"/>
      <c r="U551" s="163"/>
      <c r="V551" s="163"/>
      <c r="W551" s="163"/>
      <c r="X551" s="163"/>
      <c r="Y551" s="160"/>
      <c r="Z551" s="164"/>
      <c r="AA551" s="164"/>
      <c r="AB551" s="164"/>
      <c r="AC551" s="164"/>
      <c r="AD551" s="164"/>
    </row>
    <row r="552" spans="4:30">
      <c r="D552" s="160"/>
      <c r="F552" s="344">
        <f t="shared" si="149"/>
        <v>0</v>
      </c>
      <c r="G552" s="344" t="e">
        <f t="shared" si="150"/>
        <v>#N/A</v>
      </c>
      <c r="H552" s="344" t="e">
        <f t="shared" si="151"/>
        <v>#N/A</v>
      </c>
      <c r="P552" s="342" t="e">
        <f>1-(INDEX(Muuttujat!$O$5:$O$21,MATCH($C552,Muuttujat!$N$5:$N$21,0),1))</f>
        <v>#N/A</v>
      </c>
      <c r="Q552" s="342" t="e">
        <f>INDEX(Muuttujat!$O$5:$O$21,MATCH($C552,Muuttujat!$N$5:$N$21,0),1)</f>
        <v>#N/A</v>
      </c>
      <c r="R552" s="162"/>
      <c r="S552" s="163"/>
      <c r="T552" s="163"/>
      <c r="U552" s="163"/>
      <c r="V552" s="163"/>
      <c r="W552" s="163"/>
      <c r="X552" s="163"/>
      <c r="Y552" s="160"/>
      <c r="Z552" s="164"/>
      <c r="AA552" s="164"/>
      <c r="AB552" s="164"/>
      <c r="AC552" s="164"/>
      <c r="AD552" s="164"/>
    </row>
    <row r="553" spans="4:30">
      <c r="D553" s="160"/>
      <c r="F553" s="344">
        <f t="shared" si="149"/>
        <v>0</v>
      </c>
      <c r="G553" s="344" t="e">
        <f t="shared" si="150"/>
        <v>#N/A</v>
      </c>
      <c r="H553" s="344" t="e">
        <f t="shared" si="151"/>
        <v>#N/A</v>
      </c>
      <c r="P553" s="342" t="e">
        <f>1-(INDEX(Muuttujat!$O$5:$O$21,MATCH($C553,Muuttujat!$N$5:$N$21,0),1))</f>
        <v>#N/A</v>
      </c>
      <c r="Q553" s="342" t="e">
        <f>INDEX(Muuttujat!$O$5:$O$21,MATCH($C553,Muuttujat!$N$5:$N$21,0),1)</f>
        <v>#N/A</v>
      </c>
      <c r="R553" s="162"/>
      <c r="S553" s="163"/>
      <c r="T553" s="163"/>
      <c r="U553" s="163"/>
      <c r="V553" s="163"/>
      <c r="W553" s="163"/>
      <c r="X553" s="163"/>
      <c r="Y553" s="160"/>
      <c r="Z553" s="164"/>
      <c r="AA553" s="164"/>
      <c r="AB553" s="164"/>
      <c r="AC553" s="164"/>
      <c r="AD553" s="164"/>
    </row>
    <row r="554" spans="4:30">
      <c r="D554" s="160"/>
      <c r="F554" s="344">
        <f t="shared" si="149"/>
        <v>0</v>
      </c>
      <c r="G554" s="344" t="e">
        <f t="shared" si="150"/>
        <v>#N/A</v>
      </c>
      <c r="H554" s="344" t="e">
        <f t="shared" si="151"/>
        <v>#N/A</v>
      </c>
      <c r="P554" s="342" t="e">
        <f>1-(INDEX(Muuttujat!$O$5:$O$21,MATCH($C554,Muuttujat!$N$5:$N$21,0),1))</f>
        <v>#N/A</v>
      </c>
      <c r="Q554" s="342" t="e">
        <f>INDEX(Muuttujat!$O$5:$O$21,MATCH($C554,Muuttujat!$N$5:$N$21,0),1)</f>
        <v>#N/A</v>
      </c>
      <c r="R554" s="162"/>
      <c r="S554" s="163"/>
      <c r="T554" s="163"/>
      <c r="U554" s="163"/>
      <c r="V554" s="163"/>
      <c r="W554" s="163"/>
      <c r="X554" s="163"/>
      <c r="Y554" s="160"/>
      <c r="Z554" s="164"/>
      <c r="AA554" s="164"/>
      <c r="AB554" s="164"/>
      <c r="AC554" s="164"/>
      <c r="AD554" s="164"/>
    </row>
    <row r="555" spans="4:30">
      <c r="D555" s="160"/>
      <c r="F555" s="344">
        <f t="shared" si="149"/>
        <v>0</v>
      </c>
      <c r="G555" s="344" t="e">
        <f t="shared" si="150"/>
        <v>#N/A</v>
      </c>
      <c r="H555" s="344" t="e">
        <f t="shared" si="151"/>
        <v>#N/A</v>
      </c>
      <c r="P555" s="342" t="e">
        <f>1-(INDEX(Muuttujat!$O$5:$O$21,MATCH($C555,Muuttujat!$N$5:$N$21,0),1))</f>
        <v>#N/A</v>
      </c>
      <c r="Q555" s="342" t="e">
        <f>INDEX(Muuttujat!$O$5:$O$21,MATCH($C555,Muuttujat!$N$5:$N$21,0),1)</f>
        <v>#N/A</v>
      </c>
      <c r="R555" s="162"/>
      <c r="S555" s="163"/>
      <c r="T555" s="163"/>
      <c r="U555" s="163"/>
      <c r="V555" s="163"/>
      <c r="W555" s="163"/>
      <c r="X555" s="163"/>
      <c r="Y555" s="160"/>
      <c r="Z555" s="164"/>
      <c r="AA555" s="164"/>
      <c r="AB555" s="164"/>
      <c r="AC555" s="164"/>
      <c r="AD555" s="164"/>
    </row>
    <row r="556" spans="4:30">
      <c r="D556" s="160"/>
      <c r="F556" s="344">
        <f t="shared" si="149"/>
        <v>0</v>
      </c>
      <c r="G556" s="344" t="e">
        <f t="shared" si="150"/>
        <v>#N/A</v>
      </c>
      <c r="H556" s="344" t="e">
        <f t="shared" si="151"/>
        <v>#N/A</v>
      </c>
      <c r="P556" s="342" t="e">
        <f>1-(INDEX(Muuttujat!$O$5:$O$21,MATCH($C556,Muuttujat!$N$5:$N$21,0),1))</f>
        <v>#N/A</v>
      </c>
      <c r="Q556" s="342" t="e">
        <f>INDEX(Muuttujat!$O$5:$O$21,MATCH($C556,Muuttujat!$N$5:$N$21,0),1)</f>
        <v>#N/A</v>
      </c>
      <c r="R556" s="162"/>
      <c r="S556" s="163"/>
      <c r="T556" s="163"/>
      <c r="U556" s="163"/>
      <c r="V556" s="163"/>
      <c r="W556" s="163"/>
      <c r="X556" s="163"/>
      <c r="Y556" s="160"/>
      <c r="Z556" s="164"/>
      <c r="AA556" s="164"/>
      <c r="AB556" s="164"/>
      <c r="AC556" s="164"/>
      <c r="AD556" s="164"/>
    </row>
    <row r="557" spans="4:30">
      <c r="D557" s="160"/>
      <c r="F557" s="344">
        <f t="shared" si="149"/>
        <v>0</v>
      </c>
      <c r="G557" s="344" t="e">
        <f t="shared" si="150"/>
        <v>#N/A</v>
      </c>
      <c r="H557" s="344" t="e">
        <f t="shared" si="151"/>
        <v>#N/A</v>
      </c>
      <c r="P557" s="342" t="e">
        <f>1-(INDEX(Muuttujat!$O$5:$O$21,MATCH($C557,Muuttujat!$N$5:$N$21,0),1))</f>
        <v>#N/A</v>
      </c>
      <c r="Q557" s="342" t="e">
        <f>INDEX(Muuttujat!$O$5:$O$21,MATCH($C557,Muuttujat!$N$5:$N$21,0),1)</f>
        <v>#N/A</v>
      </c>
      <c r="R557" s="162"/>
      <c r="S557" s="163"/>
      <c r="T557" s="163"/>
      <c r="U557" s="163"/>
      <c r="V557" s="163"/>
      <c r="W557" s="163"/>
      <c r="X557" s="163"/>
      <c r="Y557" s="160"/>
      <c r="Z557" s="164"/>
      <c r="AA557" s="164"/>
      <c r="AB557" s="164"/>
      <c r="AC557" s="164"/>
      <c r="AD557" s="164"/>
    </row>
    <row r="558" spans="4:30">
      <c r="D558" s="160"/>
      <c r="F558" s="344">
        <f t="shared" si="149"/>
        <v>0</v>
      </c>
      <c r="G558" s="344" t="e">
        <f t="shared" si="150"/>
        <v>#N/A</v>
      </c>
      <c r="H558" s="344" t="e">
        <f t="shared" si="151"/>
        <v>#N/A</v>
      </c>
      <c r="P558" s="342" t="e">
        <f>1-(INDEX(Muuttujat!$O$5:$O$21,MATCH($C558,Muuttujat!$N$5:$N$21,0),1))</f>
        <v>#N/A</v>
      </c>
      <c r="Q558" s="342" t="e">
        <f>INDEX(Muuttujat!$O$5:$O$21,MATCH($C558,Muuttujat!$N$5:$N$21,0),1)</f>
        <v>#N/A</v>
      </c>
      <c r="R558" s="162"/>
      <c r="S558" s="163"/>
      <c r="T558" s="163"/>
      <c r="U558" s="163"/>
      <c r="V558" s="163"/>
      <c r="W558" s="163"/>
      <c r="X558" s="163"/>
      <c r="Y558" s="160"/>
      <c r="Z558" s="164"/>
      <c r="AA558" s="164"/>
      <c r="AB558" s="164"/>
      <c r="AC558" s="164"/>
      <c r="AD558" s="164"/>
    </row>
    <row r="559" spans="4:30">
      <c r="D559" s="160"/>
      <c r="F559" s="344">
        <f t="shared" si="149"/>
        <v>0</v>
      </c>
      <c r="G559" s="344" t="e">
        <f t="shared" si="150"/>
        <v>#N/A</v>
      </c>
      <c r="H559" s="344" t="e">
        <f t="shared" si="151"/>
        <v>#N/A</v>
      </c>
      <c r="P559" s="342" t="e">
        <f>1-(INDEX(Muuttujat!$O$5:$O$21,MATCH($C559,Muuttujat!$N$5:$N$21,0),1))</f>
        <v>#N/A</v>
      </c>
      <c r="Q559" s="342" t="e">
        <f>INDEX(Muuttujat!$O$5:$O$21,MATCH($C559,Muuttujat!$N$5:$N$21,0),1)</f>
        <v>#N/A</v>
      </c>
      <c r="R559" s="162"/>
      <c r="S559" s="163"/>
      <c r="T559" s="163"/>
      <c r="U559" s="163"/>
      <c r="V559" s="163"/>
      <c r="W559" s="163"/>
      <c r="X559" s="163"/>
      <c r="Y559" s="160"/>
      <c r="Z559" s="164"/>
      <c r="AA559" s="164"/>
      <c r="AB559" s="164"/>
      <c r="AC559" s="164"/>
      <c r="AD559" s="164"/>
    </row>
    <row r="560" spans="4:30">
      <c r="D560" s="160"/>
      <c r="F560" s="344">
        <f t="shared" si="149"/>
        <v>0</v>
      </c>
      <c r="G560" s="344" t="e">
        <f t="shared" si="150"/>
        <v>#N/A</v>
      </c>
      <c r="H560" s="344" t="e">
        <f t="shared" si="151"/>
        <v>#N/A</v>
      </c>
      <c r="P560" s="342" t="e">
        <f>1-(INDEX(Muuttujat!$O$5:$O$21,MATCH($C560,Muuttujat!$N$5:$N$21,0),1))</f>
        <v>#N/A</v>
      </c>
      <c r="Q560" s="342" t="e">
        <f>INDEX(Muuttujat!$O$5:$O$21,MATCH($C560,Muuttujat!$N$5:$N$21,0),1)</f>
        <v>#N/A</v>
      </c>
      <c r="R560" s="162"/>
      <c r="S560" s="163"/>
      <c r="T560" s="163"/>
      <c r="U560" s="163"/>
      <c r="V560" s="163"/>
      <c r="W560" s="163"/>
      <c r="X560" s="163"/>
      <c r="Y560" s="160"/>
      <c r="Z560" s="164"/>
      <c r="AA560" s="164"/>
      <c r="AB560" s="164"/>
      <c r="AC560" s="164"/>
      <c r="AD560" s="164"/>
    </row>
    <row r="561" spans="4:30">
      <c r="D561" s="160"/>
      <c r="F561" s="344">
        <f t="shared" si="149"/>
        <v>0</v>
      </c>
      <c r="G561" s="344" t="e">
        <f t="shared" si="150"/>
        <v>#N/A</v>
      </c>
      <c r="H561" s="344" t="e">
        <f t="shared" si="151"/>
        <v>#N/A</v>
      </c>
      <c r="P561" s="342" t="e">
        <f>1-(INDEX(Muuttujat!$O$5:$O$21,MATCH($C561,Muuttujat!$N$5:$N$21,0),1))</f>
        <v>#N/A</v>
      </c>
      <c r="Q561" s="342" t="e">
        <f>INDEX(Muuttujat!$O$5:$O$21,MATCH($C561,Muuttujat!$N$5:$N$21,0),1)</f>
        <v>#N/A</v>
      </c>
      <c r="R561" s="162"/>
      <c r="S561" s="163"/>
      <c r="T561" s="163"/>
      <c r="U561" s="163"/>
      <c r="V561" s="163"/>
      <c r="W561" s="163"/>
      <c r="X561" s="163"/>
      <c r="Y561" s="160"/>
      <c r="Z561" s="164"/>
      <c r="AA561" s="164"/>
      <c r="AB561" s="164"/>
      <c r="AC561" s="164"/>
      <c r="AD561" s="164"/>
    </row>
    <row r="562" spans="4:30">
      <c r="D562" s="160"/>
      <c r="F562" s="344">
        <f t="shared" si="149"/>
        <v>0</v>
      </c>
      <c r="G562" s="344" t="e">
        <f t="shared" si="150"/>
        <v>#N/A</v>
      </c>
      <c r="H562" s="344" t="e">
        <f t="shared" si="151"/>
        <v>#N/A</v>
      </c>
      <c r="P562" s="342" t="e">
        <f>1-(INDEX(Muuttujat!$O$5:$O$21,MATCH($C562,Muuttujat!$N$5:$N$21,0),1))</f>
        <v>#N/A</v>
      </c>
      <c r="Q562" s="342" t="e">
        <f>INDEX(Muuttujat!$O$5:$O$21,MATCH($C562,Muuttujat!$N$5:$N$21,0),1)</f>
        <v>#N/A</v>
      </c>
      <c r="R562" s="162"/>
      <c r="S562" s="163"/>
      <c r="T562" s="163"/>
      <c r="U562" s="163"/>
      <c r="V562" s="163"/>
      <c r="W562" s="163"/>
      <c r="X562" s="163"/>
      <c r="Y562" s="160"/>
      <c r="Z562" s="164"/>
      <c r="AA562" s="164"/>
      <c r="AB562" s="164"/>
      <c r="AC562" s="164"/>
      <c r="AD562" s="164"/>
    </row>
    <row r="563" spans="4:30">
      <c r="D563" s="160"/>
      <c r="F563" s="344">
        <f t="shared" si="149"/>
        <v>0</v>
      </c>
      <c r="G563" s="344" t="e">
        <f t="shared" si="150"/>
        <v>#N/A</v>
      </c>
      <c r="H563" s="344" t="e">
        <f t="shared" si="151"/>
        <v>#N/A</v>
      </c>
      <c r="P563" s="342" t="e">
        <f>1-(INDEX(Muuttujat!$O$5:$O$21,MATCH($C563,Muuttujat!$N$5:$N$21,0),1))</f>
        <v>#N/A</v>
      </c>
      <c r="Q563" s="342" t="e">
        <f>INDEX(Muuttujat!$O$5:$O$21,MATCH($C563,Muuttujat!$N$5:$N$21,0),1)</f>
        <v>#N/A</v>
      </c>
      <c r="R563" s="162"/>
      <c r="S563" s="163"/>
      <c r="T563" s="163"/>
      <c r="U563" s="163"/>
      <c r="V563" s="163"/>
      <c r="W563" s="163"/>
      <c r="X563" s="163"/>
      <c r="Y563" s="160"/>
      <c r="Z563" s="164"/>
      <c r="AA563" s="164"/>
      <c r="AB563" s="164"/>
      <c r="AC563" s="164"/>
      <c r="AD563" s="164"/>
    </row>
    <row r="564" spans="4:30">
      <c r="D564" s="160"/>
      <c r="F564" s="344">
        <f t="shared" si="149"/>
        <v>0</v>
      </c>
      <c r="G564" s="344" t="e">
        <f t="shared" si="150"/>
        <v>#N/A</v>
      </c>
      <c r="H564" s="344" t="e">
        <f t="shared" si="151"/>
        <v>#N/A</v>
      </c>
      <c r="P564" s="342" t="e">
        <f>1-(INDEX(Muuttujat!$O$5:$O$21,MATCH($C564,Muuttujat!$N$5:$N$21,0),1))</f>
        <v>#N/A</v>
      </c>
      <c r="Q564" s="342" t="e">
        <f>INDEX(Muuttujat!$O$5:$O$21,MATCH($C564,Muuttujat!$N$5:$N$21,0),1)</f>
        <v>#N/A</v>
      </c>
      <c r="R564" s="162"/>
      <c r="S564" s="163"/>
      <c r="T564" s="163"/>
      <c r="U564" s="163"/>
      <c r="V564" s="163"/>
      <c r="W564" s="163"/>
      <c r="X564" s="163"/>
      <c r="Y564" s="160"/>
      <c r="Z564" s="164"/>
      <c r="AA564" s="164"/>
      <c r="AB564" s="164"/>
      <c r="AC564" s="164"/>
      <c r="AD564" s="164"/>
    </row>
    <row r="565" spans="4:30">
      <c r="D565" s="160"/>
      <c r="F565" s="344">
        <f t="shared" si="149"/>
        <v>0</v>
      </c>
      <c r="G565" s="344" t="e">
        <f t="shared" si="150"/>
        <v>#N/A</v>
      </c>
      <c r="H565" s="344" t="e">
        <f t="shared" si="151"/>
        <v>#N/A</v>
      </c>
      <c r="P565" s="342" t="e">
        <f>1-(INDEX(Muuttujat!$O$5:$O$21,MATCH($C565,Muuttujat!$N$5:$N$21,0),1))</f>
        <v>#N/A</v>
      </c>
      <c r="Q565" s="342" t="e">
        <f>INDEX(Muuttujat!$O$5:$O$21,MATCH($C565,Muuttujat!$N$5:$N$21,0),1)</f>
        <v>#N/A</v>
      </c>
      <c r="R565" s="162"/>
      <c r="S565" s="163"/>
      <c r="T565" s="163"/>
      <c r="U565" s="163"/>
      <c r="V565" s="163"/>
      <c r="W565" s="163"/>
      <c r="X565" s="163"/>
      <c r="Y565" s="160"/>
      <c r="Z565" s="164"/>
      <c r="AA565" s="164"/>
      <c r="AB565" s="164"/>
      <c r="AC565" s="164"/>
      <c r="AD565" s="164"/>
    </row>
    <row r="566" spans="4:30">
      <c r="D566" s="160"/>
      <c r="F566" s="344">
        <f t="shared" si="149"/>
        <v>0</v>
      </c>
      <c r="G566" s="344" t="e">
        <f t="shared" si="150"/>
        <v>#N/A</v>
      </c>
      <c r="H566" s="344" t="e">
        <f t="shared" si="151"/>
        <v>#N/A</v>
      </c>
      <c r="P566" s="342" t="e">
        <f>1-(INDEX(Muuttujat!$O$5:$O$21,MATCH($C566,Muuttujat!$N$5:$N$21,0),1))</f>
        <v>#N/A</v>
      </c>
      <c r="Q566" s="342" t="e">
        <f>INDEX(Muuttujat!$O$5:$O$21,MATCH($C566,Muuttujat!$N$5:$N$21,0),1)</f>
        <v>#N/A</v>
      </c>
      <c r="R566" s="162"/>
      <c r="S566" s="163"/>
      <c r="T566" s="163"/>
      <c r="U566" s="163"/>
      <c r="V566" s="163"/>
      <c r="W566" s="163"/>
      <c r="X566" s="163"/>
      <c r="Y566" s="160"/>
      <c r="Z566" s="164"/>
      <c r="AA566" s="164"/>
      <c r="AB566" s="164"/>
      <c r="AC566" s="164"/>
      <c r="AD566" s="164"/>
    </row>
    <row r="567" spans="4:30">
      <c r="D567" s="160"/>
      <c r="F567" s="344">
        <f t="shared" si="149"/>
        <v>0</v>
      </c>
      <c r="G567" s="344" t="e">
        <f t="shared" si="150"/>
        <v>#N/A</v>
      </c>
      <c r="H567" s="344" t="e">
        <f t="shared" si="151"/>
        <v>#N/A</v>
      </c>
      <c r="P567" s="342" t="e">
        <f>1-(INDEX(Muuttujat!$O$5:$O$21,MATCH($C567,Muuttujat!$N$5:$N$21,0),1))</f>
        <v>#N/A</v>
      </c>
      <c r="Q567" s="342" t="e">
        <f>INDEX(Muuttujat!$O$5:$O$21,MATCH($C567,Muuttujat!$N$5:$N$21,0),1)</f>
        <v>#N/A</v>
      </c>
      <c r="R567" s="162"/>
      <c r="S567" s="163"/>
      <c r="T567" s="163"/>
      <c r="U567" s="163"/>
      <c r="V567" s="163"/>
      <c r="W567" s="163"/>
      <c r="X567" s="163"/>
      <c r="Y567" s="160"/>
      <c r="Z567" s="164"/>
      <c r="AA567" s="164"/>
      <c r="AB567" s="164"/>
      <c r="AC567" s="164"/>
      <c r="AD567" s="164"/>
    </row>
    <row r="568" spans="4:30">
      <c r="D568" s="160"/>
      <c r="F568" s="344">
        <f t="shared" si="149"/>
        <v>0</v>
      </c>
      <c r="G568" s="344" t="e">
        <f t="shared" si="150"/>
        <v>#N/A</v>
      </c>
      <c r="H568" s="344" t="e">
        <f t="shared" si="151"/>
        <v>#N/A</v>
      </c>
      <c r="P568" s="342" t="e">
        <f>1-(INDEX(Muuttujat!$O$5:$O$21,MATCH($C568,Muuttujat!$N$5:$N$21,0),1))</f>
        <v>#N/A</v>
      </c>
      <c r="Q568" s="342" t="e">
        <f>INDEX(Muuttujat!$O$5:$O$21,MATCH($C568,Muuttujat!$N$5:$N$21,0),1)</f>
        <v>#N/A</v>
      </c>
      <c r="R568" s="162"/>
      <c r="S568" s="163"/>
      <c r="T568" s="163"/>
      <c r="U568" s="163"/>
      <c r="V568" s="163"/>
      <c r="W568" s="163"/>
      <c r="X568" s="163"/>
      <c r="Y568" s="160"/>
      <c r="Z568" s="164"/>
      <c r="AA568" s="164"/>
      <c r="AB568" s="164"/>
      <c r="AC568" s="164"/>
      <c r="AD568" s="164"/>
    </row>
    <row r="569" spans="4:30">
      <c r="D569" s="160"/>
      <c r="F569" s="344">
        <f t="shared" si="149"/>
        <v>0</v>
      </c>
      <c r="G569" s="344" t="e">
        <f t="shared" si="150"/>
        <v>#N/A</v>
      </c>
      <c r="H569" s="344" t="e">
        <f t="shared" si="151"/>
        <v>#N/A</v>
      </c>
      <c r="P569" s="342" t="e">
        <f>1-(INDEX(Muuttujat!$O$5:$O$21,MATCH($C569,Muuttujat!$N$5:$N$21,0),1))</f>
        <v>#N/A</v>
      </c>
      <c r="Q569" s="342" t="e">
        <f>INDEX(Muuttujat!$O$5:$O$21,MATCH($C569,Muuttujat!$N$5:$N$21,0),1)</f>
        <v>#N/A</v>
      </c>
      <c r="R569" s="162"/>
      <c r="S569" s="163"/>
      <c r="T569" s="163"/>
      <c r="U569" s="163"/>
      <c r="V569" s="163"/>
      <c r="W569" s="163"/>
      <c r="X569" s="163"/>
      <c r="Y569" s="160"/>
      <c r="Z569" s="164"/>
      <c r="AA569" s="164"/>
      <c r="AB569" s="164"/>
      <c r="AC569" s="164"/>
      <c r="AD569" s="164"/>
    </row>
    <row r="570" spans="4:30">
      <c r="D570" s="160"/>
      <c r="F570" s="344">
        <f t="shared" si="149"/>
        <v>0</v>
      </c>
      <c r="G570" s="344" t="e">
        <f t="shared" si="150"/>
        <v>#N/A</v>
      </c>
      <c r="H570" s="344" t="e">
        <f t="shared" si="151"/>
        <v>#N/A</v>
      </c>
      <c r="P570" s="342" t="e">
        <f>1-(INDEX(Muuttujat!$O$5:$O$21,MATCH($C570,Muuttujat!$N$5:$N$21,0),1))</f>
        <v>#N/A</v>
      </c>
      <c r="Q570" s="342" t="e">
        <f>INDEX(Muuttujat!$O$5:$O$21,MATCH($C570,Muuttujat!$N$5:$N$21,0),1)</f>
        <v>#N/A</v>
      </c>
      <c r="R570" s="162"/>
      <c r="S570" s="163"/>
      <c r="T570" s="163"/>
      <c r="U570" s="163"/>
      <c r="V570" s="163"/>
      <c r="W570" s="163"/>
      <c r="X570" s="163"/>
      <c r="Y570" s="160"/>
      <c r="Z570" s="164"/>
      <c r="AA570" s="164"/>
      <c r="AB570" s="164"/>
      <c r="AC570" s="164"/>
      <c r="AD570" s="164"/>
    </row>
    <row r="571" spans="4:30">
      <c r="D571" s="160"/>
      <c r="F571" s="344">
        <f t="shared" si="149"/>
        <v>0</v>
      </c>
      <c r="G571" s="344" t="e">
        <f t="shared" si="150"/>
        <v>#N/A</v>
      </c>
      <c r="H571" s="344" t="e">
        <f t="shared" si="151"/>
        <v>#N/A</v>
      </c>
      <c r="P571" s="342" t="e">
        <f>1-(INDEX(Muuttujat!$O$5:$O$21,MATCH($C571,Muuttujat!$N$5:$N$21,0),1))</f>
        <v>#N/A</v>
      </c>
      <c r="Q571" s="342" t="e">
        <f>INDEX(Muuttujat!$O$5:$O$21,MATCH($C571,Muuttujat!$N$5:$N$21,0),1)</f>
        <v>#N/A</v>
      </c>
      <c r="R571" s="162"/>
      <c r="S571" s="163"/>
      <c r="T571" s="163"/>
      <c r="U571" s="163"/>
      <c r="V571" s="163"/>
      <c r="W571" s="163"/>
      <c r="X571" s="163"/>
      <c r="Y571" s="160"/>
      <c r="Z571" s="164"/>
      <c r="AA571" s="164"/>
      <c r="AB571" s="164"/>
      <c r="AC571" s="164"/>
      <c r="AD571" s="164"/>
    </row>
    <row r="572" spans="4:30">
      <c r="D572" s="160"/>
      <c r="F572" s="344">
        <f t="shared" si="149"/>
        <v>0</v>
      </c>
      <c r="G572" s="344" t="e">
        <f t="shared" si="150"/>
        <v>#N/A</v>
      </c>
      <c r="H572" s="344" t="e">
        <f t="shared" si="151"/>
        <v>#N/A</v>
      </c>
      <c r="P572" s="342" t="e">
        <f>1-(INDEX(Muuttujat!$O$5:$O$21,MATCH($C572,Muuttujat!$N$5:$N$21,0),1))</f>
        <v>#N/A</v>
      </c>
      <c r="Q572" s="342" t="e">
        <f>INDEX(Muuttujat!$O$5:$O$21,MATCH($C572,Muuttujat!$N$5:$N$21,0),1)</f>
        <v>#N/A</v>
      </c>
      <c r="R572" s="162"/>
      <c r="S572" s="163"/>
      <c r="T572" s="163"/>
      <c r="U572" s="163"/>
      <c r="V572" s="163"/>
      <c r="W572" s="163"/>
      <c r="X572" s="163"/>
      <c r="Y572" s="160"/>
      <c r="Z572" s="164"/>
      <c r="AA572" s="164"/>
      <c r="AB572" s="164"/>
      <c r="AC572" s="164"/>
      <c r="AD572" s="164"/>
    </row>
    <row r="573" spans="4:30">
      <c r="D573" s="160"/>
      <c r="F573" s="344">
        <f t="shared" si="149"/>
        <v>0</v>
      </c>
      <c r="G573" s="344" t="e">
        <f t="shared" si="150"/>
        <v>#N/A</v>
      </c>
      <c r="H573" s="344" t="e">
        <f t="shared" si="151"/>
        <v>#N/A</v>
      </c>
      <c r="P573" s="342" t="e">
        <f>1-(INDEX(Muuttujat!$O$5:$O$21,MATCH($C573,Muuttujat!$N$5:$N$21,0),1))</f>
        <v>#N/A</v>
      </c>
      <c r="Q573" s="342" t="e">
        <f>INDEX(Muuttujat!$O$5:$O$21,MATCH($C573,Muuttujat!$N$5:$N$21,0),1)</f>
        <v>#N/A</v>
      </c>
      <c r="R573" s="162"/>
      <c r="S573" s="163"/>
      <c r="T573" s="163"/>
      <c r="U573" s="163"/>
      <c r="V573" s="163"/>
      <c r="W573" s="163"/>
      <c r="X573" s="163"/>
      <c r="Y573" s="160"/>
      <c r="Z573" s="164"/>
      <c r="AA573" s="164"/>
      <c r="AB573" s="164"/>
      <c r="AC573" s="164"/>
      <c r="AD573" s="164"/>
    </row>
    <row r="574" spans="4:30">
      <c r="D574" s="160"/>
      <c r="F574" s="344">
        <f t="shared" si="149"/>
        <v>0</v>
      </c>
      <c r="G574" s="344" t="e">
        <f t="shared" si="150"/>
        <v>#N/A</v>
      </c>
      <c r="H574" s="344" t="e">
        <f t="shared" si="151"/>
        <v>#N/A</v>
      </c>
      <c r="P574" s="342" t="e">
        <f>1-(INDEX(Muuttujat!$O$5:$O$21,MATCH($C574,Muuttujat!$N$5:$N$21,0),1))</f>
        <v>#N/A</v>
      </c>
      <c r="Q574" s="342" t="e">
        <f>INDEX(Muuttujat!$O$5:$O$21,MATCH($C574,Muuttujat!$N$5:$N$21,0),1)</f>
        <v>#N/A</v>
      </c>
      <c r="R574" s="162"/>
      <c r="S574" s="163"/>
      <c r="T574" s="163"/>
      <c r="U574" s="163"/>
      <c r="V574" s="163"/>
      <c r="W574" s="163"/>
      <c r="X574" s="163"/>
      <c r="Y574" s="160"/>
      <c r="Z574" s="164"/>
      <c r="AA574" s="164"/>
      <c r="AB574" s="164"/>
      <c r="AC574" s="164"/>
      <c r="AD574" s="164"/>
    </row>
    <row r="575" spans="4:30">
      <c r="D575" s="160"/>
      <c r="F575" s="344">
        <f t="shared" si="149"/>
        <v>0</v>
      </c>
      <c r="G575" s="344" t="e">
        <f t="shared" si="150"/>
        <v>#N/A</v>
      </c>
      <c r="H575" s="344" t="e">
        <f t="shared" si="151"/>
        <v>#N/A</v>
      </c>
      <c r="P575" s="342" t="e">
        <f>1-(INDEX(Muuttujat!$O$5:$O$21,MATCH($C575,Muuttujat!$N$5:$N$21,0),1))</f>
        <v>#N/A</v>
      </c>
      <c r="Q575" s="342" t="e">
        <f>INDEX(Muuttujat!$O$5:$O$21,MATCH($C575,Muuttujat!$N$5:$N$21,0),1)</f>
        <v>#N/A</v>
      </c>
      <c r="R575" s="162"/>
      <c r="S575" s="163"/>
      <c r="T575" s="163"/>
      <c r="U575" s="163"/>
      <c r="V575" s="163"/>
      <c r="W575" s="163"/>
      <c r="X575" s="163"/>
      <c r="Y575" s="160"/>
      <c r="Z575" s="164"/>
      <c r="AA575" s="164"/>
      <c r="AB575" s="164"/>
      <c r="AC575" s="164"/>
      <c r="AD575" s="164"/>
    </row>
    <row r="576" spans="4:30">
      <c r="D576" s="160"/>
      <c r="F576" s="344">
        <f t="shared" si="149"/>
        <v>0</v>
      </c>
      <c r="G576" s="344" t="e">
        <f t="shared" si="150"/>
        <v>#N/A</v>
      </c>
      <c r="H576" s="344" t="e">
        <f t="shared" si="151"/>
        <v>#N/A</v>
      </c>
      <c r="P576" s="342" t="e">
        <f>1-(INDEX(Muuttujat!$O$5:$O$21,MATCH($C576,Muuttujat!$N$5:$N$21,0),1))</f>
        <v>#N/A</v>
      </c>
      <c r="Q576" s="342" t="e">
        <f>INDEX(Muuttujat!$O$5:$O$21,MATCH($C576,Muuttujat!$N$5:$N$21,0),1)</f>
        <v>#N/A</v>
      </c>
      <c r="R576" s="162"/>
      <c r="S576" s="163"/>
      <c r="T576" s="163"/>
      <c r="U576" s="163"/>
      <c r="V576" s="163"/>
      <c r="W576" s="163"/>
      <c r="X576" s="163"/>
      <c r="Y576" s="160"/>
      <c r="Z576" s="164"/>
      <c r="AA576" s="164"/>
      <c r="AB576" s="164"/>
      <c r="AC576" s="164"/>
      <c r="AD576" s="164"/>
    </row>
    <row r="577" spans="4:30">
      <c r="D577" s="160"/>
      <c r="F577" s="344">
        <f t="shared" si="149"/>
        <v>0</v>
      </c>
      <c r="G577" s="344" t="e">
        <f t="shared" si="150"/>
        <v>#N/A</v>
      </c>
      <c r="H577" s="344" t="e">
        <f t="shared" si="151"/>
        <v>#N/A</v>
      </c>
      <c r="P577" s="342" t="e">
        <f>1-(INDEX(Muuttujat!$O$5:$O$21,MATCH($C577,Muuttujat!$N$5:$N$21,0),1))</f>
        <v>#N/A</v>
      </c>
      <c r="Q577" s="342" t="e">
        <f>INDEX(Muuttujat!$O$5:$O$21,MATCH($C577,Muuttujat!$N$5:$N$21,0),1)</f>
        <v>#N/A</v>
      </c>
      <c r="R577" s="162"/>
      <c r="S577" s="163"/>
      <c r="T577" s="163"/>
      <c r="U577" s="163"/>
      <c r="V577" s="163"/>
      <c r="W577" s="163"/>
      <c r="X577" s="163"/>
      <c r="Y577" s="160"/>
      <c r="Z577" s="164"/>
      <c r="AA577" s="164"/>
      <c r="AB577" s="164"/>
      <c r="AC577" s="164"/>
      <c r="AD577" s="164"/>
    </row>
    <row r="578" spans="4:30">
      <c r="D578" s="160"/>
      <c r="F578" s="344">
        <f t="shared" si="149"/>
        <v>0</v>
      </c>
      <c r="G578" s="344" t="e">
        <f t="shared" si="150"/>
        <v>#N/A</v>
      </c>
      <c r="H578" s="344" t="e">
        <f t="shared" si="151"/>
        <v>#N/A</v>
      </c>
      <c r="P578" s="342" t="e">
        <f>1-(INDEX(Muuttujat!$O$5:$O$21,MATCH($C578,Muuttujat!$N$5:$N$21,0),1))</f>
        <v>#N/A</v>
      </c>
      <c r="Q578" s="342" t="e">
        <f>INDEX(Muuttujat!$O$5:$O$21,MATCH($C578,Muuttujat!$N$5:$N$21,0),1)</f>
        <v>#N/A</v>
      </c>
      <c r="R578" s="162"/>
      <c r="S578" s="163"/>
      <c r="T578" s="163"/>
      <c r="U578" s="163"/>
      <c r="V578" s="163"/>
      <c r="W578" s="163"/>
      <c r="X578" s="163"/>
      <c r="Y578" s="160"/>
      <c r="Z578" s="164"/>
      <c r="AA578" s="164"/>
      <c r="AB578" s="164"/>
      <c r="AC578" s="164"/>
      <c r="AD578" s="164"/>
    </row>
    <row r="579" spans="4:30">
      <c r="D579" s="160"/>
      <c r="F579" s="344">
        <f t="shared" ref="F579:F642" si="152">IF(D579="pom",$E579*hv_pom,0)</f>
        <v>0</v>
      </c>
      <c r="G579" s="344" t="e">
        <f t="shared" si="150"/>
        <v>#N/A</v>
      </c>
      <c r="H579" s="344" t="e">
        <f t="shared" si="151"/>
        <v>#N/A</v>
      </c>
      <c r="P579" s="342" t="e">
        <f>1-(INDEX(Muuttujat!$O$5:$O$21,MATCH($C579,Muuttujat!$N$5:$N$21,0),1))</f>
        <v>#N/A</v>
      </c>
      <c r="Q579" s="342" t="e">
        <f>INDEX(Muuttujat!$O$5:$O$21,MATCH($C579,Muuttujat!$N$5:$N$21,0),1)</f>
        <v>#N/A</v>
      </c>
      <c r="R579" s="162"/>
      <c r="S579" s="163"/>
      <c r="T579" s="163"/>
      <c r="U579" s="163"/>
      <c r="V579" s="163"/>
      <c r="W579" s="163"/>
      <c r="X579" s="163"/>
      <c r="Y579" s="160"/>
      <c r="Z579" s="164"/>
      <c r="AA579" s="164"/>
      <c r="AB579" s="164"/>
      <c r="AC579" s="164"/>
      <c r="AD579" s="164"/>
    </row>
    <row r="580" spans="4:30">
      <c r="D580" s="160"/>
      <c r="F580" s="344">
        <f t="shared" si="152"/>
        <v>0</v>
      </c>
      <c r="G580" s="344" t="e">
        <f t="shared" ref="G580:G643" si="153">$F580*$P580</f>
        <v>#N/A</v>
      </c>
      <c r="H580" s="344" t="e">
        <f t="shared" ref="H580:H643" si="154">$F580*$Q580</f>
        <v>#N/A</v>
      </c>
      <c r="P580" s="342" t="e">
        <f>1-(INDEX(Muuttujat!$O$5:$O$21,MATCH($C580,Muuttujat!$N$5:$N$21,0),1))</f>
        <v>#N/A</v>
      </c>
      <c r="Q580" s="342" t="e">
        <f>INDEX(Muuttujat!$O$5:$O$21,MATCH($C580,Muuttujat!$N$5:$N$21,0),1)</f>
        <v>#N/A</v>
      </c>
      <c r="R580" s="162"/>
      <c r="S580" s="163"/>
      <c r="T580" s="163"/>
      <c r="U580" s="163"/>
      <c r="V580" s="163"/>
      <c r="W580" s="163"/>
      <c r="X580" s="163"/>
      <c r="Y580" s="160"/>
      <c r="Z580" s="164"/>
      <c r="AA580" s="164"/>
      <c r="AB580" s="164"/>
      <c r="AC580" s="164"/>
      <c r="AD580" s="164"/>
    </row>
    <row r="581" spans="4:30">
      <c r="D581" s="160"/>
      <c r="F581" s="344">
        <f t="shared" si="152"/>
        <v>0</v>
      </c>
      <c r="G581" s="344" t="e">
        <f t="shared" si="153"/>
        <v>#N/A</v>
      </c>
      <c r="H581" s="344" t="e">
        <f t="shared" si="154"/>
        <v>#N/A</v>
      </c>
      <c r="P581" s="342" t="e">
        <f>1-(INDEX(Muuttujat!$O$5:$O$21,MATCH($C581,Muuttujat!$N$5:$N$21,0),1))</f>
        <v>#N/A</v>
      </c>
      <c r="Q581" s="342" t="e">
        <f>INDEX(Muuttujat!$O$5:$O$21,MATCH($C581,Muuttujat!$N$5:$N$21,0),1)</f>
        <v>#N/A</v>
      </c>
      <c r="R581" s="162"/>
      <c r="S581" s="163"/>
      <c r="T581" s="163"/>
      <c r="U581" s="163"/>
      <c r="V581" s="163"/>
      <c r="W581" s="163"/>
      <c r="X581" s="163"/>
      <c r="Y581" s="160"/>
      <c r="Z581" s="164"/>
      <c r="AA581" s="164"/>
      <c r="AB581" s="164"/>
      <c r="AC581" s="164"/>
      <c r="AD581" s="164"/>
    </row>
    <row r="582" spans="4:30">
      <c r="D582" s="160"/>
      <c r="F582" s="344">
        <f t="shared" si="152"/>
        <v>0</v>
      </c>
      <c r="G582" s="344" t="e">
        <f t="shared" si="153"/>
        <v>#N/A</v>
      </c>
      <c r="H582" s="344" t="e">
        <f t="shared" si="154"/>
        <v>#N/A</v>
      </c>
      <c r="P582" s="342" t="e">
        <f>1-(INDEX(Muuttujat!$O$5:$O$21,MATCH($C582,Muuttujat!$N$5:$N$21,0),1))</f>
        <v>#N/A</v>
      </c>
      <c r="Q582" s="342" t="e">
        <f>INDEX(Muuttujat!$O$5:$O$21,MATCH($C582,Muuttujat!$N$5:$N$21,0),1)</f>
        <v>#N/A</v>
      </c>
      <c r="R582" s="162"/>
      <c r="S582" s="163"/>
      <c r="T582" s="163"/>
      <c r="U582" s="163"/>
      <c r="V582" s="163"/>
      <c r="W582" s="163"/>
      <c r="X582" s="163"/>
      <c r="Y582" s="160"/>
      <c r="Z582" s="164"/>
      <c r="AA582" s="164"/>
      <c r="AB582" s="164"/>
      <c r="AC582" s="164"/>
      <c r="AD582" s="164"/>
    </row>
    <row r="583" spans="4:30">
      <c r="D583" s="160"/>
      <c r="F583" s="344">
        <f t="shared" si="152"/>
        <v>0</v>
      </c>
      <c r="G583" s="344" t="e">
        <f t="shared" si="153"/>
        <v>#N/A</v>
      </c>
      <c r="H583" s="344" t="e">
        <f t="shared" si="154"/>
        <v>#N/A</v>
      </c>
      <c r="P583" s="342" t="e">
        <f>1-(INDEX(Muuttujat!$O$5:$O$21,MATCH($C583,Muuttujat!$N$5:$N$21,0),1))</f>
        <v>#N/A</v>
      </c>
      <c r="Q583" s="342" t="e">
        <f>INDEX(Muuttujat!$O$5:$O$21,MATCH($C583,Muuttujat!$N$5:$N$21,0),1)</f>
        <v>#N/A</v>
      </c>
      <c r="R583" s="162"/>
      <c r="S583" s="163"/>
      <c r="T583" s="163"/>
      <c r="U583" s="163"/>
      <c r="V583" s="163"/>
      <c r="W583" s="163"/>
      <c r="X583" s="163"/>
      <c r="Y583" s="160"/>
      <c r="Z583" s="164"/>
      <c r="AA583" s="164"/>
      <c r="AB583" s="164"/>
      <c r="AC583" s="164"/>
      <c r="AD583" s="164"/>
    </row>
    <row r="584" spans="4:30">
      <c r="D584" s="160"/>
      <c r="F584" s="344">
        <f t="shared" si="152"/>
        <v>0</v>
      </c>
      <c r="G584" s="344" t="e">
        <f t="shared" si="153"/>
        <v>#N/A</v>
      </c>
      <c r="H584" s="344" t="e">
        <f t="shared" si="154"/>
        <v>#N/A</v>
      </c>
      <c r="P584" s="342" t="e">
        <f>1-(INDEX(Muuttujat!$O$5:$O$21,MATCH($C584,Muuttujat!$N$5:$N$21,0),1))</f>
        <v>#N/A</v>
      </c>
      <c r="Q584" s="342" t="e">
        <f>INDEX(Muuttujat!$O$5:$O$21,MATCH($C584,Muuttujat!$N$5:$N$21,0),1)</f>
        <v>#N/A</v>
      </c>
      <c r="R584" s="162"/>
      <c r="S584" s="163"/>
      <c r="T584" s="163"/>
      <c r="U584" s="163"/>
      <c r="V584" s="163"/>
      <c r="W584" s="163"/>
      <c r="X584" s="163"/>
      <c r="Y584" s="160"/>
      <c r="Z584" s="164"/>
      <c r="AA584" s="164"/>
      <c r="AB584" s="164"/>
      <c r="AC584" s="164"/>
      <c r="AD584" s="164"/>
    </row>
    <row r="585" spans="4:30">
      <c r="D585" s="160"/>
      <c r="F585" s="344">
        <f t="shared" si="152"/>
        <v>0</v>
      </c>
      <c r="G585" s="344" t="e">
        <f t="shared" si="153"/>
        <v>#N/A</v>
      </c>
      <c r="H585" s="344" t="e">
        <f t="shared" si="154"/>
        <v>#N/A</v>
      </c>
      <c r="P585" s="342" t="e">
        <f>1-(INDEX(Muuttujat!$O$5:$O$21,MATCH($C585,Muuttujat!$N$5:$N$21,0),1))</f>
        <v>#N/A</v>
      </c>
      <c r="Q585" s="342" t="e">
        <f>INDEX(Muuttujat!$O$5:$O$21,MATCH($C585,Muuttujat!$N$5:$N$21,0),1)</f>
        <v>#N/A</v>
      </c>
      <c r="R585" s="162"/>
      <c r="S585" s="163"/>
      <c r="T585" s="163"/>
      <c r="U585" s="163"/>
      <c r="V585" s="163"/>
      <c r="W585" s="163"/>
      <c r="X585" s="163"/>
      <c r="Y585" s="160"/>
      <c r="Z585" s="164"/>
      <c r="AA585" s="164"/>
      <c r="AB585" s="164"/>
      <c r="AC585" s="164"/>
      <c r="AD585" s="164"/>
    </row>
    <row r="586" spans="4:30">
      <c r="D586" s="160"/>
      <c r="F586" s="344">
        <f t="shared" si="152"/>
        <v>0</v>
      </c>
      <c r="G586" s="344" t="e">
        <f t="shared" si="153"/>
        <v>#N/A</v>
      </c>
      <c r="H586" s="344" t="e">
        <f t="shared" si="154"/>
        <v>#N/A</v>
      </c>
      <c r="P586" s="342" t="e">
        <f>1-(INDEX(Muuttujat!$O$5:$O$21,MATCH($C586,Muuttujat!$N$5:$N$21,0),1))</f>
        <v>#N/A</v>
      </c>
      <c r="Q586" s="342" t="e">
        <f>INDEX(Muuttujat!$O$5:$O$21,MATCH($C586,Muuttujat!$N$5:$N$21,0),1)</f>
        <v>#N/A</v>
      </c>
      <c r="R586" s="162"/>
      <c r="S586" s="163"/>
      <c r="T586" s="163"/>
      <c r="U586" s="163"/>
      <c r="V586" s="163"/>
      <c r="W586" s="163"/>
      <c r="X586" s="163"/>
      <c r="Y586" s="160"/>
      <c r="Z586" s="164"/>
      <c r="AA586" s="164"/>
      <c r="AB586" s="164"/>
      <c r="AC586" s="164"/>
      <c r="AD586" s="164"/>
    </row>
    <row r="587" spans="4:30">
      <c r="D587" s="160"/>
      <c r="F587" s="344">
        <f t="shared" si="152"/>
        <v>0</v>
      </c>
      <c r="G587" s="344" t="e">
        <f t="shared" si="153"/>
        <v>#N/A</v>
      </c>
      <c r="H587" s="344" t="e">
        <f t="shared" si="154"/>
        <v>#N/A</v>
      </c>
      <c r="P587" s="342" t="e">
        <f>1-(INDEX(Muuttujat!$O$5:$O$21,MATCH($C587,Muuttujat!$N$5:$N$21,0),1))</f>
        <v>#N/A</v>
      </c>
      <c r="Q587" s="342" t="e">
        <f>INDEX(Muuttujat!$O$5:$O$21,MATCH($C587,Muuttujat!$N$5:$N$21,0),1)</f>
        <v>#N/A</v>
      </c>
      <c r="R587" s="162"/>
      <c r="S587" s="163"/>
      <c r="T587" s="163"/>
      <c r="U587" s="163"/>
      <c r="V587" s="163"/>
      <c r="W587" s="163"/>
      <c r="X587" s="163"/>
      <c r="Y587" s="160"/>
      <c r="Z587" s="164"/>
      <c r="AA587" s="164"/>
      <c r="AB587" s="164"/>
      <c r="AC587" s="164"/>
      <c r="AD587" s="164"/>
    </row>
    <row r="588" spans="4:30">
      <c r="D588" s="160"/>
      <c r="F588" s="344">
        <f t="shared" si="152"/>
        <v>0</v>
      </c>
      <c r="G588" s="344" t="e">
        <f t="shared" si="153"/>
        <v>#N/A</v>
      </c>
      <c r="H588" s="344" t="e">
        <f t="shared" si="154"/>
        <v>#N/A</v>
      </c>
      <c r="P588" s="342" t="e">
        <f>1-(INDEX(Muuttujat!$O$5:$O$21,MATCH($C588,Muuttujat!$N$5:$N$21,0),1))</f>
        <v>#N/A</v>
      </c>
      <c r="Q588" s="342" t="e">
        <f>INDEX(Muuttujat!$O$5:$O$21,MATCH($C588,Muuttujat!$N$5:$N$21,0),1)</f>
        <v>#N/A</v>
      </c>
      <c r="R588" s="162"/>
      <c r="S588" s="163"/>
      <c r="T588" s="163"/>
      <c r="U588" s="163"/>
      <c r="V588" s="163"/>
      <c r="W588" s="163"/>
      <c r="X588" s="163"/>
      <c r="Y588" s="160"/>
      <c r="Z588" s="164"/>
      <c r="AA588" s="164"/>
      <c r="AB588" s="164"/>
      <c r="AC588" s="164"/>
      <c r="AD588" s="164"/>
    </row>
    <row r="589" spans="4:30">
      <c r="D589" s="160"/>
      <c r="F589" s="344">
        <f t="shared" si="152"/>
        <v>0</v>
      </c>
      <c r="G589" s="344" t="e">
        <f t="shared" si="153"/>
        <v>#N/A</v>
      </c>
      <c r="H589" s="344" t="e">
        <f t="shared" si="154"/>
        <v>#N/A</v>
      </c>
      <c r="P589" s="342" t="e">
        <f>1-(INDEX(Muuttujat!$O$5:$O$21,MATCH($C589,Muuttujat!$N$5:$N$21,0),1))</f>
        <v>#N/A</v>
      </c>
      <c r="Q589" s="342" t="e">
        <f>INDEX(Muuttujat!$O$5:$O$21,MATCH($C589,Muuttujat!$N$5:$N$21,0),1)</f>
        <v>#N/A</v>
      </c>
      <c r="R589" s="162"/>
      <c r="S589" s="163"/>
      <c r="T589" s="163"/>
      <c r="U589" s="163"/>
      <c r="V589" s="163"/>
      <c r="W589" s="163"/>
      <c r="X589" s="163"/>
      <c r="Y589" s="160"/>
      <c r="Z589" s="164"/>
      <c r="AA589" s="164"/>
      <c r="AB589" s="164"/>
      <c r="AC589" s="164"/>
      <c r="AD589" s="164"/>
    </row>
    <row r="590" spans="4:30">
      <c r="D590" s="160"/>
      <c r="F590" s="344">
        <f t="shared" si="152"/>
        <v>0</v>
      </c>
      <c r="G590" s="344" t="e">
        <f t="shared" si="153"/>
        <v>#N/A</v>
      </c>
      <c r="H590" s="344" t="e">
        <f t="shared" si="154"/>
        <v>#N/A</v>
      </c>
      <c r="P590" s="342" t="e">
        <f>1-(INDEX(Muuttujat!$O$5:$O$21,MATCH($C590,Muuttujat!$N$5:$N$21,0),1))</f>
        <v>#N/A</v>
      </c>
      <c r="Q590" s="342" t="e">
        <f>INDEX(Muuttujat!$O$5:$O$21,MATCH($C590,Muuttujat!$N$5:$N$21,0),1)</f>
        <v>#N/A</v>
      </c>
      <c r="R590" s="162"/>
      <c r="S590" s="163"/>
      <c r="T590" s="163"/>
      <c r="U590" s="163"/>
      <c r="V590" s="163"/>
      <c r="W590" s="163"/>
      <c r="X590" s="163"/>
      <c r="Y590" s="160"/>
      <c r="Z590" s="164"/>
      <c r="AA590" s="164"/>
      <c r="AB590" s="164"/>
      <c r="AC590" s="164"/>
      <c r="AD590" s="164"/>
    </row>
    <row r="591" spans="4:30">
      <c r="D591" s="160"/>
      <c r="F591" s="344">
        <f t="shared" si="152"/>
        <v>0</v>
      </c>
      <c r="G591" s="344" t="e">
        <f t="shared" si="153"/>
        <v>#N/A</v>
      </c>
      <c r="H591" s="344" t="e">
        <f t="shared" si="154"/>
        <v>#N/A</v>
      </c>
      <c r="P591" s="342" t="e">
        <f>1-(INDEX(Muuttujat!$O$5:$O$21,MATCH($C591,Muuttujat!$N$5:$N$21,0),1))</f>
        <v>#N/A</v>
      </c>
      <c r="Q591" s="342" t="e">
        <f>INDEX(Muuttujat!$O$5:$O$21,MATCH($C591,Muuttujat!$N$5:$N$21,0),1)</f>
        <v>#N/A</v>
      </c>
      <c r="R591" s="162"/>
      <c r="S591" s="163"/>
      <c r="T591" s="163"/>
      <c r="U591" s="163"/>
      <c r="V591" s="163"/>
      <c r="W591" s="163"/>
      <c r="X591" s="163"/>
      <c r="Y591" s="160"/>
      <c r="Z591" s="164"/>
      <c r="AA591" s="164"/>
      <c r="AB591" s="164"/>
      <c r="AC591" s="164"/>
      <c r="AD591" s="164"/>
    </row>
    <row r="592" spans="4:30">
      <c r="D592" s="160"/>
      <c r="F592" s="344">
        <f t="shared" si="152"/>
        <v>0</v>
      </c>
      <c r="G592" s="344" t="e">
        <f t="shared" si="153"/>
        <v>#N/A</v>
      </c>
      <c r="H592" s="344" t="e">
        <f t="shared" si="154"/>
        <v>#N/A</v>
      </c>
      <c r="P592" s="342" t="e">
        <f>1-(INDEX(Muuttujat!$O$5:$O$21,MATCH($C592,Muuttujat!$N$5:$N$21,0),1))</f>
        <v>#N/A</v>
      </c>
      <c r="Q592" s="342" t="e">
        <f>INDEX(Muuttujat!$O$5:$O$21,MATCH($C592,Muuttujat!$N$5:$N$21,0),1)</f>
        <v>#N/A</v>
      </c>
      <c r="R592" s="162"/>
      <c r="S592" s="163"/>
      <c r="T592" s="163"/>
      <c r="U592" s="163"/>
      <c r="V592" s="163"/>
      <c r="W592" s="163"/>
      <c r="X592" s="163"/>
      <c r="Y592" s="160"/>
      <c r="Z592" s="164"/>
      <c r="AA592" s="164"/>
      <c r="AB592" s="164"/>
      <c r="AC592" s="164"/>
      <c r="AD592" s="164"/>
    </row>
    <row r="593" spans="4:30">
      <c r="D593" s="160"/>
      <c r="F593" s="344">
        <f t="shared" si="152"/>
        <v>0</v>
      </c>
      <c r="G593" s="344" t="e">
        <f t="shared" si="153"/>
        <v>#N/A</v>
      </c>
      <c r="H593" s="344" t="e">
        <f t="shared" si="154"/>
        <v>#N/A</v>
      </c>
      <c r="P593" s="342" t="e">
        <f>1-(INDEX(Muuttujat!$O$5:$O$21,MATCH($C593,Muuttujat!$N$5:$N$21,0),1))</f>
        <v>#N/A</v>
      </c>
      <c r="Q593" s="342" t="e">
        <f>INDEX(Muuttujat!$O$5:$O$21,MATCH($C593,Muuttujat!$N$5:$N$21,0),1)</f>
        <v>#N/A</v>
      </c>
      <c r="R593" s="162"/>
      <c r="S593" s="163"/>
      <c r="T593" s="163"/>
      <c r="U593" s="163"/>
      <c r="V593" s="163"/>
      <c r="W593" s="163"/>
      <c r="X593" s="163"/>
      <c r="Y593" s="160"/>
      <c r="Z593" s="164"/>
      <c r="AA593" s="164"/>
      <c r="AB593" s="164"/>
      <c r="AC593" s="164"/>
      <c r="AD593" s="164"/>
    </row>
    <row r="594" spans="4:30">
      <c r="D594" s="160"/>
      <c r="F594" s="344">
        <f t="shared" si="152"/>
        <v>0</v>
      </c>
      <c r="G594" s="344" t="e">
        <f t="shared" si="153"/>
        <v>#N/A</v>
      </c>
      <c r="H594" s="344" t="e">
        <f t="shared" si="154"/>
        <v>#N/A</v>
      </c>
      <c r="P594" s="342" t="e">
        <f>1-(INDEX(Muuttujat!$O$5:$O$21,MATCH($C594,Muuttujat!$N$5:$N$21,0),1))</f>
        <v>#N/A</v>
      </c>
      <c r="Q594" s="342" t="e">
        <f>INDEX(Muuttujat!$O$5:$O$21,MATCH($C594,Muuttujat!$N$5:$N$21,0),1)</f>
        <v>#N/A</v>
      </c>
      <c r="R594" s="162"/>
      <c r="S594" s="163"/>
      <c r="T594" s="163"/>
      <c r="U594" s="163"/>
      <c r="V594" s="163"/>
      <c r="W594" s="163"/>
      <c r="X594" s="163"/>
      <c r="Y594" s="160"/>
      <c r="Z594" s="164"/>
      <c r="AA594" s="164"/>
      <c r="AB594" s="164"/>
      <c r="AC594" s="164"/>
      <c r="AD594" s="164"/>
    </row>
    <row r="595" spans="4:30">
      <c r="D595" s="160"/>
      <c r="F595" s="344">
        <f t="shared" si="152"/>
        <v>0</v>
      </c>
      <c r="G595" s="344" t="e">
        <f t="shared" si="153"/>
        <v>#N/A</v>
      </c>
      <c r="H595" s="344" t="e">
        <f t="shared" si="154"/>
        <v>#N/A</v>
      </c>
      <c r="P595" s="342" t="e">
        <f>1-(INDEX(Muuttujat!$O$5:$O$21,MATCH($C595,Muuttujat!$N$5:$N$21,0),1))</f>
        <v>#N/A</v>
      </c>
      <c r="Q595" s="342" t="e">
        <f>INDEX(Muuttujat!$O$5:$O$21,MATCH($C595,Muuttujat!$N$5:$N$21,0),1)</f>
        <v>#N/A</v>
      </c>
      <c r="R595" s="162"/>
      <c r="S595" s="163"/>
      <c r="T595" s="163"/>
      <c r="U595" s="163"/>
      <c r="V595" s="163"/>
      <c r="W595" s="163"/>
      <c r="X595" s="163"/>
      <c r="Y595" s="160"/>
      <c r="Z595" s="164"/>
      <c r="AA595" s="164"/>
      <c r="AB595" s="164"/>
      <c r="AC595" s="164"/>
      <c r="AD595" s="164"/>
    </row>
    <row r="596" spans="4:30">
      <c r="D596" s="160"/>
      <c r="F596" s="344">
        <f t="shared" si="152"/>
        <v>0</v>
      </c>
      <c r="G596" s="344" t="e">
        <f t="shared" si="153"/>
        <v>#N/A</v>
      </c>
      <c r="H596" s="344" t="e">
        <f t="shared" si="154"/>
        <v>#N/A</v>
      </c>
      <c r="P596" s="342" t="e">
        <f>1-(INDEX(Muuttujat!$O$5:$O$21,MATCH($C596,Muuttujat!$N$5:$N$21,0),1))</f>
        <v>#N/A</v>
      </c>
      <c r="Q596" s="342" t="e">
        <f>INDEX(Muuttujat!$O$5:$O$21,MATCH($C596,Muuttujat!$N$5:$N$21,0),1)</f>
        <v>#N/A</v>
      </c>
      <c r="R596" s="162"/>
      <c r="S596" s="163"/>
      <c r="T596" s="163"/>
      <c r="U596" s="163"/>
      <c r="V596" s="163"/>
      <c r="W596" s="163"/>
      <c r="X596" s="163"/>
      <c r="Y596" s="160"/>
      <c r="Z596" s="164"/>
      <c r="AA596" s="164"/>
      <c r="AB596" s="164"/>
      <c r="AC596" s="164"/>
      <c r="AD596" s="164"/>
    </row>
    <row r="597" spans="4:30">
      <c r="D597" s="160"/>
      <c r="F597" s="344">
        <f t="shared" si="152"/>
        <v>0</v>
      </c>
      <c r="G597" s="344" t="e">
        <f t="shared" si="153"/>
        <v>#N/A</v>
      </c>
      <c r="H597" s="344" t="e">
        <f t="shared" si="154"/>
        <v>#N/A</v>
      </c>
      <c r="P597" s="342" t="e">
        <f>1-(INDEX(Muuttujat!$O$5:$O$21,MATCH($C597,Muuttujat!$N$5:$N$21,0),1))</f>
        <v>#N/A</v>
      </c>
      <c r="Q597" s="342" t="e">
        <f>INDEX(Muuttujat!$O$5:$O$21,MATCH($C597,Muuttujat!$N$5:$N$21,0),1)</f>
        <v>#N/A</v>
      </c>
      <c r="R597" s="162"/>
      <c r="S597" s="163"/>
      <c r="T597" s="163"/>
      <c r="U597" s="163"/>
      <c r="V597" s="163"/>
      <c r="W597" s="163"/>
      <c r="X597" s="163"/>
      <c r="Y597" s="160"/>
      <c r="Z597" s="164"/>
      <c r="AA597" s="164"/>
      <c r="AB597" s="164"/>
      <c r="AC597" s="164"/>
      <c r="AD597" s="164"/>
    </row>
    <row r="598" spans="4:30">
      <c r="D598" s="160"/>
      <c r="F598" s="344">
        <f t="shared" si="152"/>
        <v>0</v>
      </c>
      <c r="G598" s="344" t="e">
        <f t="shared" si="153"/>
        <v>#N/A</v>
      </c>
      <c r="H598" s="344" t="e">
        <f t="shared" si="154"/>
        <v>#N/A</v>
      </c>
      <c r="P598" s="342" t="e">
        <f>1-(INDEX(Muuttujat!$O$5:$O$21,MATCH($C598,Muuttujat!$N$5:$N$21,0),1))</f>
        <v>#N/A</v>
      </c>
      <c r="Q598" s="342" t="e">
        <f>INDEX(Muuttujat!$O$5:$O$21,MATCH($C598,Muuttujat!$N$5:$N$21,0),1)</f>
        <v>#N/A</v>
      </c>
      <c r="R598" s="162"/>
      <c r="S598" s="163"/>
      <c r="T598" s="163"/>
      <c r="U598" s="163"/>
      <c r="V598" s="163"/>
      <c r="W598" s="163"/>
      <c r="X598" s="163"/>
      <c r="Y598" s="160"/>
      <c r="Z598" s="164"/>
      <c r="AA598" s="164"/>
      <c r="AB598" s="164"/>
      <c r="AC598" s="164"/>
      <c r="AD598" s="164"/>
    </row>
    <row r="599" spans="4:30">
      <c r="D599" s="160"/>
      <c r="F599" s="344">
        <f t="shared" si="152"/>
        <v>0</v>
      </c>
      <c r="G599" s="344" t="e">
        <f t="shared" si="153"/>
        <v>#N/A</v>
      </c>
      <c r="H599" s="344" t="e">
        <f t="shared" si="154"/>
        <v>#N/A</v>
      </c>
      <c r="P599" s="342" t="e">
        <f>1-(INDEX(Muuttujat!$O$5:$O$21,MATCH($C599,Muuttujat!$N$5:$N$21,0),1))</f>
        <v>#N/A</v>
      </c>
      <c r="Q599" s="342" t="e">
        <f>INDEX(Muuttujat!$O$5:$O$21,MATCH($C599,Muuttujat!$N$5:$N$21,0),1)</f>
        <v>#N/A</v>
      </c>
      <c r="R599" s="162"/>
      <c r="S599" s="163"/>
      <c r="T599" s="163"/>
      <c r="U599" s="163"/>
      <c r="V599" s="163"/>
      <c r="W599" s="163"/>
      <c r="X599" s="163"/>
      <c r="Y599" s="160"/>
      <c r="Z599" s="164"/>
      <c r="AA599" s="164"/>
      <c r="AB599" s="164"/>
      <c r="AC599" s="164"/>
      <c r="AD599" s="164"/>
    </row>
    <row r="600" spans="4:30">
      <c r="D600" s="160"/>
      <c r="F600" s="344">
        <f t="shared" si="152"/>
        <v>0</v>
      </c>
      <c r="G600" s="344" t="e">
        <f t="shared" si="153"/>
        <v>#N/A</v>
      </c>
      <c r="H600" s="344" t="e">
        <f t="shared" si="154"/>
        <v>#N/A</v>
      </c>
      <c r="P600" s="342" t="e">
        <f>1-(INDEX(Muuttujat!$O$5:$O$21,MATCH($C600,Muuttujat!$N$5:$N$21,0),1))</f>
        <v>#N/A</v>
      </c>
      <c r="Q600" s="342" t="e">
        <f>INDEX(Muuttujat!$O$5:$O$21,MATCH($C600,Muuttujat!$N$5:$N$21,0),1)</f>
        <v>#N/A</v>
      </c>
      <c r="R600" s="162"/>
      <c r="S600" s="163"/>
      <c r="T600" s="163"/>
      <c r="U600" s="163"/>
      <c r="V600" s="163"/>
      <c r="W600" s="163"/>
      <c r="X600" s="163"/>
      <c r="Y600" s="160"/>
      <c r="Z600" s="164"/>
      <c r="AA600" s="164"/>
      <c r="AB600" s="164"/>
      <c r="AC600" s="164"/>
      <c r="AD600" s="164"/>
    </row>
    <row r="601" spans="4:30">
      <c r="D601" s="160"/>
      <c r="F601" s="344">
        <f t="shared" si="152"/>
        <v>0</v>
      </c>
      <c r="G601" s="344" t="e">
        <f t="shared" si="153"/>
        <v>#N/A</v>
      </c>
      <c r="H601" s="344" t="e">
        <f t="shared" si="154"/>
        <v>#N/A</v>
      </c>
      <c r="P601" s="342" t="e">
        <f>1-(INDEX(Muuttujat!$O$5:$O$21,MATCH($C601,Muuttujat!$N$5:$N$21,0),1))</f>
        <v>#N/A</v>
      </c>
      <c r="Q601" s="342" t="e">
        <f>INDEX(Muuttujat!$O$5:$O$21,MATCH($C601,Muuttujat!$N$5:$N$21,0),1)</f>
        <v>#N/A</v>
      </c>
      <c r="R601" s="162"/>
      <c r="S601" s="163"/>
      <c r="T601" s="163"/>
      <c r="U601" s="163"/>
      <c r="V601" s="163"/>
      <c r="W601" s="163"/>
      <c r="X601" s="163"/>
      <c r="Y601" s="160"/>
      <c r="Z601" s="164"/>
      <c r="AA601" s="164"/>
      <c r="AB601" s="164"/>
      <c r="AC601" s="164"/>
      <c r="AD601" s="164"/>
    </row>
    <row r="602" spans="4:30">
      <c r="D602" s="160"/>
      <c r="F602" s="344">
        <f t="shared" si="152"/>
        <v>0</v>
      </c>
      <c r="G602" s="344" t="e">
        <f t="shared" si="153"/>
        <v>#N/A</v>
      </c>
      <c r="H602" s="344" t="e">
        <f t="shared" si="154"/>
        <v>#N/A</v>
      </c>
      <c r="P602" s="342" t="e">
        <f>1-(INDEX(Muuttujat!$O$5:$O$21,MATCH($C602,Muuttujat!$N$5:$N$21,0),1))</f>
        <v>#N/A</v>
      </c>
      <c r="Q602" s="342" t="e">
        <f>INDEX(Muuttujat!$O$5:$O$21,MATCH($C602,Muuttujat!$N$5:$N$21,0),1)</f>
        <v>#N/A</v>
      </c>
      <c r="R602" s="162"/>
      <c r="S602" s="163"/>
      <c r="T602" s="163"/>
      <c r="U602" s="163"/>
      <c r="V602" s="163"/>
      <c r="W602" s="163"/>
      <c r="X602" s="163"/>
      <c r="Y602" s="160"/>
      <c r="Z602" s="164"/>
      <c r="AA602" s="164"/>
      <c r="AB602" s="164"/>
      <c r="AC602" s="164"/>
      <c r="AD602" s="164"/>
    </row>
    <row r="603" spans="4:30">
      <c r="D603" s="160"/>
      <c r="F603" s="344">
        <f t="shared" si="152"/>
        <v>0</v>
      </c>
      <c r="G603" s="344" t="e">
        <f t="shared" si="153"/>
        <v>#N/A</v>
      </c>
      <c r="H603" s="344" t="e">
        <f t="shared" si="154"/>
        <v>#N/A</v>
      </c>
      <c r="P603" s="342" t="e">
        <f>1-(INDEX(Muuttujat!$O$5:$O$21,MATCH($C603,Muuttujat!$N$5:$N$21,0),1))</f>
        <v>#N/A</v>
      </c>
      <c r="Q603" s="342" t="e">
        <f>INDEX(Muuttujat!$O$5:$O$21,MATCH($C603,Muuttujat!$N$5:$N$21,0),1)</f>
        <v>#N/A</v>
      </c>
      <c r="R603" s="162"/>
      <c r="S603" s="163"/>
      <c r="T603" s="163"/>
      <c r="U603" s="163"/>
      <c r="V603" s="163"/>
      <c r="W603" s="163"/>
      <c r="X603" s="163"/>
      <c r="Y603" s="160"/>
      <c r="Z603" s="164"/>
      <c r="AA603" s="164"/>
      <c r="AB603" s="164"/>
      <c r="AC603" s="164"/>
      <c r="AD603" s="164"/>
    </row>
    <row r="604" spans="4:30">
      <c r="D604" s="160"/>
      <c r="F604" s="344">
        <f t="shared" si="152"/>
        <v>0</v>
      </c>
      <c r="G604" s="344" t="e">
        <f t="shared" si="153"/>
        <v>#N/A</v>
      </c>
      <c r="H604" s="344" t="e">
        <f t="shared" si="154"/>
        <v>#N/A</v>
      </c>
      <c r="P604" s="342" t="e">
        <f>1-(INDEX(Muuttujat!$O$5:$O$21,MATCH($C604,Muuttujat!$N$5:$N$21,0),1))</f>
        <v>#N/A</v>
      </c>
      <c r="Q604" s="342" t="e">
        <f>INDEX(Muuttujat!$O$5:$O$21,MATCH($C604,Muuttujat!$N$5:$N$21,0),1)</f>
        <v>#N/A</v>
      </c>
      <c r="R604" s="162"/>
      <c r="S604" s="163"/>
      <c r="T604" s="163"/>
      <c r="U604" s="163"/>
      <c r="V604" s="163"/>
      <c r="W604" s="163"/>
      <c r="X604" s="163"/>
      <c r="Y604" s="160"/>
      <c r="Z604" s="164"/>
      <c r="AA604" s="164"/>
      <c r="AB604" s="164"/>
      <c r="AC604" s="164"/>
      <c r="AD604" s="164"/>
    </row>
    <row r="605" spans="4:30">
      <c r="D605" s="160"/>
      <c r="F605" s="344">
        <f t="shared" si="152"/>
        <v>0</v>
      </c>
      <c r="G605" s="344" t="e">
        <f t="shared" si="153"/>
        <v>#N/A</v>
      </c>
      <c r="H605" s="344" t="e">
        <f t="shared" si="154"/>
        <v>#N/A</v>
      </c>
      <c r="P605" s="342" t="e">
        <f>1-(INDEX(Muuttujat!$O$5:$O$21,MATCH($C605,Muuttujat!$N$5:$N$21,0),1))</f>
        <v>#N/A</v>
      </c>
      <c r="Q605" s="342" t="e">
        <f>INDEX(Muuttujat!$O$5:$O$21,MATCH($C605,Muuttujat!$N$5:$N$21,0),1)</f>
        <v>#N/A</v>
      </c>
      <c r="R605" s="162"/>
      <c r="S605" s="163"/>
      <c r="T605" s="163"/>
      <c r="U605" s="163"/>
      <c r="V605" s="163"/>
      <c r="W605" s="163"/>
      <c r="X605" s="163"/>
      <c r="Y605" s="160"/>
      <c r="Z605" s="164"/>
      <c r="AA605" s="164"/>
      <c r="AB605" s="164"/>
      <c r="AC605" s="164"/>
      <c r="AD605" s="164"/>
    </row>
    <row r="606" spans="4:30">
      <c r="D606" s="160"/>
      <c r="F606" s="344">
        <f t="shared" si="152"/>
        <v>0</v>
      </c>
      <c r="G606" s="344" t="e">
        <f t="shared" si="153"/>
        <v>#N/A</v>
      </c>
      <c r="H606" s="344" t="e">
        <f t="shared" si="154"/>
        <v>#N/A</v>
      </c>
      <c r="P606" s="342" t="e">
        <f>1-(INDEX(Muuttujat!$O$5:$O$21,MATCH($C606,Muuttujat!$N$5:$N$21,0),1))</f>
        <v>#N/A</v>
      </c>
      <c r="Q606" s="342" t="e">
        <f>INDEX(Muuttujat!$O$5:$O$21,MATCH($C606,Muuttujat!$N$5:$N$21,0),1)</f>
        <v>#N/A</v>
      </c>
      <c r="R606" s="162"/>
      <c r="S606" s="163"/>
      <c r="T606" s="163"/>
      <c r="U606" s="163"/>
      <c r="V606" s="163"/>
      <c r="W606" s="163"/>
      <c r="X606" s="163"/>
      <c r="Y606" s="160"/>
      <c r="Z606" s="164"/>
      <c r="AA606" s="164"/>
      <c r="AB606" s="164"/>
      <c r="AC606" s="164"/>
      <c r="AD606" s="164"/>
    </row>
    <row r="607" spans="4:30">
      <c r="D607" s="160"/>
      <c r="F607" s="344">
        <f t="shared" si="152"/>
        <v>0</v>
      </c>
      <c r="G607" s="344" t="e">
        <f t="shared" si="153"/>
        <v>#N/A</v>
      </c>
      <c r="H607" s="344" t="e">
        <f t="shared" si="154"/>
        <v>#N/A</v>
      </c>
      <c r="P607" s="342" t="e">
        <f>1-(INDEX(Muuttujat!$O$5:$O$21,MATCH($C607,Muuttujat!$N$5:$N$21,0),1))</f>
        <v>#N/A</v>
      </c>
      <c r="Q607" s="342" t="e">
        <f>INDEX(Muuttujat!$O$5:$O$21,MATCH($C607,Muuttujat!$N$5:$N$21,0),1)</f>
        <v>#N/A</v>
      </c>
      <c r="R607" s="162"/>
      <c r="S607" s="163"/>
      <c r="T607" s="163"/>
      <c r="U607" s="163"/>
      <c r="V607" s="163"/>
      <c r="W607" s="163"/>
      <c r="X607" s="163"/>
      <c r="Y607" s="160"/>
      <c r="Z607" s="164"/>
      <c r="AA607" s="164"/>
      <c r="AB607" s="164"/>
      <c r="AC607" s="164"/>
      <c r="AD607" s="164"/>
    </row>
    <row r="608" spans="4:30">
      <c r="D608" s="160"/>
      <c r="F608" s="344">
        <f t="shared" si="152"/>
        <v>0</v>
      </c>
      <c r="G608" s="344" t="e">
        <f t="shared" si="153"/>
        <v>#N/A</v>
      </c>
      <c r="H608" s="344" t="e">
        <f t="shared" si="154"/>
        <v>#N/A</v>
      </c>
      <c r="P608" s="342" t="e">
        <f>1-(INDEX(Muuttujat!$O$5:$O$21,MATCH($C608,Muuttujat!$N$5:$N$21,0),1))</f>
        <v>#N/A</v>
      </c>
      <c r="Q608" s="342" t="e">
        <f>INDEX(Muuttujat!$O$5:$O$21,MATCH($C608,Muuttujat!$N$5:$N$21,0),1)</f>
        <v>#N/A</v>
      </c>
      <c r="R608" s="162"/>
      <c r="S608" s="163"/>
      <c r="T608" s="163"/>
      <c r="U608" s="163"/>
      <c r="V608" s="163"/>
      <c r="W608" s="163"/>
      <c r="X608" s="163"/>
      <c r="Y608" s="160"/>
      <c r="Z608" s="164"/>
      <c r="AA608" s="164"/>
      <c r="AB608" s="164"/>
      <c r="AC608" s="164"/>
      <c r="AD608" s="164"/>
    </row>
    <row r="609" spans="4:30">
      <c r="D609" s="160"/>
      <c r="F609" s="344">
        <f t="shared" si="152"/>
        <v>0</v>
      </c>
      <c r="G609" s="344" t="e">
        <f t="shared" si="153"/>
        <v>#N/A</v>
      </c>
      <c r="H609" s="344" t="e">
        <f t="shared" si="154"/>
        <v>#N/A</v>
      </c>
      <c r="P609" s="342" t="e">
        <f>1-(INDEX(Muuttujat!$O$5:$O$21,MATCH($C609,Muuttujat!$N$5:$N$21,0),1))</f>
        <v>#N/A</v>
      </c>
      <c r="Q609" s="342" t="e">
        <f>INDEX(Muuttujat!$O$5:$O$21,MATCH($C609,Muuttujat!$N$5:$N$21,0),1)</f>
        <v>#N/A</v>
      </c>
      <c r="R609" s="162"/>
      <c r="S609" s="163"/>
      <c r="T609" s="163"/>
      <c r="U609" s="163"/>
      <c r="V609" s="163"/>
      <c r="W609" s="163"/>
      <c r="X609" s="163"/>
      <c r="Y609" s="160"/>
      <c r="Z609" s="164"/>
      <c r="AA609" s="164"/>
      <c r="AB609" s="164"/>
      <c r="AC609" s="164"/>
      <c r="AD609" s="164"/>
    </row>
    <row r="610" spans="4:30">
      <c r="D610" s="160"/>
      <c r="F610" s="344">
        <f t="shared" si="152"/>
        <v>0</v>
      </c>
      <c r="G610" s="344" t="e">
        <f t="shared" si="153"/>
        <v>#N/A</v>
      </c>
      <c r="H610" s="344" t="e">
        <f t="shared" si="154"/>
        <v>#N/A</v>
      </c>
      <c r="P610" s="342" t="e">
        <f>1-(INDEX(Muuttujat!$O$5:$O$21,MATCH($C610,Muuttujat!$N$5:$N$21,0),1))</f>
        <v>#N/A</v>
      </c>
      <c r="Q610" s="342" t="e">
        <f>INDEX(Muuttujat!$O$5:$O$21,MATCH($C610,Muuttujat!$N$5:$N$21,0),1)</f>
        <v>#N/A</v>
      </c>
      <c r="R610" s="162"/>
      <c r="S610" s="163"/>
      <c r="T610" s="163"/>
      <c r="U610" s="163"/>
      <c r="V610" s="163"/>
      <c r="W610" s="163"/>
      <c r="X610" s="163"/>
      <c r="Y610" s="160"/>
      <c r="Z610" s="164"/>
      <c r="AA610" s="164"/>
      <c r="AB610" s="164"/>
      <c r="AC610" s="164"/>
      <c r="AD610" s="164"/>
    </row>
    <row r="611" spans="4:30">
      <c r="D611" s="160"/>
      <c r="F611" s="344">
        <f t="shared" si="152"/>
        <v>0</v>
      </c>
      <c r="G611" s="344" t="e">
        <f t="shared" si="153"/>
        <v>#N/A</v>
      </c>
      <c r="H611" s="344" t="e">
        <f t="shared" si="154"/>
        <v>#N/A</v>
      </c>
      <c r="P611" s="342" t="e">
        <f>1-(INDEX(Muuttujat!$O$5:$O$21,MATCH($C611,Muuttujat!$N$5:$N$21,0),1))</f>
        <v>#N/A</v>
      </c>
      <c r="Q611" s="342" t="e">
        <f>INDEX(Muuttujat!$O$5:$O$21,MATCH($C611,Muuttujat!$N$5:$N$21,0),1)</f>
        <v>#N/A</v>
      </c>
      <c r="R611" s="162"/>
      <c r="S611" s="163"/>
      <c r="T611" s="163"/>
      <c r="U611" s="163"/>
      <c r="V611" s="163"/>
      <c r="W611" s="163"/>
      <c r="X611" s="163"/>
      <c r="Y611" s="160"/>
      <c r="Z611" s="164"/>
      <c r="AA611" s="164"/>
      <c r="AB611" s="164"/>
      <c r="AC611" s="164"/>
      <c r="AD611" s="164"/>
    </row>
    <row r="612" spans="4:30">
      <c r="D612" s="160"/>
      <c r="F612" s="344">
        <f t="shared" si="152"/>
        <v>0</v>
      </c>
      <c r="G612" s="344" t="e">
        <f t="shared" si="153"/>
        <v>#N/A</v>
      </c>
      <c r="H612" s="344" t="e">
        <f t="shared" si="154"/>
        <v>#N/A</v>
      </c>
      <c r="P612" s="342" t="e">
        <f>1-(INDEX(Muuttujat!$O$5:$O$21,MATCH($C612,Muuttujat!$N$5:$N$21,0),1))</f>
        <v>#N/A</v>
      </c>
      <c r="Q612" s="342" t="e">
        <f>INDEX(Muuttujat!$O$5:$O$21,MATCH($C612,Muuttujat!$N$5:$N$21,0),1)</f>
        <v>#N/A</v>
      </c>
      <c r="R612" s="162"/>
      <c r="S612" s="163"/>
      <c r="T612" s="163"/>
      <c r="U612" s="163"/>
      <c r="V612" s="163"/>
      <c r="W612" s="163"/>
      <c r="X612" s="163"/>
      <c r="Y612" s="160"/>
      <c r="Z612" s="164"/>
      <c r="AA612" s="164"/>
      <c r="AB612" s="164"/>
      <c r="AC612" s="164"/>
      <c r="AD612" s="164"/>
    </row>
    <row r="613" spans="4:30">
      <c r="D613" s="160"/>
      <c r="F613" s="344">
        <f t="shared" si="152"/>
        <v>0</v>
      </c>
      <c r="G613" s="344" t="e">
        <f t="shared" si="153"/>
        <v>#N/A</v>
      </c>
      <c r="H613" s="344" t="e">
        <f t="shared" si="154"/>
        <v>#N/A</v>
      </c>
      <c r="P613" s="342" t="e">
        <f>1-(INDEX(Muuttujat!$O$5:$O$21,MATCH($C613,Muuttujat!$N$5:$N$21,0),1))</f>
        <v>#N/A</v>
      </c>
      <c r="Q613" s="342" t="e">
        <f>INDEX(Muuttujat!$O$5:$O$21,MATCH($C613,Muuttujat!$N$5:$N$21,0),1)</f>
        <v>#N/A</v>
      </c>
      <c r="R613" s="162"/>
      <c r="S613" s="163"/>
      <c r="T613" s="163"/>
      <c r="U613" s="163"/>
      <c r="V613" s="163"/>
      <c r="W613" s="163"/>
      <c r="X613" s="163"/>
      <c r="Y613" s="160"/>
      <c r="Z613" s="164"/>
      <c r="AA613" s="164"/>
      <c r="AB613" s="164"/>
      <c r="AC613" s="164"/>
      <c r="AD613" s="164"/>
    </row>
    <row r="614" spans="4:30">
      <c r="D614" s="160"/>
      <c r="F614" s="344">
        <f t="shared" si="152"/>
        <v>0</v>
      </c>
      <c r="G614" s="344" t="e">
        <f t="shared" si="153"/>
        <v>#N/A</v>
      </c>
      <c r="H614" s="344" t="e">
        <f t="shared" si="154"/>
        <v>#N/A</v>
      </c>
      <c r="P614" s="342" t="e">
        <f>1-(INDEX(Muuttujat!$O$5:$O$21,MATCH($C614,Muuttujat!$N$5:$N$21,0),1))</f>
        <v>#N/A</v>
      </c>
      <c r="Q614" s="342" t="e">
        <f>INDEX(Muuttujat!$O$5:$O$21,MATCH($C614,Muuttujat!$N$5:$N$21,0),1)</f>
        <v>#N/A</v>
      </c>
      <c r="R614" s="162"/>
      <c r="S614" s="163"/>
      <c r="T614" s="163"/>
      <c r="U614" s="163"/>
      <c r="V614" s="163"/>
      <c r="W614" s="163"/>
      <c r="X614" s="163"/>
      <c r="Y614" s="160"/>
      <c r="Z614" s="164"/>
      <c r="AA614" s="164"/>
      <c r="AB614" s="164"/>
      <c r="AC614" s="164"/>
      <c r="AD614" s="164"/>
    </row>
    <row r="615" spans="4:30">
      <c r="D615" s="160"/>
      <c r="F615" s="344">
        <f t="shared" si="152"/>
        <v>0</v>
      </c>
      <c r="G615" s="344" t="e">
        <f t="shared" si="153"/>
        <v>#N/A</v>
      </c>
      <c r="H615" s="344" t="e">
        <f t="shared" si="154"/>
        <v>#N/A</v>
      </c>
      <c r="P615" s="342" t="e">
        <f>1-(INDEX(Muuttujat!$O$5:$O$21,MATCH($C615,Muuttujat!$N$5:$N$21,0),1))</f>
        <v>#N/A</v>
      </c>
      <c r="Q615" s="342" t="e">
        <f>INDEX(Muuttujat!$O$5:$O$21,MATCH($C615,Muuttujat!$N$5:$N$21,0),1)</f>
        <v>#N/A</v>
      </c>
      <c r="R615" s="162"/>
      <c r="S615" s="163"/>
      <c r="T615" s="163"/>
      <c r="U615" s="163"/>
      <c r="V615" s="163"/>
      <c r="W615" s="163"/>
      <c r="X615" s="163"/>
      <c r="Y615" s="160"/>
      <c r="Z615" s="164"/>
      <c r="AA615" s="164"/>
      <c r="AB615" s="164"/>
      <c r="AC615" s="164"/>
      <c r="AD615" s="164"/>
    </row>
    <row r="616" spans="4:30">
      <c r="D616" s="160"/>
      <c r="F616" s="344">
        <f t="shared" si="152"/>
        <v>0</v>
      </c>
      <c r="G616" s="344" t="e">
        <f t="shared" si="153"/>
        <v>#N/A</v>
      </c>
      <c r="H616" s="344" t="e">
        <f t="shared" si="154"/>
        <v>#N/A</v>
      </c>
      <c r="P616" s="342" t="e">
        <f>1-(INDEX(Muuttujat!$O$5:$O$21,MATCH($C616,Muuttujat!$N$5:$N$21,0),1))</f>
        <v>#N/A</v>
      </c>
      <c r="Q616" s="342" t="e">
        <f>INDEX(Muuttujat!$O$5:$O$21,MATCH($C616,Muuttujat!$N$5:$N$21,0),1)</f>
        <v>#N/A</v>
      </c>
      <c r="R616" s="162"/>
      <c r="S616" s="163"/>
      <c r="T616" s="163"/>
      <c r="U616" s="163"/>
      <c r="V616" s="163"/>
      <c r="W616" s="163"/>
      <c r="X616" s="163"/>
      <c r="Y616" s="160"/>
      <c r="Z616" s="164"/>
      <c r="AA616" s="164"/>
      <c r="AB616" s="164"/>
      <c r="AC616" s="164"/>
      <c r="AD616" s="164"/>
    </row>
    <row r="617" spans="4:30">
      <c r="D617" s="160"/>
      <c r="F617" s="344">
        <f t="shared" si="152"/>
        <v>0</v>
      </c>
      <c r="G617" s="344" t="e">
        <f t="shared" si="153"/>
        <v>#N/A</v>
      </c>
      <c r="H617" s="344" t="e">
        <f t="shared" si="154"/>
        <v>#N/A</v>
      </c>
      <c r="P617" s="342" t="e">
        <f>1-(INDEX(Muuttujat!$O$5:$O$21,MATCH($C617,Muuttujat!$N$5:$N$21,0),1))</f>
        <v>#N/A</v>
      </c>
      <c r="Q617" s="342" t="e">
        <f>INDEX(Muuttujat!$O$5:$O$21,MATCH($C617,Muuttujat!$N$5:$N$21,0),1)</f>
        <v>#N/A</v>
      </c>
      <c r="R617" s="162"/>
      <c r="S617" s="163"/>
      <c r="T617" s="163"/>
      <c r="U617" s="163"/>
      <c r="V617" s="163"/>
      <c r="W617" s="163"/>
      <c r="X617" s="163"/>
      <c r="Y617" s="160"/>
      <c r="Z617" s="164"/>
      <c r="AA617" s="164"/>
      <c r="AB617" s="164"/>
      <c r="AC617" s="164"/>
      <c r="AD617" s="164"/>
    </row>
    <row r="618" spans="4:30">
      <c r="D618" s="160"/>
      <c r="F618" s="344">
        <f t="shared" si="152"/>
        <v>0</v>
      </c>
      <c r="G618" s="344" t="e">
        <f t="shared" si="153"/>
        <v>#N/A</v>
      </c>
      <c r="H618" s="344" t="e">
        <f t="shared" si="154"/>
        <v>#N/A</v>
      </c>
      <c r="P618" s="342" t="e">
        <f>1-(INDEX(Muuttujat!$O$5:$O$21,MATCH($C618,Muuttujat!$N$5:$N$21,0),1))</f>
        <v>#N/A</v>
      </c>
      <c r="Q618" s="342" t="e">
        <f>INDEX(Muuttujat!$O$5:$O$21,MATCH($C618,Muuttujat!$N$5:$N$21,0),1)</f>
        <v>#N/A</v>
      </c>
      <c r="R618" s="162"/>
      <c r="S618" s="163"/>
      <c r="T618" s="163"/>
      <c r="U618" s="163"/>
      <c r="V618" s="163"/>
      <c r="W618" s="163"/>
      <c r="X618" s="163"/>
      <c r="Y618" s="160"/>
      <c r="Z618" s="164"/>
      <c r="AA618" s="164"/>
      <c r="AB618" s="164"/>
      <c r="AC618" s="164"/>
      <c r="AD618" s="164"/>
    </row>
    <row r="619" spans="4:30">
      <c r="D619" s="160"/>
      <c r="F619" s="344">
        <f t="shared" si="152"/>
        <v>0</v>
      </c>
      <c r="G619" s="344" t="e">
        <f t="shared" si="153"/>
        <v>#N/A</v>
      </c>
      <c r="H619" s="344" t="e">
        <f t="shared" si="154"/>
        <v>#N/A</v>
      </c>
      <c r="P619" s="342" t="e">
        <f>1-(INDEX(Muuttujat!$O$5:$O$21,MATCH($C619,Muuttujat!$N$5:$N$21,0),1))</f>
        <v>#N/A</v>
      </c>
      <c r="Q619" s="342" t="e">
        <f>INDEX(Muuttujat!$O$5:$O$21,MATCH($C619,Muuttujat!$N$5:$N$21,0),1)</f>
        <v>#N/A</v>
      </c>
      <c r="R619" s="162"/>
      <c r="S619" s="163"/>
      <c r="T619" s="163"/>
      <c r="U619" s="163"/>
      <c r="V619" s="163"/>
      <c r="W619" s="163"/>
      <c r="X619" s="163"/>
      <c r="Y619" s="160"/>
      <c r="Z619" s="164"/>
      <c r="AA619" s="164"/>
      <c r="AB619" s="164"/>
      <c r="AC619" s="164"/>
      <c r="AD619" s="164"/>
    </row>
    <row r="620" spans="4:30">
      <c r="D620" s="160"/>
      <c r="F620" s="344">
        <f t="shared" si="152"/>
        <v>0</v>
      </c>
      <c r="G620" s="344" t="e">
        <f t="shared" si="153"/>
        <v>#N/A</v>
      </c>
      <c r="H620" s="344" t="e">
        <f t="shared" si="154"/>
        <v>#N/A</v>
      </c>
      <c r="P620" s="342" t="e">
        <f>1-(INDEX(Muuttujat!$O$5:$O$21,MATCH($C620,Muuttujat!$N$5:$N$21,0),1))</f>
        <v>#N/A</v>
      </c>
      <c r="Q620" s="342" t="e">
        <f>INDEX(Muuttujat!$O$5:$O$21,MATCH($C620,Muuttujat!$N$5:$N$21,0),1)</f>
        <v>#N/A</v>
      </c>
      <c r="R620" s="162"/>
      <c r="S620" s="163"/>
      <c r="T620" s="163"/>
      <c r="U620" s="163"/>
      <c r="V620" s="163"/>
      <c r="W620" s="163"/>
      <c r="X620" s="163"/>
      <c r="Y620" s="160"/>
      <c r="Z620" s="164"/>
      <c r="AA620" s="164"/>
      <c r="AB620" s="164"/>
      <c r="AC620" s="164"/>
      <c r="AD620" s="164"/>
    </row>
    <row r="621" spans="4:30">
      <c r="D621" s="160"/>
      <c r="F621" s="344">
        <f t="shared" si="152"/>
        <v>0</v>
      </c>
      <c r="G621" s="344" t="e">
        <f t="shared" si="153"/>
        <v>#N/A</v>
      </c>
      <c r="H621" s="344" t="e">
        <f t="shared" si="154"/>
        <v>#N/A</v>
      </c>
      <c r="P621" s="342" t="e">
        <f>1-(INDEX(Muuttujat!$O$5:$O$21,MATCH($C621,Muuttujat!$N$5:$N$21,0),1))</f>
        <v>#N/A</v>
      </c>
      <c r="Q621" s="342" t="e">
        <f>INDEX(Muuttujat!$O$5:$O$21,MATCH($C621,Muuttujat!$N$5:$N$21,0),1)</f>
        <v>#N/A</v>
      </c>
      <c r="R621" s="162"/>
      <c r="S621" s="163"/>
      <c r="T621" s="163"/>
      <c r="U621" s="163"/>
      <c r="V621" s="163"/>
      <c r="W621" s="163"/>
      <c r="X621" s="163"/>
      <c r="Y621" s="160"/>
      <c r="Z621" s="164"/>
      <c r="AA621" s="164"/>
      <c r="AB621" s="164"/>
      <c r="AC621" s="164"/>
      <c r="AD621" s="164"/>
    </row>
    <row r="622" spans="4:30">
      <c r="D622" s="160"/>
      <c r="F622" s="344">
        <f t="shared" si="152"/>
        <v>0</v>
      </c>
      <c r="G622" s="344" t="e">
        <f t="shared" si="153"/>
        <v>#N/A</v>
      </c>
      <c r="H622" s="344" t="e">
        <f t="shared" si="154"/>
        <v>#N/A</v>
      </c>
      <c r="P622" s="342" t="e">
        <f>1-(INDEX(Muuttujat!$O$5:$O$21,MATCH($C622,Muuttujat!$N$5:$N$21,0),1))</f>
        <v>#N/A</v>
      </c>
      <c r="Q622" s="342" t="e">
        <f>INDEX(Muuttujat!$O$5:$O$21,MATCH($C622,Muuttujat!$N$5:$N$21,0),1)</f>
        <v>#N/A</v>
      </c>
      <c r="R622" s="162"/>
      <c r="S622" s="163"/>
      <c r="T622" s="163"/>
      <c r="U622" s="163"/>
      <c r="V622" s="163"/>
      <c r="W622" s="163"/>
      <c r="X622" s="163"/>
      <c r="Y622" s="160"/>
      <c r="Z622" s="164"/>
      <c r="AA622" s="164"/>
      <c r="AB622" s="164"/>
      <c r="AC622" s="164"/>
      <c r="AD622" s="164"/>
    </row>
    <row r="623" spans="4:30">
      <c r="D623" s="160"/>
      <c r="F623" s="344">
        <f t="shared" si="152"/>
        <v>0</v>
      </c>
      <c r="G623" s="344" t="e">
        <f t="shared" si="153"/>
        <v>#N/A</v>
      </c>
      <c r="H623" s="344" t="e">
        <f t="shared" si="154"/>
        <v>#N/A</v>
      </c>
      <c r="P623" s="342" t="e">
        <f>1-(INDEX(Muuttujat!$O$5:$O$21,MATCH($C623,Muuttujat!$N$5:$N$21,0),1))</f>
        <v>#N/A</v>
      </c>
      <c r="Q623" s="342" t="e">
        <f>INDEX(Muuttujat!$O$5:$O$21,MATCH($C623,Muuttujat!$N$5:$N$21,0),1)</f>
        <v>#N/A</v>
      </c>
      <c r="R623" s="162"/>
      <c r="S623" s="163"/>
      <c r="T623" s="163"/>
      <c r="U623" s="163"/>
      <c r="V623" s="163"/>
      <c r="W623" s="163"/>
      <c r="X623" s="163"/>
      <c r="Y623" s="160"/>
      <c r="Z623" s="164"/>
      <c r="AA623" s="164"/>
      <c r="AB623" s="164"/>
      <c r="AC623" s="164"/>
      <c r="AD623" s="164"/>
    </row>
    <row r="624" spans="4:30">
      <c r="D624" s="160"/>
      <c r="F624" s="344">
        <f t="shared" si="152"/>
        <v>0</v>
      </c>
      <c r="G624" s="344" t="e">
        <f t="shared" si="153"/>
        <v>#N/A</v>
      </c>
      <c r="H624" s="344" t="e">
        <f t="shared" si="154"/>
        <v>#N/A</v>
      </c>
      <c r="P624" s="342" t="e">
        <f>1-(INDEX(Muuttujat!$O$5:$O$21,MATCH($C624,Muuttujat!$N$5:$N$21,0),1))</f>
        <v>#N/A</v>
      </c>
      <c r="Q624" s="342" t="e">
        <f>INDEX(Muuttujat!$O$5:$O$21,MATCH($C624,Muuttujat!$N$5:$N$21,0),1)</f>
        <v>#N/A</v>
      </c>
      <c r="R624" s="162"/>
      <c r="S624" s="163"/>
      <c r="T624" s="163"/>
      <c r="U624" s="163"/>
      <c r="V624" s="163"/>
      <c r="W624" s="163"/>
      <c r="X624" s="163"/>
      <c r="Y624" s="160"/>
      <c r="Z624" s="164"/>
      <c r="AA624" s="164"/>
      <c r="AB624" s="164"/>
      <c r="AC624" s="164"/>
      <c r="AD624" s="164"/>
    </row>
    <row r="625" spans="4:30">
      <c r="D625" s="160"/>
      <c r="F625" s="344">
        <f t="shared" si="152"/>
        <v>0</v>
      </c>
      <c r="G625" s="344" t="e">
        <f t="shared" si="153"/>
        <v>#N/A</v>
      </c>
      <c r="H625" s="344" t="e">
        <f t="shared" si="154"/>
        <v>#N/A</v>
      </c>
      <c r="P625" s="342" t="e">
        <f>1-(INDEX(Muuttujat!$O$5:$O$21,MATCH($C625,Muuttujat!$N$5:$N$21,0),1))</f>
        <v>#N/A</v>
      </c>
      <c r="Q625" s="342" t="e">
        <f>INDEX(Muuttujat!$O$5:$O$21,MATCH($C625,Muuttujat!$N$5:$N$21,0),1)</f>
        <v>#N/A</v>
      </c>
      <c r="R625" s="162"/>
      <c r="S625" s="163"/>
      <c r="T625" s="163"/>
      <c r="U625" s="163"/>
      <c r="V625" s="163"/>
      <c r="W625" s="163"/>
      <c r="X625" s="163"/>
      <c r="Y625" s="160"/>
      <c r="Z625" s="164"/>
      <c r="AA625" s="164"/>
      <c r="AB625" s="164"/>
      <c r="AC625" s="164"/>
      <c r="AD625" s="164"/>
    </row>
    <row r="626" spans="4:30">
      <c r="D626" s="160"/>
      <c r="F626" s="344">
        <f t="shared" si="152"/>
        <v>0</v>
      </c>
      <c r="G626" s="344" t="e">
        <f t="shared" si="153"/>
        <v>#N/A</v>
      </c>
      <c r="H626" s="344" t="e">
        <f t="shared" si="154"/>
        <v>#N/A</v>
      </c>
      <c r="P626" s="342" t="e">
        <f>1-(INDEX(Muuttujat!$O$5:$O$21,MATCH($C626,Muuttujat!$N$5:$N$21,0),1))</f>
        <v>#N/A</v>
      </c>
      <c r="Q626" s="342" t="e">
        <f>INDEX(Muuttujat!$O$5:$O$21,MATCH($C626,Muuttujat!$N$5:$N$21,0),1)</f>
        <v>#N/A</v>
      </c>
      <c r="R626" s="162"/>
      <c r="S626" s="163"/>
      <c r="T626" s="163"/>
      <c r="U626" s="163"/>
      <c r="V626" s="163"/>
      <c r="W626" s="163"/>
      <c r="X626" s="163"/>
      <c r="Y626" s="160"/>
      <c r="Z626" s="164"/>
      <c r="AA626" s="164"/>
      <c r="AB626" s="164"/>
      <c r="AC626" s="164"/>
      <c r="AD626" s="164"/>
    </row>
    <row r="627" spans="4:30">
      <c r="D627" s="160"/>
      <c r="F627" s="344">
        <f t="shared" si="152"/>
        <v>0</v>
      </c>
      <c r="G627" s="344" t="e">
        <f t="shared" si="153"/>
        <v>#N/A</v>
      </c>
      <c r="H627" s="344" t="e">
        <f t="shared" si="154"/>
        <v>#N/A</v>
      </c>
      <c r="P627" s="342" t="e">
        <f>1-(INDEX(Muuttujat!$O$5:$O$21,MATCH($C627,Muuttujat!$N$5:$N$21,0),1))</f>
        <v>#N/A</v>
      </c>
      <c r="Q627" s="342" t="e">
        <f>INDEX(Muuttujat!$O$5:$O$21,MATCH($C627,Muuttujat!$N$5:$N$21,0),1)</f>
        <v>#N/A</v>
      </c>
      <c r="R627" s="162"/>
      <c r="S627" s="163"/>
      <c r="T627" s="163"/>
      <c r="U627" s="163"/>
      <c r="V627" s="163"/>
      <c r="W627" s="163"/>
      <c r="X627" s="163"/>
      <c r="Y627" s="160"/>
      <c r="Z627" s="164"/>
      <c r="AA627" s="164"/>
      <c r="AB627" s="164"/>
      <c r="AC627" s="164"/>
      <c r="AD627" s="164"/>
    </row>
    <row r="628" spans="4:30">
      <c r="D628" s="160"/>
      <c r="F628" s="344">
        <f t="shared" si="152"/>
        <v>0</v>
      </c>
      <c r="G628" s="344" t="e">
        <f t="shared" si="153"/>
        <v>#N/A</v>
      </c>
      <c r="H628" s="344" t="e">
        <f t="shared" si="154"/>
        <v>#N/A</v>
      </c>
      <c r="P628" s="342" t="e">
        <f>1-(INDEX(Muuttujat!$O$5:$O$21,MATCH($C628,Muuttujat!$N$5:$N$21,0),1))</f>
        <v>#N/A</v>
      </c>
      <c r="Q628" s="342" t="e">
        <f>INDEX(Muuttujat!$O$5:$O$21,MATCH($C628,Muuttujat!$N$5:$N$21,0),1)</f>
        <v>#N/A</v>
      </c>
      <c r="R628" s="162"/>
      <c r="S628" s="163"/>
      <c r="T628" s="163"/>
      <c r="U628" s="163"/>
      <c r="V628" s="163"/>
      <c r="W628" s="163"/>
      <c r="X628" s="163"/>
      <c r="Y628" s="160"/>
      <c r="Z628" s="164"/>
      <c r="AA628" s="164"/>
      <c r="AB628" s="164"/>
      <c r="AC628" s="164"/>
      <c r="AD628" s="164"/>
    </row>
    <row r="629" spans="4:30">
      <c r="D629" s="160"/>
      <c r="F629" s="344">
        <f t="shared" si="152"/>
        <v>0</v>
      </c>
      <c r="G629" s="344" t="e">
        <f t="shared" si="153"/>
        <v>#N/A</v>
      </c>
      <c r="H629" s="344" t="e">
        <f t="shared" si="154"/>
        <v>#N/A</v>
      </c>
      <c r="P629" s="342" t="e">
        <f>1-(INDEX(Muuttujat!$O$5:$O$21,MATCH($C629,Muuttujat!$N$5:$N$21,0),1))</f>
        <v>#N/A</v>
      </c>
      <c r="Q629" s="342" t="e">
        <f>INDEX(Muuttujat!$O$5:$O$21,MATCH($C629,Muuttujat!$N$5:$N$21,0),1)</f>
        <v>#N/A</v>
      </c>
      <c r="R629" s="162"/>
      <c r="S629" s="163"/>
      <c r="T629" s="163"/>
      <c r="U629" s="163"/>
      <c r="V629" s="163"/>
      <c r="W629" s="163"/>
      <c r="X629" s="163"/>
      <c r="Y629" s="160"/>
      <c r="Z629" s="164"/>
      <c r="AA629" s="164"/>
      <c r="AB629" s="164"/>
      <c r="AC629" s="164"/>
      <c r="AD629" s="164"/>
    </row>
    <row r="630" spans="4:30">
      <c r="D630" s="160"/>
      <c r="F630" s="344">
        <f t="shared" si="152"/>
        <v>0</v>
      </c>
      <c r="G630" s="344" t="e">
        <f t="shared" si="153"/>
        <v>#N/A</v>
      </c>
      <c r="H630" s="344" t="e">
        <f t="shared" si="154"/>
        <v>#N/A</v>
      </c>
      <c r="P630" s="342" t="e">
        <f>1-(INDEX(Muuttujat!$O$5:$O$21,MATCH($C630,Muuttujat!$N$5:$N$21,0),1))</f>
        <v>#N/A</v>
      </c>
      <c r="Q630" s="342" t="e">
        <f>INDEX(Muuttujat!$O$5:$O$21,MATCH($C630,Muuttujat!$N$5:$N$21,0),1)</f>
        <v>#N/A</v>
      </c>
      <c r="R630" s="162"/>
      <c r="S630" s="163"/>
      <c r="T630" s="163"/>
      <c r="U630" s="163"/>
      <c r="V630" s="163"/>
      <c r="W630" s="163"/>
      <c r="X630" s="163"/>
      <c r="Y630" s="160"/>
      <c r="Z630" s="164"/>
      <c r="AA630" s="164"/>
      <c r="AB630" s="164"/>
      <c r="AC630" s="164"/>
      <c r="AD630" s="164"/>
    </row>
    <row r="631" spans="4:30">
      <c r="D631" s="160"/>
      <c r="F631" s="344">
        <f t="shared" si="152"/>
        <v>0</v>
      </c>
      <c r="G631" s="344" t="e">
        <f t="shared" si="153"/>
        <v>#N/A</v>
      </c>
      <c r="H631" s="344" t="e">
        <f t="shared" si="154"/>
        <v>#N/A</v>
      </c>
      <c r="P631" s="342" t="e">
        <f>1-(INDEX(Muuttujat!$O$5:$O$21,MATCH($C631,Muuttujat!$N$5:$N$21,0),1))</f>
        <v>#N/A</v>
      </c>
      <c r="Q631" s="342" t="e">
        <f>INDEX(Muuttujat!$O$5:$O$21,MATCH($C631,Muuttujat!$N$5:$N$21,0),1)</f>
        <v>#N/A</v>
      </c>
      <c r="R631" s="162"/>
      <c r="S631" s="163"/>
      <c r="T631" s="163"/>
      <c r="U631" s="163"/>
      <c r="V631" s="163"/>
      <c r="W631" s="163"/>
      <c r="X631" s="163"/>
      <c r="Y631" s="160"/>
      <c r="Z631" s="164"/>
      <c r="AA631" s="164"/>
      <c r="AB631" s="164"/>
      <c r="AC631" s="164"/>
      <c r="AD631" s="164"/>
    </row>
    <row r="632" spans="4:30">
      <c r="D632" s="160"/>
      <c r="F632" s="344">
        <f t="shared" si="152"/>
        <v>0</v>
      </c>
      <c r="G632" s="344" t="e">
        <f t="shared" si="153"/>
        <v>#N/A</v>
      </c>
      <c r="H632" s="344" t="e">
        <f t="shared" si="154"/>
        <v>#N/A</v>
      </c>
      <c r="P632" s="342" t="e">
        <f>1-(INDEX(Muuttujat!$O$5:$O$21,MATCH($C632,Muuttujat!$N$5:$N$21,0),1))</f>
        <v>#N/A</v>
      </c>
      <c r="Q632" s="342" t="e">
        <f>INDEX(Muuttujat!$O$5:$O$21,MATCH($C632,Muuttujat!$N$5:$N$21,0),1)</f>
        <v>#N/A</v>
      </c>
      <c r="R632" s="162"/>
      <c r="S632" s="163"/>
      <c r="T632" s="163"/>
      <c r="U632" s="163"/>
      <c r="V632" s="163"/>
      <c r="W632" s="163"/>
      <c r="X632" s="163"/>
      <c r="Y632" s="160"/>
      <c r="Z632" s="164"/>
      <c r="AA632" s="164"/>
      <c r="AB632" s="164"/>
      <c r="AC632" s="164"/>
      <c r="AD632" s="164"/>
    </row>
    <row r="633" spans="4:30">
      <c r="D633" s="160"/>
      <c r="F633" s="344">
        <f t="shared" si="152"/>
        <v>0</v>
      </c>
      <c r="G633" s="344" t="e">
        <f t="shared" si="153"/>
        <v>#N/A</v>
      </c>
      <c r="H633" s="344" t="e">
        <f t="shared" si="154"/>
        <v>#N/A</v>
      </c>
      <c r="P633" s="342" t="e">
        <f>1-(INDEX(Muuttujat!$O$5:$O$21,MATCH($C633,Muuttujat!$N$5:$N$21,0),1))</f>
        <v>#N/A</v>
      </c>
      <c r="Q633" s="342" t="e">
        <f>INDEX(Muuttujat!$O$5:$O$21,MATCH($C633,Muuttujat!$N$5:$N$21,0),1)</f>
        <v>#N/A</v>
      </c>
      <c r="R633" s="162"/>
      <c r="S633" s="163"/>
      <c r="T633" s="163"/>
      <c r="U633" s="163"/>
      <c r="V633" s="163"/>
      <c r="W633" s="163"/>
      <c r="X633" s="163"/>
      <c r="Y633" s="160"/>
      <c r="Z633" s="164"/>
      <c r="AA633" s="164"/>
      <c r="AB633" s="164"/>
      <c r="AC633" s="164"/>
      <c r="AD633" s="164"/>
    </row>
    <row r="634" spans="4:30">
      <c r="D634" s="160"/>
      <c r="F634" s="344">
        <f t="shared" si="152"/>
        <v>0</v>
      </c>
      <c r="G634" s="344" t="e">
        <f t="shared" si="153"/>
        <v>#N/A</v>
      </c>
      <c r="H634" s="344" t="e">
        <f t="shared" si="154"/>
        <v>#N/A</v>
      </c>
      <c r="P634" s="342" t="e">
        <f>1-(INDEX(Muuttujat!$O$5:$O$21,MATCH($C634,Muuttujat!$N$5:$N$21,0),1))</f>
        <v>#N/A</v>
      </c>
      <c r="Q634" s="342" t="e">
        <f>INDEX(Muuttujat!$O$5:$O$21,MATCH($C634,Muuttujat!$N$5:$N$21,0),1)</f>
        <v>#N/A</v>
      </c>
      <c r="R634" s="162"/>
      <c r="S634" s="163"/>
      <c r="T634" s="163"/>
      <c r="U634" s="163"/>
      <c r="V634" s="163"/>
      <c r="W634" s="163"/>
      <c r="X634" s="163"/>
      <c r="Y634" s="160"/>
      <c r="Z634" s="164"/>
      <c r="AA634" s="164"/>
      <c r="AB634" s="164"/>
      <c r="AC634" s="164"/>
      <c r="AD634" s="164"/>
    </row>
    <row r="635" spans="4:30">
      <c r="D635" s="160"/>
      <c r="F635" s="344">
        <f t="shared" si="152"/>
        <v>0</v>
      </c>
      <c r="G635" s="344" t="e">
        <f t="shared" si="153"/>
        <v>#N/A</v>
      </c>
      <c r="H635" s="344" t="e">
        <f t="shared" si="154"/>
        <v>#N/A</v>
      </c>
      <c r="P635" s="342" t="e">
        <f>1-(INDEX(Muuttujat!$O$5:$O$21,MATCH($C635,Muuttujat!$N$5:$N$21,0),1))</f>
        <v>#N/A</v>
      </c>
      <c r="Q635" s="342" t="e">
        <f>INDEX(Muuttujat!$O$5:$O$21,MATCH($C635,Muuttujat!$N$5:$N$21,0),1)</f>
        <v>#N/A</v>
      </c>
      <c r="R635" s="162"/>
      <c r="S635" s="163"/>
      <c r="T635" s="163"/>
      <c r="U635" s="163"/>
      <c r="V635" s="163"/>
      <c r="W635" s="163"/>
      <c r="X635" s="163"/>
      <c r="Y635" s="160"/>
      <c r="Z635" s="164"/>
      <c r="AA635" s="164"/>
      <c r="AB635" s="164"/>
      <c r="AC635" s="164"/>
      <c r="AD635" s="164"/>
    </row>
    <row r="636" spans="4:30">
      <c r="D636" s="160"/>
      <c r="F636" s="344">
        <f t="shared" si="152"/>
        <v>0</v>
      </c>
      <c r="G636" s="344" t="e">
        <f t="shared" si="153"/>
        <v>#N/A</v>
      </c>
      <c r="H636" s="344" t="e">
        <f t="shared" si="154"/>
        <v>#N/A</v>
      </c>
      <c r="P636" s="342" t="e">
        <f>1-(INDEX(Muuttujat!$O$5:$O$21,MATCH($C636,Muuttujat!$N$5:$N$21,0),1))</f>
        <v>#N/A</v>
      </c>
      <c r="Q636" s="342" t="e">
        <f>INDEX(Muuttujat!$O$5:$O$21,MATCH($C636,Muuttujat!$N$5:$N$21,0),1)</f>
        <v>#N/A</v>
      </c>
      <c r="R636" s="162"/>
      <c r="S636" s="163"/>
      <c r="T636" s="163"/>
      <c r="U636" s="163"/>
      <c r="V636" s="163"/>
      <c r="W636" s="163"/>
      <c r="X636" s="163"/>
      <c r="Y636" s="160"/>
      <c r="Z636" s="164"/>
      <c r="AA636" s="164"/>
      <c r="AB636" s="164"/>
      <c r="AC636" s="164"/>
      <c r="AD636" s="164"/>
    </row>
    <row r="637" spans="4:30">
      <c r="D637" s="160"/>
      <c r="F637" s="344">
        <f t="shared" si="152"/>
        <v>0</v>
      </c>
      <c r="G637" s="344" t="e">
        <f t="shared" si="153"/>
        <v>#N/A</v>
      </c>
      <c r="H637" s="344" t="e">
        <f t="shared" si="154"/>
        <v>#N/A</v>
      </c>
      <c r="P637" s="342" t="e">
        <f>1-(INDEX(Muuttujat!$O$5:$O$21,MATCH($C637,Muuttujat!$N$5:$N$21,0),1))</f>
        <v>#N/A</v>
      </c>
      <c r="Q637" s="342" t="e">
        <f>INDEX(Muuttujat!$O$5:$O$21,MATCH($C637,Muuttujat!$N$5:$N$21,0),1)</f>
        <v>#N/A</v>
      </c>
      <c r="R637" s="162"/>
      <c r="S637" s="163"/>
      <c r="T637" s="163"/>
      <c r="U637" s="163"/>
      <c r="V637" s="163"/>
      <c r="W637" s="163"/>
      <c r="X637" s="163"/>
      <c r="Y637" s="160"/>
      <c r="Z637" s="164"/>
      <c r="AA637" s="164"/>
      <c r="AB637" s="164"/>
      <c r="AC637" s="164"/>
      <c r="AD637" s="164"/>
    </row>
    <row r="638" spans="4:30">
      <c r="D638" s="160"/>
      <c r="F638" s="344">
        <f t="shared" si="152"/>
        <v>0</v>
      </c>
      <c r="G638" s="344" t="e">
        <f t="shared" si="153"/>
        <v>#N/A</v>
      </c>
      <c r="H638" s="344" t="e">
        <f t="shared" si="154"/>
        <v>#N/A</v>
      </c>
      <c r="P638" s="342" t="e">
        <f>1-(INDEX(Muuttujat!$O$5:$O$21,MATCH($C638,Muuttujat!$N$5:$N$21,0),1))</f>
        <v>#N/A</v>
      </c>
      <c r="Q638" s="342" t="e">
        <f>INDEX(Muuttujat!$O$5:$O$21,MATCH($C638,Muuttujat!$N$5:$N$21,0),1)</f>
        <v>#N/A</v>
      </c>
      <c r="R638" s="162"/>
      <c r="S638" s="163"/>
      <c r="T638" s="163"/>
      <c r="U638" s="163"/>
      <c r="V638" s="163"/>
      <c r="W638" s="163"/>
      <c r="X638" s="163"/>
      <c r="Y638" s="160"/>
      <c r="Z638" s="164"/>
      <c r="AA638" s="164"/>
      <c r="AB638" s="164"/>
      <c r="AC638" s="164"/>
      <c r="AD638" s="164"/>
    </row>
    <row r="639" spans="4:30">
      <c r="D639" s="160"/>
      <c r="F639" s="344">
        <f t="shared" si="152"/>
        <v>0</v>
      </c>
      <c r="G639" s="344" t="e">
        <f t="shared" si="153"/>
        <v>#N/A</v>
      </c>
      <c r="H639" s="344" t="e">
        <f t="shared" si="154"/>
        <v>#N/A</v>
      </c>
      <c r="P639" s="342" t="e">
        <f>1-(INDEX(Muuttujat!$O$5:$O$21,MATCH($C639,Muuttujat!$N$5:$N$21,0),1))</f>
        <v>#N/A</v>
      </c>
      <c r="Q639" s="342" t="e">
        <f>INDEX(Muuttujat!$O$5:$O$21,MATCH($C639,Muuttujat!$N$5:$N$21,0),1)</f>
        <v>#N/A</v>
      </c>
      <c r="R639" s="162"/>
      <c r="S639" s="163"/>
      <c r="T639" s="163"/>
      <c r="U639" s="163"/>
      <c r="V639" s="163"/>
      <c r="W639" s="163"/>
      <c r="X639" s="163"/>
      <c r="Y639" s="160"/>
      <c r="Z639" s="164"/>
      <c r="AA639" s="164"/>
      <c r="AB639" s="164"/>
      <c r="AC639" s="164"/>
      <c r="AD639" s="164"/>
    </row>
    <row r="640" spans="4:30">
      <c r="D640" s="160"/>
      <c r="F640" s="344">
        <f t="shared" si="152"/>
        <v>0</v>
      </c>
      <c r="G640" s="344" t="e">
        <f t="shared" si="153"/>
        <v>#N/A</v>
      </c>
      <c r="H640" s="344" t="e">
        <f t="shared" si="154"/>
        <v>#N/A</v>
      </c>
      <c r="P640" s="342" t="e">
        <f>1-(INDEX(Muuttujat!$O$5:$O$21,MATCH($C640,Muuttujat!$N$5:$N$21,0),1))</f>
        <v>#N/A</v>
      </c>
      <c r="Q640" s="342" t="e">
        <f>INDEX(Muuttujat!$O$5:$O$21,MATCH($C640,Muuttujat!$N$5:$N$21,0),1)</f>
        <v>#N/A</v>
      </c>
      <c r="R640" s="162"/>
      <c r="S640" s="163"/>
      <c r="T640" s="163"/>
      <c r="U640" s="163"/>
      <c r="V640" s="163"/>
      <c r="W640" s="163"/>
      <c r="X640" s="163"/>
      <c r="Y640" s="160"/>
      <c r="Z640" s="164"/>
      <c r="AA640" s="164"/>
      <c r="AB640" s="164"/>
      <c r="AC640" s="164"/>
      <c r="AD640" s="164"/>
    </row>
    <row r="641" spans="4:30">
      <c r="D641" s="160"/>
      <c r="F641" s="344">
        <f t="shared" si="152"/>
        <v>0</v>
      </c>
      <c r="G641" s="344" t="e">
        <f t="shared" si="153"/>
        <v>#N/A</v>
      </c>
      <c r="H641" s="344" t="e">
        <f t="shared" si="154"/>
        <v>#N/A</v>
      </c>
      <c r="P641" s="342" t="e">
        <f>1-(INDEX(Muuttujat!$O$5:$O$21,MATCH($C641,Muuttujat!$N$5:$N$21,0),1))</f>
        <v>#N/A</v>
      </c>
      <c r="Q641" s="342" t="e">
        <f>INDEX(Muuttujat!$O$5:$O$21,MATCH($C641,Muuttujat!$N$5:$N$21,0),1)</f>
        <v>#N/A</v>
      </c>
      <c r="R641" s="162"/>
      <c r="S641" s="163"/>
      <c r="T641" s="163"/>
      <c r="U641" s="163"/>
      <c r="V641" s="163"/>
      <c r="W641" s="163"/>
      <c r="X641" s="163"/>
      <c r="Y641" s="160"/>
      <c r="Z641" s="164"/>
      <c r="AA641" s="164"/>
      <c r="AB641" s="164"/>
      <c r="AC641" s="164"/>
      <c r="AD641" s="164"/>
    </row>
    <row r="642" spans="4:30">
      <c r="D642" s="160"/>
      <c r="F642" s="344">
        <f t="shared" si="152"/>
        <v>0</v>
      </c>
      <c r="G642" s="344" t="e">
        <f t="shared" si="153"/>
        <v>#N/A</v>
      </c>
      <c r="H642" s="344" t="e">
        <f t="shared" si="154"/>
        <v>#N/A</v>
      </c>
      <c r="P642" s="342" t="e">
        <f>1-(INDEX(Muuttujat!$O$5:$O$21,MATCH($C642,Muuttujat!$N$5:$N$21,0),1))</f>
        <v>#N/A</v>
      </c>
      <c r="Q642" s="342" t="e">
        <f>INDEX(Muuttujat!$O$5:$O$21,MATCH($C642,Muuttujat!$N$5:$N$21,0),1)</f>
        <v>#N/A</v>
      </c>
      <c r="R642" s="162"/>
      <c r="S642" s="163"/>
      <c r="T642" s="163"/>
      <c r="U642" s="163"/>
      <c r="V642" s="163"/>
      <c r="W642" s="163"/>
      <c r="X642" s="163"/>
      <c r="Y642" s="160"/>
      <c r="Z642" s="164"/>
      <c r="AA642" s="164"/>
      <c r="AB642" s="164"/>
      <c r="AC642" s="164"/>
      <c r="AD642" s="164"/>
    </row>
    <row r="643" spans="4:30">
      <c r="D643" s="160"/>
      <c r="F643" s="344">
        <f t="shared" ref="F643:F685" si="155">IF(D643="pom",$E643*hv_pom,0)</f>
        <v>0</v>
      </c>
      <c r="G643" s="344" t="e">
        <f t="shared" si="153"/>
        <v>#N/A</v>
      </c>
      <c r="H643" s="344" t="e">
        <f t="shared" si="154"/>
        <v>#N/A</v>
      </c>
      <c r="P643" s="342" t="e">
        <f>1-(INDEX(Muuttujat!$O$5:$O$21,MATCH($C643,Muuttujat!$N$5:$N$21,0),1))</f>
        <v>#N/A</v>
      </c>
      <c r="Q643" s="342" t="e">
        <f>INDEX(Muuttujat!$O$5:$O$21,MATCH($C643,Muuttujat!$N$5:$N$21,0),1)</f>
        <v>#N/A</v>
      </c>
      <c r="R643" s="162"/>
      <c r="S643" s="163"/>
      <c r="T643" s="163"/>
      <c r="U643" s="163"/>
      <c r="V643" s="163"/>
      <c r="W643" s="163"/>
      <c r="X643" s="163"/>
      <c r="Y643" s="160"/>
      <c r="Z643" s="164"/>
      <c r="AA643" s="164"/>
      <c r="AB643" s="164"/>
      <c r="AC643" s="164"/>
      <c r="AD643" s="164"/>
    </row>
    <row r="644" spans="4:30">
      <c r="D644" s="160"/>
      <c r="F644" s="344">
        <f t="shared" si="155"/>
        <v>0</v>
      </c>
      <c r="G644" s="344" t="e">
        <f t="shared" ref="G644:G685" si="156">$F644*$P644</f>
        <v>#N/A</v>
      </c>
      <c r="H644" s="344" t="e">
        <f t="shared" ref="H644:H685" si="157">$F644*$Q644</f>
        <v>#N/A</v>
      </c>
      <c r="P644" s="342" t="e">
        <f>1-(INDEX(Muuttujat!$O$5:$O$21,MATCH($C644,Muuttujat!$N$5:$N$21,0),1))</f>
        <v>#N/A</v>
      </c>
      <c r="Q644" s="342" t="e">
        <f>INDEX(Muuttujat!$O$5:$O$21,MATCH($C644,Muuttujat!$N$5:$N$21,0),1)</f>
        <v>#N/A</v>
      </c>
      <c r="R644" s="162"/>
      <c r="S644" s="163"/>
      <c r="T644" s="163"/>
      <c r="U644" s="163"/>
      <c r="V644" s="163"/>
      <c r="W644" s="163"/>
      <c r="X644" s="163"/>
      <c r="Y644" s="160"/>
      <c r="Z644" s="164"/>
      <c r="AA644" s="164"/>
      <c r="AB644" s="164"/>
      <c r="AC644" s="164"/>
      <c r="AD644" s="164"/>
    </row>
    <row r="645" spans="4:30">
      <c r="D645" s="160"/>
      <c r="F645" s="344">
        <f t="shared" si="155"/>
        <v>0</v>
      </c>
      <c r="G645" s="344" t="e">
        <f t="shared" si="156"/>
        <v>#N/A</v>
      </c>
      <c r="H645" s="344" t="e">
        <f t="shared" si="157"/>
        <v>#N/A</v>
      </c>
      <c r="P645" s="342" t="e">
        <f>1-(INDEX(Muuttujat!$O$5:$O$21,MATCH($C645,Muuttujat!$N$5:$N$21,0),1))</f>
        <v>#N/A</v>
      </c>
      <c r="Q645" s="342" t="e">
        <f>INDEX(Muuttujat!$O$5:$O$21,MATCH($C645,Muuttujat!$N$5:$N$21,0),1)</f>
        <v>#N/A</v>
      </c>
      <c r="R645" s="162"/>
      <c r="S645" s="163"/>
      <c r="T645" s="163"/>
      <c r="U645" s="163"/>
      <c r="V645" s="163"/>
      <c r="W645" s="163"/>
      <c r="X645" s="163"/>
      <c r="Y645" s="160"/>
      <c r="Z645" s="164"/>
      <c r="AA645" s="164"/>
      <c r="AB645" s="164"/>
      <c r="AC645" s="164"/>
      <c r="AD645" s="164"/>
    </row>
    <row r="646" spans="4:30">
      <c r="D646" s="160"/>
      <c r="F646" s="344">
        <f t="shared" si="155"/>
        <v>0</v>
      </c>
      <c r="G646" s="344" t="e">
        <f t="shared" si="156"/>
        <v>#N/A</v>
      </c>
      <c r="H646" s="344" t="e">
        <f t="shared" si="157"/>
        <v>#N/A</v>
      </c>
      <c r="P646" s="342" t="e">
        <f>1-(INDEX(Muuttujat!$O$5:$O$21,MATCH($C646,Muuttujat!$N$5:$N$21,0),1))</f>
        <v>#N/A</v>
      </c>
      <c r="Q646" s="342" t="e">
        <f>INDEX(Muuttujat!$O$5:$O$21,MATCH($C646,Muuttujat!$N$5:$N$21,0),1)</f>
        <v>#N/A</v>
      </c>
      <c r="R646" s="162"/>
      <c r="S646" s="163"/>
      <c r="T646" s="163"/>
      <c r="U646" s="163"/>
      <c r="V646" s="163"/>
      <c r="W646" s="163"/>
      <c r="X646" s="163"/>
      <c r="Y646" s="160"/>
      <c r="Z646" s="164"/>
      <c r="AA646" s="164"/>
      <c r="AB646" s="164"/>
      <c r="AC646" s="164"/>
      <c r="AD646" s="164"/>
    </row>
    <row r="647" spans="4:30">
      <c r="D647" s="160"/>
      <c r="F647" s="344">
        <f t="shared" si="155"/>
        <v>0</v>
      </c>
      <c r="G647" s="344" t="e">
        <f t="shared" si="156"/>
        <v>#N/A</v>
      </c>
      <c r="H647" s="344" t="e">
        <f t="shared" si="157"/>
        <v>#N/A</v>
      </c>
      <c r="P647" s="342" t="e">
        <f>1-(INDEX(Muuttujat!$O$5:$O$21,MATCH($C647,Muuttujat!$N$5:$N$21,0),1))</f>
        <v>#N/A</v>
      </c>
      <c r="Q647" s="342" t="e">
        <f>INDEX(Muuttujat!$O$5:$O$21,MATCH($C647,Muuttujat!$N$5:$N$21,0),1)</f>
        <v>#N/A</v>
      </c>
      <c r="R647" s="162"/>
      <c r="S647" s="163"/>
      <c r="T647" s="163"/>
      <c r="U647" s="163"/>
      <c r="V647" s="163"/>
      <c r="W647" s="163"/>
      <c r="X647" s="163"/>
      <c r="Y647" s="160"/>
      <c r="Z647" s="164"/>
      <c r="AA647" s="164"/>
      <c r="AB647" s="164"/>
      <c r="AC647" s="164"/>
      <c r="AD647" s="164"/>
    </row>
    <row r="648" spans="4:30">
      <c r="D648" s="160"/>
      <c r="F648" s="344">
        <f t="shared" si="155"/>
        <v>0</v>
      </c>
      <c r="G648" s="344" t="e">
        <f t="shared" si="156"/>
        <v>#N/A</v>
      </c>
      <c r="H648" s="344" t="e">
        <f t="shared" si="157"/>
        <v>#N/A</v>
      </c>
      <c r="P648" s="342" t="e">
        <f>1-(INDEX(Muuttujat!$O$5:$O$21,MATCH($C648,Muuttujat!$N$5:$N$21,0),1))</f>
        <v>#N/A</v>
      </c>
      <c r="Q648" s="342" t="e">
        <f>INDEX(Muuttujat!$O$5:$O$21,MATCH($C648,Muuttujat!$N$5:$N$21,0),1)</f>
        <v>#N/A</v>
      </c>
      <c r="R648" s="162"/>
      <c r="S648" s="163"/>
      <c r="T648" s="163"/>
      <c r="U648" s="163"/>
      <c r="V648" s="163"/>
      <c r="W648" s="163"/>
      <c r="X648" s="163"/>
      <c r="Y648" s="160"/>
      <c r="Z648" s="164"/>
      <c r="AA648" s="164"/>
      <c r="AB648" s="164"/>
      <c r="AC648" s="164"/>
      <c r="AD648" s="164"/>
    </row>
    <row r="649" spans="4:30">
      <c r="D649" s="160"/>
      <c r="F649" s="344">
        <f t="shared" si="155"/>
        <v>0</v>
      </c>
      <c r="G649" s="344" t="e">
        <f t="shared" si="156"/>
        <v>#N/A</v>
      </c>
      <c r="H649" s="344" t="e">
        <f t="shared" si="157"/>
        <v>#N/A</v>
      </c>
      <c r="P649" s="342" t="e">
        <f>1-(INDEX(Muuttujat!$O$5:$O$21,MATCH($C649,Muuttujat!$N$5:$N$21,0),1))</f>
        <v>#N/A</v>
      </c>
      <c r="Q649" s="342" t="e">
        <f>INDEX(Muuttujat!$O$5:$O$21,MATCH($C649,Muuttujat!$N$5:$N$21,0),1)</f>
        <v>#N/A</v>
      </c>
      <c r="R649" s="162"/>
      <c r="S649" s="163"/>
      <c r="T649" s="163"/>
      <c r="U649" s="163"/>
      <c r="V649" s="163"/>
      <c r="W649" s="163"/>
      <c r="X649" s="163"/>
      <c r="Y649" s="160"/>
      <c r="Z649" s="164"/>
      <c r="AA649" s="164"/>
      <c r="AB649" s="164"/>
      <c r="AC649" s="164"/>
      <c r="AD649" s="164"/>
    </row>
    <row r="650" spans="4:30">
      <c r="D650" s="160"/>
      <c r="F650" s="344">
        <f t="shared" si="155"/>
        <v>0</v>
      </c>
      <c r="G650" s="344" t="e">
        <f t="shared" si="156"/>
        <v>#N/A</v>
      </c>
      <c r="H650" s="344" t="e">
        <f t="shared" si="157"/>
        <v>#N/A</v>
      </c>
      <c r="P650" s="342" t="e">
        <f>1-(INDEX(Muuttujat!$O$5:$O$21,MATCH($C650,Muuttujat!$N$5:$N$21,0),1))</f>
        <v>#N/A</v>
      </c>
      <c r="Q650" s="342" t="e">
        <f>INDEX(Muuttujat!$O$5:$O$21,MATCH($C650,Muuttujat!$N$5:$N$21,0),1)</f>
        <v>#N/A</v>
      </c>
      <c r="R650" s="162"/>
      <c r="S650" s="163"/>
      <c r="T650" s="163"/>
      <c r="U650" s="163"/>
      <c r="V650" s="163"/>
      <c r="W650" s="163"/>
      <c r="X650" s="163"/>
      <c r="Y650" s="160"/>
      <c r="Z650" s="164"/>
      <c r="AA650" s="164"/>
      <c r="AB650" s="164"/>
      <c r="AC650" s="164"/>
      <c r="AD650" s="164"/>
    </row>
    <row r="651" spans="4:30">
      <c r="D651" s="160"/>
      <c r="F651" s="344">
        <f t="shared" si="155"/>
        <v>0</v>
      </c>
      <c r="G651" s="344" t="e">
        <f t="shared" si="156"/>
        <v>#N/A</v>
      </c>
      <c r="H651" s="344" t="e">
        <f t="shared" si="157"/>
        <v>#N/A</v>
      </c>
      <c r="P651" s="342" t="e">
        <f>1-(INDEX(Muuttujat!$O$5:$O$21,MATCH($C651,Muuttujat!$N$5:$N$21,0),1))</f>
        <v>#N/A</v>
      </c>
      <c r="Q651" s="342" t="e">
        <f>INDEX(Muuttujat!$O$5:$O$21,MATCH($C651,Muuttujat!$N$5:$N$21,0),1)</f>
        <v>#N/A</v>
      </c>
      <c r="R651" s="162"/>
      <c r="S651" s="163"/>
      <c r="T651" s="163"/>
      <c r="U651" s="163"/>
      <c r="V651" s="163"/>
      <c r="W651" s="163"/>
      <c r="X651" s="163"/>
      <c r="Y651" s="160"/>
      <c r="Z651" s="164"/>
      <c r="AA651" s="164"/>
      <c r="AB651" s="164"/>
      <c r="AC651" s="164"/>
      <c r="AD651" s="164"/>
    </row>
    <row r="652" spans="4:30">
      <c r="D652" s="160"/>
      <c r="F652" s="344">
        <f t="shared" si="155"/>
        <v>0</v>
      </c>
      <c r="G652" s="344" t="e">
        <f t="shared" si="156"/>
        <v>#N/A</v>
      </c>
      <c r="H652" s="344" t="e">
        <f t="shared" si="157"/>
        <v>#N/A</v>
      </c>
      <c r="P652" s="342" t="e">
        <f>1-(INDEX(Muuttujat!$O$5:$O$21,MATCH($C652,Muuttujat!$N$5:$N$21,0),1))</f>
        <v>#N/A</v>
      </c>
      <c r="Q652" s="342" t="e">
        <f>INDEX(Muuttujat!$O$5:$O$21,MATCH($C652,Muuttujat!$N$5:$N$21,0),1)</f>
        <v>#N/A</v>
      </c>
      <c r="R652" s="162"/>
      <c r="S652" s="163"/>
      <c r="T652" s="163"/>
      <c r="U652" s="163"/>
      <c r="V652" s="163"/>
      <c r="W652" s="163"/>
      <c r="X652" s="163"/>
      <c r="Y652" s="160"/>
      <c r="Z652" s="164"/>
      <c r="AA652" s="164"/>
      <c r="AB652" s="164"/>
      <c r="AC652" s="164"/>
      <c r="AD652" s="164"/>
    </row>
    <row r="653" spans="4:30">
      <c r="D653" s="160"/>
      <c r="F653" s="344">
        <f t="shared" si="155"/>
        <v>0</v>
      </c>
      <c r="G653" s="344" t="e">
        <f t="shared" si="156"/>
        <v>#N/A</v>
      </c>
      <c r="H653" s="344" t="e">
        <f t="shared" si="157"/>
        <v>#N/A</v>
      </c>
      <c r="P653" s="342" t="e">
        <f>1-(INDEX(Muuttujat!$O$5:$O$21,MATCH($C653,Muuttujat!$N$5:$N$21,0),1))</f>
        <v>#N/A</v>
      </c>
      <c r="Q653" s="342" t="e">
        <f>INDEX(Muuttujat!$O$5:$O$21,MATCH($C653,Muuttujat!$N$5:$N$21,0),1)</f>
        <v>#N/A</v>
      </c>
      <c r="R653" s="162"/>
      <c r="S653" s="163"/>
      <c r="T653" s="163"/>
      <c r="U653" s="163"/>
      <c r="V653" s="163"/>
      <c r="W653" s="163"/>
      <c r="X653" s="163"/>
      <c r="Y653" s="160"/>
      <c r="Z653" s="164"/>
      <c r="AA653" s="164"/>
      <c r="AB653" s="164"/>
      <c r="AC653" s="164"/>
      <c r="AD653" s="164"/>
    </row>
    <row r="654" spans="4:30">
      <c r="D654" s="160"/>
      <c r="F654" s="344">
        <f t="shared" si="155"/>
        <v>0</v>
      </c>
      <c r="G654" s="344" t="e">
        <f t="shared" si="156"/>
        <v>#N/A</v>
      </c>
      <c r="H654" s="344" t="e">
        <f t="shared" si="157"/>
        <v>#N/A</v>
      </c>
      <c r="P654" s="342" t="e">
        <f>1-(INDEX(Muuttujat!$O$5:$O$21,MATCH($C654,Muuttujat!$N$5:$N$21,0),1))</f>
        <v>#N/A</v>
      </c>
      <c r="Q654" s="342" t="e">
        <f>INDEX(Muuttujat!$O$5:$O$21,MATCH($C654,Muuttujat!$N$5:$N$21,0),1)</f>
        <v>#N/A</v>
      </c>
      <c r="R654" s="162"/>
      <c r="S654" s="163"/>
      <c r="T654" s="163"/>
      <c r="U654" s="163"/>
      <c r="V654" s="163"/>
      <c r="W654" s="163"/>
      <c r="X654" s="163"/>
      <c r="Y654" s="160"/>
      <c r="Z654" s="164"/>
      <c r="AA654" s="164"/>
      <c r="AB654" s="164"/>
      <c r="AC654" s="164"/>
      <c r="AD654" s="164"/>
    </row>
    <row r="655" spans="4:30">
      <c r="D655" s="160"/>
      <c r="F655" s="344">
        <f t="shared" si="155"/>
        <v>0</v>
      </c>
      <c r="G655" s="344" t="e">
        <f t="shared" si="156"/>
        <v>#N/A</v>
      </c>
      <c r="H655" s="344" t="e">
        <f t="shared" si="157"/>
        <v>#N/A</v>
      </c>
      <c r="P655" s="342" t="e">
        <f>1-(INDEX(Muuttujat!$O$5:$O$21,MATCH($C655,Muuttujat!$N$5:$N$21,0),1))</f>
        <v>#N/A</v>
      </c>
      <c r="Q655" s="342" t="e">
        <f>INDEX(Muuttujat!$O$5:$O$21,MATCH($C655,Muuttujat!$N$5:$N$21,0),1)</f>
        <v>#N/A</v>
      </c>
      <c r="R655" s="162"/>
      <c r="S655" s="163"/>
      <c r="T655" s="163"/>
      <c r="U655" s="163"/>
      <c r="V655" s="163"/>
      <c r="W655" s="163"/>
      <c r="X655" s="163"/>
      <c r="Y655" s="160"/>
      <c r="Z655" s="164"/>
      <c r="AA655" s="164"/>
      <c r="AB655" s="164"/>
      <c r="AC655" s="164"/>
      <c r="AD655" s="164"/>
    </row>
    <row r="656" spans="4:30">
      <c r="D656" s="160"/>
      <c r="F656" s="344">
        <f t="shared" si="155"/>
        <v>0</v>
      </c>
      <c r="G656" s="344" t="e">
        <f t="shared" si="156"/>
        <v>#N/A</v>
      </c>
      <c r="H656" s="344" t="e">
        <f t="shared" si="157"/>
        <v>#N/A</v>
      </c>
      <c r="P656" s="342" t="e">
        <f>1-(INDEX(Muuttujat!$O$5:$O$21,MATCH($C656,Muuttujat!$N$5:$N$21,0),1))</f>
        <v>#N/A</v>
      </c>
      <c r="Q656" s="342" t="e">
        <f>INDEX(Muuttujat!$O$5:$O$21,MATCH($C656,Muuttujat!$N$5:$N$21,0),1)</f>
        <v>#N/A</v>
      </c>
      <c r="R656" s="162"/>
      <c r="S656" s="163"/>
      <c r="T656" s="163"/>
      <c r="U656" s="163"/>
      <c r="V656" s="163"/>
      <c r="W656" s="163"/>
      <c r="X656" s="163"/>
      <c r="Y656" s="160"/>
      <c r="Z656" s="164"/>
      <c r="AA656" s="164"/>
      <c r="AB656" s="164"/>
      <c r="AC656" s="164"/>
      <c r="AD656" s="164"/>
    </row>
    <row r="657" spans="4:30">
      <c r="D657" s="160"/>
      <c r="F657" s="344">
        <f t="shared" si="155"/>
        <v>0</v>
      </c>
      <c r="G657" s="344" t="e">
        <f t="shared" si="156"/>
        <v>#N/A</v>
      </c>
      <c r="H657" s="344" t="e">
        <f t="shared" si="157"/>
        <v>#N/A</v>
      </c>
      <c r="P657" s="342" t="e">
        <f>1-(INDEX(Muuttujat!$O$5:$O$21,MATCH($C657,Muuttujat!$N$5:$N$21,0),1))</f>
        <v>#N/A</v>
      </c>
      <c r="Q657" s="342" t="e">
        <f>INDEX(Muuttujat!$O$5:$O$21,MATCH($C657,Muuttujat!$N$5:$N$21,0),1)</f>
        <v>#N/A</v>
      </c>
      <c r="R657" s="162"/>
      <c r="S657" s="163"/>
      <c r="T657" s="163"/>
      <c r="U657" s="163"/>
      <c r="V657" s="163"/>
      <c r="W657" s="163"/>
      <c r="X657" s="163"/>
      <c r="Y657" s="160"/>
      <c r="Z657" s="164"/>
      <c r="AA657" s="164"/>
      <c r="AB657" s="164"/>
      <c r="AC657" s="164"/>
      <c r="AD657" s="164"/>
    </row>
    <row r="658" spans="4:30">
      <c r="D658" s="160"/>
      <c r="F658" s="344">
        <f t="shared" si="155"/>
        <v>0</v>
      </c>
      <c r="G658" s="344" t="e">
        <f t="shared" si="156"/>
        <v>#N/A</v>
      </c>
      <c r="H658" s="344" t="e">
        <f t="shared" si="157"/>
        <v>#N/A</v>
      </c>
      <c r="P658" s="342" t="e">
        <f>1-(INDEX(Muuttujat!$O$5:$O$21,MATCH($C658,Muuttujat!$N$5:$N$21,0),1))</f>
        <v>#N/A</v>
      </c>
      <c r="Q658" s="342" t="e">
        <f>INDEX(Muuttujat!$O$5:$O$21,MATCH($C658,Muuttujat!$N$5:$N$21,0),1)</f>
        <v>#N/A</v>
      </c>
      <c r="R658" s="162"/>
      <c r="S658" s="163"/>
      <c r="T658" s="163"/>
      <c r="U658" s="163"/>
      <c r="V658" s="163"/>
      <c r="W658" s="163"/>
      <c r="X658" s="163"/>
      <c r="Y658" s="160"/>
      <c r="Z658" s="164"/>
      <c r="AA658" s="164"/>
      <c r="AB658" s="164"/>
      <c r="AC658" s="164"/>
      <c r="AD658" s="164"/>
    </row>
    <row r="659" spans="4:30">
      <c r="D659" s="160"/>
      <c r="F659" s="344">
        <f t="shared" si="155"/>
        <v>0</v>
      </c>
      <c r="G659" s="344" t="e">
        <f t="shared" si="156"/>
        <v>#N/A</v>
      </c>
      <c r="H659" s="344" t="e">
        <f t="shared" si="157"/>
        <v>#N/A</v>
      </c>
      <c r="P659" s="342" t="e">
        <f>1-(INDEX(Muuttujat!$O$5:$O$21,MATCH($C659,Muuttujat!$N$5:$N$21,0),1))</f>
        <v>#N/A</v>
      </c>
      <c r="Q659" s="342" t="e">
        <f>INDEX(Muuttujat!$O$5:$O$21,MATCH($C659,Muuttujat!$N$5:$N$21,0),1)</f>
        <v>#N/A</v>
      </c>
      <c r="R659" s="162"/>
      <c r="S659" s="163"/>
      <c r="T659" s="163"/>
      <c r="U659" s="163"/>
      <c r="V659" s="163"/>
      <c r="W659" s="163"/>
      <c r="X659" s="163"/>
      <c r="Y659" s="160"/>
      <c r="Z659" s="164"/>
      <c r="AA659" s="164"/>
      <c r="AB659" s="164"/>
      <c r="AC659" s="164"/>
      <c r="AD659" s="164"/>
    </row>
    <row r="660" spans="4:30">
      <c r="D660" s="160"/>
      <c r="F660" s="344">
        <f t="shared" si="155"/>
        <v>0</v>
      </c>
      <c r="G660" s="344" t="e">
        <f t="shared" si="156"/>
        <v>#N/A</v>
      </c>
      <c r="H660" s="344" t="e">
        <f t="shared" si="157"/>
        <v>#N/A</v>
      </c>
      <c r="P660" s="342" t="e">
        <f>1-(INDEX(Muuttujat!$O$5:$O$21,MATCH($C660,Muuttujat!$N$5:$N$21,0),1))</f>
        <v>#N/A</v>
      </c>
      <c r="Q660" s="342" t="e">
        <f>INDEX(Muuttujat!$O$5:$O$21,MATCH($C660,Muuttujat!$N$5:$N$21,0),1)</f>
        <v>#N/A</v>
      </c>
      <c r="R660" s="162"/>
      <c r="S660" s="163"/>
      <c r="T660" s="163"/>
      <c r="U660" s="163"/>
      <c r="V660" s="163"/>
      <c r="W660" s="163"/>
      <c r="X660" s="163"/>
      <c r="Y660" s="160"/>
      <c r="Z660" s="164"/>
      <c r="AA660" s="164"/>
      <c r="AB660" s="164"/>
      <c r="AC660" s="164"/>
      <c r="AD660" s="164"/>
    </row>
    <row r="661" spans="4:30">
      <c r="D661" s="160"/>
      <c r="F661" s="344">
        <f t="shared" si="155"/>
        <v>0</v>
      </c>
      <c r="G661" s="344" t="e">
        <f t="shared" si="156"/>
        <v>#N/A</v>
      </c>
      <c r="H661" s="344" t="e">
        <f t="shared" si="157"/>
        <v>#N/A</v>
      </c>
      <c r="P661" s="342" t="e">
        <f>1-(INDEX(Muuttujat!$O$5:$O$21,MATCH($C661,Muuttujat!$N$5:$N$21,0),1))</f>
        <v>#N/A</v>
      </c>
      <c r="Q661" s="342" t="e">
        <f>INDEX(Muuttujat!$O$5:$O$21,MATCH($C661,Muuttujat!$N$5:$N$21,0),1)</f>
        <v>#N/A</v>
      </c>
      <c r="R661" s="162"/>
      <c r="S661" s="163"/>
      <c r="T661" s="163"/>
      <c r="U661" s="163"/>
      <c r="V661" s="163"/>
      <c r="W661" s="163"/>
      <c r="X661" s="163"/>
      <c r="Y661" s="160"/>
      <c r="Z661" s="164"/>
      <c r="AA661" s="164"/>
      <c r="AB661" s="164"/>
      <c r="AC661" s="164"/>
      <c r="AD661" s="164"/>
    </row>
    <row r="662" spans="4:30">
      <c r="D662" s="160"/>
      <c r="F662" s="344">
        <f t="shared" si="155"/>
        <v>0</v>
      </c>
      <c r="G662" s="344" t="e">
        <f t="shared" si="156"/>
        <v>#N/A</v>
      </c>
      <c r="H662" s="344" t="e">
        <f t="shared" si="157"/>
        <v>#N/A</v>
      </c>
      <c r="P662" s="342" t="e">
        <f>1-(INDEX(Muuttujat!$O$5:$O$21,MATCH($C662,Muuttujat!$N$5:$N$21,0),1))</f>
        <v>#N/A</v>
      </c>
      <c r="Q662" s="342" t="e">
        <f>INDEX(Muuttujat!$O$5:$O$21,MATCH($C662,Muuttujat!$N$5:$N$21,0),1)</f>
        <v>#N/A</v>
      </c>
      <c r="R662" s="162"/>
      <c r="S662" s="163"/>
      <c r="T662" s="163"/>
      <c r="U662" s="163"/>
      <c r="V662" s="163"/>
      <c r="W662" s="163"/>
      <c r="X662" s="163"/>
      <c r="Y662" s="160"/>
      <c r="Z662" s="164"/>
      <c r="AA662" s="164"/>
      <c r="AB662" s="164"/>
      <c r="AC662" s="164"/>
      <c r="AD662" s="164"/>
    </row>
    <row r="663" spans="4:30">
      <c r="D663" s="160"/>
      <c r="F663" s="344">
        <f t="shared" si="155"/>
        <v>0</v>
      </c>
      <c r="G663" s="344" t="e">
        <f t="shared" si="156"/>
        <v>#N/A</v>
      </c>
      <c r="H663" s="344" t="e">
        <f t="shared" si="157"/>
        <v>#N/A</v>
      </c>
      <c r="P663" s="342" t="e">
        <f>1-(INDEX(Muuttujat!$O$5:$O$21,MATCH($C663,Muuttujat!$N$5:$N$21,0),1))</f>
        <v>#N/A</v>
      </c>
      <c r="Q663" s="342" t="e">
        <f>INDEX(Muuttujat!$O$5:$O$21,MATCH($C663,Muuttujat!$N$5:$N$21,0),1)</f>
        <v>#N/A</v>
      </c>
      <c r="R663" s="162"/>
      <c r="S663" s="163"/>
      <c r="T663" s="163"/>
      <c r="U663" s="163"/>
      <c r="V663" s="163"/>
      <c r="W663" s="163"/>
      <c r="X663" s="163"/>
      <c r="Y663" s="160"/>
      <c r="Z663" s="164"/>
      <c r="AA663" s="164"/>
      <c r="AB663" s="164"/>
      <c r="AC663" s="164"/>
      <c r="AD663" s="164"/>
    </row>
    <row r="664" spans="4:30">
      <c r="D664" s="160"/>
      <c r="F664" s="344">
        <f t="shared" si="155"/>
        <v>0</v>
      </c>
      <c r="G664" s="344" t="e">
        <f t="shared" si="156"/>
        <v>#N/A</v>
      </c>
      <c r="H664" s="344" t="e">
        <f t="shared" si="157"/>
        <v>#N/A</v>
      </c>
      <c r="P664" s="342" t="e">
        <f>1-(INDEX(Muuttujat!$O$5:$O$21,MATCH($C664,Muuttujat!$N$5:$N$21,0),1))</f>
        <v>#N/A</v>
      </c>
      <c r="Q664" s="342" t="e">
        <f>INDEX(Muuttujat!$O$5:$O$21,MATCH($C664,Muuttujat!$N$5:$N$21,0),1)</f>
        <v>#N/A</v>
      </c>
      <c r="R664" s="162"/>
      <c r="S664" s="163"/>
      <c r="T664" s="163"/>
      <c r="U664" s="163"/>
      <c r="V664" s="163"/>
      <c r="W664" s="163"/>
      <c r="X664" s="163"/>
      <c r="Y664" s="160"/>
      <c r="Z664" s="164"/>
      <c r="AA664" s="164"/>
      <c r="AB664" s="164"/>
      <c r="AC664" s="164"/>
      <c r="AD664" s="164"/>
    </row>
    <row r="665" spans="4:30">
      <c r="D665" s="160"/>
      <c r="F665" s="344">
        <f t="shared" si="155"/>
        <v>0</v>
      </c>
      <c r="G665" s="344" t="e">
        <f t="shared" si="156"/>
        <v>#N/A</v>
      </c>
      <c r="H665" s="344" t="e">
        <f t="shared" si="157"/>
        <v>#N/A</v>
      </c>
      <c r="P665" s="342" t="e">
        <f>1-(INDEX(Muuttujat!$O$5:$O$21,MATCH($C665,Muuttujat!$N$5:$N$21,0),1))</f>
        <v>#N/A</v>
      </c>
      <c r="Q665" s="342" t="e">
        <f>INDEX(Muuttujat!$O$5:$O$21,MATCH($C665,Muuttujat!$N$5:$N$21,0),1)</f>
        <v>#N/A</v>
      </c>
      <c r="R665" s="162"/>
      <c r="S665" s="163"/>
      <c r="T665" s="163"/>
      <c r="U665" s="163"/>
      <c r="V665" s="163"/>
      <c r="W665" s="163"/>
      <c r="X665" s="163"/>
      <c r="Y665" s="160"/>
      <c r="Z665" s="164"/>
      <c r="AA665" s="164"/>
      <c r="AB665" s="164"/>
      <c r="AC665" s="164"/>
      <c r="AD665" s="164"/>
    </row>
    <row r="666" spans="4:30">
      <c r="D666" s="160"/>
      <c r="F666" s="344">
        <f t="shared" si="155"/>
        <v>0</v>
      </c>
      <c r="G666" s="344" t="e">
        <f t="shared" si="156"/>
        <v>#N/A</v>
      </c>
      <c r="H666" s="344" t="e">
        <f t="shared" si="157"/>
        <v>#N/A</v>
      </c>
      <c r="P666" s="342" t="e">
        <f>1-(INDEX(Muuttujat!$O$5:$O$21,MATCH($C666,Muuttujat!$N$5:$N$21,0),1))</f>
        <v>#N/A</v>
      </c>
      <c r="Q666" s="342" t="e">
        <f>INDEX(Muuttujat!$O$5:$O$21,MATCH($C666,Muuttujat!$N$5:$N$21,0),1)</f>
        <v>#N/A</v>
      </c>
      <c r="R666" s="162"/>
      <c r="S666" s="163"/>
      <c r="T666" s="163"/>
      <c r="U666" s="163"/>
      <c r="V666" s="163"/>
      <c r="W666" s="163"/>
      <c r="X666" s="163"/>
      <c r="Y666" s="160"/>
      <c r="Z666" s="164"/>
      <c r="AA666" s="164"/>
      <c r="AB666" s="164"/>
      <c r="AC666" s="164"/>
      <c r="AD666" s="164"/>
    </row>
    <row r="667" spans="4:30">
      <c r="D667" s="160"/>
      <c r="F667" s="344">
        <f t="shared" si="155"/>
        <v>0</v>
      </c>
      <c r="G667" s="344" t="e">
        <f t="shared" si="156"/>
        <v>#N/A</v>
      </c>
      <c r="H667" s="344" t="e">
        <f t="shared" si="157"/>
        <v>#N/A</v>
      </c>
      <c r="P667" s="342" t="e">
        <f>1-(INDEX(Muuttujat!$O$5:$O$21,MATCH($C667,Muuttujat!$N$5:$N$21,0),1))</f>
        <v>#N/A</v>
      </c>
      <c r="Q667" s="342" t="e">
        <f>INDEX(Muuttujat!$O$5:$O$21,MATCH($C667,Muuttujat!$N$5:$N$21,0),1)</f>
        <v>#N/A</v>
      </c>
      <c r="R667" s="162"/>
      <c r="S667" s="163"/>
      <c r="T667" s="163"/>
      <c r="U667" s="163"/>
      <c r="V667" s="163"/>
      <c r="W667" s="163"/>
      <c r="X667" s="163"/>
      <c r="Y667" s="160"/>
      <c r="Z667" s="164"/>
      <c r="AA667" s="164"/>
      <c r="AB667" s="164"/>
      <c r="AC667" s="164"/>
      <c r="AD667" s="164"/>
    </row>
    <row r="668" spans="4:30">
      <c r="D668" s="160"/>
      <c r="F668" s="344">
        <f t="shared" si="155"/>
        <v>0</v>
      </c>
      <c r="G668" s="344" t="e">
        <f t="shared" si="156"/>
        <v>#N/A</v>
      </c>
      <c r="H668" s="344" t="e">
        <f t="shared" si="157"/>
        <v>#N/A</v>
      </c>
      <c r="P668" s="342" t="e">
        <f>1-(INDEX(Muuttujat!$O$5:$O$21,MATCH($C668,Muuttujat!$N$5:$N$21,0),1))</f>
        <v>#N/A</v>
      </c>
      <c r="Q668" s="342" t="e">
        <f>INDEX(Muuttujat!$O$5:$O$21,MATCH($C668,Muuttujat!$N$5:$N$21,0),1)</f>
        <v>#N/A</v>
      </c>
      <c r="R668" s="162"/>
      <c r="S668" s="163"/>
      <c r="T668" s="163"/>
      <c r="U668" s="163"/>
      <c r="V668" s="163"/>
      <c r="W668" s="163"/>
      <c r="X668" s="163"/>
      <c r="Y668" s="160"/>
      <c r="Z668" s="164"/>
      <c r="AA668" s="164"/>
      <c r="AB668" s="164"/>
      <c r="AC668" s="164"/>
      <c r="AD668" s="164"/>
    </row>
    <row r="669" spans="4:30">
      <c r="D669" s="160"/>
      <c r="F669" s="344">
        <f t="shared" si="155"/>
        <v>0</v>
      </c>
      <c r="G669" s="344" t="e">
        <f t="shared" si="156"/>
        <v>#N/A</v>
      </c>
      <c r="H669" s="344" t="e">
        <f t="shared" si="157"/>
        <v>#N/A</v>
      </c>
      <c r="P669" s="342" t="e">
        <f>1-(INDEX(Muuttujat!$O$5:$O$21,MATCH($C669,Muuttujat!$N$5:$N$21,0),1))</f>
        <v>#N/A</v>
      </c>
      <c r="Q669" s="342" t="e">
        <f>INDEX(Muuttujat!$O$5:$O$21,MATCH($C669,Muuttujat!$N$5:$N$21,0),1)</f>
        <v>#N/A</v>
      </c>
      <c r="R669" s="162"/>
      <c r="S669" s="163"/>
      <c r="T669" s="163"/>
      <c r="U669" s="163"/>
      <c r="V669" s="163"/>
      <c r="W669" s="163"/>
      <c r="X669" s="163"/>
      <c r="Y669" s="160"/>
      <c r="Z669" s="164"/>
      <c r="AA669" s="164"/>
      <c r="AB669" s="164"/>
      <c r="AC669" s="164"/>
      <c r="AD669" s="164"/>
    </row>
    <row r="670" spans="4:30">
      <c r="D670" s="160"/>
      <c r="F670" s="344">
        <f t="shared" si="155"/>
        <v>0</v>
      </c>
      <c r="G670" s="344" t="e">
        <f t="shared" si="156"/>
        <v>#N/A</v>
      </c>
      <c r="H670" s="344" t="e">
        <f t="shared" si="157"/>
        <v>#N/A</v>
      </c>
      <c r="P670" s="342" t="e">
        <f>1-(INDEX(Muuttujat!$O$5:$O$21,MATCH($C670,Muuttujat!$N$5:$N$21,0),1))</f>
        <v>#N/A</v>
      </c>
      <c r="Q670" s="342" t="e">
        <f>INDEX(Muuttujat!$O$5:$O$21,MATCH($C670,Muuttujat!$N$5:$N$21,0),1)</f>
        <v>#N/A</v>
      </c>
      <c r="R670" s="162"/>
      <c r="S670" s="163"/>
      <c r="T670" s="163"/>
      <c r="U670" s="163"/>
      <c r="V670" s="163"/>
      <c r="W670" s="163"/>
      <c r="X670" s="163"/>
      <c r="Y670" s="160"/>
      <c r="Z670" s="164"/>
      <c r="AA670" s="164"/>
      <c r="AB670" s="164"/>
      <c r="AC670" s="164"/>
      <c r="AD670" s="164"/>
    </row>
    <row r="671" spans="4:30">
      <c r="D671" s="160"/>
      <c r="F671" s="344">
        <f t="shared" si="155"/>
        <v>0</v>
      </c>
      <c r="G671" s="344" t="e">
        <f t="shared" si="156"/>
        <v>#N/A</v>
      </c>
      <c r="H671" s="344" t="e">
        <f t="shared" si="157"/>
        <v>#N/A</v>
      </c>
      <c r="P671" s="342" t="e">
        <f>1-(INDEX(Muuttujat!$O$5:$O$21,MATCH($C671,Muuttujat!$N$5:$N$21,0),1))</f>
        <v>#N/A</v>
      </c>
      <c r="Q671" s="342" t="e">
        <f>INDEX(Muuttujat!$O$5:$O$21,MATCH($C671,Muuttujat!$N$5:$N$21,0),1)</f>
        <v>#N/A</v>
      </c>
      <c r="R671" s="162"/>
      <c r="S671" s="163"/>
      <c r="T671" s="163"/>
      <c r="U671" s="163"/>
      <c r="V671" s="163"/>
      <c r="W671" s="163"/>
      <c r="X671" s="163"/>
      <c r="Y671" s="160"/>
      <c r="Z671" s="164"/>
      <c r="AA671" s="164"/>
      <c r="AB671" s="164"/>
      <c r="AC671" s="164"/>
      <c r="AD671" s="164"/>
    </row>
    <row r="672" spans="4:30">
      <c r="D672" s="160"/>
      <c r="F672" s="344">
        <f t="shared" si="155"/>
        <v>0</v>
      </c>
      <c r="G672" s="344" t="e">
        <f t="shared" si="156"/>
        <v>#N/A</v>
      </c>
      <c r="H672" s="344" t="e">
        <f t="shared" si="157"/>
        <v>#N/A</v>
      </c>
      <c r="P672" s="342" t="e">
        <f>1-(INDEX(Muuttujat!$O$5:$O$21,MATCH($C672,Muuttujat!$N$5:$N$21,0),1))</f>
        <v>#N/A</v>
      </c>
      <c r="Q672" s="342" t="e">
        <f>INDEX(Muuttujat!$O$5:$O$21,MATCH($C672,Muuttujat!$N$5:$N$21,0),1)</f>
        <v>#N/A</v>
      </c>
      <c r="R672" s="162"/>
      <c r="S672" s="163"/>
      <c r="T672" s="163"/>
      <c r="U672" s="163"/>
      <c r="V672" s="163"/>
      <c r="W672" s="163"/>
      <c r="X672" s="163"/>
      <c r="Y672" s="160"/>
      <c r="Z672" s="164"/>
      <c r="AA672" s="164"/>
      <c r="AB672" s="164"/>
      <c r="AC672" s="164"/>
      <c r="AD672" s="164"/>
    </row>
    <row r="673" spans="4:30">
      <c r="D673" s="160"/>
      <c r="F673" s="344">
        <f t="shared" si="155"/>
        <v>0</v>
      </c>
      <c r="G673" s="344" t="e">
        <f t="shared" si="156"/>
        <v>#N/A</v>
      </c>
      <c r="H673" s="344" t="e">
        <f t="shared" si="157"/>
        <v>#N/A</v>
      </c>
      <c r="P673" s="342" t="e">
        <f>1-(INDEX(Muuttujat!$O$5:$O$21,MATCH($C673,Muuttujat!$N$5:$N$21,0),1))</f>
        <v>#N/A</v>
      </c>
      <c r="Q673" s="342" t="e">
        <f>INDEX(Muuttujat!$O$5:$O$21,MATCH($C673,Muuttujat!$N$5:$N$21,0),1)</f>
        <v>#N/A</v>
      </c>
      <c r="R673" s="162"/>
      <c r="S673" s="163"/>
      <c r="T673" s="163"/>
      <c r="U673" s="163"/>
      <c r="V673" s="163"/>
      <c r="W673" s="163"/>
      <c r="X673" s="163"/>
      <c r="Y673" s="160"/>
      <c r="Z673" s="164"/>
      <c r="AA673" s="164"/>
      <c r="AB673" s="164"/>
      <c r="AC673" s="164"/>
      <c r="AD673" s="164"/>
    </row>
    <row r="674" spans="4:30">
      <c r="D674" s="160"/>
      <c r="F674" s="344">
        <f t="shared" si="155"/>
        <v>0</v>
      </c>
      <c r="G674" s="344" t="e">
        <f t="shared" si="156"/>
        <v>#N/A</v>
      </c>
      <c r="H674" s="344" t="e">
        <f t="shared" si="157"/>
        <v>#N/A</v>
      </c>
      <c r="P674" s="342" t="e">
        <f>1-(INDEX(Muuttujat!$O$5:$O$21,MATCH($C674,Muuttujat!$N$5:$N$21,0),1))</f>
        <v>#N/A</v>
      </c>
      <c r="Q674" s="342" t="e">
        <f>INDEX(Muuttujat!$O$5:$O$21,MATCH($C674,Muuttujat!$N$5:$N$21,0),1)</f>
        <v>#N/A</v>
      </c>
      <c r="R674" s="162"/>
      <c r="S674" s="163"/>
      <c r="T674" s="163"/>
      <c r="U674" s="163"/>
      <c r="V674" s="163"/>
      <c r="W674" s="163"/>
      <c r="X674" s="163"/>
      <c r="Y674" s="160"/>
      <c r="Z674" s="164"/>
      <c r="AA674" s="164"/>
      <c r="AB674" s="164"/>
      <c r="AC674" s="164"/>
      <c r="AD674" s="164"/>
    </row>
    <row r="675" spans="4:30">
      <c r="D675" s="160"/>
      <c r="F675" s="344">
        <f t="shared" si="155"/>
        <v>0</v>
      </c>
      <c r="G675" s="344" t="e">
        <f t="shared" si="156"/>
        <v>#N/A</v>
      </c>
      <c r="H675" s="344" t="e">
        <f t="shared" si="157"/>
        <v>#N/A</v>
      </c>
      <c r="P675" s="342" t="e">
        <f>1-(INDEX(Muuttujat!$O$5:$O$21,MATCH($C675,Muuttujat!$N$5:$N$21,0),1))</f>
        <v>#N/A</v>
      </c>
      <c r="Q675" s="342" t="e">
        <f>INDEX(Muuttujat!$O$5:$O$21,MATCH($C675,Muuttujat!$N$5:$N$21,0),1)</f>
        <v>#N/A</v>
      </c>
      <c r="R675" s="162"/>
      <c r="S675" s="163"/>
      <c r="T675" s="163"/>
      <c r="U675" s="163"/>
      <c r="V675" s="163"/>
      <c r="W675" s="163"/>
      <c r="X675" s="163"/>
      <c r="Y675" s="160"/>
      <c r="Z675" s="164"/>
      <c r="AA675" s="164"/>
      <c r="AB675" s="164"/>
      <c r="AC675" s="164"/>
      <c r="AD675" s="164"/>
    </row>
    <row r="676" spans="4:30">
      <c r="D676" s="160"/>
      <c r="F676" s="344">
        <f t="shared" si="155"/>
        <v>0</v>
      </c>
      <c r="G676" s="344" t="e">
        <f t="shared" si="156"/>
        <v>#N/A</v>
      </c>
      <c r="H676" s="344" t="e">
        <f t="shared" si="157"/>
        <v>#N/A</v>
      </c>
      <c r="P676" s="342" t="e">
        <f>1-(INDEX(Muuttujat!$O$5:$O$21,MATCH($C676,Muuttujat!$N$5:$N$21,0),1))</f>
        <v>#N/A</v>
      </c>
      <c r="Q676" s="342" t="e">
        <f>INDEX(Muuttujat!$O$5:$O$21,MATCH($C676,Muuttujat!$N$5:$N$21,0),1)</f>
        <v>#N/A</v>
      </c>
      <c r="R676" s="162"/>
      <c r="S676" s="163"/>
      <c r="T676" s="163"/>
      <c r="U676" s="163"/>
      <c r="V676" s="163"/>
      <c r="W676" s="163"/>
      <c r="X676" s="163"/>
      <c r="Y676" s="160"/>
      <c r="Z676" s="164"/>
      <c r="AA676" s="164"/>
      <c r="AB676" s="164"/>
      <c r="AC676" s="164"/>
      <c r="AD676" s="164"/>
    </row>
    <row r="677" spans="4:30">
      <c r="D677" s="160"/>
      <c r="F677" s="344">
        <f t="shared" si="155"/>
        <v>0</v>
      </c>
      <c r="G677" s="344" t="e">
        <f t="shared" si="156"/>
        <v>#N/A</v>
      </c>
      <c r="H677" s="344" t="e">
        <f t="shared" si="157"/>
        <v>#N/A</v>
      </c>
      <c r="P677" s="342" t="e">
        <f>1-(INDEX(Muuttujat!$O$5:$O$21,MATCH($C677,Muuttujat!$N$5:$N$21,0),1))</f>
        <v>#N/A</v>
      </c>
      <c r="Q677" s="342" t="e">
        <f>INDEX(Muuttujat!$O$5:$O$21,MATCH($C677,Muuttujat!$N$5:$N$21,0),1)</f>
        <v>#N/A</v>
      </c>
      <c r="R677" s="162"/>
      <c r="S677" s="163"/>
      <c r="T677" s="163"/>
      <c r="U677" s="163"/>
      <c r="V677" s="163"/>
      <c r="W677" s="163"/>
      <c r="X677" s="163"/>
      <c r="Y677" s="160"/>
      <c r="Z677" s="164"/>
      <c r="AA677" s="164"/>
      <c r="AB677" s="164"/>
      <c r="AC677" s="164"/>
      <c r="AD677" s="164"/>
    </row>
    <row r="678" spans="4:30">
      <c r="D678" s="160"/>
      <c r="F678" s="344">
        <f t="shared" si="155"/>
        <v>0</v>
      </c>
      <c r="G678" s="344" t="e">
        <f t="shared" si="156"/>
        <v>#N/A</v>
      </c>
      <c r="H678" s="344" t="e">
        <f t="shared" si="157"/>
        <v>#N/A</v>
      </c>
      <c r="P678" s="342" t="e">
        <f>1-(INDEX(Muuttujat!$O$5:$O$21,MATCH($C678,Muuttujat!$N$5:$N$21,0),1))</f>
        <v>#N/A</v>
      </c>
      <c r="Q678" s="342" t="e">
        <f>INDEX(Muuttujat!$O$5:$O$21,MATCH($C678,Muuttujat!$N$5:$N$21,0),1)</f>
        <v>#N/A</v>
      </c>
      <c r="R678" s="162"/>
      <c r="S678" s="163"/>
      <c r="T678" s="163"/>
      <c r="U678" s="163"/>
      <c r="V678" s="163"/>
      <c r="W678" s="163"/>
      <c r="X678" s="163"/>
      <c r="Y678" s="160"/>
      <c r="Z678" s="164"/>
      <c r="AA678" s="164"/>
      <c r="AB678" s="164"/>
      <c r="AC678" s="164"/>
      <c r="AD678" s="164"/>
    </row>
    <row r="679" spans="4:30">
      <c r="D679" s="160"/>
      <c r="F679" s="344">
        <f t="shared" si="155"/>
        <v>0</v>
      </c>
      <c r="G679" s="344" t="e">
        <f t="shared" si="156"/>
        <v>#N/A</v>
      </c>
      <c r="H679" s="344" t="e">
        <f t="shared" si="157"/>
        <v>#N/A</v>
      </c>
      <c r="P679" s="342" t="e">
        <f>1-(INDEX(Muuttujat!$O$5:$O$21,MATCH($C679,Muuttujat!$N$5:$N$21,0),1))</f>
        <v>#N/A</v>
      </c>
      <c r="Q679" s="342" t="e">
        <f>INDEX(Muuttujat!$O$5:$O$21,MATCH($C679,Muuttujat!$N$5:$N$21,0),1)</f>
        <v>#N/A</v>
      </c>
      <c r="R679" s="162"/>
      <c r="S679" s="163"/>
      <c r="T679" s="163"/>
      <c r="U679" s="163"/>
      <c r="V679" s="163"/>
      <c r="W679" s="163"/>
      <c r="X679" s="163"/>
      <c r="Y679" s="160"/>
      <c r="Z679" s="164"/>
      <c r="AA679" s="164"/>
      <c r="AB679" s="164"/>
      <c r="AC679" s="164"/>
      <c r="AD679" s="164"/>
    </row>
    <row r="680" spans="4:30">
      <c r="D680" s="160"/>
      <c r="F680" s="344">
        <f t="shared" si="155"/>
        <v>0</v>
      </c>
      <c r="G680" s="344" t="e">
        <f t="shared" si="156"/>
        <v>#N/A</v>
      </c>
      <c r="H680" s="344" t="e">
        <f t="shared" si="157"/>
        <v>#N/A</v>
      </c>
      <c r="P680" s="342" t="e">
        <f>1-(INDEX(Muuttujat!$O$5:$O$21,MATCH($C680,Muuttujat!$N$5:$N$21,0),1))</f>
        <v>#N/A</v>
      </c>
      <c r="Q680" s="342" t="e">
        <f>INDEX(Muuttujat!$O$5:$O$21,MATCH($C680,Muuttujat!$N$5:$N$21,0),1)</f>
        <v>#N/A</v>
      </c>
      <c r="R680" s="162"/>
      <c r="S680" s="163"/>
      <c r="T680" s="163"/>
      <c r="U680" s="163"/>
      <c r="V680" s="163"/>
      <c r="W680" s="163"/>
      <c r="X680" s="163"/>
      <c r="Y680" s="160"/>
      <c r="Z680" s="164"/>
      <c r="AA680" s="164"/>
      <c r="AB680" s="164"/>
      <c r="AC680" s="164"/>
      <c r="AD680" s="164"/>
    </row>
    <row r="681" spans="4:30">
      <c r="D681" s="160"/>
      <c r="F681" s="344">
        <f t="shared" si="155"/>
        <v>0</v>
      </c>
      <c r="G681" s="344" t="e">
        <f t="shared" si="156"/>
        <v>#N/A</v>
      </c>
      <c r="H681" s="344" t="e">
        <f t="shared" si="157"/>
        <v>#N/A</v>
      </c>
      <c r="P681" s="342" t="e">
        <f>1-(INDEX(Muuttujat!$O$5:$O$21,MATCH($C681,Muuttujat!$N$5:$N$21,0),1))</f>
        <v>#N/A</v>
      </c>
      <c r="Q681" s="342" t="e">
        <f>INDEX(Muuttujat!$O$5:$O$21,MATCH($C681,Muuttujat!$N$5:$N$21,0),1)</f>
        <v>#N/A</v>
      </c>
      <c r="R681" s="162"/>
      <c r="S681" s="163"/>
      <c r="T681" s="163"/>
      <c r="U681" s="163"/>
      <c r="V681" s="163"/>
      <c r="W681" s="163"/>
      <c r="X681" s="163"/>
      <c r="Y681" s="160"/>
      <c r="Z681" s="164"/>
      <c r="AA681" s="164"/>
      <c r="AB681" s="164"/>
      <c r="AC681" s="164"/>
      <c r="AD681" s="164"/>
    </row>
    <row r="682" spans="4:30">
      <c r="D682" s="160"/>
      <c r="F682" s="344">
        <f t="shared" si="155"/>
        <v>0</v>
      </c>
      <c r="G682" s="344" t="e">
        <f t="shared" si="156"/>
        <v>#N/A</v>
      </c>
      <c r="H682" s="344" t="e">
        <f t="shared" si="157"/>
        <v>#N/A</v>
      </c>
      <c r="P682" s="342" t="e">
        <f>1-(INDEX(Muuttujat!$O$5:$O$21,MATCH($C682,Muuttujat!$N$5:$N$21,0),1))</f>
        <v>#N/A</v>
      </c>
      <c r="Q682" s="342" t="e">
        <f>INDEX(Muuttujat!$O$5:$O$21,MATCH($C682,Muuttujat!$N$5:$N$21,0),1)</f>
        <v>#N/A</v>
      </c>
      <c r="R682" s="162"/>
      <c r="S682" s="163"/>
      <c r="T682" s="163"/>
      <c r="U682" s="163"/>
      <c r="V682" s="163"/>
      <c r="W682" s="163"/>
      <c r="X682" s="163"/>
      <c r="Y682" s="160"/>
      <c r="Z682" s="164"/>
      <c r="AA682" s="164"/>
      <c r="AB682" s="164"/>
      <c r="AC682" s="164"/>
      <c r="AD682" s="164"/>
    </row>
    <row r="683" spans="4:30">
      <c r="D683" s="160"/>
      <c r="F683" s="344">
        <f t="shared" si="155"/>
        <v>0</v>
      </c>
      <c r="G683" s="344" t="e">
        <f t="shared" si="156"/>
        <v>#N/A</v>
      </c>
      <c r="H683" s="344" t="e">
        <f t="shared" si="157"/>
        <v>#N/A</v>
      </c>
      <c r="P683" s="342" t="e">
        <f>1-(INDEX(Muuttujat!$O$5:$O$21,MATCH($C683,Muuttujat!$N$5:$N$21,0),1))</f>
        <v>#N/A</v>
      </c>
      <c r="Q683" s="342" t="e">
        <f>INDEX(Muuttujat!$O$5:$O$21,MATCH($C683,Muuttujat!$N$5:$N$21,0),1)</f>
        <v>#N/A</v>
      </c>
      <c r="R683" s="162"/>
      <c r="S683" s="163"/>
      <c r="T683" s="163"/>
      <c r="U683" s="163"/>
      <c r="V683" s="163"/>
      <c r="W683" s="163"/>
      <c r="X683" s="163"/>
      <c r="Y683" s="160"/>
      <c r="Z683" s="164"/>
      <c r="AA683" s="164"/>
      <c r="AB683" s="164"/>
      <c r="AC683" s="164"/>
      <c r="AD683" s="164"/>
    </row>
    <row r="684" spans="4:30">
      <c r="D684" s="160"/>
      <c r="F684" s="344">
        <f t="shared" si="155"/>
        <v>0</v>
      </c>
      <c r="G684" s="344" t="e">
        <f t="shared" si="156"/>
        <v>#N/A</v>
      </c>
      <c r="H684" s="344" t="e">
        <f t="shared" si="157"/>
        <v>#N/A</v>
      </c>
      <c r="P684" s="342" t="e">
        <f>1-(INDEX(Muuttujat!$O$5:$O$21,MATCH($C684,Muuttujat!$N$5:$N$21,0),1))</f>
        <v>#N/A</v>
      </c>
      <c r="Q684" s="342" t="e">
        <f>INDEX(Muuttujat!$O$5:$O$21,MATCH($C684,Muuttujat!$N$5:$N$21,0),1)</f>
        <v>#N/A</v>
      </c>
      <c r="R684" s="162"/>
      <c r="S684" s="163"/>
      <c r="T684" s="163"/>
      <c r="U684" s="163"/>
      <c r="V684" s="163"/>
      <c r="W684" s="163"/>
      <c r="X684" s="163"/>
      <c r="Y684" s="160"/>
      <c r="Z684" s="164"/>
      <c r="AA684" s="164"/>
      <c r="AB684" s="164"/>
      <c r="AC684" s="164"/>
      <c r="AD684" s="164"/>
    </row>
    <row r="685" spans="4:30">
      <c r="D685" s="160"/>
      <c r="F685" s="344">
        <f t="shared" si="155"/>
        <v>0</v>
      </c>
      <c r="G685" s="344" t="e">
        <f t="shared" si="156"/>
        <v>#N/A</v>
      </c>
      <c r="H685" s="344" t="e">
        <f t="shared" si="157"/>
        <v>#N/A</v>
      </c>
      <c r="P685" s="342" t="e">
        <f>1-(INDEX(Muuttujat!$O$5:$O$21,MATCH($C685,Muuttujat!$N$5:$N$21,0),1))</f>
        <v>#N/A</v>
      </c>
      <c r="Q685" s="342" t="e">
        <f>INDEX(Muuttujat!$O$5:$O$21,MATCH($C685,Muuttujat!$N$5:$N$21,0),1)</f>
        <v>#N/A</v>
      </c>
      <c r="R685" s="162"/>
      <c r="S685" s="163"/>
      <c r="T685" s="163"/>
      <c r="U685" s="163"/>
      <c r="V685" s="163"/>
      <c r="W685" s="163"/>
      <c r="X685" s="163"/>
      <c r="Y685" s="160"/>
      <c r="Z685" s="164"/>
      <c r="AA685" s="164"/>
      <c r="AB685" s="164"/>
      <c r="AC685" s="164"/>
      <c r="AD685" s="164"/>
    </row>
  </sheetData>
  <autoFilter ref="A2:AD685"/>
  <mergeCells count="6">
    <mergeCell ref="Z1:AD1"/>
    <mergeCell ref="A1:C1"/>
    <mergeCell ref="D1:M1"/>
    <mergeCell ref="N1:R1"/>
    <mergeCell ref="S1:V1"/>
    <mergeCell ref="W1:Y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93"/>
  <sheetViews>
    <sheetView workbookViewId="0">
      <selection sqref="A1:C1"/>
    </sheetView>
  </sheetViews>
  <sheetFormatPr defaultColWidth="9.109375" defaultRowHeight="13.8"/>
  <cols>
    <col min="1" max="1" width="10.109375" style="159" customWidth="1"/>
    <col min="2" max="2" width="10.109375" style="159" hidden="1" customWidth="1"/>
    <col min="3" max="3" width="10.109375" style="159" customWidth="1"/>
    <col min="4" max="4" width="11.5546875" style="157" customWidth="1"/>
    <col min="5" max="5" width="10.109375" style="161" customWidth="1"/>
    <col min="6" max="7" width="12" style="161" hidden="1" customWidth="1"/>
    <col min="8" max="8" width="10.109375" style="161" hidden="1" customWidth="1"/>
    <col min="9" max="9" width="11.6640625" style="161" customWidth="1"/>
    <col min="10" max="10" width="10.109375" style="161" customWidth="1"/>
    <col min="11" max="11" width="10" style="157" customWidth="1"/>
    <col min="12" max="12" width="10.109375" style="157" customWidth="1"/>
    <col min="13" max="13" width="12.6640625" style="160" customWidth="1"/>
    <col min="14" max="14" width="15" style="160" hidden="1" customWidth="1"/>
    <col min="15" max="17" width="13.44140625" style="160" hidden="1" customWidth="1"/>
    <col min="18" max="18" width="14.5546875" style="160" hidden="1" customWidth="1"/>
    <col min="19" max="20" width="15" style="160" customWidth="1"/>
    <col min="21" max="21" width="13" style="160" customWidth="1"/>
    <col min="22" max="22" width="13.88671875" style="160" customWidth="1"/>
    <col min="23" max="23" width="13" style="160" customWidth="1"/>
    <col min="24" max="24" width="16.33203125" style="160" customWidth="1"/>
    <col min="25" max="25" width="10.109375" style="157" customWidth="1"/>
    <col min="26" max="30" width="10.6640625" style="157" customWidth="1"/>
    <col min="31" max="31" width="12.5546875" style="6" customWidth="1"/>
    <col min="32" max="32" width="8.33203125" style="6" customWidth="1"/>
    <col min="33" max="33" width="13.109375" style="6" customWidth="1"/>
    <col min="34" max="34" width="13.6640625" style="6" customWidth="1"/>
    <col min="35" max="36" width="9.109375" style="6"/>
    <col min="37" max="37" width="13.33203125" style="6" customWidth="1"/>
    <col min="38" max="38" width="15.44140625" style="6" customWidth="1"/>
    <col min="39" max="16384" width="9.109375" style="6"/>
  </cols>
  <sheetData>
    <row r="1" spans="1:38" s="157" customFormat="1">
      <c r="A1" s="384" t="s">
        <v>257</v>
      </c>
      <c r="B1" s="384"/>
      <c r="C1" s="384"/>
      <c r="D1" s="385" t="s">
        <v>258</v>
      </c>
      <c r="E1" s="386"/>
      <c r="F1" s="386"/>
      <c r="G1" s="386"/>
      <c r="H1" s="386"/>
      <c r="I1" s="386"/>
      <c r="J1" s="386"/>
      <c r="K1" s="386"/>
      <c r="L1" s="386"/>
      <c r="M1" s="386"/>
      <c r="N1" s="387" t="s">
        <v>259</v>
      </c>
      <c r="O1" s="388"/>
      <c r="P1" s="388"/>
      <c r="Q1" s="388"/>
      <c r="R1" s="389"/>
      <c r="S1" s="387" t="s">
        <v>260</v>
      </c>
      <c r="T1" s="388"/>
      <c r="U1" s="388"/>
      <c r="V1" s="389"/>
      <c r="W1" s="387" t="s">
        <v>261</v>
      </c>
      <c r="X1" s="388"/>
      <c r="Y1" s="388"/>
      <c r="Z1" s="385" t="s">
        <v>262</v>
      </c>
      <c r="AA1" s="386"/>
      <c r="AB1" s="386"/>
      <c r="AC1" s="386"/>
      <c r="AD1" s="390"/>
      <c r="AE1" s="382" t="s">
        <v>289</v>
      </c>
      <c r="AF1" s="383"/>
      <c r="AG1" s="383"/>
      <c r="AH1" s="383"/>
      <c r="AI1" s="383"/>
      <c r="AJ1" s="383"/>
      <c r="AK1" s="383"/>
      <c r="AL1" s="383"/>
    </row>
    <row r="2" spans="1:38" s="181" customFormat="1" ht="41.4">
      <c r="A2" s="132" t="s">
        <v>220</v>
      </c>
      <c r="B2" s="133" t="s">
        <v>263</v>
      </c>
      <c r="C2" s="133" t="s">
        <v>42</v>
      </c>
      <c r="D2" s="132" t="s">
        <v>264</v>
      </c>
      <c r="E2" s="133" t="s">
        <v>265</v>
      </c>
      <c r="F2" s="133" t="s">
        <v>266</v>
      </c>
      <c r="G2" s="133" t="s">
        <v>267</v>
      </c>
      <c r="H2" s="133" t="s">
        <v>268</v>
      </c>
      <c r="I2" s="133" t="s">
        <v>269</v>
      </c>
      <c r="J2" s="133" t="s">
        <v>270</v>
      </c>
      <c r="K2" s="133" t="s">
        <v>271</v>
      </c>
      <c r="L2" s="133" t="s">
        <v>272</v>
      </c>
      <c r="M2" s="133" t="s">
        <v>273</v>
      </c>
      <c r="N2" s="132" t="s">
        <v>274</v>
      </c>
      <c r="O2" s="133" t="s">
        <v>275</v>
      </c>
      <c r="P2" s="133" t="s">
        <v>276</v>
      </c>
      <c r="Q2" s="133" t="s">
        <v>277</v>
      </c>
      <c r="R2" s="133" t="s">
        <v>278</v>
      </c>
      <c r="S2" s="134" t="s">
        <v>279</v>
      </c>
      <c r="T2" s="135" t="s">
        <v>280</v>
      </c>
      <c r="U2" s="135" t="s">
        <v>281</v>
      </c>
      <c r="V2" s="135" t="s">
        <v>282</v>
      </c>
      <c r="W2" s="134" t="s">
        <v>283</v>
      </c>
      <c r="X2" s="135" t="s">
        <v>284</v>
      </c>
      <c r="Y2" s="135" t="s">
        <v>285</v>
      </c>
      <c r="Z2" s="136" t="s">
        <v>286</v>
      </c>
      <c r="AA2" s="137" t="s">
        <v>287</v>
      </c>
      <c r="AB2" s="137" t="s">
        <v>25</v>
      </c>
      <c r="AC2" s="138" t="s">
        <v>288</v>
      </c>
      <c r="AD2" s="155" t="s">
        <v>43</v>
      </c>
      <c r="AE2" s="99" t="s">
        <v>290</v>
      </c>
      <c r="AF2" s="99" t="s">
        <v>291</v>
      </c>
      <c r="AG2" s="99" t="s">
        <v>292</v>
      </c>
      <c r="AH2" s="99" t="s">
        <v>293</v>
      </c>
      <c r="AI2" s="99" t="s">
        <v>294</v>
      </c>
      <c r="AJ2" s="99" t="s">
        <v>295</v>
      </c>
      <c r="AK2" s="99" t="s">
        <v>296</v>
      </c>
      <c r="AL2" s="99" t="s">
        <v>297</v>
      </c>
    </row>
    <row r="3" spans="1:38">
      <c r="A3" s="139">
        <v>1</v>
      </c>
      <c r="B3" s="139">
        <f>IFERROR(INDEX(Työkonekanta!$F$3:$F$27,MATCH('S0b Baseline kasvu'!$A3,Työkonekanta!$A$3:$A$24,0),1),0)</f>
        <v>1</v>
      </c>
      <c r="C3" s="140">
        <v>2019</v>
      </c>
      <c r="D3" s="141" t="str">
        <f>IFERROR(INDEX(Työkonekanta!$D$3:$D$27,MATCH('S0b Baseline kasvu'!$A3,Työkonekanta!$A$3:$A$24,0),1),"undefined")</f>
        <v>pom</v>
      </c>
      <c r="E3" s="145">
        <f>IFERROR(INDEX(Työkonekanta!$G$3:$G$27,MATCH($A3,Työkonekanta!$A$3:$A$24,0),1)*INDEX(Työkonekanta!$H$3:$H$27,MATCH($A3,Työkonekanta!$A$3:$A$24,0),1)*(1+s0b_kasvu*($C3-2019))*$B3,0)</f>
        <v>10000</v>
      </c>
      <c r="F3" s="145">
        <f t="shared" ref="F3:F66" si="0">IF(D3="pom",$E3*hv_pom,0)</f>
        <v>359000</v>
      </c>
      <c r="G3" s="145">
        <f>$F3*$P3</f>
        <v>359000</v>
      </c>
      <c r="H3" s="145">
        <f>$F3*$Q3</f>
        <v>0</v>
      </c>
      <c r="I3" s="145">
        <f t="shared" ref="I3:I66" si="1">$G3/hv_pom</f>
        <v>10000</v>
      </c>
      <c r="J3" s="145">
        <f t="shared" ref="J3:J66" si="2">$H3/hv_biodies</f>
        <v>0</v>
      </c>
      <c r="K3" s="142" t="str">
        <f>IF($D3="sähkö","kWh",IF($D3="pom","l","undefined"))</f>
        <v>l</v>
      </c>
      <c r="L3" s="146">
        <f>IFERROR(INDEX(Työkonekanta!$I$3:$I$27,MATCH('S0b Baseline kasvu'!$A3,Työkonekanta!$A$3:$A$24,0),1)*(I3+J3)*f_adblue,0)</f>
        <v>500</v>
      </c>
      <c r="M3" s="146">
        <f t="shared" ref="M3:M82" si="3">IF($D3="sähkö",conv_kwh_mj*$E3,0)</f>
        <v>0</v>
      </c>
      <c r="N3" s="143" t="str">
        <f>IF(tuulisähkö_vuosi&lt;='S0b Baseline kasvu'!C3,"tuulisähkö",ostosähkö_nyt)</f>
        <v>jäännössähkö</v>
      </c>
      <c r="O3" s="147">
        <f>INDEX(Muuttujat!$J$5:$J$21,MATCH($C3,Muuttujat!$H$5:$H$21,0),1)</f>
        <v>69.24722222222222</v>
      </c>
      <c r="P3" s="342">
        <f>1-(INDEX(Muuttujat!$O$5:$O$21,MATCH($C3,Muuttujat!$N$5:$N$21,0),1))</f>
        <v>1</v>
      </c>
      <c r="Q3" s="342">
        <f>INDEX(Muuttujat!$O$5:$O$21,MATCH($C3,Muuttujat!$N$5:$N$21,0),1)</f>
        <v>0</v>
      </c>
      <c r="R3" s="148">
        <f>INDEX(Muuttujat!$P$5:$P$21,MATCH($C3,Muuttujat!$N$5:$N$21,0),1)</f>
        <v>0</v>
      </c>
      <c r="S3" s="149">
        <f t="shared" ref="S3:S66" si="4">wtt_ef_e_co2_dies*$G3/1000/1000</f>
        <v>6.785099999999999</v>
      </c>
      <c r="T3" s="150">
        <f t="shared" ref="T3:T66" si="5">wtt_ef_e_co2_biodies*$H3/1000/1000</f>
        <v>0</v>
      </c>
      <c r="U3" s="150">
        <f t="shared" ref="U3:U66" si="6">IF(N3="jäännössähkö",$O3,IF(N3="tuulisähkö",wtt_ef_e_co2_el_wind,0))*$M3/1000/1000</f>
        <v>0</v>
      </c>
      <c r="V3" s="150">
        <f>IFERROR(INDEX(Työkonekanta!$J$3:$J$27,MATCH($A3,Työkonekanta!$A$3:$A$24,0),1)*$B3*ef_li_ion_akku/1000/1000/INDEX(Työkonekanta!$K$3:$K$27,MATCH($A3,Työkonekanta!$A$3:$A$24,0)),0)</f>
        <v>0</v>
      </c>
      <c r="W3" s="149">
        <f t="shared" ref="W3:W82" si="7">($I3*IF($D3="pom",ef_v_co2_pom,0))/1000/1000</f>
        <v>26.497163285999999</v>
      </c>
      <c r="X3" s="150">
        <f t="shared" ref="X3:X82" si="8">($E3*(IF($D3="pom",ef_v_ch4_pom,0)*gwp100_ch4+IF($D3="pom",ef_v_n2o_pom,0)*gwp100_n2o))/1000/1000</f>
        <v>0.31774565999999999</v>
      </c>
      <c r="Y3" s="151">
        <f t="shared" ref="Y3:Y82" si="9">$L3*ef_v_co2_adblue/1000/1000</f>
        <v>0.13</v>
      </c>
      <c r="Z3" s="152">
        <f>SUM($S3:$V3)</f>
        <v>6.785099999999999</v>
      </c>
      <c r="AA3" s="179">
        <f>$W3+$Y3</f>
        <v>26.627163285999998</v>
      </c>
      <c r="AB3" s="179">
        <f>SUM($W3:$Y3)</f>
        <v>26.944908945999998</v>
      </c>
      <c r="AC3" s="180">
        <f t="shared" ref="AC3:AC82" si="10">$Z3+$AA3</f>
        <v>33.412263285999998</v>
      </c>
      <c r="AD3" s="156">
        <f>$Z3+$AB3</f>
        <v>33.730008945999998</v>
      </c>
      <c r="AE3" s="146">
        <f>IFERROR(INDEX(Työkonekanta!$L$3:$L$30,MATCH($A3,Työkonekanta!$A$3:$A$30,0),1),0)*AF3</f>
        <v>500000</v>
      </c>
      <c r="AF3" s="146">
        <f>IFERROR(INDEX(Työkonekanta!$N$3:$N$32,MATCH($A3,Työkonekanta!$A$3:$A$32,0),1),0)</f>
        <v>1</v>
      </c>
      <c r="AG3" s="332">
        <f>I3*INDEX(Muuttujat!$U$5:$U$21,MATCH($C3,Muuttujat!$N$5:$N$21,0),1)</f>
        <v>9700</v>
      </c>
      <c r="AH3" s="332">
        <f>J3*INDEX(Muuttujat!$T$5:$T$21,MATCH($C3,Muuttujat!$N$5:$N$21,0),1)</f>
        <v>0</v>
      </c>
      <c r="AI3" s="332">
        <f t="shared" ref="AI3:AI66" si="11">L3*hinta_adblue</f>
        <v>250</v>
      </c>
      <c r="AJ3" s="332">
        <f t="shared" ref="AJ3:AJ66" si="12">M3/conv_kwh_mj*hinta_sähkö3</f>
        <v>0</v>
      </c>
      <c r="AK3" s="332">
        <f>SUM(AG3:AJ3)</f>
        <v>9950</v>
      </c>
      <c r="AL3" s="332">
        <f t="shared" ref="AL3:AL66" si="13">IFERROR(AK3/B3,0)</f>
        <v>9950</v>
      </c>
    </row>
    <row r="4" spans="1:38">
      <c r="A4" s="139">
        <v>2</v>
      </c>
      <c r="B4" s="139">
        <f>IFERROR(INDEX(Työkonekanta!$F$3:$F$27,MATCH('S0b Baseline kasvu'!$A4,Työkonekanta!$A$3:$A$24,0),1),0)</f>
        <v>1</v>
      </c>
      <c r="C4" s="140">
        <v>2019</v>
      </c>
      <c r="D4" s="141" t="str">
        <f>IFERROR(INDEX(Työkonekanta!$D$3:$D$27,MATCH('S0b Baseline kasvu'!$A4,Työkonekanta!$A$3:$A$24,0),1),"undefined")</f>
        <v>pom</v>
      </c>
      <c r="E4" s="145">
        <f>IFERROR(INDEX(Työkonekanta!$G$3:$G$27,MATCH($A4,Työkonekanta!$A$3:$A$24,0),1)*INDEX(Työkonekanta!$H$3:$H$27,MATCH($A4,Työkonekanta!$A$3:$A$24,0),1)*(1+s0b_kasvu*($C4-2019))*$B4,0)</f>
        <v>10000</v>
      </c>
      <c r="F4" s="145">
        <f t="shared" si="0"/>
        <v>359000</v>
      </c>
      <c r="G4" s="145">
        <f t="shared" ref="G4:G67" si="14">$F4*$P4</f>
        <v>359000</v>
      </c>
      <c r="H4" s="145">
        <f t="shared" ref="H4:H67" si="15">$F4*$Q4</f>
        <v>0</v>
      </c>
      <c r="I4" s="145">
        <f t="shared" si="1"/>
        <v>10000</v>
      </c>
      <c r="J4" s="145">
        <f t="shared" si="2"/>
        <v>0</v>
      </c>
      <c r="K4" s="142" t="str">
        <f t="shared" ref="K4:K67" si="16">IF($D4="sähkö","kWh",IF($D4="pom","l","undefined"))</f>
        <v>l</v>
      </c>
      <c r="L4" s="146">
        <f>IFERROR(INDEX(Työkonekanta!$I$3:$I$27,MATCH('S0b Baseline kasvu'!$A4,Työkonekanta!$A$3:$A$24,0),1)*(I4+J4)*f_adblue,0)</f>
        <v>500</v>
      </c>
      <c r="M4" s="146">
        <f t="shared" si="3"/>
        <v>0</v>
      </c>
      <c r="N4" s="143" t="str">
        <f>IF(tuulisähkö_vuosi&lt;='S0b Baseline kasvu'!C4,"tuulisähkö",ostosähkö_nyt)</f>
        <v>jäännössähkö</v>
      </c>
      <c r="O4" s="147">
        <f>INDEX(Muuttujat!$J$5:$J$21,MATCH($C4,Muuttujat!$H$5:$H$21,0),1)</f>
        <v>69.24722222222222</v>
      </c>
      <c r="P4" s="342">
        <f>1-(INDEX(Muuttujat!$O$5:$O$21,MATCH($C4,Muuttujat!$N$5:$N$21,0),1))</f>
        <v>1</v>
      </c>
      <c r="Q4" s="342">
        <f>INDEX(Muuttujat!$O$5:$O$21,MATCH($C4,Muuttujat!$N$5:$N$21,0),1)</f>
        <v>0</v>
      </c>
      <c r="R4" s="148">
        <f>INDEX(Muuttujat!$P$5:$P$21,MATCH($C4,Muuttujat!$N$5:$N$21,0),1)</f>
        <v>0</v>
      </c>
      <c r="S4" s="149">
        <f t="shared" si="4"/>
        <v>6.785099999999999</v>
      </c>
      <c r="T4" s="150">
        <f t="shared" si="5"/>
        <v>0</v>
      </c>
      <c r="U4" s="150">
        <f t="shared" si="6"/>
        <v>0</v>
      </c>
      <c r="V4" s="150">
        <f>IFERROR(INDEX(Työkonekanta!$J$3:$J$27,MATCH($A4,Työkonekanta!$A$3:$A$24,0),1)*$B4*ef_li_ion_akku/1000/1000/INDEX(Työkonekanta!$K$3:$K$27,MATCH($A4,Työkonekanta!$A$3:$A$24,0)),0)</f>
        <v>0</v>
      </c>
      <c r="W4" s="149">
        <f t="shared" si="7"/>
        <v>26.497163285999999</v>
      </c>
      <c r="X4" s="150">
        <f t="shared" si="8"/>
        <v>0.31774565999999999</v>
      </c>
      <c r="Y4" s="151">
        <f t="shared" si="9"/>
        <v>0.13</v>
      </c>
      <c r="Z4" s="152">
        <f t="shared" ref="Z4:Z67" si="17">SUM($S4:$V4)</f>
        <v>6.785099999999999</v>
      </c>
      <c r="AA4" s="179">
        <f t="shared" ref="AA4:AA67" si="18">$W4+$Y4</f>
        <v>26.627163285999998</v>
      </c>
      <c r="AB4" s="179">
        <f t="shared" ref="AB4:AB67" si="19">SUM($W4:$Y4)</f>
        <v>26.944908945999998</v>
      </c>
      <c r="AC4" s="180">
        <f t="shared" si="10"/>
        <v>33.412263285999998</v>
      </c>
      <c r="AD4" s="156">
        <f t="shared" ref="AD4:AD67" si="20">$Z4+$AB4</f>
        <v>33.730008945999998</v>
      </c>
      <c r="AE4" s="146">
        <f>IFERROR(INDEX(Työkonekanta!$L$3:$L$30,MATCH($A4,Työkonekanta!$A$3:$A$30,0),1),0)*AF4</f>
        <v>500000</v>
      </c>
      <c r="AF4" s="146">
        <f>IFERROR(INDEX(Työkonekanta!$N$3:$N$32,MATCH($A4,Työkonekanta!$A$3:$A$32,0),1),0)</f>
        <v>1</v>
      </c>
      <c r="AG4" s="332">
        <f>I4*INDEX(Muuttujat!$U$5:$U$21,MATCH($C4,Muuttujat!$N$5:$N$21,0),1)</f>
        <v>9700</v>
      </c>
      <c r="AH4" s="332">
        <f>J4*INDEX(Muuttujat!$T$5:$T$21,MATCH($C4,Muuttujat!$N$5:$N$21,0),1)</f>
        <v>0</v>
      </c>
      <c r="AI4" s="332">
        <f t="shared" si="11"/>
        <v>250</v>
      </c>
      <c r="AJ4" s="332">
        <f t="shared" si="12"/>
        <v>0</v>
      </c>
      <c r="AK4" s="332">
        <f t="shared" ref="AK4:AK67" si="21">SUM(AG4:AJ4)</f>
        <v>9950</v>
      </c>
      <c r="AL4" s="332">
        <f t="shared" si="13"/>
        <v>9950</v>
      </c>
    </row>
    <row r="5" spans="1:38">
      <c r="A5" s="139">
        <v>3</v>
      </c>
      <c r="B5" s="139">
        <f>IFERROR(INDEX(Työkonekanta!$F$3:$F$27,MATCH('S0b Baseline kasvu'!$A5,Työkonekanta!$A$3:$A$24,0),1),0)</f>
        <v>1</v>
      </c>
      <c r="C5" s="140">
        <v>2019</v>
      </c>
      <c r="D5" s="141" t="str">
        <f>IFERROR(INDEX(Työkonekanta!$D$3:$D$27,MATCH('S0b Baseline kasvu'!$A5,Työkonekanta!$A$3:$A$24,0),1),"undefined")</f>
        <v>pom</v>
      </c>
      <c r="E5" s="145">
        <f>IFERROR(INDEX(Työkonekanta!$G$3:$G$27,MATCH($A5,Työkonekanta!$A$3:$A$24,0),1)*INDEX(Työkonekanta!$H$3:$H$27,MATCH($A5,Työkonekanta!$A$3:$A$24,0),1)*(1+s0b_kasvu*($C5-2019))*$B5,0)</f>
        <v>10000</v>
      </c>
      <c r="F5" s="145">
        <f t="shared" si="0"/>
        <v>359000</v>
      </c>
      <c r="G5" s="145">
        <f t="shared" si="14"/>
        <v>359000</v>
      </c>
      <c r="H5" s="145">
        <f t="shared" si="15"/>
        <v>0</v>
      </c>
      <c r="I5" s="145">
        <f t="shared" si="1"/>
        <v>10000</v>
      </c>
      <c r="J5" s="145">
        <f t="shared" si="2"/>
        <v>0</v>
      </c>
      <c r="K5" s="142" t="str">
        <f t="shared" si="16"/>
        <v>l</v>
      </c>
      <c r="L5" s="146">
        <f>IFERROR(INDEX(Työkonekanta!$I$3:$I$27,MATCH('S0b Baseline kasvu'!$A5,Työkonekanta!$A$3:$A$24,0),1)*(I5+J5)*f_adblue,0)</f>
        <v>500</v>
      </c>
      <c r="M5" s="146">
        <f t="shared" si="3"/>
        <v>0</v>
      </c>
      <c r="N5" s="143" t="str">
        <f>IF(tuulisähkö_vuosi&lt;='S0b Baseline kasvu'!C5,"tuulisähkö",ostosähkö_nyt)</f>
        <v>jäännössähkö</v>
      </c>
      <c r="O5" s="147">
        <f>INDEX(Muuttujat!$J$5:$J$21,MATCH($C5,Muuttujat!$H$5:$H$21,0),1)</f>
        <v>69.24722222222222</v>
      </c>
      <c r="P5" s="342">
        <f>1-(INDEX(Muuttujat!$O$5:$O$21,MATCH($C5,Muuttujat!$N$5:$N$21,0),1))</f>
        <v>1</v>
      </c>
      <c r="Q5" s="342">
        <f>INDEX(Muuttujat!$O$5:$O$21,MATCH($C5,Muuttujat!$N$5:$N$21,0),1)</f>
        <v>0</v>
      </c>
      <c r="R5" s="148">
        <f>INDEX(Muuttujat!$P$5:$P$21,MATCH($C5,Muuttujat!$N$5:$N$21,0),1)</f>
        <v>0</v>
      </c>
      <c r="S5" s="149">
        <f t="shared" si="4"/>
        <v>6.785099999999999</v>
      </c>
      <c r="T5" s="150">
        <f t="shared" si="5"/>
        <v>0</v>
      </c>
      <c r="U5" s="150">
        <f t="shared" si="6"/>
        <v>0</v>
      </c>
      <c r="V5" s="150">
        <f>IFERROR(INDEX(Työkonekanta!$J$3:$J$27,MATCH($A5,Työkonekanta!$A$3:$A$24,0),1)*$B5*ef_li_ion_akku/1000/1000/INDEX(Työkonekanta!$K$3:$K$27,MATCH($A5,Työkonekanta!$A$3:$A$24,0)),0)</f>
        <v>0</v>
      </c>
      <c r="W5" s="149">
        <f t="shared" si="7"/>
        <v>26.497163285999999</v>
      </c>
      <c r="X5" s="150">
        <f t="shared" si="8"/>
        <v>0.31774565999999999</v>
      </c>
      <c r="Y5" s="151">
        <f t="shared" si="9"/>
        <v>0.13</v>
      </c>
      <c r="Z5" s="152">
        <f t="shared" si="17"/>
        <v>6.785099999999999</v>
      </c>
      <c r="AA5" s="179">
        <f t="shared" si="18"/>
        <v>26.627163285999998</v>
      </c>
      <c r="AB5" s="179">
        <f t="shared" si="19"/>
        <v>26.944908945999998</v>
      </c>
      <c r="AC5" s="180">
        <f t="shared" si="10"/>
        <v>33.412263285999998</v>
      </c>
      <c r="AD5" s="156">
        <f t="shared" si="20"/>
        <v>33.730008945999998</v>
      </c>
      <c r="AE5" s="146">
        <f>IFERROR(INDEX(Työkonekanta!$L$3:$L$30,MATCH($A5,Työkonekanta!$A$3:$A$30,0),1),0)*AF5</f>
        <v>0</v>
      </c>
      <c r="AF5" s="146">
        <f>IFERROR(INDEX(Työkonekanta!$N$3:$N$32,MATCH($A5,Työkonekanta!$A$3:$A$32,0),1),0)</f>
        <v>0</v>
      </c>
      <c r="AG5" s="332">
        <f>I5*INDEX(Muuttujat!$U$5:$U$21,MATCH($C5,Muuttujat!$N$5:$N$21,0),1)</f>
        <v>9700</v>
      </c>
      <c r="AH5" s="332">
        <f>J5*INDEX(Muuttujat!$T$5:$T$21,MATCH($C5,Muuttujat!$N$5:$N$21,0),1)</f>
        <v>0</v>
      </c>
      <c r="AI5" s="332">
        <f t="shared" si="11"/>
        <v>250</v>
      </c>
      <c r="AJ5" s="332">
        <f t="shared" si="12"/>
        <v>0</v>
      </c>
      <c r="AK5" s="332">
        <f t="shared" si="21"/>
        <v>9950</v>
      </c>
      <c r="AL5" s="332">
        <f t="shared" si="13"/>
        <v>9950</v>
      </c>
    </row>
    <row r="6" spans="1:38">
      <c r="A6" s="139">
        <v>4</v>
      </c>
      <c r="B6" s="139">
        <f>IFERROR(INDEX(Työkonekanta!$F$3:$F$27,MATCH('S0b Baseline kasvu'!$A6,Työkonekanta!$A$3:$A$24,0),1),0)</f>
        <v>1</v>
      </c>
      <c r="C6" s="140">
        <v>2019</v>
      </c>
      <c r="D6" s="141" t="str">
        <f>IFERROR(INDEX(Työkonekanta!$D$3:$D$27,MATCH('S0b Baseline kasvu'!$A6,Työkonekanta!$A$3:$A$24,0),1),"undefined")</f>
        <v>pom</v>
      </c>
      <c r="E6" s="145">
        <f>IFERROR(INDEX(Työkonekanta!$G$3:$G$27,MATCH($A6,Työkonekanta!$A$3:$A$24,0),1)*INDEX(Työkonekanta!$H$3:$H$27,MATCH($A6,Työkonekanta!$A$3:$A$24,0),1)*(1+s0b_kasvu*($C6-2019))*$B6,0)</f>
        <v>10000</v>
      </c>
      <c r="F6" s="145">
        <f t="shared" si="0"/>
        <v>359000</v>
      </c>
      <c r="G6" s="145">
        <f t="shared" si="14"/>
        <v>359000</v>
      </c>
      <c r="H6" s="145">
        <f t="shared" si="15"/>
        <v>0</v>
      </c>
      <c r="I6" s="145">
        <f t="shared" si="1"/>
        <v>10000</v>
      </c>
      <c r="J6" s="145">
        <f t="shared" si="2"/>
        <v>0</v>
      </c>
      <c r="K6" s="142" t="str">
        <f t="shared" si="16"/>
        <v>l</v>
      </c>
      <c r="L6" s="146">
        <f>IFERROR(INDEX(Työkonekanta!$I$3:$I$27,MATCH('S0b Baseline kasvu'!$A6,Työkonekanta!$A$3:$A$24,0),1)*(I6+J6)*f_adblue,0)</f>
        <v>500</v>
      </c>
      <c r="M6" s="146">
        <f t="shared" si="3"/>
        <v>0</v>
      </c>
      <c r="N6" s="143" t="str">
        <f>IF(tuulisähkö_vuosi&lt;='S0b Baseline kasvu'!C6,"tuulisähkö",ostosähkö_nyt)</f>
        <v>jäännössähkö</v>
      </c>
      <c r="O6" s="147">
        <f>INDEX(Muuttujat!$J$5:$J$21,MATCH($C6,Muuttujat!$H$5:$H$21,0),1)</f>
        <v>69.24722222222222</v>
      </c>
      <c r="P6" s="342">
        <f>1-(INDEX(Muuttujat!$O$5:$O$21,MATCH($C6,Muuttujat!$N$5:$N$21,0),1))</f>
        <v>1</v>
      </c>
      <c r="Q6" s="342">
        <f>INDEX(Muuttujat!$O$5:$O$21,MATCH($C6,Muuttujat!$N$5:$N$21,0),1)</f>
        <v>0</v>
      </c>
      <c r="R6" s="148">
        <f>INDEX(Muuttujat!$P$5:$P$21,MATCH($C6,Muuttujat!$N$5:$N$21,0),1)</f>
        <v>0</v>
      </c>
      <c r="S6" s="149">
        <f t="shared" si="4"/>
        <v>6.785099999999999</v>
      </c>
      <c r="T6" s="150">
        <f t="shared" si="5"/>
        <v>0</v>
      </c>
      <c r="U6" s="150">
        <f t="shared" si="6"/>
        <v>0</v>
      </c>
      <c r="V6" s="150">
        <f>IFERROR(INDEX(Työkonekanta!$J$3:$J$27,MATCH($A6,Työkonekanta!$A$3:$A$24,0),1)*$B6*ef_li_ion_akku/1000/1000/INDEX(Työkonekanta!$K$3:$K$27,MATCH($A6,Työkonekanta!$A$3:$A$24,0)),0)</f>
        <v>0</v>
      </c>
      <c r="W6" s="149">
        <f t="shared" si="7"/>
        <v>26.497163285999999</v>
      </c>
      <c r="X6" s="150">
        <f t="shared" si="8"/>
        <v>0.31774565999999999</v>
      </c>
      <c r="Y6" s="151">
        <f t="shared" si="9"/>
        <v>0.13</v>
      </c>
      <c r="Z6" s="152">
        <f t="shared" si="17"/>
        <v>6.785099999999999</v>
      </c>
      <c r="AA6" s="179">
        <f t="shared" si="18"/>
        <v>26.627163285999998</v>
      </c>
      <c r="AB6" s="179">
        <f t="shared" si="19"/>
        <v>26.944908945999998</v>
      </c>
      <c r="AC6" s="180">
        <f t="shared" si="10"/>
        <v>33.412263285999998</v>
      </c>
      <c r="AD6" s="156">
        <f t="shared" si="20"/>
        <v>33.730008945999998</v>
      </c>
      <c r="AE6" s="146">
        <f>IFERROR(INDEX(Työkonekanta!$L$3:$L$30,MATCH($A6,Työkonekanta!$A$3:$A$30,0),1),0)*AF6</f>
        <v>0</v>
      </c>
      <c r="AF6" s="146">
        <f>IFERROR(INDEX(Työkonekanta!$N$3:$N$32,MATCH($A6,Työkonekanta!$A$3:$A$32,0),1),0)</f>
        <v>0</v>
      </c>
      <c r="AG6" s="332">
        <f>I6*INDEX(Muuttujat!$U$5:$U$21,MATCH($C6,Muuttujat!$N$5:$N$21,0),1)</f>
        <v>9700</v>
      </c>
      <c r="AH6" s="332">
        <f>J6*INDEX(Muuttujat!$T$5:$T$21,MATCH($C6,Muuttujat!$N$5:$N$21,0),1)</f>
        <v>0</v>
      </c>
      <c r="AI6" s="332">
        <f t="shared" si="11"/>
        <v>250</v>
      </c>
      <c r="AJ6" s="332">
        <f t="shared" si="12"/>
        <v>0</v>
      </c>
      <c r="AK6" s="332">
        <f t="shared" si="21"/>
        <v>9950</v>
      </c>
      <c r="AL6" s="332">
        <f t="shared" si="13"/>
        <v>9950</v>
      </c>
    </row>
    <row r="7" spans="1:38">
      <c r="A7" s="139">
        <v>5</v>
      </c>
      <c r="B7" s="139">
        <f>IFERROR(INDEX(Työkonekanta!$F$3:$F$27,MATCH('S0b Baseline kasvu'!$A7,Työkonekanta!$A$3:$A$24,0),1),0)</f>
        <v>0</v>
      </c>
      <c r="C7" s="140">
        <v>2019</v>
      </c>
      <c r="D7" s="141" t="str">
        <f>IFERROR(INDEX(Työkonekanta!$D$3:$D$27,MATCH('S0b Baseline kasvu'!$A7,Työkonekanta!$A$3:$A$24,0),1),"undefined")</f>
        <v>sähkö</v>
      </c>
      <c r="E7" s="145">
        <f>IFERROR(INDEX(Työkonekanta!$G$3:$G$27,MATCH($A7,Työkonekanta!$A$3:$A$24,0),1)*INDEX(Työkonekanta!$H$3:$H$27,MATCH($A7,Työkonekanta!$A$3:$A$24,0),1)*(1+s0b_kasvu*($C7-2019))*$B7,0)</f>
        <v>0</v>
      </c>
      <c r="F7" s="145">
        <f t="shared" si="0"/>
        <v>0</v>
      </c>
      <c r="G7" s="145">
        <f t="shared" si="14"/>
        <v>0</v>
      </c>
      <c r="H7" s="145">
        <f t="shared" si="15"/>
        <v>0</v>
      </c>
      <c r="I7" s="145">
        <f t="shared" si="1"/>
        <v>0</v>
      </c>
      <c r="J7" s="145">
        <f t="shared" si="2"/>
        <v>0</v>
      </c>
      <c r="K7" s="142" t="str">
        <f t="shared" si="16"/>
        <v>kWh</v>
      </c>
      <c r="L7" s="146">
        <f>IFERROR(INDEX(Työkonekanta!$I$3:$I$27,MATCH('S0b Baseline kasvu'!$A7,Työkonekanta!$A$3:$A$24,0),1)*(I7+J7)*f_adblue,0)</f>
        <v>0</v>
      </c>
      <c r="M7" s="146">
        <f t="shared" si="3"/>
        <v>0</v>
      </c>
      <c r="N7" s="143" t="str">
        <f>IF(tuulisähkö_vuosi&lt;='S0b Baseline kasvu'!C7,"tuulisähkö",ostosähkö_nyt)</f>
        <v>jäännössähkö</v>
      </c>
      <c r="O7" s="147">
        <f>INDEX(Muuttujat!$J$5:$J$21,MATCH($C7,Muuttujat!$H$5:$H$21,0),1)</f>
        <v>69.24722222222222</v>
      </c>
      <c r="P7" s="342">
        <f>1-(INDEX(Muuttujat!$O$5:$O$21,MATCH($C7,Muuttujat!$N$5:$N$21,0),1))</f>
        <v>1</v>
      </c>
      <c r="Q7" s="342">
        <f>INDEX(Muuttujat!$O$5:$O$21,MATCH($C7,Muuttujat!$N$5:$N$21,0),1)</f>
        <v>0</v>
      </c>
      <c r="R7" s="148">
        <f>INDEX(Muuttujat!$P$5:$P$21,MATCH($C7,Muuttujat!$N$5:$N$21,0),1)</f>
        <v>0</v>
      </c>
      <c r="S7" s="149">
        <f t="shared" si="4"/>
        <v>0</v>
      </c>
      <c r="T7" s="150">
        <f t="shared" si="5"/>
        <v>0</v>
      </c>
      <c r="U7" s="150">
        <f t="shared" si="6"/>
        <v>0</v>
      </c>
      <c r="V7" s="150">
        <f>IFERROR(INDEX(Työkonekanta!$J$3:$J$27,MATCH($A7,Työkonekanta!$A$3:$A$24,0),1)*$B7*ef_li_ion_akku/1000/1000/INDEX(Työkonekanta!$K$3:$K$27,MATCH($A7,Työkonekanta!$A$3:$A$24,0)),0)</f>
        <v>0</v>
      </c>
      <c r="W7" s="149">
        <f t="shared" si="7"/>
        <v>0</v>
      </c>
      <c r="X7" s="150">
        <f t="shared" si="8"/>
        <v>0</v>
      </c>
      <c r="Y7" s="151">
        <f t="shared" si="9"/>
        <v>0</v>
      </c>
      <c r="Z7" s="152">
        <f t="shared" si="17"/>
        <v>0</v>
      </c>
      <c r="AA7" s="179">
        <f t="shared" si="18"/>
        <v>0</v>
      </c>
      <c r="AB7" s="179">
        <f t="shared" si="19"/>
        <v>0</v>
      </c>
      <c r="AC7" s="180">
        <f t="shared" si="10"/>
        <v>0</v>
      </c>
      <c r="AD7" s="156">
        <f t="shared" si="20"/>
        <v>0</v>
      </c>
      <c r="AE7" s="146">
        <f>IFERROR(INDEX(Työkonekanta!$L$3:$L$30,MATCH($A7,Työkonekanta!$A$3:$A$30,0),1),0)*AF7</f>
        <v>0</v>
      </c>
      <c r="AF7" s="146">
        <f>IFERROR(INDEX(Työkonekanta!$N$3:$N$32,MATCH($A7,Työkonekanta!$A$3:$A$32,0),1),0)</f>
        <v>0</v>
      </c>
      <c r="AG7" s="332">
        <f>I7*INDEX(Muuttujat!$U$5:$U$21,MATCH($C7,Muuttujat!$N$5:$N$21,0),1)</f>
        <v>0</v>
      </c>
      <c r="AH7" s="332">
        <f>J7*INDEX(Muuttujat!$T$5:$T$21,MATCH($C7,Muuttujat!$N$5:$N$21,0),1)</f>
        <v>0</v>
      </c>
      <c r="AI7" s="332">
        <f t="shared" si="11"/>
        <v>0</v>
      </c>
      <c r="AJ7" s="332">
        <f t="shared" si="12"/>
        <v>0</v>
      </c>
      <c r="AK7" s="332">
        <f t="shared" si="21"/>
        <v>0</v>
      </c>
      <c r="AL7" s="332">
        <f t="shared" si="13"/>
        <v>0</v>
      </c>
    </row>
    <row r="8" spans="1:38">
      <c r="A8" s="139">
        <v>6</v>
      </c>
      <c r="B8" s="139">
        <f>IFERROR(INDEX(Työkonekanta!$F$3:$F$27,MATCH('S0b Baseline kasvu'!$A8,Työkonekanta!$A$3:$A$24,0),1),0)</f>
        <v>0</v>
      </c>
      <c r="C8" s="140">
        <v>2019</v>
      </c>
      <c r="D8" s="141" t="str">
        <f>IFERROR(INDEX(Työkonekanta!$D$3:$D$27,MATCH('S0b Baseline kasvu'!$A8,Työkonekanta!$A$3:$A$24,0),1),"undefined")</f>
        <v>sähkö</v>
      </c>
      <c r="E8" s="145">
        <f>IFERROR(INDEX(Työkonekanta!$G$3:$G$27,MATCH($A8,Työkonekanta!$A$3:$A$24,0),1)*INDEX(Työkonekanta!$H$3:$H$27,MATCH($A8,Työkonekanta!$A$3:$A$24,0),1)*(1+s0b_kasvu*($C8-2019))*$B8,0)</f>
        <v>0</v>
      </c>
      <c r="F8" s="145">
        <f t="shared" si="0"/>
        <v>0</v>
      </c>
      <c r="G8" s="145">
        <f t="shared" si="14"/>
        <v>0</v>
      </c>
      <c r="H8" s="145">
        <f t="shared" si="15"/>
        <v>0</v>
      </c>
      <c r="I8" s="145">
        <f t="shared" si="1"/>
        <v>0</v>
      </c>
      <c r="J8" s="145">
        <f t="shared" si="2"/>
        <v>0</v>
      </c>
      <c r="K8" s="142" t="str">
        <f t="shared" si="16"/>
        <v>kWh</v>
      </c>
      <c r="L8" s="146">
        <f>IFERROR(INDEX(Työkonekanta!$I$3:$I$27,MATCH('S0b Baseline kasvu'!$A8,Työkonekanta!$A$3:$A$24,0),1)*(I8+J8)*f_adblue,0)</f>
        <v>0</v>
      </c>
      <c r="M8" s="146">
        <f t="shared" si="3"/>
        <v>0</v>
      </c>
      <c r="N8" s="143" t="str">
        <f>IF(tuulisähkö_vuosi&lt;='S0b Baseline kasvu'!C8,"tuulisähkö",ostosähkö_nyt)</f>
        <v>jäännössähkö</v>
      </c>
      <c r="O8" s="147">
        <f>INDEX(Muuttujat!$J$5:$J$21,MATCH($C8,Muuttujat!$H$5:$H$21,0),1)</f>
        <v>69.24722222222222</v>
      </c>
      <c r="P8" s="342">
        <f>1-(INDEX(Muuttujat!$O$5:$O$21,MATCH($C8,Muuttujat!$N$5:$N$21,0),1))</f>
        <v>1</v>
      </c>
      <c r="Q8" s="342">
        <f>INDEX(Muuttujat!$O$5:$O$21,MATCH($C8,Muuttujat!$N$5:$N$21,0),1)</f>
        <v>0</v>
      </c>
      <c r="R8" s="148">
        <f>INDEX(Muuttujat!$P$5:$P$21,MATCH($C8,Muuttujat!$N$5:$N$21,0),1)</f>
        <v>0</v>
      </c>
      <c r="S8" s="149">
        <f t="shared" si="4"/>
        <v>0</v>
      </c>
      <c r="T8" s="150">
        <f t="shared" si="5"/>
        <v>0</v>
      </c>
      <c r="U8" s="150">
        <f t="shared" si="6"/>
        <v>0</v>
      </c>
      <c r="V8" s="150">
        <f>IFERROR(INDEX(Työkonekanta!$J$3:$J$27,MATCH($A8,Työkonekanta!$A$3:$A$24,0),1)*$B8*ef_li_ion_akku/1000/1000/INDEX(Työkonekanta!$K$3:$K$27,MATCH($A8,Työkonekanta!$A$3:$A$24,0)),0)</f>
        <v>0</v>
      </c>
      <c r="W8" s="149">
        <f t="shared" si="7"/>
        <v>0</v>
      </c>
      <c r="X8" s="150">
        <f t="shared" si="8"/>
        <v>0</v>
      </c>
      <c r="Y8" s="151">
        <f t="shared" si="9"/>
        <v>0</v>
      </c>
      <c r="Z8" s="152">
        <f t="shared" si="17"/>
        <v>0</v>
      </c>
      <c r="AA8" s="179">
        <f t="shared" si="18"/>
        <v>0</v>
      </c>
      <c r="AB8" s="179">
        <f t="shared" si="19"/>
        <v>0</v>
      </c>
      <c r="AC8" s="180">
        <f t="shared" si="10"/>
        <v>0</v>
      </c>
      <c r="AD8" s="156">
        <f t="shared" si="20"/>
        <v>0</v>
      </c>
      <c r="AE8" s="146">
        <f>IFERROR(INDEX(Työkonekanta!$L$3:$L$30,MATCH($A8,Työkonekanta!$A$3:$A$30,0),1),0)*AF8</f>
        <v>0</v>
      </c>
      <c r="AF8" s="146">
        <f>IFERROR(INDEX(Työkonekanta!$N$3:$N$32,MATCH($A8,Työkonekanta!$A$3:$A$32,0),1),0)</f>
        <v>0</v>
      </c>
      <c r="AG8" s="332">
        <f>I8*INDEX(Muuttujat!$U$5:$U$21,MATCH($C8,Muuttujat!$N$5:$N$21,0),1)</f>
        <v>0</v>
      </c>
      <c r="AH8" s="332">
        <f>J8*INDEX(Muuttujat!$T$5:$T$21,MATCH($C8,Muuttujat!$N$5:$N$21,0),1)</f>
        <v>0</v>
      </c>
      <c r="AI8" s="332">
        <f t="shared" si="11"/>
        <v>0</v>
      </c>
      <c r="AJ8" s="332">
        <f t="shared" si="12"/>
        <v>0</v>
      </c>
      <c r="AK8" s="332">
        <f t="shared" si="21"/>
        <v>0</v>
      </c>
      <c r="AL8" s="332">
        <f t="shared" si="13"/>
        <v>0</v>
      </c>
    </row>
    <row r="9" spans="1:38">
      <c r="A9" s="139">
        <v>7</v>
      </c>
      <c r="B9" s="139">
        <f>IFERROR(INDEX(Työkonekanta!$F$3:$F$27,MATCH('S0b Baseline kasvu'!$A9,Työkonekanta!$A$3:$A$24,0),1),0)</f>
        <v>1</v>
      </c>
      <c r="C9" s="140">
        <v>2019</v>
      </c>
      <c r="D9" s="141" t="str">
        <f>IFERROR(INDEX(Työkonekanta!$D$3:$D$27,MATCH('S0b Baseline kasvu'!$A9,Työkonekanta!$A$3:$A$24,0),1),"undefined")</f>
        <v>pom</v>
      </c>
      <c r="E9" s="145">
        <f>IFERROR(INDEX(Työkonekanta!$G$3:$G$27,MATCH($A9,Työkonekanta!$A$3:$A$24,0),1)*INDEX(Työkonekanta!$H$3:$H$27,MATCH($A9,Työkonekanta!$A$3:$A$24,0),1)*(1+s0b_kasvu*($C9-2019))*$B9,0)</f>
        <v>10000</v>
      </c>
      <c r="F9" s="145">
        <f t="shared" si="0"/>
        <v>359000</v>
      </c>
      <c r="G9" s="145">
        <f t="shared" si="14"/>
        <v>359000</v>
      </c>
      <c r="H9" s="145">
        <f t="shared" si="15"/>
        <v>0</v>
      </c>
      <c r="I9" s="145">
        <f t="shared" si="1"/>
        <v>10000</v>
      </c>
      <c r="J9" s="145">
        <f t="shared" si="2"/>
        <v>0</v>
      </c>
      <c r="K9" s="142" t="str">
        <f t="shared" si="16"/>
        <v>l</v>
      </c>
      <c r="L9" s="146">
        <f>IFERROR(INDEX(Työkonekanta!$I$3:$I$27,MATCH('S0b Baseline kasvu'!$A9,Työkonekanta!$A$3:$A$24,0),1)*(I9+J9)*f_adblue,0)</f>
        <v>0</v>
      </c>
      <c r="M9" s="146">
        <f t="shared" si="3"/>
        <v>0</v>
      </c>
      <c r="N9" s="143" t="str">
        <f>IF(tuulisähkö_vuosi&lt;='S0b Baseline kasvu'!C9,"tuulisähkö",ostosähkö_nyt)</f>
        <v>jäännössähkö</v>
      </c>
      <c r="O9" s="147">
        <f>INDEX(Muuttujat!$J$5:$J$21,MATCH($C9,Muuttujat!$H$5:$H$21,0),1)</f>
        <v>69.24722222222222</v>
      </c>
      <c r="P9" s="342">
        <f>1-(INDEX(Muuttujat!$O$5:$O$21,MATCH($C9,Muuttujat!$N$5:$N$21,0),1))</f>
        <v>1</v>
      </c>
      <c r="Q9" s="342">
        <f>INDEX(Muuttujat!$O$5:$O$21,MATCH($C9,Muuttujat!$N$5:$N$21,0),1)</f>
        <v>0</v>
      </c>
      <c r="R9" s="148">
        <f>INDEX(Muuttujat!$P$5:$P$21,MATCH($C9,Muuttujat!$N$5:$N$21,0),1)</f>
        <v>0</v>
      </c>
      <c r="S9" s="149">
        <f t="shared" si="4"/>
        <v>6.785099999999999</v>
      </c>
      <c r="T9" s="150">
        <f t="shared" si="5"/>
        <v>0</v>
      </c>
      <c r="U9" s="150">
        <f t="shared" si="6"/>
        <v>0</v>
      </c>
      <c r="V9" s="150">
        <f>IFERROR(INDEX(Työkonekanta!$J$3:$J$27,MATCH($A9,Työkonekanta!$A$3:$A$24,0),1)*$B9*ef_li_ion_akku/1000/1000/INDEX(Työkonekanta!$K$3:$K$27,MATCH($A9,Työkonekanta!$A$3:$A$24,0)),0)</f>
        <v>0</v>
      </c>
      <c r="W9" s="149">
        <f t="shared" si="7"/>
        <v>26.497163285999999</v>
      </c>
      <c r="X9" s="150">
        <f t="shared" si="8"/>
        <v>0.31774565999999999</v>
      </c>
      <c r="Y9" s="151">
        <f t="shared" si="9"/>
        <v>0</v>
      </c>
      <c r="Z9" s="152">
        <f t="shared" si="17"/>
        <v>6.785099999999999</v>
      </c>
      <c r="AA9" s="179">
        <f t="shared" si="18"/>
        <v>26.497163285999999</v>
      </c>
      <c r="AB9" s="179">
        <f t="shared" si="19"/>
        <v>26.814908945999999</v>
      </c>
      <c r="AC9" s="180">
        <f t="shared" si="10"/>
        <v>33.282263285999996</v>
      </c>
      <c r="AD9" s="156">
        <f t="shared" si="20"/>
        <v>33.600008945999996</v>
      </c>
      <c r="AE9" s="146">
        <f>IFERROR(INDEX(Työkonekanta!$L$3:$L$30,MATCH($A9,Työkonekanta!$A$3:$A$30,0),1),0)*AF9</f>
        <v>500000</v>
      </c>
      <c r="AF9" s="146">
        <f>IFERROR(INDEX(Työkonekanta!$N$3:$N$32,MATCH($A9,Työkonekanta!$A$3:$A$32,0),1),0)</f>
        <v>1</v>
      </c>
      <c r="AG9" s="332">
        <f>I9*INDEX(Muuttujat!$U$5:$U$21,MATCH($C9,Muuttujat!$N$5:$N$21,0),1)</f>
        <v>9700</v>
      </c>
      <c r="AH9" s="332">
        <f>J9*INDEX(Muuttujat!$T$5:$T$21,MATCH($C9,Muuttujat!$N$5:$N$21,0),1)</f>
        <v>0</v>
      </c>
      <c r="AI9" s="332">
        <f t="shared" si="11"/>
        <v>0</v>
      </c>
      <c r="AJ9" s="332">
        <f t="shared" si="12"/>
        <v>0</v>
      </c>
      <c r="AK9" s="332">
        <f t="shared" si="21"/>
        <v>9700</v>
      </c>
      <c r="AL9" s="332">
        <f t="shared" si="13"/>
        <v>9700</v>
      </c>
    </row>
    <row r="10" spans="1:38">
      <c r="A10" s="139">
        <v>8</v>
      </c>
      <c r="B10" s="139">
        <f>IFERROR(INDEX(Työkonekanta!$F$3:$F$27,MATCH('S0b Baseline kasvu'!$A10,Työkonekanta!$A$3:$A$24,0),1),0)</f>
        <v>1</v>
      </c>
      <c r="C10" s="140">
        <v>2019</v>
      </c>
      <c r="D10" s="141" t="str">
        <f>IFERROR(INDEX(Työkonekanta!$D$3:$D$27,MATCH('S0b Baseline kasvu'!$A10,Työkonekanta!$A$3:$A$24,0),1),"undefined")</f>
        <v>pom</v>
      </c>
      <c r="E10" s="145">
        <f>IFERROR(INDEX(Työkonekanta!$G$3:$G$27,MATCH($A10,Työkonekanta!$A$3:$A$24,0),1)*INDEX(Työkonekanta!$H$3:$H$27,MATCH($A10,Työkonekanta!$A$3:$A$24,0),1)*(1+s0b_kasvu*($C10-2019))*$B10,0)</f>
        <v>10000</v>
      </c>
      <c r="F10" s="145">
        <f t="shared" si="0"/>
        <v>359000</v>
      </c>
      <c r="G10" s="145">
        <f t="shared" si="14"/>
        <v>359000</v>
      </c>
      <c r="H10" s="145">
        <f t="shared" si="15"/>
        <v>0</v>
      </c>
      <c r="I10" s="145">
        <f t="shared" si="1"/>
        <v>10000</v>
      </c>
      <c r="J10" s="145">
        <f t="shared" si="2"/>
        <v>0</v>
      </c>
      <c r="K10" s="142" t="str">
        <f t="shared" si="16"/>
        <v>l</v>
      </c>
      <c r="L10" s="146">
        <f>IFERROR(INDEX(Työkonekanta!$I$3:$I$27,MATCH('S0b Baseline kasvu'!$A10,Työkonekanta!$A$3:$A$24,0),1)*(I10+J10)*f_adblue,0)</f>
        <v>500</v>
      </c>
      <c r="M10" s="146">
        <f t="shared" si="3"/>
        <v>0</v>
      </c>
      <c r="N10" s="143" t="str">
        <f>IF(tuulisähkö_vuosi&lt;='S0b Baseline kasvu'!C10,"tuulisähkö",ostosähkö_nyt)</f>
        <v>jäännössähkö</v>
      </c>
      <c r="O10" s="147">
        <f>INDEX(Muuttujat!$J$5:$J$21,MATCH($C10,Muuttujat!$H$5:$H$21,0),1)</f>
        <v>69.24722222222222</v>
      </c>
      <c r="P10" s="342">
        <f>1-(INDEX(Muuttujat!$O$5:$O$21,MATCH($C10,Muuttujat!$N$5:$N$21,0),1))</f>
        <v>1</v>
      </c>
      <c r="Q10" s="342">
        <f>INDEX(Muuttujat!$O$5:$O$21,MATCH($C10,Muuttujat!$N$5:$N$21,0),1)</f>
        <v>0</v>
      </c>
      <c r="R10" s="148">
        <f>INDEX(Muuttujat!$P$5:$P$21,MATCH($C10,Muuttujat!$N$5:$N$21,0),1)</f>
        <v>0</v>
      </c>
      <c r="S10" s="149">
        <f t="shared" si="4"/>
        <v>6.785099999999999</v>
      </c>
      <c r="T10" s="150">
        <f t="shared" si="5"/>
        <v>0</v>
      </c>
      <c r="U10" s="150">
        <f t="shared" si="6"/>
        <v>0</v>
      </c>
      <c r="V10" s="150">
        <f>IFERROR(INDEX(Työkonekanta!$J$3:$J$27,MATCH($A10,Työkonekanta!$A$3:$A$24,0),1)*$B10*ef_li_ion_akku/1000/1000/INDEX(Työkonekanta!$K$3:$K$27,MATCH($A10,Työkonekanta!$A$3:$A$24,0)),0)</f>
        <v>0</v>
      </c>
      <c r="W10" s="149">
        <f t="shared" si="7"/>
        <v>26.497163285999999</v>
      </c>
      <c r="X10" s="150">
        <f t="shared" si="8"/>
        <v>0.31774565999999999</v>
      </c>
      <c r="Y10" s="151">
        <f t="shared" si="9"/>
        <v>0.13</v>
      </c>
      <c r="Z10" s="152">
        <f t="shared" si="17"/>
        <v>6.785099999999999</v>
      </c>
      <c r="AA10" s="179">
        <f t="shared" si="18"/>
        <v>26.627163285999998</v>
      </c>
      <c r="AB10" s="179">
        <f t="shared" si="19"/>
        <v>26.944908945999998</v>
      </c>
      <c r="AC10" s="180">
        <f t="shared" si="10"/>
        <v>33.412263285999998</v>
      </c>
      <c r="AD10" s="156">
        <f t="shared" si="20"/>
        <v>33.730008945999998</v>
      </c>
      <c r="AE10" s="146">
        <f>IFERROR(INDEX(Työkonekanta!$L$3:$L$30,MATCH($A10,Työkonekanta!$A$3:$A$30,0),1),0)*AF10</f>
        <v>500000</v>
      </c>
      <c r="AF10" s="146">
        <f>IFERROR(INDEX(Työkonekanta!$N$3:$N$32,MATCH($A10,Työkonekanta!$A$3:$A$32,0),1),0)</f>
        <v>1</v>
      </c>
      <c r="AG10" s="332">
        <f>I10*INDEX(Muuttujat!$U$5:$U$21,MATCH($C10,Muuttujat!$N$5:$N$21,0),1)</f>
        <v>9700</v>
      </c>
      <c r="AH10" s="332">
        <f>J10*INDEX(Muuttujat!$T$5:$T$21,MATCH($C10,Muuttujat!$N$5:$N$21,0),1)</f>
        <v>0</v>
      </c>
      <c r="AI10" s="332">
        <f t="shared" si="11"/>
        <v>250</v>
      </c>
      <c r="AJ10" s="332">
        <f t="shared" si="12"/>
        <v>0</v>
      </c>
      <c r="AK10" s="332">
        <f t="shared" si="21"/>
        <v>9950</v>
      </c>
      <c r="AL10" s="332">
        <f t="shared" si="13"/>
        <v>9950</v>
      </c>
    </row>
    <row r="11" spans="1:38">
      <c r="A11" s="139">
        <v>9</v>
      </c>
      <c r="B11" s="139">
        <f>IFERROR(INDEX(Työkonekanta!$F$3:$F$27,MATCH('S0b Baseline kasvu'!$A11,Työkonekanta!$A$3:$A$24,0),1),0)</f>
        <v>0</v>
      </c>
      <c r="C11" s="140">
        <v>2019</v>
      </c>
      <c r="D11" s="141" t="str">
        <f>IFERROR(INDEX(Työkonekanta!$D$3:$D$27,MATCH('S0b Baseline kasvu'!$A11,Työkonekanta!$A$3:$A$24,0),1),"undefined")</f>
        <v>sähkö</v>
      </c>
      <c r="E11" s="145">
        <f>IFERROR(INDEX(Työkonekanta!$G$3:$G$27,MATCH($A11,Työkonekanta!$A$3:$A$24,0),1)*INDEX(Työkonekanta!$H$3:$H$27,MATCH($A11,Työkonekanta!$A$3:$A$24,0),1)*(1+s0b_kasvu*($C11-2019))*$B11,0)</f>
        <v>0</v>
      </c>
      <c r="F11" s="145">
        <f t="shared" si="0"/>
        <v>0</v>
      </c>
      <c r="G11" s="145">
        <f t="shared" si="14"/>
        <v>0</v>
      </c>
      <c r="H11" s="145">
        <f t="shared" si="15"/>
        <v>0</v>
      </c>
      <c r="I11" s="145">
        <f t="shared" si="1"/>
        <v>0</v>
      </c>
      <c r="J11" s="145">
        <f t="shared" si="2"/>
        <v>0</v>
      </c>
      <c r="K11" s="142" t="str">
        <f t="shared" si="16"/>
        <v>kWh</v>
      </c>
      <c r="L11" s="146">
        <f>IFERROR(INDEX(Työkonekanta!$I$3:$I$27,MATCH('S0b Baseline kasvu'!$A11,Työkonekanta!$A$3:$A$24,0),1)*(I11+J11)*f_adblue,0)</f>
        <v>0</v>
      </c>
      <c r="M11" s="146">
        <f t="shared" si="3"/>
        <v>0</v>
      </c>
      <c r="N11" s="143" t="str">
        <f>IF(tuulisähkö_vuosi&lt;='S0b Baseline kasvu'!C11,"tuulisähkö",ostosähkö_nyt)</f>
        <v>jäännössähkö</v>
      </c>
      <c r="O11" s="147">
        <f>INDEX(Muuttujat!$J$5:$J$21,MATCH($C11,Muuttujat!$H$5:$H$21,0),1)</f>
        <v>69.24722222222222</v>
      </c>
      <c r="P11" s="342">
        <f>1-(INDEX(Muuttujat!$O$5:$O$21,MATCH($C11,Muuttujat!$N$5:$N$21,0),1))</f>
        <v>1</v>
      </c>
      <c r="Q11" s="342">
        <f>INDEX(Muuttujat!$O$5:$O$21,MATCH($C11,Muuttujat!$N$5:$N$21,0),1)</f>
        <v>0</v>
      </c>
      <c r="R11" s="148">
        <f>INDEX(Muuttujat!$P$5:$P$21,MATCH($C11,Muuttujat!$N$5:$N$21,0),1)</f>
        <v>0</v>
      </c>
      <c r="S11" s="149">
        <f t="shared" si="4"/>
        <v>0</v>
      </c>
      <c r="T11" s="150">
        <f t="shared" si="5"/>
        <v>0</v>
      </c>
      <c r="U11" s="150">
        <f t="shared" si="6"/>
        <v>0</v>
      </c>
      <c r="V11" s="150">
        <f>IFERROR(INDEX(Työkonekanta!$J$3:$J$27,MATCH($A11,Työkonekanta!$A$3:$A$24,0),1)*$B11*ef_li_ion_akku/1000/1000/INDEX(Työkonekanta!$K$3:$K$27,MATCH($A11,Työkonekanta!$A$3:$A$24,0)),0)</f>
        <v>0</v>
      </c>
      <c r="W11" s="149">
        <f t="shared" si="7"/>
        <v>0</v>
      </c>
      <c r="X11" s="150">
        <f t="shared" si="8"/>
        <v>0</v>
      </c>
      <c r="Y11" s="151">
        <f t="shared" si="9"/>
        <v>0</v>
      </c>
      <c r="Z11" s="152">
        <f t="shared" si="17"/>
        <v>0</v>
      </c>
      <c r="AA11" s="179">
        <f t="shared" si="18"/>
        <v>0</v>
      </c>
      <c r="AB11" s="179">
        <f t="shared" si="19"/>
        <v>0</v>
      </c>
      <c r="AC11" s="180">
        <f t="shared" si="10"/>
        <v>0</v>
      </c>
      <c r="AD11" s="156">
        <f t="shared" si="20"/>
        <v>0</v>
      </c>
      <c r="AE11" s="146">
        <f>IFERROR(INDEX(Työkonekanta!$L$3:$L$30,MATCH($A11,Työkonekanta!$A$3:$A$30,0),1),0)*AF11</f>
        <v>0</v>
      </c>
      <c r="AF11" s="146">
        <f>IFERROR(INDEX(Työkonekanta!$N$3:$N$32,MATCH($A11,Työkonekanta!$A$3:$A$32,0),1),0)</f>
        <v>0</v>
      </c>
      <c r="AG11" s="332">
        <f>I11*INDEX(Muuttujat!$U$5:$U$21,MATCH($C11,Muuttujat!$N$5:$N$21,0),1)</f>
        <v>0</v>
      </c>
      <c r="AH11" s="332">
        <f>J11*INDEX(Muuttujat!$T$5:$T$21,MATCH($C11,Muuttujat!$N$5:$N$21,0),1)</f>
        <v>0</v>
      </c>
      <c r="AI11" s="332">
        <f t="shared" si="11"/>
        <v>0</v>
      </c>
      <c r="AJ11" s="332">
        <f t="shared" si="12"/>
        <v>0</v>
      </c>
      <c r="AK11" s="332">
        <f t="shared" si="21"/>
        <v>0</v>
      </c>
      <c r="AL11" s="332">
        <f t="shared" si="13"/>
        <v>0</v>
      </c>
    </row>
    <row r="12" spans="1:38">
      <c r="A12" s="139">
        <v>10</v>
      </c>
      <c r="B12" s="139">
        <f>IFERROR(INDEX(Työkonekanta!$F$3:$F$27,MATCH('S0b Baseline kasvu'!$A12,Työkonekanta!$A$3:$A$24,0),1),0)</f>
        <v>0</v>
      </c>
      <c r="C12" s="140">
        <v>2019</v>
      </c>
      <c r="D12" s="141" t="str">
        <f>IFERROR(INDEX(Työkonekanta!$D$3:$D$27,MATCH('S0b Baseline kasvu'!$A12,Työkonekanta!$A$3:$A$24,0),1),"undefined")</f>
        <v>sähkö</v>
      </c>
      <c r="E12" s="145">
        <f>IFERROR(INDEX(Työkonekanta!$G$3:$G$27,MATCH($A12,Työkonekanta!$A$3:$A$24,0),1)*INDEX(Työkonekanta!$H$3:$H$27,MATCH($A12,Työkonekanta!$A$3:$A$24,0),1)*(1+s0b_kasvu*($C12-2019))*$B12,0)</f>
        <v>0</v>
      </c>
      <c r="F12" s="145">
        <f t="shared" si="0"/>
        <v>0</v>
      </c>
      <c r="G12" s="145">
        <f t="shared" si="14"/>
        <v>0</v>
      </c>
      <c r="H12" s="145">
        <f t="shared" si="15"/>
        <v>0</v>
      </c>
      <c r="I12" s="145">
        <f t="shared" si="1"/>
        <v>0</v>
      </c>
      <c r="J12" s="145">
        <f t="shared" si="2"/>
        <v>0</v>
      </c>
      <c r="K12" s="142" t="str">
        <f t="shared" si="16"/>
        <v>kWh</v>
      </c>
      <c r="L12" s="146">
        <f>IFERROR(INDEX(Työkonekanta!$I$3:$I$27,MATCH('S0b Baseline kasvu'!$A12,Työkonekanta!$A$3:$A$24,0),1)*(I12+J12)*f_adblue,0)</f>
        <v>0</v>
      </c>
      <c r="M12" s="146">
        <f t="shared" si="3"/>
        <v>0</v>
      </c>
      <c r="N12" s="143" t="str">
        <f>IF(tuulisähkö_vuosi&lt;='S0b Baseline kasvu'!C12,"tuulisähkö",ostosähkö_nyt)</f>
        <v>jäännössähkö</v>
      </c>
      <c r="O12" s="147">
        <f>INDEX(Muuttujat!$J$5:$J$21,MATCH($C12,Muuttujat!$H$5:$H$21,0),1)</f>
        <v>69.24722222222222</v>
      </c>
      <c r="P12" s="342">
        <f>1-(INDEX(Muuttujat!$O$5:$O$21,MATCH($C12,Muuttujat!$N$5:$N$21,0),1))</f>
        <v>1</v>
      </c>
      <c r="Q12" s="342">
        <f>INDEX(Muuttujat!$O$5:$O$21,MATCH($C12,Muuttujat!$N$5:$N$21,0),1)</f>
        <v>0</v>
      </c>
      <c r="R12" s="148">
        <f>INDEX(Muuttujat!$P$5:$P$21,MATCH($C12,Muuttujat!$N$5:$N$21,0),1)</f>
        <v>0</v>
      </c>
      <c r="S12" s="149">
        <f t="shared" si="4"/>
        <v>0</v>
      </c>
      <c r="T12" s="150">
        <f t="shared" si="5"/>
        <v>0</v>
      </c>
      <c r="U12" s="150">
        <f t="shared" si="6"/>
        <v>0</v>
      </c>
      <c r="V12" s="150">
        <f>IFERROR(INDEX(Työkonekanta!$J$3:$J$27,MATCH($A12,Työkonekanta!$A$3:$A$24,0),1)*$B12*ef_li_ion_akku/1000/1000/INDEX(Työkonekanta!$K$3:$K$27,MATCH($A12,Työkonekanta!$A$3:$A$24,0)),0)</f>
        <v>0</v>
      </c>
      <c r="W12" s="149">
        <f t="shared" si="7"/>
        <v>0</v>
      </c>
      <c r="X12" s="150">
        <f t="shared" si="8"/>
        <v>0</v>
      </c>
      <c r="Y12" s="151">
        <f t="shared" si="9"/>
        <v>0</v>
      </c>
      <c r="Z12" s="152">
        <f t="shared" si="17"/>
        <v>0</v>
      </c>
      <c r="AA12" s="179">
        <f t="shared" si="18"/>
        <v>0</v>
      </c>
      <c r="AB12" s="179">
        <f t="shared" si="19"/>
        <v>0</v>
      </c>
      <c r="AC12" s="180">
        <f t="shared" si="10"/>
        <v>0</v>
      </c>
      <c r="AD12" s="156">
        <f t="shared" si="20"/>
        <v>0</v>
      </c>
      <c r="AE12" s="146">
        <f>IFERROR(INDEX(Työkonekanta!$L$3:$L$30,MATCH($A12,Työkonekanta!$A$3:$A$30,0),1),0)*AF12</f>
        <v>0</v>
      </c>
      <c r="AF12" s="146">
        <f>IFERROR(INDEX(Työkonekanta!$N$3:$N$32,MATCH($A12,Työkonekanta!$A$3:$A$32,0),1),0)</f>
        <v>0</v>
      </c>
      <c r="AG12" s="332">
        <f>I12*INDEX(Muuttujat!$U$5:$U$21,MATCH($C12,Muuttujat!$N$5:$N$21,0),1)</f>
        <v>0</v>
      </c>
      <c r="AH12" s="332">
        <f>J12*INDEX(Muuttujat!$T$5:$T$21,MATCH($C12,Muuttujat!$N$5:$N$21,0),1)</f>
        <v>0</v>
      </c>
      <c r="AI12" s="332">
        <f t="shared" si="11"/>
        <v>0</v>
      </c>
      <c r="AJ12" s="332">
        <f t="shared" si="12"/>
        <v>0</v>
      </c>
      <c r="AK12" s="332">
        <f t="shared" si="21"/>
        <v>0</v>
      </c>
      <c r="AL12" s="332">
        <f t="shared" si="13"/>
        <v>0</v>
      </c>
    </row>
    <row r="13" spans="1:38">
      <c r="A13" s="139">
        <v>11</v>
      </c>
      <c r="B13" s="139">
        <f>IFERROR(INDEX(Työkonekanta!$F$3:$F$27,MATCH('S0b Baseline kasvu'!$A13,Työkonekanta!$A$3:$A$24,0),1),0)</f>
        <v>1</v>
      </c>
      <c r="C13" s="140">
        <v>2019</v>
      </c>
      <c r="D13" s="141" t="str">
        <f>IFERROR(INDEX(Työkonekanta!$D$3:$D$27,MATCH('S0b Baseline kasvu'!$A13,Työkonekanta!$A$3:$A$24,0),1),"undefined")</f>
        <v>pom</v>
      </c>
      <c r="E13" s="145">
        <f>IFERROR(INDEX(Työkonekanta!$G$3:$G$27,MATCH($A13,Työkonekanta!$A$3:$A$24,0),1)*INDEX(Työkonekanta!$H$3:$H$27,MATCH($A13,Työkonekanta!$A$3:$A$24,0),1)*(1+s0b_kasvu*($C13-2019))*$B13,0)</f>
        <v>10000</v>
      </c>
      <c r="F13" s="145">
        <f t="shared" si="0"/>
        <v>359000</v>
      </c>
      <c r="G13" s="145">
        <f t="shared" si="14"/>
        <v>359000</v>
      </c>
      <c r="H13" s="145">
        <f t="shared" si="15"/>
        <v>0</v>
      </c>
      <c r="I13" s="145">
        <f t="shared" si="1"/>
        <v>10000</v>
      </c>
      <c r="J13" s="145">
        <f t="shared" si="2"/>
        <v>0</v>
      </c>
      <c r="K13" s="142" t="str">
        <f t="shared" si="16"/>
        <v>l</v>
      </c>
      <c r="L13" s="146">
        <f>IFERROR(INDEX(Työkonekanta!$I$3:$I$27,MATCH('S0b Baseline kasvu'!$A13,Työkonekanta!$A$3:$A$24,0),1)*(I13+J13)*f_adblue,0)</f>
        <v>500</v>
      </c>
      <c r="M13" s="146">
        <f t="shared" si="3"/>
        <v>0</v>
      </c>
      <c r="N13" s="143" t="str">
        <f>IF(tuulisähkö_vuosi&lt;='S0b Baseline kasvu'!C13,"tuulisähkö",ostosähkö_nyt)</f>
        <v>jäännössähkö</v>
      </c>
      <c r="O13" s="147">
        <f>INDEX(Muuttujat!$J$5:$J$21,MATCH($C13,Muuttujat!$H$5:$H$21,0),1)</f>
        <v>69.24722222222222</v>
      </c>
      <c r="P13" s="342">
        <f>1-(INDEX(Muuttujat!$O$5:$O$21,MATCH($C13,Muuttujat!$N$5:$N$21,0),1))</f>
        <v>1</v>
      </c>
      <c r="Q13" s="342">
        <f>INDEX(Muuttujat!$O$5:$O$21,MATCH($C13,Muuttujat!$N$5:$N$21,0),1)</f>
        <v>0</v>
      </c>
      <c r="R13" s="148">
        <f>INDEX(Muuttujat!$P$5:$P$21,MATCH($C13,Muuttujat!$N$5:$N$21,0),1)</f>
        <v>0</v>
      </c>
      <c r="S13" s="149">
        <f t="shared" si="4"/>
        <v>6.785099999999999</v>
      </c>
      <c r="T13" s="150">
        <f t="shared" si="5"/>
        <v>0</v>
      </c>
      <c r="U13" s="150">
        <f t="shared" si="6"/>
        <v>0</v>
      </c>
      <c r="V13" s="150">
        <f>IFERROR(INDEX(Työkonekanta!$J$3:$J$27,MATCH($A13,Työkonekanta!$A$3:$A$24,0),1)*$B13*ef_li_ion_akku/1000/1000/INDEX(Työkonekanta!$K$3:$K$27,MATCH($A13,Työkonekanta!$A$3:$A$24,0)),0)</f>
        <v>0</v>
      </c>
      <c r="W13" s="149">
        <f t="shared" si="7"/>
        <v>26.497163285999999</v>
      </c>
      <c r="X13" s="150">
        <f t="shared" si="8"/>
        <v>0.31774565999999999</v>
      </c>
      <c r="Y13" s="151">
        <f t="shared" si="9"/>
        <v>0.13</v>
      </c>
      <c r="Z13" s="152">
        <f t="shared" si="17"/>
        <v>6.785099999999999</v>
      </c>
      <c r="AA13" s="179">
        <f t="shared" si="18"/>
        <v>26.627163285999998</v>
      </c>
      <c r="AB13" s="179">
        <f t="shared" si="19"/>
        <v>26.944908945999998</v>
      </c>
      <c r="AC13" s="180">
        <f t="shared" si="10"/>
        <v>33.412263285999998</v>
      </c>
      <c r="AD13" s="156">
        <f t="shared" si="20"/>
        <v>33.730008945999998</v>
      </c>
      <c r="AE13" s="146">
        <f>IFERROR(INDEX(Työkonekanta!$L$3:$L$30,MATCH($A13,Työkonekanta!$A$3:$A$30,0),1),0)*AF13</f>
        <v>500000</v>
      </c>
      <c r="AF13" s="146">
        <f>IFERROR(INDEX(Työkonekanta!$N$3:$N$32,MATCH($A13,Työkonekanta!$A$3:$A$32,0),1),0)</f>
        <v>1</v>
      </c>
      <c r="AG13" s="332">
        <f>I13*INDEX(Muuttujat!$U$5:$U$21,MATCH($C13,Muuttujat!$N$5:$N$21,0),1)</f>
        <v>9700</v>
      </c>
      <c r="AH13" s="332">
        <f>J13*INDEX(Muuttujat!$T$5:$T$21,MATCH($C13,Muuttujat!$N$5:$N$21,0),1)</f>
        <v>0</v>
      </c>
      <c r="AI13" s="332">
        <f t="shared" si="11"/>
        <v>250</v>
      </c>
      <c r="AJ13" s="332">
        <f t="shared" si="12"/>
        <v>0</v>
      </c>
      <c r="AK13" s="332">
        <f t="shared" si="21"/>
        <v>9950</v>
      </c>
      <c r="AL13" s="332">
        <f t="shared" si="13"/>
        <v>9950</v>
      </c>
    </row>
    <row r="14" spans="1:38">
      <c r="A14" s="139">
        <v>12</v>
      </c>
      <c r="B14" s="139">
        <f>IFERROR(INDEX(Työkonekanta!$F$3:$F$27,MATCH('S0b Baseline kasvu'!$A14,Työkonekanta!$A$3:$A$24,0),1),0)</f>
        <v>1</v>
      </c>
      <c r="C14" s="140">
        <v>2019</v>
      </c>
      <c r="D14" s="141" t="str">
        <f>IFERROR(INDEX(Työkonekanta!$D$3:$D$27,MATCH('S0b Baseline kasvu'!$A14,Työkonekanta!$A$3:$A$24,0),1),"undefined")</f>
        <v>pom</v>
      </c>
      <c r="E14" s="145">
        <f>IFERROR(INDEX(Työkonekanta!$G$3:$G$27,MATCH($A14,Työkonekanta!$A$3:$A$24,0),1)*INDEX(Työkonekanta!$H$3:$H$27,MATCH($A14,Työkonekanta!$A$3:$A$24,0),1)*(1+s0b_kasvu*($C14-2019))*$B14,0)</f>
        <v>10000</v>
      </c>
      <c r="F14" s="145">
        <f t="shared" si="0"/>
        <v>359000</v>
      </c>
      <c r="G14" s="145">
        <f t="shared" si="14"/>
        <v>359000</v>
      </c>
      <c r="H14" s="145">
        <f t="shared" si="15"/>
        <v>0</v>
      </c>
      <c r="I14" s="145">
        <f t="shared" si="1"/>
        <v>10000</v>
      </c>
      <c r="J14" s="145">
        <f t="shared" si="2"/>
        <v>0</v>
      </c>
      <c r="K14" s="142" t="str">
        <f t="shared" si="16"/>
        <v>l</v>
      </c>
      <c r="L14" s="146">
        <f>IFERROR(INDEX(Työkonekanta!$I$3:$I$27,MATCH('S0b Baseline kasvu'!$A14,Työkonekanta!$A$3:$A$24,0),1)*(I14+J14)*f_adblue,0)</f>
        <v>500</v>
      </c>
      <c r="M14" s="146">
        <f t="shared" si="3"/>
        <v>0</v>
      </c>
      <c r="N14" s="143" t="str">
        <f>IF(tuulisähkö_vuosi&lt;='S0b Baseline kasvu'!C14,"tuulisähkö",ostosähkö_nyt)</f>
        <v>jäännössähkö</v>
      </c>
      <c r="O14" s="147">
        <f>INDEX(Muuttujat!$J$5:$J$21,MATCH($C14,Muuttujat!$H$5:$H$21,0),1)</f>
        <v>69.24722222222222</v>
      </c>
      <c r="P14" s="342">
        <f>1-(INDEX(Muuttujat!$O$5:$O$21,MATCH($C14,Muuttujat!$N$5:$N$21,0),1))</f>
        <v>1</v>
      </c>
      <c r="Q14" s="342">
        <f>INDEX(Muuttujat!$O$5:$O$21,MATCH($C14,Muuttujat!$N$5:$N$21,0),1)</f>
        <v>0</v>
      </c>
      <c r="R14" s="148">
        <f>INDEX(Muuttujat!$P$5:$P$21,MATCH($C14,Muuttujat!$N$5:$N$21,0),1)</f>
        <v>0</v>
      </c>
      <c r="S14" s="149">
        <f t="shared" si="4"/>
        <v>6.785099999999999</v>
      </c>
      <c r="T14" s="150">
        <f t="shared" si="5"/>
        <v>0</v>
      </c>
      <c r="U14" s="150">
        <f t="shared" si="6"/>
        <v>0</v>
      </c>
      <c r="V14" s="150">
        <f>IFERROR(INDEX(Työkonekanta!$J$3:$J$27,MATCH($A14,Työkonekanta!$A$3:$A$24,0),1)*$B14*ef_li_ion_akku/1000/1000/INDEX(Työkonekanta!$K$3:$K$27,MATCH($A14,Työkonekanta!$A$3:$A$24,0)),0)</f>
        <v>0</v>
      </c>
      <c r="W14" s="149">
        <f t="shared" si="7"/>
        <v>26.497163285999999</v>
      </c>
      <c r="X14" s="150">
        <f t="shared" si="8"/>
        <v>0.31774565999999999</v>
      </c>
      <c r="Y14" s="151">
        <f t="shared" si="9"/>
        <v>0.13</v>
      </c>
      <c r="Z14" s="152">
        <f t="shared" si="17"/>
        <v>6.785099999999999</v>
      </c>
      <c r="AA14" s="179">
        <f t="shared" si="18"/>
        <v>26.627163285999998</v>
      </c>
      <c r="AB14" s="179">
        <f t="shared" si="19"/>
        <v>26.944908945999998</v>
      </c>
      <c r="AC14" s="180">
        <f t="shared" si="10"/>
        <v>33.412263285999998</v>
      </c>
      <c r="AD14" s="156">
        <f t="shared" si="20"/>
        <v>33.730008945999998</v>
      </c>
      <c r="AE14" s="146">
        <f>IFERROR(INDEX(Työkonekanta!$L$3:$L$30,MATCH($A14,Työkonekanta!$A$3:$A$30,0),1),0)*AF14</f>
        <v>500000</v>
      </c>
      <c r="AF14" s="146">
        <f>IFERROR(INDEX(Työkonekanta!$N$3:$N$32,MATCH($A14,Työkonekanta!$A$3:$A$32,0),1),0)</f>
        <v>1</v>
      </c>
      <c r="AG14" s="332">
        <f>I14*INDEX(Muuttujat!$U$5:$U$21,MATCH($C14,Muuttujat!$N$5:$N$21,0),1)</f>
        <v>9700</v>
      </c>
      <c r="AH14" s="332">
        <f>J14*INDEX(Muuttujat!$T$5:$T$21,MATCH($C14,Muuttujat!$N$5:$N$21,0),1)</f>
        <v>0</v>
      </c>
      <c r="AI14" s="332">
        <f t="shared" si="11"/>
        <v>250</v>
      </c>
      <c r="AJ14" s="332">
        <f t="shared" si="12"/>
        <v>0</v>
      </c>
      <c r="AK14" s="332">
        <f t="shared" si="21"/>
        <v>9950</v>
      </c>
      <c r="AL14" s="332">
        <f t="shared" si="13"/>
        <v>9950</v>
      </c>
    </row>
    <row r="15" spans="1:38">
      <c r="A15" s="139">
        <v>13</v>
      </c>
      <c r="B15" s="139">
        <f>IFERROR(INDEX(Työkonekanta!$F$3:$F$27,MATCH('S0b Baseline kasvu'!$A15,Työkonekanta!$A$3:$A$24,0),1),0)</f>
        <v>0</v>
      </c>
      <c r="C15" s="140">
        <v>2019</v>
      </c>
      <c r="D15" s="141" t="str">
        <f>IFERROR(INDEX(Työkonekanta!$D$3:$D$27,MATCH('S0b Baseline kasvu'!$A15,Työkonekanta!$A$3:$A$24,0),1),"undefined")</f>
        <v>pom</v>
      </c>
      <c r="E15" s="145">
        <f>IFERROR(INDEX(Työkonekanta!$G$3:$G$27,MATCH($A15,Työkonekanta!$A$3:$A$24,0),1)*INDEX(Työkonekanta!$H$3:$H$27,MATCH($A15,Työkonekanta!$A$3:$A$24,0),1)*(1+s0b_kasvu*($C15-2019))*$B15,0)</f>
        <v>0</v>
      </c>
      <c r="F15" s="145">
        <f t="shared" si="0"/>
        <v>0</v>
      </c>
      <c r="G15" s="145">
        <f t="shared" si="14"/>
        <v>0</v>
      </c>
      <c r="H15" s="145">
        <f t="shared" si="15"/>
        <v>0</v>
      </c>
      <c r="I15" s="145">
        <f t="shared" si="1"/>
        <v>0</v>
      </c>
      <c r="J15" s="145">
        <f t="shared" si="2"/>
        <v>0</v>
      </c>
      <c r="K15" s="142" t="str">
        <f t="shared" si="16"/>
        <v>l</v>
      </c>
      <c r="L15" s="146">
        <f>IFERROR(INDEX(Työkonekanta!$I$3:$I$27,MATCH('S0b Baseline kasvu'!$A15,Työkonekanta!$A$3:$A$24,0),1)*(I15+J15)*f_adblue,0)</f>
        <v>0</v>
      </c>
      <c r="M15" s="146">
        <f t="shared" si="3"/>
        <v>0</v>
      </c>
      <c r="N15" s="143" t="str">
        <f>IF(tuulisähkö_vuosi&lt;='S0b Baseline kasvu'!C15,"tuulisähkö",ostosähkö_nyt)</f>
        <v>jäännössähkö</v>
      </c>
      <c r="O15" s="147">
        <f>INDEX(Muuttujat!$J$5:$J$21,MATCH($C15,Muuttujat!$H$5:$H$21,0),1)</f>
        <v>69.24722222222222</v>
      </c>
      <c r="P15" s="342">
        <f>1-(INDEX(Muuttujat!$O$5:$O$21,MATCH($C15,Muuttujat!$N$5:$N$21,0),1))</f>
        <v>1</v>
      </c>
      <c r="Q15" s="342">
        <f>INDEX(Muuttujat!$O$5:$O$21,MATCH($C15,Muuttujat!$N$5:$N$21,0),1)</f>
        <v>0</v>
      </c>
      <c r="R15" s="148">
        <f>INDEX(Muuttujat!$P$5:$P$21,MATCH($C15,Muuttujat!$N$5:$N$21,0),1)</f>
        <v>0</v>
      </c>
      <c r="S15" s="149">
        <f t="shared" si="4"/>
        <v>0</v>
      </c>
      <c r="T15" s="150">
        <f t="shared" si="5"/>
        <v>0</v>
      </c>
      <c r="U15" s="150">
        <f t="shared" si="6"/>
        <v>0</v>
      </c>
      <c r="V15" s="150">
        <f>IFERROR(INDEX(Työkonekanta!$J$3:$J$27,MATCH($A15,Työkonekanta!$A$3:$A$24,0),1)*$B15*ef_li_ion_akku/1000/1000/INDEX(Työkonekanta!$K$3:$K$27,MATCH($A15,Työkonekanta!$A$3:$A$24,0)),0)</f>
        <v>0</v>
      </c>
      <c r="W15" s="149">
        <f t="shared" si="7"/>
        <v>0</v>
      </c>
      <c r="X15" s="150">
        <f t="shared" si="8"/>
        <v>0</v>
      </c>
      <c r="Y15" s="151">
        <f t="shared" si="9"/>
        <v>0</v>
      </c>
      <c r="Z15" s="152">
        <f t="shared" si="17"/>
        <v>0</v>
      </c>
      <c r="AA15" s="179">
        <f t="shared" si="18"/>
        <v>0</v>
      </c>
      <c r="AB15" s="179">
        <f t="shared" si="19"/>
        <v>0</v>
      </c>
      <c r="AC15" s="180">
        <f t="shared" si="10"/>
        <v>0</v>
      </c>
      <c r="AD15" s="156">
        <f t="shared" si="20"/>
        <v>0</v>
      </c>
      <c r="AE15" s="146">
        <f>IFERROR(INDEX(Työkonekanta!$L$3:$L$30,MATCH($A15,Työkonekanta!$A$3:$A$30,0),1),0)*AF15</f>
        <v>0</v>
      </c>
      <c r="AF15" s="146">
        <f>IFERROR(INDEX(Työkonekanta!$N$3:$N$32,MATCH($A15,Työkonekanta!$A$3:$A$32,0),1),0)</f>
        <v>0</v>
      </c>
      <c r="AG15" s="332">
        <f>I15*INDEX(Muuttujat!$U$5:$U$21,MATCH($C15,Muuttujat!$N$5:$N$21,0),1)</f>
        <v>0</v>
      </c>
      <c r="AH15" s="332">
        <f>J15*INDEX(Muuttujat!$T$5:$T$21,MATCH($C15,Muuttujat!$N$5:$N$21,0),1)</f>
        <v>0</v>
      </c>
      <c r="AI15" s="332">
        <f t="shared" si="11"/>
        <v>0</v>
      </c>
      <c r="AJ15" s="332">
        <f t="shared" si="12"/>
        <v>0</v>
      </c>
      <c r="AK15" s="332">
        <f t="shared" si="21"/>
        <v>0</v>
      </c>
      <c r="AL15" s="332">
        <f t="shared" si="13"/>
        <v>0</v>
      </c>
    </row>
    <row r="16" spans="1:38">
      <c r="A16" s="139">
        <v>14</v>
      </c>
      <c r="B16" s="139">
        <f>IFERROR(INDEX(Työkonekanta!$F$3:$F$27,MATCH('S0b Baseline kasvu'!$A16,Työkonekanta!$A$3:$A$24,0),1),0)</f>
        <v>0</v>
      </c>
      <c r="C16" s="140">
        <v>2019</v>
      </c>
      <c r="D16" s="141" t="str">
        <f>IFERROR(INDEX(Työkonekanta!$D$3:$D$27,MATCH('S0b Baseline kasvu'!$A16,Työkonekanta!$A$3:$A$24,0),1),"undefined")</f>
        <v>pom</v>
      </c>
      <c r="E16" s="145">
        <f>IFERROR(INDEX(Työkonekanta!$G$3:$G$27,MATCH($A16,Työkonekanta!$A$3:$A$24,0),1)*INDEX(Työkonekanta!$H$3:$H$27,MATCH($A16,Työkonekanta!$A$3:$A$24,0),1)*(1+s0b_kasvu*($C16-2019))*$B16,0)</f>
        <v>0</v>
      </c>
      <c r="F16" s="145">
        <f t="shared" si="0"/>
        <v>0</v>
      </c>
      <c r="G16" s="145">
        <f t="shared" si="14"/>
        <v>0</v>
      </c>
      <c r="H16" s="145">
        <f t="shared" si="15"/>
        <v>0</v>
      </c>
      <c r="I16" s="145">
        <f t="shared" si="1"/>
        <v>0</v>
      </c>
      <c r="J16" s="145">
        <f t="shared" si="2"/>
        <v>0</v>
      </c>
      <c r="K16" s="142" t="str">
        <f t="shared" si="16"/>
        <v>l</v>
      </c>
      <c r="L16" s="146">
        <f>IFERROR(INDEX(Työkonekanta!$I$3:$I$27,MATCH('S0b Baseline kasvu'!$A16,Työkonekanta!$A$3:$A$24,0),1)*(I16+J16)*f_adblue,0)</f>
        <v>0</v>
      </c>
      <c r="M16" s="146">
        <f t="shared" si="3"/>
        <v>0</v>
      </c>
      <c r="N16" s="143" t="str">
        <f>IF(tuulisähkö_vuosi&lt;='S0b Baseline kasvu'!C16,"tuulisähkö",ostosähkö_nyt)</f>
        <v>jäännössähkö</v>
      </c>
      <c r="O16" s="147">
        <f>INDEX(Muuttujat!$J$5:$J$21,MATCH($C16,Muuttujat!$H$5:$H$21,0),1)</f>
        <v>69.24722222222222</v>
      </c>
      <c r="P16" s="342">
        <f>1-(INDEX(Muuttujat!$O$5:$O$21,MATCH($C16,Muuttujat!$N$5:$N$21,0),1))</f>
        <v>1</v>
      </c>
      <c r="Q16" s="342">
        <f>INDEX(Muuttujat!$O$5:$O$21,MATCH($C16,Muuttujat!$N$5:$N$21,0),1)</f>
        <v>0</v>
      </c>
      <c r="R16" s="148">
        <f>INDEX(Muuttujat!$P$5:$P$21,MATCH($C16,Muuttujat!$N$5:$N$21,0),1)</f>
        <v>0</v>
      </c>
      <c r="S16" s="149">
        <f t="shared" si="4"/>
        <v>0</v>
      </c>
      <c r="T16" s="150">
        <f t="shared" si="5"/>
        <v>0</v>
      </c>
      <c r="U16" s="150">
        <f t="shared" si="6"/>
        <v>0</v>
      </c>
      <c r="V16" s="150">
        <f>IFERROR(INDEX(Työkonekanta!$J$3:$J$27,MATCH($A16,Työkonekanta!$A$3:$A$24,0),1)*$B16*ef_li_ion_akku/1000/1000/INDEX(Työkonekanta!$K$3:$K$27,MATCH($A16,Työkonekanta!$A$3:$A$24,0)),0)</f>
        <v>0</v>
      </c>
      <c r="W16" s="149">
        <f t="shared" si="7"/>
        <v>0</v>
      </c>
      <c r="X16" s="150">
        <f t="shared" si="8"/>
        <v>0</v>
      </c>
      <c r="Y16" s="151">
        <f t="shared" si="9"/>
        <v>0</v>
      </c>
      <c r="Z16" s="152">
        <f t="shared" si="17"/>
        <v>0</v>
      </c>
      <c r="AA16" s="179">
        <f t="shared" si="18"/>
        <v>0</v>
      </c>
      <c r="AB16" s="179">
        <f t="shared" si="19"/>
        <v>0</v>
      </c>
      <c r="AC16" s="180">
        <f t="shared" si="10"/>
        <v>0</v>
      </c>
      <c r="AD16" s="156">
        <f t="shared" si="20"/>
        <v>0</v>
      </c>
      <c r="AE16" s="146">
        <f>IFERROR(INDEX(Työkonekanta!$L$3:$L$30,MATCH($A16,Työkonekanta!$A$3:$A$30,0),1),0)*AF16</f>
        <v>0</v>
      </c>
      <c r="AF16" s="146">
        <f>IFERROR(INDEX(Työkonekanta!$N$3:$N$32,MATCH($A16,Työkonekanta!$A$3:$A$32,0),1),0)</f>
        <v>0</v>
      </c>
      <c r="AG16" s="332">
        <f>I16*INDEX(Muuttujat!$U$5:$U$21,MATCH($C16,Muuttujat!$N$5:$N$21,0),1)</f>
        <v>0</v>
      </c>
      <c r="AH16" s="332">
        <f>J16*INDEX(Muuttujat!$T$5:$T$21,MATCH($C16,Muuttujat!$N$5:$N$21,0),1)</f>
        <v>0</v>
      </c>
      <c r="AI16" s="332">
        <f t="shared" si="11"/>
        <v>0</v>
      </c>
      <c r="AJ16" s="332">
        <f t="shared" si="12"/>
        <v>0</v>
      </c>
      <c r="AK16" s="332">
        <f t="shared" si="21"/>
        <v>0</v>
      </c>
      <c r="AL16" s="332">
        <f t="shared" si="13"/>
        <v>0</v>
      </c>
    </row>
    <row r="17" spans="1:38">
      <c r="A17" s="139">
        <v>15</v>
      </c>
      <c r="B17" s="139">
        <f>IFERROR(INDEX(Työkonekanta!$F$3:$F$27,MATCH('S0b Baseline kasvu'!$A17,Työkonekanta!$A$3:$A$24,0),1),0)</f>
        <v>0</v>
      </c>
      <c r="C17" s="140">
        <v>2019</v>
      </c>
      <c r="D17" s="141" t="str">
        <f>IFERROR(INDEX(Työkonekanta!$D$3:$D$27,MATCH('S0b Baseline kasvu'!$A17,Työkonekanta!$A$3:$A$24,0),1),"undefined")</f>
        <v>sähkö</v>
      </c>
      <c r="E17" s="145">
        <f>IFERROR(INDEX(Työkonekanta!$G$3:$G$27,MATCH($A17,Työkonekanta!$A$3:$A$24,0),1)*INDEX(Työkonekanta!$H$3:$H$27,MATCH($A17,Työkonekanta!$A$3:$A$24,0),1)*(1+s0b_kasvu*($C17-2019))*$B17,0)</f>
        <v>0</v>
      </c>
      <c r="F17" s="145">
        <f t="shared" si="0"/>
        <v>0</v>
      </c>
      <c r="G17" s="145">
        <f t="shared" si="14"/>
        <v>0</v>
      </c>
      <c r="H17" s="145">
        <f t="shared" si="15"/>
        <v>0</v>
      </c>
      <c r="I17" s="145">
        <f t="shared" si="1"/>
        <v>0</v>
      </c>
      <c r="J17" s="145">
        <f t="shared" si="2"/>
        <v>0</v>
      </c>
      <c r="K17" s="142" t="str">
        <f t="shared" si="16"/>
        <v>kWh</v>
      </c>
      <c r="L17" s="146">
        <f>IFERROR(INDEX(Työkonekanta!$I$3:$I$27,MATCH('S0b Baseline kasvu'!$A17,Työkonekanta!$A$3:$A$24,0),1)*(I17+J17)*f_adblue,0)</f>
        <v>0</v>
      </c>
      <c r="M17" s="146">
        <f t="shared" si="3"/>
        <v>0</v>
      </c>
      <c r="N17" s="143" t="str">
        <f>IF(tuulisähkö_vuosi&lt;='S0b Baseline kasvu'!C17,"tuulisähkö",ostosähkö_nyt)</f>
        <v>jäännössähkö</v>
      </c>
      <c r="O17" s="147">
        <f>INDEX(Muuttujat!$J$5:$J$21,MATCH($C17,Muuttujat!$H$5:$H$21,0),1)</f>
        <v>69.24722222222222</v>
      </c>
      <c r="P17" s="342">
        <f>1-(INDEX(Muuttujat!$O$5:$O$21,MATCH($C17,Muuttujat!$N$5:$N$21,0),1))</f>
        <v>1</v>
      </c>
      <c r="Q17" s="342">
        <f>INDEX(Muuttujat!$O$5:$O$21,MATCH($C17,Muuttujat!$N$5:$N$21,0),1)</f>
        <v>0</v>
      </c>
      <c r="R17" s="148">
        <f>INDEX(Muuttujat!$P$5:$P$21,MATCH($C17,Muuttujat!$N$5:$N$21,0),1)</f>
        <v>0</v>
      </c>
      <c r="S17" s="149">
        <f t="shared" si="4"/>
        <v>0</v>
      </c>
      <c r="T17" s="150">
        <f t="shared" si="5"/>
        <v>0</v>
      </c>
      <c r="U17" s="150">
        <f t="shared" si="6"/>
        <v>0</v>
      </c>
      <c r="V17" s="150">
        <f>IFERROR(INDEX(Työkonekanta!$J$3:$J$27,MATCH($A17,Työkonekanta!$A$3:$A$24,0),1)*$B17*ef_li_ion_akku/1000/1000/INDEX(Työkonekanta!$K$3:$K$27,MATCH($A17,Työkonekanta!$A$3:$A$24,0)),0)</f>
        <v>0</v>
      </c>
      <c r="W17" s="149">
        <f t="shared" si="7"/>
        <v>0</v>
      </c>
      <c r="X17" s="150">
        <f t="shared" si="8"/>
        <v>0</v>
      </c>
      <c r="Y17" s="151">
        <f t="shared" si="9"/>
        <v>0</v>
      </c>
      <c r="Z17" s="152">
        <f t="shared" si="17"/>
        <v>0</v>
      </c>
      <c r="AA17" s="179">
        <f t="shared" si="18"/>
        <v>0</v>
      </c>
      <c r="AB17" s="179">
        <f t="shared" si="19"/>
        <v>0</v>
      </c>
      <c r="AC17" s="180">
        <f t="shared" si="10"/>
        <v>0</v>
      </c>
      <c r="AD17" s="156">
        <f t="shared" si="20"/>
        <v>0</v>
      </c>
      <c r="AE17" s="146">
        <f>IFERROR(INDEX(Työkonekanta!$L$3:$L$30,MATCH($A17,Työkonekanta!$A$3:$A$30,0),1),0)*AF17</f>
        <v>0</v>
      </c>
      <c r="AF17" s="146">
        <f>IFERROR(INDEX(Työkonekanta!$N$3:$N$32,MATCH($A17,Työkonekanta!$A$3:$A$32,0),1),0)</f>
        <v>0</v>
      </c>
      <c r="AG17" s="332">
        <f>I17*INDEX(Muuttujat!$U$5:$U$21,MATCH($C17,Muuttujat!$N$5:$N$21,0),1)</f>
        <v>0</v>
      </c>
      <c r="AH17" s="332">
        <f>J17*INDEX(Muuttujat!$T$5:$T$21,MATCH($C17,Muuttujat!$N$5:$N$21,0),1)</f>
        <v>0</v>
      </c>
      <c r="AI17" s="332">
        <f t="shared" si="11"/>
        <v>0</v>
      </c>
      <c r="AJ17" s="332">
        <f t="shared" si="12"/>
        <v>0</v>
      </c>
      <c r="AK17" s="332">
        <f t="shared" si="21"/>
        <v>0</v>
      </c>
      <c r="AL17" s="332">
        <f t="shared" si="13"/>
        <v>0</v>
      </c>
    </row>
    <row r="18" spans="1:38">
      <c r="A18" s="139">
        <v>16</v>
      </c>
      <c r="B18" s="139">
        <f>IFERROR(INDEX(Työkonekanta!$F$3:$F$27,MATCH('S0b Baseline kasvu'!$A18,Työkonekanta!$A$3:$A$24,0),1),0)</f>
        <v>0</v>
      </c>
      <c r="C18" s="140">
        <v>2019</v>
      </c>
      <c r="D18" s="141" t="str">
        <f>IFERROR(INDEX(Työkonekanta!$D$3:$D$27,MATCH('S0b Baseline kasvu'!$A18,Työkonekanta!$A$3:$A$24,0),1),"undefined")</f>
        <v>sähkö</v>
      </c>
      <c r="E18" s="145">
        <f>IFERROR(INDEX(Työkonekanta!$G$3:$G$27,MATCH($A18,Työkonekanta!$A$3:$A$24,0),1)*INDEX(Työkonekanta!$H$3:$H$27,MATCH($A18,Työkonekanta!$A$3:$A$24,0),1)*(1+s0b_kasvu*($C18-2019))*$B18,0)</f>
        <v>0</v>
      </c>
      <c r="F18" s="145">
        <f t="shared" si="0"/>
        <v>0</v>
      </c>
      <c r="G18" s="145">
        <f t="shared" si="14"/>
        <v>0</v>
      </c>
      <c r="H18" s="145">
        <f t="shared" si="15"/>
        <v>0</v>
      </c>
      <c r="I18" s="145">
        <f t="shared" si="1"/>
        <v>0</v>
      </c>
      <c r="J18" s="145">
        <f t="shared" si="2"/>
        <v>0</v>
      </c>
      <c r="K18" s="142" t="str">
        <f t="shared" si="16"/>
        <v>kWh</v>
      </c>
      <c r="L18" s="146">
        <f>IFERROR(INDEX(Työkonekanta!$I$3:$I$27,MATCH('S0b Baseline kasvu'!$A18,Työkonekanta!$A$3:$A$24,0),1)*(I18+J18)*f_adblue,0)</f>
        <v>0</v>
      </c>
      <c r="M18" s="146">
        <f t="shared" si="3"/>
        <v>0</v>
      </c>
      <c r="N18" s="143" t="str">
        <f>IF(tuulisähkö_vuosi&lt;='S0b Baseline kasvu'!C18,"tuulisähkö",ostosähkö_nyt)</f>
        <v>jäännössähkö</v>
      </c>
      <c r="O18" s="147">
        <f>INDEX(Muuttujat!$J$5:$J$21,MATCH($C18,Muuttujat!$H$5:$H$21,0),1)</f>
        <v>69.24722222222222</v>
      </c>
      <c r="P18" s="342">
        <f>1-(INDEX(Muuttujat!$O$5:$O$21,MATCH($C18,Muuttujat!$N$5:$N$21,0),1))</f>
        <v>1</v>
      </c>
      <c r="Q18" s="342">
        <f>INDEX(Muuttujat!$O$5:$O$21,MATCH($C18,Muuttujat!$N$5:$N$21,0),1)</f>
        <v>0</v>
      </c>
      <c r="R18" s="148">
        <f>INDEX(Muuttujat!$P$5:$P$21,MATCH($C18,Muuttujat!$N$5:$N$21,0),1)</f>
        <v>0</v>
      </c>
      <c r="S18" s="149">
        <f t="shared" si="4"/>
        <v>0</v>
      </c>
      <c r="T18" s="150">
        <f t="shared" si="5"/>
        <v>0</v>
      </c>
      <c r="U18" s="150">
        <f t="shared" si="6"/>
        <v>0</v>
      </c>
      <c r="V18" s="150">
        <f>IFERROR(INDEX(Työkonekanta!$J$3:$J$27,MATCH($A18,Työkonekanta!$A$3:$A$24,0),1)*$B18*ef_li_ion_akku/1000/1000/INDEX(Työkonekanta!$K$3:$K$27,MATCH($A18,Työkonekanta!$A$3:$A$24,0)),0)</f>
        <v>0</v>
      </c>
      <c r="W18" s="149">
        <f t="shared" si="7"/>
        <v>0</v>
      </c>
      <c r="X18" s="150">
        <f t="shared" si="8"/>
        <v>0</v>
      </c>
      <c r="Y18" s="151">
        <f t="shared" si="9"/>
        <v>0</v>
      </c>
      <c r="Z18" s="152">
        <f t="shared" si="17"/>
        <v>0</v>
      </c>
      <c r="AA18" s="179">
        <f t="shared" si="18"/>
        <v>0</v>
      </c>
      <c r="AB18" s="179">
        <f t="shared" si="19"/>
        <v>0</v>
      </c>
      <c r="AC18" s="180">
        <f t="shared" si="10"/>
        <v>0</v>
      </c>
      <c r="AD18" s="156">
        <f t="shared" si="20"/>
        <v>0</v>
      </c>
      <c r="AE18" s="146">
        <f>IFERROR(INDEX(Työkonekanta!$L$3:$L$30,MATCH($A18,Työkonekanta!$A$3:$A$30,0),1),0)*AF18</f>
        <v>0</v>
      </c>
      <c r="AF18" s="146">
        <f>IFERROR(INDEX(Työkonekanta!$N$3:$N$32,MATCH($A18,Työkonekanta!$A$3:$A$32,0),1),0)</f>
        <v>0</v>
      </c>
      <c r="AG18" s="332">
        <f>I18*INDEX(Muuttujat!$U$5:$U$21,MATCH($C18,Muuttujat!$N$5:$N$21,0),1)</f>
        <v>0</v>
      </c>
      <c r="AH18" s="332">
        <f>J18*INDEX(Muuttujat!$T$5:$T$21,MATCH($C18,Muuttujat!$N$5:$N$21,0),1)</f>
        <v>0</v>
      </c>
      <c r="AI18" s="332">
        <f t="shared" si="11"/>
        <v>0</v>
      </c>
      <c r="AJ18" s="332">
        <f t="shared" si="12"/>
        <v>0</v>
      </c>
      <c r="AK18" s="332">
        <f t="shared" si="21"/>
        <v>0</v>
      </c>
      <c r="AL18" s="332">
        <f t="shared" si="13"/>
        <v>0</v>
      </c>
    </row>
    <row r="19" spans="1:38">
      <c r="A19" s="139">
        <v>17</v>
      </c>
      <c r="B19" s="139">
        <f>IFERROR(INDEX(Työkonekanta!$F$3:$F$27,MATCH('S0b Baseline kasvu'!$A19,Työkonekanta!$A$3:$A$24,0),1),0)</f>
        <v>1</v>
      </c>
      <c r="C19" s="140">
        <v>2019</v>
      </c>
      <c r="D19" s="141" t="str">
        <f>IFERROR(INDEX(Työkonekanta!$D$3:$D$27,MATCH('S0b Baseline kasvu'!$A19,Työkonekanta!$A$3:$A$24,0),1),"undefined")</f>
        <v>pom</v>
      </c>
      <c r="E19" s="145">
        <f>IFERROR(INDEX(Työkonekanta!$G$3:$G$27,MATCH($A19,Työkonekanta!$A$3:$A$24,0),1)*INDEX(Työkonekanta!$H$3:$H$27,MATCH($A19,Työkonekanta!$A$3:$A$24,0),1)*(1+s0b_kasvu*($C19-2019))*$B19,0)</f>
        <v>10000</v>
      </c>
      <c r="F19" s="145">
        <f t="shared" si="0"/>
        <v>359000</v>
      </c>
      <c r="G19" s="145">
        <f t="shared" si="14"/>
        <v>359000</v>
      </c>
      <c r="H19" s="145">
        <f t="shared" si="15"/>
        <v>0</v>
      </c>
      <c r="I19" s="145">
        <f t="shared" si="1"/>
        <v>10000</v>
      </c>
      <c r="J19" s="145">
        <f t="shared" si="2"/>
        <v>0</v>
      </c>
      <c r="K19" s="142" t="str">
        <f t="shared" si="16"/>
        <v>l</v>
      </c>
      <c r="L19" s="146">
        <f>IFERROR(INDEX(Työkonekanta!$I$3:$I$27,MATCH('S0b Baseline kasvu'!$A19,Työkonekanta!$A$3:$A$24,0),1)*(I19+J19)*f_adblue,0)</f>
        <v>500</v>
      </c>
      <c r="M19" s="146">
        <f t="shared" si="3"/>
        <v>0</v>
      </c>
      <c r="N19" s="143" t="str">
        <f>IF(tuulisähkö_vuosi&lt;='S0b Baseline kasvu'!C19,"tuulisähkö",ostosähkö_nyt)</f>
        <v>jäännössähkö</v>
      </c>
      <c r="O19" s="147">
        <f>INDEX(Muuttujat!$J$5:$J$21,MATCH($C19,Muuttujat!$H$5:$H$21,0),1)</f>
        <v>69.24722222222222</v>
      </c>
      <c r="P19" s="342">
        <f>1-(INDEX(Muuttujat!$O$5:$O$21,MATCH($C19,Muuttujat!$N$5:$N$21,0),1))</f>
        <v>1</v>
      </c>
      <c r="Q19" s="342">
        <f>INDEX(Muuttujat!$O$5:$O$21,MATCH($C19,Muuttujat!$N$5:$N$21,0),1)</f>
        <v>0</v>
      </c>
      <c r="R19" s="148">
        <f>INDEX(Muuttujat!$P$5:$P$21,MATCH($C19,Muuttujat!$N$5:$N$21,0),1)</f>
        <v>0</v>
      </c>
      <c r="S19" s="149">
        <f t="shared" si="4"/>
        <v>6.785099999999999</v>
      </c>
      <c r="T19" s="150">
        <f t="shared" si="5"/>
        <v>0</v>
      </c>
      <c r="U19" s="150">
        <f t="shared" si="6"/>
        <v>0</v>
      </c>
      <c r="V19" s="150">
        <f>IFERROR(INDEX(Työkonekanta!$J$3:$J$27,MATCH($A19,Työkonekanta!$A$3:$A$24,0),1)*$B19*ef_li_ion_akku/1000/1000/INDEX(Työkonekanta!$K$3:$K$27,MATCH($A19,Työkonekanta!$A$3:$A$24,0)),0)</f>
        <v>0</v>
      </c>
      <c r="W19" s="149">
        <f t="shared" si="7"/>
        <v>26.497163285999999</v>
      </c>
      <c r="X19" s="150">
        <f t="shared" si="8"/>
        <v>0.31774565999999999</v>
      </c>
      <c r="Y19" s="151">
        <f t="shared" si="9"/>
        <v>0.13</v>
      </c>
      <c r="Z19" s="152">
        <f t="shared" si="17"/>
        <v>6.785099999999999</v>
      </c>
      <c r="AA19" s="179">
        <f t="shared" si="18"/>
        <v>26.627163285999998</v>
      </c>
      <c r="AB19" s="179">
        <f t="shared" si="19"/>
        <v>26.944908945999998</v>
      </c>
      <c r="AC19" s="180">
        <f t="shared" si="10"/>
        <v>33.412263285999998</v>
      </c>
      <c r="AD19" s="156">
        <f t="shared" si="20"/>
        <v>33.730008945999998</v>
      </c>
      <c r="AE19" s="146">
        <f>IFERROR(INDEX(Työkonekanta!$L$3:$L$30,MATCH($A19,Työkonekanta!$A$3:$A$30,0),1),0)*AF19</f>
        <v>500000</v>
      </c>
      <c r="AF19" s="146">
        <f>IFERROR(INDEX(Työkonekanta!$N$3:$N$32,MATCH($A19,Työkonekanta!$A$3:$A$32,0),1),0)</f>
        <v>1</v>
      </c>
      <c r="AG19" s="332">
        <f>I19*INDEX(Muuttujat!$U$5:$U$21,MATCH($C19,Muuttujat!$N$5:$N$21,0),1)</f>
        <v>9700</v>
      </c>
      <c r="AH19" s="332">
        <f>J19*INDEX(Muuttujat!$T$5:$T$21,MATCH($C19,Muuttujat!$N$5:$N$21,0),1)</f>
        <v>0</v>
      </c>
      <c r="AI19" s="332">
        <f t="shared" si="11"/>
        <v>250</v>
      </c>
      <c r="AJ19" s="332">
        <f t="shared" si="12"/>
        <v>0</v>
      </c>
      <c r="AK19" s="332">
        <f t="shared" si="21"/>
        <v>9950</v>
      </c>
      <c r="AL19" s="332">
        <f t="shared" si="13"/>
        <v>9950</v>
      </c>
    </row>
    <row r="20" spans="1:38">
      <c r="A20" s="139">
        <v>18</v>
      </c>
      <c r="B20" s="139">
        <f>IFERROR(INDEX(Työkonekanta!$F$3:$F$27,MATCH('S0b Baseline kasvu'!$A20,Työkonekanta!$A$3:$A$24,0),1),0)</f>
        <v>1</v>
      </c>
      <c r="C20" s="140">
        <v>2019</v>
      </c>
      <c r="D20" s="141" t="str">
        <f>IFERROR(INDEX(Työkonekanta!$D$3:$D$27,MATCH('S0b Baseline kasvu'!$A20,Työkonekanta!$A$3:$A$24,0),1),"undefined")</f>
        <v>pom</v>
      </c>
      <c r="E20" s="145">
        <f>IFERROR(INDEX(Työkonekanta!$G$3:$G$27,MATCH($A20,Työkonekanta!$A$3:$A$24,0),1)*INDEX(Työkonekanta!$H$3:$H$27,MATCH($A20,Työkonekanta!$A$3:$A$24,0),1)*(1+s0b_kasvu*($C20-2019))*$B20,0)</f>
        <v>10000</v>
      </c>
      <c r="F20" s="145">
        <f t="shared" si="0"/>
        <v>359000</v>
      </c>
      <c r="G20" s="145">
        <f t="shared" si="14"/>
        <v>359000</v>
      </c>
      <c r="H20" s="145">
        <f t="shared" si="15"/>
        <v>0</v>
      </c>
      <c r="I20" s="145">
        <f t="shared" si="1"/>
        <v>10000</v>
      </c>
      <c r="J20" s="145">
        <f t="shared" si="2"/>
        <v>0</v>
      </c>
      <c r="K20" s="142" t="str">
        <f t="shared" si="16"/>
        <v>l</v>
      </c>
      <c r="L20" s="146">
        <f>IFERROR(INDEX(Työkonekanta!$I$3:$I$27,MATCH('S0b Baseline kasvu'!$A20,Työkonekanta!$A$3:$A$24,0),1)*(I20+J20)*f_adblue,0)</f>
        <v>400</v>
      </c>
      <c r="M20" s="146">
        <f t="shared" si="3"/>
        <v>0</v>
      </c>
      <c r="N20" s="143" t="str">
        <f>IF(tuulisähkö_vuosi&lt;='S0b Baseline kasvu'!C20,"tuulisähkö",ostosähkö_nyt)</f>
        <v>jäännössähkö</v>
      </c>
      <c r="O20" s="147">
        <f>INDEX(Muuttujat!$J$5:$J$21,MATCH($C20,Muuttujat!$H$5:$H$21,0),1)</f>
        <v>69.24722222222222</v>
      </c>
      <c r="P20" s="342">
        <f>1-(INDEX(Muuttujat!$O$5:$O$21,MATCH($C20,Muuttujat!$N$5:$N$21,0),1))</f>
        <v>1</v>
      </c>
      <c r="Q20" s="342">
        <f>INDEX(Muuttujat!$O$5:$O$21,MATCH($C20,Muuttujat!$N$5:$N$21,0),1)</f>
        <v>0</v>
      </c>
      <c r="R20" s="148">
        <f>INDEX(Muuttujat!$P$5:$P$21,MATCH($C20,Muuttujat!$N$5:$N$21,0),1)</f>
        <v>0</v>
      </c>
      <c r="S20" s="149">
        <f t="shared" si="4"/>
        <v>6.785099999999999</v>
      </c>
      <c r="T20" s="150">
        <f t="shared" si="5"/>
        <v>0</v>
      </c>
      <c r="U20" s="150">
        <f t="shared" si="6"/>
        <v>0</v>
      </c>
      <c r="V20" s="150">
        <f>IFERROR(INDEX(Työkonekanta!$J$3:$J$27,MATCH($A20,Työkonekanta!$A$3:$A$24,0),1)*$B20*ef_li_ion_akku/1000/1000/INDEX(Työkonekanta!$K$3:$K$27,MATCH($A20,Työkonekanta!$A$3:$A$24,0)),0)</f>
        <v>0</v>
      </c>
      <c r="W20" s="149">
        <f t="shared" si="7"/>
        <v>26.497163285999999</v>
      </c>
      <c r="X20" s="150">
        <f t="shared" si="8"/>
        <v>0.31774565999999999</v>
      </c>
      <c r="Y20" s="151">
        <f t="shared" si="9"/>
        <v>0.104</v>
      </c>
      <c r="Z20" s="152">
        <f t="shared" si="17"/>
        <v>6.785099999999999</v>
      </c>
      <c r="AA20" s="179">
        <f t="shared" si="18"/>
        <v>26.601163285999998</v>
      </c>
      <c r="AB20" s="179">
        <f t="shared" si="19"/>
        <v>26.918908945999998</v>
      </c>
      <c r="AC20" s="180">
        <f t="shared" si="10"/>
        <v>33.386263285999995</v>
      </c>
      <c r="AD20" s="156">
        <f t="shared" si="20"/>
        <v>33.704008945999995</v>
      </c>
      <c r="AE20" s="146">
        <f>IFERROR(INDEX(Työkonekanta!$L$3:$L$30,MATCH($A20,Työkonekanta!$A$3:$A$30,0),1),0)*AF20</f>
        <v>500000</v>
      </c>
      <c r="AF20" s="146">
        <f>IFERROR(INDEX(Työkonekanta!$N$3:$N$32,MATCH($A20,Työkonekanta!$A$3:$A$32,0),1),0)</f>
        <v>1</v>
      </c>
      <c r="AG20" s="332">
        <f>I20*INDEX(Muuttujat!$U$5:$U$21,MATCH($C20,Muuttujat!$N$5:$N$21,0),1)</f>
        <v>9700</v>
      </c>
      <c r="AH20" s="332">
        <f>J20*INDEX(Muuttujat!$T$5:$T$21,MATCH($C20,Muuttujat!$N$5:$N$21,0),1)</f>
        <v>0</v>
      </c>
      <c r="AI20" s="332">
        <f t="shared" si="11"/>
        <v>200</v>
      </c>
      <c r="AJ20" s="332">
        <f t="shared" si="12"/>
        <v>0</v>
      </c>
      <c r="AK20" s="332">
        <f t="shared" si="21"/>
        <v>9900</v>
      </c>
      <c r="AL20" s="332">
        <f t="shared" si="13"/>
        <v>9900</v>
      </c>
    </row>
    <row r="21" spans="1:38">
      <c r="A21" s="139">
        <v>19</v>
      </c>
      <c r="B21" s="139">
        <f>IFERROR(INDEX(Työkonekanta!$F$3:$F$27,MATCH('S0b Baseline kasvu'!$A21,Työkonekanta!$A$3:$A$24,0),1),0)</f>
        <v>0</v>
      </c>
      <c r="C21" s="140">
        <v>2019</v>
      </c>
      <c r="D21" s="141" t="str">
        <f>IFERROR(INDEX(Työkonekanta!$D$3:$D$27,MATCH('S0b Baseline kasvu'!$A21,Työkonekanta!$A$3:$A$24,0),1),"undefined")</f>
        <v>pom</v>
      </c>
      <c r="E21" s="145">
        <f>IFERROR(INDEX(Työkonekanta!$G$3:$G$27,MATCH($A21,Työkonekanta!$A$3:$A$24,0),1)*INDEX(Työkonekanta!$H$3:$H$27,MATCH($A21,Työkonekanta!$A$3:$A$24,0),1)*(1+s0b_kasvu*($C21-2019))*$B21,0)</f>
        <v>0</v>
      </c>
      <c r="F21" s="145">
        <f t="shared" si="0"/>
        <v>0</v>
      </c>
      <c r="G21" s="145">
        <f t="shared" si="14"/>
        <v>0</v>
      </c>
      <c r="H21" s="145">
        <f t="shared" si="15"/>
        <v>0</v>
      </c>
      <c r="I21" s="145">
        <f t="shared" si="1"/>
        <v>0</v>
      </c>
      <c r="J21" s="145">
        <f t="shared" si="2"/>
        <v>0</v>
      </c>
      <c r="K21" s="142" t="str">
        <f t="shared" si="16"/>
        <v>l</v>
      </c>
      <c r="L21" s="146">
        <f>IFERROR(INDEX(Työkonekanta!$I$3:$I$27,MATCH('S0b Baseline kasvu'!$A21,Työkonekanta!$A$3:$A$24,0),1)*(I21+J21)*f_adblue,0)</f>
        <v>0</v>
      </c>
      <c r="M21" s="146">
        <f t="shared" si="3"/>
        <v>0</v>
      </c>
      <c r="N21" s="143" t="str">
        <f>IF(tuulisähkö_vuosi&lt;='S0b Baseline kasvu'!C21,"tuulisähkö",ostosähkö_nyt)</f>
        <v>jäännössähkö</v>
      </c>
      <c r="O21" s="147">
        <f>INDEX(Muuttujat!$J$5:$J$21,MATCH($C21,Muuttujat!$H$5:$H$21,0),1)</f>
        <v>69.24722222222222</v>
      </c>
      <c r="P21" s="342">
        <f>1-(INDEX(Muuttujat!$O$5:$O$21,MATCH($C21,Muuttujat!$N$5:$N$21,0),1))</f>
        <v>1</v>
      </c>
      <c r="Q21" s="342">
        <f>INDEX(Muuttujat!$O$5:$O$21,MATCH($C21,Muuttujat!$N$5:$N$21,0),1)</f>
        <v>0</v>
      </c>
      <c r="R21" s="148">
        <f>INDEX(Muuttujat!$P$5:$P$21,MATCH($C21,Muuttujat!$N$5:$N$21,0),1)</f>
        <v>0</v>
      </c>
      <c r="S21" s="149">
        <f t="shared" si="4"/>
        <v>0</v>
      </c>
      <c r="T21" s="150">
        <f t="shared" si="5"/>
        <v>0</v>
      </c>
      <c r="U21" s="150">
        <f t="shared" si="6"/>
        <v>0</v>
      </c>
      <c r="V21" s="150">
        <f>IFERROR(INDEX(Työkonekanta!$J$3:$J$27,MATCH($A21,Työkonekanta!$A$3:$A$24,0),1)*$B21*ef_li_ion_akku/1000/1000/INDEX(Työkonekanta!$K$3:$K$27,MATCH($A21,Työkonekanta!$A$3:$A$24,0)),0)</f>
        <v>0</v>
      </c>
      <c r="W21" s="149">
        <f t="shared" si="7"/>
        <v>0</v>
      </c>
      <c r="X21" s="150">
        <f t="shared" si="8"/>
        <v>0</v>
      </c>
      <c r="Y21" s="151">
        <f t="shared" si="9"/>
        <v>0</v>
      </c>
      <c r="Z21" s="152">
        <f t="shared" si="17"/>
        <v>0</v>
      </c>
      <c r="AA21" s="179">
        <f t="shared" si="18"/>
        <v>0</v>
      </c>
      <c r="AB21" s="179">
        <f t="shared" si="19"/>
        <v>0</v>
      </c>
      <c r="AC21" s="180">
        <f t="shared" si="10"/>
        <v>0</v>
      </c>
      <c r="AD21" s="156">
        <f t="shared" si="20"/>
        <v>0</v>
      </c>
      <c r="AE21" s="146">
        <f>IFERROR(INDEX(Työkonekanta!$L$3:$L$30,MATCH($A21,Työkonekanta!$A$3:$A$30,0),1),0)*AF21</f>
        <v>0</v>
      </c>
      <c r="AF21" s="146">
        <f>IFERROR(INDEX(Työkonekanta!$N$3:$N$32,MATCH($A21,Työkonekanta!$A$3:$A$32,0),1),0)</f>
        <v>0</v>
      </c>
      <c r="AG21" s="332">
        <f>I21*INDEX(Muuttujat!$U$5:$U$21,MATCH($C21,Muuttujat!$N$5:$N$21,0),1)</f>
        <v>0</v>
      </c>
      <c r="AH21" s="332">
        <f>J21*INDEX(Muuttujat!$T$5:$T$21,MATCH($C21,Muuttujat!$N$5:$N$21,0),1)</f>
        <v>0</v>
      </c>
      <c r="AI21" s="332">
        <f t="shared" si="11"/>
        <v>0</v>
      </c>
      <c r="AJ21" s="332">
        <f t="shared" si="12"/>
        <v>0</v>
      </c>
      <c r="AK21" s="332">
        <f t="shared" si="21"/>
        <v>0</v>
      </c>
      <c r="AL21" s="332">
        <f t="shared" si="13"/>
        <v>0</v>
      </c>
    </row>
    <row r="22" spans="1:38">
      <c r="A22" s="139">
        <v>20</v>
      </c>
      <c r="B22" s="139">
        <f>IFERROR(INDEX(Työkonekanta!$F$3:$F$27,MATCH('S0b Baseline kasvu'!$A22,Työkonekanta!$A$3:$A$24,0),1),0)</f>
        <v>0</v>
      </c>
      <c r="C22" s="140">
        <v>2019</v>
      </c>
      <c r="D22" s="141" t="str">
        <f>IFERROR(INDEX(Työkonekanta!$D$3:$D$27,MATCH('S0b Baseline kasvu'!$A22,Työkonekanta!$A$3:$A$24,0),1),"undefined")</f>
        <v>pom</v>
      </c>
      <c r="E22" s="145">
        <f>IFERROR(INDEX(Työkonekanta!$G$3:$G$27,MATCH($A22,Työkonekanta!$A$3:$A$24,0),1)*INDEX(Työkonekanta!$H$3:$H$27,MATCH($A22,Työkonekanta!$A$3:$A$24,0),1)*(1+s0b_kasvu*($C22-2019))*$B22,0)</f>
        <v>0</v>
      </c>
      <c r="F22" s="145">
        <f t="shared" si="0"/>
        <v>0</v>
      </c>
      <c r="G22" s="145">
        <f t="shared" si="14"/>
        <v>0</v>
      </c>
      <c r="H22" s="145">
        <f t="shared" si="15"/>
        <v>0</v>
      </c>
      <c r="I22" s="145">
        <f t="shared" si="1"/>
        <v>0</v>
      </c>
      <c r="J22" s="145">
        <f t="shared" si="2"/>
        <v>0</v>
      </c>
      <c r="K22" s="142" t="str">
        <f t="shared" si="16"/>
        <v>l</v>
      </c>
      <c r="L22" s="146">
        <f>IFERROR(INDEX(Työkonekanta!$I$3:$I$27,MATCH('S0b Baseline kasvu'!$A22,Työkonekanta!$A$3:$A$24,0),1)*(I22+J22)*f_adblue,0)</f>
        <v>0</v>
      </c>
      <c r="M22" s="146">
        <f t="shared" si="3"/>
        <v>0</v>
      </c>
      <c r="N22" s="143" t="str">
        <f>IF(tuulisähkö_vuosi&lt;='S0b Baseline kasvu'!C22,"tuulisähkö",ostosähkö_nyt)</f>
        <v>jäännössähkö</v>
      </c>
      <c r="O22" s="147">
        <f>INDEX(Muuttujat!$J$5:$J$21,MATCH($C22,Muuttujat!$H$5:$H$21,0),1)</f>
        <v>69.24722222222222</v>
      </c>
      <c r="P22" s="342">
        <f>1-(INDEX(Muuttujat!$O$5:$O$21,MATCH($C22,Muuttujat!$N$5:$N$21,0),1))</f>
        <v>1</v>
      </c>
      <c r="Q22" s="342">
        <f>INDEX(Muuttujat!$O$5:$O$21,MATCH($C22,Muuttujat!$N$5:$N$21,0),1)</f>
        <v>0</v>
      </c>
      <c r="R22" s="148">
        <f>INDEX(Muuttujat!$P$5:$P$21,MATCH($C22,Muuttujat!$N$5:$N$21,0),1)</f>
        <v>0</v>
      </c>
      <c r="S22" s="149">
        <f t="shared" si="4"/>
        <v>0</v>
      </c>
      <c r="T22" s="150">
        <f t="shared" si="5"/>
        <v>0</v>
      </c>
      <c r="U22" s="150">
        <f t="shared" si="6"/>
        <v>0</v>
      </c>
      <c r="V22" s="150">
        <f>IFERROR(INDEX(Työkonekanta!$J$3:$J$27,MATCH($A22,Työkonekanta!$A$3:$A$24,0),1)*$B22*ef_li_ion_akku/1000/1000/INDEX(Työkonekanta!$K$3:$K$27,MATCH($A22,Työkonekanta!$A$3:$A$24,0)),0)</f>
        <v>0</v>
      </c>
      <c r="W22" s="149">
        <f t="shared" si="7"/>
        <v>0</v>
      </c>
      <c r="X22" s="150">
        <f t="shared" si="8"/>
        <v>0</v>
      </c>
      <c r="Y22" s="151">
        <f t="shared" si="9"/>
        <v>0</v>
      </c>
      <c r="Z22" s="152">
        <f t="shared" si="17"/>
        <v>0</v>
      </c>
      <c r="AA22" s="179">
        <f t="shared" si="18"/>
        <v>0</v>
      </c>
      <c r="AB22" s="179">
        <f t="shared" si="19"/>
        <v>0</v>
      </c>
      <c r="AC22" s="180">
        <f t="shared" si="10"/>
        <v>0</v>
      </c>
      <c r="AD22" s="156">
        <f t="shared" si="20"/>
        <v>0</v>
      </c>
      <c r="AE22" s="146">
        <f>IFERROR(INDEX(Työkonekanta!$L$3:$L$30,MATCH($A22,Työkonekanta!$A$3:$A$30,0),1),0)*AF22</f>
        <v>0</v>
      </c>
      <c r="AF22" s="146">
        <f>IFERROR(INDEX(Työkonekanta!$N$3:$N$32,MATCH($A22,Työkonekanta!$A$3:$A$32,0),1),0)</f>
        <v>0</v>
      </c>
      <c r="AG22" s="332">
        <f>I22*INDEX(Muuttujat!$U$5:$U$21,MATCH($C22,Muuttujat!$N$5:$N$21,0),1)</f>
        <v>0</v>
      </c>
      <c r="AH22" s="332">
        <f>J22*INDEX(Muuttujat!$T$5:$T$21,MATCH($C22,Muuttujat!$N$5:$N$21,0),1)</f>
        <v>0</v>
      </c>
      <c r="AI22" s="332">
        <f t="shared" si="11"/>
        <v>0</v>
      </c>
      <c r="AJ22" s="332">
        <f t="shared" si="12"/>
        <v>0</v>
      </c>
      <c r="AK22" s="332">
        <f t="shared" si="21"/>
        <v>0</v>
      </c>
      <c r="AL22" s="332">
        <f t="shared" si="13"/>
        <v>0</v>
      </c>
    </row>
    <row r="23" spans="1:38">
      <c r="A23" s="139">
        <v>21</v>
      </c>
      <c r="B23" s="139">
        <f>IFERROR(INDEX(Työkonekanta!$F$3:$F$27,MATCH('S0b Baseline kasvu'!$A23,Työkonekanta!$A$3:$A$24,0),1),0)</f>
        <v>35</v>
      </c>
      <c r="C23" s="140">
        <v>2019</v>
      </c>
      <c r="D23" s="141" t="str">
        <f>IFERROR(INDEX(Työkonekanta!$D$3:$D$27,MATCH('S0b Baseline kasvu'!$A23,Työkonekanta!$A$3:$A$24,0),1),"undefined")</f>
        <v>sähkö</v>
      </c>
      <c r="E23" s="145">
        <f>IFERROR(INDEX(Työkonekanta!$G$3:$G$27,MATCH($A23,Työkonekanta!$A$3:$A$24,0),1)*INDEX(Työkonekanta!$H$3:$H$27,MATCH($A23,Työkonekanta!$A$3:$A$24,0),1)*(1+s0b_kasvu*($C23-2019))*$B23,0)</f>
        <v>407199.07407407404</v>
      </c>
      <c r="F23" s="145">
        <f t="shared" si="0"/>
        <v>0</v>
      </c>
      <c r="G23" s="145">
        <f t="shared" si="14"/>
        <v>0</v>
      </c>
      <c r="H23" s="145">
        <f t="shared" si="15"/>
        <v>0</v>
      </c>
      <c r="I23" s="145">
        <f t="shared" si="1"/>
        <v>0</v>
      </c>
      <c r="J23" s="145">
        <f t="shared" si="2"/>
        <v>0</v>
      </c>
      <c r="K23" s="142" t="str">
        <f t="shared" si="16"/>
        <v>kWh</v>
      </c>
      <c r="L23" s="146">
        <f>IFERROR(INDEX(Työkonekanta!$I$3:$I$27,MATCH('S0b Baseline kasvu'!$A23,Työkonekanta!$A$3:$A$24,0),1)*(I23+J23)*f_adblue,0)</f>
        <v>0</v>
      </c>
      <c r="M23" s="146">
        <f t="shared" si="3"/>
        <v>1465916.6666666665</v>
      </c>
      <c r="N23" s="143" t="str">
        <f>IF(tuulisähkö_vuosi&lt;='S0b Baseline kasvu'!C23,"tuulisähkö",ostosähkö_nyt)</f>
        <v>jäännössähkö</v>
      </c>
      <c r="O23" s="147">
        <f>INDEX(Muuttujat!$J$5:$J$21,MATCH($C23,Muuttujat!$H$5:$H$21,0),1)</f>
        <v>69.24722222222222</v>
      </c>
      <c r="P23" s="342">
        <f>1-(INDEX(Muuttujat!$O$5:$O$21,MATCH($C23,Muuttujat!$N$5:$N$21,0),1))</f>
        <v>1</v>
      </c>
      <c r="Q23" s="342">
        <f>INDEX(Muuttujat!$O$5:$O$21,MATCH($C23,Muuttujat!$N$5:$N$21,0),1)</f>
        <v>0</v>
      </c>
      <c r="R23" s="148">
        <f>INDEX(Muuttujat!$P$5:$P$21,MATCH($C23,Muuttujat!$N$5:$N$21,0),1)</f>
        <v>0</v>
      </c>
      <c r="S23" s="149">
        <f t="shared" si="4"/>
        <v>0</v>
      </c>
      <c r="T23" s="150">
        <f t="shared" si="5"/>
        <v>0</v>
      </c>
      <c r="U23" s="150">
        <f t="shared" si="6"/>
        <v>101.51065717592591</v>
      </c>
      <c r="V23" s="150">
        <f>IFERROR(INDEX(Työkonekanta!$J$3:$J$27,MATCH($A23,Työkonekanta!$A$3:$A$24,0),1)*$B23*ef_li_ion_akku/1000/1000/INDEX(Työkonekanta!$K$3:$K$27,MATCH($A23,Työkonekanta!$A$3:$A$24,0)),0)</f>
        <v>43.121723076923082</v>
      </c>
      <c r="W23" s="149">
        <f t="shared" si="7"/>
        <v>0</v>
      </c>
      <c r="X23" s="150">
        <f t="shared" si="8"/>
        <v>0</v>
      </c>
      <c r="Y23" s="151">
        <f t="shared" si="9"/>
        <v>0</v>
      </c>
      <c r="Z23" s="152">
        <f t="shared" si="17"/>
        <v>144.632380252849</v>
      </c>
      <c r="AA23" s="179">
        <f t="shared" si="18"/>
        <v>0</v>
      </c>
      <c r="AB23" s="179">
        <f t="shared" si="19"/>
        <v>0</v>
      </c>
      <c r="AC23" s="180">
        <f t="shared" si="10"/>
        <v>144.632380252849</v>
      </c>
      <c r="AD23" s="156">
        <f t="shared" si="20"/>
        <v>144.632380252849</v>
      </c>
      <c r="AE23" s="146">
        <f>IFERROR(INDEX(Työkonekanta!$L$3:$L$30,MATCH($A23,Työkonekanta!$A$3:$A$30,0),1),0)*AF23</f>
        <v>1820000</v>
      </c>
      <c r="AF23" s="146">
        <f>IFERROR(INDEX(Työkonekanta!$N$3:$N$32,MATCH($A23,Työkonekanta!$A$3:$A$32,0),1),0)</f>
        <v>7</v>
      </c>
      <c r="AG23" s="332">
        <f>I23*INDEX(Muuttujat!$U$5:$U$21,MATCH($C23,Muuttujat!$N$5:$N$21,0),1)</f>
        <v>0</v>
      </c>
      <c r="AH23" s="332">
        <f>J23*INDEX(Muuttujat!$T$5:$T$21,MATCH($C23,Muuttujat!$N$5:$N$21,0),1)</f>
        <v>0</v>
      </c>
      <c r="AI23" s="332">
        <f t="shared" si="11"/>
        <v>0</v>
      </c>
      <c r="AJ23" s="332">
        <f t="shared" si="12"/>
        <v>36037.118055555555</v>
      </c>
      <c r="AK23" s="332">
        <f t="shared" si="21"/>
        <v>36037.118055555555</v>
      </c>
      <c r="AL23" s="332">
        <f t="shared" si="13"/>
        <v>1029.6319444444443</v>
      </c>
    </row>
    <row r="24" spans="1:38">
      <c r="A24" s="139">
        <v>22</v>
      </c>
      <c r="B24" s="139">
        <f>IFERROR(INDEX(Työkonekanta!$F$3:$F$27,MATCH('S0b Baseline kasvu'!$A24,Työkonekanta!$A$3:$A$24,0),1),0)</f>
        <v>0</v>
      </c>
      <c r="C24" s="140">
        <v>2019</v>
      </c>
      <c r="D24" s="141" t="str">
        <f>IFERROR(INDEX(Työkonekanta!$D$3:$D$27,MATCH('S0b Baseline kasvu'!$A24,Työkonekanta!$A$3:$A$24,0),1),"undefined")</f>
        <v>sähkö</v>
      </c>
      <c r="E24" s="145">
        <f>IFERROR(INDEX(Työkonekanta!$G$3:$G$27,MATCH($A24,Työkonekanta!$A$3:$A$24,0),1)*INDEX(Työkonekanta!$H$3:$H$27,MATCH($A24,Työkonekanta!$A$3:$A$24,0),1)*(1+s0b_kasvu*($C24-2019))*$B24,0)</f>
        <v>0</v>
      </c>
      <c r="F24" s="145">
        <f t="shared" si="0"/>
        <v>0</v>
      </c>
      <c r="G24" s="145">
        <f t="shared" si="14"/>
        <v>0</v>
      </c>
      <c r="H24" s="145">
        <f t="shared" si="15"/>
        <v>0</v>
      </c>
      <c r="I24" s="145">
        <f t="shared" si="1"/>
        <v>0</v>
      </c>
      <c r="J24" s="145">
        <f t="shared" si="2"/>
        <v>0</v>
      </c>
      <c r="K24" s="142" t="str">
        <f t="shared" si="16"/>
        <v>kWh</v>
      </c>
      <c r="L24" s="146">
        <f>IFERROR(INDEX(Työkonekanta!$I$3:$I$27,MATCH('S0b Baseline kasvu'!$A24,Työkonekanta!$A$3:$A$24,0),1)*(I24+J24)*f_adblue,0)</f>
        <v>0</v>
      </c>
      <c r="M24" s="146">
        <f t="shared" si="3"/>
        <v>0</v>
      </c>
      <c r="N24" s="143" t="str">
        <f>IF(tuulisähkö_vuosi&lt;='S0b Baseline kasvu'!C24,"tuulisähkö",ostosähkö_nyt)</f>
        <v>jäännössähkö</v>
      </c>
      <c r="O24" s="147">
        <f>INDEX(Muuttujat!$J$5:$J$21,MATCH($C24,Muuttujat!$H$5:$H$21,0),1)</f>
        <v>69.24722222222222</v>
      </c>
      <c r="P24" s="342">
        <f>1-(INDEX(Muuttujat!$O$5:$O$21,MATCH($C24,Muuttujat!$N$5:$N$21,0),1))</f>
        <v>1</v>
      </c>
      <c r="Q24" s="342">
        <f>INDEX(Muuttujat!$O$5:$O$21,MATCH($C24,Muuttujat!$N$5:$N$21,0),1)</f>
        <v>0</v>
      </c>
      <c r="R24" s="148">
        <f>INDEX(Muuttujat!$P$5:$P$21,MATCH($C24,Muuttujat!$N$5:$N$21,0),1)</f>
        <v>0</v>
      </c>
      <c r="S24" s="149">
        <f t="shared" si="4"/>
        <v>0</v>
      </c>
      <c r="T24" s="150">
        <f t="shared" si="5"/>
        <v>0</v>
      </c>
      <c r="U24" s="150">
        <f t="shared" si="6"/>
        <v>0</v>
      </c>
      <c r="V24" s="150">
        <f>IFERROR(INDEX(Työkonekanta!$J$3:$J$27,MATCH($A24,Työkonekanta!$A$3:$A$24,0),1)*$B24*ef_li_ion_akku/1000/1000/INDEX(Työkonekanta!$K$3:$K$27,MATCH($A24,Työkonekanta!$A$3:$A$24,0)),0)</f>
        <v>0</v>
      </c>
      <c r="W24" s="149">
        <f t="shared" si="7"/>
        <v>0</v>
      </c>
      <c r="X24" s="150">
        <f t="shared" si="8"/>
        <v>0</v>
      </c>
      <c r="Y24" s="151">
        <f t="shared" si="9"/>
        <v>0</v>
      </c>
      <c r="Z24" s="152">
        <f t="shared" si="17"/>
        <v>0</v>
      </c>
      <c r="AA24" s="179">
        <f t="shared" si="18"/>
        <v>0</v>
      </c>
      <c r="AB24" s="179">
        <f t="shared" si="19"/>
        <v>0</v>
      </c>
      <c r="AC24" s="180">
        <f t="shared" si="10"/>
        <v>0</v>
      </c>
      <c r="AD24" s="156">
        <f t="shared" si="20"/>
        <v>0</v>
      </c>
      <c r="AE24" s="146">
        <f>IFERROR(INDEX(Työkonekanta!$L$3:$L$30,MATCH($A24,Työkonekanta!$A$3:$A$30,0),1),0)*AF24</f>
        <v>0</v>
      </c>
      <c r="AF24" s="146">
        <f>IFERROR(INDEX(Työkonekanta!$N$3:$N$32,MATCH($A24,Työkonekanta!$A$3:$A$32,0),1),0)</f>
        <v>0</v>
      </c>
      <c r="AG24" s="332">
        <f>I24*INDEX(Muuttujat!$U$5:$U$21,MATCH($C24,Muuttujat!$N$5:$N$21,0),1)</f>
        <v>0</v>
      </c>
      <c r="AH24" s="332">
        <f>J24*INDEX(Muuttujat!$T$5:$T$21,MATCH($C24,Muuttujat!$N$5:$N$21,0),1)</f>
        <v>0</v>
      </c>
      <c r="AI24" s="332">
        <f t="shared" si="11"/>
        <v>0</v>
      </c>
      <c r="AJ24" s="332">
        <f t="shared" si="12"/>
        <v>0</v>
      </c>
      <c r="AK24" s="332">
        <f t="shared" si="21"/>
        <v>0</v>
      </c>
      <c r="AL24" s="332">
        <f t="shared" si="13"/>
        <v>0</v>
      </c>
    </row>
    <row r="25" spans="1:38">
      <c r="A25" s="139">
        <v>23</v>
      </c>
      <c r="B25" s="139">
        <f>IFERROR(INDEX(Työkonekanta!$F$3:$F$27,MATCH('S0b Baseline kasvu'!$A25,Työkonekanta!$A$3:$A$24,0),1),0)</f>
        <v>0</v>
      </c>
      <c r="C25" s="140">
        <v>2019</v>
      </c>
      <c r="D25" s="141" t="str">
        <f>IFERROR(INDEX(Työkonekanta!$D$3:$D$27,MATCH('S0b Baseline kasvu'!$A25,Työkonekanta!$A$3:$A$24,0),1),"undefined")</f>
        <v>undefined</v>
      </c>
      <c r="E25" s="145">
        <f>IFERROR(INDEX(Työkonekanta!$G$3:$G$27,MATCH($A25,Työkonekanta!$A$3:$A$24,0),1)*INDEX(Työkonekanta!$H$3:$H$27,MATCH($A25,Työkonekanta!$A$3:$A$24,0),1)*(1+s0b_kasvu*($C25-2019))*$B25,0)</f>
        <v>0</v>
      </c>
      <c r="F25" s="145">
        <f t="shared" si="0"/>
        <v>0</v>
      </c>
      <c r="G25" s="145">
        <f t="shared" si="14"/>
        <v>0</v>
      </c>
      <c r="H25" s="145">
        <f t="shared" si="15"/>
        <v>0</v>
      </c>
      <c r="I25" s="145">
        <f t="shared" si="1"/>
        <v>0</v>
      </c>
      <c r="J25" s="145">
        <f t="shared" si="2"/>
        <v>0</v>
      </c>
      <c r="K25" s="142" t="str">
        <f t="shared" si="16"/>
        <v>undefined</v>
      </c>
      <c r="L25" s="146">
        <f>IFERROR(INDEX(Työkonekanta!$I$3:$I$27,MATCH('S0b Baseline kasvu'!$A25,Työkonekanta!$A$3:$A$24,0),1)*(I25+J25)*f_adblue,0)</f>
        <v>0</v>
      </c>
      <c r="M25" s="146">
        <f t="shared" si="3"/>
        <v>0</v>
      </c>
      <c r="N25" s="143" t="str">
        <f>IF(tuulisähkö_vuosi&lt;='S0b Baseline kasvu'!C25,"tuulisähkö",ostosähkö_nyt)</f>
        <v>jäännössähkö</v>
      </c>
      <c r="O25" s="147">
        <f>INDEX(Muuttujat!$J$5:$J$21,MATCH($C25,Muuttujat!$H$5:$H$21,0),1)</f>
        <v>69.24722222222222</v>
      </c>
      <c r="P25" s="342">
        <f>1-(INDEX(Muuttujat!$O$5:$O$21,MATCH($C25,Muuttujat!$N$5:$N$21,0),1))</f>
        <v>1</v>
      </c>
      <c r="Q25" s="342">
        <f>INDEX(Muuttujat!$O$5:$O$21,MATCH($C25,Muuttujat!$N$5:$N$21,0),1)</f>
        <v>0</v>
      </c>
      <c r="R25" s="148">
        <f>INDEX(Muuttujat!$P$5:$P$21,MATCH($C25,Muuttujat!$N$5:$N$21,0),1)</f>
        <v>0</v>
      </c>
      <c r="S25" s="149">
        <f t="shared" si="4"/>
        <v>0</v>
      </c>
      <c r="T25" s="150">
        <f t="shared" si="5"/>
        <v>0</v>
      </c>
      <c r="U25" s="150">
        <f t="shared" si="6"/>
        <v>0</v>
      </c>
      <c r="V25" s="150">
        <f>IFERROR(INDEX(Työkonekanta!$J$3:$J$27,MATCH($A25,Työkonekanta!$A$3:$A$24,0),1)*$B25*ef_li_ion_akku/1000/1000/INDEX(Työkonekanta!$K$3:$K$27,MATCH($A25,Työkonekanta!$A$3:$A$24,0)),0)</f>
        <v>0</v>
      </c>
      <c r="W25" s="149">
        <f t="shared" si="7"/>
        <v>0</v>
      </c>
      <c r="X25" s="150">
        <f t="shared" si="8"/>
        <v>0</v>
      </c>
      <c r="Y25" s="151">
        <f t="shared" si="9"/>
        <v>0</v>
      </c>
      <c r="Z25" s="152">
        <f t="shared" si="17"/>
        <v>0</v>
      </c>
      <c r="AA25" s="179">
        <f t="shared" si="18"/>
        <v>0</v>
      </c>
      <c r="AB25" s="179">
        <f t="shared" si="19"/>
        <v>0</v>
      </c>
      <c r="AC25" s="180">
        <f t="shared" si="10"/>
        <v>0</v>
      </c>
      <c r="AD25" s="156">
        <f t="shared" si="20"/>
        <v>0</v>
      </c>
      <c r="AE25" s="146">
        <f>IFERROR(INDEX(Työkonekanta!$L$3:$L$30,MATCH($A25,Työkonekanta!$A$3:$A$30,0),1),0)*AF25</f>
        <v>0</v>
      </c>
      <c r="AF25" s="146">
        <f>IFERROR(INDEX(Työkonekanta!$N$3:$N$32,MATCH($A25,Työkonekanta!$A$3:$A$32,0),1),0)</f>
        <v>0</v>
      </c>
      <c r="AG25" s="332">
        <f>I25*INDEX(Muuttujat!$U$5:$U$21,MATCH($C25,Muuttujat!$N$5:$N$21,0),1)</f>
        <v>0</v>
      </c>
      <c r="AH25" s="332">
        <f>J25*INDEX(Muuttujat!$T$5:$T$21,MATCH($C25,Muuttujat!$N$5:$N$21,0),1)</f>
        <v>0</v>
      </c>
      <c r="AI25" s="332">
        <f t="shared" si="11"/>
        <v>0</v>
      </c>
      <c r="AJ25" s="332">
        <f t="shared" si="12"/>
        <v>0</v>
      </c>
      <c r="AK25" s="332">
        <f t="shared" si="21"/>
        <v>0</v>
      </c>
      <c r="AL25" s="332">
        <f t="shared" si="13"/>
        <v>0</v>
      </c>
    </row>
    <row r="26" spans="1:38">
      <c r="A26" s="139">
        <v>24</v>
      </c>
      <c r="B26" s="139">
        <f>IFERROR(INDEX(Työkonekanta!$F$3:$F$27,MATCH('S0b Baseline kasvu'!$A26,Työkonekanta!$A$3:$A$24,0),1),0)</f>
        <v>0</v>
      </c>
      <c r="C26" s="140">
        <v>2019</v>
      </c>
      <c r="D26" s="141" t="str">
        <f>IFERROR(INDEX(Työkonekanta!$D$3:$D$27,MATCH('S0b Baseline kasvu'!$A26,Työkonekanta!$A$3:$A$24,0),1),"undefined")</f>
        <v>undefined</v>
      </c>
      <c r="E26" s="145">
        <f>IFERROR(INDEX(Työkonekanta!$G$3:$G$27,MATCH($A26,Työkonekanta!$A$3:$A$24,0),1)*INDEX(Työkonekanta!$H$3:$H$27,MATCH($A26,Työkonekanta!$A$3:$A$24,0),1)*(1+s0b_kasvu*($C26-2019))*$B26,0)</f>
        <v>0</v>
      </c>
      <c r="F26" s="145">
        <f t="shared" si="0"/>
        <v>0</v>
      </c>
      <c r="G26" s="145">
        <f t="shared" si="14"/>
        <v>0</v>
      </c>
      <c r="H26" s="145">
        <f t="shared" si="15"/>
        <v>0</v>
      </c>
      <c r="I26" s="145">
        <f t="shared" si="1"/>
        <v>0</v>
      </c>
      <c r="J26" s="145">
        <f t="shared" si="2"/>
        <v>0</v>
      </c>
      <c r="K26" s="142" t="str">
        <f t="shared" si="16"/>
        <v>undefined</v>
      </c>
      <c r="L26" s="146">
        <f>IFERROR(INDEX(Työkonekanta!$I$3:$I$27,MATCH('S0b Baseline kasvu'!$A26,Työkonekanta!$A$3:$A$24,0),1)*(I26+J26)*f_adblue,0)</f>
        <v>0</v>
      </c>
      <c r="M26" s="146">
        <f t="shared" si="3"/>
        <v>0</v>
      </c>
      <c r="N26" s="143" t="str">
        <f>IF(tuulisähkö_vuosi&lt;='S0b Baseline kasvu'!C26,"tuulisähkö",ostosähkö_nyt)</f>
        <v>jäännössähkö</v>
      </c>
      <c r="O26" s="147">
        <f>INDEX(Muuttujat!$J$5:$J$21,MATCH($C26,Muuttujat!$H$5:$H$21,0),1)</f>
        <v>69.24722222222222</v>
      </c>
      <c r="P26" s="342">
        <f>1-(INDEX(Muuttujat!$O$5:$O$21,MATCH($C26,Muuttujat!$N$5:$N$21,0),1))</f>
        <v>1</v>
      </c>
      <c r="Q26" s="342">
        <f>INDEX(Muuttujat!$O$5:$O$21,MATCH($C26,Muuttujat!$N$5:$N$21,0),1)</f>
        <v>0</v>
      </c>
      <c r="R26" s="148">
        <f>INDEX(Muuttujat!$P$5:$P$21,MATCH($C26,Muuttujat!$N$5:$N$21,0),1)</f>
        <v>0</v>
      </c>
      <c r="S26" s="149">
        <f t="shared" si="4"/>
        <v>0</v>
      </c>
      <c r="T26" s="150">
        <f t="shared" si="5"/>
        <v>0</v>
      </c>
      <c r="U26" s="150">
        <f t="shared" si="6"/>
        <v>0</v>
      </c>
      <c r="V26" s="150">
        <f>IFERROR(INDEX(Työkonekanta!$J$3:$J$27,MATCH($A26,Työkonekanta!$A$3:$A$24,0),1)*$B26*ef_li_ion_akku/1000/1000/INDEX(Työkonekanta!$K$3:$K$27,MATCH($A26,Työkonekanta!$A$3:$A$24,0)),0)</f>
        <v>0</v>
      </c>
      <c r="W26" s="149">
        <f t="shared" si="7"/>
        <v>0</v>
      </c>
      <c r="X26" s="150">
        <f t="shared" si="8"/>
        <v>0</v>
      </c>
      <c r="Y26" s="151">
        <f t="shared" si="9"/>
        <v>0</v>
      </c>
      <c r="Z26" s="152">
        <f t="shared" si="17"/>
        <v>0</v>
      </c>
      <c r="AA26" s="179">
        <f t="shared" si="18"/>
        <v>0</v>
      </c>
      <c r="AB26" s="179">
        <f t="shared" si="19"/>
        <v>0</v>
      </c>
      <c r="AC26" s="180">
        <f t="shared" si="10"/>
        <v>0</v>
      </c>
      <c r="AD26" s="156">
        <f t="shared" si="20"/>
        <v>0</v>
      </c>
      <c r="AE26" s="146">
        <f>IFERROR(INDEX(Työkonekanta!$L$3:$L$30,MATCH($A26,Työkonekanta!$A$3:$A$30,0),1),0)*AF26</f>
        <v>0</v>
      </c>
      <c r="AF26" s="146">
        <f>IFERROR(INDEX(Työkonekanta!$N$3:$N$32,MATCH($A26,Työkonekanta!$A$3:$A$32,0),1),0)</f>
        <v>0</v>
      </c>
      <c r="AG26" s="332">
        <f>I26*INDEX(Muuttujat!$U$5:$U$21,MATCH($C26,Muuttujat!$N$5:$N$21,0),1)</f>
        <v>0</v>
      </c>
      <c r="AH26" s="332">
        <f>J26*INDEX(Muuttujat!$T$5:$T$21,MATCH($C26,Muuttujat!$N$5:$N$21,0),1)</f>
        <v>0</v>
      </c>
      <c r="AI26" s="332">
        <f t="shared" si="11"/>
        <v>0</v>
      </c>
      <c r="AJ26" s="332">
        <f t="shared" si="12"/>
        <v>0</v>
      </c>
      <c r="AK26" s="332">
        <f t="shared" si="21"/>
        <v>0</v>
      </c>
      <c r="AL26" s="332">
        <f t="shared" si="13"/>
        <v>0</v>
      </c>
    </row>
    <row r="27" spans="1:38">
      <c r="A27" s="139">
        <v>25</v>
      </c>
      <c r="B27" s="139">
        <f>IFERROR(INDEX(Työkonekanta!$F$3:$F$27,MATCH('S0b Baseline kasvu'!$A27,Työkonekanta!$A$3:$A$24,0),1),0)</f>
        <v>0</v>
      </c>
      <c r="C27" s="140">
        <v>2019</v>
      </c>
      <c r="D27" s="141" t="str">
        <f>IFERROR(INDEX(Työkonekanta!$D$3:$D$27,MATCH('S0b Baseline kasvu'!$A27,Työkonekanta!$A$3:$A$24,0),1),"undefined")</f>
        <v>undefined</v>
      </c>
      <c r="E27" s="145">
        <f>IFERROR(INDEX(Työkonekanta!$G$3:$G$27,MATCH($A27,Työkonekanta!$A$3:$A$24,0),1)*INDEX(Työkonekanta!$H$3:$H$27,MATCH($A27,Työkonekanta!$A$3:$A$24,0),1)*(1+s0b_kasvu*($C27-2019))*$B27,0)</f>
        <v>0</v>
      </c>
      <c r="F27" s="145">
        <f t="shared" si="0"/>
        <v>0</v>
      </c>
      <c r="G27" s="145">
        <f t="shared" si="14"/>
        <v>0</v>
      </c>
      <c r="H27" s="145">
        <f t="shared" si="15"/>
        <v>0</v>
      </c>
      <c r="I27" s="145">
        <f t="shared" si="1"/>
        <v>0</v>
      </c>
      <c r="J27" s="145">
        <f t="shared" si="2"/>
        <v>0</v>
      </c>
      <c r="K27" s="142" t="str">
        <f t="shared" si="16"/>
        <v>undefined</v>
      </c>
      <c r="L27" s="146">
        <f>IFERROR(INDEX(Työkonekanta!$I$3:$I$27,MATCH('S0b Baseline kasvu'!$A27,Työkonekanta!$A$3:$A$24,0),1)*(I27+J27)*f_adblue,0)</f>
        <v>0</v>
      </c>
      <c r="M27" s="146">
        <f t="shared" si="3"/>
        <v>0</v>
      </c>
      <c r="N27" s="143" t="str">
        <f>IF(tuulisähkö_vuosi&lt;='S0b Baseline kasvu'!C27,"tuulisähkö",ostosähkö_nyt)</f>
        <v>jäännössähkö</v>
      </c>
      <c r="O27" s="147">
        <f>INDEX(Muuttujat!$J$5:$J$21,MATCH($C27,Muuttujat!$H$5:$H$21,0),1)</f>
        <v>69.24722222222222</v>
      </c>
      <c r="P27" s="342">
        <f>1-(INDEX(Muuttujat!$O$5:$O$21,MATCH($C27,Muuttujat!$N$5:$N$21,0),1))</f>
        <v>1</v>
      </c>
      <c r="Q27" s="342">
        <f>INDEX(Muuttujat!$O$5:$O$21,MATCH($C27,Muuttujat!$N$5:$N$21,0),1)</f>
        <v>0</v>
      </c>
      <c r="R27" s="148">
        <f>INDEX(Muuttujat!$P$5:$P$21,MATCH($C27,Muuttujat!$N$5:$N$21,0),1)</f>
        <v>0</v>
      </c>
      <c r="S27" s="149">
        <f t="shared" si="4"/>
        <v>0</v>
      </c>
      <c r="T27" s="150">
        <f t="shared" si="5"/>
        <v>0</v>
      </c>
      <c r="U27" s="150">
        <f t="shared" si="6"/>
        <v>0</v>
      </c>
      <c r="V27" s="150">
        <f>IFERROR(INDEX(Työkonekanta!$J$3:$J$27,MATCH($A27,Työkonekanta!$A$3:$A$24,0),1)*$B27*ef_li_ion_akku/1000/1000/INDEX(Työkonekanta!$K$3:$K$27,MATCH($A27,Työkonekanta!$A$3:$A$24,0)),0)</f>
        <v>0</v>
      </c>
      <c r="W27" s="149">
        <f t="shared" si="7"/>
        <v>0</v>
      </c>
      <c r="X27" s="150">
        <f t="shared" si="8"/>
        <v>0</v>
      </c>
      <c r="Y27" s="151">
        <f t="shared" si="9"/>
        <v>0</v>
      </c>
      <c r="Z27" s="152">
        <f t="shared" si="17"/>
        <v>0</v>
      </c>
      <c r="AA27" s="179">
        <f t="shared" si="18"/>
        <v>0</v>
      </c>
      <c r="AB27" s="179">
        <f t="shared" si="19"/>
        <v>0</v>
      </c>
      <c r="AC27" s="180">
        <f t="shared" si="10"/>
        <v>0</v>
      </c>
      <c r="AD27" s="156">
        <f t="shared" si="20"/>
        <v>0</v>
      </c>
      <c r="AE27" s="146">
        <f>IFERROR(INDEX(Työkonekanta!$L$3:$L$30,MATCH($A27,Työkonekanta!$A$3:$A$30,0),1),0)*AF27</f>
        <v>0</v>
      </c>
      <c r="AF27" s="146">
        <f>IFERROR(INDEX(Työkonekanta!$N$3:$N$32,MATCH($A27,Työkonekanta!$A$3:$A$32,0),1),0)</f>
        <v>0</v>
      </c>
      <c r="AG27" s="332">
        <f>I27*INDEX(Muuttujat!$U$5:$U$21,MATCH($C27,Muuttujat!$N$5:$N$21,0),1)</f>
        <v>0</v>
      </c>
      <c r="AH27" s="332">
        <f>J27*INDEX(Muuttujat!$T$5:$T$21,MATCH($C27,Muuttujat!$N$5:$N$21,0),1)</f>
        <v>0</v>
      </c>
      <c r="AI27" s="332">
        <f t="shared" si="11"/>
        <v>0</v>
      </c>
      <c r="AJ27" s="332">
        <f t="shared" si="12"/>
        <v>0</v>
      </c>
      <c r="AK27" s="332">
        <f t="shared" si="21"/>
        <v>0</v>
      </c>
      <c r="AL27" s="332">
        <f t="shared" si="13"/>
        <v>0</v>
      </c>
    </row>
    <row r="28" spans="1:38">
      <c r="A28" s="139">
        <v>26</v>
      </c>
      <c r="B28" s="139">
        <f>IFERROR(INDEX(Työkonekanta!$F$3:$F$27,MATCH('S0b Baseline kasvu'!$A28,Työkonekanta!$A$3:$A$24,0),1),0)</f>
        <v>0</v>
      </c>
      <c r="C28" s="140">
        <v>2019</v>
      </c>
      <c r="D28" s="141" t="str">
        <f>IFERROR(INDEX(Työkonekanta!$D$3:$D$27,MATCH('S0b Baseline kasvu'!$A28,Työkonekanta!$A$3:$A$24,0),1),"undefined")</f>
        <v>undefined</v>
      </c>
      <c r="E28" s="145">
        <f>IFERROR(INDEX(Työkonekanta!$G$3:$G$27,MATCH($A28,Työkonekanta!$A$3:$A$24,0),1)*INDEX(Työkonekanta!$H$3:$H$27,MATCH($A28,Työkonekanta!$A$3:$A$24,0),1)*(1+s0b_kasvu*($C28-2019))*$B28,0)</f>
        <v>0</v>
      </c>
      <c r="F28" s="145">
        <f t="shared" si="0"/>
        <v>0</v>
      </c>
      <c r="G28" s="145">
        <f t="shared" si="14"/>
        <v>0</v>
      </c>
      <c r="H28" s="145">
        <f t="shared" si="15"/>
        <v>0</v>
      </c>
      <c r="I28" s="145">
        <f t="shared" si="1"/>
        <v>0</v>
      </c>
      <c r="J28" s="145">
        <f t="shared" si="2"/>
        <v>0</v>
      </c>
      <c r="K28" s="142" t="str">
        <f t="shared" si="16"/>
        <v>undefined</v>
      </c>
      <c r="L28" s="146">
        <f>IFERROR(INDEX(Työkonekanta!$I$3:$I$27,MATCH('S0b Baseline kasvu'!$A28,Työkonekanta!$A$3:$A$24,0),1)*(I28+J28)*f_adblue,0)</f>
        <v>0</v>
      </c>
      <c r="M28" s="146">
        <f t="shared" si="3"/>
        <v>0</v>
      </c>
      <c r="N28" s="143" t="str">
        <f>IF(tuulisähkö_vuosi&lt;='S0b Baseline kasvu'!C28,"tuulisähkö",ostosähkö_nyt)</f>
        <v>jäännössähkö</v>
      </c>
      <c r="O28" s="147">
        <f>INDEX(Muuttujat!$J$5:$J$21,MATCH($C28,Muuttujat!$H$5:$H$21,0),1)</f>
        <v>69.24722222222222</v>
      </c>
      <c r="P28" s="342">
        <f>1-(INDEX(Muuttujat!$O$5:$O$21,MATCH($C28,Muuttujat!$N$5:$N$21,0),1))</f>
        <v>1</v>
      </c>
      <c r="Q28" s="342">
        <f>INDEX(Muuttujat!$O$5:$O$21,MATCH($C28,Muuttujat!$N$5:$N$21,0),1)</f>
        <v>0</v>
      </c>
      <c r="R28" s="148">
        <f>INDEX(Muuttujat!$P$5:$P$21,MATCH($C28,Muuttujat!$N$5:$N$21,0),1)</f>
        <v>0</v>
      </c>
      <c r="S28" s="149">
        <f t="shared" si="4"/>
        <v>0</v>
      </c>
      <c r="T28" s="150">
        <f t="shared" si="5"/>
        <v>0</v>
      </c>
      <c r="U28" s="150">
        <f t="shared" si="6"/>
        <v>0</v>
      </c>
      <c r="V28" s="150">
        <f>IFERROR(INDEX(Työkonekanta!$J$3:$J$27,MATCH($A28,Työkonekanta!$A$3:$A$24,0),1)*$B28*ef_li_ion_akku/1000/1000/INDEX(Työkonekanta!$K$3:$K$27,MATCH($A28,Työkonekanta!$A$3:$A$24,0)),0)</f>
        <v>0</v>
      </c>
      <c r="W28" s="149">
        <f t="shared" si="7"/>
        <v>0</v>
      </c>
      <c r="X28" s="150">
        <f t="shared" si="8"/>
        <v>0</v>
      </c>
      <c r="Y28" s="151">
        <f t="shared" si="9"/>
        <v>0</v>
      </c>
      <c r="Z28" s="152">
        <f t="shared" si="17"/>
        <v>0</v>
      </c>
      <c r="AA28" s="179">
        <f t="shared" si="18"/>
        <v>0</v>
      </c>
      <c r="AB28" s="179">
        <f t="shared" si="19"/>
        <v>0</v>
      </c>
      <c r="AC28" s="180">
        <f t="shared" si="10"/>
        <v>0</v>
      </c>
      <c r="AD28" s="156">
        <f t="shared" si="20"/>
        <v>0</v>
      </c>
      <c r="AE28" s="146">
        <f>IFERROR(INDEX(Työkonekanta!$L$3:$L$30,MATCH($A28,Työkonekanta!$A$3:$A$30,0),1),0)*AF28</f>
        <v>0</v>
      </c>
      <c r="AF28" s="146">
        <f>IFERROR(INDEX(Työkonekanta!$N$3:$N$32,MATCH($A28,Työkonekanta!$A$3:$A$32,0),1),0)</f>
        <v>0</v>
      </c>
      <c r="AG28" s="332">
        <f>I28*INDEX(Muuttujat!$U$5:$U$21,MATCH($C28,Muuttujat!$N$5:$N$21,0),1)</f>
        <v>0</v>
      </c>
      <c r="AH28" s="332">
        <f>J28*INDEX(Muuttujat!$T$5:$T$21,MATCH($C28,Muuttujat!$N$5:$N$21,0),1)</f>
        <v>0</v>
      </c>
      <c r="AI28" s="332">
        <f t="shared" si="11"/>
        <v>0</v>
      </c>
      <c r="AJ28" s="332">
        <f t="shared" si="12"/>
        <v>0</v>
      </c>
      <c r="AK28" s="332">
        <f t="shared" si="21"/>
        <v>0</v>
      </c>
      <c r="AL28" s="332">
        <f t="shared" si="13"/>
        <v>0</v>
      </c>
    </row>
    <row r="29" spans="1:38">
      <c r="A29" s="139">
        <v>27</v>
      </c>
      <c r="B29" s="139">
        <f>IFERROR(INDEX(Työkonekanta!$F$3:$F$27,MATCH('S0b Baseline kasvu'!$A29,Työkonekanta!$A$3:$A$24,0),1),0)</f>
        <v>0</v>
      </c>
      <c r="C29" s="140">
        <v>2019</v>
      </c>
      <c r="D29" s="141" t="str">
        <f>IFERROR(INDEX(Työkonekanta!$D$3:$D$27,MATCH('S0b Baseline kasvu'!$A29,Työkonekanta!$A$3:$A$24,0),1),"undefined")</f>
        <v>undefined</v>
      </c>
      <c r="E29" s="145">
        <f>IFERROR(INDEX(Työkonekanta!$G$3:$G$27,MATCH($A29,Työkonekanta!$A$3:$A$24,0),1)*INDEX(Työkonekanta!$H$3:$H$27,MATCH($A29,Työkonekanta!$A$3:$A$24,0),1)*(1+s0b_kasvu*($C29-2019))*$B29,0)</f>
        <v>0</v>
      </c>
      <c r="F29" s="145">
        <f t="shared" si="0"/>
        <v>0</v>
      </c>
      <c r="G29" s="145">
        <f t="shared" si="14"/>
        <v>0</v>
      </c>
      <c r="H29" s="145">
        <f t="shared" si="15"/>
        <v>0</v>
      </c>
      <c r="I29" s="145">
        <f t="shared" si="1"/>
        <v>0</v>
      </c>
      <c r="J29" s="145">
        <f t="shared" si="2"/>
        <v>0</v>
      </c>
      <c r="K29" s="142" t="str">
        <f t="shared" si="16"/>
        <v>undefined</v>
      </c>
      <c r="L29" s="146">
        <f>IFERROR(INDEX(Työkonekanta!$I$3:$I$27,MATCH('S0b Baseline kasvu'!$A29,Työkonekanta!$A$3:$A$24,0),1)*(I29+J29)*f_adblue,0)</f>
        <v>0</v>
      </c>
      <c r="M29" s="146">
        <f t="shared" si="3"/>
        <v>0</v>
      </c>
      <c r="N29" s="143" t="str">
        <f>IF(tuulisähkö_vuosi&lt;='S0b Baseline kasvu'!C29,"tuulisähkö",ostosähkö_nyt)</f>
        <v>jäännössähkö</v>
      </c>
      <c r="O29" s="147">
        <f>INDEX(Muuttujat!$J$5:$J$21,MATCH($C29,Muuttujat!$H$5:$H$21,0),1)</f>
        <v>69.24722222222222</v>
      </c>
      <c r="P29" s="342">
        <f>1-(INDEX(Muuttujat!$O$5:$O$21,MATCH($C29,Muuttujat!$N$5:$N$21,0),1))</f>
        <v>1</v>
      </c>
      <c r="Q29" s="342">
        <f>INDEX(Muuttujat!$O$5:$O$21,MATCH($C29,Muuttujat!$N$5:$N$21,0),1)</f>
        <v>0</v>
      </c>
      <c r="R29" s="148">
        <f>INDEX(Muuttujat!$P$5:$P$21,MATCH($C29,Muuttujat!$N$5:$N$21,0),1)</f>
        <v>0</v>
      </c>
      <c r="S29" s="149">
        <f t="shared" si="4"/>
        <v>0</v>
      </c>
      <c r="T29" s="150">
        <f t="shared" si="5"/>
        <v>0</v>
      </c>
      <c r="U29" s="150">
        <f t="shared" si="6"/>
        <v>0</v>
      </c>
      <c r="V29" s="150">
        <f>IFERROR(INDEX(Työkonekanta!$J$3:$J$27,MATCH($A29,Työkonekanta!$A$3:$A$24,0),1)*$B29*ef_li_ion_akku/1000/1000/INDEX(Työkonekanta!$K$3:$K$27,MATCH($A29,Työkonekanta!$A$3:$A$24,0)),0)</f>
        <v>0</v>
      </c>
      <c r="W29" s="149">
        <f t="shared" si="7"/>
        <v>0</v>
      </c>
      <c r="X29" s="150">
        <f t="shared" si="8"/>
        <v>0</v>
      </c>
      <c r="Y29" s="151">
        <f t="shared" si="9"/>
        <v>0</v>
      </c>
      <c r="Z29" s="152">
        <f t="shared" si="17"/>
        <v>0</v>
      </c>
      <c r="AA29" s="179">
        <f t="shared" si="18"/>
        <v>0</v>
      </c>
      <c r="AB29" s="179">
        <f t="shared" si="19"/>
        <v>0</v>
      </c>
      <c r="AC29" s="180">
        <f t="shared" si="10"/>
        <v>0</v>
      </c>
      <c r="AD29" s="156">
        <f t="shared" si="20"/>
        <v>0</v>
      </c>
      <c r="AE29" s="146">
        <f>IFERROR(INDEX(Työkonekanta!$L$3:$L$30,MATCH($A29,Työkonekanta!$A$3:$A$30,0),1),0)*AF29</f>
        <v>0</v>
      </c>
      <c r="AF29" s="146">
        <f>IFERROR(INDEX(Työkonekanta!$N$3:$N$32,MATCH($A29,Työkonekanta!$A$3:$A$32,0),1),0)</f>
        <v>0</v>
      </c>
      <c r="AG29" s="332">
        <f>I29*INDEX(Muuttujat!$U$5:$U$21,MATCH($C29,Muuttujat!$N$5:$N$21,0),1)</f>
        <v>0</v>
      </c>
      <c r="AH29" s="332">
        <f>J29*INDEX(Muuttujat!$T$5:$T$21,MATCH($C29,Muuttujat!$N$5:$N$21,0),1)</f>
        <v>0</v>
      </c>
      <c r="AI29" s="332">
        <f t="shared" si="11"/>
        <v>0</v>
      </c>
      <c r="AJ29" s="332">
        <f t="shared" si="12"/>
        <v>0</v>
      </c>
      <c r="AK29" s="332">
        <f t="shared" si="21"/>
        <v>0</v>
      </c>
      <c r="AL29" s="332">
        <f t="shared" si="13"/>
        <v>0</v>
      </c>
    </row>
    <row r="30" spans="1:38">
      <c r="A30" s="139">
        <v>28</v>
      </c>
      <c r="B30" s="139">
        <f>IFERROR(INDEX(Työkonekanta!$F$3:$F$27,MATCH('S0b Baseline kasvu'!$A30,Työkonekanta!$A$3:$A$24,0),1),0)</f>
        <v>0</v>
      </c>
      <c r="C30" s="140">
        <v>2019</v>
      </c>
      <c r="D30" s="141" t="str">
        <f>IFERROR(INDEX(Työkonekanta!$D$3:$D$27,MATCH('S0b Baseline kasvu'!$A30,Työkonekanta!$A$3:$A$24,0),1),"undefined")</f>
        <v>undefined</v>
      </c>
      <c r="E30" s="145">
        <f>IFERROR(INDEX(Työkonekanta!$G$3:$G$27,MATCH($A30,Työkonekanta!$A$3:$A$24,0),1)*INDEX(Työkonekanta!$H$3:$H$27,MATCH($A30,Työkonekanta!$A$3:$A$24,0),1)*(1+s0b_kasvu*($C30-2019))*$B30,0)</f>
        <v>0</v>
      </c>
      <c r="F30" s="145">
        <f t="shared" si="0"/>
        <v>0</v>
      </c>
      <c r="G30" s="145">
        <f t="shared" si="14"/>
        <v>0</v>
      </c>
      <c r="H30" s="145">
        <f t="shared" si="15"/>
        <v>0</v>
      </c>
      <c r="I30" s="145">
        <f t="shared" si="1"/>
        <v>0</v>
      </c>
      <c r="J30" s="145">
        <f t="shared" si="2"/>
        <v>0</v>
      </c>
      <c r="K30" s="142" t="str">
        <f t="shared" si="16"/>
        <v>undefined</v>
      </c>
      <c r="L30" s="146">
        <f>IFERROR(INDEX(Työkonekanta!$I$3:$I$27,MATCH('S0b Baseline kasvu'!$A30,Työkonekanta!$A$3:$A$24,0),1)*(I30+J30)*f_adblue,0)</f>
        <v>0</v>
      </c>
      <c r="M30" s="146">
        <f t="shared" si="3"/>
        <v>0</v>
      </c>
      <c r="N30" s="143" t="str">
        <f>IF(tuulisähkö_vuosi&lt;='S0b Baseline kasvu'!C30,"tuulisähkö",ostosähkö_nyt)</f>
        <v>jäännössähkö</v>
      </c>
      <c r="O30" s="147">
        <f>INDEX(Muuttujat!$J$5:$J$21,MATCH($C30,Muuttujat!$H$5:$H$21,0),1)</f>
        <v>69.24722222222222</v>
      </c>
      <c r="P30" s="342">
        <f>1-(INDEX(Muuttujat!$O$5:$O$21,MATCH($C30,Muuttujat!$N$5:$N$21,0),1))</f>
        <v>1</v>
      </c>
      <c r="Q30" s="342">
        <f>INDEX(Muuttujat!$O$5:$O$21,MATCH($C30,Muuttujat!$N$5:$N$21,0),1)</f>
        <v>0</v>
      </c>
      <c r="R30" s="148">
        <f>INDEX(Muuttujat!$P$5:$P$21,MATCH($C30,Muuttujat!$N$5:$N$21,0),1)</f>
        <v>0</v>
      </c>
      <c r="S30" s="149">
        <f t="shared" si="4"/>
        <v>0</v>
      </c>
      <c r="T30" s="150">
        <f t="shared" si="5"/>
        <v>0</v>
      </c>
      <c r="U30" s="150">
        <f t="shared" si="6"/>
        <v>0</v>
      </c>
      <c r="V30" s="150">
        <f>IFERROR(INDEX(Työkonekanta!$J$3:$J$27,MATCH($A30,Työkonekanta!$A$3:$A$24,0),1)*$B30*ef_li_ion_akku/1000/1000/INDEX(Työkonekanta!$K$3:$K$27,MATCH($A30,Työkonekanta!$A$3:$A$24,0)),0)</f>
        <v>0</v>
      </c>
      <c r="W30" s="149">
        <f t="shared" si="7"/>
        <v>0</v>
      </c>
      <c r="X30" s="150">
        <f t="shared" si="8"/>
        <v>0</v>
      </c>
      <c r="Y30" s="151">
        <f t="shared" si="9"/>
        <v>0</v>
      </c>
      <c r="Z30" s="152">
        <f t="shared" si="17"/>
        <v>0</v>
      </c>
      <c r="AA30" s="179">
        <f t="shared" si="18"/>
        <v>0</v>
      </c>
      <c r="AB30" s="179">
        <f t="shared" si="19"/>
        <v>0</v>
      </c>
      <c r="AC30" s="180">
        <f t="shared" si="10"/>
        <v>0</v>
      </c>
      <c r="AD30" s="156">
        <f t="shared" si="20"/>
        <v>0</v>
      </c>
      <c r="AE30" s="146">
        <f>IFERROR(INDEX(Työkonekanta!$L$3:$L$30,MATCH($A30,Työkonekanta!$A$3:$A$30,0),1),0)*AF30</f>
        <v>0</v>
      </c>
      <c r="AF30" s="146">
        <f>IFERROR(INDEX(Työkonekanta!$N$3:$N$32,MATCH($A30,Työkonekanta!$A$3:$A$32,0),1),0)</f>
        <v>0</v>
      </c>
      <c r="AG30" s="332">
        <f>I30*INDEX(Muuttujat!$U$5:$U$21,MATCH($C30,Muuttujat!$N$5:$N$21,0),1)</f>
        <v>0</v>
      </c>
      <c r="AH30" s="332">
        <f>J30*INDEX(Muuttujat!$T$5:$T$21,MATCH($C30,Muuttujat!$N$5:$N$21,0),1)</f>
        <v>0</v>
      </c>
      <c r="AI30" s="332">
        <f t="shared" si="11"/>
        <v>0</v>
      </c>
      <c r="AJ30" s="332">
        <f t="shared" si="12"/>
        <v>0</v>
      </c>
      <c r="AK30" s="332">
        <f t="shared" si="21"/>
        <v>0</v>
      </c>
      <c r="AL30" s="332">
        <f t="shared" si="13"/>
        <v>0</v>
      </c>
    </row>
    <row r="31" spans="1:38">
      <c r="A31" s="139">
        <v>29</v>
      </c>
      <c r="B31" s="139">
        <f>IFERROR(INDEX(Työkonekanta!$F$3:$F$27,MATCH('S0b Baseline kasvu'!$A31,Työkonekanta!$A$3:$A$24,0),1),0)</f>
        <v>0</v>
      </c>
      <c r="C31" s="140">
        <v>2019</v>
      </c>
      <c r="D31" s="141" t="str">
        <f>IFERROR(INDEX(Työkonekanta!$D$3:$D$27,MATCH('S0b Baseline kasvu'!$A31,Työkonekanta!$A$3:$A$24,0),1),"undefined")</f>
        <v>undefined</v>
      </c>
      <c r="E31" s="145">
        <f>IFERROR(INDEX(Työkonekanta!$G$3:$G$27,MATCH($A31,Työkonekanta!$A$3:$A$24,0),1)*INDEX(Työkonekanta!$H$3:$H$27,MATCH($A31,Työkonekanta!$A$3:$A$24,0),1)*(1+s0b_kasvu*($C31-2019))*$B31,0)</f>
        <v>0</v>
      </c>
      <c r="F31" s="145">
        <f t="shared" si="0"/>
        <v>0</v>
      </c>
      <c r="G31" s="145">
        <f t="shared" si="14"/>
        <v>0</v>
      </c>
      <c r="H31" s="145">
        <f t="shared" si="15"/>
        <v>0</v>
      </c>
      <c r="I31" s="145">
        <f t="shared" si="1"/>
        <v>0</v>
      </c>
      <c r="J31" s="145">
        <f t="shared" si="2"/>
        <v>0</v>
      </c>
      <c r="K31" s="142" t="str">
        <f t="shared" si="16"/>
        <v>undefined</v>
      </c>
      <c r="L31" s="146">
        <f>IFERROR(INDEX(Työkonekanta!$I$3:$I$27,MATCH('S0b Baseline kasvu'!$A31,Työkonekanta!$A$3:$A$24,0),1)*(I31+J31)*f_adblue,0)</f>
        <v>0</v>
      </c>
      <c r="M31" s="146">
        <f t="shared" si="3"/>
        <v>0</v>
      </c>
      <c r="N31" s="143" t="str">
        <f>IF(tuulisähkö_vuosi&lt;='S0b Baseline kasvu'!C31,"tuulisähkö",ostosähkö_nyt)</f>
        <v>jäännössähkö</v>
      </c>
      <c r="O31" s="147">
        <f>INDEX(Muuttujat!$J$5:$J$21,MATCH($C31,Muuttujat!$H$5:$H$21,0),1)</f>
        <v>69.24722222222222</v>
      </c>
      <c r="P31" s="342">
        <f>1-(INDEX(Muuttujat!$O$5:$O$21,MATCH($C31,Muuttujat!$N$5:$N$21,0),1))</f>
        <v>1</v>
      </c>
      <c r="Q31" s="342">
        <f>INDEX(Muuttujat!$O$5:$O$21,MATCH($C31,Muuttujat!$N$5:$N$21,0),1)</f>
        <v>0</v>
      </c>
      <c r="R31" s="148">
        <f>INDEX(Muuttujat!$P$5:$P$21,MATCH($C31,Muuttujat!$N$5:$N$21,0),1)</f>
        <v>0</v>
      </c>
      <c r="S31" s="149">
        <f t="shared" si="4"/>
        <v>0</v>
      </c>
      <c r="T31" s="150">
        <f t="shared" si="5"/>
        <v>0</v>
      </c>
      <c r="U31" s="150">
        <f t="shared" si="6"/>
        <v>0</v>
      </c>
      <c r="V31" s="150">
        <f>IFERROR(INDEX(Työkonekanta!$J$3:$J$27,MATCH($A31,Työkonekanta!$A$3:$A$24,0),1)*$B31*ef_li_ion_akku/1000/1000/INDEX(Työkonekanta!$K$3:$K$27,MATCH($A31,Työkonekanta!$A$3:$A$24,0)),0)</f>
        <v>0</v>
      </c>
      <c r="W31" s="149">
        <f t="shared" si="7"/>
        <v>0</v>
      </c>
      <c r="X31" s="150">
        <f t="shared" si="8"/>
        <v>0</v>
      </c>
      <c r="Y31" s="151">
        <f t="shared" si="9"/>
        <v>0</v>
      </c>
      <c r="Z31" s="152">
        <f t="shared" si="17"/>
        <v>0</v>
      </c>
      <c r="AA31" s="179">
        <f t="shared" si="18"/>
        <v>0</v>
      </c>
      <c r="AB31" s="179">
        <f t="shared" si="19"/>
        <v>0</v>
      </c>
      <c r="AC31" s="180">
        <f t="shared" si="10"/>
        <v>0</v>
      </c>
      <c r="AD31" s="156">
        <f t="shared" si="20"/>
        <v>0</v>
      </c>
      <c r="AE31" s="146">
        <f>IFERROR(INDEX(Työkonekanta!$L$3:$L$30,MATCH($A31,Työkonekanta!$A$3:$A$30,0),1),0)*AF31</f>
        <v>0</v>
      </c>
      <c r="AF31" s="146">
        <f>IFERROR(INDEX(Työkonekanta!$N$3:$N$32,MATCH($A31,Työkonekanta!$A$3:$A$32,0),1),0)</f>
        <v>0</v>
      </c>
      <c r="AG31" s="332">
        <f>I31*INDEX(Muuttujat!$U$5:$U$21,MATCH($C31,Muuttujat!$N$5:$N$21,0),1)</f>
        <v>0</v>
      </c>
      <c r="AH31" s="332">
        <f>J31*INDEX(Muuttujat!$T$5:$T$21,MATCH($C31,Muuttujat!$N$5:$N$21,0),1)</f>
        <v>0</v>
      </c>
      <c r="AI31" s="332">
        <f t="shared" si="11"/>
        <v>0</v>
      </c>
      <c r="AJ31" s="332">
        <f t="shared" si="12"/>
        <v>0</v>
      </c>
      <c r="AK31" s="332">
        <f t="shared" si="21"/>
        <v>0</v>
      </c>
      <c r="AL31" s="332">
        <f t="shared" si="13"/>
        <v>0</v>
      </c>
    </row>
    <row r="32" spans="1:38">
      <c r="A32" s="139">
        <v>30</v>
      </c>
      <c r="B32" s="139">
        <f>IFERROR(INDEX(Työkonekanta!$F$3:$F$27,MATCH('S0b Baseline kasvu'!$A32,Työkonekanta!$A$3:$A$24,0),1),0)</f>
        <v>0</v>
      </c>
      <c r="C32" s="140">
        <v>2019</v>
      </c>
      <c r="D32" s="141" t="str">
        <f>IFERROR(INDEX(Työkonekanta!$D$3:$D$27,MATCH('S0b Baseline kasvu'!$A32,Työkonekanta!$A$3:$A$24,0),1),"undefined")</f>
        <v>undefined</v>
      </c>
      <c r="E32" s="145">
        <f>IFERROR(INDEX(Työkonekanta!$G$3:$G$27,MATCH($A32,Työkonekanta!$A$3:$A$24,0),1)*INDEX(Työkonekanta!$H$3:$H$27,MATCH($A32,Työkonekanta!$A$3:$A$24,0),1)*(1+s0b_kasvu*($C32-2019))*$B32,0)</f>
        <v>0</v>
      </c>
      <c r="F32" s="145">
        <f t="shared" si="0"/>
        <v>0</v>
      </c>
      <c r="G32" s="145">
        <f t="shared" si="14"/>
        <v>0</v>
      </c>
      <c r="H32" s="145">
        <f t="shared" si="15"/>
        <v>0</v>
      </c>
      <c r="I32" s="145">
        <f t="shared" si="1"/>
        <v>0</v>
      </c>
      <c r="J32" s="145">
        <f t="shared" si="2"/>
        <v>0</v>
      </c>
      <c r="K32" s="142" t="str">
        <f t="shared" si="16"/>
        <v>undefined</v>
      </c>
      <c r="L32" s="146">
        <f>IFERROR(INDEX(Työkonekanta!$I$3:$I$27,MATCH('S0b Baseline kasvu'!$A32,Työkonekanta!$A$3:$A$24,0),1)*(I32+J32)*f_adblue,0)</f>
        <v>0</v>
      </c>
      <c r="M32" s="146">
        <f t="shared" si="3"/>
        <v>0</v>
      </c>
      <c r="N32" s="143" t="str">
        <f>IF(tuulisähkö_vuosi&lt;='S0b Baseline kasvu'!C32,"tuulisähkö",ostosähkö_nyt)</f>
        <v>jäännössähkö</v>
      </c>
      <c r="O32" s="147">
        <f>INDEX(Muuttujat!$J$5:$J$21,MATCH($C32,Muuttujat!$H$5:$H$21,0),1)</f>
        <v>69.24722222222222</v>
      </c>
      <c r="P32" s="342">
        <f>1-(INDEX(Muuttujat!$O$5:$O$21,MATCH($C32,Muuttujat!$N$5:$N$21,0),1))</f>
        <v>1</v>
      </c>
      <c r="Q32" s="342">
        <f>INDEX(Muuttujat!$O$5:$O$21,MATCH($C32,Muuttujat!$N$5:$N$21,0),1)</f>
        <v>0</v>
      </c>
      <c r="R32" s="148">
        <f>INDEX(Muuttujat!$P$5:$P$21,MATCH($C32,Muuttujat!$N$5:$N$21,0),1)</f>
        <v>0</v>
      </c>
      <c r="S32" s="149">
        <f t="shared" si="4"/>
        <v>0</v>
      </c>
      <c r="T32" s="150">
        <f t="shared" si="5"/>
        <v>0</v>
      </c>
      <c r="U32" s="150">
        <f t="shared" si="6"/>
        <v>0</v>
      </c>
      <c r="V32" s="150">
        <f>IFERROR(INDEX(Työkonekanta!$J$3:$J$27,MATCH($A32,Työkonekanta!$A$3:$A$24,0),1)*$B32*ef_li_ion_akku/1000/1000/INDEX(Työkonekanta!$K$3:$K$27,MATCH($A32,Työkonekanta!$A$3:$A$24,0)),0)</f>
        <v>0</v>
      </c>
      <c r="W32" s="149">
        <f t="shared" si="7"/>
        <v>0</v>
      </c>
      <c r="X32" s="150">
        <f t="shared" si="8"/>
        <v>0</v>
      </c>
      <c r="Y32" s="151">
        <f t="shared" si="9"/>
        <v>0</v>
      </c>
      <c r="Z32" s="152">
        <f t="shared" si="17"/>
        <v>0</v>
      </c>
      <c r="AA32" s="179">
        <f t="shared" si="18"/>
        <v>0</v>
      </c>
      <c r="AB32" s="179">
        <f t="shared" si="19"/>
        <v>0</v>
      </c>
      <c r="AC32" s="180">
        <f t="shared" si="10"/>
        <v>0</v>
      </c>
      <c r="AD32" s="156">
        <f t="shared" si="20"/>
        <v>0</v>
      </c>
      <c r="AE32" s="146">
        <f>IFERROR(INDEX(Työkonekanta!$L$3:$L$30,MATCH($A32,Työkonekanta!$A$3:$A$30,0),1),0)*AF32</f>
        <v>0</v>
      </c>
      <c r="AF32" s="146">
        <f>IFERROR(INDEX(Työkonekanta!$N$3:$N$32,MATCH($A32,Työkonekanta!$A$3:$A$32,0),1),0)</f>
        <v>0</v>
      </c>
      <c r="AG32" s="332">
        <f>I32*INDEX(Muuttujat!$U$5:$U$21,MATCH($C32,Muuttujat!$N$5:$N$21,0),1)</f>
        <v>0</v>
      </c>
      <c r="AH32" s="332">
        <f>J32*INDEX(Muuttujat!$T$5:$T$21,MATCH($C32,Muuttujat!$N$5:$N$21,0),1)</f>
        <v>0</v>
      </c>
      <c r="AI32" s="332">
        <f t="shared" si="11"/>
        <v>0</v>
      </c>
      <c r="AJ32" s="332">
        <f t="shared" si="12"/>
        <v>0</v>
      </c>
      <c r="AK32" s="332">
        <f t="shared" si="21"/>
        <v>0</v>
      </c>
      <c r="AL32" s="332">
        <f t="shared" si="13"/>
        <v>0</v>
      </c>
    </row>
    <row r="33" spans="1:38">
      <c r="A33" s="139">
        <v>1</v>
      </c>
      <c r="B33" s="139">
        <f>IFERROR(INDEX(Työkonekanta!$F$3:$F$27,MATCH('S0b Baseline kasvu'!$A33,Työkonekanta!$A$3:$A$24,0),1),0)</f>
        <v>1</v>
      </c>
      <c r="C33" s="140">
        <v>2020</v>
      </c>
      <c r="D33" s="141" t="str">
        <f>IFERROR(INDEX(Työkonekanta!$D$3:$D$27,MATCH('S0b Baseline kasvu'!$A33,Työkonekanta!$A$3:$A$24,0),1),"undefined")</f>
        <v>pom</v>
      </c>
      <c r="E33" s="145">
        <f>IFERROR(INDEX(Työkonekanta!$G$3:$G$27,MATCH($A33,Työkonekanta!$A$3:$A$24,0),1)*INDEX(Työkonekanta!$H$3:$H$27,MATCH($A33,Työkonekanta!$A$3:$A$24,0),1)*(1+s0b_kasvu*($C33-2019))*$B33,0)</f>
        <v>10100</v>
      </c>
      <c r="F33" s="145">
        <f t="shared" si="0"/>
        <v>362590</v>
      </c>
      <c r="G33" s="145">
        <f t="shared" si="14"/>
        <v>362590</v>
      </c>
      <c r="H33" s="145">
        <f t="shared" si="15"/>
        <v>0</v>
      </c>
      <c r="I33" s="145">
        <f t="shared" si="1"/>
        <v>10100</v>
      </c>
      <c r="J33" s="145">
        <f t="shared" si="2"/>
        <v>0</v>
      </c>
      <c r="K33" s="142" t="str">
        <f t="shared" si="16"/>
        <v>l</v>
      </c>
      <c r="L33" s="146">
        <f>IFERROR(INDEX(Työkonekanta!$I$3:$I$27,MATCH('S0b Baseline kasvu'!$A33,Työkonekanta!$A$3:$A$24,0),1)*(I33+J33)*f_adblue,0)</f>
        <v>505</v>
      </c>
      <c r="M33" s="146">
        <f t="shared" si="3"/>
        <v>0</v>
      </c>
      <c r="N33" s="143" t="str">
        <f>IF(tuulisähkö_vuosi&lt;='S0b Baseline kasvu'!C33,"tuulisähkö",ostosähkö_nyt)</f>
        <v>jäännössähkö</v>
      </c>
      <c r="O33" s="147">
        <f>INDEX(Muuttujat!$J$5:$J$21,MATCH($C33,Muuttujat!$H$5:$H$21,0),1)</f>
        <v>68.554749999999999</v>
      </c>
      <c r="P33" s="342">
        <f>1-(INDEX(Muuttujat!$O$5:$O$21,MATCH($C33,Muuttujat!$N$5:$N$21,0),1))</f>
        <v>1</v>
      </c>
      <c r="Q33" s="342">
        <f>INDEX(Muuttujat!$O$5:$O$21,MATCH($C33,Muuttujat!$N$5:$N$21,0),1)</f>
        <v>0</v>
      </c>
      <c r="R33" s="148">
        <f>INDEX(Muuttujat!$P$5:$P$21,MATCH($C33,Muuttujat!$N$5:$N$21,0),1)</f>
        <v>0</v>
      </c>
      <c r="S33" s="149">
        <f t="shared" si="4"/>
        <v>6.8529509999999991</v>
      </c>
      <c r="T33" s="150">
        <f t="shared" si="5"/>
        <v>0</v>
      </c>
      <c r="U33" s="150">
        <f t="shared" si="6"/>
        <v>0</v>
      </c>
      <c r="V33" s="150">
        <f>IFERROR(INDEX(Työkonekanta!$J$3:$J$27,MATCH($A33,Työkonekanta!$A$3:$A$24,0),1)*$B33*ef_li_ion_akku/1000/1000/INDEX(Työkonekanta!$K$3:$K$27,MATCH($A33,Työkonekanta!$A$3:$A$24,0)),0)</f>
        <v>0</v>
      </c>
      <c r="W33" s="149">
        <f t="shared" si="7"/>
        <v>26.762134918859999</v>
      </c>
      <c r="X33" s="150">
        <f t="shared" si="8"/>
        <v>0.3209231166</v>
      </c>
      <c r="Y33" s="151">
        <f t="shared" si="9"/>
        <v>0.1313</v>
      </c>
      <c r="Z33" s="152">
        <f t="shared" si="17"/>
        <v>6.8529509999999991</v>
      </c>
      <c r="AA33" s="179">
        <f t="shared" si="18"/>
        <v>26.893434918859999</v>
      </c>
      <c r="AB33" s="179">
        <f t="shared" si="19"/>
        <v>27.214358035459998</v>
      </c>
      <c r="AC33" s="180">
        <f t="shared" si="10"/>
        <v>33.74638591886</v>
      </c>
      <c r="AD33" s="156">
        <f t="shared" si="20"/>
        <v>34.067309035459999</v>
      </c>
      <c r="AE33" s="146">
        <f>IFERROR(INDEX(Työkonekanta!$L$3:$L$30,MATCH($A33,Työkonekanta!$A$3:$A$30,0),1),0)*AF33</f>
        <v>500000</v>
      </c>
      <c r="AF33" s="146">
        <f>IFERROR(INDEX(Työkonekanta!$N$3:$N$32,MATCH($A33,Työkonekanta!$A$3:$A$32,0),1),0)</f>
        <v>1</v>
      </c>
      <c r="AG33" s="332">
        <f>I33*INDEX(Muuttujat!$U$5:$U$21,MATCH($C33,Muuttujat!$N$5:$N$21,0),1)</f>
        <v>9797</v>
      </c>
      <c r="AH33" s="332">
        <f>J33*INDEX(Muuttujat!$T$5:$T$21,MATCH($C33,Muuttujat!$N$5:$N$21,0),1)</f>
        <v>0</v>
      </c>
      <c r="AI33" s="332">
        <f t="shared" si="11"/>
        <v>252.5</v>
      </c>
      <c r="AJ33" s="332">
        <f t="shared" si="12"/>
        <v>0</v>
      </c>
      <c r="AK33" s="332">
        <f t="shared" si="21"/>
        <v>10049.5</v>
      </c>
      <c r="AL33" s="332">
        <f t="shared" si="13"/>
        <v>10049.5</v>
      </c>
    </row>
    <row r="34" spans="1:38">
      <c r="A34" s="139">
        <v>2</v>
      </c>
      <c r="B34" s="139">
        <f>IFERROR(INDEX(Työkonekanta!$F$3:$F$27,MATCH('S0b Baseline kasvu'!$A34,Työkonekanta!$A$3:$A$24,0),1),0)</f>
        <v>1</v>
      </c>
      <c r="C34" s="140">
        <v>2020</v>
      </c>
      <c r="D34" s="141" t="str">
        <f>IFERROR(INDEX(Työkonekanta!$D$3:$D$27,MATCH('S0b Baseline kasvu'!$A34,Työkonekanta!$A$3:$A$24,0),1),"undefined")</f>
        <v>pom</v>
      </c>
      <c r="E34" s="145">
        <f>IFERROR(INDEX(Työkonekanta!$G$3:$G$27,MATCH($A34,Työkonekanta!$A$3:$A$24,0),1)*INDEX(Työkonekanta!$H$3:$H$27,MATCH($A34,Työkonekanta!$A$3:$A$24,0),1)*(1+s0b_kasvu*($C34-2019))*$B34,0)</f>
        <v>10100</v>
      </c>
      <c r="F34" s="145">
        <f t="shared" si="0"/>
        <v>362590</v>
      </c>
      <c r="G34" s="145">
        <f t="shared" si="14"/>
        <v>362590</v>
      </c>
      <c r="H34" s="145">
        <f t="shared" si="15"/>
        <v>0</v>
      </c>
      <c r="I34" s="145">
        <f t="shared" si="1"/>
        <v>10100</v>
      </c>
      <c r="J34" s="145">
        <f t="shared" si="2"/>
        <v>0</v>
      </c>
      <c r="K34" s="142" t="str">
        <f t="shared" si="16"/>
        <v>l</v>
      </c>
      <c r="L34" s="146">
        <f>IFERROR(INDEX(Työkonekanta!$I$3:$I$27,MATCH('S0b Baseline kasvu'!$A34,Työkonekanta!$A$3:$A$24,0),1)*(I34+J34)*f_adblue,0)</f>
        <v>505</v>
      </c>
      <c r="M34" s="146">
        <f t="shared" si="3"/>
        <v>0</v>
      </c>
      <c r="N34" s="143" t="str">
        <f>IF(tuulisähkö_vuosi&lt;='S0b Baseline kasvu'!C34,"tuulisähkö",ostosähkö_nyt)</f>
        <v>jäännössähkö</v>
      </c>
      <c r="O34" s="147">
        <f>INDEX(Muuttujat!$J$5:$J$21,MATCH($C34,Muuttujat!$H$5:$H$21,0),1)</f>
        <v>68.554749999999999</v>
      </c>
      <c r="P34" s="342">
        <f>1-(INDEX(Muuttujat!$O$5:$O$21,MATCH($C34,Muuttujat!$N$5:$N$21,0),1))</f>
        <v>1</v>
      </c>
      <c r="Q34" s="342">
        <f>INDEX(Muuttujat!$O$5:$O$21,MATCH($C34,Muuttujat!$N$5:$N$21,0),1)</f>
        <v>0</v>
      </c>
      <c r="R34" s="148">
        <f>INDEX(Muuttujat!$P$5:$P$21,MATCH($C34,Muuttujat!$N$5:$N$21,0),1)</f>
        <v>0</v>
      </c>
      <c r="S34" s="149">
        <f t="shared" si="4"/>
        <v>6.8529509999999991</v>
      </c>
      <c r="T34" s="150">
        <f t="shared" si="5"/>
        <v>0</v>
      </c>
      <c r="U34" s="150">
        <f t="shared" si="6"/>
        <v>0</v>
      </c>
      <c r="V34" s="150">
        <f>IFERROR(INDEX(Työkonekanta!$J$3:$J$27,MATCH($A34,Työkonekanta!$A$3:$A$24,0),1)*$B34*ef_li_ion_akku/1000/1000/INDEX(Työkonekanta!$K$3:$K$27,MATCH($A34,Työkonekanta!$A$3:$A$24,0)),0)</f>
        <v>0</v>
      </c>
      <c r="W34" s="149">
        <f t="shared" si="7"/>
        <v>26.762134918859999</v>
      </c>
      <c r="X34" s="150">
        <f t="shared" si="8"/>
        <v>0.3209231166</v>
      </c>
      <c r="Y34" s="151">
        <f t="shared" si="9"/>
        <v>0.1313</v>
      </c>
      <c r="Z34" s="152">
        <f t="shared" si="17"/>
        <v>6.8529509999999991</v>
      </c>
      <c r="AA34" s="179">
        <f t="shared" si="18"/>
        <v>26.893434918859999</v>
      </c>
      <c r="AB34" s="179">
        <f t="shared" si="19"/>
        <v>27.214358035459998</v>
      </c>
      <c r="AC34" s="180">
        <f t="shared" si="10"/>
        <v>33.74638591886</v>
      </c>
      <c r="AD34" s="156">
        <f t="shared" si="20"/>
        <v>34.067309035459999</v>
      </c>
      <c r="AE34" s="146">
        <f>IFERROR(INDEX(Työkonekanta!$L$3:$L$30,MATCH($A34,Työkonekanta!$A$3:$A$30,0),1),0)*AF34</f>
        <v>500000</v>
      </c>
      <c r="AF34" s="146">
        <f>IFERROR(INDEX(Työkonekanta!$N$3:$N$32,MATCH($A34,Työkonekanta!$A$3:$A$32,0),1),0)</f>
        <v>1</v>
      </c>
      <c r="AG34" s="332">
        <f>I34*INDEX(Muuttujat!$U$5:$U$21,MATCH($C34,Muuttujat!$N$5:$N$21,0),1)</f>
        <v>9797</v>
      </c>
      <c r="AH34" s="332">
        <f>J34*INDEX(Muuttujat!$T$5:$T$21,MATCH($C34,Muuttujat!$N$5:$N$21,0),1)</f>
        <v>0</v>
      </c>
      <c r="AI34" s="332">
        <f t="shared" si="11"/>
        <v>252.5</v>
      </c>
      <c r="AJ34" s="332">
        <f t="shared" si="12"/>
        <v>0</v>
      </c>
      <c r="AK34" s="332">
        <f t="shared" si="21"/>
        <v>10049.5</v>
      </c>
      <c r="AL34" s="332">
        <f t="shared" si="13"/>
        <v>10049.5</v>
      </c>
    </row>
    <row r="35" spans="1:38">
      <c r="A35" s="139">
        <v>3</v>
      </c>
      <c r="B35" s="139">
        <f>IFERROR(INDEX(Työkonekanta!$F$3:$F$27,MATCH('S0b Baseline kasvu'!$A35,Työkonekanta!$A$3:$A$24,0),1),0)</f>
        <v>1</v>
      </c>
      <c r="C35" s="140">
        <v>2020</v>
      </c>
      <c r="D35" s="141" t="str">
        <f>IFERROR(INDEX(Työkonekanta!$D$3:$D$27,MATCH('S0b Baseline kasvu'!$A35,Työkonekanta!$A$3:$A$24,0),1),"undefined")</f>
        <v>pom</v>
      </c>
      <c r="E35" s="145">
        <f>IFERROR(INDEX(Työkonekanta!$G$3:$G$27,MATCH($A35,Työkonekanta!$A$3:$A$24,0),1)*INDEX(Työkonekanta!$H$3:$H$27,MATCH($A35,Työkonekanta!$A$3:$A$24,0),1)*(1+s0b_kasvu*($C35-2019))*$B35,0)</f>
        <v>10100</v>
      </c>
      <c r="F35" s="145">
        <f t="shared" si="0"/>
        <v>362590</v>
      </c>
      <c r="G35" s="145">
        <f t="shared" si="14"/>
        <v>362590</v>
      </c>
      <c r="H35" s="145">
        <f t="shared" si="15"/>
        <v>0</v>
      </c>
      <c r="I35" s="145">
        <f t="shared" si="1"/>
        <v>10100</v>
      </c>
      <c r="J35" s="145">
        <f t="shared" si="2"/>
        <v>0</v>
      </c>
      <c r="K35" s="142" t="str">
        <f t="shared" si="16"/>
        <v>l</v>
      </c>
      <c r="L35" s="146">
        <f>IFERROR(INDEX(Työkonekanta!$I$3:$I$27,MATCH('S0b Baseline kasvu'!$A35,Työkonekanta!$A$3:$A$24,0),1)*(I35+J35)*f_adblue,0)</f>
        <v>505</v>
      </c>
      <c r="M35" s="146">
        <f t="shared" si="3"/>
        <v>0</v>
      </c>
      <c r="N35" s="143" t="str">
        <f>IF(tuulisähkö_vuosi&lt;='S0b Baseline kasvu'!C35,"tuulisähkö",ostosähkö_nyt)</f>
        <v>jäännössähkö</v>
      </c>
      <c r="O35" s="147">
        <f>INDEX(Muuttujat!$J$5:$J$21,MATCH($C35,Muuttujat!$H$5:$H$21,0),1)</f>
        <v>68.554749999999999</v>
      </c>
      <c r="P35" s="342">
        <f>1-(INDEX(Muuttujat!$O$5:$O$21,MATCH($C35,Muuttujat!$N$5:$N$21,0),1))</f>
        <v>1</v>
      </c>
      <c r="Q35" s="342">
        <f>INDEX(Muuttujat!$O$5:$O$21,MATCH($C35,Muuttujat!$N$5:$N$21,0),1)</f>
        <v>0</v>
      </c>
      <c r="R35" s="148">
        <f>INDEX(Muuttujat!$P$5:$P$21,MATCH($C35,Muuttujat!$N$5:$N$21,0),1)</f>
        <v>0</v>
      </c>
      <c r="S35" s="149">
        <f t="shared" si="4"/>
        <v>6.8529509999999991</v>
      </c>
      <c r="T35" s="150">
        <f t="shared" si="5"/>
        <v>0</v>
      </c>
      <c r="U35" s="150">
        <f t="shared" si="6"/>
        <v>0</v>
      </c>
      <c r="V35" s="150">
        <f>IFERROR(INDEX(Työkonekanta!$J$3:$J$27,MATCH($A35,Työkonekanta!$A$3:$A$24,0),1)*$B35*ef_li_ion_akku/1000/1000/INDEX(Työkonekanta!$K$3:$K$27,MATCH($A35,Työkonekanta!$A$3:$A$24,0)),0)</f>
        <v>0</v>
      </c>
      <c r="W35" s="149">
        <f t="shared" si="7"/>
        <v>26.762134918859999</v>
      </c>
      <c r="X35" s="150">
        <f t="shared" si="8"/>
        <v>0.3209231166</v>
      </c>
      <c r="Y35" s="151">
        <f t="shared" si="9"/>
        <v>0.1313</v>
      </c>
      <c r="Z35" s="152">
        <f t="shared" si="17"/>
        <v>6.8529509999999991</v>
      </c>
      <c r="AA35" s="179">
        <f t="shared" si="18"/>
        <v>26.893434918859999</v>
      </c>
      <c r="AB35" s="179">
        <f t="shared" si="19"/>
        <v>27.214358035459998</v>
      </c>
      <c r="AC35" s="180">
        <f t="shared" si="10"/>
        <v>33.74638591886</v>
      </c>
      <c r="AD35" s="156">
        <f t="shared" si="20"/>
        <v>34.067309035459999</v>
      </c>
      <c r="AE35" s="146">
        <f>IFERROR(INDEX(Työkonekanta!$L$3:$L$30,MATCH($A35,Työkonekanta!$A$3:$A$30,0),1),0)*AF35</f>
        <v>0</v>
      </c>
      <c r="AF35" s="146">
        <f>IFERROR(INDEX(Työkonekanta!$N$3:$N$32,MATCH($A35,Työkonekanta!$A$3:$A$32,0),1),0)</f>
        <v>0</v>
      </c>
      <c r="AG35" s="332">
        <f>I35*INDEX(Muuttujat!$U$5:$U$21,MATCH($C35,Muuttujat!$N$5:$N$21,0),1)</f>
        <v>9797</v>
      </c>
      <c r="AH35" s="332">
        <f>J35*INDEX(Muuttujat!$T$5:$T$21,MATCH($C35,Muuttujat!$N$5:$N$21,0),1)</f>
        <v>0</v>
      </c>
      <c r="AI35" s="332">
        <f t="shared" si="11"/>
        <v>252.5</v>
      </c>
      <c r="AJ35" s="332">
        <f t="shared" si="12"/>
        <v>0</v>
      </c>
      <c r="AK35" s="332">
        <f t="shared" si="21"/>
        <v>10049.5</v>
      </c>
      <c r="AL35" s="332">
        <f t="shared" si="13"/>
        <v>10049.5</v>
      </c>
    </row>
    <row r="36" spans="1:38">
      <c r="A36" s="139">
        <v>4</v>
      </c>
      <c r="B36" s="139">
        <f>IFERROR(INDEX(Työkonekanta!$F$3:$F$27,MATCH('S0b Baseline kasvu'!$A36,Työkonekanta!$A$3:$A$24,0),1),0)</f>
        <v>1</v>
      </c>
      <c r="C36" s="140">
        <v>2020</v>
      </c>
      <c r="D36" s="141" t="str">
        <f>IFERROR(INDEX(Työkonekanta!$D$3:$D$27,MATCH('S0b Baseline kasvu'!$A36,Työkonekanta!$A$3:$A$24,0),1),"undefined")</f>
        <v>pom</v>
      </c>
      <c r="E36" s="145">
        <f>IFERROR(INDEX(Työkonekanta!$G$3:$G$27,MATCH($A36,Työkonekanta!$A$3:$A$24,0),1)*INDEX(Työkonekanta!$H$3:$H$27,MATCH($A36,Työkonekanta!$A$3:$A$24,0),1)*(1+s0b_kasvu*($C36-2019))*$B36,0)</f>
        <v>10100</v>
      </c>
      <c r="F36" s="145">
        <f t="shared" si="0"/>
        <v>362590</v>
      </c>
      <c r="G36" s="145">
        <f t="shared" si="14"/>
        <v>362590</v>
      </c>
      <c r="H36" s="145">
        <f t="shared" si="15"/>
        <v>0</v>
      </c>
      <c r="I36" s="145">
        <f t="shared" si="1"/>
        <v>10100</v>
      </c>
      <c r="J36" s="145">
        <f t="shared" si="2"/>
        <v>0</v>
      </c>
      <c r="K36" s="142" t="str">
        <f t="shared" si="16"/>
        <v>l</v>
      </c>
      <c r="L36" s="146">
        <f>IFERROR(INDEX(Työkonekanta!$I$3:$I$27,MATCH('S0b Baseline kasvu'!$A36,Työkonekanta!$A$3:$A$24,0),1)*(I36+J36)*f_adblue,0)</f>
        <v>505</v>
      </c>
      <c r="M36" s="146">
        <f t="shared" si="3"/>
        <v>0</v>
      </c>
      <c r="N36" s="143" t="str">
        <f>IF(tuulisähkö_vuosi&lt;='S0b Baseline kasvu'!C36,"tuulisähkö",ostosähkö_nyt)</f>
        <v>jäännössähkö</v>
      </c>
      <c r="O36" s="147">
        <f>INDEX(Muuttujat!$J$5:$J$21,MATCH($C36,Muuttujat!$H$5:$H$21,0),1)</f>
        <v>68.554749999999999</v>
      </c>
      <c r="P36" s="342">
        <f>1-(INDEX(Muuttujat!$O$5:$O$21,MATCH($C36,Muuttujat!$N$5:$N$21,0),1))</f>
        <v>1</v>
      </c>
      <c r="Q36" s="342">
        <f>INDEX(Muuttujat!$O$5:$O$21,MATCH($C36,Muuttujat!$N$5:$N$21,0),1)</f>
        <v>0</v>
      </c>
      <c r="R36" s="148">
        <f>INDEX(Muuttujat!$P$5:$P$21,MATCH($C36,Muuttujat!$N$5:$N$21,0),1)</f>
        <v>0</v>
      </c>
      <c r="S36" s="149">
        <f t="shared" si="4"/>
        <v>6.8529509999999991</v>
      </c>
      <c r="T36" s="150">
        <f t="shared" si="5"/>
        <v>0</v>
      </c>
      <c r="U36" s="150">
        <f t="shared" si="6"/>
        <v>0</v>
      </c>
      <c r="V36" s="150">
        <f>IFERROR(INDEX(Työkonekanta!$J$3:$J$27,MATCH($A36,Työkonekanta!$A$3:$A$24,0),1)*$B36*ef_li_ion_akku/1000/1000/INDEX(Työkonekanta!$K$3:$K$27,MATCH($A36,Työkonekanta!$A$3:$A$24,0)),0)</f>
        <v>0</v>
      </c>
      <c r="W36" s="149">
        <f t="shared" si="7"/>
        <v>26.762134918859999</v>
      </c>
      <c r="X36" s="150">
        <f t="shared" si="8"/>
        <v>0.3209231166</v>
      </c>
      <c r="Y36" s="151">
        <f t="shared" si="9"/>
        <v>0.1313</v>
      </c>
      <c r="Z36" s="152">
        <f t="shared" si="17"/>
        <v>6.8529509999999991</v>
      </c>
      <c r="AA36" s="179">
        <f t="shared" si="18"/>
        <v>26.893434918859999</v>
      </c>
      <c r="AB36" s="179">
        <f t="shared" si="19"/>
        <v>27.214358035459998</v>
      </c>
      <c r="AC36" s="180">
        <f t="shared" si="10"/>
        <v>33.74638591886</v>
      </c>
      <c r="AD36" s="156">
        <f t="shared" si="20"/>
        <v>34.067309035459999</v>
      </c>
      <c r="AE36" s="146">
        <f>IFERROR(INDEX(Työkonekanta!$L$3:$L$30,MATCH($A36,Työkonekanta!$A$3:$A$30,0),1),0)*AF36</f>
        <v>0</v>
      </c>
      <c r="AF36" s="146">
        <f>IFERROR(INDEX(Työkonekanta!$N$3:$N$32,MATCH($A36,Työkonekanta!$A$3:$A$32,0),1),0)</f>
        <v>0</v>
      </c>
      <c r="AG36" s="332">
        <f>I36*INDEX(Muuttujat!$U$5:$U$21,MATCH($C36,Muuttujat!$N$5:$N$21,0),1)</f>
        <v>9797</v>
      </c>
      <c r="AH36" s="332">
        <f>J36*INDEX(Muuttujat!$T$5:$T$21,MATCH($C36,Muuttujat!$N$5:$N$21,0),1)</f>
        <v>0</v>
      </c>
      <c r="AI36" s="332">
        <f t="shared" si="11"/>
        <v>252.5</v>
      </c>
      <c r="AJ36" s="332">
        <f t="shared" si="12"/>
        <v>0</v>
      </c>
      <c r="AK36" s="332">
        <f t="shared" si="21"/>
        <v>10049.5</v>
      </c>
      <c r="AL36" s="332">
        <f t="shared" si="13"/>
        <v>10049.5</v>
      </c>
    </row>
    <row r="37" spans="1:38">
      <c r="A37" s="139">
        <v>5</v>
      </c>
      <c r="B37" s="139">
        <f>IFERROR(INDEX(Työkonekanta!$F$3:$F$27,MATCH('S0b Baseline kasvu'!$A37,Työkonekanta!$A$3:$A$24,0),1),0)</f>
        <v>0</v>
      </c>
      <c r="C37" s="140">
        <v>2020</v>
      </c>
      <c r="D37" s="141" t="str">
        <f>IFERROR(INDEX(Työkonekanta!$D$3:$D$27,MATCH('S0b Baseline kasvu'!$A37,Työkonekanta!$A$3:$A$24,0),1),"undefined")</f>
        <v>sähkö</v>
      </c>
      <c r="E37" s="145">
        <f>IFERROR(INDEX(Työkonekanta!$G$3:$G$27,MATCH($A37,Työkonekanta!$A$3:$A$24,0),1)*INDEX(Työkonekanta!$H$3:$H$27,MATCH($A37,Työkonekanta!$A$3:$A$24,0),1)*(1+s0b_kasvu*($C37-2019))*$B37,0)</f>
        <v>0</v>
      </c>
      <c r="F37" s="145">
        <f t="shared" si="0"/>
        <v>0</v>
      </c>
      <c r="G37" s="145">
        <f t="shared" si="14"/>
        <v>0</v>
      </c>
      <c r="H37" s="145">
        <f t="shared" si="15"/>
        <v>0</v>
      </c>
      <c r="I37" s="145">
        <f t="shared" si="1"/>
        <v>0</v>
      </c>
      <c r="J37" s="145">
        <f t="shared" si="2"/>
        <v>0</v>
      </c>
      <c r="K37" s="142" t="str">
        <f t="shared" si="16"/>
        <v>kWh</v>
      </c>
      <c r="L37" s="146">
        <f>IFERROR(INDEX(Työkonekanta!$I$3:$I$27,MATCH('S0b Baseline kasvu'!$A37,Työkonekanta!$A$3:$A$24,0),1)*(I37+J37)*f_adblue,0)</f>
        <v>0</v>
      </c>
      <c r="M37" s="146">
        <f t="shared" si="3"/>
        <v>0</v>
      </c>
      <c r="N37" s="143" t="str">
        <f>IF(tuulisähkö_vuosi&lt;='S0b Baseline kasvu'!C37,"tuulisähkö",ostosähkö_nyt)</f>
        <v>jäännössähkö</v>
      </c>
      <c r="O37" s="147">
        <f>INDEX(Muuttujat!$J$5:$J$21,MATCH($C37,Muuttujat!$H$5:$H$21,0),1)</f>
        <v>68.554749999999999</v>
      </c>
      <c r="P37" s="342">
        <f>1-(INDEX(Muuttujat!$O$5:$O$21,MATCH($C37,Muuttujat!$N$5:$N$21,0),1))</f>
        <v>1</v>
      </c>
      <c r="Q37" s="342">
        <f>INDEX(Muuttujat!$O$5:$O$21,MATCH($C37,Muuttujat!$N$5:$N$21,0),1)</f>
        <v>0</v>
      </c>
      <c r="R37" s="148">
        <f>INDEX(Muuttujat!$P$5:$P$21,MATCH($C37,Muuttujat!$N$5:$N$21,0),1)</f>
        <v>0</v>
      </c>
      <c r="S37" s="149">
        <f t="shared" si="4"/>
        <v>0</v>
      </c>
      <c r="T37" s="150">
        <f t="shared" si="5"/>
        <v>0</v>
      </c>
      <c r="U37" s="150">
        <f t="shared" si="6"/>
        <v>0</v>
      </c>
      <c r="V37" s="150">
        <f>IFERROR(INDEX(Työkonekanta!$J$3:$J$27,MATCH($A37,Työkonekanta!$A$3:$A$24,0),1)*$B37*ef_li_ion_akku/1000/1000/INDEX(Työkonekanta!$K$3:$K$27,MATCH($A37,Työkonekanta!$A$3:$A$24,0)),0)</f>
        <v>0</v>
      </c>
      <c r="W37" s="149">
        <f t="shared" si="7"/>
        <v>0</v>
      </c>
      <c r="X37" s="150">
        <f t="shared" si="8"/>
        <v>0</v>
      </c>
      <c r="Y37" s="151">
        <f t="shared" si="9"/>
        <v>0</v>
      </c>
      <c r="Z37" s="152">
        <f t="shared" si="17"/>
        <v>0</v>
      </c>
      <c r="AA37" s="179">
        <f t="shared" si="18"/>
        <v>0</v>
      </c>
      <c r="AB37" s="179">
        <f t="shared" si="19"/>
        <v>0</v>
      </c>
      <c r="AC37" s="180">
        <f t="shared" si="10"/>
        <v>0</v>
      </c>
      <c r="AD37" s="156">
        <f t="shared" si="20"/>
        <v>0</v>
      </c>
      <c r="AE37" s="146">
        <f>IFERROR(INDEX(Työkonekanta!$L$3:$L$30,MATCH($A37,Työkonekanta!$A$3:$A$30,0),1),0)*AF37</f>
        <v>0</v>
      </c>
      <c r="AF37" s="146">
        <f>IFERROR(INDEX(Työkonekanta!$N$3:$N$32,MATCH($A37,Työkonekanta!$A$3:$A$32,0),1),0)</f>
        <v>0</v>
      </c>
      <c r="AG37" s="332">
        <f>I37*INDEX(Muuttujat!$U$5:$U$21,MATCH($C37,Muuttujat!$N$5:$N$21,0),1)</f>
        <v>0</v>
      </c>
      <c r="AH37" s="332">
        <f>J37*INDEX(Muuttujat!$T$5:$T$21,MATCH($C37,Muuttujat!$N$5:$N$21,0),1)</f>
        <v>0</v>
      </c>
      <c r="AI37" s="332">
        <f t="shared" si="11"/>
        <v>0</v>
      </c>
      <c r="AJ37" s="332">
        <f t="shared" si="12"/>
        <v>0</v>
      </c>
      <c r="AK37" s="332">
        <f t="shared" si="21"/>
        <v>0</v>
      </c>
      <c r="AL37" s="332">
        <f t="shared" si="13"/>
        <v>0</v>
      </c>
    </row>
    <row r="38" spans="1:38">
      <c r="A38" s="139">
        <v>6</v>
      </c>
      <c r="B38" s="139">
        <f>IFERROR(INDEX(Työkonekanta!$F$3:$F$27,MATCH('S0b Baseline kasvu'!$A38,Työkonekanta!$A$3:$A$24,0),1),0)</f>
        <v>0</v>
      </c>
      <c r="C38" s="140">
        <v>2020</v>
      </c>
      <c r="D38" s="141" t="str">
        <f>IFERROR(INDEX(Työkonekanta!$D$3:$D$27,MATCH('S0b Baseline kasvu'!$A38,Työkonekanta!$A$3:$A$24,0),1),"undefined")</f>
        <v>sähkö</v>
      </c>
      <c r="E38" s="145">
        <f>IFERROR(INDEX(Työkonekanta!$G$3:$G$27,MATCH($A38,Työkonekanta!$A$3:$A$24,0),1)*INDEX(Työkonekanta!$H$3:$H$27,MATCH($A38,Työkonekanta!$A$3:$A$24,0),1)*(1+s0b_kasvu*($C38-2019))*$B38,0)</f>
        <v>0</v>
      </c>
      <c r="F38" s="145">
        <f t="shared" si="0"/>
        <v>0</v>
      </c>
      <c r="G38" s="145">
        <f t="shared" si="14"/>
        <v>0</v>
      </c>
      <c r="H38" s="145">
        <f t="shared" si="15"/>
        <v>0</v>
      </c>
      <c r="I38" s="145">
        <f t="shared" si="1"/>
        <v>0</v>
      </c>
      <c r="J38" s="145">
        <f t="shared" si="2"/>
        <v>0</v>
      </c>
      <c r="K38" s="142" t="str">
        <f t="shared" si="16"/>
        <v>kWh</v>
      </c>
      <c r="L38" s="146">
        <f>IFERROR(INDEX(Työkonekanta!$I$3:$I$27,MATCH('S0b Baseline kasvu'!$A38,Työkonekanta!$A$3:$A$24,0),1)*(I38+J38)*f_adblue,0)</f>
        <v>0</v>
      </c>
      <c r="M38" s="146">
        <f t="shared" si="3"/>
        <v>0</v>
      </c>
      <c r="N38" s="143" t="str">
        <f>IF(tuulisähkö_vuosi&lt;='S0b Baseline kasvu'!C38,"tuulisähkö",ostosähkö_nyt)</f>
        <v>jäännössähkö</v>
      </c>
      <c r="O38" s="147">
        <f>INDEX(Muuttujat!$J$5:$J$21,MATCH($C38,Muuttujat!$H$5:$H$21,0),1)</f>
        <v>68.554749999999999</v>
      </c>
      <c r="P38" s="342">
        <f>1-(INDEX(Muuttujat!$O$5:$O$21,MATCH($C38,Muuttujat!$N$5:$N$21,0),1))</f>
        <v>1</v>
      </c>
      <c r="Q38" s="342">
        <f>INDEX(Muuttujat!$O$5:$O$21,MATCH($C38,Muuttujat!$N$5:$N$21,0),1)</f>
        <v>0</v>
      </c>
      <c r="R38" s="148">
        <f>INDEX(Muuttujat!$P$5:$P$21,MATCH($C38,Muuttujat!$N$5:$N$21,0),1)</f>
        <v>0</v>
      </c>
      <c r="S38" s="149">
        <f t="shared" si="4"/>
        <v>0</v>
      </c>
      <c r="T38" s="150">
        <f t="shared" si="5"/>
        <v>0</v>
      </c>
      <c r="U38" s="150">
        <f t="shared" si="6"/>
        <v>0</v>
      </c>
      <c r="V38" s="150">
        <f>IFERROR(INDEX(Työkonekanta!$J$3:$J$27,MATCH($A38,Työkonekanta!$A$3:$A$24,0),1)*$B38*ef_li_ion_akku/1000/1000/INDEX(Työkonekanta!$K$3:$K$27,MATCH($A38,Työkonekanta!$A$3:$A$24,0)),0)</f>
        <v>0</v>
      </c>
      <c r="W38" s="149">
        <f t="shared" si="7"/>
        <v>0</v>
      </c>
      <c r="X38" s="150">
        <f t="shared" si="8"/>
        <v>0</v>
      </c>
      <c r="Y38" s="151">
        <f t="shared" si="9"/>
        <v>0</v>
      </c>
      <c r="Z38" s="152">
        <f t="shared" si="17"/>
        <v>0</v>
      </c>
      <c r="AA38" s="179">
        <f t="shared" si="18"/>
        <v>0</v>
      </c>
      <c r="AB38" s="179">
        <f t="shared" si="19"/>
        <v>0</v>
      </c>
      <c r="AC38" s="180">
        <f t="shared" si="10"/>
        <v>0</v>
      </c>
      <c r="AD38" s="156">
        <f t="shared" si="20"/>
        <v>0</v>
      </c>
      <c r="AE38" s="146">
        <f>IFERROR(INDEX(Työkonekanta!$L$3:$L$30,MATCH($A38,Työkonekanta!$A$3:$A$30,0),1),0)*AF38</f>
        <v>0</v>
      </c>
      <c r="AF38" s="146">
        <f>IFERROR(INDEX(Työkonekanta!$N$3:$N$32,MATCH($A38,Työkonekanta!$A$3:$A$32,0),1),0)</f>
        <v>0</v>
      </c>
      <c r="AG38" s="332">
        <f>I38*INDEX(Muuttujat!$U$5:$U$21,MATCH($C38,Muuttujat!$N$5:$N$21,0),1)</f>
        <v>0</v>
      </c>
      <c r="AH38" s="332">
        <f>J38*INDEX(Muuttujat!$T$5:$T$21,MATCH($C38,Muuttujat!$N$5:$N$21,0),1)</f>
        <v>0</v>
      </c>
      <c r="AI38" s="332">
        <f t="shared" si="11"/>
        <v>0</v>
      </c>
      <c r="AJ38" s="332">
        <f t="shared" si="12"/>
        <v>0</v>
      </c>
      <c r="AK38" s="332">
        <f t="shared" si="21"/>
        <v>0</v>
      </c>
      <c r="AL38" s="332">
        <f t="shared" si="13"/>
        <v>0</v>
      </c>
    </row>
    <row r="39" spans="1:38">
      <c r="A39" s="139">
        <v>7</v>
      </c>
      <c r="B39" s="139">
        <f>IFERROR(INDEX(Työkonekanta!$F$3:$F$27,MATCH('S0b Baseline kasvu'!$A39,Työkonekanta!$A$3:$A$24,0),1),0)</f>
        <v>1</v>
      </c>
      <c r="C39" s="140">
        <v>2020</v>
      </c>
      <c r="D39" s="141" t="str">
        <f>IFERROR(INDEX(Työkonekanta!$D$3:$D$27,MATCH('S0b Baseline kasvu'!$A39,Työkonekanta!$A$3:$A$24,0),1),"undefined")</f>
        <v>pom</v>
      </c>
      <c r="E39" s="145">
        <f>IFERROR(INDEX(Työkonekanta!$G$3:$G$27,MATCH($A39,Työkonekanta!$A$3:$A$24,0),1)*INDEX(Työkonekanta!$H$3:$H$27,MATCH($A39,Työkonekanta!$A$3:$A$24,0),1)*(1+s0b_kasvu*($C39-2019))*$B39,0)</f>
        <v>10100</v>
      </c>
      <c r="F39" s="145">
        <f t="shared" si="0"/>
        <v>362590</v>
      </c>
      <c r="G39" s="145">
        <f t="shared" si="14"/>
        <v>362590</v>
      </c>
      <c r="H39" s="145">
        <f t="shared" si="15"/>
        <v>0</v>
      </c>
      <c r="I39" s="145">
        <f t="shared" si="1"/>
        <v>10100</v>
      </c>
      <c r="J39" s="145">
        <f t="shared" si="2"/>
        <v>0</v>
      </c>
      <c r="K39" s="142" t="str">
        <f t="shared" si="16"/>
        <v>l</v>
      </c>
      <c r="L39" s="146">
        <f>IFERROR(INDEX(Työkonekanta!$I$3:$I$27,MATCH('S0b Baseline kasvu'!$A39,Työkonekanta!$A$3:$A$24,0),1)*(I39+J39)*f_adblue,0)</f>
        <v>0</v>
      </c>
      <c r="M39" s="146">
        <f t="shared" si="3"/>
        <v>0</v>
      </c>
      <c r="N39" s="143" t="str">
        <f>IF(tuulisähkö_vuosi&lt;='S0b Baseline kasvu'!C39,"tuulisähkö",ostosähkö_nyt)</f>
        <v>jäännössähkö</v>
      </c>
      <c r="O39" s="147">
        <f>INDEX(Muuttujat!$J$5:$J$21,MATCH($C39,Muuttujat!$H$5:$H$21,0),1)</f>
        <v>68.554749999999999</v>
      </c>
      <c r="P39" s="342">
        <f>1-(INDEX(Muuttujat!$O$5:$O$21,MATCH($C39,Muuttujat!$N$5:$N$21,0),1))</f>
        <v>1</v>
      </c>
      <c r="Q39" s="342">
        <f>INDEX(Muuttujat!$O$5:$O$21,MATCH($C39,Muuttujat!$N$5:$N$21,0),1)</f>
        <v>0</v>
      </c>
      <c r="R39" s="148">
        <f>INDEX(Muuttujat!$P$5:$P$21,MATCH($C39,Muuttujat!$N$5:$N$21,0),1)</f>
        <v>0</v>
      </c>
      <c r="S39" s="149">
        <f t="shared" si="4"/>
        <v>6.8529509999999991</v>
      </c>
      <c r="T39" s="150">
        <f t="shared" si="5"/>
        <v>0</v>
      </c>
      <c r="U39" s="150">
        <f t="shared" si="6"/>
        <v>0</v>
      </c>
      <c r="V39" s="150">
        <f>IFERROR(INDEX(Työkonekanta!$J$3:$J$27,MATCH($A39,Työkonekanta!$A$3:$A$24,0),1)*$B39*ef_li_ion_akku/1000/1000/INDEX(Työkonekanta!$K$3:$K$27,MATCH($A39,Työkonekanta!$A$3:$A$24,0)),0)</f>
        <v>0</v>
      </c>
      <c r="W39" s="149">
        <f t="shared" si="7"/>
        <v>26.762134918859999</v>
      </c>
      <c r="X39" s="150">
        <f t="shared" si="8"/>
        <v>0.3209231166</v>
      </c>
      <c r="Y39" s="151">
        <f t="shared" si="9"/>
        <v>0</v>
      </c>
      <c r="Z39" s="152">
        <f t="shared" si="17"/>
        <v>6.8529509999999991</v>
      </c>
      <c r="AA39" s="179">
        <f t="shared" si="18"/>
        <v>26.762134918859999</v>
      </c>
      <c r="AB39" s="179">
        <f t="shared" si="19"/>
        <v>27.083058035459999</v>
      </c>
      <c r="AC39" s="180">
        <f t="shared" si="10"/>
        <v>33.615085918859997</v>
      </c>
      <c r="AD39" s="156">
        <f t="shared" si="20"/>
        <v>33.936009035459996</v>
      </c>
      <c r="AE39" s="146">
        <f>IFERROR(INDEX(Työkonekanta!$L$3:$L$30,MATCH($A39,Työkonekanta!$A$3:$A$30,0),1),0)*AF39</f>
        <v>500000</v>
      </c>
      <c r="AF39" s="146">
        <f>IFERROR(INDEX(Työkonekanta!$N$3:$N$32,MATCH($A39,Työkonekanta!$A$3:$A$32,0),1),0)</f>
        <v>1</v>
      </c>
      <c r="AG39" s="332">
        <f>I39*INDEX(Muuttujat!$U$5:$U$21,MATCH($C39,Muuttujat!$N$5:$N$21,0),1)</f>
        <v>9797</v>
      </c>
      <c r="AH39" s="332">
        <f>J39*INDEX(Muuttujat!$T$5:$T$21,MATCH($C39,Muuttujat!$N$5:$N$21,0),1)</f>
        <v>0</v>
      </c>
      <c r="AI39" s="332">
        <f t="shared" si="11"/>
        <v>0</v>
      </c>
      <c r="AJ39" s="332">
        <f t="shared" si="12"/>
        <v>0</v>
      </c>
      <c r="AK39" s="332">
        <f t="shared" si="21"/>
        <v>9797</v>
      </c>
      <c r="AL39" s="332">
        <f t="shared" si="13"/>
        <v>9797</v>
      </c>
    </row>
    <row r="40" spans="1:38">
      <c r="A40" s="139">
        <v>8</v>
      </c>
      <c r="B40" s="139">
        <f>IFERROR(INDEX(Työkonekanta!$F$3:$F$27,MATCH('S0b Baseline kasvu'!$A40,Työkonekanta!$A$3:$A$24,0),1),0)</f>
        <v>1</v>
      </c>
      <c r="C40" s="140">
        <v>2020</v>
      </c>
      <c r="D40" s="141" t="str">
        <f>IFERROR(INDEX(Työkonekanta!$D$3:$D$27,MATCH('S0b Baseline kasvu'!$A40,Työkonekanta!$A$3:$A$24,0),1),"undefined")</f>
        <v>pom</v>
      </c>
      <c r="E40" s="145">
        <f>IFERROR(INDEX(Työkonekanta!$G$3:$G$27,MATCH($A40,Työkonekanta!$A$3:$A$24,0),1)*INDEX(Työkonekanta!$H$3:$H$27,MATCH($A40,Työkonekanta!$A$3:$A$24,0),1)*(1+s0b_kasvu*($C40-2019))*$B40,0)</f>
        <v>10100</v>
      </c>
      <c r="F40" s="145">
        <f t="shared" si="0"/>
        <v>362590</v>
      </c>
      <c r="G40" s="145">
        <f t="shared" si="14"/>
        <v>362590</v>
      </c>
      <c r="H40" s="145">
        <f t="shared" si="15"/>
        <v>0</v>
      </c>
      <c r="I40" s="145">
        <f t="shared" si="1"/>
        <v>10100</v>
      </c>
      <c r="J40" s="145">
        <f t="shared" si="2"/>
        <v>0</v>
      </c>
      <c r="K40" s="142" t="str">
        <f t="shared" si="16"/>
        <v>l</v>
      </c>
      <c r="L40" s="146">
        <f>IFERROR(INDEX(Työkonekanta!$I$3:$I$27,MATCH('S0b Baseline kasvu'!$A40,Työkonekanta!$A$3:$A$24,0),1)*(I40+J40)*f_adblue,0)</f>
        <v>505</v>
      </c>
      <c r="M40" s="146">
        <f t="shared" si="3"/>
        <v>0</v>
      </c>
      <c r="N40" s="143" t="str">
        <f>IF(tuulisähkö_vuosi&lt;='S0b Baseline kasvu'!C40,"tuulisähkö",ostosähkö_nyt)</f>
        <v>jäännössähkö</v>
      </c>
      <c r="O40" s="147">
        <f>INDEX(Muuttujat!$J$5:$J$21,MATCH($C40,Muuttujat!$H$5:$H$21,0),1)</f>
        <v>68.554749999999999</v>
      </c>
      <c r="P40" s="342">
        <f>1-(INDEX(Muuttujat!$O$5:$O$21,MATCH($C40,Muuttujat!$N$5:$N$21,0),1))</f>
        <v>1</v>
      </c>
      <c r="Q40" s="342">
        <f>INDEX(Muuttujat!$O$5:$O$21,MATCH($C40,Muuttujat!$N$5:$N$21,0),1)</f>
        <v>0</v>
      </c>
      <c r="R40" s="148">
        <f>INDEX(Muuttujat!$P$5:$P$21,MATCH($C40,Muuttujat!$N$5:$N$21,0),1)</f>
        <v>0</v>
      </c>
      <c r="S40" s="149">
        <f t="shared" si="4"/>
        <v>6.8529509999999991</v>
      </c>
      <c r="T40" s="150">
        <f t="shared" si="5"/>
        <v>0</v>
      </c>
      <c r="U40" s="150">
        <f t="shared" si="6"/>
        <v>0</v>
      </c>
      <c r="V40" s="150">
        <f>IFERROR(INDEX(Työkonekanta!$J$3:$J$27,MATCH($A40,Työkonekanta!$A$3:$A$24,0),1)*$B40*ef_li_ion_akku/1000/1000/INDEX(Työkonekanta!$K$3:$K$27,MATCH($A40,Työkonekanta!$A$3:$A$24,0)),0)</f>
        <v>0</v>
      </c>
      <c r="W40" s="149">
        <f t="shared" si="7"/>
        <v>26.762134918859999</v>
      </c>
      <c r="X40" s="150">
        <f t="shared" si="8"/>
        <v>0.3209231166</v>
      </c>
      <c r="Y40" s="151">
        <f t="shared" si="9"/>
        <v>0.1313</v>
      </c>
      <c r="Z40" s="152">
        <f t="shared" si="17"/>
        <v>6.8529509999999991</v>
      </c>
      <c r="AA40" s="179">
        <f t="shared" si="18"/>
        <v>26.893434918859999</v>
      </c>
      <c r="AB40" s="179">
        <f t="shared" si="19"/>
        <v>27.214358035459998</v>
      </c>
      <c r="AC40" s="180">
        <f t="shared" si="10"/>
        <v>33.74638591886</v>
      </c>
      <c r="AD40" s="156">
        <f t="shared" si="20"/>
        <v>34.067309035459999</v>
      </c>
      <c r="AE40" s="146">
        <f>IFERROR(INDEX(Työkonekanta!$L$3:$L$30,MATCH($A40,Työkonekanta!$A$3:$A$30,0),1),0)*AF40</f>
        <v>500000</v>
      </c>
      <c r="AF40" s="146">
        <f>IFERROR(INDEX(Työkonekanta!$N$3:$N$32,MATCH($A40,Työkonekanta!$A$3:$A$32,0),1),0)</f>
        <v>1</v>
      </c>
      <c r="AG40" s="332">
        <f>I40*INDEX(Muuttujat!$U$5:$U$21,MATCH($C40,Muuttujat!$N$5:$N$21,0),1)</f>
        <v>9797</v>
      </c>
      <c r="AH40" s="332">
        <f>J40*INDEX(Muuttujat!$T$5:$T$21,MATCH($C40,Muuttujat!$N$5:$N$21,0),1)</f>
        <v>0</v>
      </c>
      <c r="AI40" s="332">
        <f t="shared" si="11"/>
        <v>252.5</v>
      </c>
      <c r="AJ40" s="332">
        <f t="shared" si="12"/>
        <v>0</v>
      </c>
      <c r="AK40" s="332">
        <f t="shared" si="21"/>
        <v>10049.5</v>
      </c>
      <c r="AL40" s="332">
        <f t="shared" si="13"/>
        <v>10049.5</v>
      </c>
    </row>
    <row r="41" spans="1:38">
      <c r="A41" s="139">
        <v>9</v>
      </c>
      <c r="B41" s="139">
        <f>IFERROR(INDEX(Työkonekanta!$F$3:$F$27,MATCH('S0b Baseline kasvu'!$A41,Työkonekanta!$A$3:$A$24,0),1),0)</f>
        <v>0</v>
      </c>
      <c r="C41" s="140">
        <v>2020</v>
      </c>
      <c r="D41" s="141" t="str">
        <f>IFERROR(INDEX(Työkonekanta!$D$3:$D$27,MATCH('S0b Baseline kasvu'!$A41,Työkonekanta!$A$3:$A$24,0),1),"undefined")</f>
        <v>sähkö</v>
      </c>
      <c r="E41" s="145">
        <f>IFERROR(INDEX(Työkonekanta!$G$3:$G$27,MATCH($A41,Työkonekanta!$A$3:$A$24,0),1)*INDEX(Työkonekanta!$H$3:$H$27,MATCH($A41,Työkonekanta!$A$3:$A$24,0),1)*(1+s0b_kasvu*($C41-2019))*$B41,0)</f>
        <v>0</v>
      </c>
      <c r="F41" s="145">
        <f t="shared" si="0"/>
        <v>0</v>
      </c>
      <c r="G41" s="145">
        <f t="shared" si="14"/>
        <v>0</v>
      </c>
      <c r="H41" s="145">
        <f t="shared" si="15"/>
        <v>0</v>
      </c>
      <c r="I41" s="145">
        <f t="shared" si="1"/>
        <v>0</v>
      </c>
      <c r="J41" s="145">
        <f t="shared" si="2"/>
        <v>0</v>
      </c>
      <c r="K41" s="142" t="str">
        <f t="shared" si="16"/>
        <v>kWh</v>
      </c>
      <c r="L41" s="146">
        <f>IFERROR(INDEX(Työkonekanta!$I$3:$I$27,MATCH('S0b Baseline kasvu'!$A41,Työkonekanta!$A$3:$A$24,0),1)*(I41+J41)*f_adblue,0)</f>
        <v>0</v>
      </c>
      <c r="M41" s="146">
        <f t="shared" si="3"/>
        <v>0</v>
      </c>
      <c r="N41" s="143" t="str">
        <f>IF(tuulisähkö_vuosi&lt;='S0b Baseline kasvu'!C41,"tuulisähkö",ostosähkö_nyt)</f>
        <v>jäännössähkö</v>
      </c>
      <c r="O41" s="147">
        <f>INDEX(Muuttujat!$J$5:$J$21,MATCH($C41,Muuttujat!$H$5:$H$21,0),1)</f>
        <v>68.554749999999999</v>
      </c>
      <c r="P41" s="342">
        <f>1-(INDEX(Muuttujat!$O$5:$O$21,MATCH($C41,Muuttujat!$N$5:$N$21,0),1))</f>
        <v>1</v>
      </c>
      <c r="Q41" s="342">
        <f>INDEX(Muuttujat!$O$5:$O$21,MATCH($C41,Muuttujat!$N$5:$N$21,0),1)</f>
        <v>0</v>
      </c>
      <c r="R41" s="148">
        <f>INDEX(Muuttujat!$P$5:$P$21,MATCH($C41,Muuttujat!$N$5:$N$21,0),1)</f>
        <v>0</v>
      </c>
      <c r="S41" s="149">
        <f t="shared" si="4"/>
        <v>0</v>
      </c>
      <c r="T41" s="150">
        <f t="shared" si="5"/>
        <v>0</v>
      </c>
      <c r="U41" s="150">
        <f t="shared" si="6"/>
        <v>0</v>
      </c>
      <c r="V41" s="150">
        <f>IFERROR(INDEX(Työkonekanta!$J$3:$J$27,MATCH($A41,Työkonekanta!$A$3:$A$24,0),1)*$B41*ef_li_ion_akku/1000/1000/INDEX(Työkonekanta!$K$3:$K$27,MATCH($A41,Työkonekanta!$A$3:$A$24,0)),0)</f>
        <v>0</v>
      </c>
      <c r="W41" s="149">
        <f t="shared" si="7"/>
        <v>0</v>
      </c>
      <c r="X41" s="150">
        <f t="shared" si="8"/>
        <v>0</v>
      </c>
      <c r="Y41" s="151">
        <f t="shared" si="9"/>
        <v>0</v>
      </c>
      <c r="Z41" s="152">
        <f t="shared" si="17"/>
        <v>0</v>
      </c>
      <c r="AA41" s="179">
        <f t="shared" si="18"/>
        <v>0</v>
      </c>
      <c r="AB41" s="179">
        <f t="shared" si="19"/>
        <v>0</v>
      </c>
      <c r="AC41" s="180">
        <f t="shared" si="10"/>
        <v>0</v>
      </c>
      <c r="AD41" s="156">
        <f t="shared" si="20"/>
        <v>0</v>
      </c>
      <c r="AE41" s="146">
        <f>IFERROR(INDEX(Työkonekanta!$L$3:$L$30,MATCH($A41,Työkonekanta!$A$3:$A$30,0),1),0)*AF41</f>
        <v>0</v>
      </c>
      <c r="AF41" s="146">
        <f>IFERROR(INDEX(Työkonekanta!$N$3:$N$32,MATCH($A41,Työkonekanta!$A$3:$A$32,0),1),0)</f>
        <v>0</v>
      </c>
      <c r="AG41" s="332">
        <f>I41*INDEX(Muuttujat!$U$5:$U$21,MATCH($C41,Muuttujat!$N$5:$N$21,0),1)</f>
        <v>0</v>
      </c>
      <c r="AH41" s="332">
        <f>J41*INDEX(Muuttujat!$T$5:$T$21,MATCH($C41,Muuttujat!$N$5:$N$21,0),1)</f>
        <v>0</v>
      </c>
      <c r="AI41" s="332">
        <f t="shared" si="11"/>
        <v>0</v>
      </c>
      <c r="AJ41" s="332">
        <f t="shared" si="12"/>
        <v>0</v>
      </c>
      <c r="AK41" s="332">
        <f t="shared" si="21"/>
        <v>0</v>
      </c>
      <c r="AL41" s="332">
        <f t="shared" si="13"/>
        <v>0</v>
      </c>
    </row>
    <row r="42" spans="1:38">
      <c r="A42" s="139">
        <v>10</v>
      </c>
      <c r="B42" s="139">
        <f>IFERROR(INDEX(Työkonekanta!$F$3:$F$27,MATCH('S0b Baseline kasvu'!$A42,Työkonekanta!$A$3:$A$24,0),1),0)</f>
        <v>0</v>
      </c>
      <c r="C42" s="140">
        <v>2020</v>
      </c>
      <c r="D42" s="141" t="str">
        <f>IFERROR(INDEX(Työkonekanta!$D$3:$D$27,MATCH('S0b Baseline kasvu'!$A42,Työkonekanta!$A$3:$A$24,0),1),"undefined")</f>
        <v>sähkö</v>
      </c>
      <c r="E42" s="145">
        <f>IFERROR(INDEX(Työkonekanta!$G$3:$G$27,MATCH($A42,Työkonekanta!$A$3:$A$24,0),1)*INDEX(Työkonekanta!$H$3:$H$27,MATCH($A42,Työkonekanta!$A$3:$A$24,0),1)*(1+s0b_kasvu*($C42-2019))*$B42,0)</f>
        <v>0</v>
      </c>
      <c r="F42" s="145">
        <f t="shared" si="0"/>
        <v>0</v>
      </c>
      <c r="G42" s="145">
        <f t="shared" si="14"/>
        <v>0</v>
      </c>
      <c r="H42" s="145">
        <f t="shared" si="15"/>
        <v>0</v>
      </c>
      <c r="I42" s="145">
        <f t="shared" si="1"/>
        <v>0</v>
      </c>
      <c r="J42" s="145">
        <f t="shared" si="2"/>
        <v>0</v>
      </c>
      <c r="K42" s="142" t="str">
        <f t="shared" si="16"/>
        <v>kWh</v>
      </c>
      <c r="L42" s="146">
        <f>IFERROR(INDEX(Työkonekanta!$I$3:$I$27,MATCH('S0b Baseline kasvu'!$A42,Työkonekanta!$A$3:$A$24,0),1)*(I42+J42)*f_adblue,0)</f>
        <v>0</v>
      </c>
      <c r="M42" s="146">
        <f t="shared" si="3"/>
        <v>0</v>
      </c>
      <c r="N42" s="143" t="str">
        <f>IF(tuulisähkö_vuosi&lt;='S0b Baseline kasvu'!C42,"tuulisähkö",ostosähkö_nyt)</f>
        <v>jäännössähkö</v>
      </c>
      <c r="O42" s="147">
        <f>INDEX(Muuttujat!$J$5:$J$21,MATCH($C42,Muuttujat!$H$5:$H$21,0),1)</f>
        <v>68.554749999999999</v>
      </c>
      <c r="P42" s="342">
        <f>1-(INDEX(Muuttujat!$O$5:$O$21,MATCH($C42,Muuttujat!$N$5:$N$21,0),1))</f>
        <v>1</v>
      </c>
      <c r="Q42" s="342">
        <f>INDEX(Muuttujat!$O$5:$O$21,MATCH($C42,Muuttujat!$N$5:$N$21,0),1)</f>
        <v>0</v>
      </c>
      <c r="R42" s="148">
        <f>INDEX(Muuttujat!$P$5:$P$21,MATCH($C42,Muuttujat!$N$5:$N$21,0),1)</f>
        <v>0</v>
      </c>
      <c r="S42" s="149">
        <f t="shared" si="4"/>
        <v>0</v>
      </c>
      <c r="T42" s="150">
        <f t="shared" si="5"/>
        <v>0</v>
      </c>
      <c r="U42" s="150">
        <f t="shared" si="6"/>
        <v>0</v>
      </c>
      <c r="V42" s="150">
        <f>IFERROR(INDEX(Työkonekanta!$J$3:$J$27,MATCH($A42,Työkonekanta!$A$3:$A$24,0),1)*$B42*ef_li_ion_akku/1000/1000/INDEX(Työkonekanta!$K$3:$K$27,MATCH($A42,Työkonekanta!$A$3:$A$24,0)),0)</f>
        <v>0</v>
      </c>
      <c r="W42" s="149">
        <f t="shared" si="7"/>
        <v>0</v>
      </c>
      <c r="X42" s="150">
        <f t="shared" si="8"/>
        <v>0</v>
      </c>
      <c r="Y42" s="151">
        <f t="shared" si="9"/>
        <v>0</v>
      </c>
      <c r="Z42" s="152">
        <f t="shared" si="17"/>
        <v>0</v>
      </c>
      <c r="AA42" s="179">
        <f t="shared" si="18"/>
        <v>0</v>
      </c>
      <c r="AB42" s="179">
        <f t="shared" si="19"/>
        <v>0</v>
      </c>
      <c r="AC42" s="180">
        <f t="shared" si="10"/>
        <v>0</v>
      </c>
      <c r="AD42" s="156">
        <f t="shared" si="20"/>
        <v>0</v>
      </c>
      <c r="AE42" s="146">
        <f>IFERROR(INDEX(Työkonekanta!$L$3:$L$30,MATCH($A42,Työkonekanta!$A$3:$A$30,0),1),0)*AF42</f>
        <v>0</v>
      </c>
      <c r="AF42" s="146">
        <f>IFERROR(INDEX(Työkonekanta!$N$3:$N$32,MATCH($A42,Työkonekanta!$A$3:$A$32,0),1),0)</f>
        <v>0</v>
      </c>
      <c r="AG42" s="332">
        <f>I42*INDEX(Muuttujat!$U$5:$U$21,MATCH($C42,Muuttujat!$N$5:$N$21,0),1)</f>
        <v>0</v>
      </c>
      <c r="AH42" s="332">
        <f>J42*INDEX(Muuttujat!$T$5:$T$21,MATCH($C42,Muuttujat!$N$5:$N$21,0),1)</f>
        <v>0</v>
      </c>
      <c r="AI42" s="332">
        <f t="shared" si="11"/>
        <v>0</v>
      </c>
      <c r="AJ42" s="332">
        <f t="shared" si="12"/>
        <v>0</v>
      </c>
      <c r="AK42" s="332">
        <f t="shared" si="21"/>
        <v>0</v>
      </c>
      <c r="AL42" s="332">
        <f t="shared" si="13"/>
        <v>0</v>
      </c>
    </row>
    <row r="43" spans="1:38">
      <c r="A43" s="139">
        <v>11</v>
      </c>
      <c r="B43" s="139">
        <f>IFERROR(INDEX(Työkonekanta!$F$3:$F$27,MATCH('S0b Baseline kasvu'!$A43,Työkonekanta!$A$3:$A$24,0),1),0)</f>
        <v>1</v>
      </c>
      <c r="C43" s="140">
        <v>2020</v>
      </c>
      <c r="D43" s="141" t="str">
        <f>IFERROR(INDEX(Työkonekanta!$D$3:$D$27,MATCH('S0b Baseline kasvu'!$A43,Työkonekanta!$A$3:$A$24,0),1),"undefined")</f>
        <v>pom</v>
      </c>
      <c r="E43" s="145">
        <f>IFERROR(INDEX(Työkonekanta!$G$3:$G$27,MATCH($A43,Työkonekanta!$A$3:$A$24,0),1)*INDEX(Työkonekanta!$H$3:$H$27,MATCH($A43,Työkonekanta!$A$3:$A$24,0),1)*(1+s0b_kasvu*($C43-2019))*$B43,0)</f>
        <v>10100</v>
      </c>
      <c r="F43" s="145">
        <f t="shared" si="0"/>
        <v>362590</v>
      </c>
      <c r="G43" s="145">
        <f t="shared" si="14"/>
        <v>362590</v>
      </c>
      <c r="H43" s="145">
        <f t="shared" si="15"/>
        <v>0</v>
      </c>
      <c r="I43" s="145">
        <f t="shared" si="1"/>
        <v>10100</v>
      </c>
      <c r="J43" s="145">
        <f t="shared" si="2"/>
        <v>0</v>
      </c>
      <c r="K43" s="142" t="str">
        <f t="shared" si="16"/>
        <v>l</v>
      </c>
      <c r="L43" s="146">
        <f>IFERROR(INDEX(Työkonekanta!$I$3:$I$27,MATCH('S0b Baseline kasvu'!$A43,Työkonekanta!$A$3:$A$24,0),1)*(I43+J43)*f_adblue,0)</f>
        <v>505</v>
      </c>
      <c r="M43" s="146">
        <f t="shared" si="3"/>
        <v>0</v>
      </c>
      <c r="N43" s="143" t="str">
        <f>IF(tuulisähkö_vuosi&lt;='S0b Baseline kasvu'!C43,"tuulisähkö",ostosähkö_nyt)</f>
        <v>jäännössähkö</v>
      </c>
      <c r="O43" s="147">
        <f>INDEX(Muuttujat!$J$5:$J$21,MATCH($C43,Muuttujat!$H$5:$H$21,0),1)</f>
        <v>68.554749999999999</v>
      </c>
      <c r="P43" s="342">
        <f>1-(INDEX(Muuttujat!$O$5:$O$21,MATCH($C43,Muuttujat!$N$5:$N$21,0),1))</f>
        <v>1</v>
      </c>
      <c r="Q43" s="342">
        <f>INDEX(Muuttujat!$O$5:$O$21,MATCH($C43,Muuttujat!$N$5:$N$21,0),1)</f>
        <v>0</v>
      </c>
      <c r="R43" s="148">
        <f>INDEX(Muuttujat!$P$5:$P$21,MATCH($C43,Muuttujat!$N$5:$N$21,0),1)</f>
        <v>0</v>
      </c>
      <c r="S43" s="149">
        <f t="shared" si="4"/>
        <v>6.8529509999999991</v>
      </c>
      <c r="T43" s="150">
        <f t="shared" si="5"/>
        <v>0</v>
      </c>
      <c r="U43" s="150">
        <f t="shared" si="6"/>
        <v>0</v>
      </c>
      <c r="V43" s="150">
        <f>IFERROR(INDEX(Työkonekanta!$J$3:$J$27,MATCH($A43,Työkonekanta!$A$3:$A$24,0),1)*$B43*ef_li_ion_akku/1000/1000/INDEX(Työkonekanta!$K$3:$K$27,MATCH($A43,Työkonekanta!$A$3:$A$24,0)),0)</f>
        <v>0</v>
      </c>
      <c r="W43" s="149">
        <f t="shared" si="7"/>
        <v>26.762134918859999</v>
      </c>
      <c r="X43" s="150">
        <f t="shared" si="8"/>
        <v>0.3209231166</v>
      </c>
      <c r="Y43" s="151">
        <f t="shared" si="9"/>
        <v>0.1313</v>
      </c>
      <c r="Z43" s="152">
        <f t="shared" si="17"/>
        <v>6.8529509999999991</v>
      </c>
      <c r="AA43" s="179">
        <f t="shared" si="18"/>
        <v>26.893434918859999</v>
      </c>
      <c r="AB43" s="179">
        <f t="shared" si="19"/>
        <v>27.214358035459998</v>
      </c>
      <c r="AC43" s="180">
        <f t="shared" si="10"/>
        <v>33.74638591886</v>
      </c>
      <c r="AD43" s="156">
        <f t="shared" si="20"/>
        <v>34.067309035459999</v>
      </c>
      <c r="AE43" s="146">
        <f>IFERROR(INDEX(Työkonekanta!$L$3:$L$30,MATCH($A43,Työkonekanta!$A$3:$A$30,0),1),0)*AF43</f>
        <v>500000</v>
      </c>
      <c r="AF43" s="146">
        <f>IFERROR(INDEX(Työkonekanta!$N$3:$N$32,MATCH($A43,Työkonekanta!$A$3:$A$32,0),1),0)</f>
        <v>1</v>
      </c>
      <c r="AG43" s="332">
        <f>I43*INDEX(Muuttujat!$U$5:$U$21,MATCH($C43,Muuttujat!$N$5:$N$21,0),1)</f>
        <v>9797</v>
      </c>
      <c r="AH43" s="332">
        <f>J43*INDEX(Muuttujat!$T$5:$T$21,MATCH($C43,Muuttujat!$N$5:$N$21,0),1)</f>
        <v>0</v>
      </c>
      <c r="AI43" s="332">
        <f t="shared" si="11"/>
        <v>252.5</v>
      </c>
      <c r="AJ43" s="332">
        <f t="shared" si="12"/>
        <v>0</v>
      </c>
      <c r="AK43" s="332">
        <f t="shared" si="21"/>
        <v>10049.5</v>
      </c>
      <c r="AL43" s="332">
        <f t="shared" si="13"/>
        <v>10049.5</v>
      </c>
    </row>
    <row r="44" spans="1:38">
      <c r="A44" s="139">
        <v>12</v>
      </c>
      <c r="B44" s="139">
        <f>IFERROR(INDEX(Työkonekanta!$F$3:$F$27,MATCH('S0b Baseline kasvu'!$A44,Työkonekanta!$A$3:$A$24,0),1),0)</f>
        <v>1</v>
      </c>
      <c r="C44" s="140">
        <v>2020</v>
      </c>
      <c r="D44" s="141" t="str">
        <f>IFERROR(INDEX(Työkonekanta!$D$3:$D$27,MATCH('S0b Baseline kasvu'!$A44,Työkonekanta!$A$3:$A$24,0),1),"undefined")</f>
        <v>pom</v>
      </c>
      <c r="E44" s="145">
        <f>IFERROR(INDEX(Työkonekanta!$G$3:$G$27,MATCH($A44,Työkonekanta!$A$3:$A$24,0),1)*INDEX(Työkonekanta!$H$3:$H$27,MATCH($A44,Työkonekanta!$A$3:$A$24,0),1)*(1+s0b_kasvu*($C44-2019))*$B44,0)</f>
        <v>10100</v>
      </c>
      <c r="F44" s="145">
        <f t="shared" si="0"/>
        <v>362590</v>
      </c>
      <c r="G44" s="145">
        <f t="shared" si="14"/>
        <v>362590</v>
      </c>
      <c r="H44" s="145">
        <f t="shared" si="15"/>
        <v>0</v>
      </c>
      <c r="I44" s="145">
        <f t="shared" si="1"/>
        <v>10100</v>
      </c>
      <c r="J44" s="145">
        <f t="shared" si="2"/>
        <v>0</v>
      </c>
      <c r="K44" s="142" t="str">
        <f t="shared" si="16"/>
        <v>l</v>
      </c>
      <c r="L44" s="146">
        <f>IFERROR(INDEX(Työkonekanta!$I$3:$I$27,MATCH('S0b Baseline kasvu'!$A44,Työkonekanta!$A$3:$A$24,0),1)*(I44+J44)*f_adblue,0)</f>
        <v>505</v>
      </c>
      <c r="M44" s="146">
        <f t="shared" si="3"/>
        <v>0</v>
      </c>
      <c r="N44" s="143" t="str">
        <f>IF(tuulisähkö_vuosi&lt;='S0b Baseline kasvu'!C44,"tuulisähkö",ostosähkö_nyt)</f>
        <v>jäännössähkö</v>
      </c>
      <c r="O44" s="147">
        <f>INDEX(Muuttujat!$J$5:$J$21,MATCH($C44,Muuttujat!$H$5:$H$21,0),1)</f>
        <v>68.554749999999999</v>
      </c>
      <c r="P44" s="342">
        <f>1-(INDEX(Muuttujat!$O$5:$O$21,MATCH($C44,Muuttujat!$N$5:$N$21,0),1))</f>
        <v>1</v>
      </c>
      <c r="Q44" s="342">
        <f>INDEX(Muuttujat!$O$5:$O$21,MATCH($C44,Muuttujat!$N$5:$N$21,0),1)</f>
        <v>0</v>
      </c>
      <c r="R44" s="148">
        <f>INDEX(Muuttujat!$P$5:$P$21,MATCH($C44,Muuttujat!$N$5:$N$21,0),1)</f>
        <v>0</v>
      </c>
      <c r="S44" s="149">
        <f t="shared" si="4"/>
        <v>6.8529509999999991</v>
      </c>
      <c r="T44" s="150">
        <f t="shared" si="5"/>
        <v>0</v>
      </c>
      <c r="U44" s="150">
        <f t="shared" si="6"/>
        <v>0</v>
      </c>
      <c r="V44" s="150">
        <f>IFERROR(INDEX(Työkonekanta!$J$3:$J$27,MATCH($A44,Työkonekanta!$A$3:$A$24,0),1)*$B44*ef_li_ion_akku/1000/1000/INDEX(Työkonekanta!$K$3:$K$27,MATCH($A44,Työkonekanta!$A$3:$A$24,0)),0)</f>
        <v>0</v>
      </c>
      <c r="W44" s="149">
        <f t="shared" si="7"/>
        <v>26.762134918859999</v>
      </c>
      <c r="X44" s="150">
        <f t="shared" si="8"/>
        <v>0.3209231166</v>
      </c>
      <c r="Y44" s="151">
        <f t="shared" si="9"/>
        <v>0.1313</v>
      </c>
      <c r="Z44" s="152">
        <f t="shared" si="17"/>
        <v>6.8529509999999991</v>
      </c>
      <c r="AA44" s="179">
        <f t="shared" si="18"/>
        <v>26.893434918859999</v>
      </c>
      <c r="AB44" s="179">
        <f t="shared" si="19"/>
        <v>27.214358035459998</v>
      </c>
      <c r="AC44" s="180">
        <f t="shared" si="10"/>
        <v>33.74638591886</v>
      </c>
      <c r="AD44" s="156">
        <f t="shared" si="20"/>
        <v>34.067309035459999</v>
      </c>
      <c r="AE44" s="146">
        <f>IFERROR(INDEX(Työkonekanta!$L$3:$L$30,MATCH($A44,Työkonekanta!$A$3:$A$30,0),1),0)*AF44</f>
        <v>500000</v>
      </c>
      <c r="AF44" s="146">
        <f>IFERROR(INDEX(Työkonekanta!$N$3:$N$32,MATCH($A44,Työkonekanta!$A$3:$A$32,0),1),0)</f>
        <v>1</v>
      </c>
      <c r="AG44" s="332">
        <f>I44*INDEX(Muuttujat!$U$5:$U$21,MATCH($C44,Muuttujat!$N$5:$N$21,0),1)</f>
        <v>9797</v>
      </c>
      <c r="AH44" s="332">
        <f>J44*INDEX(Muuttujat!$T$5:$T$21,MATCH($C44,Muuttujat!$N$5:$N$21,0),1)</f>
        <v>0</v>
      </c>
      <c r="AI44" s="332">
        <f t="shared" si="11"/>
        <v>252.5</v>
      </c>
      <c r="AJ44" s="332">
        <f t="shared" si="12"/>
        <v>0</v>
      </c>
      <c r="AK44" s="332">
        <f t="shared" si="21"/>
        <v>10049.5</v>
      </c>
      <c r="AL44" s="332">
        <f t="shared" si="13"/>
        <v>10049.5</v>
      </c>
    </row>
    <row r="45" spans="1:38">
      <c r="A45" s="139">
        <v>13</v>
      </c>
      <c r="B45" s="139">
        <f>IFERROR(INDEX(Työkonekanta!$F$3:$F$27,MATCH('S0b Baseline kasvu'!$A45,Työkonekanta!$A$3:$A$24,0),1),0)</f>
        <v>0</v>
      </c>
      <c r="C45" s="140">
        <v>2020</v>
      </c>
      <c r="D45" s="141" t="str">
        <f>IFERROR(INDEX(Työkonekanta!$D$3:$D$27,MATCH('S0b Baseline kasvu'!$A45,Työkonekanta!$A$3:$A$24,0),1),"undefined")</f>
        <v>pom</v>
      </c>
      <c r="E45" s="145">
        <f>IFERROR(INDEX(Työkonekanta!$G$3:$G$27,MATCH($A45,Työkonekanta!$A$3:$A$24,0),1)*INDEX(Työkonekanta!$H$3:$H$27,MATCH($A45,Työkonekanta!$A$3:$A$24,0),1)*(1+s0b_kasvu*($C45-2019))*$B45,0)</f>
        <v>0</v>
      </c>
      <c r="F45" s="145">
        <f t="shared" si="0"/>
        <v>0</v>
      </c>
      <c r="G45" s="145">
        <f t="shared" si="14"/>
        <v>0</v>
      </c>
      <c r="H45" s="145">
        <f t="shared" si="15"/>
        <v>0</v>
      </c>
      <c r="I45" s="145">
        <f t="shared" si="1"/>
        <v>0</v>
      </c>
      <c r="J45" s="145">
        <f t="shared" si="2"/>
        <v>0</v>
      </c>
      <c r="K45" s="142" t="str">
        <f t="shared" si="16"/>
        <v>l</v>
      </c>
      <c r="L45" s="146">
        <f>IFERROR(INDEX(Työkonekanta!$I$3:$I$27,MATCH('S0b Baseline kasvu'!$A45,Työkonekanta!$A$3:$A$24,0),1)*(I45+J45)*f_adblue,0)</f>
        <v>0</v>
      </c>
      <c r="M45" s="146">
        <f t="shared" si="3"/>
        <v>0</v>
      </c>
      <c r="N45" s="143" t="str">
        <f>IF(tuulisähkö_vuosi&lt;='S0b Baseline kasvu'!C45,"tuulisähkö",ostosähkö_nyt)</f>
        <v>jäännössähkö</v>
      </c>
      <c r="O45" s="147">
        <f>INDEX(Muuttujat!$J$5:$J$21,MATCH($C45,Muuttujat!$H$5:$H$21,0),1)</f>
        <v>68.554749999999999</v>
      </c>
      <c r="P45" s="342">
        <f>1-(INDEX(Muuttujat!$O$5:$O$21,MATCH($C45,Muuttujat!$N$5:$N$21,0),1))</f>
        <v>1</v>
      </c>
      <c r="Q45" s="342">
        <f>INDEX(Muuttujat!$O$5:$O$21,MATCH($C45,Muuttujat!$N$5:$N$21,0),1)</f>
        <v>0</v>
      </c>
      <c r="R45" s="148">
        <f>INDEX(Muuttujat!$P$5:$P$21,MATCH($C45,Muuttujat!$N$5:$N$21,0),1)</f>
        <v>0</v>
      </c>
      <c r="S45" s="149">
        <f t="shared" si="4"/>
        <v>0</v>
      </c>
      <c r="T45" s="150">
        <f t="shared" si="5"/>
        <v>0</v>
      </c>
      <c r="U45" s="150">
        <f t="shared" si="6"/>
        <v>0</v>
      </c>
      <c r="V45" s="150">
        <f>IFERROR(INDEX(Työkonekanta!$J$3:$J$27,MATCH($A45,Työkonekanta!$A$3:$A$24,0),1)*$B45*ef_li_ion_akku/1000/1000/INDEX(Työkonekanta!$K$3:$K$27,MATCH($A45,Työkonekanta!$A$3:$A$24,0)),0)</f>
        <v>0</v>
      </c>
      <c r="W45" s="149">
        <f t="shared" si="7"/>
        <v>0</v>
      </c>
      <c r="X45" s="150">
        <f t="shared" si="8"/>
        <v>0</v>
      </c>
      <c r="Y45" s="151">
        <f t="shared" si="9"/>
        <v>0</v>
      </c>
      <c r="Z45" s="152">
        <f t="shared" si="17"/>
        <v>0</v>
      </c>
      <c r="AA45" s="179">
        <f t="shared" si="18"/>
        <v>0</v>
      </c>
      <c r="AB45" s="179">
        <f t="shared" si="19"/>
        <v>0</v>
      </c>
      <c r="AC45" s="180">
        <f t="shared" si="10"/>
        <v>0</v>
      </c>
      <c r="AD45" s="156">
        <f t="shared" si="20"/>
        <v>0</v>
      </c>
      <c r="AE45" s="146">
        <f>IFERROR(INDEX(Työkonekanta!$L$3:$L$30,MATCH($A45,Työkonekanta!$A$3:$A$30,0),1),0)*AF45</f>
        <v>0</v>
      </c>
      <c r="AF45" s="146">
        <f>IFERROR(INDEX(Työkonekanta!$N$3:$N$32,MATCH($A45,Työkonekanta!$A$3:$A$32,0),1),0)</f>
        <v>0</v>
      </c>
      <c r="AG45" s="332">
        <f>I45*INDEX(Muuttujat!$U$5:$U$21,MATCH($C45,Muuttujat!$N$5:$N$21,0),1)</f>
        <v>0</v>
      </c>
      <c r="AH45" s="332">
        <f>J45*INDEX(Muuttujat!$T$5:$T$21,MATCH($C45,Muuttujat!$N$5:$N$21,0),1)</f>
        <v>0</v>
      </c>
      <c r="AI45" s="332">
        <f t="shared" si="11"/>
        <v>0</v>
      </c>
      <c r="AJ45" s="332">
        <f t="shared" si="12"/>
        <v>0</v>
      </c>
      <c r="AK45" s="332">
        <f t="shared" si="21"/>
        <v>0</v>
      </c>
      <c r="AL45" s="332">
        <f t="shared" si="13"/>
        <v>0</v>
      </c>
    </row>
    <row r="46" spans="1:38">
      <c r="A46" s="139">
        <v>14</v>
      </c>
      <c r="B46" s="139">
        <f>IFERROR(INDEX(Työkonekanta!$F$3:$F$27,MATCH('S0b Baseline kasvu'!$A46,Työkonekanta!$A$3:$A$24,0),1),0)</f>
        <v>0</v>
      </c>
      <c r="C46" s="140">
        <v>2020</v>
      </c>
      <c r="D46" s="141" t="str">
        <f>IFERROR(INDEX(Työkonekanta!$D$3:$D$27,MATCH('S0b Baseline kasvu'!$A46,Työkonekanta!$A$3:$A$24,0),1),"undefined")</f>
        <v>pom</v>
      </c>
      <c r="E46" s="145">
        <f>IFERROR(INDEX(Työkonekanta!$G$3:$G$27,MATCH($A46,Työkonekanta!$A$3:$A$24,0),1)*INDEX(Työkonekanta!$H$3:$H$27,MATCH($A46,Työkonekanta!$A$3:$A$24,0),1)*(1+s0b_kasvu*($C46-2019))*$B46,0)</f>
        <v>0</v>
      </c>
      <c r="F46" s="145">
        <f t="shared" si="0"/>
        <v>0</v>
      </c>
      <c r="G46" s="145">
        <f t="shared" si="14"/>
        <v>0</v>
      </c>
      <c r="H46" s="145">
        <f t="shared" si="15"/>
        <v>0</v>
      </c>
      <c r="I46" s="145">
        <f t="shared" si="1"/>
        <v>0</v>
      </c>
      <c r="J46" s="145">
        <f t="shared" si="2"/>
        <v>0</v>
      </c>
      <c r="K46" s="142" t="str">
        <f t="shared" si="16"/>
        <v>l</v>
      </c>
      <c r="L46" s="146">
        <f>IFERROR(INDEX(Työkonekanta!$I$3:$I$27,MATCH('S0b Baseline kasvu'!$A46,Työkonekanta!$A$3:$A$24,0),1)*(I46+J46)*f_adblue,0)</f>
        <v>0</v>
      </c>
      <c r="M46" s="146">
        <f t="shared" si="3"/>
        <v>0</v>
      </c>
      <c r="N46" s="143" t="str">
        <f>IF(tuulisähkö_vuosi&lt;='S0b Baseline kasvu'!C46,"tuulisähkö",ostosähkö_nyt)</f>
        <v>jäännössähkö</v>
      </c>
      <c r="O46" s="147">
        <f>INDEX(Muuttujat!$J$5:$J$21,MATCH($C46,Muuttujat!$H$5:$H$21,0),1)</f>
        <v>68.554749999999999</v>
      </c>
      <c r="P46" s="342">
        <f>1-(INDEX(Muuttujat!$O$5:$O$21,MATCH($C46,Muuttujat!$N$5:$N$21,0),1))</f>
        <v>1</v>
      </c>
      <c r="Q46" s="342">
        <f>INDEX(Muuttujat!$O$5:$O$21,MATCH($C46,Muuttujat!$N$5:$N$21,0),1)</f>
        <v>0</v>
      </c>
      <c r="R46" s="148">
        <f>INDEX(Muuttujat!$P$5:$P$21,MATCH($C46,Muuttujat!$N$5:$N$21,0),1)</f>
        <v>0</v>
      </c>
      <c r="S46" s="149">
        <f t="shared" si="4"/>
        <v>0</v>
      </c>
      <c r="T46" s="150">
        <f t="shared" si="5"/>
        <v>0</v>
      </c>
      <c r="U46" s="150">
        <f t="shared" si="6"/>
        <v>0</v>
      </c>
      <c r="V46" s="150">
        <f>IFERROR(INDEX(Työkonekanta!$J$3:$J$27,MATCH($A46,Työkonekanta!$A$3:$A$24,0),1)*$B46*ef_li_ion_akku/1000/1000/INDEX(Työkonekanta!$K$3:$K$27,MATCH($A46,Työkonekanta!$A$3:$A$24,0)),0)</f>
        <v>0</v>
      </c>
      <c r="W46" s="149">
        <f t="shared" si="7"/>
        <v>0</v>
      </c>
      <c r="X46" s="150">
        <f t="shared" si="8"/>
        <v>0</v>
      </c>
      <c r="Y46" s="151">
        <f t="shared" si="9"/>
        <v>0</v>
      </c>
      <c r="Z46" s="152">
        <f t="shared" si="17"/>
        <v>0</v>
      </c>
      <c r="AA46" s="179">
        <f t="shared" si="18"/>
        <v>0</v>
      </c>
      <c r="AB46" s="179">
        <f t="shared" si="19"/>
        <v>0</v>
      </c>
      <c r="AC46" s="180">
        <f t="shared" si="10"/>
        <v>0</v>
      </c>
      <c r="AD46" s="156">
        <f t="shared" si="20"/>
        <v>0</v>
      </c>
      <c r="AE46" s="146">
        <f>IFERROR(INDEX(Työkonekanta!$L$3:$L$30,MATCH($A46,Työkonekanta!$A$3:$A$30,0),1),0)*AF46</f>
        <v>0</v>
      </c>
      <c r="AF46" s="146">
        <f>IFERROR(INDEX(Työkonekanta!$N$3:$N$32,MATCH($A46,Työkonekanta!$A$3:$A$32,0),1),0)</f>
        <v>0</v>
      </c>
      <c r="AG46" s="332">
        <f>I46*INDEX(Muuttujat!$U$5:$U$21,MATCH($C46,Muuttujat!$N$5:$N$21,0),1)</f>
        <v>0</v>
      </c>
      <c r="AH46" s="332">
        <f>J46*INDEX(Muuttujat!$T$5:$T$21,MATCH($C46,Muuttujat!$N$5:$N$21,0),1)</f>
        <v>0</v>
      </c>
      <c r="AI46" s="332">
        <f t="shared" si="11"/>
        <v>0</v>
      </c>
      <c r="AJ46" s="332">
        <f t="shared" si="12"/>
        <v>0</v>
      </c>
      <c r="AK46" s="332">
        <f t="shared" si="21"/>
        <v>0</v>
      </c>
      <c r="AL46" s="332">
        <f t="shared" si="13"/>
        <v>0</v>
      </c>
    </row>
    <row r="47" spans="1:38">
      <c r="A47" s="139">
        <v>15</v>
      </c>
      <c r="B47" s="139">
        <f>IFERROR(INDEX(Työkonekanta!$F$3:$F$27,MATCH('S0b Baseline kasvu'!$A47,Työkonekanta!$A$3:$A$24,0),1),0)</f>
        <v>0</v>
      </c>
      <c r="C47" s="140">
        <v>2020</v>
      </c>
      <c r="D47" s="141" t="str">
        <f>IFERROR(INDEX(Työkonekanta!$D$3:$D$27,MATCH('S0b Baseline kasvu'!$A47,Työkonekanta!$A$3:$A$24,0),1),"undefined")</f>
        <v>sähkö</v>
      </c>
      <c r="E47" s="145">
        <f>IFERROR(INDEX(Työkonekanta!$G$3:$G$27,MATCH($A47,Työkonekanta!$A$3:$A$24,0),1)*INDEX(Työkonekanta!$H$3:$H$27,MATCH($A47,Työkonekanta!$A$3:$A$24,0),1)*(1+s0b_kasvu*($C47-2019))*$B47,0)</f>
        <v>0</v>
      </c>
      <c r="F47" s="145">
        <f t="shared" si="0"/>
        <v>0</v>
      </c>
      <c r="G47" s="145">
        <f t="shared" si="14"/>
        <v>0</v>
      </c>
      <c r="H47" s="145">
        <f t="shared" si="15"/>
        <v>0</v>
      </c>
      <c r="I47" s="145">
        <f t="shared" si="1"/>
        <v>0</v>
      </c>
      <c r="J47" s="145">
        <f t="shared" si="2"/>
        <v>0</v>
      </c>
      <c r="K47" s="142" t="str">
        <f t="shared" si="16"/>
        <v>kWh</v>
      </c>
      <c r="L47" s="146">
        <f>IFERROR(INDEX(Työkonekanta!$I$3:$I$27,MATCH('S0b Baseline kasvu'!$A47,Työkonekanta!$A$3:$A$24,0),1)*(I47+J47)*f_adblue,0)</f>
        <v>0</v>
      </c>
      <c r="M47" s="146">
        <f t="shared" si="3"/>
        <v>0</v>
      </c>
      <c r="N47" s="143" t="str">
        <f>IF(tuulisähkö_vuosi&lt;='S0b Baseline kasvu'!C47,"tuulisähkö",ostosähkö_nyt)</f>
        <v>jäännössähkö</v>
      </c>
      <c r="O47" s="147">
        <f>INDEX(Muuttujat!$J$5:$J$21,MATCH($C47,Muuttujat!$H$5:$H$21,0),1)</f>
        <v>68.554749999999999</v>
      </c>
      <c r="P47" s="342">
        <f>1-(INDEX(Muuttujat!$O$5:$O$21,MATCH($C47,Muuttujat!$N$5:$N$21,0),1))</f>
        <v>1</v>
      </c>
      <c r="Q47" s="342">
        <f>INDEX(Muuttujat!$O$5:$O$21,MATCH($C47,Muuttujat!$N$5:$N$21,0),1)</f>
        <v>0</v>
      </c>
      <c r="R47" s="148">
        <f>INDEX(Muuttujat!$P$5:$P$21,MATCH($C47,Muuttujat!$N$5:$N$21,0),1)</f>
        <v>0</v>
      </c>
      <c r="S47" s="149">
        <f t="shared" si="4"/>
        <v>0</v>
      </c>
      <c r="T47" s="150">
        <f t="shared" si="5"/>
        <v>0</v>
      </c>
      <c r="U47" s="150">
        <f t="shared" si="6"/>
        <v>0</v>
      </c>
      <c r="V47" s="150">
        <f>IFERROR(INDEX(Työkonekanta!$J$3:$J$27,MATCH($A47,Työkonekanta!$A$3:$A$24,0),1)*$B47*ef_li_ion_akku/1000/1000/INDEX(Työkonekanta!$K$3:$K$27,MATCH($A47,Työkonekanta!$A$3:$A$24,0)),0)</f>
        <v>0</v>
      </c>
      <c r="W47" s="149">
        <f t="shared" si="7"/>
        <v>0</v>
      </c>
      <c r="X47" s="150">
        <f t="shared" si="8"/>
        <v>0</v>
      </c>
      <c r="Y47" s="151">
        <f t="shared" si="9"/>
        <v>0</v>
      </c>
      <c r="Z47" s="152">
        <f t="shared" si="17"/>
        <v>0</v>
      </c>
      <c r="AA47" s="179">
        <f t="shared" si="18"/>
        <v>0</v>
      </c>
      <c r="AB47" s="179">
        <f t="shared" si="19"/>
        <v>0</v>
      </c>
      <c r="AC47" s="180">
        <f t="shared" si="10"/>
        <v>0</v>
      </c>
      <c r="AD47" s="156">
        <f t="shared" si="20"/>
        <v>0</v>
      </c>
      <c r="AE47" s="146">
        <f>IFERROR(INDEX(Työkonekanta!$L$3:$L$30,MATCH($A47,Työkonekanta!$A$3:$A$30,0),1),0)*AF47</f>
        <v>0</v>
      </c>
      <c r="AF47" s="146">
        <f>IFERROR(INDEX(Työkonekanta!$N$3:$N$32,MATCH($A47,Työkonekanta!$A$3:$A$32,0),1),0)</f>
        <v>0</v>
      </c>
      <c r="AG47" s="332">
        <f>I47*INDEX(Muuttujat!$U$5:$U$21,MATCH($C47,Muuttujat!$N$5:$N$21,0),1)</f>
        <v>0</v>
      </c>
      <c r="AH47" s="332">
        <f>J47*INDEX(Muuttujat!$T$5:$T$21,MATCH($C47,Muuttujat!$N$5:$N$21,0),1)</f>
        <v>0</v>
      </c>
      <c r="AI47" s="332">
        <f t="shared" si="11"/>
        <v>0</v>
      </c>
      <c r="AJ47" s="332">
        <f t="shared" si="12"/>
        <v>0</v>
      </c>
      <c r="AK47" s="332">
        <f t="shared" si="21"/>
        <v>0</v>
      </c>
      <c r="AL47" s="332">
        <f t="shared" si="13"/>
        <v>0</v>
      </c>
    </row>
    <row r="48" spans="1:38">
      <c r="A48" s="139">
        <v>16</v>
      </c>
      <c r="B48" s="139">
        <f>IFERROR(INDEX(Työkonekanta!$F$3:$F$27,MATCH('S0b Baseline kasvu'!$A48,Työkonekanta!$A$3:$A$24,0),1),0)</f>
        <v>0</v>
      </c>
      <c r="C48" s="140">
        <v>2020</v>
      </c>
      <c r="D48" s="141" t="str">
        <f>IFERROR(INDEX(Työkonekanta!$D$3:$D$27,MATCH('S0b Baseline kasvu'!$A48,Työkonekanta!$A$3:$A$24,0),1),"undefined")</f>
        <v>sähkö</v>
      </c>
      <c r="E48" s="145">
        <f>IFERROR(INDEX(Työkonekanta!$G$3:$G$27,MATCH($A48,Työkonekanta!$A$3:$A$24,0),1)*INDEX(Työkonekanta!$H$3:$H$27,MATCH($A48,Työkonekanta!$A$3:$A$24,0),1)*(1+s0b_kasvu*($C48-2019))*$B48,0)</f>
        <v>0</v>
      </c>
      <c r="F48" s="145">
        <f t="shared" si="0"/>
        <v>0</v>
      </c>
      <c r="G48" s="145">
        <f t="shared" si="14"/>
        <v>0</v>
      </c>
      <c r="H48" s="145">
        <f t="shared" si="15"/>
        <v>0</v>
      </c>
      <c r="I48" s="145">
        <f t="shared" si="1"/>
        <v>0</v>
      </c>
      <c r="J48" s="145">
        <f t="shared" si="2"/>
        <v>0</v>
      </c>
      <c r="K48" s="142" t="str">
        <f t="shared" si="16"/>
        <v>kWh</v>
      </c>
      <c r="L48" s="146">
        <f>IFERROR(INDEX(Työkonekanta!$I$3:$I$27,MATCH('S0b Baseline kasvu'!$A48,Työkonekanta!$A$3:$A$24,0),1)*(I48+J48)*f_adblue,0)</f>
        <v>0</v>
      </c>
      <c r="M48" s="146">
        <f t="shared" si="3"/>
        <v>0</v>
      </c>
      <c r="N48" s="143" t="str">
        <f>IF(tuulisähkö_vuosi&lt;='S0b Baseline kasvu'!C48,"tuulisähkö",ostosähkö_nyt)</f>
        <v>jäännössähkö</v>
      </c>
      <c r="O48" s="147">
        <f>INDEX(Muuttujat!$J$5:$J$21,MATCH($C48,Muuttujat!$H$5:$H$21,0),1)</f>
        <v>68.554749999999999</v>
      </c>
      <c r="P48" s="342">
        <f>1-(INDEX(Muuttujat!$O$5:$O$21,MATCH($C48,Muuttujat!$N$5:$N$21,0),1))</f>
        <v>1</v>
      </c>
      <c r="Q48" s="342">
        <f>INDEX(Muuttujat!$O$5:$O$21,MATCH($C48,Muuttujat!$N$5:$N$21,0),1)</f>
        <v>0</v>
      </c>
      <c r="R48" s="148">
        <f>INDEX(Muuttujat!$P$5:$P$21,MATCH($C48,Muuttujat!$N$5:$N$21,0),1)</f>
        <v>0</v>
      </c>
      <c r="S48" s="149">
        <f t="shared" si="4"/>
        <v>0</v>
      </c>
      <c r="T48" s="150">
        <f t="shared" si="5"/>
        <v>0</v>
      </c>
      <c r="U48" s="150">
        <f t="shared" si="6"/>
        <v>0</v>
      </c>
      <c r="V48" s="150">
        <f>IFERROR(INDEX(Työkonekanta!$J$3:$J$27,MATCH($A48,Työkonekanta!$A$3:$A$24,0),1)*$B48*ef_li_ion_akku/1000/1000/INDEX(Työkonekanta!$K$3:$K$27,MATCH($A48,Työkonekanta!$A$3:$A$24,0)),0)</f>
        <v>0</v>
      </c>
      <c r="W48" s="149">
        <f t="shared" si="7"/>
        <v>0</v>
      </c>
      <c r="X48" s="150">
        <f t="shared" si="8"/>
        <v>0</v>
      </c>
      <c r="Y48" s="151">
        <f t="shared" si="9"/>
        <v>0</v>
      </c>
      <c r="Z48" s="152">
        <f t="shared" si="17"/>
        <v>0</v>
      </c>
      <c r="AA48" s="179">
        <f t="shared" si="18"/>
        <v>0</v>
      </c>
      <c r="AB48" s="179">
        <f t="shared" si="19"/>
        <v>0</v>
      </c>
      <c r="AC48" s="180">
        <f t="shared" si="10"/>
        <v>0</v>
      </c>
      <c r="AD48" s="156">
        <f t="shared" si="20"/>
        <v>0</v>
      </c>
      <c r="AE48" s="146">
        <f>IFERROR(INDEX(Työkonekanta!$L$3:$L$30,MATCH($A48,Työkonekanta!$A$3:$A$30,0),1),0)*AF48</f>
        <v>0</v>
      </c>
      <c r="AF48" s="146">
        <f>IFERROR(INDEX(Työkonekanta!$N$3:$N$32,MATCH($A48,Työkonekanta!$A$3:$A$32,0),1),0)</f>
        <v>0</v>
      </c>
      <c r="AG48" s="332">
        <f>I48*INDEX(Muuttujat!$U$5:$U$21,MATCH($C48,Muuttujat!$N$5:$N$21,0),1)</f>
        <v>0</v>
      </c>
      <c r="AH48" s="332">
        <f>J48*INDEX(Muuttujat!$T$5:$T$21,MATCH($C48,Muuttujat!$N$5:$N$21,0),1)</f>
        <v>0</v>
      </c>
      <c r="AI48" s="332">
        <f t="shared" si="11"/>
        <v>0</v>
      </c>
      <c r="AJ48" s="332">
        <f t="shared" si="12"/>
        <v>0</v>
      </c>
      <c r="AK48" s="332">
        <f t="shared" si="21"/>
        <v>0</v>
      </c>
      <c r="AL48" s="332">
        <f t="shared" si="13"/>
        <v>0</v>
      </c>
    </row>
    <row r="49" spans="1:38">
      <c r="A49" s="139">
        <v>17</v>
      </c>
      <c r="B49" s="139">
        <f>IFERROR(INDEX(Työkonekanta!$F$3:$F$27,MATCH('S0b Baseline kasvu'!$A49,Työkonekanta!$A$3:$A$24,0),1),0)</f>
        <v>1</v>
      </c>
      <c r="C49" s="140">
        <v>2020</v>
      </c>
      <c r="D49" s="141" t="str">
        <f>IFERROR(INDEX(Työkonekanta!$D$3:$D$27,MATCH('S0b Baseline kasvu'!$A49,Työkonekanta!$A$3:$A$24,0),1),"undefined")</f>
        <v>pom</v>
      </c>
      <c r="E49" s="145">
        <f>IFERROR(INDEX(Työkonekanta!$G$3:$G$27,MATCH($A49,Työkonekanta!$A$3:$A$24,0),1)*INDEX(Työkonekanta!$H$3:$H$27,MATCH($A49,Työkonekanta!$A$3:$A$24,0),1)*(1+s0b_kasvu*($C49-2019))*$B49,0)</f>
        <v>10100</v>
      </c>
      <c r="F49" s="145">
        <f t="shared" si="0"/>
        <v>362590</v>
      </c>
      <c r="G49" s="145">
        <f t="shared" si="14"/>
        <v>362590</v>
      </c>
      <c r="H49" s="145">
        <f t="shared" si="15"/>
        <v>0</v>
      </c>
      <c r="I49" s="145">
        <f t="shared" si="1"/>
        <v>10100</v>
      </c>
      <c r="J49" s="145">
        <f t="shared" si="2"/>
        <v>0</v>
      </c>
      <c r="K49" s="142" t="str">
        <f t="shared" si="16"/>
        <v>l</v>
      </c>
      <c r="L49" s="146">
        <f>IFERROR(INDEX(Työkonekanta!$I$3:$I$27,MATCH('S0b Baseline kasvu'!$A49,Työkonekanta!$A$3:$A$24,0),1)*(I49+J49)*f_adblue,0)</f>
        <v>505</v>
      </c>
      <c r="M49" s="146">
        <f t="shared" si="3"/>
        <v>0</v>
      </c>
      <c r="N49" s="143" t="str">
        <f>IF(tuulisähkö_vuosi&lt;='S0b Baseline kasvu'!C49,"tuulisähkö",ostosähkö_nyt)</f>
        <v>jäännössähkö</v>
      </c>
      <c r="O49" s="147">
        <f>INDEX(Muuttujat!$J$5:$J$21,MATCH($C49,Muuttujat!$H$5:$H$21,0),1)</f>
        <v>68.554749999999999</v>
      </c>
      <c r="P49" s="342">
        <f>1-(INDEX(Muuttujat!$O$5:$O$21,MATCH($C49,Muuttujat!$N$5:$N$21,0),1))</f>
        <v>1</v>
      </c>
      <c r="Q49" s="342">
        <f>INDEX(Muuttujat!$O$5:$O$21,MATCH($C49,Muuttujat!$N$5:$N$21,0),1)</f>
        <v>0</v>
      </c>
      <c r="R49" s="148">
        <f>INDEX(Muuttujat!$P$5:$P$21,MATCH($C49,Muuttujat!$N$5:$N$21,0),1)</f>
        <v>0</v>
      </c>
      <c r="S49" s="149">
        <f t="shared" si="4"/>
        <v>6.8529509999999991</v>
      </c>
      <c r="T49" s="150">
        <f t="shared" si="5"/>
        <v>0</v>
      </c>
      <c r="U49" s="150">
        <f t="shared" si="6"/>
        <v>0</v>
      </c>
      <c r="V49" s="150">
        <f>IFERROR(INDEX(Työkonekanta!$J$3:$J$27,MATCH($A49,Työkonekanta!$A$3:$A$24,0),1)*$B49*ef_li_ion_akku/1000/1000/INDEX(Työkonekanta!$K$3:$K$27,MATCH($A49,Työkonekanta!$A$3:$A$24,0)),0)</f>
        <v>0</v>
      </c>
      <c r="W49" s="149">
        <f t="shared" si="7"/>
        <v>26.762134918859999</v>
      </c>
      <c r="X49" s="150">
        <f t="shared" si="8"/>
        <v>0.3209231166</v>
      </c>
      <c r="Y49" s="151">
        <f t="shared" si="9"/>
        <v>0.1313</v>
      </c>
      <c r="Z49" s="152">
        <f t="shared" si="17"/>
        <v>6.8529509999999991</v>
      </c>
      <c r="AA49" s="179">
        <f t="shared" si="18"/>
        <v>26.893434918859999</v>
      </c>
      <c r="AB49" s="179">
        <f t="shared" si="19"/>
        <v>27.214358035459998</v>
      </c>
      <c r="AC49" s="180">
        <f t="shared" si="10"/>
        <v>33.74638591886</v>
      </c>
      <c r="AD49" s="156">
        <f t="shared" si="20"/>
        <v>34.067309035459999</v>
      </c>
      <c r="AE49" s="146">
        <f>IFERROR(INDEX(Työkonekanta!$L$3:$L$30,MATCH($A49,Työkonekanta!$A$3:$A$30,0),1),0)*AF49</f>
        <v>500000</v>
      </c>
      <c r="AF49" s="146">
        <f>IFERROR(INDEX(Työkonekanta!$N$3:$N$32,MATCH($A49,Työkonekanta!$A$3:$A$32,0),1),0)</f>
        <v>1</v>
      </c>
      <c r="AG49" s="332">
        <f>I49*INDEX(Muuttujat!$U$5:$U$21,MATCH($C49,Muuttujat!$N$5:$N$21,0),1)</f>
        <v>9797</v>
      </c>
      <c r="AH49" s="332">
        <f>J49*INDEX(Muuttujat!$T$5:$T$21,MATCH($C49,Muuttujat!$N$5:$N$21,0),1)</f>
        <v>0</v>
      </c>
      <c r="AI49" s="332">
        <f t="shared" si="11"/>
        <v>252.5</v>
      </c>
      <c r="AJ49" s="332">
        <f t="shared" si="12"/>
        <v>0</v>
      </c>
      <c r="AK49" s="332">
        <f t="shared" si="21"/>
        <v>10049.5</v>
      </c>
      <c r="AL49" s="332">
        <f t="shared" si="13"/>
        <v>10049.5</v>
      </c>
    </row>
    <row r="50" spans="1:38">
      <c r="A50" s="139">
        <v>18</v>
      </c>
      <c r="B50" s="139">
        <f>IFERROR(INDEX(Työkonekanta!$F$3:$F$27,MATCH('S0b Baseline kasvu'!$A50,Työkonekanta!$A$3:$A$24,0),1),0)</f>
        <v>1</v>
      </c>
      <c r="C50" s="140">
        <v>2020</v>
      </c>
      <c r="D50" s="141" t="str">
        <f>IFERROR(INDEX(Työkonekanta!$D$3:$D$27,MATCH('S0b Baseline kasvu'!$A50,Työkonekanta!$A$3:$A$24,0),1),"undefined")</f>
        <v>pom</v>
      </c>
      <c r="E50" s="145">
        <f>IFERROR(INDEX(Työkonekanta!$G$3:$G$27,MATCH($A50,Työkonekanta!$A$3:$A$24,0),1)*INDEX(Työkonekanta!$H$3:$H$27,MATCH($A50,Työkonekanta!$A$3:$A$24,0),1)*(1+s0b_kasvu*($C50-2019))*$B50,0)</f>
        <v>10100</v>
      </c>
      <c r="F50" s="145">
        <f t="shared" si="0"/>
        <v>362590</v>
      </c>
      <c r="G50" s="145">
        <f t="shared" si="14"/>
        <v>362590</v>
      </c>
      <c r="H50" s="145">
        <f t="shared" si="15"/>
        <v>0</v>
      </c>
      <c r="I50" s="145">
        <f t="shared" si="1"/>
        <v>10100</v>
      </c>
      <c r="J50" s="145">
        <f t="shared" si="2"/>
        <v>0</v>
      </c>
      <c r="K50" s="142" t="str">
        <f t="shared" si="16"/>
        <v>l</v>
      </c>
      <c r="L50" s="146">
        <f>IFERROR(INDEX(Työkonekanta!$I$3:$I$27,MATCH('S0b Baseline kasvu'!$A50,Työkonekanta!$A$3:$A$24,0),1)*(I50+J50)*f_adblue,0)</f>
        <v>404</v>
      </c>
      <c r="M50" s="146">
        <f t="shared" si="3"/>
        <v>0</v>
      </c>
      <c r="N50" s="143" t="str">
        <f>IF(tuulisähkö_vuosi&lt;='S0b Baseline kasvu'!C50,"tuulisähkö",ostosähkö_nyt)</f>
        <v>jäännössähkö</v>
      </c>
      <c r="O50" s="147">
        <f>INDEX(Muuttujat!$J$5:$J$21,MATCH($C50,Muuttujat!$H$5:$H$21,0),1)</f>
        <v>68.554749999999999</v>
      </c>
      <c r="P50" s="342">
        <f>1-(INDEX(Muuttujat!$O$5:$O$21,MATCH($C50,Muuttujat!$N$5:$N$21,0),1))</f>
        <v>1</v>
      </c>
      <c r="Q50" s="342">
        <f>INDEX(Muuttujat!$O$5:$O$21,MATCH($C50,Muuttujat!$N$5:$N$21,0),1)</f>
        <v>0</v>
      </c>
      <c r="R50" s="148">
        <f>INDEX(Muuttujat!$P$5:$P$21,MATCH($C50,Muuttujat!$N$5:$N$21,0),1)</f>
        <v>0</v>
      </c>
      <c r="S50" s="149">
        <f t="shared" si="4"/>
        <v>6.8529509999999991</v>
      </c>
      <c r="T50" s="150">
        <f t="shared" si="5"/>
        <v>0</v>
      </c>
      <c r="U50" s="150">
        <f t="shared" si="6"/>
        <v>0</v>
      </c>
      <c r="V50" s="150">
        <f>IFERROR(INDEX(Työkonekanta!$J$3:$J$27,MATCH($A50,Työkonekanta!$A$3:$A$24,0),1)*$B50*ef_li_ion_akku/1000/1000/INDEX(Työkonekanta!$K$3:$K$27,MATCH($A50,Työkonekanta!$A$3:$A$24,0)),0)</f>
        <v>0</v>
      </c>
      <c r="W50" s="149">
        <f t="shared" si="7"/>
        <v>26.762134918859999</v>
      </c>
      <c r="X50" s="150">
        <f t="shared" si="8"/>
        <v>0.3209231166</v>
      </c>
      <c r="Y50" s="151">
        <f t="shared" si="9"/>
        <v>0.10504000000000001</v>
      </c>
      <c r="Z50" s="152">
        <f t="shared" si="17"/>
        <v>6.8529509999999991</v>
      </c>
      <c r="AA50" s="179">
        <f t="shared" si="18"/>
        <v>26.867174918859998</v>
      </c>
      <c r="AB50" s="179">
        <f t="shared" si="19"/>
        <v>27.188098035459998</v>
      </c>
      <c r="AC50" s="180">
        <f t="shared" si="10"/>
        <v>33.720125918859999</v>
      </c>
      <c r="AD50" s="156">
        <f t="shared" si="20"/>
        <v>34.041049035459999</v>
      </c>
      <c r="AE50" s="146">
        <f>IFERROR(INDEX(Työkonekanta!$L$3:$L$30,MATCH($A50,Työkonekanta!$A$3:$A$30,0),1),0)*AF50</f>
        <v>500000</v>
      </c>
      <c r="AF50" s="146">
        <f>IFERROR(INDEX(Työkonekanta!$N$3:$N$32,MATCH($A50,Työkonekanta!$A$3:$A$32,0),1),0)</f>
        <v>1</v>
      </c>
      <c r="AG50" s="332">
        <f>I50*INDEX(Muuttujat!$U$5:$U$21,MATCH($C50,Muuttujat!$N$5:$N$21,0),1)</f>
        <v>9797</v>
      </c>
      <c r="AH50" s="332">
        <f>J50*INDEX(Muuttujat!$T$5:$T$21,MATCH($C50,Muuttujat!$N$5:$N$21,0),1)</f>
        <v>0</v>
      </c>
      <c r="AI50" s="332">
        <f t="shared" si="11"/>
        <v>202</v>
      </c>
      <c r="AJ50" s="332">
        <f t="shared" si="12"/>
        <v>0</v>
      </c>
      <c r="AK50" s="332">
        <f t="shared" si="21"/>
        <v>9999</v>
      </c>
      <c r="AL50" s="332">
        <f t="shared" si="13"/>
        <v>9999</v>
      </c>
    </row>
    <row r="51" spans="1:38">
      <c r="A51" s="139">
        <v>19</v>
      </c>
      <c r="B51" s="139">
        <f>IFERROR(INDEX(Työkonekanta!$F$3:$F$27,MATCH('S0b Baseline kasvu'!$A51,Työkonekanta!$A$3:$A$24,0),1),0)</f>
        <v>0</v>
      </c>
      <c r="C51" s="140">
        <v>2020</v>
      </c>
      <c r="D51" s="141" t="str">
        <f>IFERROR(INDEX(Työkonekanta!$D$3:$D$27,MATCH('S0b Baseline kasvu'!$A51,Työkonekanta!$A$3:$A$24,0),1),"undefined")</f>
        <v>pom</v>
      </c>
      <c r="E51" s="145">
        <f>IFERROR(INDEX(Työkonekanta!$G$3:$G$27,MATCH($A51,Työkonekanta!$A$3:$A$24,0),1)*INDEX(Työkonekanta!$H$3:$H$27,MATCH($A51,Työkonekanta!$A$3:$A$24,0),1)*(1+s0b_kasvu*($C51-2019))*$B51,0)</f>
        <v>0</v>
      </c>
      <c r="F51" s="145">
        <f t="shared" si="0"/>
        <v>0</v>
      </c>
      <c r="G51" s="145">
        <f t="shared" si="14"/>
        <v>0</v>
      </c>
      <c r="H51" s="145">
        <f t="shared" si="15"/>
        <v>0</v>
      </c>
      <c r="I51" s="145">
        <f t="shared" si="1"/>
        <v>0</v>
      </c>
      <c r="J51" s="145">
        <f t="shared" si="2"/>
        <v>0</v>
      </c>
      <c r="K51" s="142" t="str">
        <f t="shared" si="16"/>
        <v>l</v>
      </c>
      <c r="L51" s="146">
        <f>IFERROR(INDEX(Työkonekanta!$I$3:$I$27,MATCH('S0b Baseline kasvu'!$A51,Työkonekanta!$A$3:$A$24,0),1)*(I51+J51)*f_adblue,0)</f>
        <v>0</v>
      </c>
      <c r="M51" s="146">
        <f t="shared" si="3"/>
        <v>0</v>
      </c>
      <c r="N51" s="143" t="str">
        <f>IF(tuulisähkö_vuosi&lt;='S0b Baseline kasvu'!C51,"tuulisähkö",ostosähkö_nyt)</f>
        <v>jäännössähkö</v>
      </c>
      <c r="O51" s="147">
        <f>INDEX(Muuttujat!$J$5:$J$21,MATCH($C51,Muuttujat!$H$5:$H$21,0),1)</f>
        <v>68.554749999999999</v>
      </c>
      <c r="P51" s="342">
        <f>1-(INDEX(Muuttujat!$O$5:$O$21,MATCH($C51,Muuttujat!$N$5:$N$21,0),1))</f>
        <v>1</v>
      </c>
      <c r="Q51" s="342">
        <f>INDEX(Muuttujat!$O$5:$O$21,MATCH($C51,Muuttujat!$N$5:$N$21,0),1)</f>
        <v>0</v>
      </c>
      <c r="R51" s="148">
        <f>INDEX(Muuttujat!$P$5:$P$21,MATCH($C51,Muuttujat!$N$5:$N$21,0),1)</f>
        <v>0</v>
      </c>
      <c r="S51" s="149">
        <f t="shared" si="4"/>
        <v>0</v>
      </c>
      <c r="T51" s="150">
        <f t="shared" si="5"/>
        <v>0</v>
      </c>
      <c r="U51" s="150">
        <f t="shared" si="6"/>
        <v>0</v>
      </c>
      <c r="V51" s="150">
        <f>IFERROR(INDEX(Työkonekanta!$J$3:$J$27,MATCH($A51,Työkonekanta!$A$3:$A$24,0),1)*$B51*ef_li_ion_akku/1000/1000/INDEX(Työkonekanta!$K$3:$K$27,MATCH($A51,Työkonekanta!$A$3:$A$24,0)),0)</f>
        <v>0</v>
      </c>
      <c r="W51" s="149">
        <f t="shared" si="7"/>
        <v>0</v>
      </c>
      <c r="X51" s="150">
        <f t="shared" si="8"/>
        <v>0</v>
      </c>
      <c r="Y51" s="151">
        <f t="shared" si="9"/>
        <v>0</v>
      </c>
      <c r="Z51" s="152">
        <f t="shared" si="17"/>
        <v>0</v>
      </c>
      <c r="AA51" s="179">
        <f t="shared" si="18"/>
        <v>0</v>
      </c>
      <c r="AB51" s="179">
        <f t="shared" si="19"/>
        <v>0</v>
      </c>
      <c r="AC51" s="180">
        <f t="shared" si="10"/>
        <v>0</v>
      </c>
      <c r="AD51" s="156">
        <f t="shared" si="20"/>
        <v>0</v>
      </c>
      <c r="AE51" s="146">
        <f>IFERROR(INDEX(Työkonekanta!$L$3:$L$30,MATCH($A51,Työkonekanta!$A$3:$A$30,0),1),0)*AF51</f>
        <v>0</v>
      </c>
      <c r="AF51" s="146">
        <f>IFERROR(INDEX(Työkonekanta!$N$3:$N$32,MATCH($A51,Työkonekanta!$A$3:$A$32,0),1),0)</f>
        <v>0</v>
      </c>
      <c r="AG51" s="332">
        <f>I51*INDEX(Muuttujat!$U$5:$U$21,MATCH($C51,Muuttujat!$N$5:$N$21,0),1)</f>
        <v>0</v>
      </c>
      <c r="AH51" s="332">
        <f>J51*INDEX(Muuttujat!$T$5:$T$21,MATCH($C51,Muuttujat!$N$5:$N$21,0),1)</f>
        <v>0</v>
      </c>
      <c r="AI51" s="332">
        <f t="shared" si="11"/>
        <v>0</v>
      </c>
      <c r="AJ51" s="332">
        <f t="shared" si="12"/>
        <v>0</v>
      </c>
      <c r="AK51" s="332">
        <f t="shared" si="21"/>
        <v>0</v>
      </c>
      <c r="AL51" s="332">
        <f t="shared" si="13"/>
        <v>0</v>
      </c>
    </row>
    <row r="52" spans="1:38">
      <c r="A52" s="139">
        <v>20</v>
      </c>
      <c r="B52" s="139">
        <f>IFERROR(INDEX(Työkonekanta!$F$3:$F$27,MATCH('S0b Baseline kasvu'!$A52,Työkonekanta!$A$3:$A$24,0),1),0)</f>
        <v>0</v>
      </c>
      <c r="C52" s="140">
        <v>2020</v>
      </c>
      <c r="D52" s="141" t="str">
        <f>IFERROR(INDEX(Työkonekanta!$D$3:$D$27,MATCH('S0b Baseline kasvu'!$A52,Työkonekanta!$A$3:$A$24,0),1),"undefined")</f>
        <v>pom</v>
      </c>
      <c r="E52" s="145">
        <f>IFERROR(INDEX(Työkonekanta!$G$3:$G$27,MATCH($A52,Työkonekanta!$A$3:$A$24,0),1)*INDEX(Työkonekanta!$H$3:$H$27,MATCH($A52,Työkonekanta!$A$3:$A$24,0),1)*(1+s0b_kasvu*($C52-2019))*$B52,0)</f>
        <v>0</v>
      </c>
      <c r="F52" s="145">
        <f t="shared" si="0"/>
        <v>0</v>
      </c>
      <c r="G52" s="145">
        <f t="shared" si="14"/>
        <v>0</v>
      </c>
      <c r="H52" s="145">
        <f t="shared" si="15"/>
        <v>0</v>
      </c>
      <c r="I52" s="145">
        <f t="shared" si="1"/>
        <v>0</v>
      </c>
      <c r="J52" s="145">
        <f t="shared" si="2"/>
        <v>0</v>
      </c>
      <c r="K52" s="142" t="str">
        <f t="shared" si="16"/>
        <v>l</v>
      </c>
      <c r="L52" s="146">
        <f>IFERROR(INDEX(Työkonekanta!$I$3:$I$27,MATCH('S0b Baseline kasvu'!$A52,Työkonekanta!$A$3:$A$24,0),1)*(I52+J52)*f_adblue,0)</f>
        <v>0</v>
      </c>
      <c r="M52" s="146">
        <f t="shared" si="3"/>
        <v>0</v>
      </c>
      <c r="N52" s="143" t="str">
        <f>IF(tuulisähkö_vuosi&lt;='S0b Baseline kasvu'!C52,"tuulisähkö",ostosähkö_nyt)</f>
        <v>jäännössähkö</v>
      </c>
      <c r="O52" s="147">
        <f>INDEX(Muuttujat!$J$5:$J$21,MATCH($C52,Muuttujat!$H$5:$H$21,0),1)</f>
        <v>68.554749999999999</v>
      </c>
      <c r="P52" s="342">
        <f>1-(INDEX(Muuttujat!$O$5:$O$21,MATCH($C52,Muuttujat!$N$5:$N$21,0),1))</f>
        <v>1</v>
      </c>
      <c r="Q52" s="342">
        <f>INDEX(Muuttujat!$O$5:$O$21,MATCH($C52,Muuttujat!$N$5:$N$21,0),1)</f>
        <v>0</v>
      </c>
      <c r="R52" s="148">
        <f>INDEX(Muuttujat!$P$5:$P$21,MATCH($C52,Muuttujat!$N$5:$N$21,0),1)</f>
        <v>0</v>
      </c>
      <c r="S52" s="149">
        <f t="shared" si="4"/>
        <v>0</v>
      </c>
      <c r="T52" s="150">
        <f t="shared" si="5"/>
        <v>0</v>
      </c>
      <c r="U52" s="150">
        <f t="shared" si="6"/>
        <v>0</v>
      </c>
      <c r="V52" s="150">
        <f>IFERROR(INDEX(Työkonekanta!$J$3:$J$27,MATCH($A52,Työkonekanta!$A$3:$A$24,0),1)*$B52*ef_li_ion_akku/1000/1000/INDEX(Työkonekanta!$K$3:$K$27,MATCH($A52,Työkonekanta!$A$3:$A$24,0)),0)</f>
        <v>0</v>
      </c>
      <c r="W52" s="149">
        <f t="shared" si="7"/>
        <v>0</v>
      </c>
      <c r="X52" s="150">
        <f t="shared" si="8"/>
        <v>0</v>
      </c>
      <c r="Y52" s="151">
        <f t="shared" si="9"/>
        <v>0</v>
      </c>
      <c r="Z52" s="152">
        <f t="shared" si="17"/>
        <v>0</v>
      </c>
      <c r="AA52" s="179">
        <f t="shared" si="18"/>
        <v>0</v>
      </c>
      <c r="AB52" s="179">
        <f t="shared" si="19"/>
        <v>0</v>
      </c>
      <c r="AC52" s="180">
        <f t="shared" si="10"/>
        <v>0</v>
      </c>
      <c r="AD52" s="156">
        <f t="shared" si="20"/>
        <v>0</v>
      </c>
      <c r="AE52" s="146">
        <f>IFERROR(INDEX(Työkonekanta!$L$3:$L$30,MATCH($A52,Työkonekanta!$A$3:$A$30,0),1),0)*AF52</f>
        <v>0</v>
      </c>
      <c r="AF52" s="146">
        <f>IFERROR(INDEX(Työkonekanta!$N$3:$N$32,MATCH($A52,Työkonekanta!$A$3:$A$32,0),1),0)</f>
        <v>0</v>
      </c>
      <c r="AG52" s="332">
        <f>I52*INDEX(Muuttujat!$U$5:$U$21,MATCH($C52,Muuttujat!$N$5:$N$21,0),1)</f>
        <v>0</v>
      </c>
      <c r="AH52" s="332">
        <f>J52*INDEX(Muuttujat!$T$5:$T$21,MATCH($C52,Muuttujat!$N$5:$N$21,0),1)</f>
        <v>0</v>
      </c>
      <c r="AI52" s="332">
        <f t="shared" si="11"/>
        <v>0</v>
      </c>
      <c r="AJ52" s="332">
        <f t="shared" si="12"/>
        <v>0</v>
      </c>
      <c r="AK52" s="332">
        <f t="shared" si="21"/>
        <v>0</v>
      </c>
      <c r="AL52" s="332">
        <f t="shared" si="13"/>
        <v>0</v>
      </c>
    </row>
    <row r="53" spans="1:38">
      <c r="A53" s="139">
        <v>21</v>
      </c>
      <c r="B53" s="139">
        <f>IFERROR(INDEX(Työkonekanta!$F$3:$F$27,MATCH('S0b Baseline kasvu'!$A53,Työkonekanta!$A$3:$A$24,0),1),0)</f>
        <v>35</v>
      </c>
      <c r="C53" s="140">
        <v>2020</v>
      </c>
      <c r="D53" s="141" t="str">
        <f>IFERROR(INDEX(Työkonekanta!$D$3:$D$27,MATCH('S0b Baseline kasvu'!$A53,Työkonekanta!$A$3:$A$24,0),1),"undefined")</f>
        <v>sähkö</v>
      </c>
      <c r="E53" s="145">
        <f>IFERROR(INDEX(Työkonekanta!$G$3:$G$27,MATCH($A53,Työkonekanta!$A$3:$A$24,0),1)*INDEX(Työkonekanta!$H$3:$H$27,MATCH($A53,Työkonekanta!$A$3:$A$24,0),1)*(1+s0b_kasvu*($C53-2019))*$B53,0)</f>
        <v>411271.06481481483</v>
      </c>
      <c r="F53" s="145">
        <f t="shared" si="0"/>
        <v>0</v>
      </c>
      <c r="G53" s="145">
        <f t="shared" si="14"/>
        <v>0</v>
      </c>
      <c r="H53" s="145">
        <f t="shared" si="15"/>
        <v>0</v>
      </c>
      <c r="I53" s="145">
        <f t="shared" si="1"/>
        <v>0</v>
      </c>
      <c r="J53" s="145">
        <f t="shared" si="2"/>
        <v>0</v>
      </c>
      <c r="K53" s="142" t="str">
        <f t="shared" si="16"/>
        <v>kWh</v>
      </c>
      <c r="L53" s="146">
        <f>IFERROR(INDEX(Työkonekanta!$I$3:$I$27,MATCH('S0b Baseline kasvu'!$A53,Työkonekanta!$A$3:$A$24,0),1)*(I53+J53)*f_adblue,0)</f>
        <v>0</v>
      </c>
      <c r="M53" s="146">
        <f t="shared" si="3"/>
        <v>1480575.8333333335</v>
      </c>
      <c r="N53" s="143" t="str">
        <f>IF(tuulisähkö_vuosi&lt;='S0b Baseline kasvu'!C53,"tuulisähkö",ostosähkö_nyt)</f>
        <v>jäännössähkö</v>
      </c>
      <c r="O53" s="147">
        <f>INDEX(Muuttujat!$J$5:$J$21,MATCH($C53,Muuttujat!$H$5:$H$21,0),1)</f>
        <v>68.554749999999999</v>
      </c>
      <c r="P53" s="342">
        <f>1-(INDEX(Muuttujat!$O$5:$O$21,MATCH($C53,Muuttujat!$N$5:$N$21,0),1))</f>
        <v>1</v>
      </c>
      <c r="Q53" s="342">
        <f>INDEX(Muuttujat!$O$5:$O$21,MATCH($C53,Muuttujat!$N$5:$N$21,0),1)</f>
        <v>0</v>
      </c>
      <c r="R53" s="148">
        <f>INDEX(Muuttujat!$P$5:$P$21,MATCH($C53,Muuttujat!$N$5:$N$21,0),1)</f>
        <v>0</v>
      </c>
      <c r="S53" s="149">
        <f t="shared" si="4"/>
        <v>0</v>
      </c>
      <c r="T53" s="150">
        <f t="shared" si="5"/>
        <v>0</v>
      </c>
      <c r="U53" s="150">
        <f t="shared" si="6"/>
        <v>101.50050611020835</v>
      </c>
      <c r="V53" s="150">
        <f>IFERROR(INDEX(Työkonekanta!$J$3:$J$27,MATCH($A53,Työkonekanta!$A$3:$A$24,0),1)*$B53*ef_li_ion_akku/1000/1000/INDEX(Työkonekanta!$K$3:$K$27,MATCH($A53,Työkonekanta!$A$3:$A$24,0)),0)</f>
        <v>43.121723076923082</v>
      </c>
      <c r="W53" s="149">
        <f t="shared" si="7"/>
        <v>0</v>
      </c>
      <c r="X53" s="150">
        <f t="shared" si="8"/>
        <v>0</v>
      </c>
      <c r="Y53" s="151">
        <f t="shared" si="9"/>
        <v>0</v>
      </c>
      <c r="Z53" s="152">
        <f t="shared" si="17"/>
        <v>144.62222918713144</v>
      </c>
      <c r="AA53" s="179">
        <f t="shared" si="18"/>
        <v>0</v>
      </c>
      <c r="AB53" s="179">
        <f t="shared" si="19"/>
        <v>0</v>
      </c>
      <c r="AC53" s="180">
        <f t="shared" si="10"/>
        <v>144.62222918713144</v>
      </c>
      <c r="AD53" s="156">
        <f t="shared" si="20"/>
        <v>144.62222918713144</v>
      </c>
      <c r="AE53" s="146">
        <f>IFERROR(INDEX(Työkonekanta!$L$3:$L$30,MATCH($A53,Työkonekanta!$A$3:$A$30,0),1),0)*AF53</f>
        <v>1820000</v>
      </c>
      <c r="AF53" s="146">
        <f>IFERROR(INDEX(Työkonekanta!$N$3:$N$32,MATCH($A53,Työkonekanta!$A$3:$A$32,0),1),0)</f>
        <v>7</v>
      </c>
      <c r="AG53" s="332">
        <f>I53*INDEX(Muuttujat!$U$5:$U$21,MATCH($C53,Muuttujat!$N$5:$N$21,0),1)</f>
        <v>0</v>
      </c>
      <c r="AH53" s="332">
        <f>J53*INDEX(Muuttujat!$T$5:$T$21,MATCH($C53,Muuttujat!$N$5:$N$21,0),1)</f>
        <v>0</v>
      </c>
      <c r="AI53" s="332">
        <f t="shared" si="11"/>
        <v>0</v>
      </c>
      <c r="AJ53" s="332">
        <f t="shared" si="12"/>
        <v>36397.48923611112</v>
      </c>
      <c r="AK53" s="332">
        <f t="shared" si="21"/>
        <v>36397.48923611112</v>
      </c>
      <c r="AL53" s="332">
        <f t="shared" si="13"/>
        <v>1039.9282638888892</v>
      </c>
    </row>
    <row r="54" spans="1:38">
      <c r="A54" s="139">
        <v>22</v>
      </c>
      <c r="B54" s="139">
        <f>IFERROR(INDEX(Työkonekanta!$F$3:$F$27,MATCH('S0b Baseline kasvu'!$A54,Työkonekanta!$A$3:$A$24,0),1),0)</f>
        <v>0</v>
      </c>
      <c r="C54" s="140">
        <v>2020</v>
      </c>
      <c r="D54" s="141" t="str">
        <f>IFERROR(INDEX(Työkonekanta!$D$3:$D$27,MATCH('S0b Baseline kasvu'!$A54,Työkonekanta!$A$3:$A$24,0),1),"undefined")</f>
        <v>sähkö</v>
      </c>
      <c r="E54" s="145">
        <f>IFERROR(INDEX(Työkonekanta!$G$3:$G$27,MATCH($A54,Työkonekanta!$A$3:$A$24,0),1)*INDEX(Työkonekanta!$H$3:$H$27,MATCH($A54,Työkonekanta!$A$3:$A$24,0),1)*(1+s0b_kasvu*($C54-2019))*$B54,0)</f>
        <v>0</v>
      </c>
      <c r="F54" s="145">
        <f t="shared" si="0"/>
        <v>0</v>
      </c>
      <c r="G54" s="145">
        <f t="shared" si="14"/>
        <v>0</v>
      </c>
      <c r="H54" s="145">
        <f t="shared" si="15"/>
        <v>0</v>
      </c>
      <c r="I54" s="145">
        <f t="shared" si="1"/>
        <v>0</v>
      </c>
      <c r="J54" s="145">
        <f t="shared" si="2"/>
        <v>0</v>
      </c>
      <c r="K54" s="142" t="str">
        <f t="shared" si="16"/>
        <v>kWh</v>
      </c>
      <c r="L54" s="146">
        <f>IFERROR(INDEX(Työkonekanta!$I$3:$I$27,MATCH('S0b Baseline kasvu'!$A54,Työkonekanta!$A$3:$A$24,0),1)*(I54+J54)*f_adblue,0)</f>
        <v>0</v>
      </c>
      <c r="M54" s="146">
        <f t="shared" si="3"/>
        <v>0</v>
      </c>
      <c r="N54" s="143" t="str">
        <f>IF(tuulisähkö_vuosi&lt;='S0b Baseline kasvu'!C54,"tuulisähkö",ostosähkö_nyt)</f>
        <v>jäännössähkö</v>
      </c>
      <c r="O54" s="147">
        <f>INDEX(Muuttujat!$J$5:$J$21,MATCH($C54,Muuttujat!$H$5:$H$21,0),1)</f>
        <v>68.554749999999999</v>
      </c>
      <c r="P54" s="342">
        <f>1-(INDEX(Muuttujat!$O$5:$O$21,MATCH($C54,Muuttujat!$N$5:$N$21,0),1))</f>
        <v>1</v>
      </c>
      <c r="Q54" s="342">
        <f>INDEX(Muuttujat!$O$5:$O$21,MATCH($C54,Muuttujat!$N$5:$N$21,0),1)</f>
        <v>0</v>
      </c>
      <c r="R54" s="148">
        <f>INDEX(Muuttujat!$P$5:$P$21,MATCH($C54,Muuttujat!$N$5:$N$21,0),1)</f>
        <v>0</v>
      </c>
      <c r="S54" s="149">
        <f t="shared" si="4"/>
        <v>0</v>
      </c>
      <c r="T54" s="150">
        <f t="shared" si="5"/>
        <v>0</v>
      </c>
      <c r="U54" s="150">
        <f t="shared" si="6"/>
        <v>0</v>
      </c>
      <c r="V54" s="150">
        <f>IFERROR(INDEX(Työkonekanta!$J$3:$J$27,MATCH($A54,Työkonekanta!$A$3:$A$24,0),1)*$B54*ef_li_ion_akku/1000/1000/INDEX(Työkonekanta!$K$3:$K$27,MATCH($A54,Työkonekanta!$A$3:$A$24,0)),0)</f>
        <v>0</v>
      </c>
      <c r="W54" s="149">
        <f t="shared" si="7"/>
        <v>0</v>
      </c>
      <c r="X54" s="150">
        <f t="shared" si="8"/>
        <v>0</v>
      </c>
      <c r="Y54" s="151">
        <f t="shared" si="9"/>
        <v>0</v>
      </c>
      <c r="Z54" s="152">
        <f t="shared" si="17"/>
        <v>0</v>
      </c>
      <c r="AA54" s="179">
        <f t="shared" si="18"/>
        <v>0</v>
      </c>
      <c r="AB54" s="179">
        <f t="shared" si="19"/>
        <v>0</v>
      </c>
      <c r="AC54" s="180">
        <f t="shared" si="10"/>
        <v>0</v>
      </c>
      <c r="AD54" s="156">
        <f t="shared" si="20"/>
        <v>0</v>
      </c>
      <c r="AE54" s="146">
        <f>IFERROR(INDEX(Työkonekanta!$L$3:$L$30,MATCH($A54,Työkonekanta!$A$3:$A$30,0),1),0)*AF54</f>
        <v>0</v>
      </c>
      <c r="AF54" s="146">
        <f>IFERROR(INDEX(Työkonekanta!$N$3:$N$32,MATCH($A54,Työkonekanta!$A$3:$A$32,0),1),0)</f>
        <v>0</v>
      </c>
      <c r="AG54" s="332">
        <f>I54*INDEX(Muuttujat!$U$5:$U$21,MATCH($C54,Muuttujat!$N$5:$N$21,0),1)</f>
        <v>0</v>
      </c>
      <c r="AH54" s="332">
        <f>J54*INDEX(Muuttujat!$T$5:$T$21,MATCH($C54,Muuttujat!$N$5:$N$21,0),1)</f>
        <v>0</v>
      </c>
      <c r="AI54" s="332">
        <f t="shared" si="11"/>
        <v>0</v>
      </c>
      <c r="AJ54" s="332">
        <f t="shared" si="12"/>
        <v>0</v>
      </c>
      <c r="AK54" s="332">
        <f t="shared" si="21"/>
        <v>0</v>
      </c>
      <c r="AL54" s="332">
        <f t="shared" si="13"/>
        <v>0</v>
      </c>
    </row>
    <row r="55" spans="1:38">
      <c r="A55" s="139">
        <v>23</v>
      </c>
      <c r="B55" s="139">
        <f>IFERROR(INDEX(Työkonekanta!$F$3:$F$27,MATCH('S0b Baseline kasvu'!$A55,Työkonekanta!$A$3:$A$24,0),1),0)</f>
        <v>0</v>
      </c>
      <c r="C55" s="140">
        <v>2020</v>
      </c>
      <c r="D55" s="141" t="str">
        <f>IFERROR(INDEX(Työkonekanta!$D$3:$D$27,MATCH('S0b Baseline kasvu'!$A55,Työkonekanta!$A$3:$A$24,0),1),"undefined")</f>
        <v>undefined</v>
      </c>
      <c r="E55" s="145">
        <f>IFERROR(INDEX(Työkonekanta!$G$3:$G$27,MATCH($A55,Työkonekanta!$A$3:$A$24,0),1)*INDEX(Työkonekanta!$H$3:$H$27,MATCH($A55,Työkonekanta!$A$3:$A$24,0),1)*(1+s0b_kasvu*($C55-2019))*$B55,0)</f>
        <v>0</v>
      </c>
      <c r="F55" s="145">
        <f t="shared" si="0"/>
        <v>0</v>
      </c>
      <c r="G55" s="145">
        <f t="shared" si="14"/>
        <v>0</v>
      </c>
      <c r="H55" s="145">
        <f t="shared" si="15"/>
        <v>0</v>
      </c>
      <c r="I55" s="145">
        <f t="shared" si="1"/>
        <v>0</v>
      </c>
      <c r="J55" s="145">
        <f t="shared" si="2"/>
        <v>0</v>
      </c>
      <c r="K55" s="142" t="str">
        <f t="shared" si="16"/>
        <v>undefined</v>
      </c>
      <c r="L55" s="146">
        <f>IFERROR(INDEX(Työkonekanta!$I$3:$I$27,MATCH('S0b Baseline kasvu'!$A55,Työkonekanta!$A$3:$A$24,0),1)*(I55+J55)*f_adblue,0)</f>
        <v>0</v>
      </c>
      <c r="M55" s="146">
        <f t="shared" si="3"/>
        <v>0</v>
      </c>
      <c r="N55" s="143" t="str">
        <f>IF(tuulisähkö_vuosi&lt;='S0b Baseline kasvu'!C55,"tuulisähkö",ostosähkö_nyt)</f>
        <v>jäännössähkö</v>
      </c>
      <c r="O55" s="147">
        <f>INDEX(Muuttujat!$J$5:$J$21,MATCH($C55,Muuttujat!$H$5:$H$21,0),1)</f>
        <v>68.554749999999999</v>
      </c>
      <c r="P55" s="342">
        <f>1-(INDEX(Muuttujat!$O$5:$O$21,MATCH($C55,Muuttujat!$N$5:$N$21,0),1))</f>
        <v>1</v>
      </c>
      <c r="Q55" s="342">
        <f>INDEX(Muuttujat!$O$5:$O$21,MATCH($C55,Muuttujat!$N$5:$N$21,0),1)</f>
        <v>0</v>
      </c>
      <c r="R55" s="148">
        <f>INDEX(Muuttujat!$P$5:$P$21,MATCH($C55,Muuttujat!$N$5:$N$21,0),1)</f>
        <v>0</v>
      </c>
      <c r="S55" s="149">
        <f t="shared" si="4"/>
        <v>0</v>
      </c>
      <c r="T55" s="150">
        <f t="shared" si="5"/>
        <v>0</v>
      </c>
      <c r="U55" s="150">
        <f t="shared" si="6"/>
        <v>0</v>
      </c>
      <c r="V55" s="150">
        <f>IFERROR(INDEX(Työkonekanta!$J$3:$J$27,MATCH($A55,Työkonekanta!$A$3:$A$24,0),1)*$B55*ef_li_ion_akku/1000/1000/INDEX(Työkonekanta!$K$3:$K$27,MATCH($A55,Työkonekanta!$A$3:$A$24,0)),0)</f>
        <v>0</v>
      </c>
      <c r="W55" s="149">
        <f t="shared" si="7"/>
        <v>0</v>
      </c>
      <c r="X55" s="150">
        <f t="shared" si="8"/>
        <v>0</v>
      </c>
      <c r="Y55" s="151">
        <f t="shared" si="9"/>
        <v>0</v>
      </c>
      <c r="Z55" s="152">
        <f t="shared" si="17"/>
        <v>0</v>
      </c>
      <c r="AA55" s="179">
        <f t="shared" si="18"/>
        <v>0</v>
      </c>
      <c r="AB55" s="179">
        <f t="shared" si="19"/>
        <v>0</v>
      </c>
      <c r="AC55" s="180">
        <f t="shared" si="10"/>
        <v>0</v>
      </c>
      <c r="AD55" s="156">
        <f t="shared" si="20"/>
        <v>0</v>
      </c>
      <c r="AE55" s="146">
        <f>IFERROR(INDEX(Työkonekanta!$L$3:$L$30,MATCH($A55,Työkonekanta!$A$3:$A$30,0),1),0)*AF55</f>
        <v>0</v>
      </c>
      <c r="AF55" s="146">
        <f>IFERROR(INDEX(Työkonekanta!$N$3:$N$32,MATCH($A55,Työkonekanta!$A$3:$A$32,0),1),0)</f>
        <v>0</v>
      </c>
      <c r="AG55" s="332">
        <f>I55*INDEX(Muuttujat!$U$5:$U$21,MATCH($C55,Muuttujat!$N$5:$N$21,0),1)</f>
        <v>0</v>
      </c>
      <c r="AH55" s="332">
        <f>J55*INDEX(Muuttujat!$T$5:$T$21,MATCH($C55,Muuttujat!$N$5:$N$21,0),1)</f>
        <v>0</v>
      </c>
      <c r="AI55" s="332">
        <f t="shared" si="11"/>
        <v>0</v>
      </c>
      <c r="AJ55" s="332">
        <f t="shared" si="12"/>
        <v>0</v>
      </c>
      <c r="AK55" s="332">
        <f t="shared" si="21"/>
        <v>0</v>
      </c>
      <c r="AL55" s="332">
        <f t="shared" si="13"/>
        <v>0</v>
      </c>
    </row>
    <row r="56" spans="1:38">
      <c r="A56" s="139">
        <v>24</v>
      </c>
      <c r="B56" s="139">
        <f>IFERROR(INDEX(Työkonekanta!$F$3:$F$27,MATCH('S0b Baseline kasvu'!$A56,Työkonekanta!$A$3:$A$24,0),1),0)</f>
        <v>0</v>
      </c>
      <c r="C56" s="140">
        <v>2020</v>
      </c>
      <c r="D56" s="141" t="str">
        <f>IFERROR(INDEX(Työkonekanta!$D$3:$D$27,MATCH('S0b Baseline kasvu'!$A56,Työkonekanta!$A$3:$A$24,0),1),"undefined")</f>
        <v>undefined</v>
      </c>
      <c r="E56" s="145">
        <f>IFERROR(INDEX(Työkonekanta!$G$3:$G$27,MATCH($A56,Työkonekanta!$A$3:$A$24,0),1)*INDEX(Työkonekanta!$H$3:$H$27,MATCH($A56,Työkonekanta!$A$3:$A$24,0),1)*(1+s0b_kasvu*($C56-2019))*$B56,0)</f>
        <v>0</v>
      </c>
      <c r="F56" s="145">
        <f t="shared" si="0"/>
        <v>0</v>
      </c>
      <c r="G56" s="145">
        <f t="shared" si="14"/>
        <v>0</v>
      </c>
      <c r="H56" s="145">
        <f t="shared" si="15"/>
        <v>0</v>
      </c>
      <c r="I56" s="145">
        <f t="shared" si="1"/>
        <v>0</v>
      </c>
      <c r="J56" s="145">
        <f t="shared" si="2"/>
        <v>0</v>
      </c>
      <c r="K56" s="142" t="str">
        <f t="shared" si="16"/>
        <v>undefined</v>
      </c>
      <c r="L56" s="146">
        <f>IFERROR(INDEX(Työkonekanta!$I$3:$I$27,MATCH('S0b Baseline kasvu'!$A56,Työkonekanta!$A$3:$A$24,0),1)*(I56+J56)*f_adblue,0)</f>
        <v>0</v>
      </c>
      <c r="M56" s="146">
        <f t="shared" si="3"/>
        <v>0</v>
      </c>
      <c r="N56" s="143" t="str">
        <f>IF(tuulisähkö_vuosi&lt;='S0b Baseline kasvu'!C56,"tuulisähkö",ostosähkö_nyt)</f>
        <v>jäännössähkö</v>
      </c>
      <c r="O56" s="147">
        <f>INDEX(Muuttujat!$J$5:$J$21,MATCH($C56,Muuttujat!$H$5:$H$21,0),1)</f>
        <v>68.554749999999999</v>
      </c>
      <c r="P56" s="342">
        <f>1-(INDEX(Muuttujat!$O$5:$O$21,MATCH($C56,Muuttujat!$N$5:$N$21,0),1))</f>
        <v>1</v>
      </c>
      <c r="Q56" s="342">
        <f>INDEX(Muuttujat!$O$5:$O$21,MATCH($C56,Muuttujat!$N$5:$N$21,0),1)</f>
        <v>0</v>
      </c>
      <c r="R56" s="148">
        <f>INDEX(Muuttujat!$P$5:$P$21,MATCH($C56,Muuttujat!$N$5:$N$21,0),1)</f>
        <v>0</v>
      </c>
      <c r="S56" s="149">
        <f t="shared" si="4"/>
        <v>0</v>
      </c>
      <c r="T56" s="150">
        <f t="shared" si="5"/>
        <v>0</v>
      </c>
      <c r="U56" s="150">
        <f t="shared" si="6"/>
        <v>0</v>
      </c>
      <c r="V56" s="150">
        <f>IFERROR(INDEX(Työkonekanta!$J$3:$J$27,MATCH($A56,Työkonekanta!$A$3:$A$24,0),1)*$B56*ef_li_ion_akku/1000/1000/INDEX(Työkonekanta!$K$3:$K$27,MATCH($A56,Työkonekanta!$A$3:$A$24,0)),0)</f>
        <v>0</v>
      </c>
      <c r="W56" s="149">
        <f t="shared" si="7"/>
        <v>0</v>
      </c>
      <c r="X56" s="150">
        <f t="shared" si="8"/>
        <v>0</v>
      </c>
      <c r="Y56" s="151">
        <f t="shared" si="9"/>
        <v>0</v>
      </c>
      <c r="Z56" s="152">
        <f t="shared" si="17"/>
        <v>0</v>
      </c>
      <c r="AA56" s="179">
        <f t="shared" si="18"/>
        <v>0</v>
      </c>
      <c r="AB56" s="179">
        <f t="shared" si="19"/>
        <v>0</v>
      </c>
      <c r="AC56" s="180">
        <f t="shared" si="10"/>
        <v>0</v>
      </c>
      <c r="AD56" s="156">
        <f t="shared" si="20"/>
        <v>0</v>
      </c>
      <c r="AE56" s="146">
        <f>IFERROR(INDEX(Työkonekanta!$L$3:$L$30,MATCH($A56,Työkonekanta!$A$3:$A$30,0),1),0)*AF56</f>
        <v>0</v>
      </c>
      <c r="AF56" s="146">
        <f>IFERROR(INDEX(Työkonekanta!$N$3:$N$32,MATCH($A56,Työkonekanta!$A$3:$A$32,0),1),0)</f>
        <v>0</v>
      </c>
      <c r="AG56" s="332">
        <f>I56*INDEX(Muuttujat!$U$5:$U$21,MATCH($C56,Muuttujat!$N$5:$N$21,0),1)</f>
        <v>0</v>
      </c>
      <c r="AH56" s="332">
        <f>J56*INDEX(Muuttujat!$T$5:$T$21,MATCH($C56,Muuttujat!$N$5:$N$21,0),1)</f>
        <v>0</v>
      </c>
      <c r="AI56" s="332">
        <f t="shared" si="11"/>
        <v>0</v>
      </c>
      <c r="AJ56" s="332">
        <f t="shared" si="12"/>
        <v>0</v>
      </c>
      <c r="AK56" s="332">
        <f t="shared" si="21"/>
        <v>0</v>
      </c>
      <c r="AL56" s="332">
        <f t="shared" si="13"/>
        <v>0</v>
      </c>
    </row>
    <row r="57" spans="1:38">
      <c r="A57" s="139">
        <v>25</v>
      </c>
      <c r="B57" s="139">
        <f>IFERROR(INDEX(Työkonekanta!$F$3:$F$27,MATCH('S0b Baseline kasvu'!$A57,Työkonekanta!$A$3:$A$24,0),1),0)</f>
        <v>0</v>
      </c>
      <c r="C57" s="140">
        <v>2020</v>
      </c>
      <c r="D57" s="141" t="str">
        <f>IFERROR(INDEX(Työkonekanta!$D$3:$D$27,MATCH('S0b Baseline kasvu'!$A57,Työkonekanta!$A$3:$A$24,0),1),"undefined")</f>
        <v>undefined</v>
      </c>
      <c r="E57" s="145">
        <f>IFERROR(INDEX(Työkonekanta!$G$3:$G$27,MATCH($A57,Työkonekanta!$A$3:$A$24,0),1)*INDEX(Työkonekanta!$H$3:$H$27,MATCH($A57,Työkonekanta!$A$3:$A$24,0),1)*(1+s0b_kasvu*($C57-2019))*$B57,0)</f>
        <v>0</v>
      </c>
      <c r="F57" s="145">
        <f t="shared" si="0"/>
        <v>0</v>
      </c>
      <c r="G57" s="145">
        <f t="shared" si="14"/>
        <v>0</v>
      </c>
      <c r="H57" s="145">
        <f t="shared" si="15"/>
        <v>0</v>
      </c>
      <c r="I57" s="145">
        <f t="shared" si="1"/>
        <v>0</v>
      </c>
      <c r="J57" s="145">
        <f t="shared" si="2"/>
        <v>0</v>
      </c>
      <c r="K57" s="142" t="str">
        <f t="shared" si="16"/>
        <v>undefined</v>
      </c>
      <c r="L57" s="146">
        <f>IFERROR(INDEX(Työkonekanta!$I$3:$I$27,MATCH('S0b Baseline kasvu'!$A57,Työkonekanta!$A$3:$A$24,0),1)*(I57+J57)*f_adblue,0)</f>
        <v>0</v>
      </c>
      <c r="M57" s="146">
        <f t="shared" si="3"/>
        <v>0</v>
      </c>
      <c r="N57" s="143" t="str">
        <f>IF(tuulisähkö_vuosi&lt;='S0b Baseline kasvu'!C57,"tuulisähkö",ostosähkö_nyt)</f>
        <v>jäännössähkö</v>
      </c>
      <c r="O57" s="147">
        <f>INDEX(Muuttujat!$J$5:$J$21,MATCH($C57,Muuttujat!$H$5:$H$21,0),1)</f>
        <v>68.554749999999999</v>
      </c>
      <c r="P57" s="342">
        <f>1-(INDEX(Muuttujat!$O$5:$O$21,MATCH($C57,Muuttujat!$N$5:$N$21,0),1))</f>
        <v>1</v>
      </c>
      <c r="Q57" s="342">
        <f>INDEX(Muuttujat!$O$5:$O$21,MATCH($C57,Muuttujat!$N$5:$N$21,0),1)</f>
        <v>0</v>
      </c>
      <c r="R57" s="148">
        <f>INDEX(Muuttujat!$P$5:$P$21,MATCH($C57,Muuttujat!$N$5:$N$21,0),1)</f>
        <v>0</v>
      </c>
      <c r="S57" s="149">
        <f t="shared" si="4"/>
        <v>0</v>
      </c>
      <c r="T57" s="150">
        <f t="shared" si="5"/>
        <v>0</v>
      </c>
      <c r="U57" s="150">
        <f t="shared" si="6"/>
        <v>0</v>
      </c>
      <c r="V57" s="150">
        <f>IFERROR(INDEX(Työkonekanta!$J$3:$J$27,MATCH($A57,Työkonekanta!$A$3:$A$24,0),1)*$B57*ef_li_ion_akku/1000/1000/INDEX(Työkonekanta!$K$3:$K$27,MATCH($A57,Työkonekanta!$A$3:$A$24,0)),0)</f>
        <v>0</v>
      </c>
      <c r="W57" s="149">
        <f t="shared" si="7"/>
        <v>0</v>
      </c>
      <c r="X57" s="150">
        <f t="shared" si="8"/>
        <v>0</v>
      </c>
      <c r="Y57" s="151">
        <f t="shared" si="9"/>
        <v>0</v>
      </c>
      <c r="Z57" s="152">
        <f t="shared" si="17"/>
        <v>0</v>
      </c>
      <c r="AA57" s="179">
        <f t="shared" si="18"/>
        <v>0</v>
      </c>
      <c r="AB57" s="179">
        <f t="shared" si="19"/>
        <v>0</v>
      </c>
      <c r="AC57" s="180">
        <f t="shared" si="10"/>
        <v>0</v>
      </c>
      <c r="AD57" s="156">
        <f t="shared" si="20"/>
        <v>0</v>
      </c>
      <c r="AE57" s="146">
        <f>IFERROR(INDEX(Työkonekanta!$L$3:$L$30,MATCH($A57,Työkonekanta!$A$3:$A$30,0),1),0)*AF57</f>
        <v>0</v>
      </c>
      <c r="AF57" s="146">
        <f>IFERROR(INDEX(Työkonekanta!$N$3:$N$32,MATCH($A57,Työkonekanta!$A$3:$A$32,0),1),0)</f>
        <v>0</v>
      </c>
      <c r="AG57" s="332">
        <f>I57*INDEX(Muuttujat!$U$5:$U$21,MATCH($C57,Muuttujat!$N$5:$N$21,0),1)</f>
        <v>0</v>
      </c>
      <c r="AH57" s="332">
        <f>J57*INDEX(Muuttujat!$T$5:$T$21,MATCH($C57,Muuttujat!$N$5:$N$21,0),1)</f>
        <v>0</v>
      </c>
      <c r="AI57" s="332">
        <f t="shared" si="11"/>
        <v>0</v>
      </c>
      <c r="AJ57" s="332">
        <f t="shared" si="12"/>
        <v>0</v>
      </c>
      <c r="AK57" s="332">
        <f t="shared" si="21"/>
        <v>0</v>
      </c>
      <c r="AL57" s="332">
        <f t="shared" si="13"/>
        <v>0</v>
      </c>
    </row>
    <row r="58" spans="1:38">
      <c r="A58" s="139">
        <v>26</v>
      </c>
      <c r="B58" s="139">
        <f>IFERROR(INDEX(Työkonekanta!$F$3:$F$27,MATCH('S0b Baseline kasvu'!$A58,Työkonekanta!$A$3:$A$24,0),1),0)</f>
        <v>0</v>
      </c>
      <c r="C58" s="140">
        <v>2020</v>
      </c>
      <c r="D58" s="141" t="str">
        <f>IFERROR(INDEX(Työkonekanta!$D$3:$D$27,MATCH('S0b Baseline kasvu'!$A58,Työkonekanta!$A$3:$A$24,0),1),"undefined")</f>
        <v>undefined</v>
      </c>
      <c r="E58" s="145">
        <f>IFERROR(INDEX(Työkonekanta!$G$3:$G$27,MATCH($A58,Työkonekanta!$A$3:$A$24,0),1)*INDEX(Työkonekanta!$H$3:$H$27,MATCH($A58,Työkonekanta!$A$3:$A$24,0),1)*(1+s0b_kasvu*($C58-2019))*$B58,0)</f>
        <v>0</v>
      </c>
      <c r="F58" s="145">
        <f t="shared" si="0"/>
        <v>0</v>
      </c>
      <c r="G58" s="145">
        <f t="shared" si="14"/>
        <v>0</v>
      </c>
      <c r="H58" s="145">
        <f t="shared" si="15"/>
        <v>0</v>
      </c>
      <c r="I58" s="145">
        <f t="shared" si="1"/>
        <v>0</v>
      </c>
      <c r="J58" s="145">
        <f t="shared" si="2"/>
        <v>0</v>
      </c>
      <c r="K58" s="142" t="str">
        <f t="shared" si="16"/>
        <v>undefined</v>
      </c>
      <c r="L58" s="146">
        <f>IFERROR(INDEX(Työkonekanta!$I$3:$I$27,MATCH('S0b Baseline kasvu'!$A58,Työkonekanta!$A$3:$A$24,0),1)*(I58+J58)*f_adblue,0)</f>
        <v>0</v>
      </c>
      <c r="M58" s="146">
        <f t="shared" si="3"/>
        <v>0</v>
      </c>
      <c r="N58" s="143" t="str">
        <f>IF(tuulisähkö_vuosi&lt;='S0b Baseline kasvu'!C58,"tuulisähkö",ostosähkö_nyt)</f>
        <v>jäännössähkö</v>
      </c>
      <c r="O58" s="147">
        <f>INDEX(Muuttujat!$J$5:$J$21,MATCH($C58,Muuttujat!$H$5:$H$21,0),1)</f>
        <v>68.554749999999999</v>
      </c>
      <c r="P58" s="342">
        <f>1-(INDEX(Muuttujat!$O$5:$O$21,MATCH($C58,Muuttujat!$N$5:$N$21,0),1))</f>
        <v>1</v>
      </c>
      <c r="Q58" s="342">
        <f>INDEX(Muuttujat!$O$5:$O$21,MATCH($C58,Muuttujat!$N$5:$N$21,0),1)</f>
        <v>0</v>
      </c>
      <c r="R58" s="148">
        <f>INDEX(Muuttujat!$P$5:$P$21,MATCH($C58,Muuttujat!$N$5:$N$21,0),1)</f>
        <v>0</v>
      </c>
      <c r="S58" s="149">
        <f t="shared" si="4"/>
        <v>0</v>
      </c>
      <c r="T58" s="150">
        <f t="shared" si="5"/>
        <v>0</v>
      </c>
      <c r="U58" s="150">
        <f t="shared" si="6"/>
        <v>0</v>
      </c>
      <c r="V58" s="150">
        <f>IFERROR(INDEX(Työkonekanta!$J$3:$J$27,MATCH($A58,Työkonekanta!$A$3:$A$24,0),1)*$B58*ef_li_ion_akku/1000/1000/INDEX(Työkonekanta!$K$3:$K$27,MATCH($A58,Työkonekanta!$A$3:$A$24,0)),0)</f>
        <v>0</v>
      </c>
      <c r="W58" s="149">
        <f t="shared" si="7"/>
        <v>0</v>
      </c>
      <c r="X58" s="150">
        <f t="shared" si="8"/>
        <v>0</v>
      </c>
      <c r="Y58" s="151">
        <f t="shared" si="9"/>
        <v>0</v>
      </c>
      <c r="Z58" s="152">
        <f t="shared" si="17"/>
        <v>0</v>
      </c>
      <c r="AA58" s="179">
        <f t="shared" si="18"/>
        <v>0</v>
      </c>
      <c r="AB58" s="179">
        <f t="shared" si="19"/>
        <v>0</v>
      </c>
      <c r="AC58" s="180">
        <f t="shared" si="10"/>
        <v>0</v>
      </c>
      <c r="AD58" s="156">
        <f t="shared" si="20"/>
        <v>0</v>
      </c>
      <c r="AE58" s="146">
        <f>IFERROR(INDEX(Työkonekanta!$L$3:$L$30,MATCH($A58,Työkonekanta!$A$3:$A$30,0),1),0)*AF58</f>
        <v>0</v>
      </c>
      <c r="AF58" s="146">
        <f>IFERROR(INDEX(Työkonekanta!$N$3:$N$32,MATCH($A58,Työkonekanta!$A$3:$A$32,0),1),0)</f>
        <v>0</v>
      </c>
      <c r="AG58" s="332">
        <f>I58*INDEX(Muuttujat!$U$5:$U$21,MATCH($C58,Muuttujat!$N$5:$N$21,0),1)</f>
        <v>0</v>
      </c>
      <c r="AH58" s="332">
        <f>J58*INDEX(Muuttujat!$T$5:$T$21,MATCH($C58,Muuttujat!$N$5:$N$21,0),1)</f>
        <v>0</v>
      </c>
      <c r="AI58" s="332">
        <f t="shared" si="11"/>
        <v>0</v>
      </c>
      <c r="AJ58" s="332">
        <f t="shared" si="12"/>
        <v>0</v>
      </c>
      <c r="AK58" s="332">
        <f t="shared" si="21"/>
        <v>0</v>
      </c>
      <c r="AL58" s="332">
        <f t="shared" si="13"/>
        <v>0</v>
      </c>
    </row>
    <row r="59" spans="1:38">
      <c r="A59" s="139">
        <v>27</v>
      </c>
      <c r="B59" s="139">
        <f>IFERROR(INDEX(Työkonekanta!$F$3:$F$27,MATCH('S0b Baseline kasvu'!$A59,Työkonekanta!$A$3:$A$24,0),1),0)</f>
        <v>0</v>
      </c>
      <c r="C59" s="140">
        <v>2020</v>
      </c>
      <c r="D59" s="141" t="str">
        <f>IFERROR(INDEX(Työkonekanta!$D$3:$D$27,MATCH('S0b Baseline kasvu'!$A59,Työkonekanta!$A$3:$A$24,0),1),"undefined")</f>
        <v>undefined</v>
      </c>
      <c r="E59" s="145">
        <f>IFERROR(INDEX(Työkonekanta!$G$3:$G$27,MATCH($A59,Työkonekanta!$A$3:$A$24,0),1)*INDEX(Työkonekanta!$H$3:$H$27,MATCH($A59,Työkonekanta!$A$3:$A$24,0),1)*(1+s0b_kasvu*($C59-2019))*$B59,0)</f>
        <v>0</v>
      </c>
      <c r="F59" s="145">
        <f t="shared" si="0"/>
        <v>0</v>
      </c>
      <c r="G59" s="145">
        <f t="shared" si="14"/>
        <v>0</v>
      </c>
      <c r="H59" s="145">
        <f t="shared" si="15"/>
        <v>0</v>
      </c>
      <c r="I59" s="145">
        <f t="shared" si="1"/>
        <v>0</v>
      </c>
      <c r="J59" s="145">
        <f t="shared" si="2"/>
        <v>0</v>
      </c>
      <c r="K59" s="142" t="str">
        <f t="shared" si="16"/>
        <v>undefined</v>
      </c>
      <c r="L59" s="146">
        <f>IFERROR(INDEX(Työkonekanta!$I$3:$I$27,MATCH('S0b Baseline kasvu'!$A59,Työkonekanta!$A$3:$A$24,0),1)*(I59+J59)*f_adblue,0)</f>
        <v>0</v>
      </c>
      <c r="M59" s="146">
        <f t="shared" si="3"/>
        <v>0</v>
      </c>
      <c r="N59" s="143" t="str">
        <f>IF(tuulisähkö_vuosi&lt;='S0b Baseline kasvu'!C59,"tuulisähkö",ostosähkö_nyt)</f>
        <v>jäännössähkö</v>
      </c>
      <c r="O59" s="147">
        <f>INDEX(Muuttujat!$J$5:$J$21,MATCH($C59,Muuttujat!$H$5:$H$21,0),1)</f>
        <v>68.554749999999999</v>
      </c>
      <c r="P59" s="342">
        <f>1-(INDEX(Muuttujat!$O$5:$O$21,MATCH($C59,Muuttujat!$N$5:$N$21,0),1))</f>
        <v>1</v>
      </c>
      <c r="Q59" s="342">
        <f>INDEX(Muuttujat!$O$5:$O$21,MATCH($C59,Muuttujat!$N$5:$N$21,0),1)</f>
        <v>0</v>
      </c>
      <c r="R59" s="148">
        <f>INDEX(Muuttujat!$P$5:$P$21,MATCH($C59,Muuttujat!$N$5:$N$21,0),1)</f>
        <v>0</v>
      </c>
      <c r="S59" s="149">
        <f t="shared" si="4"/>
        <v>0</v>
      </c>
      <c r="T59" s="150">
        <f t="shared" si="5"/>
        <v>0</v>
      </c>
      <c r="U59" s="150">
        <f t="shared" si="6"/>
        <v>0</v>
      </c>
      <c r="V59" s="150">
        <f>IFERROR(INDEX(Työkonekanta!$J$3:$J$27,MATCH($A59,Työkonekanta!$A$3:$A$24,0),1)*$B59*ef_li_ion_akku/1000/1000/INDEX(Työkonekanta!$K$3:$K$27,MATCH($A59,Työkonekanta!$A$3:$A$24,0)),0)</f>
        <v>0</v>
      </c>
      <c r="W59" s="149">
        <f t="shared" si="7"/>
        <v>0</v>
      </c>
      <c r="X59" s="150">
        <f t="shared" si="8"/>
        <v>0</v>
      </c>
      <c r="Y59" s="151">
        <f t="shared" si="9"/>
        <v>0</v>
      </c>
      <c r="Z59" s="152">
        <f t="shared" si="17"/>
        <v>0</v>
      </c>
      <c r="AA59" s="179">
        <f t="shared" si="18"/>
        <v>0</v>
      </c>
      <c r="AB59" s="179">
        <f t="shared" si="19"/>
        <v>0</v>
      </c>
      <c r="AC59" s="180">
        <f t="shared" si="10"/>
        <v>0</v>
      </c>
      <c r="AD59" s="156">
        <f t="shared" si="20"/>
        <v>0</v>
      </c>
      <c r="AE59" s="146">
        <f>IFERROR(INDEX(Työkonekanta!$L$3:$L$30,MATCH($A59,Työkonekanta!$A$3:$A$30,0),1),0)*AF59</f>
        <v>0</v>
      </c>
      <c r="AF59" s="146">
        <f>IFERROR(INDEX(Työkonekanta!$N$3:$N$32,MATCH($A59,Työkonekanta!$A$3:$A$32,0),1),0)</f>
        <v>0</v>
      </c>
      <c r="AG59" s="332">
        <f>I59*INDEX(Muuttujat!$U$5:$U$21,MATCH($C59,Muuttujat!$N$5:$N$21,0),1)</f>
        <v>0</v>
      </c>
      <c r="AH59" s="332">
        <f>J59*INDEX(Muuttujat!$T$5:$T$21,MATCH($C59,Muuttujat!$N$5:$N$21,0),1)</f>
        <v>0</v>
      </c>
      <c r="AI59" s="332">
        <f t="shared" si="11"/>
        <v>0</v>
      </c>
      <c r="AJ59" s="332">
        <f t="shared" si="12"/>
        <v>0</v>
      </c>
      <c r="AK59" s="332">
        <f t="shared" si="21"/>
        <v>0</v>
      </c>
      <c r="AL59" s="332">
        <f t="shared" si="13"/>
        <v>0</v>
      </c>
    </row>
    <row r="60" spans="1:38">
      <c r="A60" s="139">
        <v>28</v>
      </c>
      <c r="B60" s="139">
        <f>IFERROR(INDEX(Työkonekanta!$F$3:$F$27,MATCH('S0b Baseline kasvu'!$A60,Työkonekanta!$A$3:$A$24,0),1),0)</f>
        <v>0</v>
      </c>
      <c r="C60" s="140">
        <v>2020</v>
      </c>
      <c r="D60" s="141" t="str">
        <f>IFERROR(INDEX(Työkonekanta!$D$3:$D$27,MATCH('S0b Baseline kasvu'!$A60,Työkonekanta!$A$3:$A$24,0),1),"undefined")</f>
        <v>undefined</v>
      </c>
      <c r="E60" s="145">
        <f>IFERROR(INDEX(Työkonekanta!$G$3:$G$27,MATCH($A60,Työkonekanta!$A$3:$A$24,0),1)*INDEX(Työkonekanta!$H$3:$H$27,MATCH($A60,Työkonekanta!$A$3:$A$24,0),1)*(1+s0b_kasvu*($C60-2019))*$B60,0)</f>
        <v>0</v>
      </c>
      <c r="F60" s="145">
        <f t="shared" si="0"/>
        <v>0</v>
      </c>
      <c r="G60" s="145">
        <f t="shared" si="14"/>
        <v>0</v>
      </c>
      <c r="H60" s="145">
        <f t="shared" si="15"/>
        <v>0</v>
      </c>
      <c r="I60" s="145">
        <f t="shared" si="1"/>
        <v>0</v>
      </c>
      <c r="J60" s="145">
        <f t="shared" si="2"/>
        <v>0</v>
      </c>
      <c r="K60" s="142" t="str">
        <f t="shared" si="16"/>
        <v>undefined</v>
      </c>
      <c r="L60" s="146">
        <f>IFERROR(INDEX(Työkonekanta!$I$3:$I$27,MATCH('S0b Baseline kasvu'!$A60,Työkonekanta!$A$3:$A$24,0),1)*(I60+J60)*f_adblue,0)</f>
        <v>0</v>
      </c>
      <c r="M60" s="146">
        <f t="shared" si="3"/>
        <v>0</v>
      </c>
      <c r="N60" s="143" t="str">
        <f>IF(tuulisähkö_vuosi&lt;='S0b Baseline kasvu'!C60,"tuulisähkö",ostosähkö_nyt)</f>
        <v>jäännössähkö</v>
      </c>
      <c r="O60" s="147">
        <f>INDEX(Muuttujat!$J$5:$J$21,MATCH($C60,Muuttujat!$H$5:$H$21,0),1)</f>
        <v>68.554749999999999</v>
      </c>
      <c r="P60" s="342">
        <f>1-(INDEX(Muuttujat!$O$5:$O$21,MATCH($C60,Muuttujat!$N$5:$N$21,0),1))</f>
        <v>1</v>
      </c>
      <c r="Q60" s="342">
        <f>INDEX(Muuttujat!$O$5:$O$21,MATCH($C60,Muuttujat!$N$5:$N$21,0),1)</f>
        <v>0</v>
      </c>
      <c r="R60" s="148">
        <f>INDEX(Muuttujat!$P$5:$P$21,MATCH($C60,Muuttujat!$N$5:$N$21,0),1)</f>
        <v>0</v>
      </c>
      <c r="S60" s="149">
        <f t="shared" si="4"/>
        <v>0</v>
      </c>
      <c r="T60" s="150">
        <f t="shared" si="5"/>
        <v>0</v>
      </c>
      <c r="U60" s="150">
        <f t="shared" si="6"/>
        <v>0</v>
      </c>
      <c r="V60" s="150">
        <f>IFERROR(INDEX(Työkonekanta!$J$3:$J$27,MATCH($A60,Työkonekanta!$A$3:$A$24,0),1)*$B60*ef_li_ion_akku/1000/1000/INDEX(Työkonekanta!$K$3:$K$27,MATCH($A60,Työkonekanta!$A$3:$A$24,0)),0)</f>
        <v>0</v>
      </c>
      <c r="W60" s="149">
        <f t="shared" si="7"/>
        <v>0</v>
      </c>
      <c r="X60" s="150">
        <f t="shared" si="8"/>
        <v>0</v>
      </c>
      <c r="Y60" s="151">
        <f t="shared" si="9"/>
        <v>0</v>
      </c>
      <c r="Z60" s="152">
        <f t="shared" si="17"/>
        <v>0</v>
      </c>
      <c r="AA60" s="179">
        <f t="shared" si="18"/>
        <v>0</v>
      </c>
      <c r="AB60" s="179">
        <f t="shared" si="19"/>
        <v>0</v>
      </c>
      <c r="AC60" s="180">
        <f t="shared" si="10"/>
        <v>0</v>
      </c>
      <c r="AD60" s="156">
        <f t="shared" si="20"/>
        <v>0</v>
      </c>
      <c r="AE60" s="146">
        <f>IFERROR(INDEX(Työkonekanta!$L$3:$L$30,MATCH($A60,Työkonekanta!$A$3:$A$30,0),1),0)*AF60</f>
        <v>0</v>
      </c>
      <c r="AF60" s="146">
        <f>IFERROR(INDEX(Työkonekanta!$N$3:$N$32,MATCH($A60,Työkonekanta!$A$3:$A$32,0),1),0)</f>
        <v>0</v>
      </c>
      <c r="AG60" s="332">
        <f>I60*INDEX(Muuttujat!$U$5:$U$21,MATCH($C60,Muuttujat!$N$5:$N$21,0),1)</f>
        <v>0</v>
      </c>
      <c r="AH60" s="332">
        <f>J60*INDEX(Muuttujat!$T$5:$T$21,MATCH($C60,Muuttujat!$N$5:$N$21,0),1)</f>
        <v>0</v>
      </c>
      <c r="AI60" s="332">
        <f t="shared" si="11"/>
        <v>0</v>
      </c>
      <c r="AJ60" s="332">
        <f t="shared" si="12"/>
        <v>0</v>
      </c>
      <c r="AK60" s="332">
        <f t="shared" si="21"/>
        <v>0</v>
      </c>
      <c r="AL60" s="332">
        <f t="shared" si="13"/>
        <v>0</v>
      </c>
    </row>
    <row r="61" spans="1:38">
      <c r="A61" s="139">
        <v>29</v>
      </c>
      <c r="B61" s="139">
        <f>IFERROR(INDEX(Työkonekanta!$F$3:$F$27,MATCH('S0b Baseline kasvu'!$A61,Työkonekanta!$A$3:$A$24,0),1),0)</f>
        <v>0</v>
      </c>
      <c r="C61" s="140">
        <v>2020</v>
      </c>
      <c r="D61" s="141" t="str">
        <f>IFERROR(INDEX(Työkonekanta!$D$3:$D$27,MATCH('S0b Baseline kasvu'!$A61,Työkonekanta!$A$3:$A$24,0),1),"undefined")</f>
        <v>undefined</v>
      </c>
      <c r="E61" s="145">
        <f>IFERROR(INDEX(Työkonekanta!$G$3:$G$27,MATCH($A61,Työkonekanta!$A$3:$A$24,0),1)*INDEX(Työkonekanta!$H$3:$H$27,MATCH($A61,Työkonekanta!$A$3:$A$24,0),1)*(1+s0b_kasvu*($C61-2019))*$B61,0)</f>
        <v>0</v>
      </c>
      <c r="F61" s="145">
        <f t="shared" si="0"/>
        <v>0</v>
      </c>
      <c r="G61" s="145">
        <f t="shared" si="14"/>
        <v>0</v>
      </c>
      <c r="H61" s="145">
        <f t="shared" si="15"/>
        <v>0</v>
      </c>
      <c r="I61" s="145">
        <f t="shared" si="1"/>
        <v>0</v>
      </c>
      <c r="J61" s="145">
        <f t="shared" si="2"/>
        <v>0</v>
      </c>
      <c r="K61" s="142" t="str">
        <f t="shared" si="16"/>
        <v>undefined</v>
      </c>
      <c r="L61" s="146">
        <f>IFERROR(INDEX(Työkonekanta!$I$3:$I$27,MATCH('S0b Baseline kasvu'!$A61,Työkonekanta!$A$3:$A$24,0),1)*(I61+J61)*f_adblue,0)</f>
        <v>0</v>
      </c>
      <c r="M61" s="146">
        <f t="shared" si="3"/>
        <v>0</v>
      </c>
      <c r="N61" s="143" t="str">
        <f>IF(tuulisähkö_vuosi&lt;='S0b Baseline kasvu'!C61,"tuulisähkö",ostosähkö_nyt)</f>
        <v>jäännössähkö</v>
      </c>
      <c r="O61" s="147">
        <f>INDEX(Muuttujat!$J$5:$J$21,MATCH($C61,Muuttujat!$H$5:$H$21,0),1)</f>
        <v>68.554749999999999</v>
      </c>
      <c r="P61" s="342">
        <f>1-(INDEX(Muuttujat!$O$5:$O$21,MATCH($C61,Muuttujat!$N$5:$N$21,0),1))</f>
        <v>1</v>
      </c>
      <c r="Q61" s="342">
        <f>INDEX(Muuttujat!$O$5:$O$21,MATCH($C61,Muuttujat!$N$5:$N$21,0),1)</f>
        <v>0</v>
      </c>
      <c r="R61" s="148">
        <f>INDEX(Muuttujat!$P$5:$P$21,MATCH($C61,Muuttujat!$N$5:$N$21,0),1)</f>
        <v>0</v>
      </c>
      <c r="S61" s="149">
        <f t="shared" si="4"/>
        <v>0</v>
      </c>
      <c r="T61" s="150">
        <f t="shared" si="5"/>
        <v>0</v>
      </c>
      <c r="U61" s="150">
        <f t="shared" si="6"/>
        <v>0</v>
      </c>
      <c r="V61" s="150">
        <f>IFERROR(INDEX(Työkonekanta!$J$3:$J$27,MATCH($A61,Työkonekanta!$A$3:$A$24,0),1)*$B61*ef_li_ion_akku/1000/1000/INDEX(Työkonekanta!$K$3:$K$27,MATCH($A61,Työkonekanta!$A$3:$A$24,0)),0)</f>
        <v>0</v>
      </c>
      <c r="W61" s="149">
        <f t="shared" si="7"/>
        <v>0</v>
      </c>
      <c r="X61" s="150">
        <f t="shared" si="8"/>
        <v>0</v>
      </c>
      <c r="Y61" s="151">
        <f t="shared" si="9"/>
        <v>0</v>
      </c>
      <c r="Z61" s="152">
        <f t="shared" si="17"/>
        <v>0</v>
      </c>
      <c r="AA61" s="179">
        <f t="shared" si="18"/>
        <v>0</v>
      </c>
      <c r="AB61" s="179">
        <f t="shared" si="19"/>
        <v>0</v>
      </c>
      <c r="AC61" s="180">
        <f t="shared" si="10"/>
        <v>0</v>
      </c>
      <c r="AD61" s="156">
        <f t="shared" si="20"/>
        <v>0</v>
      </c>
      <c r="AE61" s="146">
        <f>IFERROR(INDEX(Työkonekanta!$L$3:$L$30,MATCH($A61,Työkonekanta!$A$3:$A$30,0),1),0)*AF61</f>
        <v>0</v>
      </c>
      <c r="AF61" s="146">
        <f>IFERROR(INDEX(Työkonekanta!$N$3:$N$32,MATCH($A61,Työkonekanta!$A$3:$A$32,0),1),0)</f>
        <v>0</v>
      </c>
      <c r="AG61" s="332">
        <f>I61*INDEX(Muuttujat!$U$5:$U$21,MATCH($C61,Muuttujat!$N$5:$N$21,0),1)</f>
        <v>0</v>
      </c>
      <c r="AH61" s="332">
        <f>J61*INDEX(Muuttujat!$T$5:$T$21,MATCH($C61,Muuttujat!$N$5:$N$21,0),1)</f>
        <v>0</v>
      </c>
      <c r="AI61" s="332">
        <f t="shared" si="11"/>
        <v>0</v>
      </c>
      <c r="AJ61" s="332">
        <f t="shared" si="12"/>
        <v>0</v>
      </c>
      <c r="AK61" s="332">
        <f t="shared" si="21"/>
        <v>0</v>
      </c>
      <c r="AL61" s="332">
        <f t="shared" si="13"/>
        <v>0</v>
      </c>
    </row>
    <row r="62" spans="1:38">
      <c r="A62" s="139">
        <v>30</v>
      </c>
      <c r="B62" s="139">
        <f>IFERROR(INDEX(Työkonekanta!$F$3:$F$27,MATCH('S0b Baseline kasvu'!$A62,Työkonekanta!$A$3:$A$24,0),1),0)</f>
        <v>0</v>
      </c>
      <c r="C62" s="140">
        <v>2020</v>
      </c>
      <c r="D62" s="141" t="str">
        <f>IFERROR(INDEX(Työkonekanta!$D$3:$D$27,MATCH('S0b Baseline kasvu'!$A62,Työkonekanta!$A$3:$A$24,0),1),"undefined")</f>
        <v>undefined</v>
      </c>
      <c r="E62" s="145">
        <f>IFERROR(INDEX(Työkonekanta!$G$3:$G$27,MATCH($A62,Työkonekanta!$A$3:$A$24,0),1)*INDEX(Työkonekanta!$H$3:$H$27,MATCH($A62,Työkonekanta!$A$3:$A$24,0),1)*(1+s0b_kasvu*($C62-2019))*$B62,0)</f>
        <v>0</v>
      </c>
      <c r="F62" s="145">
        <f t="shared" si="0"/>
        <v>0</v>
      </c>
      <c r="G62" s="145">
        <f t="shared" si="14"/>
        <v>0</v>
      </c>
      <c r="H62" s="145">
        <f t="shared" si="15"/>
        <v>0</v>
      </c>
      <c r="I62" s="145">
        <f t="shared" si="1"/>
        <v>0</v>
      </c>
      <c r="J62" s="145">
        <f t="shared" si="2"/>
        <v>0</v>
      </c>
      <c r="K62" s="142" t="str">
        <f t="shared" si="16"/>
        <v>undefined</v>
      </c>
      <c r="L62" s="146">
        <f>IFERROR(INDEX(Työkonekanta!$I$3:$I$27,MATCH('S0b Baseline kasvu'!$A62,Työkonekanta!$A$3:$A$24,0),1)*(I62+J62)*f_adblue,0)</f>
        <v>0</v>
      </c>
      <c r="M62" s="146">
        <f t="shared" si="3"/>
        <v>0</v>
      </c>
      <c r="N62" s="143" t="str">
        <f>IF(tuulisähkö_vuosi&lt;='S0b Baseline kasvu'!C62,"tuulisähkö",ostosähkö_nyt)</f>
        <v>jäännössähkö</v>
      </c>
      <c r="O62" s="147">
        <f>INDEX(Muuttujat!$J$5:$J$21,MATCH($C62,Muuttujat!$H$5:$H$21,0),1)</f>
        <v>68.554749999999999</v>
      </c>
      <c r="P62" s="342">
        <f>1-(INDEX(Muuttujat!$O$5:$O$21,MATCH($C62,Muuttujat!$N$5:$N$21,0),1))</f>
        <v>1</v>
      </c>
      <c r="Q62" s="342">
        <f>INDEX(Muuttujat!$O$5:$O$21,MATCH($C62,Muuttujat!$N$5:$N$21,0),1)</f>
        <v>0</v>
      </c>
      <c r="R62" s="148">
        <f>INDEX(Muuttujat!$P$5:$P$21,MATCH($C62,Muuttujat!$N$5:$N$21,0),1)</f>
        <v>0</v>
      </c>
      <c r="S62" s="149">
        <f t="shared" si="4"/>
        <v>0</v>
      </c>
      <c r="T62" s="150">
        <f t="shared" si="5"/>
        <v>0</v>
      </c>
      <c r="U62" s="150">
        <f t="shared" si="6"/>
        <v>0</v>
      </c>
      <c r="V62" s="150">
        <f>IFERROR(INDEX(Työkonekanta!$J$3:$J$27,MATCH($A62,Työkonekanta!$A$3:$A$24,0),1)*$B62*ef_li_ion_akku/1000/1000/INDEX(Työkonekanta!$K$3:$K$27,MATCH($A62,Työkonekanta!$A$3:$A$24,0)),0)</f>
        <v>0</v>
      </c>
      <c r="W62" s="149">
        <f t="shared" si="7"/>
        <v>0</v>
      </c>
      <c r="X62" s="150">
        <f t="shared" si="8"/>
        <v>0</v>
      </c>
      <c r="Y62" s="151">
        <f t="shared" si="9"/>
        <v>0</v>
      </c>
      <c r="Z62" s="152">
        <f t="shared" si="17"/>
        <v>0</v>
      </c>
      <c r="AA62" s="179">
        <f t="shared" si="18"/>
        <v>0</v>
      </c>
      <c r="AB62" s="179">
        <f t="shared" si="19"/>
        <v>0</v>
      </c>
      <c r="AC62" s="180">
        <f t="shared" si="10"/>
        <v>0</v>
      </c>
      <c r="AD62" s="156">
        <f t="shared" si="20"/>
        <v>0</v>
      </c>
      <c r="AE62" s="146">
        <f>IFERROR(INDEX(Työkonekanta!$L$3:$L$30,MATCH($A62,Työkonekanta!$A$3:$A$30,0),1),0)*AF62</f>
        <v>0</v>
      </c>
      <c r="AF62" s="146">
        <f>IFERROR(INDEX(Työkonekanta!$N$3:$N$32,MATCH($A62,Työkonekanta!$A$3:$A$32,0),1),0)</f>
        <v>0</v>
      </c>
      <c r="AG62" s="332">
        <f>I62*INDEX(Muuttujat!$U$5:$U$21,MATCH($C62,Muuttujat!$N$5:$N$21,0),1)</f>
        <v>0</v>
      </c>
      <c r="AH62" s="332">
        <f>J62*INDEX(Muuttujat!$T$5:$T$21,MATCH($C62,Muuttujat!$N$5:$N$21,0),1)</f>
        <v>0</v>
      </c>
      <c r="AI62" s="332">
        <f t="shared" si="11"/>
        <v>0</v>
      </c>
      <c r="AJ62" s="332">
        <f t="shared" si="12"/>
        <v>0</v>
      </c>
      <c r="AK62" s="332">
        <f t="shared" si="21"/>
        <v>0</v>
      </c>
      <c r="AL62" s="332">
        <f t="shared" si="13"/>
        <v>0</v>
      </c>
    </row>
    <row r="63" spans="1:38">
      <c r="A63" s="139">
        <v>1</v>
      </c>
      <c r="B63" s="139">
        <f>IFERROR(INDEX(Työkonekanta!$F$3:$F$27,MATCH('S0b Baseline kasvu'!$A63,Työkonekanta!$A$3:$A$24,0),1),0)</f>
        <v>1</v>
      </c>
      <c r="C63" s="140">
        <v>2021</v>
      </c>
      <c r="D63" s="141" t="str">
        <f>IFERROR(INDEX(Työkonekanta!$D$3:$D$27,MATCH('S0b Baseline kasvu'!$A63,Työkonekanta!$A$3:$A$24,0),1),"undefined")</f>
        <v>pom</v>
      </c>
      <c r="E63" s="145">
        <f>IFERROR(INDEX(Työkonekanta!$G$3:$G$27,MATCH($A63,Työkonekanta!$A$3:$A$24,0),1)*INDEX(Työkonekanta!$H$3:$H$27,MATCH($A63,Työkonekanta!$A$3:$A$24,0),1)*(1+s0b_kasvu*($C63-2019))*$B63,0)</f>
        <v>10200</v>
      </c>
      <c r="F63" s="145">
        <f t="shared" si="0"/>
        <v>366180</v>
      </c>
      <c r="G63" s="145">
        <f t="shared" si="14"/>
        <v>355194.6</v>
      </c>
      <c r="H63" s="145">
        <f t="shared" si="15"/>
        <v>10985.4</v>
      </c>
      <c r="I63" s="145">
        <f t="shared" si="1"/>
        <v>9894</v>
      </c>
      <c r="J63" s="145">
        <f t="shared" si="2"/>
        <v>320.27405247813414</v>
      </c>
      <c r="K63" s="142" t="str">
        <f t="shared" si="16"/>
        <v>l</v>
      </c>
      <c r="L63" s="146">
        <f>IFERROR(INDEX(Työkonekanta!$I$3:$I$27,MATCH('S0b Baseline kasvu'!$A63,Työkonekanta!$A$3:$A$24,0),1)*(I63+J63)*f_adblue,0)</f>
        <v>510.71370262390678</v>
      </c>
      <c r="M63" s="146">
        <f t="shared" si="3"/>
        <v>0</v>
      </c>
      <c r="N63" s="143" t="str">
        <f>IF(tuulisähkö_vuosi&lt;='S0b Baseline kasvu'!C63,"tuulisähkö",ostosähkö_nyt)</f>
        <v>jäännössähkö</v>
      </c>
      <c r="O63" s="147">
        <f>INDEX(Muuttujat!$J$5:$J$21,MATCH($C63,Muuttujat!$H$5:$H$21,0),1)</f>
        <v>67.8692025</v>
      </c>
      <c r="P63" s="342">
        <f>1-(INDEX(Muuttujat!$O$5:$O$21,MATCH($C63,Muuttujat!$N$5:$N$21,0),1))</f>
        <v>0.97</v>
      </c>
      <c r="Q63" s="342">
        <f>INDEX(Muuttujat!$O$5:$O$21,MATCH($C63,Muuttujat!$N$5:$N$21,0),1)</f>
        <v>0.03</v>
      </c>
      <c r="R63" s="148">
        <f>INDEX(Muuttujat!$P$5:$P$21,MATCH($C63,Muuttujat!$N$5:$N$21,0),1)</f>
        <v>3.1355537414087732E-2</v>
      </c>
      <c r="S63" s="149">
        <f t="shared" si="4"/>
        <v>6.7131779399999996</v>
      </c>
      <c r="T63" s="150">
        <f t="shared" si="5"/>
        <v>0.68548895999999993</v>
      </c>
      <c r="U63" s="150">
        <f t="shared" si="6"/>
        <v>0</v>
      </c>
      <c r="V63" s="150">
        <f>IFERROR(INDEX(Työkonekanta!$J$3:$J$27,MATCH($A63,Työkonekanta!$A$3:$A$24,0),1)*$B63*ef_li_ion_akku/1000/1000/INDEX(Työkonekanta!$K$3:$K$27,MATCH($A63,Työkonekanta!$A$3:$A$24,0)),0)</f>
        <v>0</v>
      </c>
      <c r="W63" s="149">
        <f t="shared" si="7"/>
        <v>26.2162933551684</v>
      </c>
      <c r="X63" s="150">
        <f t="shared" si="8"/>
        <v>0.32410057319999996</v>
      </c>
      <c r="Y63" s="151">
        <f t="shared" si="9"/>
        <v>0.13278556268221575</v>
      </c>
      <c r="Z63" s="152">
        <f t="shared" si="17"/>
        <v>7.3986668999999994</v>
      </c>
      <c r="AA63" s="179">
        <f t="shared" si="18"/>
        <v>26.349078917850616</v>
      </c>
      <c r="AB63" s="179">
        <f t="shared" si="19"/>
        <v>26.673179491050615</v>
      </c>
      <c r="AC63" s="180">
        <f t="shared" si="10"/>
        <v>33.747745817850614</v>
      </c>
      <c r="AD63" s="156">
        <f t="shared" si="20"/>
        <v>34.071846391050613</v>
      </c>
      <c r="AE63" s="146">
        <f>IFERROR(INDEX(Työkonekanta!$L$3:$L$30,MATCH($A63,Työkonekanta!$A$3:$A$30,0),1),0)*AF63</f>
        <v>500000</v>
      </c>
      <c r="AF63" s="146">
        <f>IFERROR(INDEX(Työkonekanta!$N$3:$N$32,MATCH($A63,Työkonekanta!$A$3:$A$32,0),1),0)</f>
        <v>1</v>
      </c>
      <c r="AG63" s="332">
        <f>I63*INDEX(Muuttujat!$U$5:$U$21,MATCH($C63,Muuttujat!$N$5:$N$21,0),1)</f>
        <v>9795.06</v>
      </c>
      <c r="AH63" s="332">
        <f>J63*INDEX(Muuttujat!$T$5:$T$21,MATCH($C63,Muuttujat!$N$5:$N$21,0),1)</f>
        <v>445.18093294460647</v>
      </c>
      <c r="AI63" s="332">
        <f t="shared" si="11"/>
        <v>255.35685131195339</v>
      </c>
      <c r="AJ63" s="332">
        <f t="shared" si="12"/>
        <v>0</v>
      </c>
      <c r="AK63" s="332">
        <f t="shared" si="21"/>
        <v>10495.597784256559</v>
      </c>
      <c r="AL63" s="332">
        <f t="shared" si="13"/>
        <v>10495.597784256559</v>
      </c>
    </row>
    <row r="64" spans="1:38">
      <c r="A64" s="139">
        <v>2</v>
      </c>
      <c r="B64" s="139">
        <f>IFERROR(INDEX(Työkonekanta!$F$3:$F$27,MATCH('S0b Baseline kasvu'!$A64,Työkonekanta!$A$3:$A$24,0),1),0)</f>
        <v>1</v>
      </c>
      <c r="C64" s="140">
        <v>2021</v>
      </c>
      <c r="D64" s="141" t="str">
        <f>IFERROR(INDEX(Työkonekanta!$D$3:$D$27,MATCH('S0b Baseline kasvu'!$A64,Työkonekanta!$A$3:$A$24,0),1),"undefined")</f>
        <v>pom</v>
      </c>
      <c r="E64" s="145">
        <f>IFERROR(INDEX(Työkonekanta!$G$3:$G$27,MATCH($A64,Työkonekanta!$A$3:$A$24,0),1)*INDEX(Työkonekanta!$H$3:$H$27,MATCH($A64,Työkonekanta!$A$3:$A$24,0),1)*(1+s0b_kasvu*($C64-2019))*$B64,0)</f>
        <v>10200</v>
      </c>
      <c r="F64" s="145">
        <f t="shared" si="0"/>
        <v>366180</v>
      </c>
      <c r="G64" s="145">
        <f t="shared" si="14"/>
        <v>355194.6</v>
      </c>
      <c r="H64" s="145">
        <f t="shared" si="15"/>
        <v>10985.4</v>
      </c>
      <c r="I64" s="145">
        <f t="shared" si="1"/>
        <v>9894</v>
      </c>
      <c r="J64" s="145">
        <f t="shared" si="2"/>
        <v>320.27405247813414</v>
      </c>
      <c r="K64" s="142" t="str">
        <f t="shared" si="16"/>
        <v>l</v>
      </c>
      <c r="L64" s="146">
        <f>IFERROR(INDEX(Työkonekanta!$I$3:$I$27,MATCH('S0b Baseline kasvu'!$A64,Työkonekanta!$A$3:$A$24,0),1)*(I64+J64)*f_adblue,0)</f>
        <v>510.71370262390678</v>
      </c>
      <c r="M64" s="146">
        <f t="shared" si="3"/>
        <v>0</v>
      </c>
      <c r="N64" s="143" t="str">
        <f>IF(tuulisähkö_vuosi&lt;='S0b Baseline kasvu'!C64,"tuulisähkö",ostosähkö_nyt)</f>
        <v>jäännössähkö</v>
      </c>
      <c r="O64" s="147">
        <f>INDEX(Muuttujat!$J$5:$J$21,MATCH($C64,Muuttujat!$H$5:$H$21,0),1)</f>
        <v>67.8692025</v>
      </c>
      <c r="P64" s="342">
        <f>1-(INDEX(Muuttujat!$O$5:$O$21,MATCH($C64,Muuttujat!$N$5:$N$21,0),1))</f>
        <v>0.97</v>
      </c>
      <c r="Q64" s="342">
        <f>INDEX(Muuttujat!$O$5:$O$21,MATCH($C64,Muuttujat!$N$5:$N$21,0),1)</f>
        <v>0.03</v>
      </c>
      <c r="R64" s="148">
        <f>INDEX(Muuttujat!$P$5:$P$21,MATCH($C64,Muuttujat!$N$5:$N$21,0),1)</f>
        <v>3.1355537414087732E-2</v>
      </c>
      <c r="S64" s="149">
        <f t="shared" si="4"/>
        <v>6.7131779399999996</v>
      </c>
      <c r="T64" s="150">
        <f t="shared" si="5"/>
        <v>0.68548895999999993</v>
      </c>
      <c r="U64" s="150">
        <f t="shared" si="6"/>
        <v>0</v>
      </c>
      <c r="V64" s="150">
        <f>IFERROR(INDEX(Työkonekanta!$J$3:$J$27,MATCH($A64,Työkonekanta!$A$3:$A$24,0),1)*$B64*ef_li_ion_akku/1000/1000/INDEX(Työkonekanta!$K$3:$K$27,MATCH($A64,Työkonekanta!$A$3:$A$24,0)),0)</f>
        <v>0</v>
      </c>
      <c r="W64" s="149">
        <f t="shared" si="7"/>
        <v>26.2162933551684</v>
      </c>
      <c r="X64" s="150">
        <f t="shared" si="8"/>
        <v>0.32410057319999996</v>
      </c>
      <c r="Y64" s="151">
        <f t="shared" si="9"/>
        <v>0.13278556268221575</v>
      </c>
      <c r="Z64" s="152">
        <f t="shared" si="17"/>
        <v>7.3986668999999994</v>
      </c>
      <c r="AA64" s="179">
        <f t="shared" si="18"/>
        <v>26.349078917850616</v>
      </c>
      <c r="AB64" s="179">
        <f t="shared" si="19"/>
        <v>26.673179491050615</v>
      </c>
      <c r="AC64" s="180">
        <f t="shared" si="10"/>
        <v>33.747745817850614</v>
      </c>
      <c r="AD64" s="156">
        <f t="shared" si="20"/>
        <v>34.071846391050613</v>
      </c>
      <c r="AE64" s="146">
        <f>IFERROR(INDEX(Työkonekanta!$L$3:$L$30,MATCH($A64,Työkonekanta!$A$3:$A$30,0),1),0)*AF64</f>
        <v>500000</v>
      </c>
      <c r="AF64" s="146">
        <f>IFERROR(INDEX(Työkonekanta!$N$3:$N$32,MATCH($A64,Työkonekanta!$A$3:$A$32,0),1),0)</f>
        <v>1</v>
      </c>
      <c r="AG64" s="332">
        <f>I64*INDEX(Muuttujat!$U$5:$U$21,MATCH($C64,Muuttujat!$N$5:$N$21,0),1)</f>
        <v>9795.06</v>
      </c>
      <c r="AH64" s="332">
        <f>J64*INDEX(Muuttujat!$T$5:$T$21,MATCH($C64,Muuttujat!$N$5:$N$21,0),1)</f>
        <v>445.18093294460647</v>
      </c>
      <c r="AI64" s="332">
        <f t="shared" si="11"/>
        <v>255.35685131195339</v>
      </c>
      <c r="AJ64" s="332">
        <f t="shared" si="12"/>
        <v>0</v>
      </c>
      <c r="AK64" s="332">
        <f t="shared" si="21"/>
        <v>10495.597784256559</v>
      </c>
      <c r="AL64" s="332">
        <f t="shared" si="13"/>
        <v>10495.597784256559</v>
      </c>
    </row>
    <row r="65" spans="1:38">
      <c r="A65" s="139">
        <v>3</v>
      </c>
      <c r="B65" s="139">
        <f>IFERROR(INDEX(Työkonekanta!$F$3:$F$27,MATCH('S0b Baseline kasvu'!$A65,Työkonekanta!$A$3:$A$24,0),1),0)</f>
        <v>1</v>
      </c>
      <c r="C65" s="140">
        <v>2021</v>
      </c>
      <c r="D65" s="141" t="str">
        <f>IFERROR(INDEX(Työkonekanta!$D$3:$D$27,MATCH('S0b Baseline kasvu'!$A65,Työkonekanta!$A$3:$A$24,0),1),"undefined")</f>
        <v>pom</v>
      </c>
      <c r="E65" s="145">
        <f>IFERROR(INDEX(Työkonekanta!$G$3:$G$27,MATCH($A65,Työkonekanta!$A$3:$A$24,0),1)*INDEX(Työkonekanta!$H$3:$H$27,MATCH($A65,Työkonekanta!$A$3:$A$24,0),1)*(1+s0b_kasvu*($C65-2019))*$B65,0)</f>
        <v>10200</v>
      </c>
      <c r="F65" s="145">
        <f t="shared" si="0"/>
        <v>366180</v>
      </c>
      <c r="G65" s="145">
        <f t="shared" si="14"/>
        <v>355194.6</v>
      </c>
      <c r="H65" s="145">
        <f t="shared" si="15"/>
        <v>10985.4</v>
      </c>
      <c r="I65" s="145">
        <f t="shared" si="1"/>
        <v>9894</v>
      </c>
      <c r="J65" s="145">
        <f t="shared" si="2"/>
        <v>320.27405247813414</v>
      </c>
      <c r="K65" s="142" t="str">
        <f t="shared" si="16"/>
        <v>l</v>
      </c>
      <c r="L65" s="146">
        <f>IFERROR(INDEX(Työkonekanta!$I$3:$I$27,MATCH('S0b Baseline kasvu'!$A65,Työkonekanta!$A$3:$A$24,0),1)*(I65+J65)*f_adblue,0)</f>
        <v>510.71370262390678</v>
      </c>
      <c r="M65" s="146">
        <f t="shared" si="3"/>
        <v>0</v>
      </c>
      <c r="N65" s="143" t="str">
        <f>IF(tuulisähkö_vuosi&lt;='S0b Baseline kasvu'!C65,"tuulisähkö",ostosähkö_nyt)</f>
        <v>jäännössähkö</v>
      </c>
      <c r="O65" s="147">
        <f>INDEX(Muuttujat!$J$5:$J$21,MATCH($C65,Muuttujat!$H$5:$H$21,0),1)</f>
        <v>67.8692025</v>
      </c>
      <c r="P65" s="342">
        <f>1-(INDEX(Muuttujat!$O$5:$O$21,MATCH($C65,Muuttujat!$N$5:$N$21,0),1))</f>
        <v>0.97</v>
      </c>
      <c r="Q65" s="342">
        <f>INDEX(Muuttujat!$O$5:$O$21,MATCH($C65,Muuttujat!$N$5:$N$21,0),1)</f>
        <v>0.03</v>
      </c>
      <c r="R65" s="148">
        <f>INDEX(Muuttujat!$P$5:$P$21,MATCH($C65,Muuttujat!$N$5:$N$21,0),1)</f>
        <v>3.1355537414087732E-2</v>
      </c>
      <c r="S65" s="149">
        <f t="shared" si="4"/>
        <v>6.7131779399999996</v>
      </c>
      <c r="T65" s="150">
        <f t="shared" si="5"/>
        <v>0.68548895999999993</v>
      </c>
      <c r="U65" s="150">
        <f t="shared" si="6"/>
        <v>0</v>
      </c>
      <c r="V65" s="150">
        <f>IFERROR(INDEX(Työkonekanta!$J$3:$J$27,MATCH($A65,Työkonekanta!$A$3:$A$24,0),1)*$B65*ef_li_ion_akku/1000/1000/INDEX(Työkonekanta!$K$3:$K$27,MATCH($A65,Työkonekanta!$A$3:$A$24,0)),0)</f>
        <v>0</v>
      </c>
      <c r="W65" s="149">
        <f t="shared" si="7"/>
        <v>26.2162933551684</v>
      </c>
      <c r="X65" s="150">
        <f t="shared" si="8"/>
        <v>0.32410057319999996</v>
      </c>
      <c r="Y65" s="151">
        <f t="shared" si="9"/>
        <v>0.13278556268221575</v>
      </c>
      <c r="Z65" s="152">
        <f t="shared" si="17"/>
        <v>7.3986668999999994</v>
      </c>
      <c r="AA65" s="179">
        <f t="shared" si="18"/>
        <v>26.349078917850616</v>
      </c>
      <c r="AB65" s="179">
        <f t="shared" si="19"/>
        <v>26.673179491050615</v>
      </c>
      <c r="AC65" s="180">
        <f t="shared" si="10"/>
        <v>33.747745817850614</v>
      </c>
      <c r="AD65" s="156">
        <f t="shared" si="20"/>
        <v>34.071846391050613</v>
      </c>
      <c r="AE65" s="146">
        <f>IFERROR(INDEX(Työkonekanta!$L$3:$L$30,MATCH($A65,Työkonekanta!$A$3:$A$30,0),1),0)*AF65</f>
        <v>0</v>
      </c>
      <c r="AF65" s="146">
        <f>IFERROR(INDEX(Työkonekanta!$N$3:$N$32,MATCH($A65,Työkonekanta!$A$3:$A$32,0),1),0)</f>
        <v>0</v>
      </c>
      <c r="AG65" s="332">
        <f>I65*INDEX(Muuttujat!$U$5:$U$21,MATCH($C65,Muuttujat!$N$5:$N$21,0),1)</f>
        <v>9795.06</v>
      </c>
      <c r="AH65" s="332">
        <f>J65*INDEX(Muuttujat!$T$5:$T$21,MATCH($C65,Muuttujat!$N$5:$N$21,0),1)</f>
        <v>445.18093294460647</v>
      </c>
      <c r="AI65" s="332">
        <f t="shared" si="11"/>
        <v>255.35685131195339</v>
      </c>
      <c r="AJ65" s="332">
        <f t="shared" si="12"/>
        <v>0</v>
      </c>
      <c r="AK65" s="332">
        <f t="shared" si="21"/>
        <v>10495.597784256559</v>
      </c>
      <c r="AL65" s="332">
        <f t="shared" si="13"/>
        <v>10495.597784256559</v>
      </c>
    </row>
    <row r="66" spans="1:38">
      <c r="A66" s="139">
        <v>4</v>
      </c>
      <c r="B66" s="139">
        <f>IFERROR(INDEX(Työkonekanta!$F$3:$F$27,MATCH('S0b Baseline kasvu'!$A66,Työkonekanta!$A$3:$A$24,0),1),0)</f>
        <v>1</v>
      </c>
      <c r="C66" s="140">
        <v>2021</v>
      </c>
      <c r="D66" s="141" t="str">
        <f>IFERROR(INDEX(Työkonekanta!$D$3:$D$27,MATCH('S0b Baseline kasvu'!$A66,Työkonekanta!$A$3:$A$24,0),1),"undefined")</f>
        <v>pom</v>
      </c>
      <c r="E66" s="145">
        <f>IFERROR(INDEX(Työkonekanta!$G$3:$G$27,MATCH($A66,Työkonekanta!$A$3:$A$24,0),1)*INDEX(Työkonekanta!$H$3:$H$27,MATCH($A66,Työkonekanta!$A$3:$A$24,0),1)*(1+s0b_kasvu*($C66-2019))*$B66,0)</f>
        <v>10200</v>
      </c>
      <c r="F66" s="145">
        <f t="shared" si="0"/>
        <v>366180</v>
      </c>
      <c r="G66" s="145">
        <f t="shared" si="14"/>
        <v>355194.6</v>
      </c>
      <c r="H66" s="145">
        <f t="shared" si="15"/>
        <v>10985.4</v>
      </c>
      <c r="I66" s="145">
        <f t="shared" si="1"/>
        <v>9894</v>
      </c>
      <c r="J66" s="145">
        <f t="shared" si="2"/>
        <v>320.27405247813414</v>
      </c>
      <c r="K66" s="142" t="str">
        <f t="shared" si="16"/>
        <v>l</v>
      </c>
      <c r="L66" s="146">
        <f>IFERROR(INDEX(Työkonekanta!$I$3:$I$27,MATCH('S0b Baseline kasvu'!$A66,Työkonekanta!$A$3:$A$24,0),1)*(I66+J66)*f_adblue,0)</f>
        <v>510.71370262390678</v>
      </c>
      <c r="M66" s="146">
        <f t="shared" si="3"/>
        <v>0</v>
      </c>
      <c r="N66" s="143" t="str">
        <f>IF(tuulisähkö_vuosi&lt;='S0b Baseline kasvu'!C66,"tuulisähkö",ostosähkö_nyt)</f>
        <v>jäännössähkö</v>
      </c>
      <c r="O66" s="147">
        <f>INDEX(Muuttujat!$J$5:$J$21,MATCH($C66,Muuttujat!$H$5:$H$21,0),1)</f>
        <v>67.8692025</v>
      </c>
      <c r="P66" s="342">
        <f>1-(INDEX(Muuttujat!$O$5:$O$21,MATCH($C66,Muuttujat!$N$5:$N$21,0),1))</f>
        <v>0.97</v>
      </c>
      <c r="Q66" s="342">
        <f>INDEX(Muuttujat!$O$5:$O$21,MATCH($C66,Muuttujat!$N$5:$N$21,0),1)</f>
        <v>0.03</v>
      </c>
      <c r="R66" s="148">
        <f>INDEX(Muuttujat!$P$5:$P$21,MATCH($C66,Muuttujat!$N$5:$N$21,0),1)</f>
        <v>3.1355537414087732E-2</v>
      </c>
      <c r="S66" s="149">
        <f t="shared" si="4"/>
        <v>6.7131779399999996</v>
      </c>
      <c r="T66" s="150">
        <f t="shared" si="5"/>
        <v>0.68548895999999993</v>
      </c>
      <c r="U66" s="150">
        <f t="shared" si="6"/>
        <v>0</v>
      </c>
      <c r="V66" s="150">
        <f>IFERROR(INDEX(Työkonekanta!$J$3:$J$27,MATCH($A66,Työkonekanta!$A$3:$A$24,0),1)*$B66*ef_li_ion_akku/1000/1000/INDEX(Työkonekanta!$K$3:$K$27,MATCH($A66,Työkonekanta!$A$3:$A$24,0)),0)</f>
        <v>0</v>
      </c>
      <c r="W66" s="149">
        <f t="shared" si="7"/>
        <v>26.2162933551684</v>
      </c>
      <c r="X66" s="150">
        <f t="shared" si="8"/>
        <v>0.32410057319999996</v>
      </c>
      <c r="Y66" s="151">
        <f t="shared" si="9"/>
        <v>0.13278556268221575</v>
      </c>
      <c r="Z66" s="152">
        <f t="shared" si="17"/>
        <v>7.3986668999999994</v>
      </c>
      <c r="AA66" s="179">
        <f t="shared" si="18"/>
        <v>26.349078917850616</v>
      </c>
      <c r="AB66" s="179">
        <f t="shared" si="19"/>
        <v>26.673179491050615</v>
      </c>
      <c r="AC66" s="180">
        <f t="shared" si="10"/>
        <v>33.747745817850614</v>
      </c>
      <c r="AD66" s="156">
        <f t="shared" si="20"/>
        <v>34.071846391050613</v>
      </c>
      <c r="AE66" s="146">
        <f>IFERROR(INDEX(Työkonekanta!$L$3:$L$30,MATCH($A66,Työkonekanta!$A$3:$A$30,0),1),0)*AF66</f>
        <v>0</v>
      </c>
      <c r="AF66" s="146">
        <f>IFERROR(INDEX(Työkonekanta!$N$3:$N$32,MATCH($A66,Työkonekanta!$A$3:$A$32,0),1),0)</f>
        <v>0</v>
      </c>
      <c r="AG66" s="332">
        <f>I66*INDEX(Muuttujat!$U$5:$U$21,MATCH($C66,Muuttujat!$N$5:$N$21,0),1)</f>
        <v>9795.06</v>
      </c>
      <c r="AH66" s="332">
        <f>J66*INDEX(Muuttujat!$T$5:$T$21,MATCH($C66,Muuttujat!$N$5:$N$21,0),1)</f>
        <v>445.18093294460647</v>
      </c>
      <c r="AI66" s="332">
        <f t="shared" si="11"/>
        <v>255.35685131195339</v>
      </c>
      <c r="AJ66" s="332">
        <f t="shared" si="12"/>
        <v>0</v>
      </c>
      <c r="AK66" s="332">
        <f t="shared" si="21"/>
        <v>10495.597784256559</v>
      </c>
      <c r="AL66" s="332">
        <f t="shared" si="13"/>
        <v>10495.597784256559</v>
      </c>
    </row>
    <row r="67" spans="1:38">
      <c r="A67" s="139">
        <v>5</v>
      </c>
      <c r="B67" s="139">
        <f>IFERROR(INDEX(Työkonekanta!$F$3:$F$27,MATCH('S0b Baseline kasvu'!$A67,Työkonekanta!$A$3:$A$24,0),1),0)</f>
        <v>0</v>
      </c>
      <c r="C67" s="140">
        <v>2021</v>
      </c>
      <c r="D67" s="141" t="str">
        <f>IFERROR(INDEX(Työkonekanta!$D$3:$D$27,MATCH('S0b Baseline kasvu'!$A67,Työkonekanta!$A$3:$A$24,0),1),"undefined")</f>
        <v>sähkö</v>
      </c>
      <c r="E67" s="145">
        <f>IFERROR(INDEX(Työkonekanta!$G$3:$G$27,MATCH($A67,Työkonekanta!$A$3:$A$24,0),1)*INDEX(Työkonekanta!$H$3:$H$27,MATCH($A67,Työkonekanta!$A$3:$A$24,0),1)*(1+s0b_kasvu*($C67-2019))*$B67,0)</f>
        <v>0</v>
      </c>
      <c r="F67" s="145">
        <f t="shared" ref="F67:F130" si="22">IF(D67="pom",$E67*hv_pom,0)</f>
        <v>0</v>
      </c>
      <c r="G67" s="145">
        <f t="shared" si="14"/>
        <v>0</v>
      </c>
      <c r="H67" s="145">
        <f t="shared" si="15"/>
        <v>0</v>
      </c>
      <c r="I67" s="145">
        <f t="shared" ref="I67:I130" si="23">$G67/hv_pom</f>
        <v>0</v>
      </c>
      <c r="J67" s="145">
        <f t="shared" ref="J67:J130" si="24">$H67/hv_biodies</f>
        <v>0</v>
      </c>
      <c r="K67" s="142" t="str">
        <f t="shared" si="16"/>
        <v>kWh</v>
      </c>
      <c r="L67" s="146">
        <f>IFERROR(INDEX(Työkonekanta!$I$3:$I$27,MATCH('S0b Baseline kasvu'!$A67,Työkonekanta!$A$3:$A$24,0),1)*(I67+J67)*f_adblue,0)</f>
        <v>0</v>
      </c>
      <c r="M67" s="146">
        <f t="shared" si="3"/>
        <v>0</v>
      </c>
      <c r="N67" s="143" t="str">
        <f>IF(tuulisähkö_vuosi&lt;='S0b Baseline kasvu'!C67,"tuulisähkö",ostosähkö_nyt)</f>
        <v>jäännössähkö</v>
      </c>
      <c r="O67" s="147">
        <f>INDEX(Muuttujat!$J$5:$J$21,MATCH($C67,Muuttujat!$H$5:$H$21,0),1)</f>
        <v>67.8692025</v>
      </c>
      <c r="P67" s="342">
        <f>1-(INDEX(Muuttujat!$O$5:$O$21,MATCH($C67,Muuttujat!$N$5:$N$21,0),1))</f>
        <v>0.97</v>
      </c>
      <c r="Q67" s="342">
        <f>INDEX(Muuttujat!$O$5:$O$21,MATCH($C67,Muuttujat!$N$5:$N$21,0),1)</f>
        <v>0.03</v>
      </c>
      <c r="R67" s="148">
        <f>INDEX(Muuttujat!$P$5:$P$21,MATCH($C67,Muuttujat!$N$5:$N$21,0),1)</f>
        <v>3.1355537414087732E-2</v>
      </c>
      <c r="S67" s="149">
        <f t="shared" ref="S67:S130" si="25">wtt_ef_e_co2_dies*$G67/1000/1000</f>
        <v>0</v>
      </c>
      <c r="T67" s="150">
        <f t="shared" ref="T67:T130" si="26">wtt_ef_e_co2_biodies*$H67/1000/1000</f>
        <v>0</v>
      </c>
      <c r="U67" s="150">
        <f t="shared" ref="U67:U130" si="27">IF(N67="jäännössähkö",$O67,IF(N67="tuulisähkö",wtt_ef_e_co2_el_wind,0))*$M67/1000/1000</f>
        <v>0</v>
      </c>
      <c r="V67" s="150">
        <f>IFERROR(INDEX(Työkonekanta!$J$3:$J$27,MATCH($A67,Työkonekanta!$A$3:$A$24,0),1)*$B67*ef_li_ion_akku/1000/1000/INDEX(Työkonekanta!$K$3:$K$27,MATCH($A67,Työkonekanta!$A$3:$A$24,0)),0)</f>
        <v>0</v>
      </c>
      <c r="W67" s="149">
        <f t="shared" si="7"/>
        <v>0</v>
      </c>
      <c r="X67" s="150">
        <f t="shared" si="8"/>
        <v>0</v>
      </c>
      <c r="Y67" s="151">
        <f t="shared" si="9"/>
        <v>0</v>
      </c>
      <c r="Z67" s="152">
        <f t="shared" si="17"/>
        <v>0</v>
      </c>
      <c r="AA67" s="179">
        <f t="shared" si="18"/>
        <v>0</v>
      </c>
      <c r="AB67" s="179">
        <f t="shared" si="19"/>
        <v>0</v>
      </c>
      <c r="AC67" s="180">
        <f t="shared" si="10"/>
        <v>0</v>
      </c>
      <c r="AD67" s="156">
        <f t="shared" si="20"/>
        <v>0</v>
      </c>
      <c r="AE67" s="146">
        <f>IFERROR(INDEX(Työkonekanta!$L$3:$L$30,MATCH($A67,Työkonekanta!$A$3:$A$30,0),1),0)*AF67</f>
        <v>0</v>
      </c>
      <c r="AF67" s="146">
        <f>IFERROR(INDEX(Työkonekanta!$N$3:$N$32,MATCH($A67,Työkonekanta!$A$3:$A$32,0),1),0)</f>
        <v>0</v>
      </c>
      <c r="AG67" s="332">
        <f>I67*INDEX(Muuttujat!$U$5:$U$21,MATCH($C67,Muuttujat!$N$5:$N$21,0),1)</f>
        <v>0</v>
      </c>
      <c r="AH67" s="332">
        <f>J67*INDEX(Muuttujat!$T$5:$T$21,MATCH($C67,Muuttujat!$N$5:$N$21,0),1)</f>
        <v>0</v>
      </c>
      <c r="AI67" s="332">
        <f t="shared" ref="AI67:AI130" si="28">L67*hinta_adblue</f>
        <v>0</v>
      </c>
      <c r="AJ67" s="332">
        <f t="shared" ref="AJ67:AJ130" si="29">M67/conv_kwh_mj*hinta_sähkö3</f>
        <v>0</v>
      </c>
      <c r="AK67" s="332">
        <f t="shared" si="21"/>
        <v>0</v>
      </c>
      <c r="AL67" s="332">
        <f t="shared" ref="AL67:AL130" si="30">IFERROR(AK67/B67,0)</f>
        <v>0</v>
      </c>
    </row>
    <row r="68" spans="1:38">
      <c r="A68" s="139">
        <v>6</v>
      </c>
      <c r="B68" s="139">
        <f>IFERROR(INDEX(Työkonekanta!$F$3:$F$27,MATCH('S0b Baseline kasvu'!$A68,Työkonekanta!$A$3:$A$24,0),1),0)</f>
        <v>0</v>
      </c>
      <c r="C68" s="140">
        <v>2021</v>
      </c>
      <c r="D68" s="141" t="str">
        <f>IFERROR(INDEX(Työkonekanta!$D$3:$D$27,MATCH('S0b Baseline kasvu'!$A68,Työkonekanta!$A$3:$A$24,0),1),"undefined")</f>
        <v>sähkö</v>
      </c>
      <c r="E68" s="145">
        <f>IFERROR(INDEX(Työkonekanta!$G$3:$G$27,MATCH($A68,Työkonekanta!$A$3:$A$24,0),1)*INDEX(Työkonekanta!$H$3:$H$27,MATCH($A68,Työkonekanta!$A$3:$A$24,0),1)*(1+s0b_kasvu*($C68-2019))*$B68,0)</f>
        <v>0</v>
      </c>
      <c r="F68" s="145">
        <f t="shared" si="22"/>
        <v>0</v>
      </c>
      <c r="G68" s="145">
        <f t="shared" ref="G68:G131" si="31">$F68*$P68</f>
        <v>0</v>
      </c>
      <c r="H68" s="145">
        <f t="shared" ref="H68:H131" si="32">$F68*$Q68</f>
        <v>0</v>
      </c>
      <c r="I68" s="145">
        <f t="shared" si="23"/>
        <v>0</v>
      </c>
      <c r="J68" s="145">
        <f t="shared" si="24"/>
        <v>0</v>
      </c>
      <c r="K68" s="142" t="str">
        <f t="shared" ref="K68:K131" si="33">IF($D68="sähkö","kWh",IF($D68="pom","l","undefined"))</f>
        <v>kWh</v>
      </c>
      <c r="L68" s="146">
        <f>IFERROR(INDEX(Työkonekanta!$I$3:$I$27,MATCH('S0b Baseline kasvu'!$A68,Työkonekanta!$A$3:$A$24,0),1)*(I68+J68)*f_adblue,0)</f>
        <v>0</v>
      </c>
      <c r="M68" s="146">
        <f t="shared" si="3"/>
        <v>0</v>
      </c>
      <c r="N68" s="143" t="str">
        <f>IF(tuulisähkö_vuosi&lt;='S0b Baseline kasvu'!C68,"tuulisähkö",ostosähkö_nyt)</f>
        <v>jäännössähkö</v>
      </c>
      <c r="O68" s="147">
        <f>INDEX(Muuttujat!$J$5:$J$21,MATCH($C68,Muuttujat!$H$5:$H$21,0),1)</f>
        <v>67.8692025</v>
      </c>
      <c r="P68" s="342">
        <f>1-(INDEX(Muuttujat!$O$5:$O$21,MATCH($C68,Muuttujat!$N$5:$N$21,0),1))</f>
        <v>0.97</v>
      </c>
      <c r="Q68" s="342">
        <f>INDEX(Muuttujat!$O$5:$O$21,MATCH($C68,Muuttujat!$N$5:$N$21,0),1)</f>
        <v>0.03</v>
      </c>
      <c r="R68" s="148">
        <f>INDEX(Muuttujat!$P$5:$P$21,MATCH($C68,Muuttujat!$N$5:$N$21,0),1)</f>
        <v>3.1355537414087732E-2</v>
      </c>
      <c r="S68" s="149">
        <f t="shared" si="25"/>
        <v>0</v>
      </c>
      <c r="T68" s="150">
        <f t="shared" si="26"/>
        <v>0</v>
      </c>
      <c r="U68" s="150">
        <f t="shared" si="27"/>
        <v>0</v>
      </c>
      <c r="V68" s="150">
        <f>IFERROR(INDEX(Työkonekanta!$J$3:$J$27,MATCH($A68,Työkonekanta!$A$3:$A$24,0),1)*$B68*ef_li_ion_akku/1000/1000/INDEX(Työkonekanta!$K$3:$K$27,MATCH($A68,Työkonekanta!$A$3:$A$24,0)),0)</f>
        <v>0</v>
      </c>
      <c r="W68" s="149">
        <f t="shared" si="7"/>
        <v>0</v>
      </c>
      <c r="X68" s="150">
        <f t="shared" si="8"/>
        <v>0</v>
      </c>
      <c r="Y68" s="151">
        <f t="shared" si="9"/>
        <v>0</v>
      </c>
      <c r="Z68" s="152">
        <f t="shared" ref="Z68:Z131" si="34">SUM($S68:$V68)</f>
        <v>0</v>
      </c>
      <c r="AA68" s="179">
        <f t="shared" ref="AA68:AA131" si="35">$W68+$Y68</f>
        <v>0</v>
      </c>
      <c r="AB68" s="179">
        <f t="shared" ref="AB68:AB131" si="36">SUM($W68:$Y68)</f>
        <v>0</v>
      </c>
      <c r="AC68" s="180">
        <f t="shared" si="10"/>
        <v>0</v>
      </c>
      <c r="AD68" s="156">
        <f t="shared" ref="AD68:AD131" si="37">$Z68+$AB68</f>
        <v>0</v>
      </c>
      <c r="AE68" s="146">
        <f>IFERROR(INDEX(Työkonekanta!$L$3:$L$30,MATCH($A68,Työkonekanta!$A$3:$A$30,0),1),0)*AF68</f>
        <v>0</v>
      </c>
      <c r="AF68" s="146">
        <f>IFERROR(INDEX(Työkonekanta!$N$3:$N$32,MATCH($A68,Työkonekanta!$A$3:$A$32,0),1),0)</f>
        <v>0</v>
      </c>
      <c r="AG68" s="332">
        <f>I68*INDEX(Muuttujat!$U$5:$U$21,MATCH($C68,Muuttujat!$N$5:$N$21,0),1)</f>
        <v>0</v>
      </c>
      <c r="AH68" s="332">
        <f>J68*INDEX(Muuttujat!$T$5:$T$21,MATCH($C68,Muuttujat!$N$5:$N$21,0),1)</f>
        <v>0</v>
      </c>
      <c r="AI68" s="332">
        <f t="shared" si="28"/>
        <v>0</v>
      </c>
      <c r="AJ68" s="332">
        <f t="shared" si="29"/>
        <v>0</v>
      </c>
      <c r="AK68" s="332">
        <f t="shared" ref="AK68:AK131" si="38">SUM(AG68:AJ68)</f>
        <v>0</v>
      </c>
      <c r="AL68" s="332">
        <f t="shared" si="30"/>
        <v>0</v>
      </c>
    </row>
    <row r="69" spans="1:38">
      <c r="A69" s="139">
        <v>7</v>
      </c>
      <c r="B69" s="139">
        <f>IFERROR(INDEX(Työkonekanta!$F$3:$F$27,MATCH('S0b Baseline kasvu'!$A69,Työkonekanta!$A$3:$A$24,0),1),0)</f>
        <v>1</v>
      </c>
      <c r="C69" s="140">
        <v>2021</v>
      </c>
      <c r="D69" s="141" t="str">
        <f>IFERROR(INDEX(Työkonekanta!$D$3:$D$27,MATCH('S0b Baseline kasvu'!$A69,Työkonekanta!$A$3:$A$24,0),1),"undefined")</f>
        <v>pom</v>
      </c>
      <c r="E69" s="145">
        <f>IFERROR(INDEX(Työkonekanta!$G$3:$G$27,MATCH($A69,Työkonekanta!$A$3:$A$24,0),1)*INDEX(Työkonekanta!$H$3:$H$27,MATCH($A69,Työkonekanta!$A$3:$A$24,0),1)*(1+s0b_kasvu*($C69-2019))*$B69,0)</f>
        <v>10200</v>
      </c>
      <c r="F69" s="145">
        <f t="shared" si="22"/>
        <v>366180</v>
      </c>
      <c r="G69" s="145">
        <f t="shared" si="31"/>
        <v>355194.6</v>
      </c>
      <c r="H69" s="145">
        <f t="shared" si="32"/>
        <v>10985.4</v>
      </c>
      <c r="I69" s="145">
        <f t="shared" si="23"/>
        <v>9894</v>
      </c>
      <c r="J69" s="145">
        <f t="shared" si="24"/>
        <v>320.27405247813414</v>
      </c>
      <c r="K69" s="142" t="str">
        <f t="shared" si="33"/>
        <v>l</v>
      </c>
      <c r="L69" s="146">
        <f>IFERROR(INDEX(Työkonekanta!$I$3:$I$27,MATCH('S0b Baseline kasvu'!$A69,Työkonekanta!$A$3:$A$24,0),1)*(I69+J69)*f_adblue,0)</f>
        <v>0</v>
      </c>
      <c r="M69" s="146">
        <f t="shared" si="3"/>
        <v>0</v>
      </c>
      <c r="N69" s="143" t="str">
        <f>IF(tuulisähkö_vuosi&lt;='S0b Baseline kasvu'!C69,"tuulisähkö",ostosähkö_nyt)</f>
        <v>jäännössähkö</v>
      </c>
      <c r="O69" s="147">
        <f>INDEX(Muuttujat!$J$5:$J$21,MATCH($C69,Muuttujat!$H$5:$H$21,0),1)</f>
        <v>67.8692025</v>
      </c>
      <c r="P69" s="342">
        <f>1-(INDEX(Muuttujat!$O$5:$O$21,MATCH($C69,Muuttujat!$N$5:$N$21,0),1))</f>
        <v>0.97</v>
      </c>
      <c r="Q69" s="342">
        <f>INDEX(Muuttujat!$O$5:$O$21,MATCH($C69,Muuttujat!$N$5:$N$21,0),1)</f>
        <v>0.03</v>
      </c>
      <c r="R69" s="148">
        <f>INDEX(Muuttujat!$P$5:$P$21,MATCH($C69,Muuttujat!$N$5:$N$21,0),1)</f>
        <v>3.1355537414087732E-2</v>
      </c>
      <c r="S69" s="149">
        <f t="shared" si="25"/>
        <v>6.7131779399999996</v>
      </c>
      <c r="T69" s="150">
        <f t="shared" si="26"/>
        <v>0.68548895999999993</v>
      </c>
      <c r="U69" s="150">
        <f t="shared" si="27"/>
        <v>0</v>
      </c>
      <c r="V69" s="150">
        <f>IFERROR(INDEX(Työkonekanta!$J$3:$J$27,MATCH($A69,Työkonekanta!$A$3:$A$24,0),1)*$B69*ef_li_ion_akku/1000/1000/INDEX(Työkonekanta!$K$3:$K$27,MATCH($A69,Työkonekanta!$A$3:$A$24,0)),0)</f>
        <v>0</v>
      </c>
      <c r="W69" s="149">
        <f t="shared" si="7"/>
        <v>26.2162933551684</v>
      </c>
      <c r="X69" s="150">
        <f t="shared" si="8"/>
        <v>0.32410057319999996</v>
      </c>
      <c r="Y69" s="151">
        <f t="shared" si="9"/>
        <v>0</v>
      </c>
      <c r="Z69" s="152">
        <f t="shared" si="34"/>
        <v>7.3986668999999994</v>
      </c>
      <c r="AA69" s="179">
        <f t="shared" si="35"/>
        <v>26.2162933551684</v>
      </c>
      <c r="AB69" s="179">
        <f t="shared" si="36"/>
        <v>26.540393928368399</v>
      </c>
      <c r="AC69" s="180">
        <f t="shared" si="10"/>
        <v>33.614960255168398</v>
      </c>
      <c r="AD69" s="156">
        <f t="shared" si="37"/>
        <v>33.939060828368397</v>
      </c>
      <c r="AE69" s="146">
        <f>IFERROR(INDEX(Työkonekanta!$L$3:$L$30,MATCH($A69,Työkonekanta!$A$3:$A$30,0),1),0)*AF69</f>
        <v>500000</v>
      </c>
      <c r="AF69" s="146">
        <f>IFERROR(INDEX(Työkonekanta!$N$3:$N$32,MATCH($A69,Työkonekanta!$A$3:$A$32,0),1),0)</f>
        <v>1</v>
      </c>
      <c r="AG69" s="332">
        <f>I69*INDEX(Muuttujat!$U$5:$U$21,MATCH($C69,Muuttujat!$N$5:$N$21,0),1)</f>
        <v>9795.06</v>
      </c>
      <c r="AH69" s="332">
        <f>J69*INDEX(Muuttujat!$T$5:$T$21,MATCH($C69,Muuttujat!$N$5:$N$21,0),1)</f>
        <v>445.18093294460647</v>
      </c>
      <c r="AI69" s="332">
        <f t="shared" si="28"/>
        <v>0</v>
      </c>
      <c r="AJ69" s="332">
        <f t="shared" si="29"/>
        <v>0</v>
      </c>
      <c r="AK69" s="332">
        <f t="shared" si="38"/>
        <v>10240.240932944605</v>
      </c>
      <c r="AL69" s="332">
        <f t="shared" si="30"/>
        <v>10240.240932944605</v>
      </c>
    </row>
    <row r="70" spans="1:38">
      <c r="A70" s="139">
        <v>8</v>
      </c>
      <c r="B70" s="139">
        <f>IFERROR(INDEX(Työkonekanta!$F$3:$F$27,MATCH('S0b Baseline kasvu'!$A70,Työkonekanta!$A$3:$A$24,0),1),0)</f>
        <v>1</v>
      </c>
      <c r="C70" s="140">
        <v>2021</v>
      </c>
      <c r="D70" s="141" t="str">
        <f>IFERROR(INDEX(Työkonekanta!$D$3:$D$27,MATCH('S0b Baseline kasvu'!$A70,Työkonekanta!$A$3:$A$24,0),1),"undefined")</f>
        <v>pom</v>
      </c>
      <c r="E70" s="145">
        <f>IFERROR(INDEX(Työkonekanta!$G$3:$G$27,MATCH($A70,Työkonekanta!$A$3:$A$24,0),1)*INDEX(Työkonekanta!$H$3:$H$27,MATCH($A70,Työkonekanta!$A$3:$A$24,0),1)*(1+s0b_kasvu*($C70-2019))*$B70,0)</f>
        <v>10200</v>
      </c>
      <c r="F70" s="145">
        <f t="shared" si="22"/>
        <v>366180</v>
      </c>
      <c r="G70" s="145">
        <f t="shared" si="31"/>
        <v>355194.6</v>
      </c>
      <c r="H70" s="145">
        <f t="shared" si="32"/>
        <v>10985.4</v>
      </c>
      <c r="I70" s="145">
        <f t="shared" si="23"/>
        <v>9894</v>
      </c>
      <c r="J70" s="145">
        <f t="shared" si="24"/>
        <v>320.27405247813414</v>
      </c>
      <c r="K70" s="142" t="str">
        <f t="shared" si="33"/>
        <v>l</v>
      </c>
      <c r="L70" s="146">
        <f>IFERROR(INDEX(Työkonekanta!$I$3:$I$27,MATCH('S0b Baseline kasvu'!$A70,Työkonekanta!$A$3:$A$24,0),1)*(I70+J70)*f_adblue,0)</f>
        <v>510.71370262390678</v>
      </c>
      <c r="M70" s="146">
        <f t="shared" si="3"/>
        <v>0</v>
      </c>
      <c r="N70" s="143" t="str">
        <f>IF(tuulisähkö_vuosi&lt;='S0b Baseline kasvu'!C70,"tuulisähkö",ostosähkö_nyt)</f>
        <v>jäännössähkö</v>
      </c>
      <c r="O70" s="147">
        <f>INDEX(Muuttujat!$J$5:$J$21,MATCH($C70,Muuttujat!$H$5:$H$21,0),1)</f>
        <v>67.8692025</v>
      </c>
      <c r="P70" s="342">
        <f>1-(INDEX(Muuttujat!$O$5:$O$21,MATCH($C70,Muuttujat!$N$5:$N$21,0),1))</f>
        <v>0.97</v>
      </c>
      <c r="Q70" s="342">
        <f>INDEX(Muuttujat!$O$5:$O$21,MATCH($C70,Muuttujat!$N$5:$N$21,0),1)</f>
        <v>0.03</v>
      </c>
      <c r="R70" s="148">
        <f>INDEX(Muuttujat!$P$5:$P$21,MATCH($C70,Muuttujat!$N$5:$N$21,0),1)</f>
        <v>3.1355537414087732E-2</v>
      </c>
      <c r="S70" s="149">
        <f t="shared" si="25"/>
        <v>6.7131779399999996</v>
      </c>
      <c r="T70" s="150">
        <f t="shared" si="26"/>
        <v>0.68548895999999993</v>
      </c>
      <c r="U70" s="150">
        <f t="shared" si="27"/>
        <v>0</v>
      </c>
      <c r="V70" s="150">
        <f>IFERROR(INDEX(Työkonekanta!$J$3:$J$27,MATCH($A70,Työkonekanta!$A$3:$A$24,0),1)*$B70*ef_li_ion_akku/1000/1000/INDEX(Työkonekanta!$K$3:$K$27,MATCH($A70,Työkonekanta!$A$3:$A$24,0)),0)</f>
        <v>0</v>
      </c>
      <c r="W70" s="149">
        <f t="shared" si="7"/>
        <v>26.2162933551684</v>
      </c>
      <c r="X70" s="150">
        <f t="shared" si="8"/>
        <v>0.32410057319999996</v>
      </c>
      <c r="Y70" s="151">
        <f t="shared" si="9"/>
        <v>0.13278556268221575</v>
      </c>
      <c r="Z70" s="152">
        <f t="shared" si="34"/>
        <v>7.3986668999999994</v>
      </c>
      <c r="AA70" s="179">
        <f t="shared" si="35"/>
        <v>26.349078917850616</v>
      </c>
      <c r="AB70" s="179">
        <f t="shared" si="36"/>
        <v>26.673179491050615</v>
      </c>
      <c r="AC70" s="180">
        <f t="shared" si="10"/>
        <v>33.747745817850614</v>
      </c>
      <c r="AD70" s="156">
        <f t="shared" si="37"/>
        <v>34.071846391050613</v>
      </c>
      <c r="AE70" s="146">
        <f>IFERROR(INDEX(Työkonekanta!$L$3:$L$30,MATCH($A70,Työkonekanta!$A$3:$A$30,0),1),0)*AF70</f>
        <v>500000</v>
      </c>
      <c r="AF70" s="146">
        <f>IFERROR(INDEX(Työkonekanta!$N$3:$N$32,MATCH($A70,Työkonekanta!$A$3:$A$32,0),1),0)</f>
        <v>1</v>
      </c>
      <c r="AG70" s="332">
        <f>I70*INDEX(Muuttujat!$U$5:$U$21,MATCH($C70,Muuttujat!$N$5:$N$21,0),1)</f>
        <v>9795.06</v>
      </c>
      <c r="AH70" s="332">
        <f>J70*INDEX(Muuttujat!$T$5:$T$21,MATCH($C70,Muuttujat!$N$5:$N$21,0),1)</f>
        <v>445.18093294460647</v>
      </c>
      <c r="AI70" s="332">
        <f t="shared" si="28"/>
        <v>255.35685131195339</v>
      </c>
      <c r="AJ70" s="332">
        <f t="shared" si="29"/>
        <v>0</v>
      </c>
      <c r="AK70" s="332">
        <f t="shared" si="38"/>
        <v>10495.597784256559</v>
      </c>
      <c r="AL70" s="332">
        <f t="shared" si="30"/>
        <v>10495.597784256559</v>
      </c>
    </row>
    <row r="71" spans="1:38">
      <c r="A71" s="139">
        <v>9</v>
      </c>
      <c r="B71" s="139">
        <f>IFERROR(INDEX(Työkonekanta!$F$3:$F$27,MATCH('S0b Baseline kasvu'!$A71,Työkonekanta!$A$3:$A$24,0),1),0)</f>
        <v>0</v>
      </c>
      <c r="C71" s="140">
        <v>2021</v>
      </c>
      <c r="D71" s="141" t="str">
        <f>IFERROR(INDEX(Työkonekanta!$D$3:$D$27,MATCH('S0b Baseline kasvu'!$A71,Työkonekanta!$A$3:$A$24,0),1),"undefined")</f>
        <v>sähkö</v>
      </c>
      <c r="E71" s="145">
        <f>IFERROR(INDEX(Työkonekanta!$G$3:$G$27,MATCH($A71,Työkonekanta!$A$3:$A$24,0),1)*INDEX(Työkonekanta!$H$3:$H$27,MATCH($A71,Työkonekanta!$A$3:$A$24,0),1)*(1+s0b_kasvu*($C71-2019))*$B71,0)</f>
        <v>0</v>
      </c>
      <c r="F71" s="145">
        <f t="shared" si="22"/>
        <v>0</v>
      </c>
      <c r="G71" s="145">
        <f t="shared" si="31"/>
        <v>0</v>
      </c>
      <c r="H71" s="145">
        <f t="shared" si="32"/>
        <v>0</v>
      </c>
      <c r="I71" s="145">
        <f t="shared" si="23"/>
        <v>0</v>
      </c>
      <c r="J71" s="145">
        <f t="shared" si="24"/>
        <v>0</v>
      </c>
      <c r="K71" s="142" t="str">
        <f t="shared" si="33"/>
        <v>kWh</v>
      </c>
      <c r="L71" s="146">
        <f>IFERROR(INDEX(Työkonekanta!$I$3:$I$27,MATCH('S0b Baseline kasvu'!$A71,Työkonekanta!$A$3:$A$24,0),1)*(I71+J71)*f_adblue,0)</f>
        <v>0</v>
      </c>
      <c r="M71" s="146">
        <f t="shared" si="3"/>
        <v>0</v>
      </c>
      <c r="N71" s="143" t="str">
        <f>IF(tuulisähkö_vuosi&lt;='S0b Baseline kasvu'!C71,"tuulisähkö",ostosähkö_nyt)</f>
        <v>jäännössähkö</v>
      </c>
      <c r="O71" s="147">
        <f>INDEX(Muuttujat!$J$5:$J$21,MATCH($C71,Muuttujat!$H$5:$H$21,0),1)</f>
        <v>67.8692025</v>
      </c>
      <c r="P71" s="342">
        <f>1-(INDEX(Muuttujat!$O$5:$O$21,MATCH($C71,Muuttujat!$N$5:$N$21,0),1))</f>
        <v>0.97</v>
      </c>
      <c r="Q71" s="342">
        <f>INDEX(Muuttujat!$O$5:$O$21,MATCH($C71,Muuttujat!$N$5:$N$21,0),1)</f>
        <v>0.03</v>
      </c>
      <c r="R71" s="148">
        <f>INDEX(Muuttujat!$P$5:$P$21,MATCH($C71,Muuttujat!$N$5:$N$21,0),1)</f>
        <v>3.1355537414087732E-2</v>
      </c>
      <c r="S71" s="149">
        <f t="shared" si="25"/>
        <v>0</v>
      </c>
      <c r="T71" s="150">
        <f t="shared" si="26"/>
        <v>0</v>
      </c>
      <c r="U71" s="150">
        <f t="shared" si="27"/>
        <v>0</v>
      </c>
      <c r="V71" s="150">
        <f>IFERROR(INDEX(Työkonekanta!$J$3:$J$27,MATCH($A71,Työkonekanta!$A$3:$A$24,0),1)*$B71*ef_li_ion_akku/1000/1000/INDEX(Työkonekanta!$K$3:$K$27,MATCH($A71,Työkonekanta!$A$3:$A$24,0)),0)</f>
        <v>0</v>
      </c>
      <c r="W71" s="149">
        <f t="shared" si="7"/>
        <v>0</v>
      </c>
      <c r="X71" s="150">
        <f t="shared" si="8"/>
        <v>0</v>
      </c>
      <c r="Y71" s="151">
        <f t="shared" si="9"/>
        <v>0</v>
      </c>
      <c r="Z71" s="152">
        <f t="shared" si="34"/>
        <v>0</v>
      </c>
      <c r="AA71" s="179">
        <f t="shared" si="35"/>
        <v>0</v>
      </c>
      <c r="AB71" s="179">
        <f t="shared" si="36"/>
        <v>0</v>
      </c>
      <c r="AC71" s="180">
        <f t="shared" si="10"/>
        <v>0</v>
      </c>
      <c r="AD71" s="156">
        <f t="shared" si="37"/>
        <v>0</v>
      </c>
      <c r="AE71" s="146">
        <f>IFERROR(INDEX(Työkonekanta!$L$3:$L$30,MATCH($A71,Työkonekanta!$A$3:$A$30,0),1),0)*AF71</f>
        <v>0</v>
      </c>
      <c r="AF71" s="146">
        <f>IFERROR(INDEX(Työkonekanta!$N$3:$N$32,MATCH($A71,Työkonekanta!$A$3:$A$32,0),1),0)</f>
        <v>0</v>
      </c>
      <c r="AG71" s="332">
        <f>I71*INDEX(Muuttujat!$U$5:$U$21,MATCH($C71,Muuttujat!$N$5:$N$21,0),1)</f>
        <v>0</v>
      </c>
      <c r="AH71" s="332">
        <f>J71*INDEX(Muuttujat!$T$5:$T$21,MATCH($C71,Muuttujat!$N$5:$N$21,0),1)</f>
        <v>0</v>
      </c>
      <c r="AI71" s="332">
        <f t="shared" si="28"/>
        <v>0</v>
      </c>
      <c r="AJ71" s="332">
        <f t="shared" si="29"/>
        <v>0</v>
      </c>
      <c r="AK71" s="332">
        <f t="shared" si="38"/>
        <v>0</v>
      </c>
      <c r="AL71" s="332">
        <f t="shared" si="30"/>
        <v>0</v>
      </c>
    </row>
    <row r="72" spans="1:38">
      <c r="A72" s="139">
        <v>10</v>
      </c>
      <c r="B72" s="139">
        <f>IFERROR(INDEX(Työkonekanta!$F$3:$F$27,MATCH('S0b Baseline kasvu'!$A72,Työkonekanta!$A$3:$A$24,0),1),0)</f>
        <v>0</v>
      </c>
      <c r="C72" s="140">
        <v>2021</v>
      </c>
      <c r="D72" s="141" t="str">
        <f>IFERROR(INDEX(Työkonekanta!$D$3:$D$27,MATCH('S0b Baseline kasvu'!$A72,Työkonekanta!$A$3:$A$24,0),1),"undefined")</f>
        <v>sähkö</v>
      </c>
      <c r="E72" s="145">
        <f>IFERROR(INDEX(Työkonekanta!$G$3:$G$27,MATCH($A72,Työkonekanta!$A$3:$A$24,0),1)*INDEX(Työkonekanta!$H$3:$H$27,MATCH($A72,Työkonekanta!$A$3:$A$24,0),1)*(1+s0b_kasvu*($C72-2019))*$B72,0)</f>
        <v>0</v>
      </c>
      <c r="F72" s="145">
        <f t="shared" si="22"/>
        <v>0</v>
      </c>
      <c r="G72" s="145">
        <f t="shared" si="31"/>
        <v>0</v>
      </c>
      <c r="H72" s="145">
        <f t="shared" si="32"/>
        <v>0</v>
      </c>
      <c r="I72" s="145">
        <f t="shared" si="23"/>
        <v>0</v>
      </c>
      <c r="J72" s="145">
        <f t="shared" si="24"/>
        <v>0</v>
      </c>
      <c r="K72" s="142" t="str">
        <f t="shared" si="33"/>
        <v>kWh</v>
      </c>
      <c r="L72" s="146">
        <f>IFERROR(INDEX(Työkonekanta!$I$3:$I$27,MATCH('S0b Baseline kasvu'!$A72,Työkonekanta!$A$3:$A$24,0),1)*(I72+J72)*f_adblue,0)</f>
        <v>0</v>
      </c>
      <c r="M72" s="146">
        <f t="shared" si="3"/>
        <v>0</v>
      </c>
      <c r="N72" s="143" t="str">
        <f>IF(tuulisähkö_vuosi&lt;='S0b Baseline kasvu'!C72,"tuulisähkö",ostosähkö_nyt)</f>
        <v>jäännössähkö</v>
      </c>
      <c r="O72" s="147">
        <f>INDEX(Muuttujat!$J$5:$J$21,MATCH($C72,Muuttujat!$H$5:$H$21,0),1)</f>
        <v>67.8692025</v>
      </c>
      <c r="P72" s="342">
        <f>1-(INDEX(Muuttujat!$O$5:$O$21,MATCH($C72,Muuttujat!$N$5:$N$21,0),1))</f>
        <v>0.97</v>
      </c>
      <c r="Q72" s="342">
        <f>INDEX(Muuttujat!$O$5:$O$21,MATCH($C72,Muuttujat!$N$5:$N$21,0),1)</f>
        <v>0.03</v>
      </c>
      <c r="R72" s="148">
        <f>INDEX(Muuttujat!$P$5:$P$21,MATCH($C72,Muuttujat!$N$5:$N$21,0),1)</f>
        <v>3.1355537414087732E-2</v>
      </c>
      <c r="S72" s="149">
        <f t="shared" si="25"/>
        <v>0</v>
      </c>
      <c r="T72" s="150">
        <f t="shared" si="26"/>
        <v>0</v>
      </c>
      <c r="U72" s="150">
        <f t="shared" si="27"/>
        <v>0</v>
      </c>
      <c r="V72" s="150">
        <f>IFERROR(INDEX(Työkonekanta!$J$3:$J$27,MATCH($A72,Työkonekanta!$A$3:$A$24,0),1)*$B72*ef_li_ion_akku/1000/1000/INDEX(Työkonekanta!$K$3:$K$27,MATCH($A72,Työkonekanta!$A$3:$A$24,0)),0)</f>
        <v>0</v>
      </c>
      <c r="W72" s="149">
        <f t="shared" si="7"/>
        <v>0</v>
      </c>
      <c r="X72" s="150">
        <f t="shared" si="8"/>
        <v>0</v>
      </c>
      <c r="Y72" s="151">
        <f t="shared" si="9"/>
        <v>0</v>
      </c>
      <c r="Z72" s="152">
        <f t="shared" si="34"/>
        <v>0</v>
      </c>
      <c r="AA72" s="179">
        <f t="shared" si="35"/>
        <v>0</v>
      </c>
      <c r="AB72" s="179">
        <f t="shared" si="36"/>
        <v>0</v>
      </c>
      <c r="AC72" s="180">
        <f t="shared" si="10"/>
        <v>0</v>
      </c>
      <c r="AD72" s="156">
        <f t="shared" si="37"/>
        <v>0</v>
      </c>
      <c r="AE72" s="146">
        <f>IFERROR(INDEX(Työkonekanta!$L$3:$L$30,MATCH($A72,Työkonekanta!$A$3:$A$30,0),1),0)*AF72</f>
        <v>0</v>
      </c>
      <c r="AF72" s="146">
        <f>IFERROR(INDEX(Työkonekanta!$N$3:$N$32,MATCH($A72,Työkonekanta!$A$3:$A$32,0),1),0)</f>
        <v>0</v>
      </c>
      <c r="AG72" s="332">
        <f>I72*INDEX(Muuttujat!$U$5:$U$21,MATCH($C72,Muuttujat!$N$5:$N$21,0),1)</f>
        <v>0</v>
      </c>
      <c r="AH72" s="332">
        <f>J72*INDEX(Muuttujat!$T$5:$T$21,MATCH($C72,Muuttujat!$N$5:$N$21,0),1)</f>
        <v>0</v>
      </c>
      <c r="AI72" s="332">
        <f t="shared" si="28"/>
        <v>0</v>
      </c>
      <c r="AJ72" s="332">
        <f t="shared" si="29"/>
        <v>0</v>
      </c>
      <c r="AK72" s="332">
        <f t="shared" si="38"/>
        <v>0</v>
      </c>
      <c r="AL72" s="332">
        <f t="shared" si="30"/>
        <v>0</v>
      </c>
    </row>
    <row r="73" spans="1:38">
      <c r="A73" s="139">
        <v>11</v>
      </c>
      <c r="B73" s="139">
        <f>IFERROR(INDEX(Työkonekanta!$F$3:$F$27,MATCH('S0b Baseline kasvu'!$A73,Työkonekanta!$A$3:$A$24,0),1),0)</f>
        <v>1</v>
      </c>
      <c r="C73" s="140">
        <v>2021</v>
      </c>
      <c r="D73" s="141" t="str">
        <f>IFERROR(INDEX(Työkonekanta!$D$3:$D$27,MATCH('S0b Baseline kasvu'!$A73,Työkonekanta!$A$3:$A$24,0),1),"undefined")</f>
        <v>pom</v>
      </c>
      <c r="E73" s="145">
        <f>IFERROR(INDEX(Työkonekanta!$G$3:$G$27,MATCH($A73,Työkonekanta!$A$3:$A$24,0),1)*INDEX(Työkonekanta!$H$3:$H$27,MATCH($A73,Työkonekanta!$A$3:$A$24,0),1)*(1+s0b_kasvu*($C73-2019))*$B73,0)</f>
        <v>10200</v>
      </c>
      <c r="F73" s="145">
        <f t="shared" si="22"/>
        <v>366180</v>
      </c>
      <c r="G73" s="145">
        <f t="shared" si="31"/>
        <v>355194.6</v>
      </c>
      <c r="H73" s="145">
        <f t="shared" si="32"/>
        <v>10985.4</v>
      </c>
      <c r="I73" s="145">
        <f t="shared" si="23"/>
        <v>9894</v>
      </c>
      <c r="J73" s="145">
        <f t="shared" si="24"/>
        <v>320.27405247813414</v>
      </c>
      <c r="K73" s="142" t="str">
        <f t="shared" si="33"/>
        <v>l</v>
      </c>
      <c r="L73" s="146">
        <f>IFERROR(INDEX(Työkonekanta!$I$3:$I$27,MATCH('S0b Baseline kasvu'!$A73,Työkonekanta!$A$3:$A$24,0),1)*(I73+J73)*f_adblue,0)</f>
        <v>510.71370262390678</v>
      </c>
      <c r="M73" s="146">
        <f t="shared" si="3"/>
        <v>0</v>
      </c>
      <c r="N73" s="143" t="str">
        <f>IF(tuulisähkö_vuosi&lt;='S0b Baseline kasvu'!C73,"tuulisähkö",ostosähkö_nyt)</f>
        <v>jäännössähkö</v>
      </c>
      <c r="O73" s="147">
        <f>INDEX(Muuttujat!$J$5:$J$21,MATCH($C73,Muuttujat!$H$5:$H$21,0),1)</f>
        <v>67.8692025</v>
      </c>
      <c r="P73" s="342">
        <f>1-(INDEX(Muuttujat!$O$5:$O$21,MATCH($C73,Muuttujat!$N$5:$N$21,0),1))</f>
        <v>0.97</v>
      </c>
      <c r="Q73" s="342">
        <f>INDEX(Muuttujat!$O$5:$O$21,MATCH($C73,Muuttujat!$N$5:$N$21,0),1)</f>
        <v>0.03</v>
      </c>
      <c r="R73" s="148">
        <f>INDEX(Muuttujat!$P$5:$P$21,MATCH($C73,Muuttujat!$N$5:$N$21,0),1)</f>
        <v>3.1355537414087732E-2</v>
      </c>
      <c r="S73" s="149">
        <f t="shared" si="25"/>
        <v>6.7131779399999996</v>
      </c>
      <c r="T73" s="150">
        <f t="shared" si="26"/>
        <v>0.68548895999999993</v>
      </c>
      <c r="U73" s="150">
        <f t="shared" si="27"/>
        <v>0</v>
      </c>
      <c r="V73" s="150">
        <f>IFERROR(INDEX(Työkonekanta!$J$3:$J$27,MATCH($A73,Työkonekanta!$A$3:$A$24,0),1)*$B73*ef_li_ion_akku/1000/1000/INDEX(Työkonekanta!$K$3:$K$27,MATCH($A73,Työkonekanta!$A$3:$A$24,0)),0)</f>
        <v>0</v>
      </c>
      <c r="W73" s="149">
        <f t="shared" si="7"/>
        <v>26.2162933551684</v>
      </c>
      <c r="X73" s="150">
        <f t="shared" si="8"/>
        <v>0.32410057319999996</v>
      </c>
      <c r="Y73" s="151">
        <f t="shared" si="9"/>
        <v>0.13278556268221575</v>
      </c>
      <c r="Z73" s="152">
        <f t="shared" si="34"/>
        <v>7.3986668999999994</v>
      </c>
      <c r="AA73" s="179">
        <f t="shared" si="35"/>
        <v>26.349078917850616</v>
      </c>
      <c r="AB73" s="179">
        <f t="shared" si="36"/>
        <v>26.673179491050615</v>
      </c>
      <c r="AC73" s="180">
        <f t="shared" si="10"/>
        <v>33.747745817850614</v>
      </c>
      <c r="AD73" s="156">
        <f t="shared" si="37"/>
        <v>34.071846391050613</v>
      </c>
      <c r="AE73" s="146">
        <f>IFERROR(INDEX(Työkonekanta!$L$3:$L$30,MATCH($A73,Työkonekanta!$A$3:$A$30,0),1),0)*AF73</f>
        <v>500000</v>
      </c>
      <c r="AF73" s="146">
        <f>IFERROR(INDEX(Työkonekanta!$N$3:$N$32,MATCH($A73,Työkonekanta!$A$3:$A$32,0),1),0)</f>
        <v>1</v>
      </c>
      <c r="AG73" s="332">
        <f>I73*INDEX(Muuttujat!$U$5:$U$21,MATCH($C73,Muuttujat!$N$5:$N$21,0),1)</f>
        <v>9795.06</v>
      </c>
      <c r="AH73" s="332">
        <f>J73*INDEX(Muuttujat!$T$5:$T$21,MATCH($C73,Muuttujat!$N$5:$N$21,0),1)</f>
        <v>445.18093294460647</v>
      </c>
      <c r="AI73" s="332">
        <f t="shared" si="28"/>
        <v>255.35685131195339</v>
      </c>
      <c r="AJ73" s="332">
        <f t="shared" si="29"/>
        <v>0</v>
      </c>
      <c r="AK73" s="332">
        <f t="shared" si="38"/>
        <v>10495.597784256559</v>
      </c>
      <c r="AL73" s="332">
        <f t="shared" si="30"/>
        <v>10495.597784256559</v>
      </c>
    </row>
    <row r="74" spans="1:38">
      <c r="A74" s="139">
        <v>12</v>
      </c>
      <c r="B74" s="139">
        <f>IFERROR(INDEX(Työkonekanta!$F$3:$F$27,MATCH('S0b Baseline kasvu'!$A74,Työkonekanta!$A$3:$A$24,0),1),0)</f>
        <v>1</v>
      </c>
      <c r="C74" s="140">
        <v>2021</v>
      </c>
      <c r="D74" s="141" t="str">
        <f>IFERROR(INDEX(Työkonekanta!$D$3:$D$27,MATCH('S0b Baseline kasvu'!$A74,Työkonekanta!$A$3:$A$24,0),1),"undefined")</f>
        <v>pom</v>
      </c>
      <c r="E74" s="145">
        <f>IFERROR(INDEX(Työkonekanta!$G$3:$G$27,MATCH($A74,Työkonekanta!$A$3:$A$24,0),1)*INDEX(Työkonekanta!$H$3:$H$27,MATCH($A74,Työkonekanta!$A$3:$A$24,0),1)*(1+s0b_kasvu*($C74-2019))*$B74,0)</f>
        <v>10200</v>
      </c>
      <c r="F74" s="145">
        <f t="shared" si="22"/>
        <v>366180</v>
      </c>
      <c r="G74" s="145">
        <f t="shared" si="31"/>
        <v>355194.6</v>
      </c>
      <c r="H74" s="145">
        <f t="shared" si="32"/>
        <v>10985.4</v>
      </c>
      <c r="I74" s="145">
        <f t="shared" si="23"/>
        <v>9894</v>
      </c>
      <c r="J74" s="145">
        <f t="shared" si="24"/>
        <v>320.27405247813414</v>
      </c>
      <c r="K74" s="142" t="str">
        <f t="shared" si="33"/>
        <v>l</v>
      </c>
      <c r="L74" s="146">
        <f>IFERROR(INDEX(Työkonekanta!$I$3:$I$27,MATCH('S0b Baseline kasvu'!$A74,Työkonekanta!$A$3:$A$24,0),1)*(I74+J74)*f_adblue,0)</f>
        <v>510.71370262390678</v>
      </c>
      <c r="M74" s="146">
        <f t="shared" si="3"/>
        <v>0</v>
      </c>
      <c r="N74" s="143" t="str">
        <f>IF(tuulisähkö_vuosi&lt;='S0b Baseline kasvu'!C74,"tuulisähkö",ostosähkö_nyt)</f>
        <v>jäännössähkö</v>
      </c>
      <c r="O74" s="147">
        <f>INDEX(Muuttujat!$J$5:$J$21,MATCH($C74,Muuttujat!$H$5:$H$21,0),1)</f>
        <v>67.8692025</v>
      </c>
      <c r="P74" s="342">
        <f>1-(INDEX(Muuttujat!$O$5:$O$21,MATCH($C74,Muuttujat!$N$5:$N$21,0),1))</f>
        <v>0.97</v>
      </c>
      <c r="Q74" s="342">
        <f>INDEX(Muuttujat!$O$5:$O$21,MATCH($C74,Muuttujat!$N$5:$N$21,0),1)</f>
        <v>0.03</v>
      </c>
      <c r="R74" s="148">
        <f>INDEX(Muuttujat!$P$5:$P$21,MATCH($C74,Muuttujat!$N$5:$N$21,0),1)</f>
        <v>3.1355537414087732E-2</v>
      </c>
      <c r="S74" s="149">
        <f t="shared" si="25"/>
        <v>6.7131779399999996</v>
      </c>
      <c r="T74" s="150">
        <f t="shared" si="26"/>
        <v>0.68548895999999993</v>
      </c>
      <c r="U74" s="150">
        <f t="shared" si="27"/>
        <v>0</v>
      </c>
      <c r="V74" s="150">
        <f>IFERROR(INDEX(Työkonekanta!$J$3:$J$27,MATCH($A74,Työkonekanta!$A$3:$A$24,0),1)*$B74*ef_li_ion_akku/1000/1000/INDEX(Työkonekanta!$K$3:$K$27,MATCH($A74,Työkonekanta!$A$3:$A$24,0)),0)</f>
        <v>0</v>
      </c>
      <c r="W74" s="149">
        <f t="shared" si="7"/>
        <v>26.2162933551684</v>
      </c>
      <c r="X74" s="150">
        <f t="shared" si="8"/>
        <v>0.32410057319999996</v>
      </c>
      <c r="Y74" s="151">
        <f t="shared" si="9"/>
        <v>0.13278556268221575</v>
      </c>
      <c r="Z74" s="152">
        <f t="shared" si="34"/>
        <v>7.3986668999999994</v>
      </c>
      <c r="AA74" s="179">
        <f t="shared" si="35"/>
        <v>26.349078917850616</v>
      </c>
      <c r="AB74" s="179">
        <f t="shared" si="36"/>
        <v>26.673179491050615</v>
      </c>
      <c r="AC74" s="180">
        <f t="shared" si="10"/>
        <v>33.747745817850614</v>
      </c>
      <c r="AD74" s="156">
        <f t="shared" si="37"/>
        <v>34.071846391050613</v>
      </c>
      <c r="AE74" s="146">
        <f>IFERROR(INDEX(Työkonekanta!$L$3:$L$30,MATCH($A74,Työkonekanta!$A$3:$A$30,0),1),0)*AF74</f>
        <v>500000</v>
      </c>
      <c r="AF74" s="146">
        <f>IFERROR(INDEX(Työkonekanta!$N$3:$N$32,MATCH($A74,Työkonekanta!$A$3:$A$32,0),1),0)</f>
        <v>1</v>
      </c>
      <c r="AG74" s="332">
        <f>I74*INDEX(Muuttujat!$U$5:$U$21,MATCH($C74,Muuttujat!$N$5:$N$21,0),1)</f>
        <v>9795.06</v>
      </c>
      <c r="AH74" s="332">
        <f>J74*INDEX(Muuttujat!$T$5:$T$21,MATCH($C74,Muuttujat!$N$5:$N$21,0),1)</f>
        <v>445.18093294460647</v>
      </c>
      <c r="AI74" s="332">
        <f t="shared" si="28"/>
        <v>255.35685131195339</v>
      </c>
      <c r="AJ74" s="332">
        <f t="shared" si="29"/>
        <v>0</v>
      </c>
      <c r="AK74" s="332">
        <f t="shared" si="38"/>
        <v>10495.597784256559</v>
      </c>
      <c r="AL74" s="332">
        <f t="shared" si="30"/>
        <v>10495.597784256559</v>
      </c>
    </row>
    <row r="75" spans="1:38">
      <c r="A75" s="139">
        <v>13</v>
      </c>
      <c r="B75" s="139">
        <f>IFERROR(INDEX(Työkonekanta!$F$3:$F$27,MATCH('S0b Baseline kasvu'!$A75,Työkonekanta!$A$3:$A$24,0),1),0)</f>
        <v>0</v>
      </c>
      <c r="C75" s="140">
        <v>2021</v>
      </c>
      <c r="D75" s="141" t="str">
        <f>IFERROR(INDEX(Työkonekanta!$D$3:$D$27,MATCH('S0b Baseline kasvu'!$A75,Työkonekanta!$A$3:$A$24,0),1),"undefined")</f>
        <v>pom</v>
      </c>
      <c r="E75" s="145">
        <f>IFERROR(INDEX(Työkonekanta!$G$3:$G$27,MATCH($A75,Työkonekanta!$A$3:$A$24,0),1)*INDEX(Työkonekanta!$H$3:$H$27,MATCH($A75,Työkonekanta!$A$3:$A$24,0),1)*(1+s0b_kasvu*($C75-2019))*$B75,0)</f>
        <v>0</v>
      </c>
      <c r="F75" s="145">
        <f t="shared" si="22"/>
        <v>0</v>
      </c>
      <c r="G75" s="145">
        <f t="shared" si="31"/>
        <v>0</v>
      </c>
      <c r="H75" s="145">
        <f t="shared" si="32"/>
        <v>0</v>
      </c>
      <c r="I75" s="145">
        <f t="shared" si="23"/>
        <v>0</v>
      </c>
      <c r="J75" s="145">
        <f t="shared" si="24"/>
        <v>0</v>
      </c>
      <c r="K75" s="142" t="str">
        <f t="shared" si="33"/>
        <v>l</v>
      </c>
      <c r="L75" s="146">
        <f>IFERROR(INDEX(Työkonekanta!$I$3:$I$27,MATCH('S0b Baseline kasvu'!$A75,Työkonekanta!$A$3:$A$24,0),1)*(I75+J75)*f_adblue,0)</f>
        <v>0</v>
      </c>
      <c r="M75" s="146">
        <f t="shared" si="3"/>
        <v>0</v>
      </c>
      <c r="N75" s="143" t="str">
        <f>IF(tuulisähkö_vuosi&lt;='S0b Baseline kasvu'!C75,"tuulisähkö",ostosähkö_nyt)</f>
        <v>jäännössähkö</v>
      </c>
      <c r="O75" s="147">
        <f>INDEX(Muuttujat!$J$5:$J$21,MATCH($C75,Muuttujat!$H$5:$H$21,0),1)</f>
        <v>67.8692025</v>
      </c>
      <c r="P75" s="342">
        <f>1-(INDEX(Muuttujat!$O$5:$O$21,MATCH($C75,Muuttujat!$N$5:$N$21,0),1))</f>
        <v>0.97</v>
      </c>
      <c r="Q75" s="342">
        <f>INDEX(Muuttujat!$O$5:$O$21,MATCH($C75,Muuttujat!$N$5:$N$21,0),1)</f>
        <v>0.03</v>
      </c>
      <c r="R75" s="148">
        <f>INDEX(Muuttujat!$P$5:$P$21,MATCH($C75,Muuttujat!$N$5:$N$21,0),1)</f>
        <v>3.1355537414087732E-2</v>
      </c>
      <c r="S75" s="149">
        <f t="shared" si="25"/>
        <v>0</v>
      </c>
      <c r="T75" s="150">
        <f t="shared" si="26"/>
        <v>0</v>
      </c>
      <c r="U75" s="150">
        <f t="shared" si="27"/>
        <v>0</v>
      </c>
      <c r="V75" s="150">
        <f>IFERROR(INDEX(Työkonekanta!$J$3:$J$27,MATCH($A75,Työkonekanta!$A$3:$A$24,0),1)*$B75*ef_li_ion_akku/1000/1000/INDEX(Työkonekanta!$K$3:$K$27,MATCH($A75,Työkonekanta!$A$3:$A$24,0)),0)</f>
        <v>0</v>
      </c>
      <c r="W75" s="149">
        <f t="shared" si="7"/>
        <v>0</v>
      </c>
      <c r="X75" s="150">
        <f t="shared" si="8"/>
        <v>0</v>
      </c>
      <c r="Y75" s="151">
        <f t="shared" si="9"/>
        <v>0</v>
      </c>
      <c r="Z75" s="152">
        <f t="shared" si="34"/>
        <v>0</v>
      </c>
      <c r="AA75" s="179">
        <f t="shared" si="35"/>
        <v>0</v>
      </c>
      <c r="AB75" s="179">
        <f t="shared" si="36"/>
        <v>0</v>
      </c>
      <c r="AC75" s="180">
        <f t="shared" si="10"/>
        <v>0</v>
      </c>
      <c r="AD75" s="156">
        <f t="shared" si="37"/>
        <v>0</v>
      </c>
      <c r="AE75" s="146">
        <f>IFERROR(INDEX(Työkonekanta!$L$3:$L$30,MATCH($A75,Työkonekanta!$A$3:$A$30,0),1),0)*AF75</f>
        <v>0</v>
      </c>
      <c r="AF75" s="146">
        <f>IFERROR(INDEX(Työkonekanta!$N$3:$N$32,MATCH($A75,Työkonekanta!$A$3:$A$32,0),1),0)</f>
        <v>0</v>
      </c>
      <c r="AG75" s="332">
        <f>I75*INDEX(Muuttujat!$U$5:$U$21,MATCH($C75,Muuttujat!$N$5:$N$21,0),1)</f>
        <v>0</v>
      </c>
      <c r="AH75" s="332">
        <f>J75*INDEX(Muuttujat!$T$5:$T$21,MATCH($C75,Muuttujat!$N$5:$N$21,0),1)</f>
        <v>0</v>
      </c>
      <c r="AI75" s="332">
        <f t="shared" si="28"/>
        <v>0</v>
      </c>
      <c r="AJ75" s="332">
        <f t="shared" si="29"/>
        <v>0</v>
      </c>
      <c r="AK75" s="332">
        <f t="shared" si="38"/>
        <v>0</v>
      </c>
      <c r="AL75" s="332">
        <f t="shared" si="30"/>
        <v>0</v>
      </c>
    </row>
    <row r="76" spans="1:38">
      <c r="A76" s="139">
        <v>14</v>
      </c>
      <c r="B76" s="139">
        <f>IFERROR(INDEX(Työkonekanta!$F$3:$F$27,MATCH('S0b Baseline kasvu'!$A76,Työkonekanta!$A$3:$A$24,0),1),0)</f>
        <v>0</v>
      </c>
      <c r="C76" s="140">
        <v>2021</v>
      </c>
      <c r="D76" s="141" t="str">
        <f>IFERROR(INDEX(Työkonekanta!$D$3:$D$27,MATCH('S0b Baseline kasvu'!$A76,Työkonekanta!$A$3:$A$24,0),1),"undefined")</f>
        <v>pom</v>
      </c>
      <c r="E76" s="145">
        <f>IFERROR(INDEX(Työkonekanta!$G$3:$G$27,MATCH($A76,Työkonekanta!$A$3:$A$24,0),1)*INDEX(Työkonekanta!$H$3:$H$27,MATCH($A76,Työkonekanta!$A$3:$A$24,0),1)*(1+s0b_kasvu*($C76-2019))*$B76,0)</f>
        <v>0</v>
      </c>
      <c r="F76" s="145">
        <f t="shared" si="22"/>
        <v>0</v>
      </c>
      <c r="G76" s="145">
        <f t="shared" si="31"/>
        <v>0</v>
      </c>
      <c r="H76" s="145">
        <f t="shared" si="32"/>
        <v>0</v>
      </c>
      <c r="I76" s="145">
        <f t="shared" si="23"/>
        <v>0</v>
      </c>
      <c r="J76" s="145">
        <f t="shared" si="24"/>
        <v>0</v>
      </c>
      <c r="K76" s="142" t="str">
        <f t="shared" si="33"/>
        <v>l</v>
      </c>
      <c r="L76" s="146">
        <f>IFERROR(INDEX(Työkonekanta!$I$3:$I$27,MATCH('S0b Baseline kasvu'!$A76,Työkonekanta!$A$3:$A$24,0),1)*(I76+J76)*f_adblue,0)</f>
        <v>0</v>
      </c>
      <c r="M76" s="146">
        <f t="shared" si="3"/>
        <v>0</v>
      </c>
      <c r="N76" s="143" t="str">
        <f>IF(tuulisähkö_vuosi&lt;='S0b Baseline kasvu'!C76,"tuulisähkö",ostosähkö_nyt)</f>
        <v>jäännössähkö</v>
      </c>
      <c r="O76" s="147">
        <f>INDEX(Muuttujat!$J$5:$J$21,MATCH($C76,Muuttujat!$H$5:$H$21,0),1)</f>
        <v>67.8692025</v>
      </c>
      <c r="P76" s="342">
        <f>1-(INDEX(Muuttujat!$O$5:$O$21,MATCH($C76,Muuttujat!$N$5:$N$21,0),1))</f>
        <v>0.97</v>
      </c>
      <c r="Q76" s="342">
        <f>INDEX(Muuttujat!$O$5:$O$21,MATCH($C76,Muuttujat!$N$5:$N$21,0),1)</f>
        <v>0.03</v>
      </c>
      <c r="R76" s="148">
        <f>INDEX(Muuttujat!$P$5:$P$21,MATCH($C76,Muuttujat!$N$5:$N$21,0),1)</f>
        <v>3.1355537414087732E-2</v>
      </c>
      <c r="S76" s="149">
        <f t="shared" si="25"/>
        <v>0</v>
      </c>
      <c r="T76" s="150">
        <f t="shared" si="26"/>
        <v>0</v>
      </c>
      <c r="U76" s="150">
        <f t="shared" si="27"/>
        <v>0</v>
      </c>
      <c r="V76" s="150">
        <f>IFERROR(INDEX(Työkonekanta!$J$3:$J$27,MATCH($A76,Työkonekanta!$A$3:$A$24,0),1)*$B76*ef_li_ion_akku/1000/1000/INDEX(Työkonekanta!$K$3:$K$27,MATCH($A76,Työkonekanta!$A$3:$A$24,0)),0)</f>
        <v>0</v>
      </c>
      <c r="W76" s="149">
        <f t="shared" si="7"/>
        <v>0</v>
      </c>
      <c r="X76" s="150">
        <f t="shared" si="8"/>
        <v>0</v>
      </c>
      <c r="Y76" s="151">
        <f t="shared" si="9"/>
        <v>0</v>
      </c>
      <c r="Z76" s="152">
        <f t="shared" si="34"/>
        <v>0</v>
      </c>
      <c r="AA76" s="179">
        <f t="shared" si="35"/>
        <v>0</v>
      </c>
      <c r="AB76" s="179">
        <f t="shared" si="36"/>
        <v>0</v>
      </c>
      <c r="AC76" s="180">
        <f t="shared" si="10"/>
        <v>0</v>
      </c>
      <c r="AD76" s="156">
        <f t="shared" si="37"/>
        <v>0</v>
      </c>
      <c r="AE76" s="146">
        <f>IFERROR(INDEX(Työkonekanta!$L$3:$L$30,MATCH($A76,Työkonekanta!$A$3:$A$30,0),1),0)*AF76</f>
        <v>0</v>
      </c>
      <c r="AF76" s="146">
        <f>IFERROR(INDEX(Työkonekanta!$N$3:$N$32,MATCH($A76,Työkonekanta!$A$3:$A$32,0),1),0)</f>
        <v>0</v>
      </c>
      <c r="AG76" s="332">
        <f>I76*INDEX(Muuttujat!$U$5:$U$21,MATCH($C76,Muuttujat!$N$5:$N$21,0),1)</f>
        <v>0</v>
      </c>
      <c r="AH76" s="332">
        <f>J76*INDEX(Muuttujat!$T$5:$T$21,MATCH($C76,Muuttujat!$N$5:$N$21,0),1)</f>
        <v>0</v>
      </c>
      <c r="AI76" s="332">
        <f t="shared" si="28"/>
        <v>0</v>
      </c>
      <c r="AJ76" s="332">
        <f t="shared" si="29"/>
        <v>0</v>
      </c>
      <c r="AK76" s="332">
        <f t="shared" si="38"/>
        <v>0</v>
      </c>
      <c r="AL76" s="332">
        <f t="shared" si="30"/>
        <v>0</v>
      </c>
    </row>
    <row r="77" spans="1:38">
      <c r="A77" s="139">
        <v>15</v>
      </c>
      <c r="B77" s="139">
        <f>IFERROR(INDEX(Työkonekanta!$F$3:$F$27,MATCH('S0b Baseline kasvu'!$A77,Työkonekanta!$A$3:$A$24,0),1),0)</f>
        <v>0</v>
      </c>
      <c r="C77" s="140">
        <v>2021</v>
      </c>
      <c r="D77" s="141" t="str">
        <f>IFERROR(INDEX(Työkonekanta!$D$3:$D$27,MATCH('S0b Baseline kasvu'!$A77,Työkonekanta!$A$3:$A$24,0),1),"undefined")</f>
        <v>sähkö</v>
      </c>
      <c r="E77" s="145">
        <f>IFERROR(INDEX(Työkonekanta!$G$3:$G$27,MATCH($A77,Työkonekanta!$A$3:$A$24,0),1)*INDEX(Työkonekanta!$H$3:$H$27,MATCH($A77,Työkonekanta!$A$3:$A$24,0),1)*(1+s0b_kasvu*($C77-2019))*$B77,0)</f>
        <v>0</v>
      </c>
      <c r="F77" s="145">
        <f t="shared" si="22"/>
        <v>0</v>
      </c>
      <c r="G77" s="145">
        <f t="shared" si="31"/>
        <v>0</v>
      </c>
      <c r="H77" s="145">
        <f t="shared" si="32"/>
        <v>0</v>
      </c>
      <c r="I77" s="145">
        <f t="shared" si="23"/>
        <v>0</v>
      </c>
      <c r="J77" s="145">
        <f t="shared" si="24"/>
        <v>0</v>
      </c>
      <c r="K77" s="142" t="str">
        <f t="shared" si="33"/>
        <v>kWh</v>
      </c>
      <c r="L77" s="146">
        <f>IFERROR(INDEX(Työkonekanta!$I$3:$I$27,MATCH('S0b Baseline kasvu'!$A77,Työkonekanta!$A$3:$A$24,0),1)*(I77+J77)*f_adblue,0)</f>
        <v>0</v>
      </c>
      <c r="M77" s="146">
        <f t="shared" si="3"/>
        <v>0</v>
      </c>
      <c r="N77" s="143" t="str">
        <f>IF(tuulisähkö_vuosi&lt;='S0b Baseline kasvu'!C77,"tuulisähkö",ostosähkö_nyt)</f>
        <v>jäännössähkö</v>
      </c>
      <c r="O77" s="147">
        <f>INDEX(Muuttujat!$J$5:$J$21,MATCH($C77,Muuttujat!$H$5:$H$21,0),1)</f>
        <v>67.8692025</v>
      </c>
      <c r="P77" s="342">
        <f>1-(INDEX(Muuttujat!$O$5:$O$21,MATCH($C77,Muuttujat!$N$5:$N$21,0),1))</f>
        <v>0.97</v>
      </c>
      <c r="Q77" s="342">
        <f>INDEX(Muuttujat!$O$5:$O$21,MATCH($C77,Muuttujat!$N$5:$N$21,0),1)</f>
        <v>0.03</v>
      </c>
      <c r="R77" s="148">
        <f>INDEX(Muuttujat!$P$5:$P$21,MATCH($C77,Muuttujat!$N$5:$N$21,0),1)</f>
        <v>3.1355537414087732E-2</v>
      </c>
      <c r="S77" s="149">
        <f t="shared" si="25"/>
        <v>0</v>
      </c>
      <c r="T77" s="150">
        <f t="shared" si="26"/>
        <v>0</v>
      </c>
      <c r="U77" s="150">
        <f t="shared" si="27"/>
        <v>0</v>
      </c>
      <c r="V77" s="150">
        <f>IFERROR(INDEX(Työkonekanta!$J$3:$J$27,MATCH($A77,Työkonekanta!$A$3:$A$24,0),1)*$B77*ef_li_ion_akku/1000/1000/INDEX(Työkonekanta!$K$3:$K$27,MATCH($A77,Työkonekanta!$A$3:$A$24,0)),0)</f>
        <v>0</v>
      </c>
      <c r="W77" s="149">
        <f t="shared" si="7"/>
        <v>0</v>
      </c>
      <c r="X77" s="150">
        <f t="shared" si="8"/>
        <v>0</v>
      </c>
      <c r="Y77" s="151">
        <f t="shared" si="9"/>
        <v>0</v>
      </c>
      <c r="Z77" s="152">
        <f t="shared" si="34"/>
        <v>0</v>
      </c>
      <c r="AA77" s="179">
        <f t="shared" si="35"/>
        <v>0</v>
      </c>
      <c r="AB77" s="179">
        <f t="shared" si="36"/>
        <v>0</v>
      </c>
      <c r="AC77" s="180">
        <f t="shared" si="10"/>
        <v>0</v>
      </c>
      <c r="AD77" s="156">
        <f t="shared" si="37"/>
        <v>0</v>
      </c>
      <c r="AE77" s="146">
        <f>IFERROR(INDEX(Työkonekanta!$L$3:$L$30,MATCH($A77,Työkonekanta!$A$3:$A$30,0),1),0)*AF77</f>
        <v>0</v>
      </c>
      <c r="AF77" s="146">
        <f>IFERROR(INDEX(Työkonekanta!$N$3:$N$32,MATCH($A77,Työkonekanta!$A$3:$A$32,0),1),0)</f>
        <v>0</v>
      </c>
      <c r="AG77" s="332">
        <f>I77*INDEX(Muuttujat!$U$5:$U$21,MATCH($C77,Muuttujat!$N$5:$N$21,0),1)</f>
        <v>0</v>
      </c>
      <c r="AH77" s="332">
        <f>J77*INDEX(Muuttujat!$T$5:$T$21,MATCH($C77,Muuttujat!$N$5:$N$21,0),1)</f>
        <v>0</v>
      </c>
      <c r="AI77" s="332">
        <f t="shared" si="28"/>
        <v>0</v>
      </c>
      <c r="AJ77" s="332">
        <f t="shared" si="29"/>
        <v>0</v>
      </c>
      <c r="AK77" s="332">
        <f t="shared" si="38"/>
        <v>0</v>
      </c>
      <c r="AL77" s="332">
        <f t="shared" si="30"/>
        <v>0</v>
      </c>
    </row>
    <row r="78" spans="1:38">
      <c r="A78" s="139">
        <v>16</v>
      </c>
      <c r="B78" s="139">
        <f>IFERROR(INDEX(Työkonekanta!$F$3:$F$27,MATCH('S0b Baseline kasvu'!$A78,Työkonekanta!$A$3:$A$24,0),1),0)</f>
        <v>0</v>
      </c>
      <c r="C78" s="140">
        <v>2021</v>
      </c>
      <c r="D78" s="141" t="str">
        <f>IFERROR(INDEX(Työkonekanta!$D$3:$D$27,MATCH('S0b Baseline kasvu'!$A78,Työkonekanta!$A$3:$A$24,0),1),"undefined")</f>
        <v>sähkö</v>
      </c>
      <c r="E78" s="145">
        <f>IFERROR(INDEX(Työkonekanta!$G$3:$G$27,MATCH($A78,Työkonekanta!$A$3:$A$24,0),1)*INDEX(Työkonekanta!$H$3:$H$27,MATCH($A78,Työkonekanta!$A$3:$A$24,0),1)*(1+s0b_kasvu*($C78-2019))*$B78,0)</f>
        <v>0</v>
      </c>
      <c r="F78" s="145">
        <f t="shared" si="22"/>
        <v>0</v>
      </c>
      <c r="G78" s="145">
        <f t="shared" si="31"/>
        <v>0</v>
      </c>
      <c r="H78" s="145">
        <f t="shared" si="32"/>
        <v>0</v>
      </c>
      <c r="I78" s="145">
        <f t="shared" si="23"/>
        <v>0</v>
      </c>
      <c r="J78" s="145">
        <f t="shared" si="24"/>
        <v>0</v>
      </c>
      <c r="K78" s="142" t="str">
        <f t="shared" si="33"/>
        <v>kWh</v>
      </c>
      <c r="L78" s="146">
        <f>IFERROR(INDEX(Työkonekanta!$I$3:$I$27,MATCH('S0b Baseline kasvu'!$A78,Työkonekanta!$A$3:$A$24,0),1)*(I78+J78)*f_adblue,0)</f>
        <v>0</v>
      </c>
      <c r="M78" s="146">
        <f t="shared" si="3"/>
        <v>0</v>
      </c>
      <c r="N78" s="143" t="str">
        <f>IF(tuulisähkö_vuosi&lt;='S0b Baseline kasvu'!C78,"tuulisähkö",ostosähkö_nyt)</f>
        <v>jäännössähkö</v>
      </c>
      <c r="O78" s="147">
        <f>INDEX(Muuttujat!$J$5:$J$21,MATCH($C78,Muuttujat!$H$5:$H$21,0),1)</f>
        <v>67.8692025</v>
      </c>
      <c r="P78" s="342">
        <f>1-(INDEX(Muuttujat!$O$5:$O$21,MATCH($C78,Muuttujat!$N$5:$N$21,0),1))</f>
        <v>0.97</v>
      </c>
      <c r="Q78" s="342">
        <f>INDEX(Muuttujat!$O$5:$O$21,MATCH($C78,Muuttujat!$N$5:$N$21,0),1)</f>
        <v>0.03</v>
      </c>
      <c r="R78" s="148">
        <f>INDEX(Muuttujat!$P$5:$P$21,MATCH($C78,Muuttujat!$N$5:$N$21,0),1)</f>
        <v>3.1355537414087732E-2</v>
      </c>
      <c r="S78" s="149">
        <f t="shared" si="25"/>
        <v>0</v>
      </c>
      <c r="T78" s="150">
        <f t="shared" si="26"/>
        <v>0</v>
      </c>
      <c r="U78" s="150">
        <f t="shared" si="27"/>
        <v>0</v>
      </c>
      <c r="V78" s="150">
        <f>IFERROR(INDEX(Työkonekanta!$J$3:$J$27,MATCH($A78,Työkonekanta!$A$3:$A$24,0),1)*$B78*ef_li_ion_akku/1000/1000/INDEX(Työkonekanta!$K$3:$K$27,MATCH($A78,Työkonekanta!$A$3:$A$24,0)),0)</f>
        <v>0</v>
      </c>
      <c r="W78" s="149">
        <f t="shared" si="7"/>
        <v>0</v>
      </c>
      <c r="X78" s="150">
        <f t="shared" si="8"/>
        <v>0</v>
      </c>
      <c r="Y78" s="151">
        <f t="shared" si="9"/>
        <v>0</v>
      </c>
      <c r="Z78" s="152">
        <f t="shared" si="34"/>
        <v>0</v>
      </c>
      <c r="AA78" s="179">
        <f t="shared" si="35"/>
        <v>0</v>
      </c>
      <c r="AB78" s="179">
        <f t="shared" si="36"/>
        <v>0</v>
      </c>
      <c r="AC78" s="180">
        <f t="shared" si="10"/>
        <v>0</v>
      </c>
      <c r="AD78" s="156">
        <f t="shared" si="37"/>
        <v>0</v>
      </c>
      <c r="AE78" s="146">
        <f>IFERROR(INDEX(Työkonekanta!$L$3:$L$30,MATCH($A78,Työkonekanta!$A$3:$A$30,0),1),0)*AF78</f>
        <v>0</v>
      </c>
      <c r="AF78" s="146">
        <f>IFERROR(INDEX(Työkonekanta!$N$3:$N$32,MATCH($A78,Työkonekanta!$A$3:$A$32,0),1),0)</f>
        <v>0</v>
      </c>
      <c r="AG78" s="332">
        <f>I78*INDEX(Muuttujat!$U$5:$U$21,MATCH($C78,Muuttujat!$N$5:$N$21,0),1)</f>
        <v>0</v>
      </c>
      <c r="AH78" s="332">
        <f>J78*INDEX(Muuttujat!$T$5:$T$21,MATCH($C78,Muuttujat!$N$5:$N$21,0),1)</f>
        <v>0</v>
      </c>
      <c r="AI78" s="332">
        <f t="shared" si="28"/>
        <v>0</v>
      </c>
      <c r="AJ78" s="332">
        <f t="shared" si="29"/>
        <v>0</v>
      </c>
      <c r="AK78" s="332">
        <f t="shared" si="38"/>
        <v>0</v>
      </c>
      <c r="AL78" s="332">
        <f t="shared" si="30"/>
        <v>0</v>
      </c>
    </row>
    <row r="79" spans="1:38">
      <c r="A79" s="139">
        <v>17</v>
      </c>
      <c r="B79" s="139">
        <f>IFERROR(INDEX(Työkonekanta!$F$3:$F$27,MATCH('S0b Baseline kasvu'!$A79,Työkonekanta!$A$3:$A$24,0),1),0)</f>
        <v>1</v>
      </c>
      <c r="C79" s="140">
        <v>2021</v>
      </c>
      <c r="D79" s="141" t="str">
        <f>IFERROR(INDEX(Työkonekanta!$D$3:$D$27,MATCH('S0b Baseline kasvu'!$A79,Työkonekanta!$A$3:$A$24,0),1),"undefined")</f>
        <v>pom</v>
      </c>
      <c r="E79" s="145">
        <f>IFERROR(INDEX(Työkonekanta!$G$3:$G$27,MATCH($A79,Työkonekanta!$A$3:$A$24,0),1)*INDEX(Työkonekanta!$H$3:$H$27,MATCH($A79,Työkonekanta!$A$3:$A$24,0),1)*(1+s0b_kasvu*($C79-2019))*$B79,0)</f>
        <v>10200</v>
      </c>
      <c r="F79" s="145">
        <f t="shared" si="22"/>
        <v>366180</v>
      </c>
      <c r="G79" s="145">
        <f t="shared" si="31"/>
        <v>355194.6</v>
      </c>
      <c r="H79" s="145">
        <f t="shared" si="32"/>
        <v>10985.4</v>
      </c>
      <c r="I79" s="145">
        <f t="shared" si="23"/>
        <v>9894</v>
      </c>
      <c r="J79" s="145">
        <f t="shared" si="24"/>
        <v>320.27405247813414</v>
      </c>
      <c r="K79" s="142" t="str">
        <f t="shared" si="33"/>
        <v>l</v>
      </c>
      <c r="L79" s="146">
        <f>IFERROR(INDEX(Työkonekanta!$I$3:$I$27,MATCH('S0b Baseline kasvu'!$A79,Työkonekanta!$A$3:$A$24,0),1)*(I79+J79)*f_adblue,0)</f>
        <v>510.71370262390678</v>
      </c>
      <c r="M79" s="146">
        <f t="shared" si="3"/>
        <v>0</v>
      </c>
      <c r="N79" s="143" t="str">
        <f>IF(tuulisähkö_vuosi&lt;='S0b Baseline kasvu'!C79,"tuulisähkö",ostosähkö_nyt)</f>
        <v>jäännössähkö</v>
      </c>
      <c r="O79" s="147">
        <f>INDEX(Muuttujat!$J$5:$J$21,MATCH($C79,Muuttujat!$H$5:$H$21,0),1)</f>
        <v>67.8692025</v>
      </c>
      <c r="P79" s="342">
        <f>1-(INDEX(Muuttujat!$O$5:$O$21,MATCH($C79,Muuttujat!$N$5:$N$21,0),1))</f>
        <v>0.97</v>
      </c>
      <c r="Q79" s="342">
        <f>INDEX(Muuttujat!$O$5:$O$21,MATCH($C79,Muuttujat!$N$5:$N$21,0),1)</f>
        <v>0.03</v>
      </c>
      <c r="R79" s="148">
        <f>INDEX(Muuttujat!$P$5:$P$21,MATCH($C79,Muuttujat!$N$5:$N$21,0),1)</f>
        <v>3.1355537414087732E-2</v>
      </c>
      <c r="S79" s="149">
        <f t="shared" si="25"/>
        <v>6.7131779399999996</v>
      </c>
      <c r="T79" s="150">
        <f t="shared" si="26"/>
        <v>0.68548895999999993</v>
      </c>
      <c r="U79" s="150">
        <f t="shared" si="27"/>
        <v>0</v>
      </c>
      <c r="V79" s="150">
        <f>IFERROR(INDEX(Työkonekanta!$J$3:$J$27,MATCH($A79,Työkonekanta!$A$3:$A$24,0),1)*$B79*ef_li_ion_akku/1000/1000/INDEX(Työkonekanta!$K$3:$K$27,MATCH($A79,Työkonekanta!$A$3:$A$24,0)),0)</f>
        <v>0</v>
      </c>
      <c r="W79" s="149">
        <f t="shared" si="7"/>
        <v>26.2162933551684</v>
      </c>
      <c r="X79" s="150">
        <f t="shared" si="8"/>
        <v>0.32410057319999996</v>
      </c>
      <c r="Y79" s="151">
        <f t="shared" si="9"/>
        <v>0.13278556268221575</v>
      </c>
      <c r="Z79" s="152">
        <f t="shared" si="34"/>
        <v>7.3986668999999994</v>
      </c>
      <c r="AA79" s="179">
        <f t="shared" si="35"/>
        <v>26.349078917850616</v>
      </c>
      <c r="AB79" s="179">
        <f t="shared" si="36"/>
        <v>26.673179491050615</v>
      </c>
      <c r="AC79" s="180">
        <f t="shared" si="10"/>
        <v>33.747745817850614</v>
      </c>
      <c r="AD79" s="156">
        <f t="shared" si="37"/>
        <v>34.071846391050613</v>
      </c>
      <c r="AE79" s="146">
        <f>IFERROR(INDEX(Työkonekanta!$L$3:$L$30,MATCH($A79,Työkonekanta!$A$3:$A$30,0),1),0)*AF79</f>
        <v>500000</v>
      </c>
      <c r="AF79" s="146">
        <f>IFERROR(INDEX(Työkonekanta!$N$3:$N$32,MATCH($A79,Työkonekanta!$A$3:$A$32,0),1),0)</f>
        <v>1</v>
      </c>
      <c r="AG79" s="332">
        <f>I79*INDEX(Muuttujat!$U$5:$U$21,MATCH($C79,Muuttujat!$N$5:$N$21,0),1)</f>
        <v>9795.06</v>
      </c>
      <c r="AH79" s="332">
        <f>J79*INDEX(Muuttujat!$T$5:$T$21,MATCH($C79,Muuttujat!$N$5:$N$21,0),1)</f>
        <v>445.18093294460647</v>
      </c>
      <c r="AI79" s="332">
        <f t="shared" si="28"/>
        <v>255.35685131195339</v>
      </c>
      <c r="AJ79" s="332">
        <f t="shared" si="29"/>
        <v>0</v>
      </c>
      <c r="AK79" s="332">
        <f t="shared" si="38"/>
        <v>10495.597784256559</v>
      </c>
      <c r="AL79" s="332">
        <f t="shared" si="30"/>
        <v>10495.597784256559</v>
      </c>
    </row>
    <row r="80" spans="1:38">
      <c r="A80" s="139">
        <v>18</v>
      </c>
      <c r="B80" s="139">
        <f>IFERROR(INDEX(Työkonekanta!$F$3:$F$27,MATCH('S0b Baseline kasvu'!$A80,Työkonekanta!$A$3:$A$24,0),1),0)</f>
        <v>1</v>
      </c>
      <c r="C80" s="140">
        <v>2021</v>
      </c>
      <c r="D80" s="141" t="str">
        <f>IFERROR(INDEX(Työkonekanta!$D$3:$D$27,MATCH('S0b Baseline kasvu'!$A80,Työkonekanta!$A$3:$A$24,0),1),"undefined")</f>
        <v>pom</v>
      </c>
      <c r="E80" s="145">
        <f>IFERROR(INDEX(Työkonekanta!$G$3:$G$27,MATCH($A80,Työkonekanta!$A$3:$A$24,0),1)*INDEX(Työkonekanta!$H$3:$H$27,MATCH($A80,Työkonekanta!$A$3:$A$24,0),1)*(1+s0b_kasvu*($C80-2019))*$B80,0)</f>
        <v>10200</v>
      </c>
      <c r="F80" s="145">
        <f t="shared" si="22"/>
        <v>366180</v>
      </c>
      <c r="G80" s="145">
        <f t="shared" si="31"/>
        <v>355194.6</v>
      </c>
      <c r="H80" s="145">
        <f t="shared" si="32"/>
        <v>10985.4</v>
      </c>
      <c r="I80" s="145">
        <f t="shared" si="23"/>
        <v>9894</v>
      </c>
      <c r="J80" s="145">
        <f t="shared" si="24"/>
        <v>320.27405247813414</v>
      </c>
      <c r="K80" s="142" t="str">
        <f t="shared" si="33"/>
        <v>l</v>
      </c>
      <c r="L80" s="146">
        <f>IFERROR(INDEX(Työkonekanta!$I$3:$I$27,MATCH('S0b Baseline kasvu'!$A80,Työkonekanta!$A$3:$A$24,0),1)*(I80+J80)*f_adblue,0)</f>
        <v>408.57096209912544</v>
      </c>
      <c r="M80" s="146">
        <f t="shared" si="3"/>
        <v>0</v>
      </c>
      <c r="N80" s="143" t="str">
        <f>IF(tuulisähkö_vuosi&lt;='S0b Baseline kasvu'!C80,"tuulisähkö",ostosähkö_nyt)</f>
        <v>jäännössähkö</v>
      </c>
      <c r="O80" s="147">
        <f>INDEX(Muuttujat!$J$5:$J$21,MATCH($C80,Muuttujat!$H$5:$H$21,0),1)</f>
        <v>67.8692025</v>
      </c>
      <c r="P80" s="342">
        <f>1-(INDEX(Muuttujat!$O$5:$O$21,MATCH($C80,Muuttujat!$N$5:$N$21,0),1))</f>
        <v>0.97</v>
      </c>
      <c r="Q80" s="342">
        <f>INDEX(Muuttujat!$O$5:$O$21,MATCH($C80,Muuttujat!$N$5:$N$21,0),1)</f>
        <v>0.03</v>
      </c>
      <c r="R80" s="148">
        <f>INDEX(Muuttujat!$P$5:$P$21,MATCH($C80,Muuttujat!$N$5:$N$21,0),1)</f>
        <v>3.1355537414087732E-2</v>
      </c>
      <c r="S80" s="149">
        <f t="shared" si="25"/>
        <v>6.7131779399999996</v>
      </c>
      <c r="T80" s="150">
        <f t="shared" si="26"/>
        <v>0.68548895999999993</v>
      </c>
      <c r="U80" s="150">
        <f t="shared" si="27"/>
        <v>0</v>
      </c>
      <c r="V80" s="150">
        <f>IFERROR(INDEX(Työkonekanta!$J$3:$J$27,MATCH($A80,Työkonekanta!$A$3:$A$24,0),1)*$B80*ef_li_ion_akku/1000/1000/INDEX(Työkonekanta!$K$3:$K$27,MATCH($A80,Työkonekanta!$A$3:$A$24,0)),0)</f>
        <v>0</v>
      </c>
      <c r="W80" s="149">
        <f t="shared" si="7"/>
        <v>26.2162933551684</v>
      </c>
      <c r="X80" s="150">
        <f t="shared" si="8"/>
        <v>0.32410057319999996</v>
      </c>
      <c r="Y80" s="151">
        <f t="shared" si="9"/>
        <v>0.10622845014577262</v>
      </c>
      <c r="Z80" s="152">
        <f t="shared" si="34"/>
        <v>7.3986668999999994</v>
      </c>
      <c r="AA80" s="179">
        <f t="shared" si="35"/>
        <v>26.322521805314171</v>
      </c>
      <c r="AB80" s="179">
        <f t="shared" si="36"/>
        <v>26.64662237851417</v>
      </c>
      <c r="AC80" s="180">
        <f t="shared" si="10"/>
        <v>33.721188705314169</v>
      </c>
      <c r="AD80" s="156">
        <f t="shared" si="37"/>
        <v>34.045289278514169</v>
      </c>
      <c r="AE80" s="146">
        <f>IFERROR(INDEX(Työkonekanta!$L$3:$L$30,MATCH($A80,Työkonekanta!$A$3:$A$30,0),1),0)*AF80</f>
        <v>500000</v>
      </c>
      <c r="AF80" s="146">
        <f>IFERROR(INDEX(Työkonekanta!$N$3:$N$32,MATCH($A80,Työkonekanta!$A$3:$A$32,0),1),0)</f>
        <v>1</v>
      </c>
      <c r="AG80" s="332">
        <f>I80*INDEX(Muuttujat!$U$5:$U$21,MATCH($C80,Muuttujat!$N$5:$N$21,0),1)</f>
        <v>9795.06</v>
      </c>
      <c r="AH80" s="332">
        <f>J80*INDEX(Muuttujat!$T$5:$T$21,MATCH($C80,Muuttujat!$N$5:$N$21,0),1)</f>
        <v>445.18093294460647</v>
      </c>
      <c r="AI80" s="332">
        <f t="shared" si="28"/>
        <v>204.28548104956272</v>
      </c>
      <c r="AJ80" s="332">
        <f t="shared" si="29"/>
        <v>0</v>
      </c>
      <c r="AK80" s="332">
        <f t="shared" si="38"/>
        <v>10444.526413994168</v>
      </c>
      <c r="AL80" s="332">
        <f t="shared" si="30"/>
        <v>10444.526413994168</v>
      </c>
    </row>
    <row r="81" spans="1:38">
      <c r="A81" s="139">
        <v>19</v>
      </c>
      <c r="B81" s="139">
        <f>IFERROR(INDEX(Työkonekanta!$F$3:$F$27,MATCH('S0b Baseline kasvu'!$A81,Työkonekanta!$A$3:$A$24,0),1),0)</f>
        <v>0</v>
      </c>
      <c r="C81" s="140">
        <v>2021</v>
      </c>
      <c r="D81" s="141" t="str">
        <f>IFERROR(INDEX(Työkonekanta!$D$3:$D$27,MATCH('S0b Baseline kasvu'!$A81,Työkonekanta!$A$3:$A$24,0),1),"undefined")</f>
        <v>pom</v>
      </c>
      <c r="E81" s="145">
        <f>IFERROR(INDEX(Työkonekanta!$G$3:$G$27,MATCH($A81,Työkonekanta!$A$3:$A$24,0),1)*INDEX(Työkonekanta!$H$3:$H$27,MATCH($A81,Työkonekanta!$A$3:$A$24,0),1)*(1+s0b_kasvu*($C81-2019))*$B81,0)</f>
        <v>0</v>
      </c>
      <c r="F81" s="145">
        <f t="shared" si="22"/>
        <v>0</v>
      </c>
      <c r="G81" s="145">
        <f t="shared" si="31"/>
        <v>0</v>
      </c>
      <c r="H81" s="145">
        <f t="shared" si="32"/>
        <v>0</v>
      </c>
      <c r="I81" s="145">
        <f t="shared" si="23"/>
        <v>0</v>
      </c>
      <c r="J81" s="145">
        <f t="shared" si="24"/>
        <v>0</v>
      </c>
      <c r="K81" s="142" t="str">
        <f t="shared" si="33"/>
        <v>l</v>
      </c>
      <c r="L81" s="146">
        <f>IFERROR(INDEX(Työkonekanta!$I$3:$I$27,MATCH('S0b Baseline kasvu'!$A81,Työkonekanta!$A$3:$A$24,0),1)*(I81+J81)*f_adblue,0)</f>
        <v>0</v>
      </c>
      <c r="M81" s="146">
        <f t="shared" si="3"/>
        <v>0</v>
      </c>
      <c r="N81" s="143" t="str">
        <f>IF(tuulisähkö_vuosi&lt;='S0b Baseline kasvu'!C81,"tuulisähkö",ostosähkö_nyt)</f>
        <v>jäännössähkö</v>
      </c>
      <c r="O81" s="147">
        <f>INDEX(Muuttujat!$J$5:$J$21,MATCH($C81,Muuttujat!$H$5:$H$21,0),1)</f>
        <v>67.8692025</v>
      </c>
      <c r="P81" s="342">
        <f>1-(INDEX(Muuttujat!$O$5:$O$21,MATCH($C81,Muuttujat!$N$5:$N$21,0),1))</f>
        <v>0.97</v>
      </c>
      <c r="Q81" s="342">
        <f>INDEX(Muuttujat!$O$5:$O$21,MATCH($C81,Muuttujat!$N$5:$N$21,0),1)</f>
        <v>0.03</v>
      </c>
      <c r="R81" s="148">
        <f>INDEX(Muuttujat!$P$5:$P$21,MATCH($C81,Muuttujat!$N$5:$N$21,0),1)</f>
        <v>3.1355537414087732E-2</v>
      </c>
      <c r="S81" s="149">
        <f t="shared" si="25"/>
        <v>0</v>
      </c>
      <c r="T81" s="150">
        <f t="shared" si="26"/>
        <v>0</v>
      </c>
      <c r="U81" s="150">
        <f t="shared" si="27"/>
        <v>0</v>
      </c>
      <c r="V81" s="150">
        <f>IFERROR(INDEX(Työkonekanta!$J$3:$J$27,MATCH($A81,Työkonekanta!$A$3:$A$24,0),1)*$B81*ef_li_ion_akku/1000/1000/INDEX(Työkonekanta!$K$3:$K$27,MATCH($A81,Työkonekanta!$A$3:$A$24,0)),0)</f>
        <v>0</v>
      </c>
      <c r="W81" s="149">
        <f t="shared" si="7"/>
        <v>0</v>
      </c>
      <c r="X81" s="150">
        <f t="shared" si="8"/>
        <v>0</v>
      </c>
      <c r="Y81" s="151">
        <f t="shared" si="9"/>
        <v>0</v>
      </c>
      <c r="Z81" s="152">
        <f t="shared" si="34"/>
        <v>0</v>
      </c>
      <c r="AA81" s="179">
        <f t="shared" si="35"/>
        <v>0</v>
      </c>
      <c r="AB81" s="179">
        <f t="shared" si="36"/>
        <v>0</v>
      </c>
      <c r="AC81" s="180">
        <f t="shared" si="10"/>
        <v>0</v>
      </c>
      <c r="AD81" s="156">
        <f t="shared" si="37"/>
        <v>0</v>
      </c>
      <c r="AE81" s="146">
        <f>IFERROR(INDEX(Työkonekanta!$L$3:$L$30,MATCH($A81,Työkonekanta!$A$3:$A$30,0),1),0)*AF81</f>
        <v>0</v>
      </c>
      <c r="AF81" s="146">
        <f>IFERROR(INDEX(Työkonekanta!$N$3:$N$32,MATCH($A81,Työkonekanta!$A$3:$A$32,0),1),0)</f>
        <v>0</v>
      </c>
      <c r="AG81" s="332">
        <f>I81*INDEX(Muuttujat!$U$5:$U$21,MATCH($C81,Muuttujat!$N$5:$N$21,0),1)</f>
        <v>0</v>
      </c>
      <c r="AH81" s="332">
        <f>J81*INDEX(Muuttujat!$T$5:$T$21,MATCH($C81,Muuttujat!$N$5:$N$21,0),1)</f>
        <v>0</v>
      </c>
      <c r="AI81" s="332">
        <f t="shared" si="28"/>
        <v>0</v>
      </c>
      <c r="AJ81" s="332">
        <f t="shared" si="29"/>
        <v>0</v>
      </c>
      <c r="AK81" s="332">
        <f t="shared" si="38"/>
        <v>0</v>
      </c>
      <c r="AL81" s="332">
        <f t="shared" si="30"/>
        <v>0</v>
      </c>
    </row>
    <row r="82" spans="1:38">
      <c r="A82" s="139">
        <v>20</v>
      </c>
      <c r="B82" s="139">
        <f>IFERROR(INDEX(Työkonekanta!$F$3:$F$27,MATCH('S0b Baseline kasvu'!$A82,Työkonekanta!$A$3:$A$24,0),1),0)</f>
        <v>0</v>
      </c>
      <c r="C82" s="140">
        <v>2021</v>
      </c>
      <c r="D82" s="141" t="str">
        <f>IFERROR(INDEX(Työkonekanta!$D$3:$D$27,MATCH('S0b Baseline kasvu'!$A82,Työkonekanta!$A$3:$A$24,0),1),"undefined")</f>
        <v>pom</v>
      </c>
      <c r="E82" s="145">
        <f>IFERROR(INDEX(Työkonekanta!$G$3:$G$27,MATCH($A82,Työkonekanta!$A$3:$A$24,0),1)*INDEX(Työkonekanta!$H$3:$H$27,MATCH($A82,Työkonekanta!$A$3:$A$24,0),1)*(1+s0b_kasvu*($C82-2019))*$B82,0)</f>
        <v>0</v>
      </c>
      <c r="F82" s="145">
        <f t="shared" si="22"/>
        <v>0</v>
      </c>
      <c r="G82" s="145">
        <f t="shared" si="31"/>
        <v>0</v>
      </c>
      <c r="H82" s="145">
        <f t="shared" si="32"/>
        <v>0</v>
      </c>
      <c r="I82" s="145">
        <f t="shared" si="23"/>
        <v>0</v>
      </c>
      <c r="J82" s="145">
        <f t="shared" si="24"/>
        <v>0</v>
      </c>
      <c r="K82" s="142" t="str">
        <f t="shared" si="33"/>
        <v>l</v>
      </c>
      <c r="L82" s="146">
        <f>IFERROR(INDEX(Työkonekanta!$I$3:$I$27,MATCH('S0b Baseline kasvu'!$A82,Työkonekanta!$A$3:$A$24,0),1)*(I82+J82)*f_adblue,0)</f>
        <v>0</v>
      </c>
      <c r="M82" s="146">
        <f t="shared" si="3"/>
        <v>0</v>
      </c>
      <c r="N82" s="143" t="str">
        <f>IF(tuulisähkö_vuosi&lt;='S0b Baseline kasvu'!C82,"tuulisähkö",ostosähkö_nyt)</f>
        <v>jäännössähkö</v>
      </c>
      <c r="O82" s="147">
        <f>INDEX(Muuttujat!$J$5:$J$21,MATCH($C82,Muuttujat!$H$5:$H$21,0),1)</f>
        <v>67.8692025</v>
      </c>
      <c r="P82" s="342">
        <f>1-(INDEX(Muuttujat!$O$5:$O$21,MATCH($C82,Muuttujat!$N$5:$N$21,0),1))</f>
        <v>0.97</v>
      </c>
      <c r="Q82" s="342">
        <f>INDEX(Muuttujat!$O$5:$O$21,MATCH($C82,Muuttujat!$N$5:$N$21,0),1)</f>
        <v>0.03</v>
      </c>
      <c r="R82" s="148">
        <f>INDEX(Muuttujat!$P$5:$P$21,MATCH($C82,Muuttujat!$N$5:$N$21,0),1)</f>
        <v>3.1355537414087732E-2</v>
      </c>
      <c r="S82" s="149">
        <f t="shared" si="25"/>
        <v>0</v>
      </c>
      <c r="T82" s="150">
        <f t="shared" si="26"/>
        <v>0</v>
      </c>
      <c r="U82" s="150">
        <f t="shared" si="27"/>
        <v>0</v>
      </c>
      <c r="V82" s="150">
        <f>IFERROR(INDEX(Työkonekanta!$J$3:$J$27,MATCH($A82,Työkonekanta!$A$3:$A$24,0),1)*$B82*ef_li_ion_akku/1000/1000/INDEX(Työkonekanta!$K$3:$K$27,MATCH($A82,Työkonekanta!$A$3:$A$24,0)),0)</f>
        <v>0</v>
      </c>
      <c r="W82" s="149">
        <f t="shared" si="7"/>
        <v>0</v>
      </c>
      <c r="X82" s="150">
        <f t="shared" si="8"/>
        <v>0</v>
      </c>
      <c r="Y82" s="151">
        <f t="shared" si="9"/>
        <v>0</v>
      </c>
      <c r="Z82" s="152">
        <f t="shared" si="34"/>
        <v>0</v>
      </c>
      <c r="AA82" s="179">
        <f t="shared" si="35"/>
        <v>0</v>
      </c>
      <c r="AB82" s="179">
        <f t="shared" si="36"/>
        <v>0</v>
      </c>
      <c r="AC82" s="180">
        <f t="shared" si="10"/>
        <v>0</v>
      </c>
      <c r="AD82" s="156">
        <f t="shared" si="37"/>
        <v>0</v>
      </c>
      <c r="AE82" s="146">
        <f>IFERROR(INDEX(Työkonekanta!$L$3:$L$30,MATCH($A82,Työkonekanta!$A$3:$A$30,0),1),0)*AF82</f>
        <v>0</v>
      </c>
      <c r="AF82" s="146">
        <f>IFERROR(INDEX(Työkonekanta!$N$3:$N$32,MATCH($A82,Työkonekanta!$A$3:$A$32,0),1),0)</f>
        <v>0</v>
      </c>
      <c r="AG82" s="332">
        <f>I82*INDEX(Muuttujat!$U$5:$U$21,MATCH($C82,Muuttujat!$N$5:$N$21,0),1)</f>
        <v>0</v>
      </c>
      <c r="AH82" s="332">
        <f>J82*INDEX(Muuttujat!$T$5:$T$21,MATCH($C82,Muuttujat!$N$5:$N$21,0),1)</f>
        <v>0</v>
      </c>
      <c r="AI82" s="332">
        <f t="shared" si="28"/>
        <v>0</v>
      </c>
      <c r="AJ82" s="332">
        <f t="shared" si="29"/>
        <v>0</v>
      </c>
      <c r="AK82" s="332">
        <f t="shared" si="38"/>
        <v>0</v>
      </c>
      <c r="AL82" s="332">
        <f t="shared" si="30"/>
        <v>0</v>
      </c>
    </row>
    <row r="83" spans="1:38">
      <c r="A83" s="139">
        <v>21</v>
      </c>
      <c r="B83" s="139">
        <f>IFERROR(INDEX(Työkonekanta!$F$3:$F$27,MATCH('S0b Baseline kasvu'!$A83,Työkonekanta!$A$3:$A$24,0),1),0)</f>
        <v>35</v>
      </c>
      <c r="C83" s="140">
        <v>2021</v>
      </c>
      <c r="D83" s="141" t="str">
        <f>IFERROR(INDEX(Työkonekanta!$D$3:$D$27,MATCH('S0b Baseline kasvu'!$A83,Työkonekanta!$A$3:$A$24,0),1),"undefined")</f>
        <v>sähkö</v>
      </c>
      <c r="E83" s="145">
        <f>IFERROR(INDEX(Työkonekanta!$G$3:$G$27,MATCH($A83,Työkonekanta!$A$3:$A$24,0),1)*INDEX(Työkonekanta!$H$3:$H$27,MATCH($A83,Työkonekanta!$A$3:$A$24,0),1)*(1+s0b_kasvu*($C83-2019))*$B83,0)</f>
        <v>415343.05555555556</v>
      </c>
      <c r="F83" s="145">
        <f t="shared" si="22"/>
        <v>0</v>
      </c>
      <c r="G83" s="145">
        <f t="shared" si="31"/>
        <v>0</v>
      </c>
      <c r="H83" s="145">
        <f t="shared" si="32"/>
        <v>0</v>
      </c>
      <c r="I83" s="145">
        <f t="shared" si="23"/>
        <v>0</v>
      </c>
      <c r="J83" s="145">
        <f t="shared" si="24"/>
        <v>0</v>
      </c>
      <c r="K83" s="142" t="str">
        <f t="shared" si="33"/>
        <v>kWh</v>
      </c>
      <c r="L83" s="146">
        <f>IFERROR(INDEX(Työkonekanta!$I$3:$I$27,MATCH('S0b Baseline kasvu'!$A83,Työkonekanta!$A$3:$A$24,0),1)*(I83+J83)*f_adblue,0)</f>
        <v>0</v>
      </c>
      <c r="M83" s="146">
        <f t="shared" ref="M83:M146" si="39">IF($D83="sähkö",conv_kwh_mj*$E83,0)</f>
        <v>1495235</v>
      </c>
      <c r="N83" s="143" t="str">
        <f>IF(tuulisähkö_vuosi&lt;='S0b Baseline kasvu'!C83,"tuulisähkö",ostosähkö_nyt)</f>
        <v>jäännössähkö</v>
      </c>
      <c r="O83" s="147">
        <f>INDEX(Muuttujat!$J$5:$J$21,MATCH($C83,Muuttujat!$H$5:$H$21,0),1)</f>
        <v>67.8692025</v>
      </c>
      <c r="P83" s="342">
        <f>1-(INDEX(Muuttujat!$O$5:$O$21,MATCH($C83,Muuttujat!$N$5:$N$21,0),1))</f>
        <v>0.97</v>
      </c>
      <c r="Q83" s="342">
        <f>INDEX(Muuttujat!$O$5:$O$21,MATCH($C83,Muuttujat!$N$5:$N$21,0),1)</f>
        <v>0.03</v>
      </c>
      <c r="R83" s="148">
        <f>INDEX(Muuttujat!$P$5:$P$21,MATCH($C83,Muuttujat!$N$5:$N$21,0),1)</f>
        <v>3.1355537414087732E-2</v>
      </c>
      <c r="S83" s="149">
        <f t="shared" si="25"/>
        <v>0</v>
      </c>
      <c r="T83" s="150">
        <f t="shared" si="26"/>
        <v>0</v>
      </c>
      <c r="U83" s="150">
        <f t="shared" si="27"/>
        <v>101.4804070000875</v>
      </c>
      <c r="V83" s="150">
        <f>IFERROR(INDEX(Työkonekanta!$J$3:$J$27,MATCH($A83,Työkonekanta!$A$3:$A$24,0),1)*$B83*ef_li_ion_akku/1000/1000/INDEX(Työkonekanta!$K$3:$K$27,MATCH($A83,Työkonekanta!$A$3:$A$24,0)),0)</f>
        <v>43.121723076923082</v>
      </c>
      <c r="W83" s="149">
        <f t="shared" ref="W83:W146" si="40">($I83*IF($D83="pom",ef_v_co2_pom,0))/1000/1000</f>
        <v>0</v>
      </c>
      <c r="X83" s="150">
        <f t="shared" ref="X83:X146" si="41">($E83*(IF($D83="pom",ef_v_ch4_pom,0)*gwp100_ch4+IF($D83="pom",ef_v_n2o_pom,0)*gwp100_n2o))/1000/1000</f>
        <v>0</v>
      </c>
      <c r="Y83" s="151">
        <f t="shared" ref="Y83:Y146" si="42">$L83*ef_v_co2_adblue/1000/1000</f>
        <v>0</v>
      </c>
      <c r="Z83" s="152">
        <f t="shared" si="34"/>
        <v>144.60213007701057</v>
      </c>
      <c r="AA83" s="179">
        <f t="shared" si="35"/>
        <v>0</v>
      </c>
      <c r="AB83" s="179">
        <f t="shared" si="36"/>
        <v>0</v>
      </c>
      <c r="AC83" s="180">
        <f t="shared" ref="AC83:AC146" si="43">$Z83+$AA83</f>
        <v>144.60213007701057</v>
      </c>
      <c r="AD83" s="156">
        <f t="shared" si="37"/>
        <v>144.60213007701057</v>
      </c>
      <c r="AE83" s="146">
        <f>IFERROR(INDEX(Työkonekanta!$L$3:$L$30,MATCH($A83,Työkonekanta!$A$3:$A$30,0),1),0)*AF83</f>
        <v>1820000</v>
      </c>
      <c r="AF83" s="146">
        <f>IFERROR(INDEX(Työkonekanta!$N$3:$N$32,MATCH($A83,Työkonekanta!$A$3:$A$32,0),1),0)</f>
        <v>7</v>
      </c>
      <c r="AG83" s="332">
        <f>I83*INDEX(Muuttujat!$U$5:$U$21,MATCH($C83,Muuttujat!$N$5:$N$21,0),1)</f>
        <v>0</v>
      </c>
      <c r="AH83" s="332">
        <f>J83*INDEX(Muuttujat!$T$5:$T$21,MATCH($C83,Muuttujat!$N$5:$N$21,0),1)</f>
        <v>0</v>
      </c>
      <c r="AI83" s="332">
        <f t="shared" si="28"/>
        <v>0</v>
      </c>
      <c r="AJ83" s="332">
        <f t="shared" si="29"/>
        <v>36757.86041666667</v>
      </c>
      <c r="AK83" s="332">
        <f t="shared" si="38"/>
        <v>36757.86041666667</v>
      </c>
      <c r="AL83" s="332">
        <f t="shared" si="30"/>
        <v>1050.2245833333334</v>
      </c>
    </row>
    <row r="84" spans="1:38">
      <c r="A84" s="139">
        <v>22</v>
      </c>
      <c r="B84" s="139">
        <f>IFERROR(INDEX(Työkonekanta!$F$3:$F$27,MATCH('S0b Baseline kasvu'!$A84,Työkonekanta!$A$3:$A$24,0),1),0)</f>
        <v>0</v>
      </c>
      <c r="C84" s="140">
        <v>2021</v>
      </c>
      <c r="D84" s="141" t="str">
        <f>IFERROR(INDEX(Työkonekanta!$D$3:$D$27,MATCH('S0b Baseline kasvu'!$A84,Työkonekanta!$A$3:$A$24,0),1),"undefined")</f>
        <v>sähkö</v>
      </c>
      <c r="E84" s="145">
        <f>IFERROR(INDEX(Työkonekanta!$G$3:$G$27,MATCH($A84,Työkonekanta!$A$3:$A$24,0),1)*INDEX(Työkonekanta!$H$3:$H$27,MATCH($A84,Työkonekanta!$A$3:$A$24,0),1)*(1+s0b_kasvu*($C84-2019))*$B84,0)</f>
        <v>0</v>
      </c>
      <c r="F84" s="145">
        <f t="shared" si="22"/>
        <v>0</v>
      </c>
      <c r="G84" s="145">
        <f t="shared" si="31"/>
        <v>0</v>
      </c>
      <c r="H84" s="145">
        <f t="shared" si="32"/>
        <v>0</v>
      </c>
      <c r="I84" s="145">
        <f t="shared" si="23"/>
        <v>0</v>
      </c>
      <c r="J84" s="145">
        <f t="shared" si="24"/>
        <v>0</v>
      </c>
      <c r="K84" s="142" t="str">
        <f t="shared" si="33"/>
        <v>kWh</v>
      </c>
      <c r="L84" s="146">
        <f>IFERROR(INDEX(Työkonekanta!$I$3:$I$27,MATCH('S0b Baseline kasvu'!$A84,Työkonekanta!$A$3:$A$24,0),1)*(I84+J84)*f_adblue,0)</f>
        <v>0</v>
      </c>
      <c r="M84" s="146">
        <f t="shared" si="39"/>
        <v>0</v>
      </c>
      <c r="N84" s="143" t="str">
        <f>IF(tuulisähkö_vuosi&lt;='S0b Baseline kasvu'!C84,"tuulisähkö",ostosähkö_nyt)</f>
        <v>jäännössähkö</v>
      </c>
      <c r="O84" s="147">
        <f>INDEX(Muuttujat!$J$5:$J$21,MATCH($C84,Muuttujat!$H$5:$H$21,0),1)</f>
        <v>67.8692025</v>
      </c>
      <c r="P84" s="342">
        <f>1-(INDEX(Muuttujat!$O$5:$O$21,MATCH($C84,Muuttujat!$N$5:$N$21,0),1))</f>
        <v>0.97</v>
      </c>
      <c r="Q84" s="342">
        <f>INDEX(Muuttujat!$O$5:$O$21,MATCH($C84,Muuttujat!$N$5:$N$21,0),1)</f>
        <v>0.03</v>
      </c>
      <c r="R84" s="148">
        <f>INDEX(Muuttujat!$P$5:$P$21,MATCH($C84,Muuttujat!$N$5:$N$21,0),1)</f>
        <v>3.1355537414087732E-2</v>
      </c>
      <c r="S84" s="149">
        <f t="shared" si="25"/>
        <v>0</v>
      </c>
      <c r="T84" s="150">
        <f t="shared" si="26"/>
        <v>0</v>
      </c>
      <c r="U84" s="150">
        <f t="shared" si="27"/>
        <v>0</v>
      </c>
      <c r="V84" s="150">
        <f>IFERROR(INDEX(Työkonekanta!$J$3:$J$27,MATCH($A84,Työkonekanta!$A$3:$A$24,0),1)*$B84*ef_li_ion_akku/1000/1000/INDEX(Työkonekanta!$K$3:$K$27,MATCH($A84,Työkonekanta!$A$3:$A$24,0)),0)</f>
        <v>0</v>
      </c>
      <c r="W84" s="149">
        <f t="shared" si="40"/>
        <v>0</v>
      </c>
      <c r="X84" s="150">
        <f t="shared" si="41"/>
        <v>0</v>
      </c>
      <c r="Y84" s="151">
        <f t="shared" si="42"/>
        <v>0</v>
      </c>
      <c r="Z84" s="152">
        <f t="shared" si="34"/>
        <v>0</v>
      </c>
      <c r="AA84" s="179">
        <f t="shared" si="35"/>
        <v>0</v>
      </c>
      <c r="AB84" s="179">
        <f t="shared" si="36"/>
        <v>0</v>
      </c>
      <c r="AC84" s="180">
        <f t="shared" si="43"/>
        <v>0</v>
      </c>
      <c r="AD84" s="156">
        <f t="shared" si="37"/>
        <v>0</v>
      </c>
      <c r="AE84" s="146">
        <f>IFERROR(INDEX(Työkonekanta!$L$3:$L$30,MATCH($A84,Työkonekanta!$A$3:$A$30,0),1),0)*AF84</f>
        <v>0</v>
      </c>
      <c r="AF84" s="146">
        <f>IFERROR(INDEX(Työkonekanta!$N$3:$N$32,MATCH($A84,Työkonekanta!$A$3:$A$32,0),1),0)</f>
        <v>0</v>
      </c>
      <c r="AG84" s="332">
        <f>I84*INDEX(Muuttujat!$U$5:$U$21,MATCH($C84,Muuttujat!$N$5:$N$21,0),1)</f>
        <v>0</v>
      </c>
      <c r="AH84" s="332">
        <f>J84*INDEX(Muuttujat!$T$5:$T$21,MATCH($C84,Muuttujat!$N$5:$N$21,0),1)</f>
        <v>0</v>
      </c>
      <c r="AI84" s="332">
        <f t="shared" si="28"/>
        <v>0</v>
      </c>
      <c r="AJ84" s="332">
        <f t="shared" si="29"/>
        <v>0</v>
      </c>
      <c r="AK84" s="332">
        <f t="shared" si="38"/>
        <v>0</v>
      </c>
      <c r="AL84" s="332">
        <f t="shared" si="30"/>
        <v>0</v>
      </c>
    </row>
    <row r="85" spans="1:38">
      <c r="A85" s="139">
        <v>23</v>
      </c>
      <c r="B85" s="139">
        <f>IFERROR(INDEX(Työkonekanta!$F$3:$F$27,MATCH('S0b Baseline kasvu'!$A85,Työkonekanta!$A$3:$A$24,0),1),0)</f>
        <v>0</v>
      </c>
      <c r="C85" s="140">
        <v>2021</v>
      </c>
      <c r="D85" s="141" t="str">
        <f>IFERROR(INDEX(Työkonekanta!$D$3:$D$27,MATCH('S0b Baseline kasvu'!$A85,Työkonekanta!$A$3:$A$24,0),1),"undefined")</f>
        <v>undefined</v>
      </c>
      <c r="E85" s="145">
        <f>IFERROR(INDEX(Työkonekanta!$G$3:$G$27,MATCH($A85,Työkonekanta!$A$3:$A$24,0),1)*INDEX(Työkonekanta!$H$3:$H$27,MATCH($A85,Työkonekanta!$A$3:$A$24,0),1)*(1+s0b_kasvu*($C85-2019))*$B85,0)</f>
        <v>0</v>
      </c>
      <c r="F85" s="145">
        <f t="shared" si="22"/>
        <v>0</v>
      </c>
      <c r="G85" s="145">
        <f t="shared" si="31"/>
        <v>0</v>
      </c>
      <c r="H85" s="145">
        <f t="shared" si="32"/>
        <v>0</v>
      </c>
      <c r="I85" s="145">
        <f t="shared" si="23"/>
        <v>0</v>
      </c>
      <c r="J85" s="145">
        <f t="shared" si="24"/>
        <v>0</v>
      </c>
      <c r="K85" s="142" t="str">
        <f t="shared" si="33"/>
        <v>undefined</v>
      </c>
      <c r="L85" s="146">
        <f>IFERROR(INDEX(Työkonekanta!$I$3:$I$27,MATCH('S0b Baseline kasvu'!$A85,Työkonekanta!$A$3:$A$24,0),1)*(I85+J85)*f_adblue,0)</f>
        <v>0</v>
      </c>
      <c r="M85" s="146">
        <f t="shared" si="39"/>
        <v>0</v>
      </c>
      <c r="N85" s="143" t="str">
        <f>IF(tuulisähkö_vuosi&lt;='S0b Baseline kasvu'!C85,"tuulisähkö",ostosähkö_nyt)</f>
        <v>jäännössähkö</v>
      </c>
      <c r="O85" s="147">
        <f>INDEX(Muuttujat!$J$5:$J$21,MATCH($C85,Muuttujat!$H$5:$H$21,0),1)</f>
        <v>67.8692025</v>
      </c>
      <c r="P85" s="342">
        <f>1-(INDEX(Muuttujat!$O$5:$O$21,MATCH($C85,Muuttujat!$N$5:$N$21,0),1))</f>
        <v>0.97</v>
      </c>
      <c r="Q85" s="342">
        <f>INDEX(Muuttujat!$O$5:$O$21,MATCH($C85,Muuttujat!$N$5:$N$21,0),1)</f>
        <v>0.03</v>
      </c>
      <c r="R85" s="148">
        <f>INDEX(Muuttujat!$P$5:$P$21,MATCH($C85,Muuttujat!$N$5:$N$21,0),1)</f>
        <v>3.1355537414087732E-2</v>
      </c>
      <c r="S85" s="149">
        <f t="shared" si="25"/>
        <v>0</v>
      </c>
      <c r="T85" s="150">
        <f t="shared" si="26"/>
        <v>0</v>
      </c>
      <c r="U85" s="150">
        <f t="shared" si="27"/>
        <v>0</v>
      </c>
      <c r="V85" s="150">
        <f>IFERROR(INDEX(Työkonekanta!$J$3:$J$27,MATCH($A85,Työkonekanta!$A$3:$A$24,0),1)*$B85*ef_li_ion_akku/1000/1000/INDEX(Työkonekanta!$K$3:$K$27,MATCH($A85,Työkonekanta!$A$3:$A$24,0)),0)</f>
        <v>0</v>
      </c>
      <c r="W85" s="149">
        <f t="shared" si="40"/>
        <v>0</v>
      </c>
      <c r="X85" s="150">
        <f t="shared" si="41"/>
        <v>0</v>
      </c>
      <c r="Y85" s="151">
        <f t="shared" si="42"/>
        <v>0</v>
      </c>
      <c r="Z85" s="152">
        <f t="shared" si="34"/>
        <v>0</v>
      </c>
      <c r="AA85" s="179">
        <f t="shared" si="35"/>
        <v>0</v>
      </c>
      <c r="AB85" s="179">
        <f t="shared" si="36"/>
        <v>0</v>
      </c>
      <c r="AC85" s="180">
        <f t="shared" si="43"/>
        <v>0</v>
      </c>
      <c r="AD85" s="156">
        <f t="shared" si="37"/>
        <v>0</v>
      </c>
      <c r="AE85" s="146">
        <f>IFERROR(INDEX(Työkonekanta!$L$3:$L$30,MATCH($A85,Työkonekanta!$A$3:$A$30,0),1),0)*AF85</f>
        <v>0</v>
      </c>
      <c r="AF85" s="146">
        <f>IFERROR(INDEX(Työkonekanta!$N$3:$N$32,MATCH($A85,Työkonekanta!$A$3:$A$32,0),1),0)</f>
        <v>0</v>
      </c>
      <c r="AG85" s="332">
        <f>I85*INDEX(Muuttujat!$U$5:$U$21,MATCH($C85,Muuttujat!$N$5:$N$21,0),1)</f>
        <v>0</v>
      </c>
      <c r="AH85" s="332">
        <f>J85*INDEX(Muuttujat!$T$5:$T$21,MATCH($C85,Muuttujat!$N$5:$N$21,0),1)</f>
        <v>0</v>
      </c>
      <c r="AI85" s="332">
        <f t="shared" si="28"/>
        <v>0</v>
      </c>
      <c r="AJ85" s="332">
        <f t="shared" si="29"/>
        <v>0</v>
      </c>
      <c r="AK85" s="332">
        <f t="shared" si="38"/>
        <v>0</v>
      </c>
      <c r="AL85" s="332">
        <f t="shared" si="30"/>
        <v>0</v>
      </c>
    </row>
    <row r="86" spans="1:38">
      <c r="A86" s="139">
        <v>24</v>
      </c>
      <c r="B86" s="139">
        <f>IFERROR(INDEX(Työkonekanta!$F$3:$F$27,MATCH('S0b Baseline kasvu'!$A86,Työkonekanta!$A$3:$A$24,0),1),0)</f>
        <v>0</v>
      </c>
      <c r="C86" s="140">
        <v>2021</v>
      </c>
      <c r="D86" s="141" t="str">
        <f>IFERROR(INDEX(Työkonekanta!$D$3:$D$27,MATCH('S0b Baseline kasvu'!$A86,Työkonekanta!$A$3:$A$24,0),1),"undefined")</f>
        <v>undefined</v>
      </c>
      <c r="E86" s="145">
        <f>IFERROR(INDEX(Työkonekanta!$G$3:$G$27,MATCH($A86,Työkonekanta!$A$3:$A$24,0),1)*INDEX(Työkonekanta!$H$3:$H$27,MATCH($A86,Työkonekanta!$A$3:$A$24,0),1)*(1+s0b_kasvu*($C86-2019))*$B86,0)</f>
        <v>0</v>
      </c>
      <c r="F86" s="145">
        <f t="shared" si="22"/>
        <v>0</v>
      </c>
      <c r="G86" s="145">
        <f t="shared" si="31"/>
        <v>0</v>
      </c>
      <c r="H86" s="145">
        <f t="shared" si="32"/>
        <v>0</v>
      </c>
      <c r="I86" s="145">
        <f t="shared" si="23"/>
        <v>0</v>
      </c>
      <c r="J86" s="145">
        <f t="shared" si="24"/>
        <v>0</v>
      </c>
      <c r="K86" s="142" t="str">
        <f t="shared" si="33"/>
        <v>undefined</v>
      </c>
      <c r="L86" s="146">
        <f>IFERROR(INDEX(Työkonekanta!$I$3:$I$27,MATCH('S0b Baseline kasvu'!$A86,Työkonekanta!$A$3:$A$24,0),1)*(I86+J86)*f_adblue,0)</f>
        <v>0</v>
      </c>
      <c r="M86" s="146">
        <f t="shared" si="39"/>
        <v>0</v>
      </c>
      <c r="N86" s="143" t="str">
        <f>IF(tuulisähkö_vuosi&lt;='S0b Baseline kasvu'!C86,"tuulisähkö",ostosähkö_nyt)</f>
        <v>jäännössähkö</v>
      </c>
      <c r="O86" s="147">
        <f>INDEX(Muuttujat!$J$5:$J$21,MATCH($C86,Muuttujat!$H$5:$H$21,0),1)</f>
        <v>67.8692025</v>
      </c>
      <c r="P86" s="342">
        <f>1-(INDEX(Muuttujat!$O$5:$O$21,MATCH($C86,Muuttujat!$N$5:$N$21,0),1))</f>
        <v>0.97</v>
      </c>
      <c r="Q86" s="342">
        <f>INDEX(Muuttujat!$O$5:$O$21,MATCH($C86,Muuttujat!$N$5:$N$21,0),1)</f>
        <v>0.03</v>
      </c>
      <c r="R86" s="148">
        <f>INDEX(Muuttujat!$P$5:$P$21,MATCH($C86,Muuttujat!$N$5:$N$21,0),1)</f>
        <v>3.1355537414087732E-2</v>
      </c>
      <c r="S86" s="149">
        <f t="shared" si="25"/>
        <v>0</v>
      </c>
      <c r="T86" s="150">
        <f t="shared" si="26"/>
        <v>0</v>
      </c>
      <c r="U86" s="150">
        <f t="shared" si="27"/>
        <v>0</v>
      </c>
      <c r="V86" s="150">
        <f>IFERROR(INDEX(Työkonekanta!$J$3:$J$27,MATCH($A86,Työkonekanta!$A$3:$A$24,0),1)*$B86*ef_li_ion_akku/1000/1000/INDEX(Työkonekanta!$K$3:$K$27,MATCH($A86,Työkonekanta!$A$3:$A$24,0)),0)</f>
        <v>0</v>
      </c>
      <c r="W86" s="149">
        <f t="shared" si="40"/>
        <v>0</v>
      </c>
      <c r="X86" s="150">
        <f t="shared" si="41"/>
        <v>0</v>
      </c>
      <c r="Y86" s="151">
        <f t="shared" si="42"/>
        <v>0</v>
      </c>
      <c r="Z86" s="152">
        <f t="shared" si="34"/>
        <v>0</v>
      </c>
      <c r="AA86" s="179">
        <f t="shared" si="35"/>
        <v>0</v>
      </c>
      <c r="AB86" s="179">
        <f t="shared" si="36"/>
        <v>0</v>
      </c>
      <c r="AC86" s="180">
        <f t="shared" si="43"/>
        <v>0</v>
      </c>
      <c r="AD86" s="156">
        <f t="shared" si="37"/>
        <v>0</v>
      </c>
      <c r="AE86" s="146">
        <f>IFERROR(INDEX(Työkonekanta!$L$3:$L$30,MATCH($A86,Työkonekanta!$A$3:$A$30,0),1),0)*AF86</f>
        <v>0</v>
      </c>
      <c r="AF86" s="146">
        <f>IFERROR(INDEX(Työkonekanta!$N$3:$N$32,MATCH($A86,Työkonekanta!$A$3:$A$32,0),1),0)</f>
        <v>0</v>
      </c>
      <c r="AG86" s="332">
        <f>I86*INDEX(Muuttujat!$U$5:$U$21,MATCH($C86,Muuttujat!$N$5:$N$21,0),1)</f>
        <v>0</v>
      </c>
      <c r="AH86" s="332">
        <f>J86*INDEX(Muuttujat!$T$5:$T$21,MATCH($C86,Muuttujat!$N$5:$N$21,0),1)</f>
        <v>0</v>
      </c>
      <c r="AI86" s="332">
        <f t="shared" si="28"/>
        <v>0</v>
      </c>
      <c r="AJ86" s="332">
        <f t="shared" si="29"/>
        <v>0</v>
      </c>
      <c r="AK86" s="332">
        <f t="shared" si="38"/>
        <v>0</v>
      </c>
      <c r="AL86" s="332">
        <f t="shared" si="30"/>
        <v>0</v>
      </c>
    </row>
    <row r="87" spans="1:38">
      <c r="A87" s="139">
        <v>25</v>
      </c>
      <c r="B87" s="139">
        <f>IFERROR(INDEX(Työkonekanta!$F$3:$F$27,MATCH('S0b Baseline kasvu'!$A87,Työkonekanta!$A$3:$A$24,0),1),0)</f>
        <v>0</v>
      </c>
      <c r="C87" s="140">
        <v>2021</v>
      </c>
      <c r="D87" s="141" t="str">
        <f>IFERROR(INDEX(Työkonekanta!$D$3:$D$27,MATCH('S0b Baseline kasvu'!$A87,Työkonekanta!$A$3:$A$24,0),1),"undefined")</f>
        <v>undefined</v>
      </c>
      <c r="E87" s="145">
        <f>IFERROR(INDEX(Työkonekanta!$G$3:$G$27,MATCH($A87,Työkonekanta!$A$3:$A$24,0),1)*INDEX(Työkonekanta!$H$3:$H$27,MATCH($A87,Työkonekanta!$A$3:$A$24,0),1)*(1+s0b_kasvu*($C87-2019))*$B87,0)</f>
        <v>0</v>
      </c>
      <c r="F87" s="145">
        <f t="shared" si="22"/>
        <v>0</v>
      </c>
      <c r="G87" s="145">
        <f t="shared" si="31"/>
        <v>0</v>
      </c>
      <c r="H87" s="145">
        <f t="shared" si="32"/>
        <v>0</v>
      </c>
      <c r="I87" s="145">
        <f t="shared" si="23"/>
        <v>0</v>
      </c>
      <c r="J87" s="145">
        <f t="shared" si="24"/>
        <v>0</v>
      </c>
      <c r="K87" s="142" t="str">
        <f t="shared" si="33"/>
        <v>undefined</v>
      </c>
      <c r="L87" s="146">
        <f>IFERROR(INDEX(Työkonekanta!$I$3:$I$27,MATCH('S0b Baseline kasvu'!$A87,Työkonekanta!$A$3:$A$24,0),1)*(I87+J87)*f_adblue,0)</f>
        <v>0</v>
      </c>
      <c r="M87" s="146">
        <f t="shared" si="39"/>
        <v>0</v>
      </c>
      <c r="N87" s="143" t="str">
        <f>IF(tuulisähkö_vuosi&lt;='S0b Baseline kasvu'!C87,"tuulisähkö",ostosähkö_nyt)</f>
        <v>jäännössähkö</v>
      </c>
      <c r="O87" s="147">
        <f>INDEX(Muuttujat!$J$5:$J$21,MATCH($C87,Muuttujat!$H$5:$H$21,0),1)</f>
        <v>67.8692025</v>
      </c>
      <c r="P87" s="342">
        <f>1-(INDEX(Muuttujat!$O$5:$O$21,MATCH($C87,Muuttujat!$N$5:$N$21,0),1))</f>
        <v>0.97</v>
      </c>
      <c r="Q87" s="342">
        <f>INDEX(Muuttujat!$O$5:$O$21,MATCH($C87,Muuttujat!$N$5:$N$21,0),1)</f>
        <v>0.03</v>
      </c>
      <c r="R87" s="148">
        <f>INDEX(Muuttujat!$P$5:$P$21,MATCH($C87,Muuttujat!$N$5:$N$21,0),1)</f>
        <v>3.1355537414087732E-2</v>
      </c>
      <c r="S87" s="149">
        <f t="shared" si="25"/>
        <v>0</v>
      </c>
      <c r="T87" s="150">
        <f t="shared" si="26"/>
        <v>0</v>
      </c>
      <c r="U87" s="150">
        <f t="shared" si="27"/>
        <v>0</v>
      </c>
      <c r="V87" s="150">
        <f>IFERROR(INDEX(Työkonekanta!$J$3:$J$27,MATCH($A87,Työkonekanta!$A$3:$A$24,0),1)*$B87*ef_li_ion_akku/1000/1000/INDEX(Työkonekanta!$K$3:$K$27,MATCH($A87,Työkonekanta!$A$3:$A$24,0)),0)</f>
        <v>0</v>
      </c>
      <c r="W87" s="149">
        <f t="shared" si="40"/>
        <v>0</v>
      </c>
      <c r="X87" s="150">
        <f t="shared" si="41"/>
        <v>0</v>
      </c>
      <c r="Y87" s="151">
        <f t="shared" si="42"/>
        <v>0</v>
      </c>
      <c r="Z87" s="152">
        <f t="shared" si="34"/>
        <v>0</v>
      </c>
      <c r="AA87" s="179">
        <f t="shared" si="35"/>
        <v>0</v>
      </c>
      <c r="AB87" s="179">
        <f t="shared" si="36"/>
        <v>0</v>
      </c>
      <c r="AC87" s="180">
        <f t="shared" si="43"/>
        <v>0</v>
      </c>
      <c r="AD87" s="156">
        <f t="shared" si="37"/>
        <v>0</v>
      </c>
      <c r="AE87" s="146">
        <f>IFERROR(INDEX(Työkonekanta!$L$3:$L$30,MATCH($A87,Työkonekanta!$A$3:$A$30,0),1),0)*AF87</f>
        <v>0</v>
      </c>
      <c r="AF87" s="146">
        <f>IFERROR(INDEX(Työkonekanta!$N$3:$N$32,MATCH($A87,Työkonekanta!$A$3:$A$32,0),1),0)</f>
        <v>0</v>
      </c>
      <c r="AG87" s="332">
        <f>I87*INDEX(Muuttujat!$U$5:$U$21,MATCH($C87,Muuttujat!$N$5:$N$21,0),1)</f>
        <v>0</v>
      </c>
      <c r="AH87" s="332">
        <f>J87*INDEX(Muuttujat!$T$5:$T$21,MATCH($C87,Muuttujat!$N$5:$N$21,0),1)</f>
        <v>0</v>
      </c>
      <c r="AI87" s="332">
        <f t="shared" si="28"/>
        <v>0</v>
      </c>
      <c r="AJ87" s="332">
        <f t="shared" si="29"/>
        <v>0</v>
      </c>
      <c r="AK87" s="332">
        <f t="shared" si="38"/>
        <v>0</v>
      </c>
      <c r="AL87" s="332">
        <f t="shared" si="30"/>
        <v>0</v>
      </c>
    </row>
    <row r="88" spans="1:38">
      <c r="A88" s="139">
        <v>26</v>
      </c>
      <c r="B88" s="139">
        <f>IFERROR(INDEX(Työkonekanta!$F$3:$F$27,MATCH('S0b Baseline kasvu'!$A88,Työkonekanta!$A$3:$A$24,0),1),0)</f>
        <v>0</v>
      </c>
      <c r="C88" s="140">
        <v>2021</v>
      </c>
      <c r="D88" s="141" t="str">
        <f>IFERROR(INDEX(Työkonekanta!$D$3:$D$27,MATCH('S0b Baseline kasvu'!$A88,Työkonekanta!$A$3:$A$24,0),1),"undefined")</f>
        <v>undefined</v>
      </c>
      <c r="E88" s="145">
        <f>IFERROR(INDEX(Työkonekanta!$G$3:$G$27,MATCH($A88,Työkonekanta!$A$3:$A$24,0),1)*INDEX(Työkonekanta!$H$3:$H$27,MATCH($A88,Työkonekanta!$A$3:$A$24,0),1)*(1+s0b_kasvu*($C88-2019))*$B88,0)</f>
        <v>0</v>
      </c>
      <c r="F88" s="145">
        <f t="shared" si="22"/>
        <v>0</v>
      </c>
      <c r="G88" s="145">
        <f t="shared" si="31"/>
        <v>0</v>
      </c>
      <c r="H88" s="145">
        <f t="shared" si="32"/>
        <v>0</v>
      </c>
      <c r="I88" s="145">
        <f t="shared" si="23"/>
        <v>0</v>
      </c>
      <c r="J88" s="145">
        <f t="shared" si="24"/>
        <v>0</v>
      </c>
      <c r="K88" s="142" t="str">
        <f t="shared" si="33"/>
        <v>undefined</v>
      </c>
      <c r="L88" s="146">
        <f>IFERROR(INDEX(Työkonekanta!$I$3:$I$27,MATCH('S0b Baseline kasvu'!$A88,Työkonekanta!$A$3:$A$24,0),1)*(I88+J88)*f_adblue,0)</f>
        <v>0</v>
      </c>
      <c r="M88" s="146">
        <f t="shared" si="39"/>
        <v>0</v>
      </c>
      <c r="N88" s="143" t="str">
        <f>IF(tuulisähkö_vuosi&lt;='S0b Baseline kasvu'!C88,"tuulisähkö",ostosähkö_nyt)</f>
        <v>jäännössähkö</v>
      </c>
      <c r="O88" s="147">
        <f>INDEX(Muuttujat!$J$5:$J$21,MATCH($C88,Muuttujat!$H$5:$H$21,0),1)</f>
        <v>67.8692025</v>
      </c>
      <c r="P88" s="342">
        <f>1-(INDEX(Muuttujat!$O$5:$O$21,MATCH($C88,Muuttujat!$N$5:$N$21,0),1))</f>
        <v>0.97</v>
      </c>
      <c r="Q88" s="342">
        <f>INDEX(Muuttujat!$O$5:$O$21,MATCH($C88,Muuttujat!$N$5:$N$21,0),1)</f>
        <v>0.03</v>
      </c>
      <c r="R88" s="148">
        <f>INDEX(Muuttujat!$P$5:$P$21,MATCH($C88,Muuttujat!$N$5:$N$21,0),1)</f>
        <v>3.1355537414087732E-2</v>
      </c>
      <c r="S88" s="149">
        <f t="shared" si="25"/>
        <v>0</v>
      </c>
      <c r="T88" s="150">
        <f t="shared" si="26"/>
        <v>0</v>
      </c>
      <c r="U88" s="150">
        <f t="shared" si="27"/>
        <v>0</v>
      </c>
      <c r="V88" s="150">
        <f>IFERROR(INDEX(Työkonekanta!$J$3:$J$27,MATCH($A88,Työkonekanta!$A$3:$A$24,0),1)*$B88*ef_li_ion_akku/1000/1000/INDEX(Työkonekanta!$K$3:$K$27,MATCH($A88,Työkonekanta!$A$3:$A$24,0)),0)</f>
        <v>0</v>
      </c>
      <c r="W88" s="149">
        <f t="shared" si="40"/>
        <v>0</v>
      </c>
      <c r="X88" s="150">
        <f t="shared" si="41"/>
        <v>0</v>
      </c>
      <c r="Y88" s="151">
        <f t="shared" si="42"/>
        <v>0</v>
      </c>
      <c r="Z88" s="152">
        <f t="shared" si="34"/>
        <v>0</v>
      </c>
      <c r="AA88" s="179">
        <f t="shared" si="35"/>
        <v>0</v>
      </c>
      <c r="AB88" s="179">
        <f t="shared" si="36"/>
        <v>0</v>
      </c>
      <c r="AC88" s="180">
        <f t="shared" si="43"/>
        <v>0</v>
      </c>
      <c r="AD88" s="156">
        <f t="shared" si="37"/>
        <v>0</v>
      </c>
      <c r="AE88" s="146">
        <f>IFERROR(INDEX(Työkonekanta!$L$3:$L$30,MATCH($A88,Työkonekanta!$A$3:$A$30,0),1),0)*AF88</f>
        <v>0</v>
      </c>
      <c r="AF88" s="146">
        <f>IFERROR(INDEX(Työkonekanta!$N$3:$N$32,MATCH($A88,Työkonekanta!$A$3:$A$32,0),1),0)</f>
        <v>0</v>
      </c>
      <c r="AG88" s="332">
        <f>I88*INDEX(Muuttujat!$U$5:$U$21,MATCH($C88,Muuttujat!$N$5:$N$21,0),1)</f>
        <v>0</v>
      </c>
      <c r="AH88" s="332">
        <f>J88*INDEX(Muuttujat!$T$5:$T$21,MATCH($C88,Muuttujat!$N$5:$N$21,0),1)</f>
        <v>0</v>
      </c>
      <c r="AI88" s="332">
        <f t="shared" si="28"/>
        <v>0</v>
      </c>
      <c r="AJ88" s="332">
        <f t="shared" si="29"/>
        <v>0</v>
      </c>
      <c r="AK88" s="332">
        <f t="shared" si="38"/>
        <v>0</v>
      </c>
      <c r="AL88" s="332">
        <f t="shared" si="30"/>
        <v>0</v>
      </c>
    </row>
    <row r="89" spans="1:38">
      <c r="A89" s="139">
        <v>27</v>
      </c>
      <c r="B89" s="139">
        <f>IFERROR(INDEX(Työkonekanta!$F$3:$F$27,MATCH('S0b Baseline kasvu'!$A89,Työkonekanta!$A$3:$A$24,0),1),0)</f>
        <v>0</v>
      </c>
      <c r="C89" s="140">
        <v>2021</v>
      </c>
      <c r="D89" s="141" t="str">
        <f>IFERROR(INDEX(Työkonekanta!$D$3:$D$27,MATCH('S0b Baseline kasvu'!$A89,Työkonekanta!$A$3:$A$24,0),1),"undefined")</f>
        <v>undefined</v>
      </c>
      <c r="E89" s="145">
        <f>IFERROR(INDEX(Työkonekanta!$G$3:$G$27,MATCH($A89,Työkonekanta!$A$3:$A$24,0),1)*INDEX(Työkonekanta!$H$3:$H$27,MATCH($A89,Työkonekanta!$A$3:$A$24,0),1)*(1+s0b_kasvu*($C89-2019))*$B89,0)</f>
        <v>0</v>
      </c>
      <c r="F89" s="145">
        <f t="shared" si="22"/>
        <v>0</v>
      </c>
      <c r="G89" s="145">
        <f t="shared" si="31"/>
        <v>0</v>
      </c>
      <c r="H89" s="145">
        <f t="shared" si="32"/>
        <v>0</v>
      </c>
      <c r="I89" s="145">
        <f t="shared" si="23"/>
        <v>0</v>
      </c>
      <c r="J89" s="145">
        <f t="shared" si="24"/>
        <v>0</v>
      </c>
      <c r="K89" s="142" t="str">
        <f t="shared" si="33"/>
        <v>undefined</v>
      </c>
      <c r="L89" s="146">
        <f>IFERROR(INDEX(Työkonekanta!$I$3:$I$27,MATCH('S0b Baseline kasvu'!$A89,Työkonekanta!$A$3:$A$24,0),1)*(I89+J89)*f_adblue,0)</f>
        <v>0</v>
      </c>
      <c r="M89" s="146">
        <f t="shared" si="39"/>
        <v>0</v>
      </c>
      <c r="N89" s="143" t="str">
        <f>IF(tuulisähkö_vuosi&lt;='S0b Baseline kasvu'!C89,"tuulisähkö",ostosähkö_nyt)</f>
        <v>jäännössähkö</v>
      </c>
      <c r="O89" s="147">
        <f>INDEX(Muuttujat!$J$5:$J$21,MATCH($C89,Muuttujat!$H$5:$H$21,0),1)</f>
        <v>67.8692025</v>
      </c>
      <c r="P89" s="342">
        <f>1-(INDEX(Muuttujat!$O$5:$O$21,MATCH($C89,Muuttujat!$N$5:$N$21,0),1))</f>
        <v>0.97</v>
      </c>
      <c r="Q89" s="342">
        <f>INDEX(Muuttujat!$O$5:$O$21,MATCH($C89,Muuttujat!$N$5:$N$21,0),1)</f>
        <v>0.03</v>
      </c>
      <c r="R89" s="148">
        <f>INDEX(Muuttujat!$P$5:$P$21,MATCH($C89,Muuttujat!$N$5:$N$21,0),1)</f>
        <v>3.1355537414087732E-2</v>
      </c>
      <c r="S89" s="149">
        <f t="shared" si="25"/>
        <v>0</v>
      </c>
      <c r="T89" s="150">
        <f t="shared" si="26"/>
        <v>0</v>
      </c>
      <c r="U89" s="150">
        <f t="shared" si="27"/>
        <v>0</v>
      </c>
      <c r="V89" s="150">
        <f>IFERROR(INDEX(Työkonekanta!$J$3:$J$27,MATCH($A89,Työkonekanta!$A$3:$A$24,0),1)*$B89*ef_li_ion_akku/1000/1000/INDEX(Työkonekanta!$K$3:$K$27,MATCH($A89,Työkonekanta!$A$3:$A$24,0)),0)</f>
        <v>0</v>
      </c>
      <c r="W89" s="149">
        <f t="shared" si="40"/>
        <v>0</v>
      </c>
      <c r="X89" s="150">
        <f t="shared" si="41"/>
        <v>0</v>
      </c>
      <c r="Y89" s="151">
        <f t="shared" si="42"/>
        <v>0</v>
      </c>
      <c r="Z89" s="152">
        <f t="shared" si="34"/>
        <v>0</v>
      </c>
      <c r="AA89" s="179">
        <f t="shared" si="35"/>
        <v>0</v>
      </c>
      <c r="AB89" s="179">
        <f t="shared" si="36"/>
        <v>0</v>
      </c>
      <c r="AC89" s="180">
        <f t="shared" si="43"/>
        <v>0</v>
      </c>
      <c r="AD89" s="156">
        <f t="shared" si="37"/>
        <v>0</v>
      </c>
      <c r="AE89" s="146">
        <f>IFERROR(INDEX(Työkonekanta!$L$3:$L$30,MATCH($A89,Työkonekanta!$A$3:$A$30,0),1),0)*AF89</f>
        <v>0</v>
      </c>
      <c r="AF89" s="146">
        <f>IFERROR(INDEX(Työkonekanta!$N$3:$N$32,MATCH($A89,Työkonekanta!$A$3:$A$32,0),1),0)</f>
        <v>0</v>
      </c>
      <c r="AG89" s="332">
        <f>I89*INDEX(Muuttujat!$U$5:$U$21,MATCH($C89,Muuttujat!$N$5:$N$21,0),1)</f>
        <v>0</v>
      </c>
      <c r="AH89" s="332">
        <f>J89*INDEX(Muuttujat!$T$5:$T$21,MATCH($C89,Muuttujat!$N$5:$N$21,0),1)</f>
        <v>0</v>
      </c>
      <c r="AI89" s="332">
        <f t="shared" si="28"/>
        <v>0</v>
      </c>
      <c r="AJ89" s="332">
        <f t="shared" si="29"/>
        <v>0</v>
      </c>
      <c r="AK89" s="332">
        <f t="shared" si="38"/>
        <v>0</v>
      </c>
      <c r="AL89" s="332">
        <f t="shared" si="30"/>
        <v>0</v>
      </c>
    </row>
    <row r="90" spans="1:38">
      <c r="A90" s="139">
        <v>28</v>
      </c>
      <c r="B90" s="139">
        <f>IFERROR(INDEX(Työkonekanta!$F$3:$F$27,MATCH('S0b Baseline kasvu'!$A90,Työkonekanta!$A$3:$A$24,0),1),0)</f>
        <v>0</v>
      </c>
      <c r="C90" s="140">
        <v>2021</v>
      </c>
      <c r="D90" s="141" t="str">
        <f>IFERROR(INDEX(Työkonekanta!$D$3:$D$27,MATCH('S0b Baseline kasvu'!$A90,Työkonekanta!$A$3:$A$24,0),1),"undefined")</f>
        <v>undefined</v>
      </c>
      <c r="E90" s="145">
        <f>IFERROR(INDEX(Työkonekanta!$G$3:$G$27,MATCH($A90,Työkonekanta!$A$3:$A$24,0),1)*INDEX(Työkonekanta!$H$3:$H$27,MATCH($A90,Työkonekanta!$A$3:$A$24,0),1)*(1+s0b_kasvu*($C90-2019))*$B90,0)</f>
        <v>0</v>
      </c>
      <c r="F90" s="145">
        <f t="shared" si="22"/>
        <v>0</v>
      </c>
      <c r="G90" s="145">
        <f t="shared" si="31"/>
        <v>0</v>
      </c>
      <c r="H90" s="145">
        <f t="shared" si="32"/>
        <v>0</v>
      </c>
      <c r="I90" s="145">
        <f t="shared" si="23"/>
        <v>0</v>
      </c>
      <c r="J90" s="145">
        <f t="shared" si="24"/>
        <v>0</v>
      </c>
      <c r="K90" s="142" t="str">
        <f t="shared" si="33"/>
        <v>undefined</v>
      </c>
      <c r="L90" s="146">
        <f>IFERROR(INDEX(Työkonekanta!$I$3:$I$27,MATCH('S0b Baseline kasvu'!$A90,Työkonekanta!$A$3:$A$24,0),1)*(I90+J90)*f_adblue,0)</f>
        <v>0</v>
      </c>
      <c r="M90" s="146">
        <f t="shared" si="39"/>
        <v>0</v>
      </c>
      <c r="N90" s="143" t="str">
        <f>IF(tuulisähkö_vuosi&lt;='S0b Baseline kasvu'!C90,"tuulisähkö",ostosähkö_nyt)</f>
        <v>jäännössähkö</v>
      </c>
      <c r="O90" s="147">
        <f>INDEX(Muuttujat!$J$5:$J$21,MATCH($C90,Muuttujat!$H$5:$H$21,0),1)</f>
        <v>67.8692025</v>
      </c>
      <c r="P90" s="342">
        <f>1-(INDEX(Muuttujat!$O$5:$O$21,MATCH($C90,Muuttujat!$N$5:$N$21,0),1))</f>
        <v>0.97</v>
      </c>
      <c r="Q90" s="342">
        <f>INDEX(Muuttujat!$O$5:$O$21,MATCH($C90,Muuttujat!$N$5:$N$21,0),1)</f>
        <v>0.03</v>
      </c>
      <c r="R90" s="148">
        <f>INDEX(Muuttujat!$P$5:$P$21,MATCH($C90,Muuttujat!$N$5:$N$21,0),1)</f>
        <v>3.1355537414087732E-2</v>
      </c>
      <c r="S90" s="149">
        <f t="shared" si="25"/>
        <v>0</v>
      </c>
      <c r="T90" s="150">
        <f t="shared" si="26"/>
        <v>0</v>
      </c>
      <c r="U90" s="150">
        <f t="shared" si="27"/>
        <v>0</v>
      </c>
      <c r="V90" s="150">
        <f>IFERROR(INDEX(Työkonekanta!$J$3:$J$27,MATCH($A90,Työkonekanta!$A$3:$A$24,0),1)*$B90*ef_li_ion_akku/1000/1000/INDEX(Työkonekanta!$K$3:$K$27,MATCH($A90,Työkonekanta!$A$3:$A$24,0)),0)</f>
        <v>0</v>
      </c>
      <c r="W90" s="149">
        <f t="shared" si="40"/>
        <v>0</v>
      </c>
      <c r="X90" s="150">
        <f t="shared" si="41"/>
        <v>0</v>
      </c>
      <c r="Y90" s="151">
        <f t="shared" si="42"/>
        <v>0</v>
      </c>
      <c r="Z90" s="152">
        <f t="shared" si="34"/>
        <v>0</v>
      </c>
      <c r="AA90" s="179">
        <f t="shared" si="35"/>
        <v>0</v>
      </c>
      <c r="AB90" s="179">
        <f t="shared" si="36"/>
        <v>0</v>
      </c>
      <c r="AC90" s="180">
        <f t="shared" si="43"/>
        <v>0</v>
      </c>
      <c r="AD90" s="156">
        <f t="shared" si="37"/>
        <v>0</v>
      </c>
      <c r="AE90" s="146">
        <f>IFERROR(INDEX(Työkonekanta!$L$3:$L$30,MATCH($A90,Työkonekanta!$A$3:$A$30,0),1),0)*AF90</f>
        <v>0</v>
      </c>
      <c r="AF90" s="146">
        <f>IFERROR(INDEX(Työkonekanta!$N$3:$N$32,MATCH($A90,Työkonekanta!$A$3:$A$32,0),1),0)</f>
        <v>0</v>
      </c>
      <c r="AG90" s="332">
        <f>I90*INDEX(Muuttujat!$U$5:$U$21,MATCH($C90,Muuttujat!$N$5:$N$21,0),1)</f>
        <v>0</v>
      </c>
      <c r="AH90" s="332">
        <f>J90*INDEX(Muuttujat!$T$5:$T$21,MATCH($C90,Muuttujat!$N$5:$N$21,0),1)</f>
        <v>0</v>
      </c>
      <c r="AI90" s="332">
        <f t="shared" si="28"/>
        <v>0</v>
      </c>
      <c r="AJ90" s="332">
        <f t="shared" si="29"/>
        <v>0</v>
      </c>
      <c r="AK90" s="332">
        <f t="shared" si="38"/>
        <v>0</v>
      </c>
      <c r="AL90" s="332">
        <f t="shared" si="30"/>
        <v>0</v>
      </c>
    </row>
    <row r="91" spans="1:38">
      <c r="A91" s="139">
        <v>29</v>
      </c>
      <c r="B91" s="139">
        <f>IFERROR(INDEX(Työkonekanta!$F$3:$F$27,MATCH('S0b Baseline kasvu'!$A91,Työkonekanta!$A$3:$A$24,0),1),0)</f>
        <v>0</v>
      </c>
      <c r="C91" s="140">
        <v>2021</v>
      </c>
      <c r="D91" s="141" t="str">
        <f>IFERROR(INDEX(Työkonekanta!$D$3:$D$27,MATCH('S0b Baseline kasvu'!$A91,Työkonekanta!$A$3:$A$24,0),1),"undefined")</f>
        <v>undefined</v>
      </c>
      <c r="E91" s="145">
        <f>IFERROR(INDEX(Työkonekanta!$G$3:$G$27,MATCH($A91,Työkonekanta!$A$3:$A$24,0),1)*INDEX(Työkonekanta!$H$3:$H$27,MATCH($A91,Työkonekanta!$A$3:$A$24,0),1)*(1+s0b_kasvu*($C91-2019))*$B91,0)</f>
        <v>0</v>
      </c>
      <c r="F91" s="145">
        <f t="shared" si="22"/>
        <v>0</v>
      </c>
      <c r="G91" s="145">
        <f t="shared" si="31"/>
        <v>0</v>
      </c>
      <c r="H91" s="145">
        <f t="shared" si="32"/>
        <v>0</v>
      </c>
      <c r="I91" s="145">
        <f t="shared" si="23"/>
        <v>0</v>
      </c>
      <c r="J91" s="145">
        <f t="shared" si="24"/>
        <v>0</v>
      </c>
      <c r="K91" s="142" t="str">
        <f t="shared" si="33"/>
        <v>undefined</v>
      </c>
      <c r="L91" s="146">
        <f>IFERROR(INDEX(Työkonekanta!$I$3:$I$27,MATCH('S0b Baseline kasvu'!$A91,Työkonekanta!$A$3:$A$24,0),1)*(I91+J91)*f_adblue,0)</f>
        <v>0</v>
      </c>
      <c r="M91" s="146">
        <f t="shared" si="39"/>
        <v>0</v>
      </c>
      <c r="N91" s="143" t="str">
        <f>IF(tuulisähkö_vuosi&lt;='S0b Baseline kasvu'!C91,"tuulisähkö",ostosähkö_nyt)</f>
        <v>jäännössähkö</v>
      </c>
      <c r="O91" s="147">
        <f>INDEX(Muuttujat!$J$5:$J$21,MATCH($C91,Muuttujat!$H$5:$H$21,0),1)</f>
        <v>67.8692025</v>
      </c>
      <c r="P91" s="342">
        <f>1-(INDEX(Muuttujat!$O$5:$O$21,MATCH($C91,Muuttujat!$N$5:$N$21,0),1))</f>
        <v>0.97</v>
      </c>
      <c r="Q91" s="342">
        <f>INDEX(Muuttujat!$O$5:$O$21,MATCH($C91,Muuttujat!$N$5:$N$21,0),1)</f>
        <v>0.03</v>
      </c>
      <c r="R91" s="148">
        <f>INDEX(Muuttujat!$P$5:$P$21,MATCH($C91,Muuttujat!$N$5:$N$21,0),1)</f>
        <v>3.1355537414087732E-2</v>
      </c>
      <c r="S91" s="149">
        <f t="shared" si="25"/>
        <v>0</v>
      </c>
      <c r="T91" s="150">
        <f t="shared" si="26"/>
        <v>0</v>
      </c>
      <c r="U91" s="150">
        <f t="shared" si="27"/>
        <v>0</v>
      </c>
      <c r="V91" s="150">
        <f>IFERROR(INDEX(Työkonekanta!$J$3:$J$27,MATCH($A91,Työkonekanta!$A$3:$A$24,0),1)*$B91*ef_li_ion_akku/1000/1000/INDEX(Työkonekanta!$K$3:$K$27,MATCH($A91,Työkonekanta!$A$3:$A$24,0)),0)</f>
        <v>0</v>
      </c>
      <c r="W91" s="149">
        <f t="shared" si="40"/>
        <v>0</v>
      </c>
      <c r="X91" s="150">
        <f t="shared" si="41"/>
        <v>0</v>
      </c>
      <c r="Y91" s="151">
        <f t="shared" si="42"/>
        <v>0</v>
      </c>
      <c r="Z91" s="152">
        <f t="shared" si="34"/>
        <v>0</v>
      </c>
      <c r="AA91" s="179">
        <f t="shared" si="35"/>
        <v>0</v>
      </c>
      <c r="AB91" s="179">
        <f t="shared" si="36"/>
        <v>0</v>
      </c>
      <c r="AC91" s="180">
        <f t="shared" si="43"/>
        <v>0</v>
      </c>
      <c r="AD91" s="156">
        <f t="shared" si="37"/>
        <v>0</v>
      </c>
      <c r="AE91" s="146">
        <f>IFERROR(INDEX(Työkonekanta!$L$3:$L$30,MATCH($A91,Työkonekanta!$A$3:$A$30,0),1),0)*AF91</f>
        <v>0</v>
      </c>
      <c r="AF91" s="146">
        <f>IFERROR(INDEX(Työkonekanta!$N$3:$N$32,MATCH($A91,Työkonekanta!$A$3:$A$32,0),1),0)</f>
        <v>0</v>
      </c>
      <c r="AG91" s="332">
        <f>I91*INDEX(Muuttujat!$U$5:$U$21,MATCH($C91,Muuttujat!$N$5:$N$21,0),1)</f>
        <v>0</v>
      </c>
      <c r="AH91" s="332">
        <f>J91*INDEX(Muuttujat!$T$5:$T$21,MATCH($C91,Muuttujat!$N$5:$N$21,0),1)</f>
        <v>0</v>
      </c>
      <c r="AI91" s="332">
        <f t="shared" si="28"/>
        <v>0</v>
      </c>
      <c r="AJ91" s="332">
        <f t="shared" si="29"/>
        <v>0</v>
      </c>
      <c r="AK91" s="332">
        <f t="shared" si="38"/>
        <v>0</v>
      </c>
      <c r="AL91" s="332">
        <f t="shared" si="30"/>
        <v>0</v>
      </c>
    </row>
    <row r="92" spans="1:38">
      <c r="A92" s="139">
        <v>30</v>
      </c>
      <c r="B92" s="139">
        <f>IFERROR(INDEX(Työkonekanta!$F$3:$F$27,MATCH('S0b Baseline kasvu'!$A92,Työkonekanta!$A$3:$A$24,0),1),0)</f>
        <v>0</v>
      </c>
      <c r="C92" s="140">
        <v>2021</v>
      </c>
      <c r="D92" s="141" t="str">
        <f>IFERROR(INDEX(Työkonekanta!$D$3:$D$27,MATCH('S0b Baseline kasvu'!$A92,Työkonekanta!$A$3:$A$24,0),1),"undefined")</f>
        <v>undefined</v>
      </c>
      <c r="E92" s="145">
        <f>IFERROR(INDEX(Työkonekanta!$G$3:$G$27,MATCH($A92,Työkonekanta!$A$3:$A$24,0),1)*INDEX(Työkonekanta!$H$3:$H$27,MATCH($A92,Työkonekanta!$A$3:$A$24,0),1)*(1+s0b_kasvu*($C92-2019))*$B92,0)</f>
        <v>0</v>
      </c>
      <c r="F92" s="145">
        <f t="shared" si="22"/>
        <v>0</v>
      </c>
      <c r="G92" s="145">
        <f t="shared" si="31"/>
        <v>0</v>
      </c>
      <c r="H92" s="145">
        <f t="shared" si="32"/>
        <v>0</v>
      </c>
      <c r="I92" s="145">
        <f t="shared" si="23"/>
        <v>0</v>
      </c>
      <c r="J92" s="145">
        <f t="shared" si="24"/>
        <v>0</v>
      </c>
      <c r="K92" s="142" t="str">
        <f t="shared" si="33"/>
        <v>undefined</v>
      </c>
      <c r="L92" s="146">
        <f>IFERROR(INDEX(Työkonekanta!$I$3:$I$27,MATCH('S0b Baseline kasvu'!$A92,Työkonekanta!$A$3:$A$24,0),1)*(I92+J92)*f_adblue,0)</f>
        <v>0</v>
      </c>
      <c r="M92" s="146">
        <f t="shared" si="39"/>
        <v>0</v>
      </c>
      <c r="N92" s="143" t="str">
        <f>IF(tuulisähkö_vuosi&lt;='S0b Baseline kasvu'!C92,"tuulisähkö",ostosähkö_nyt)</f>
        <v>jäännössähkö</v>
      </c>
      <c r="O92" s="147">
        <f>INDEX(Muuttujat!$J$5:$J$21,MATCH($C92,Muuttujat!$H$5:$H$21,0),1)</f>
        <v>67.8692025</v>
      </c>
      <c r="P92" s="342">
        <f>1-(INDEX(Muuttujat!$O$5:$O$21,MATCH($C92,Muuttujat!$N$5:$N$21,0),1))</f>
        <v>0.97</v>
      </c>
      <c r="Q92" s="342">
        <f>INDEX(Muuttujat!$O$5:$O$21,MATCH($C92,Muuttujat!$N$5:$N$21,0),1)</f>
        <v>0.03</v>
      </c>
      <c r="R92" s="148">
        <f>INDEX(Muuttujat!$P$5:$P$21,MATCH($C92,Muuttujat!$N$5:$N$21,0),1)</f>
        <v>3.1355537414087732E-2</v>
      </c>
      <c r="S92" s="149">
        <f t="shared" si="25"/>
        <v>0</v>
      </c>
      <c r="T92" s="150">
        <f t="shared" si="26"/>
        <v>0</v>
      </c>
      <c r="U92" s="150">
        <f t="shared" si="27"/>
        <v>0</v>
      </c>
      <c r="V92" s="150">
        <f>IFERROR(INDEX(Työkonekanta!$J$3:$J$27,MATCH($A92,Työkonekanta!$A$3:$A$24,0),1)*$B92*ef_li_ion_akku/1000/1000/INDEX(Työkonekanta!$K$3:$K$27,MATCH($A92,Työkonekanta!$A$3:$A$24,0)),0)</f>
        <v>0</v>
      </c>
      <c r="W92" s="149">
        <f t="shared" si="40"/>
        <v>0</v>
      </c>
      <c r="X92" s="150">
        <f t="shared" si="41"/>
        <v>0</v>
      </c>
      <c r="Y92" s="151">
        <f t="shared" si="42"/>
        <v>0</v>
      </c>
      <c r="Z92" s="152">
        <f t="shared" si="34"/>
        <v>0</v>
      </c>
      <c r="AA92" s="179">
        <f t="shared" si="35"/>
        <v>0</v>
      </c>
      <c r="AB92" s="179">
        <f t="shared" si="36"/>
        <v>0</v>
      </c>
      <c r="AC92" s="180">
        <f t="shared" si="43"/>
        <v>0</v>
      </c>
      <c r="AD92" s="156">
        <f t="shared" si="37"/>
        <v>0</v>
      </c>
      <c r="AE92" s="146">
        <f>IFERROR(INDEX(Työkonekanta!$L$3:$L$30,MATCH($A92,Työkonekanta!$A$3:$A$30,0),1),0)*AF92</f>
        <v>0</v>
      </c>
      <c r="AF92" s="146">
        <f>IFERROR(INDEX(Työkonekanta!$N$3:$N$32,MATCH($A92,Työkonekanta!$A$3:$A$32,0),1),0)</f>
        <v>0</v>
      </c>
      <c r="AG92" s="332">
        <f>I92*INDEX(Muuttujat!$U$5:$U$21,MATCH($C92,Muuttujat!$N$5:$N$21,0),1)</f>
        <v>0</v>
      </c>
      <c r="AH92" s="332">
        <f>J92*INDEX(Muuttujat!$T$5:$T$21,MATCH($C92,Muuttujat!$N$5:$N$21,0),1)</f>
        <v>0</v>
      </c>
      <c r="AI92" s="332">
        <f t="shared" si="28"/>
        <v>0</v>
      </c>
      <c r="AJ92" s="332">
        <f t="shared" si="29"/>
        <v>0</v>
      </c>
      <c r="AK92" s="332">
        <f t="shared" si="38"/>
        <v>0</v>
      </c>
      <c r="AL92" s="332">
        <f t="shared" si="30"/>
        <v>0</v>
      </c>
    </row>
    <row r="93" spans="1:38">
      <c r="A93" s="139">
        <v>1</v>
      </c>
      <c r="B93" s="139">
        <f>IFERROR(INDEX(Työkonekanta!$F$3:$F$27,MATCH('S0b Baseline kasvu'!$A93,Työkonekanta!$A$3:$A$24,0),1),0)</f>
        <v>1</v>
      </c>
      <c r="C93" s="140">
        <v>2022</v>
      </c>
      <c r="D93" s="141" t="str">
        <f>IFERROR(INDEX(Työkonekanta!$D$3:$D$27,MATCH('S0b Baseline kasvu'!$A93,Työkonekanta!$A$3:$A$24,0),1),"undefined")</f>
        <v>pom</v>
      </c>
      <c r="E93" s="145">
        <f>IFERROR(INDEX(Työkonekanta!$G$3:$G$27,MATCH($A93,Työkonekanta!$A$3:$A$24,0),1)*INDEX(Työkonekanta!$H$3:$H$27,MATCH($A93,Työkonekanta!$A$3:$A$24,0),1)*(1+s0b_kasvu*($C93-2019))*$B93,0)</f>
        <v>10300</v>
      </c>
      <c r="F93" s="145">
        <f t="shared" si="22"/>
        <v>369770</v>
      </c>
      <c r="G93" s="145">
        <f t="shared" si="31"/>
        <v>354979.2</v>
      </c>
      <c r="H93" s="145">
        <f t="shared" si="32"/>
        <v>14790.800000000001</v>
      </c>
      <c r="I93" s="145">
        <f t="shared" si="23"/>
        <v>9888</v>
      </c>
      <c r="J93" s="145">
        <f t="shared" si="24"/>
        <v>431.21865889212836</v>
      </c>
      <c r="K93" s="142" t="str">
        <f t="shared" si="33"/>
        <v>l</v>
      </c>
      <c r="L93" s="146">
        <f>IFERROR(INDEX(Työkonekanta!$I$3:$I$27,MATCH('S0b Baseline kasvu'!$A93,Työkonekanta!$A$3:$A$24,0),1)*(I93+J93)*f_adblue,0)</f>
        <v>515.9609329446065</v>
      </c>
      <c r="M93" s="146">
        <f t="shared" si="39"/>
        <v>0</v>
      </c>
      <c r="N93" s="143" t="str">
        <f>IF(tuulisähkö_vuosi&lt;='S0b Baseline kasvu'!C93,"tuulisähkö",ostosähkö_nyt)</f>
        <v>jäännössähkö</v>
      </c>
      <c r="O93" s="147">
        <f>INDEX(Muuttujat!$J$5:$J$21,MATCH($C93,Muuttujat!$H$5:$H$21,0),1)</f>
        <v>67.190510474999996</v>
      </c>
      <c r="P93" s="342">
        <f>1-(INDEX(Muuttujat!$O$5:$O$21,MATCH($C93,Muuttujat!$N$5:$N$21,0),1))</f>
        <v>0.96</v>
      </c>
      <c r="Q93" s="342">
        <f>INDEX(Muuttujat!$O$5:$O$21,MATCH($C93,Muuttujat!$N$5:$N$21,0),1)</f>
        <v>0.04</v>
      </c>
      <c r="R93" s="148">
        <f>INDEX(Muuttujat!$P$5:$P$21,MATCH($C93,Muuttujat!$N$5:$N$21,0),1)</f>
        <v>4.1787917527764125E-2</v>
      </c>
      <c r="S93" s="149">
        <f t="shared" si="25"/>
        <v>6.7091068800000002</v>
      </c>
      <c r="T93" s="150">
        <f t="shared" si="26"/>
        <v>0.92294591999999998</v>
      </c>
      <c r="U93" s="150">
        <f t="shared" si="27"/>
        <v>0</v>
      </c>
      <c r="V93" s="150">
        <f>IFERROR(INDEX(Työkonekanta!$J$3:$J$27,MATCH($A93,Työkonekanta!$A$3:$A$24,0),1)*$B93*ef_li_ion_akku/1000/1000/INDEX(Työkonekanta!$K$3:$K$27,MATCH($A93,Työkonekanta!$A$3:$A$24,0)),0)</f>
        <v>0</v>
      </c>
      <c r="W93" s="149">
        <f t="shared" si="40"/>
        <v>26.200395057196797</v>
      </c>
      <c r="X93" s="150">
        <f t="shared" si="41"/>
        <v>0.32727802980000004</v>
      </c>
      <c r="Y93" s="151">
        <f t="shared" si="42"/>
        <v>0.13414984256559767</v>
      </c>
      <c r="Z93" s="152">
        <f t="shared" si="34"/>
        <v>7.6320528000000003</v>
      </c>
      <c r="AA93" s="179">
        <f t="shared" si="35"/>
        <v>26.334544899762395</v>
      </c>
      <c r="AB93" s="179">
        <f t="shared" si="36"/>
        <v>26.661822929562394</v>
      </c>
      <c r="AC93" s="180">
        <f t="shared" si="43"/>
        <v>33.966597699762396</v>
      </c>
      <c r="AD93" s="156">
        <f t="shared" si="37"/>
        <v>34.293875729562394</v>
      </c>
      <c r="AE93" s="146">
        <f>IFERROR(INDEX(Työkonekanta!$L$3:$L$30,MATCH($A93,Työkonekanta!$A$3:$A$30,0),1),0)*AF93</f>
        <v>500000</v>
      </c>
      <c r="AF93" s="146">
        <f>IFERROR(INDEX(Työkonekanta!$N$3:$N$32,MATCH($A93,Työkonekanta!$A$3:$A$32,0),1),0)</f>
        <v>1</v>
      </c>
      <c r="AG93" s="332">
        <f>I93*INDEX(Muuttujat!$U$5:$U$21,MATCH($C93,Muuttujat!$N$5:$N$21,0),1)</f>
        <v>9888</v>
      </c>
      <c r="AH93" s="332">
        <f>J93*INDEX(Muuttujat!$T$5:$T$21,MATCH($C93,Muuttujat!$N$5:$N$21,0),1)</f>
        <v>603.70612244897961</v>
      </c>
      <c r="AI93" s="332">
        <f t="shared" si="28"/>
        <v>257.98046647230325</v>
      </c>
      <c r="AJ93" s="332">
        <f t="shared" si="29"/>
        <v>0</v>
      </c>
      <c r="AK93" s="332">
        <f t="shared" si="38"/>
        <v>10749.686588921282</v>
      </c>
      <c r="AL93" s="332">
        <f t="shared" si="30"/>
        <v>10749.686588921282</v>
      </c>
    </row>
    <row r="94" spans="1:38">
      <c r="A94" s="139">
        <v>2</v>
      </c>
      <c r="B94" s="139">
        <f>IFERROR(INDEX(Työkonekanta!$F$3:$F$27,MATCH('S0b Baseline kasvu'!$A94,Työkonekanta!$A$3:$A$24,0),1),0)</f>
        <v>1</v>
      </c>
      <c r="C94" s="140">
        <v>2022</v>
      </c>
      <c r="D94" s="141" t="str">
        <f>IFERROR(INDEX(Työkonekanta!$D$3:$D$27,MATCH('S0b Baseline kasvu'!$A94,Työkonekanta!$A$3:$A$24,0),1),"undefined")</f>
        <v>pom</v>
      </c>
      <c r="E94" s="145">
        <f>IFERROR(INDEX(Työkonekanta!$G$3:$G$27,MATCH($A94,Työkonekanta!$A$3:$A$24,0),1)*INDEX(Työkonekanta!$H$3:$H$27,MATCH($A94,Työkonekanta!$A$3:$A$24,0),1)*(1+s0b_kasvu*($C94-2019))*$B94,0)</f>
        <v>10300</v>
      </c>
      <c r="F94" s="145">
        <f t="shared" si="22"/>
        <v>369770</v>
      </c>
      <c r="G94" s="145">
        <f t="shared" si="31"/>
        <v>354979.2</v>
      </c>
      <c r="H94" s="145">
        <f t="shared" si="32"/>
        <v>14790.800000000001</v>
      </c>
      <c r="I94" s="145">
        <f t="shared" si="23"/>
        <v>9888</v>
      </c>
      <c r="J94" s="145">
        <f t="shared" si="24"/>
        <v>431.21865889212836</v>
      </c>
      <c r="K94" s="142" t="str">
        <f t="shared" si="33"/>
        <v>l</v>
      </c>
      <c r="L94" s="146">
        <f>IFERROR(INDEX(Työkonekanta!$I$3:$I$27,MATCH('S0b Baseline kasvu'!$A94,Työkonekanta!$A$3:$A$24,0),1)*(I94+J94)*f_adblue,0)</f>
        <v>515.9609329446065</v>
      </c>
      <c r="M94" s="146">
        <f t="shared" si="39"/>
        <v>0</v>
      </c>
      <c r="N94" s="143" t="str">
        <f>IF(tuulisähkö_vuosi&lt;='S0b Baseline kasvu'!C94,"tuulisähkö",ostosähkö_nyt)</f>
        <v>jäännössähkö</v>
      </c>
      <c r="O94" s="147">
        <f>INDEX(Muuttujat!$J$5:$J$21,MATCH($C94,Muuttujat!$H$5:$H$21,0),1)</f>
        <v>67.190510474999996</v>
      </c>
      <c r="P94" s="342">
        <f>1-(INDEX(Muuttujat!$O$5:$O$21,MATCH($C94,Muuttujat!$N$5:$N$21,0),1))</f>
        <v>0.96</v>
      </c>
      <c r="Q94" s="342">
        <f>INDEX(Muuttujat!$O$5:$O$21,MATCH($C94,Muuttujat!$N$5:$N$21,0),1)</f>
        <v>0.04</v>
      </c>
      <c r="R94" s="148">
        <f>INDEX(Muuttujat!$P$5:$P$21,MATCH($C94,Muuttujat!$N$5:$N$21,0),1)</f>
        <v>4.1787917527764125E-2</v>
      </c>
      <c r="S94" s="149">
        <f t="shared" si="25"/>
        <v>6.7091068800000002</v>
      </c>
      <c r="T94" s="150">
        <f t="shared" si="26"/>
        <v>0.92294591999999998</v>
      </c>
      <c r="U94" s="150">
        <f t="shared" si="27"/>
        <v>0</v>
      </c>
      <c r="V94" s="150">
        <f>IFERROR(INDEX(Työkonekanta!$J$3:$J$27,MATCH($A94,Työkonekanta!$A$3:$A$24,0),1)*$B94*ef_li_ion_akku/1000/1000/INDEX(Työkonekanta!$K$3:$K$27,MATCH($A94,Työkonekanta!$A$3:$A$24,0)),0)</f>
        <v>0</v>
      </c>
      <c r="W94" s="149">
        <f t="shared" si="40"/>
        <v>26.200395057196797</v>
      </c>
      <c r="X94" s="150">
        <f t="shared" si="41"/>
        <v>0.32727802980000004</v>
      </c>
      <c r="Y94" s="151">
        <f t="shared" si="42"/>
        <v>0.13414984256559767</v>
      </c>
      <c r="Z94" s="152">
        <f t="shared" si="34"/>
        <v>7.6320528000000003</v>
      </c>
      <c r="AA94" s="179">
        <f t="shared" si="35"/>
        <v>26.334544899762395</v>
      </c>
      <c r="AB94" s="179">
        <f t="shared" si="36"/>
        <v>26.661822929562394</v>
      </c>
      <c r="AC94" s="180">
        <f t="shared" si="43"/>
        <v>33.966597699762396</v>
      </c>
      <c r="AD94" s="156">
        <f t="shared" si="37"/>
        <v>34.293875729562394</v>
      </c>
      <c r="AE94" s="146">
        <f>IFERROR(INDEX(Työkonekanta!$L$3:$L$30,MATCH($A94,Työkonekanta!$A$3:$A$30,0),1),0)*AF94</f>
        <v>500000</v>
      </c>
      <c r="AF94" s="146">
        <f>IFERROR(INDEX(Työkonekanta!$N$3:$N$32,MATCH($A94,Työkonekanta!$A$3:$A$32,0),1),0)</f>
        <v>1</v>
      </c>
      <c r="AG94" s="332">
        <f>I94*INDEX(Muuttujat!$U$5:$U$21,MATCH($C94,Muuttujat!$N$5:$N$21,0),1)</f>
        <v>9888</v>
      </c>
      <c r="AH94" s="332">
        <f>J94*INDEX(Muuttujat!$T$5:$T$21,MATCH($C94,Muuttujat!$N$5:$N$21,0),1)</f>
        <v>603.70612244897961</v>
      </c>
      <c r="AI94" s="332">
        <f t="shared" si="28"/>
        <v>257.98046647230325</v>
      </c>
      <c r="AJ94" s="332">
        <f t="shared" si="29"/>
        <v>0</v>
      </c>
      <c r="AK94" s="332">
        <f t="shared" si="38"/>
        <v>10749.686588921282</v>
      </c>
      <c r="AL94" s="332">
        <f t="shared" si="30"/>
        <v>10749.686588921282</v>
      </c>
    </row>
    <row r="95" spans="1:38">
      <c r="A95" s="139">
        <v>3</v>
      </c>
      <c r="B95" s="139">
        <f>IFERROR(INDEX(Työkonekanta!$F$3:$F$27,MATCH('S0b Baseline kasvu'!$A95,Työkonekanta!$A$3:$A$24,0),1),0)</f>
        <v>1</v>
      </c>
      <c r="C95" s="140">
        <v>2022</v>
      </c>
      <c r="D95" s="141" t="str">
        <f>IFERROR(INDEX(Työkonekanta!$D$3:$D$27,MATCH('S0b Baseline kasvu'!$A95,Työkonekanta!$A$3:$A$24,0),1),"undefined")</f>
        <v>pom</v>
      </c>
      <c r="E95" s="145">
        <f>IFERROR(INDEX(Työkonekanta!$G$3:$G$27,MATCH($A95,Työkonekanta!$A$3:$A$24,0),1)*INDEX(Työkonekanta!$H$3:$H$27,MATCH($A95,Työkonekanta!$A$3:$A$24,0),1)*(1+s0b_kasvu*($C95-2019))*$B95,0)</f>
        <v>10300</v>
      </c>
      <c r="F95" s="145">
        <f t="shared" si="22"/>
        <v>369770</v>
      </c>
      <c r="G95" s="145">
        <f t="shared" si="31"/>
        <v>354979.2</v>
      </c>
      <c r="H95" s="145">
        <f t="shared" si="32"/>
        <v>14790.800000000001</v>
      </c>
      <c r="I95" s="145">
        <f t="shared" si="23"/>
        <v>9888</v>
      </c>
      <c r="J95" s="145">
        <f t="shared" si="24"/>
        <v>431.21865889212836</v>
      </c>
      <c r="K95" s="142" t="str">
        <f t="shared" si="33"/>
        <v>l</v>
      </c>
      <c r="L95" s="146">
        <f>IFERROR(INDEX(Työkonekanta!$I$3:$I$27,MATCH('S0b Baseline kasvu'!$A95,Työkonekanta!$A$3:$A$24,0),1)*(I95+J95)*f_adblue,0)</f>
        <v>515.9609329446065</v>
      </c>
      <c r="M95" s="146">
        <f t="shared" si="39"/>
        <v>0</v>
      </c>
      <c r="N95" s="143" t="str">
        <f>IF(tuulisähkö_vuosi&lt;='S0b Baseline kasvu'!C95,"tuulisähkö",ostosähkö_nyt)</f>
        <v>jäännössähkö</v>
      </c>
      <c r="O95" s="147">
        <f>INDEX(Muuttujat!$J$5:$J$21,MATCH($C95,Muuttujat!$H$5:$H$21,0),1)</f>
        <v>67.190510474999996</v>
      </c>
      <c r="P95" s="342">
        <f>1-(INDEX(Muuttujat!$O$5:$O$21,MATCH($C95,Muuttujat!$N$5:$N$21,0),1))</f>
        <v>0.96</v>
      </c>
      <c r="Q95" s="342">
        <f>INDEX(Muuttujat!$O$5:$O$21,MATCH($C95,Muuttujat!$N$5:$N$21,0),1)</f>
        <v>0.04</v>
      </c>
      <c r="R95" s="148">
        <f>INDEX(Muuttujat!$P$5:$P$21,MATCH($C95,Muuttujat!$N$5:$N$21,0),1)</f>
        <v>4.1787917527764125E-2</v>
      </c>
      <c r="S95" s="149">
        <f t="shared" si="25"/>
        <v>6.7091068800000002</v>
      </c>
      <c r="T95" s="150">
        <f t="shared" si="26"/>
        <v>0.92294591999999998</v>
      </c>
      <c r="U95" s="150">
        <f t="shared" si="27"/>
        <v>0</v>
      </c>
      <c r="V95" s="150">
        <f>IFERROR(INDEX(Työkonekanta!$J$3:$J$27,MATCH($A95,Työkonekanta!$A$3:$A$24,0),1)*$B95*ef_li_ion_akku/1000/1000/INDEX(Työkonekanta!$K$3:$K$27,MATCH($A95,Työkonekanta!$A$3:$A$24,0)),0)</f>
        <v>0</v>
      </c>
      <c r="W95" s="149">
        <f t="shared" si="40"/>
        <v>26.200395057196797</v>
      </c>
      <c r="X95" s="150">
        <f t="shared" si="41"/>
        <v>0.32727802980000004</v>
      </c>
      <c r="Y95" s="151">
        <f t="shared" si="42"/>
        <v>0.13414984256559767</v>
      </c>
      <c r="Z95" s="152">
        <f t="shared" si="34"/>
        <v>7.6320528000000003</v>
      </c>
      <c r="AA95" s="179">
        <f t="shared" si="35"/>
        <v>26.334544899762395</v>
      </c>
      <c r="AB95" s="179">
        <f t="shared" si="36"/>
        <v>26.661822929562394</v>
      </c>
      <c r="AC95" s="180">
        <f t="shared" si="43"/>
        <v>33.966597699762396</v>
      </c>
      <c r="AD95" s="156">
        <f t="shared" si="37"/>
        <v>34.293875729562394</v>
      </c>
      <c r="AE95" s="146">
        <f>IFERROR(INDEX(Työkonekanta!$L$3:$L$30,MATCH($A95,Työkonekanta!$A$3:$A$30,0),1),0)*AF95</f>
        <v>0</v>
      </c>
      <c r="AF95" s="146">
        <f>IFERROR(INDEX(Työkonekanta!$N$3:$N$32,MATCH($A95,Työkonekanta!$A$3:$A$32,0),1),0)</f>
        <v>0</v>
      </c>
      <c r="AG95" s="332">
        <f>I95*INDEX(Muuttujat!$U$5:$U$21,MATCH($C95,Muuttujat!$N$5:$N$21,0),1)</f>
        <v>9888</v>
      </c>
      <c r="AH95" s="332">
        <f>J95*INDEX(Muuttujat!$T$5:$T$21,MATCH($C95,Muuttujat!$N$5:$N$21,0),1)</f>
        <v>603.70612244897961</v>
      </c>
      <c r="AI95" s="332">
        <f t="shared" si="28"/>
        <v>257.98046647230325</v>
      </c>
      <c r="AJ95" s="332">
        <f t="shared" si="29"/>
        <v>0</v>
      </c>
      <c r="AK95" s="332">
        <f t="shared" si="38"/>
        <v>10749.686588921282</v>
      </c>
      <c r="AL95" s="332">
        <f t="shared" si="30"/>
        <v>10749.686588921282</v>
      </c>
    </row>
    <row r="96" spans="1:38">
      <c r="A96" s="139">
        <v>4</v>
      </c>
      <c r="B96" s="139">
        <f>IFERROR(INDEX(Työkonekanta!$F$3:$F$27,MATCH('S0b Baseline kasvu'!$A96,Työkonekanta!$A$3:$A$24,0),1),0)</f>
        <v>1</v>
      </c>
      <c r="C96" s="140">
        <v>2022</v>
      </c>
      <c r="D96" s="141" t="str">
        <f>IFERROR(INDEX(Työkonekanta!$D$3:$D$27,MATCH('S0b Baseline kasvu'!$A96,Työkonekanta!$A$3:$A$24,0),1),"undefined")</f>
        <v>pom</v>
      </c>
      <c r="E96" s="145">
        <f>IFERROR(INDEX(Työkonekanta!$G$3:$G$27,MATCH($A96,Työkonekanta!$A$3:$A$24,0),1)*INDEX(Työkonekanta!$H$3:$H$27,MATCH($A96,Työkonekanta!$A$3:$A$24,0),1)*(1+s0b_kasvu*($C96-2019))*$B96,0)</f>
        <v>10300</v>
      </c>
      <c r="F96" s="145">
        <f t="shared" si="22"/>
        <v>369770</v>
      </c>
      <c r="G96" s="145">
        <f t="shared" si="31"/>
        <v>354979.2</v>
      </c>
      <c r="H96" s="145">
        <f t="shared" si="32"/>
        <v>14790.800000000001</v>
      </c>
      <c r="I96" s="145">
        <f t="shared" si="23"/>
        <v>9888</v>
      </c>
      <c r="J96" s="145">
        <f t="shared" si="24"/>
        <v>431.21865889212836</v>
      </c>
      <c r="K96" s="142" t="str">
        <f t="shared" si="33"/>
        <v>l</v>
      </c>
      <c r="L96" s="146">
        <f>IFERROR(INDEX(Työkonekanta!$I$3:$I$27,MATCH('S0b Baseline kasvu'!$A96,Työkonekanta!$A$3:$A$24,0),1)*(I96+J96)*f_adblue,0)</f>
        <v>515.9609329446065</v>
      </c>
      <c r="M96" s="146">
        <f t="shared" si="39"/>
        <v>0</v>
      </c>
      <c r="N96" s="143" t="str">
        <f>IF(tuulisähkö_vuosi&lt;='S0b Baseline kasvu'!C96,"tuulisähkö",ostosähkö_nyt)</f>
        <v>jäännössähkö</v>
      </c>
      <c r="O96" s="147">
        <f>INDEX(Muuttujat!$J$5:$J$21,MATCH($C96,Muuttujat!$H$5:$H$21,0),1)</f>
        <v>67.190510474999996</v>
      </c>
      <c r="P96" s="342">
        <f>1-(INDEX(Muuttujat!$O$5:$O$21,MATCH($C96,Muuttujat!$N$5:$N$21,0),1))</f>
        <v>0.96</v>
      </c>
      <c r="Q96" s="342">
        <f>INDEX(Muuttujat!$O$5:$O$21,MATCH($C96,Muuttujat!$N$5:$N$21,0),1)</f>
        <v>0.04</v>
      </c>
      <c r="R96" s="148">
        <f>INDEX(Muuttujat!$P$5:$P$21,MATCH($C96,Muuttujat!$N$5:$N$21,0),1)</f>
        <v>4.1787917527764125E-2</v>
      </c>
      <c r="S96" s="149">
        <f t="shared" si="25"/>
        <v>6.7091068800000002</v>
      </c>
      <c r="T96" s="150">
        <f t="shared" si="26"/>
        <v>0.92294591999999998</v>
      </c>
      <c r="U96" s="150">
        <f t="shared" si="27"/>
        <v>0</v>
      </c>
      <c r="V96" s="150">
        <f>IFERROR(INDEX(Työkonekanta!$J$3:$J$27,MATCH($A96,Työkonekanta!$A$3:$A$24,0),1)*$B96*ef_li_ion_akku/1000/1000/INDEX(Työkonekanta!$K$3:$K$27,MATCH($A96,Työkonekanta!$A$3:$A$24,0)),0)</f>
        <v>0</v>
      </c>
      <c r="W96" s="149">
        <f t="shared" si="40"/>
        <v>26.200395057196797</v>
      </c>
      <c r="X96" s="150">
        <f t="shared" si="41"/>
        <v>0.32727802980000004</v>
      </c>
      <c r="Y96" s="151">
        <f t="shared" si="42"/>
        <v>0.13414984256559767</v>
      </c>
      <c r="Z96" s="152">
        <f t="shared" si="34"/>
        <v>7.6320528000000003</v>
      </c>
      <c r="AA96" s="179">
        <f t="shared" si="35"/>
        <v>26.334544899762395</v>
      </c>
      <c r="AB96" s="179">
        <f t="shared" si="36"/>
        <v>26.661822929562394</v>
      </c>
      <c r="AC96" s="180">
        <f t="shared" si="43"/>
        <v>33.966597699762396</v>
      </c>
      <c r="AD96" s="156">
        <f t="shared" si="37"/>
        <v>34.293875729562394</v>
      </c>
      <c r="AE96" s="146">
        <f>IFERROR(INDEX(Työkonekanta!$L$3:$L$30,MATCH($A96,Työkonekanta!$A$3:$A$30,0),1),0)*AF96</f>
        <v>0</v>
      </c>
      <c r="AF96" s="146">
        <f>IFERROR(INDEX(Työkonekanta!$N$3:$N$32,MATCH($A96,Työkonekanta!$A$3:$A$32,0),1),0)</f>
        <v>0</v>
      </c>
      <c r="AG96" s="332">
        <f>I96*INDEX(Muuttujat!$U$5:$U$21,MATCH($C96,Muuttujat!$N$5:$N$21,0),1)</f>
        <v>9888</v>
      </c>
      <c r="AH96" s="332">
        <f>J96*INDEX(Muuttujat!$T$5:$T$21,MATCH($C96,Muuttujat!$N$5:$N$21,0),1)</f>
        <v>603.70612244897961</v>
      </c>
      <c r="AI96" s="332">
        <f t="shared" si="28"/>
        <v>257.98046647230325</v>
      </c>
      <c r="AJ96" s="332">
        <f t="shared" si="29"/>
        <v>0</v>
      </c>
      <c r="AK96" s="332">
        <f t="shared" si="38"/>
        <v>10749.686588921282</v>
      </c>
      <c r="AL96" s="332">
        <f t="shared" si="30"/>
        <v>10749.686588921282</v>
      </c>
    </row>
    <row r="97" spans="1:38">
      <c r="A97" s="139">
        <v>5</v>
      </c>
      <c r="B97" s="139">
        <f>IFERROR(INDEX(Työkonekanta!$F$3:$F$27,MATCH('S0b Baseline kasvu'!$A97,Työkonekanta!$A$3:$A$24,0),1),0)</f>
        <v>0</v>
      </c>
      <c r="C97" s="140">
        <v>2022</v>
      </c>
      <c r="D97" s="141" t="str">
        <f>IFERROR(INDEX(Työkonekanta!$D$3:$D$27,MATCH('S0b Baseline kasvu'!$A97,Työkonekanta!$A$3:$A$24,0),1),"undefined")</f>
        <v>sähkö</v>
      </c>
      <c r="E97" s="145">
        <f>IFERROR(INDEX(Työkonekanta!$G$3:$G$27,MATCH($A97,Työkonekanta!$A$3:$A$24,0),1)*INDEX(Työkonekanta!$H$3:$H$27,MATCH($A97,Työkonekanta!$A$3:$A$24,0),1)*(1+s0b_kasvu*($C97-2019))*$B97,0)</f>
        <v>0</v>
      </c>
      <c r="F97" s="145">
        <f t="shared" si="22"/>
        <v>0</v>
      </c>
      <c r="G97" s="145">
        <f t="shared" si="31"/>
        <v>0</v>
      </c>
      <c r="H97" s="145">
        <f t="shared" si="32"/>
        <v>0</v>
      </c>
      <c r="I97" s="145">
        <f t="shared" si="23"/>
        <v>0</v>
      </c>
      <c r="J97" s="145">
        <f t="shared" si="24"/>
        <v>0</v>
      </c>
      <c r="K97" s="142" t="str">
        <f t="shared" si="33"/>
        <v>kWh</v>
      </c>
      <c r="L97" s="146">
        <f>IFERROR(INDEX(Työkonekanta!$I$3:$I$27,MATCH('S0b Baseline kasvu'!$A97,Työkonekanta!$A$3:$A$24,0),1)*(I97+J97)*f_adblue,0)</f>
        <v>0</v>
      </c>
      <c r="M97" s="146">
        <f t="shared" si="39"/>
        <v>0</v>
      </c>
      <c r="N97" s="143" t="str">
        <f>IF(tuulisähkö_vuosi&lt;='S0b Baseline kasvu'!C97,"tuulisähkö",ostosähkö_nyt)</f>
        <v>jäännössähkö</v>
      </c>
      <c r="O97" s="147">
        <f>INDEX(Muuttujat!$J$5:$J$21,MATCH($C97,Muuttujat!$H$5:$H$21,0),1)</f>
        <v>67.190510474999996</v>
      </c>
      <c r="P97" s="342">
        <f>1-(INDEX(Muuttujat!$O$5:$O$21,MATCH($C97,Muuttujat!$N$5:$N$21,0),1))</f>
        <v>0.96</v>
      </c>
      <c r="Q97" s="342">
        <f>INDEX(Muuttujat!$O$5:$O$21,MATCH($C97,Muuttujat!$N$5:$N$21,0),1)</f>
        <v>0.04</v>
      </c>
      <c r="R97" s="148">
        <f>INDEX(Muuttujat!$P$5:$P$21,MATCH($C97,Muuttujat!$N$5:$N$21,0),1)</f>
        <v>4.1787917527764125E-2</v>
      </c>
      <c r="S97" s="149">
        <f t="shared" si="25"/>
        <v>0</v>
      </c>
      <c r="T97" s="150">
        <f t="shared" si="26"/>
        <v>0</v>
      </c>
      <c r="U97" s="150">
        <f t="shared" si="27"/>
        <v>0</v>
      </c>
      <c r="V97" s="150">
        <f>IFERROR(INDEX(Työkonekanta!$J$3:$J$27,MATCH($A97,Työkonekanta!$A$3:$A$24,0),1)*$B97*ef_li_ion_akku/1000/1000/INDEX(Työkonekanta!$K$3:$K$27,MATCH($A97,Työkonekanta!$A$3:$A$24,0)),0)</f>
        <v>0</v>
      </c>
      <c r="W97" s="149">
        <f t="shared" si="40"/>
        <v>0</v>
      </c>
      <c r="X97" s="150">
        <f t="shared" si="41"/>
        <v>0</v>
      </c>
      <c r="Y97" s="151">
        <f t="shared" si="42"/>
        <v>0</v>
      </c>
      <c r="Z97" s="152">
        <f t="shared" si="34"/>
        <v>0</v>
      </c>
      <c r="AA97" s="179">
        <f t="shared" si="35"/>
        <v>0</v>
      </c>
      <c r="AB97" s="179">
        <f t="shared" si="36"/>
        <v>0</v>
      </c>
      <c r="AC97" s="180">
        <f t="shared" si="43"/>
        <v>0</v>
      </c>
      <c r="AD97" s="156">
        <f t="shared" si="37"/>
        <v>0</v>
      </c>
      <c r="AE97" s="146">
        <f>IFERROR(INDEX(Työkonekanta!$L$3:$L$30,MATCH($A97,Työkonekanta!$A$3:$A$30,0),1),0)*AF97</f>
        <v>0</v>
      </c>
      <c r="AF97" s="146">
        <f>IFERROR(INDEX(Työkonekanta!$N$3:$N$32,MATCH($A97,Työkonekanta!$A$3:$A$32,0),1),0)</f>
        <v>0</v>
      </c>
      <c r="AG97" s="332">
        <f>I97*INDEX(Muuttujat!$U$5:$U$21,MATCH($C97,Muuttujat!$N$5:$N$21,0),1)</f>
        <v>0</v>
      </c>
      <c r="AH97" s="332">
        <f>J97*INDEX(Muuttujat!$T$5:$T$21,MATCH($C97,Muuttujat!$N$5:$N$21,0),1)</f>
        <v>0</v>
      </c>
      <c r="AI97" s="332">
        <f t="shared" si="28"/>
        <v>0</v>
      </c>
      <c r="AJ97" s="332">
        <f t="shared" si="29"/>
        <v>0</v>
      </c>
      <c r="AK97" s="332">
        <f t="shared" si="38"/>
        <v>0</v>
      </c>
      <c r="AL97" s="332">
        <f t="shared" si="30"/>
        <v>0</v>
      </c>
    </row>
    <row r="98" spans="1:38">
      <c r="A98" s="139">
        <v>6</v>
      </c>
      <c r="B98" s="139">
        <f>IFERROR(INDEX(Työkonekanta!$F$3:$F$27,MATCH('S0b Baseline kasvu'!$A98,Työkonekanta!$A$3:$A$24,0),1),0)</f>
        <v>0</v>
      </c>
      <c r="C98" s="140">
        <v>2022</v>
      </c>
      <c r="D98" s="141" t="str">
        <f>IFERROR(INDEX(Työkonekanta!$D$3:$D$27,MATCH('S0b Baseline kasvu'!$A98,Työkonekanta!$A$3:$A$24,0),1),"undefined")</f>
        <v>sähkö</v>
      </c>
      <c r="E98" s="145">
        <f>IFERROR(INDEX(Työkonekanta!$G$3:$G$27,MATCH($A98,Työkonekanta!$A$3:$A$24,0),1)*INDEX(Työkonekanta!$H$3:$H$27,MATCH($A98,Työkonekanta!$A$3:$A$24,0),1)*(1+s0b_kasvu*($C98-2019))*$B98,0)</f>
        <v>0</v>
      </c>
      <c r="F98" s="145">
        <f t="shared" si="22"/>
        <v>0</v>
      </c>
      <c r="G98" s="145">
        <f t="shared" si="31"/>
        <v>0</v>
      </c>
      <c r="H98" s="145">
        <f t="shared" si="32"/>
        <v>0</v>
      </c>
      <c r="I98" s="145">
        <f t="shared" si="23"/>
        <v>0</v>
      </c>
      <c r="J98" s="145">
        <f t="shared" si="24"/>
        <v>0</v>
      </c>
      <c r="K98" s="142" t="str">
        <f t="shared" si="33"/>
        <v>kWh</v>
      </c>
      <c r="L98" s="146">
        <f>IFERROR(INDEX(Työkonekanta!$I$3:$I$27,MATCH('S0b Baseline kasvu'!$A98,Työkonekanta!$A$3:$A$24,0),1)*(I98+J98)*f_adblue,0)</f>
        <v>0</v>
      </c>
      <c r="M98" s="146">
        <f t="shared" si="39"/>
        <v>0</v>
      </c>
      <c r="N98" s="143" t="str">
        <f>IF(tuulisähkö_vuosi&lt;='S0b Baseline kasvu'!C98,"tuulisähkö",ostosähkö_nyt)</f>
        <v>jäännössähkö</v>
      </c>
      <c r="O98" s="147">
        <f>INDEX(Muuttujat!$J$5:$J$21,MATCH($C98,Muuttujat!$H$5:$H$21,0),1)</f>
        <v>67.190510474999996</v>
      </c>
      <c r="P98" s="342">
        <f>1-(INDEX(Muuttujat!$O$5:$O$21,MATCH($C98,Muuttujat!$N$5:$N$21,0),1))</f>
        <v>0.96</v>
      </c>
      <c r="Q98" s="342">
        <f>INDEX(Muuttujat!$O$5:$O$21,MATCH($C98,Muuttujat!$N$5:$N$21,0),1)</f>
        <v>0.04</v>
      </c>
      <c r="R98" s="148">
        <f>INDEX(Muuttujat!$P$5:$P$21,MATCH($C98,Muuttujat!$N$5:$N$21,0),1)</f>
        <v>4.1787917527764125E-2</v>
      </c>
      <c r="S98" s="149">
        <f t="shared" si="25"/>
        <v>0</v>
      </c>
      <c r="T98" s="150">
        <f t="shared" si="26"/>
        <v>0</v>
      </c>
      <c r="U98" s="150">
        <f t="shared" si="27"/>
        <v>0</v>
      </c>
      <c r="V98" s="150">
        <f>IFERROR(INDEX(Työkonekanta!$J$3:$J$27,MATCH($A98,Työkonekanta!$A$3:$A$24,0),1)*$B98*ef_li_ion_akku/1000/1000/INDEX(Työkonekanta!$K$3:$K$27,MATCH($A98,Työkonekanta!$A$3:$A$24,0)),0)</f>
        <v>0</v>
      </c>
      <c r="W98" s="149">
        <f t="shared" si="40"/>
        <v>0</v>
      </c>
      <c r="X98" s="150">
        <f t="shared" si="41"/>
        <v>0</v>
      </c>
      <c r="Y98" s="151">
        <f t="shared" si="42"/>
        <v>0</v>
      </c>
      <c r="Z98" s="152">
        <f t="shared" si="34"/>
        <v>0</v>
      </c>
      <c r="AA98" s="179">
        <f t="shared" si="35"/>
        <v>0</v>
      </c>
      <c r="AB98" s="179">
        <f t="shared" si="36"/>
        <v>0</v>
      </c>
      <c r="AC98" s="180">
        <f t="shared" si="43"/>
        <v>0</v>
      </c>
      <c r="AD98" s="156">
        <f t="shared" si="37"/>
        <v>0</v>
      </c>
      <c r="AE98" s="146">
        <f>IFERROR(INDEX(Työkonekanta!$L$3:$L$30,MATCH($A98,Työkonekanta!$A$3:$A$30,0),1),0)*AF98</f>
        <v>0</v>
      </c>
      <c r="AF98" s="146">
        <f>IFERROR(INDEX(Työkonekanta!$N$3:$N$32,MATCH($A98,Työkonekanta!$A$3:$A$32,0),1),0)</f>
        <v>0</v>
      </c>
      <c r="AG98" s="332">
        <f>I98*INDEX(Muuttujat!$U$5:$U$21,MATCH($C98,Muuttujat!$N$5:$N$21,0),1)</f>
        <v>0</v>
      </c>
      <c r="AH98" s="332">
        <f>J98*INDEX(Muuttujat!$T$5:$T$21,MATCH($C98,Muuttujat!$N$5:$N$21,0),1)</f>
        <v>0</v>
      </c>
      <c r="AI98" s="332">
        <f t="shared" si="28"/>
        <v>0</v>
      </c>
      <c r="AJ98" s="332">
        <f t="shared" si="29"/>
        <v>0</v>
      </c>
      <c r="AK98" s="332">
        <f t="shared" si="38"/>
        <v>0</v>
      </c>
      <c r="AL98" s="332">
        <f t="shared" si="30"/>
        <v>0</v>
      </c>
    </row>
    <row r="99" spans="1:38">
      <c r="A99" s="139">
        <v>7</v>
      </c>
      <c r="B99" s="139">
        <f>IFERROR(INDEX(Työkonekanta!$F$3:$F$27,MATCH('S0b Baseline kasvu'!$A99,Työkonekanta!$A$3:$A$24,0),1),0)</f>
        <v>1</v>
      </c>
      <c r="C99" s="140">
        <v>2022</v>
      </c>
      <c r="D99" s="141" t="str">
        <f>IFERROR(INDEX(Työkonekanta!$D$3:$D$27,MATCH('S0b Baseline kasvu'!$A99,Työkonekanta!$A$3:$A$24,0),1),"undefined")</f>
        <v>pom</v>
      </c>
      <c r="E99" s="145">
        <f>IFERROR(INDEX(Työkonekanta!$G$3:$G$27,MATCH($A99,Työkonekanta!$A$3:$A$24,0),1)*INDEX(Työkonekanta!$H$3:$H$27,MATCH($A99,Työkonekanta!$A$3:$A$24,0),1)*(1+s0b_kasvu*($C99-2019))*$B99,0)</f>
        <v>10300</v>
      </c>
      <c r="F99" s="145">
        <f t="shared" si="22"/>
        <v>369770</v>
      </c>
      <c r="G99" s="145">
        <f t="shared" si="31"/>
        <v>354979.2</v>
      </c>
      <c r="H99" s="145">
        <f t="shared" si="32"/>
        <v>14790.800000000001</v>
      </c>
      <c r="I99" s="145">
        <f t="shared" si="23"/>
        <v>9888</v>
      </c>
      <c r="J99" s="145">
        <f t="shared" si="24"/>
        <v>431.21865889212836</v>
      </c>
      <c r="K99" s="142" t="str">
        <f t="shared" si="33"/>
        <v>l</v>
      </c>
      <c r="L99" s="146">
        <f>IFERROR(INDEX(Työkonekanta!$I$3:$I$27,MATCH('S0b Baseline kasvu'!$A99,Työkonekanta!$A$3:$A$24,0),1)*(I99+J99)*f_adblue,0)</f>
        <v>0</v>
      </c>
      <c r="M99" s="146">
        <f t="shared" si="39"/>
        <v>0</v>
      </c>
      <c r="N99" s="143" t="str">
        <f>IF(tuulisähkö_vuosi&lt;='S0b Baseline kasvu'!C99,"tuulisähkö",ostosähkö_nyt)</f>
        <v>jäännössähkö</v>
      </c>
      <c r="O99" s="147">
        <f>INDEX(Muuttujat!$J$5:$J$21,MATCH($C99,Muuttujat!$H$5:$H$21,0),1)</f>
        <v>67.190510474999996</v>
      </c>
      <c r="P99" s="342">
        <f>1-(INDEX(Muuttujat!$O$5:$O$21,MATCH($C99,Muuttujat!$N$5:$N$21,0),1))</f>
        <v>0.96</v>
      </c>
      <c r="Q99" s="342">
        <f>INDEX(Muuttujat!$O$5:$O$21,MATCH($C99,Muuttujat!$N$5:$N$21,0),1)</f>
        <v>0.04</v>
      </c>
      <c r="R99" s="148">
        <f>INDEX(Muuttujat!$P$5:$P$21,MATCH($C99,Muuttujat!$N$5:$N$21,0),1)</f>
        <v>4.1787917527764125E-2</v>
      </c>
      <c r="S99" s="149">
        <f t="shared" si="25"/>
        <v>6.7091068800000002</v>
      </c>
      <c r="T99" s="150">
        <f t="shared" si="26"/>
        <v>0.92294591999999998</v>
      </c>
      <c r="U99" s="150">
        <f t="shared" si="27"/>
        <v>0</v>
      </c>
      <c r="V99" s="150">
        <f>IFERROR(INDEX(Työkonekanta!$J$3:$J$27,MATCH($A99,Työkonekanta!$A$3:$A$24,0),1)*$B99*ef_li_ion_akku/1000/1000/INDEX(Työkonekanta!$K$3:$K$27,MATCH($A99,Työkonekanta!$A$3:$A$24,0)),0)</f>
        <v>0</v>
      </c>
      <c r="W99" s="149">
        <f t="shared" si="40"/>
        <v>26.200395057196797</v>
      </c>
      <c r="X99" s="150">
        <f t="shared" si="41"/>
        <v>0.32727802980000004</v>
      </c>
      <c r="Y99" s="151">
        <f t="shared" si="42"/>
        <v>0</v>
      </c>
      <c r="Z99" s="152">
        <f t="shared" si="34"/>
        <v>7.6320528000000003</v>
      </c>
      <c r="AA99" s="179">
        <f t="shared" si="35"/>
        <v>26.200395057196797</v>
      </c>
      <c r="AB99" s="179">
        <f t="shared" si="36"/>
        <v>26.527673086996796</v>
      </c>
      <c r="AC99" s="180">
        <f t="shared" si="43"/>
        <v>33.832447857196797</v>
      </c>
      <c r="AD99" s="156">
        <f t="shared" si="37"/>
        <v>34.159725886996796</v>
      </c>
      <c r="AE99" s="146">
        <f>IFERROR(INDEX(Työkonekanta!$L$3:$L$30,MATCH($A99,Työkonekanta!$A$3:$A$30,0),1),0)*AF99</f>
        <v>500000</v>
      </c>
      <c r="AF99" s="146">
        <f>IFERROR(INDEX(Työkonekanta!$N$3:$N$32,MATCH($A99,Työkonekanta!$A$3:$A$32,0),1),0)</f>
        <v>1</v>
      </c>
      <c r="AG99" s="332">
        <f>I99*INDEX(Muuttujat!$U$5:$U$21,MATCH($C99,Muuttujat!$N$5:$N$21,0),1)</f>
        <v>9888</v>
      </c>
      <c r="AH99" s="332">
        <f>J99*INDEX(Muuttujat!$T$5:$T$21,MATCH($C99,Muuttujat!$N$5:$N$21,0),1)</f>
        <v>603.70612244897961</v>
      </c>
      <c r="AI99" s="332">
        <f t="shared" si="28"/>
        <v>0</v>
      </c>
      <c r="AJ99" s="332">
        <f t="shared" si="29"/>
        <v>0</v>
      </c>
      <c r="AK99" s="332">
        <f t="shared" si="38"/>
        <v>10491.706122448979</v>
      </c>
      <c r="AL99" s="332">
        <f t="shared" si="30"/>
        <v>10491.706122448979</v>
      </c>
    </row>
    <row r="100" spans="1:38">
      <c r="A100" s="139">
        <v>8</v>
      </c>
      <c r="B100" s="139">
        <f>IFERROR(INDEX(Työkonekanta!$F$3:$F$27,MATCH('S0b Baseline kasvu'!$A100,Työkonekanta!$A$3:$A$24,0),1),0)</f>
        <v>1</v>
      </c>
      <c r="C100" s="140">
        <v>2022</v>
      </c>
      <c r="D100" s="141" t="str">
        <f>IFERROR(INDEX(Työkonekanta!$D$3:$D$27,MATCH('S0b Baseline kasvu'!$A100,Työkonekanta!$A$3:$A$24,0),1),"undefined")</f>
        <v>pom</v>
      </c>
      <c r="E100" s="145">
        <f>IFERROR(INDEX(Työkonekanta!$G$3:$G$27,MATCH($A100,Työkonekanta!$A$3:$A$24,0),1)*INDEX(Työkonekanta!$H$3:$H$27,MATCH($A100,Työkonekanta!$A$3:$A$24,0),1)*(1+s0b_kasvu*($C100-2019))*$B100,0)</f>
        <v>10300</v>
      </c>
      <c r="F100" s="145">
        <f t="shared" si="22"/>
        <v>369770</v>
      </c>
      <c r="G100" s="145">
        <f t="shared" si="31"/>
        <v>354979.2</v>
      </c>
      <c r="H100" s="145">
        <f t="shared" si="32"/>
        <v>14790.800000000001</v>
      </c>
      <c r="I100" s="145">
        <f t="shared" si="23"/>
        <v>9888</v>
      </c>
      <c r="J100" s="145">
        <f t="shared" si="24"/>
        <v>431.21865889212836</v>
      </c>
      <c r="K100" s="142" t="str">
        <f t="shared" si="33"/>
        <v>l</v>
      </c>
      <c r="L100" s="146">
        <f>IFERROR(INDEX(Työkonekanta!$I$3:$I$27,MATCH('S0b Baseline kasvu'!$A100,Työkonekanta!$A$3:$A$24,0),1)*(I100+J100)*f_adblue,0)</f>
        <v>515.9609329446065</v>
      </c>
      <c r="M100" s="146">
        <f t="shared" si="39"/>
        <v>0</v>
      </c>
      <c r="N100" s="143" t="str">
        <f>IF(tuulisähkö_vuosi&lt;='S0b Baseline kasvu'!C100,"tuulisähkö",ostosähkö_nyt)</f>
        <v>jäännössähkö</v>
      </c>
      <c r="O100" s="147">
        <f>INDEX(Muuttujat!$J$5:$J$21,MATCH($C100,Muuttujat!$H$5:$H$21,0),1)</f>
        <v>67.190510474999996</v>
      </c>
      <c r="P100" s="342">
        <f>1-(INDEX(Muuttujat!$O$5:$O$21,MATCH($C100,Muuttujat!$N$5:$N$21,0),1))</f>
        <v>0.96</v>
      </c>
      <c r="Q100" s="342">
        <f>INDEX(Muuttujat!$O$5:$O$21,MATCH($C100,Muuttujat!$N$5:$N$21,0),1)</f>
        <v>0.04</v>
      </c>
      <c r="R100" s="148">
        <f>INDEX(Muuttujat!$P$5:$P$21,MATCH($C100,Muuttujat!$N$5:$N$21,0),1)</f>
        <v>4.1787917527764125E-2</v>
      </c>
      <c r="S100" s="149">
        <f t="shared" si="25"/>
        <v>6.7091068800000002</v>
      </c>
      <c r="T100" s="150">
        <f t="shared" si="26"/>
        <v>0.92294591999999998</v>
      </c>
      <c r="U100" s="150">
        <f t="shared" si="27"/>
        <v>0</v>
      </c>
      <c r="V100" s="150">
        <f>IFERROR(INDEX(Työkonekanta!$J$3:$J$27,MATCH($A100,Työkonekanta!$A$3:$A$24,0),1)*$B100*ef_li_ion_akku/1000/1000/INDEX(Työkonekanta!$K$3:$K$27,MATCH($A100,Työkonekanta!$A$3:$A$24,0)),0)</f>
        <v>0</v>
      </c>
      <c r="W100" s="149">
        <f t="shared" si="40"/>
        <v>26.200395057196797</v>
      </c>
      <c r="X100" s="150">
        <f t="shared" si="41"/>
        <v>0.32727802980000004</v>
      </c>
      <c r="Y100" s="151">
        <f t="shared" si="42"/>
        <v>0.13414984256559767</v>
      </c>
      <c r="Z100" s="152">
        <f t="shared" si="34"/>
        <v>7.6320528000000003</v>
      </c>
      <c r="AA100" s="179">
        <f t="shared" si="35"/>
        <v>26.334544899762395</v>
      </c>
      <c r="AB100" s="179">
        <f t="shared" si="36"/>
        <v>26.661822929562394</v>
      </c>
      <c r="AC100" s="180">
        <f t="shared" si="43"/>
        <v>33.966597699762396</v>
      </c>
      <c r="AD100" s="156">
        <f t="shared" si="37"/>
        <v>34.293875729562394</v>
      </c>
      <c r="AE100" s="146">
        <f>IFERROR(INDEX(Työkonekanta!$L$3:$L$30,MATCH($A100,Työkonekanta!$A$3:$A$30,0),1),0)*AF100</f>
        <v>500000</v>
      </c>
      <c r="AF100" s="146">
        <f>IFERROR(INDEX(Työkonekanta!$N$3:$N$32,MATCH($A100,Työkonekanta!$A$3:$A$32,0),1),0)</f>
        <v>1</v>
      </c>
      <c r="AG100" s="332">
        <f>I100*INDEX(Muuttujat!$U$5:$U$21,MATCH($C100,Muuttujat!$N$5:$N$21,0),1)</f>
        <v>9888</v>
      </c>
      <c r="AH100" s="332">
        <f>J100*INDEX(Muuttujat!$T$5:$T$21,MATCH($C100,Muuttujat!$N$5:$N$21,0),1)</f>
        <v>603.70612244897961</v>
      </c>
      <c r="AI100" s="332">
        <f t="shared" si="28"/>
        <v>257.98046647230325</v>
      </c>
      <c r="AJ100" s="332">
        <f t="shared" si="29"/>
        <v>0</v>
      </c>
      <c r="AK100" s="332">
        <f t="shared" si="38"/>
        <v>10749.686588921282</v>
      </c>
      <c r="AL100" s="332">
        <f t="shared" si="30"/>
        <v>10749.686588921282</v>
      </c>
    </row>
    <row r="101" spans="1:38">
      <c r="A101" s="139">
        <v>9</v>
      </c>
      <c r="B101" s="139">
        <f>IFERROR(INDEX(Työkonekanta!$F$3:$F$27,MATCH('S0b Baseline kasvu'!$A101,Työkonekanta!$A$3:$A$24,0),1),0)</f>
        <v>0</v>
      </c>
      <c r="C101" s="140">
        <v>2022</v>
      </c>
      <c r="D101" s="141" t="str">
        <f>IFERROR(INDEX(Työkonekanta!$D$3:$D$27,MATCH('S0b Baseline kasvu'!$A101,Työkonekanta!$A$3:$A$24,0),1),"undefined")</f>
        <v>sähkö</v>
      </c>
      <c r="E101" s="145">
        <f>IFERROR(INDEX(Työkonekanta!$G$3:$G$27,MATCH($A101,Työkonekanta!$A$3:$A$24,0),1)*INDEX(Työkonekanta!$H$3:$H$27,MATCH($A101,Työkonekanta!$A$3:$A$24,0),1)*(1+s0b_kasvu*($C101-2019))*$B101,0)</f>
        <v>0</v>
      </c>
      <c r="F101" s="145">
        <f t="shared" si="22"/>
        <v>0</v>
      </c>
      <c r="G101" s="145">
        <f t="shared" si="31"/>
        <v>0</v>
      </c>
      <c r="H101" s="145">
        <f t="shared" si="32"/>
        <v>0</v>
      </c>
      <c r="I101" s="145">
        <f t="shared" si="23"/>
        <v>0</v>
      </c>
      <c r="J101" s="145">
        <f t="shared" si="24"/>
        <v>0</v>
      </c>
      <c r="K101" s="142" t="str">
        <f t="shared" si="33"/>
        <v>kWh</v>
      </c>
      <c r="L101" s="146">
        <f>IFERROR(INDEX(Työkonekanta!$I$3:$I$27,MATCH('S0b Baseline kasvu'!$A101,Työkonekanta!$A$3:$A$24,0),1)*(I101+J101)*f_adblue,0)</f>
        <v>0</v>
      </c>
      <c r="M101" s="146">
        <f t="shared" si="39"/>
        <v>0</v>
      </c>
      <c r="N101" s="143" t="str">
        <f>IF(tuulisähkö_vuosi&lt;='S0b Baseline kasvu'!C101,"tuulisähkö",ostosähkö_nyt)</f>
        <v>jäännössähkö</v>
      </c>
      <c r="O101" s="147">
        <f>INDEX(Muuttujat!$J$5:$J$21,MATCH($C101,Muuttujat!$H$5:$H$21,0),1)</f>
        <v>67.190510474999996</v>
      </c>
      <c r="P101" s="342">
        <f>1-(INDEX(Muuttujat!$O$5:$O$21,MATCH($C101,Muuttujat!$N$5:$N$21,0),1))</f>
        <v>0.96</v>
      </c>
      <c r="Q101" s="342">
        <f>INDEX(Muuttujat!$O$5:$O$21,MATCH($C101,Muuttujat!$N$5:$N$21,0),1)</f>
        <v>0.04</v>
      </c>
      <c r="R101" s="148">
        <f>INDEX(Muuttujat!$P$5:$P$21,MATCH($C101,Muuttujat!$N$5:$N$21,0),1)</f>
        <v>4.1787917527764125E-2</v>
      </c>
      <c r="S101" s="149">
        <f t="shared" si="25"/>
        <v>0</v>
      </c>
      <c r="T101" s="150">
        <f t="shared" si="26"/>
        <v>0</v>
      </c>
      <c r="U101" s="150">
        <f t="shared" si="27"/>
        <v>0</v>
      </c>
      <c r="V101" s="150">
        <f>IFERROR(INDEX(Työkonekanta!$J$3:$J$27,MATCH($A101,Työkonekanta!$A$3:$A$24,0),1)*$B101*ef_li_ion_akku/1000/1000/INDEX(Työkonekanta!$K$3:$K$27,MATCH($A101,Työkonekanta!$A$3:$A$24,0)),0)</f>
        <v>0</v>
      </c>
      <c r="W101" s="149">
        <f t="shared" si="40"/>
        <v>0</v>
      </c>
      <c r="X101" s="150">
        <f t="shared" si="41"/>
        <v>0</v>
      </c>
      <c r="Y101" s="151">
        <f t="shared" si="42"/>
        <v>0</v>
      </c>
      <c r="Z101" s="152">
        <f t="shared" si="34"/>
        <v>0</v>
      </c>
      <c r="AA101" s="179">
        <f t="shared" si="35"/>
        <v>0</v>
      </c>
      <c r="AB101" s="179">
        <f t="shared" si="36"/>
        <v>0</v>
      </c>
      <c r="AC101" s="180">
        <f t="shared" si="43"/>
        <v>0</v>
      </c>
      <c r="AD101" s="156">
        <f t="shared" si="37"/>
        <v>0</v>
      </c>
      <c r="AE101" s="146">
        <f>IFERROR(INDEX(Työkonekanta!$L$3:$L$30,MATCH($A101,Työkonekanta!$A$3:$A$30,0),1),0)*AF101</f>
        <v>0</v>
      </c>
      <c r="AF101" s="146">
        <f>IFERROR(INDEX(Työkonekanta!$N$3:$N$32,MATCH($A101,Työkonekanta!$A$3:$A$32,0),1),0)</f>
        <v>0</v>
      </c>
      <c r="AG101" s="332">
        <f>I101*INDEX(Muuttujat!$U$5:$U$21,MATCH($C101,Muuttujat!$N$5:$N$21,0),1)</f>
        <v>0</v>
      </c>
      <c r="AH101" s="332">
        <f>J101*INDEX(Muuttujat!$T$5:$T$21,MATCH($C101,Muuttujat!$N$5:$N$21,0),1)</f>
        <v>0</v>
      </c>
      <c r="AI101" s="332">
        <f t="shared" si="28"/>
        <v>0</v>
      </c>
      <c r="AJ101" s="332">
        <f t="shared" si="29"/>
        <v>0</v>
      </c>
      <c r="AK101" s="332">
        <f t="shared" si="38"/>
        <v>0</v>
      </c>
      <c r="AL101" s="332">
        <f t="shared" si="30"/>
        <v>0</v>
      </c>
    </row>
    <row r="102" spans="1:38">
      <c r="A102" s="139">
        <v>10</v>
      </c>
      <c r="B102" s="139">
        <f>IFERROR(INDEX(Työkonekanta!$F$3:$F$27,MATCH('S0b Baseline kasvu'!$A102,Työkonekanta!$A$3:$A$24,0),1),0)</f>
        <v>0</v>
      </c>
      <c r="C102" s="140">
        <v>2022</v>
      </c>
      <c r="D102" s="141" t="str">
        <f>IFERROR(INDEX(Työkonekanta!$D$3:$D$27,MATCH('S0b Baseline kasvu'!$A102,Työkonekanta!$A$3:$A$24,0),1),"undefined")</f>
        <v>sähkö</v>
      </c>
      <c r="E102" s="145">
        <f>IFERROR(INDEX(Työkonekanta!$G$3:$G$27,MATCH($A102,Työkonekanta!$A$3:$A$24,0),1)*INDEX(Työkonekanta!$H$3:$H$27,MATCH($A102,Työkonekanta!$A$3:$A$24,0),1)*(1+s0b_kasvu*($C102-2019))*$B102,0)</f>
        <v>0</v>
      </c>
      <c r="F102" s="145">
        <f t="shared" si="22"/>
        <v>0</v>
      </c>
      <c r="G102" s="145">
        <f t="shared" si="31"/>
        <v>0</v>
      </c>
      <c r="H102" s="145">
        <f t="shared" si="32"/>
        <v>0</v>
      </c>
      <c r="I102" s="145">
        <f t="shared" si="23"/>
        <v>0</v>
      </c>
      <c r="J102" s="145">
        <f t="shared" si="24"/>
        <v>0</v>
      </c>
      <c r="K102" s="142" t="str">
        <f t="shared" si="33"/>
        <v>kWh</v>
      </c>
      <c r="L102" s="146">
        <f>IFERROR(INDEX(Työkonekanta!$I$3:$I$27,MATCH('S0b Baseline kasvu'!$A102,Työkonekanta!$A$3:$A$24,0),1)*(I102+J102)*f_adblue,0)</f>
        <v>0</v>
      </c>
      <c r="M102" s="146">
        <f t="shared" si="39"/>
        <v>0</v>
      </c>
      <c r="N102" s="143" t="str">
        <f>IF(tuulisähkö_vuosi&lt;='S0b Baseline kasvu'!C102,"tuulisähkö",ostosähkö_nyt)</f>
        <v>jäännössähkö</v>
      </c>
      <c r="O102" s="147">
        <f>INDEX(Muuttujat!$J$5:$J$21,MATCH($C102,Muuttujat!$H$5:$H$21,0),1)</f>
        <v>67.190510474999996</v>
      </c>
      <c r="P102" s="342">
        <f>1-(INDEX(Muuttujat!$O$5:$O$21,MATCH($C102,Muuttujat!$N$5:$N$21,0),1))</f>
        <v>0.96</v>
      </c>
      <c r="Q102" s="342">
        <f>INDEX(Muuttujat!$O$5:$O$21,MATCH($C102,Muuttujat!$N$5:$N$21,0),1)</f>
        <v>0.04</v>
      </c>
      <c r="R102" s="148">
        <f>INDEX(Muuttujat!$P$5:$P$21,MATCH($C102,Muuttujat!$N$5:$N$21,0),1)</f>
        <v>4.1787917527764125E-2</v>
      </c>
      <c r="S102" s="149">
        <f t="shared" si="25"/>
        <v>0</v>
      </c>
      <c r="T102" s="150">
        <f t="shared" si="26"/>
        <v>0</v>
      </c>
      <c r="U102" s="150">
        <f t="shared" si="27"/>
        <v>0</v>
      </c>
      <c r="V102" s="150">
        <f>IFERROR(INDEX(Työkonekanta!$J$3:$J$27,MATCH($A102,Työkonekanta!$A$3:$A$24,0),1)*$B102*ef_li_ion_akku/1000/1000/INDEX(Työkonekanta!$K$3:$K$27,MATCH($A102,Työkonekanta!$A$3:$A$24,0)),0)</f>
        <v>0</v>
      </c>
      <c r="W102" s="149">
        <f t="shared" si="40"/>
        <v>0</v>
      </c>
      <c r="X102" s="150">
        <f t="shared" si="41"/>
        <v>0</v>
      </c>
      <c r="Y102" s="151">
        <f t="shared" si="42"/>
        <v>0</v>
      </c>
      <c r="Z102" s="152">
        <f t="shared" si="34"/>
        <v>0</v>
      </c>
      <c r="AA102" s="179">
        <f t="shared" si="35"/>
        <v>0</v>
      </c>
      <c r="AB102" s="179">
        <f t="shared" si="36"/>
        <v>0</v>
      </c>
      <c r="AC102" s="180">
        <f t="shared" si="43"/>
        <v>0</v>
      </c>
      <c r="AD102" s="156">
        <f t="shared" si="37"/>
        <v>0</v>
      </c>
      <c r="AE102" s="146">
        <f>IFERROR(INDEX(Työkonekanta!$L$3:$L$30,MATCH($A102,Työkonekanta!$A$3:$A$30,0),1),0)*AF102</f>
        <v>0</v>
      </c>
      <c r="AF102" s="146">
        <f>IFERROR(INDEX(Työkonekanta!$N$3:$N$32,MATCH($A102,Työkonekanta!$A$3:$A$32,0),1),0)</f>
        <v>0</v>
      </c>
      <c r="AG102" s="332">
        <f>I102*INDEX(Muuttujat!$U$5:$U$21,MATCH($C102,Muuttujat!$N$5:$N$21,0),1)</f>
        <v>0</v>
      </c>
      <c r="AH102" s="332">
        <f>J102*INDEX(Muuttujat!$T$5:$T$21,MATCH($C102,Muuttujat!$N$5:$N$21,0),1)</f>
        <v>0</v>
      </c>
      <c r="AI102" s="332">
        <f t="shared" si="28"/>
        <v>0</v>
      </c>
      <c r="AJ102" s="332">
        <f t="shared" si="29"/>
        <v>0</v>
      </c>
      <c r="AK102" s="332">
        <f t="shared" si="38"/>
        <v>0</v>
      </c>
      <c r="AL102" s="332">
        <f t="shared" si="30"/>
        <v>0</v>
      </c>
    </row>
    <row r="103" spans="1:38">
      <c r="A103" s="139">
        <v>11</v>
      </c>
      <c r="B103" s="139">
        <f>IFERROR(INDEX(Työkonekanta!$F$3:$F$27,MATCH('S0b Baseline kasvu'!$A103,Työkonekanta!$A$3:$A$24,0),1),0)</f>
        <v>1</v>
      </c>
      <c r="C103" s="140">
        <v>2022</v>
      </c>
      <c r="D103" s="141" t="str">
        <f>IFERROR(INDEX(Työkonekanta!$D$3:$D$27,MATCH('S0b Baseline kasvu'!$A103,Työkonekanta!$A$3:$A$24,0),1),"undefined")</f>
        <v>pom</v>
      </c>
      <c r="E103" s="145">
        <f>IFERROR(INDEX(Työkonekanta!$G$3:$G$27,MATCH($A103,Työkonekanta!$A$3:$A$24,0),1)*INDEX(Työkonekanta!$H$3:$H$27,MATCH($A103,Työkonekanta!$A$3:$A$24,0),1)*(1+s0b_kasvu*($C103-2019))*$B103,0)</f>
        <v>10300</v>
      </c>
      <c r="F103" s="145">
        <f t="shared" si="22"/>
        <v>369770</v>
      </c>
      <c r="G103" s="145">
        <f t="shared" si="31"/>
        <v>354979.2</v>
      </c>
      <c r="H103" s="145">
        <f t="shared" si="32"/>
        <v>14790.800000000001</v>
      </c>
      <c r="I103" s="145">
        <f t="shared" si="23"/>
        <v>9888</v>
      </c>
      <c r="J103" s="145">
        <f t="shared" si="24"/>
        <v>431.21865889212836</v>
      </c>
      <c r="K103" s="142" t="str">
        <f t="shared" si="33"/>
        <v>l</v>
      </c>
      <c r="L103" s="146">
        <f>IFERROR(INDEX(Työkonekanta!$I$3:$I$27,MATCH('S0b Baseline kasvu'!$A103,Työkonekanta!$A$3:$A$24,0),1)*(I103+J103)*f_adblue,0)</f>
        <v>515.9609329446065</v>
      </c>
      <c r="M103" s="146">
        <f t="shared" si="39"/>
        <v>0</v>
      </c>
      <c r="N103" s="143" t="str">
        <f>IF(tuulisähkö_vuosi&lt;='S0b Baseline kasvu'!C103,"tuulisähkö",ostosähkö_nyt)</f>
        <v>jäännössähkö</v>
      </c>
      <c r="O103" s="147">
        <f>INDEX(Muuttujat!$J$5:$J$21,MATCH($C103,Muuttujat!$H$5:$H$21,0),1)</f>
        <v>67.190510474999996</v>
      </c>
      <c r="P103" s="342">
        <f>1-(INDEX(Muuttujat!$O$5:$O$21,MATCH($C103,Muuttujat!$N$5:$N$21,0),1))</f>
        <v>0.96</v>
      </c>
      <c r="Q103" s="342">
        <f>INDEX(Muuttujat!$O$5:$O$21,MATCH($C103,Muuttujat!$N$5:$N$21,0),1)</f>
        <v>0.04</v>
      </c>
      <c r="R103" s="148">
        <f>INDEX(Muuttujat!$P$5:$P$21,MATCH($C103,Muuttujat!$N$5:$N$21,0),1)</f>
        <v>4.1787917527764125E-2</v>
      </c>
      <c r="S103" s="149">
        <f t="shared" si="25"/>
        <v>6.7091068800000002</v>
      </c>
      <c r="T103" s="150">
        <f t="shared" si="26"/>
        <v>0.92294591999999998</v>
      </c>
      <c r="U103" s="150">
        <f t="shared" si="27"/>
        <v>0</v>
      </c>
      <c r="V103" s="150">
        <f>IFERROR(INDEX(Työkonekanta!$J$3:$J$27,MATCH($A103,Työkonekanta!$A$3:$A$24,0),1)*$B103*ef_li_ion_akku/1000/1000/INDEX(Työkonekanta!$K$3:$K$27,MATCH($A103,Työkonekanta!$A$3:$A$24,0)),0)</f>
        <v>0</v>
      </c>
      <c r="W103" s="149">
        <f t="shared" si="40"/>
        <v>26.200395057196797</v>
      </c>
      <c r="X103" s="150">
        <f t="shared" si="41"/>
        <v>0.32727802980000004</v>
      </c>
      <c r="Y103" s="151">
        <f t="shared" si="42"/>
        <v>0.13414984256559767</v>
      </c>
      <c r="Z103" s="152">
        <f t="shared" si="34"/>
        <v>7.6320528000000003</v>
      </c>
      <c r="AA103" s="179">
        <f t="shared" si="35"/>
        <v>26.334544899762395</v>
      </c>
      <c r="AB103" s="179">
        <f t="shared" si="36"/>
        <v>26.661822929562394</v>
      </c>
      <c r="AC103" s="180">
        <f t="shared" si="43"/>
        <v>33.966597699762396</v>
      </c>
      <c r="AD103" s="156">
        <f t="shared" si="37"/>
        <v>34.293875729562394</v>
      </c>
      <c r="AE103" s="146">
        <f>IFERROR(INDEX(Työkonekanta!$L$3:$L$30,MATCH($A103,Työkonekanta!$A$3:$A$30,0),1),0)*AF103</f>
        <v>500000</v>
      </c>
      <c r="AF103" s="146">
        <f>IFERROR(INDEX(Työkonekanta!$N$3:$N$32,MATCH($A103,Työkonekanta!$A$3:$A$32,0),1),0)</f>
        <v>1</v>
      </c>
      <c r="AG103" s="332">
        <f>I103*INDEX(Muuttujat!$U$5:$U$21,MATCH($C103,Muuttujat!$N$5:$N$21,0),1)</f>
        <v>9888</v>
      </c>
      <c r="AH103" s="332">
        <f>J103*INDEX(Muuttujat!$T$5:$T$21,MATCH($C103,Muuttujat!$N$5:$N$21,0),1)</f>
        <v>603.70612244897961</v>
      </c>
      <c r="AI103" s="332">
        <f t="shared" si="28"/>
        <v>257.98046647230325</v>
      </c>
      <c r="AJ103" s="332">
        <f t="shared" si="29"/>
        <v>0</v>
      </c>
      <c r="AK103" s="332">
        <f t="shared" si="38"/>
        <v>10749.686588921282</v>
      </c>
      <c r="AL103" s="332">
        <f t="shared" si="30"/>
        <v>10749.686588921282</v>
      </c>
    </row>
    <row r="104" spans="1:38">
      <c r="A104" s="139">
        <v>12</v>
      </c>
      <c r="B104" s="139">
        <f>IFERROR(INDEX(Työkonekanta!$F$3:$F$27,MATCH('S0b Baseline kasvu'!$A104,Työkonekanta!$A$3:$A$24,0),1),0)</f>
        <v>1</v>
      </c>
      <c r="C104" s="140">
        <v>2022</v>
      </c>
      <c r="D104" s="141" t="str">
        <f>IFERROR(INDEX(Työkonekanta!$D$3:$D$27,MATCH('S0b Baseline kasvu'!$A104,Työkonekanta!$A$3:$A$24,0),1),"undefined")</f>
        <v>pom</v>
      </c>
      <c r="E104" s="145">
        <f>IFERROR(INDEX(Työkonekanta!$G$3:$G$27,MATCH($A104,Työkonekanta!$A$3:$A$24,0),1)*INDEX(Työkonekanta!$H$3:$H$27,MATCH($A104,Työkonekanta!$A$3:$A$24,0),1)*(1+s0b_kasvu*($C104-2019))*$B104,0)</f>
        <v>10300</v>
      </c>
      <c r="F104" s="145">
        <f t="shared" si="22"/>
        <v>369770</v>
      </c>
      <c r="G104" s="145">
        <f t="shared" si="31"/>
        <v>354979.2</v>
      </c>
      <c r="H104" s="145">
        <f t="shared" si="32"/>
        <v>14790.800000000001</v>
      </c>
      <c r="I104" s="145">
        <f t="shared" si="23"/>
        <v>9888</v>
      </c>
      <c r="J104" s="145">
        <f t="shared" si="24"/>
        <v>431.21865889212836</v>
      </c>
      <c r="K104" s="142" t="str">
        <f t="shared" si="33"/>
        <v>l</v>
      </c>
      <c r="L104" s="146">
        <f>IFERROR(INDEX(Työkonekanta!$I$3:$I$27,MATCH('S0b Baseline kasvu'!$A104,Työkonekanta!$A$3:$A$24,0),1)*(I104+J104)*f_adblue,0)</f>
        <v>515.9609329446065</v>
      </c>
      <c r="M104" s="146">
        <f t="shared" si="39"/>
        <v>0</v>
      </c>
      <c r="N104" s="143" t="str">
        <f>IF(tuulisähkö_vuosi&lt;='S0b Baseline kasvu'!C104,"tuulisähkö",ostosähkö_nyt)</f>
        <v>jäännössähkö</v>
      </c>
      <c r="O104" s="147">
        <f>INDEX(Muuttujat!$J$5:$J$21,MATCH($C104,Muuttujat!$H$5:$H$21,0),1)</f>
        <v>67.190510474999996</v>
      </c>
      <c r="P104" s="342">
        <f>1-(INDEX(Muuttujat!$O$5:$O$21,MATCH($C104,Muuttujat!$N$5:$N$21,0),1))</f>
        <v>0.96</v>
      </c>
      <c r="Q104" s="342">
        <f>INDEX(Muuttujat!$O$5:$O$21,MATCH($C104,Muuttujat!$N$5:$N$21,0),1)</f>
        <v>0.04</v>
      </c>
      <c r="R104" s="148">
        <f>INDEX(Muuttujat!$P$5:$P$21,MATCH($C104,Muuttujat!$N$5:$N$21,0),1)</f>
        <v>4.1787917527764125E-2</v>
      </c>
      <c r="S104" s="149">
        <f t="shared" si="25"/>
        <v>6.7091068800000002</v>
      </c>
      <c r="T104" s="150">
        <f t="shared" si="26"/>
        <v>0.92294591999999998</v>
      </c>
      <c r="U104" s="150">
        <f t="shared" si="27"/>
        <v>0</v>
      </c>
      <c r="V104" s="150">
        <f>IFERROR(INDEX(Työkonekanta!$J$3:$J$27,MATCH($A104,Työkonekanta!$A$3:$A$24,0),1)*$B104*ef_li_ion_akku/1000/1000/INDEX(Työkonekanta!$K$3:$K$27,MATCH($A104,Työkonekanta!$A$3:$A$24,0)),0)</f>
        <v>0</v>
      </c>
      <c r="W104" s="149">
        <f t="shared" si="40"/>
        <v>26.200395057196797</v>
      </c>
      <c r="X104" s="150">
        <f t="shared" si="41"/>
        <v>0.32727802980000004</v>
      </c>
      <c r="Y104" s="151">
        <f t="shared" si="42"/>
        <v>0.13414984256559767</v>
      </c>
      <c r="Z104" s="152">
        <f t="shared" si="34"/>
        <v>7.6320528000000003</v>
      </c>
      <c r="AA104" s="179">
        <f t="shared" si="35"/>
        <v>26.334544899762395</v>
      </c>
      <c r="AB104" s="179">
        <f t="shared" si="36"/>
        <v>26.661822929562394</v>
      </c>
      <c r="AC104" s="180">
        <f t="shared" si="43"/>
        <v>33.966597699762396</v>
      </c>
      <c r="AD104" s="156">
        <f t="shared" si="37"/>
        <v>34.293875729562394</v>
      </c>
      <c r="AE104" s="146">
        <f>IFERROR(INDEX(Työkonekanta!$L$3:$L$30,MATCH($A104,Työkonekanta!$A$3:$A$30,0),1),0)*AF104</f>
        <v>500000</v>
      </c>
      <c r="AF104" s="146">
        <f>IFERROR(INDEX(Työkonekanta!$N$3:$N$32,MATCH($A104,Työkonekanta!$A$3:$A$32,0),1),0)</f>
        <v>1</v>
      </c>
      <c r="AG104" s="332">
        <f>I104*INDEX(Muuttujat!$U$5:$U$21,MATCH($C104,Muuttujat!$N$5:$N$21,0),1)</f>
        <v>9888</v>
      </c>
      <c r="AH104" s="332">
        <f>J104*INDEX(Muuttujat!$T$5:$T$21,MATCH($C104,Muuttujat!$N$5:$N$21,0),1)</f>
        <v>603.70612244897961</v>
      </c>
      <c r="AI104" s="332">
        <f t="shared" si="28"/>
        <v>257.98046647230325</v>
      </c>
      <c r="AJ104" s="332">
        <f t="shared" si="29"/>
        <v>0</v>
      </c>
      <c r="AK104" s="332">
        <f t="shared" si="38"/>
        <v>10749.686588921282</v>
      </c>
      <c r="AL104" s="332">
        <f t="shared" si="30"/>
        <v>10749.686588921282</v>
      </c>
    </row>
    <row r="105" spans="1:38">
      <c r="A105" s="139">
        <v>13</v>
      </c>
      <c r="B105" s="139">
        <f>IFERROR(INDEX(Työkonekanta!$F$3:$F$27,MATCH('S0b Baseline kasvu'!$A105,Työkonekanta!$A$3:$A$24,0),1),0)</f>
        <v>0</v>
      </c>
      <c r="C105" s="140">
        <v>2022</v>
      </c>
      <c r="D105" s="141" t="str">
        <f>IFERROR(INDEX(Työkonekanta!$D$3:$D$27,MATCH('S0b Baseline kasvu'!$A105,Työkonekanta!$A$3:$A$24,0),1),"undefined")</f>
        <v>pom</v>
      </c>
      <c r="E105" s="145">
        <f>IFERROR(INDEX(Työkonekanta!$G$3:$G$27,MATCH($A105,Työkonekanta!$A$3:$A$24,0),1)*INDEX(Työkonekanta!$H$3:$H$27,MATCH($A105,Työkonekanta!$A$3:$A$24,0),1)*(1+s0b_kasvu*($C105-2019))*$B105,0)</f>
        <v>0</v>
      </c>
      <c r="F105" s="145">
        <f t="shared" si="22"/>
        <v>0</v>
      </c>
      <c r="G105" s="145">
        <f t="shared" si="31"/>
        <v>0</v>
      </c>
      <c r="H105" s="145">
        <f t="shared" si="32"/>
        <v>0</v>
      </c>
      <c r="I105" s="145">
        <f t="shared" si="23"/>
        <v>0</v>
      </c>
      <c r="J105" s="145">
        <f t="shared" si="24"/>
        <v>0</v>
      </c>
      <c r="K105" s="142" t="str">
        <f t="shared" si="33"/>
        <v>l</v>
      </c>
      <c r="L105" s="146">
        <f>IFERROR(INDEX(Työkonekanta!$I$3:$I$27,MATCH('S0b Baseline kasvu'!$A105,Työkonekanta!$A$3:$A$24,0),1)*(I105+J105)*f_adblue,0)</f>
        <v>0</v>
      </c>
      <c r="M105" s="146">
        <f t="shared" si="39"/>
        <v>0</v>
      </c>
      <c r="N105" s="143" t="str">
        <f>IF(tuulisähkö_vuosi&lt;='S0b Baseline kasvu'!C105,"tuulisähkö",ostosähkö_nyt)</f>
        <v>jäännössähkö</v>
      </c>
      <c r="O105" s="147">
        <f>INDEX(Muuttujat!$J$5:$J$21,MATCH($C105,Muuttujat!$H$5:$H$21,0),1)</f>
        <v>67.190510474999996</v>
      </c>
      <c r="P105" s="342">
        <f>1-(INDEX(Muuttujat!$O$5:$O$21,MATCH($C105,Muuttujat!$N$5:$N$21,0),1))</f>
        <v>0.96</v>
      </c>
      <c r="Q105" s="342">
        <f>INDEX(Muuttujat!$O$5:$O$21,MATCH($C105,Muuttujat!$N$5:$N$21,0),1)</f>
        <v>0.04</v>
      </c>
      <c r="R105" s="148">
        <f>INDEX(Muuttujat!$P$5:$P$21,MATCH($C105,Muuttujat!$N$5:$N$21,0),1)</f>
        <v>4.1787917527764125E-2</v>
      </c>
      <c r="S105" s="149">
        <f t="shared" si="25"/>
        <v>0</v>
      </c>
      <c r="T105" s="150">
        <f t="shared" si="26"/>
        <v>0</v>
      </c>
      <c r="U105" s="150">
        <f t="shared" si="27"/>
        <v>0</v>
      </c>
      <c r="V105" s="150">
        <f>IFERROR(INDEX(Työkonekanta!$J$3:$J$27,MATCH($A105,Työkonekanta!$A$3:$A$24,0),1)*$B105*ef_li_ion_akku/1000/1000/INDEX(Työkonekanta!$K$3:$K$27,MATCH($A105,Työkonekanta!$A$3:$A$24,0)),0)</f>
        <v>0</v>
      </c>
      <c r="W105" s="149">
        <f t="shared" si="40"/>
        <v>0</v>
      </c>
      <c r="X105" s="150">
        <f t="shared" si="41"/>
        <v>0</v>
      </c>
      <c r="Y105" s="151">
        <f t="shared" si="42"/>
        <v>0</v>
      </c>
      <c r="Z105" s="152">
        <f t="shared" si="34"/>
        <v>0</v>
      </c>
      <c r="AA105" s="179">
        <f t="shared" si="35"/>
        <v>0</v>
      </c>
      <c r="AB105" s="179">
        <f t="shared" si="36"/>
        <v>0</v>
      </c>
      <c r="AC105" s="180">
        <f t="shared" si="43"/>
        <v>0</v>
      </c>
      <c r="AD105" s="156">
        <f t="shared" si="37"/>
        <v>0</v>
      </c>
      <c r="AE105" s="146">
        <f>IFERROR(INDEX(Työkonekanta!$L$3:$L$30,MATCH($A105,Työkonekanta!$A$3:$A$30,0),1),0)*AF105</f>
        <v>0</v>
      </c>
      <c r="AF105" s="146">
        <f>IFERROR(INDEX(Työkonekanta!$N$3:$N$32,MATCH($A105,Työkonekanta!$A$3:$A$32,0),1),0)</f>
        <v>0</v>
      </c>
      <c r="AG105" s="332">
        <f>I105*INDEX(Muuttujat!$U$5:$U$21,MATCH($C105,Muuttujat!$N$5:$N$21,0),1)</f>
        <v>0</v>
      </c>
      <c r="AH105" s="332">
        <f>J105*INDEX(Muuttujat!$T$5:$T$21,MATCH($C105,Muuttujat!$N$5:$N$21,0),1)</f>
        <v>0</v>
      </c>
      <c r="AI105" s="332">
        <f t="shared" si="28"/>
        <v>0</v>
      </c>
      <c r="AJ105" s="332">
        <f t="shared" si="29"/>
        <v>0</v>
      </c>
      <c r="AK105" s="332">
        <f t="shared" si="38"/>
        <v>0</v>
      </c>
      <c r="AL105" s="332">
        <f t="shared" si="30"/>
        <v>0</v>
      </c>
    </row>
    <row r="106" spans="1:38">
      <c r="A106" s="139">
        <v>14</v>
      </c>
      <c r="B106" s="139">
        <f>IFERROR(INDEX(Työkonekanta!$F$3:$F$27,MATCH('S0b Baseline kasvu'!$A106,Työkonekanta!$A$3:$A$24,0),1),0)</f>
        <v>0</v>
      </c>
      <c r="C106" s="140">
        <v>2022</v>
      </c>
      <c r="D106" s="141" t="str">
        <f>IFERROR(INDEX(Työkonekanta!$D$3:$D$27,MATCH('S0b Baseline kasvu'!$A106,Työkonekanta!$A$3:$A$24,0),1),"undefined")</f>
        <v>pom</v>
      </c>
      <c r="E106" s="145">
        <f>IFERROR(INDEX(Työkonekanta!$G$3:$G$27,MATCH($A106,Työkonekanta!$A$3:$A$24,0),1)*INDEX(Työkonekanta!$H$3:$H$27,MATCH($A106,Työkonekanta!$A$3:$A$24,0),1)*(1+s0b_kasvu*($C106-2019))*$B106,0)</f>
        <v>0</v>
      </c>
      <c r="F106" s="145">
        <f t="shared" si="22"/>
        <v>0</v>
      </c>
      <c r="G106" s="145">
        <f t="shared" si="31"/>
        <v>0</v>
      </c>
      <c r="H106" s="145">
        <f t="shared" si="32"/>
        <v>0</v>
      </c>
      <c r="I106" s="145">
        <f t="shared" si="23"/>
        <v>0</v>
      </c>
      <c r="J106" s="145">
        <f t="shared" si="24"/>
        <v>0</v>
      </c>
      <c r="K106" s="142" t="str">
        <f t="shared" si="33"/>
        <v>l</v>
      </c>
      <c r="L106" s="146">
        <f>IFERROR(INDEX(Työkonekanta!$I$3:$I$27,MATCH('S0b Baseline kasvu'!$A106,Työkonekanta!$A$3:$A$24,0),1)*(I106+J106)*f_adblue,0)</f>
        <v>0</v>
      </c>
      <c r="M106" s="146">
        <f t="shared" si="39"/>
        <v>0</v>
      </c>
      <c r="N106" s="143" t="str">
        <f>IF(tuulisähkö_vuosi&lt;='S0b Baseline kasvu'!C106,"tuulisähkö",ostosähkö_nyt)</f>
        <v>jäännössähkö</v>
      </c>
      <c r="O106" s="147">
        <f>INDEX(Muuttujat!$J$5:$J$21,MATCH($C106,Muuttujat!$H$5:$H$21,0),1)</f>
        <v>67.190510474999996</v>
      </c>
      <c r="P106" s="342">
        <f>1-(INDEX(Muuttujat!$O$5:$O$21,MATCH($C106,Muuttujat!$N$5:$N$21,0),1))</f>
        <v>0.96</v>
      </c>
      <c r="Q106" s="342">
        <f>INDEX(Muuttujat!$O$5:$O$21,MATCH($C106,Muuttujat!$N$5:$N$21,0),1)</f>
        <v>0.04</v>
      </c>
      <c r="R106" s="148">
        <f>INDEX(Muuttujat!$P$5:$P$21,MATCH($C106,Muuttujat!$N$5:$N$21,0),1)</f>
        <v>4.1787917527764125E-2</v>
      </c>
      <c r="S106" s="149">
        <f t="shared" si="25"/>
        <v>0</v>
      </c>
      <c r="T106" s="150">
        <f t="shared" si="26"/>
        <v>0</v>
      </c>
      <c r="U106" s="150">
        <f t="shared" si="27"/>
        <v>0</v>
      </c>
      <c r="V106" s="150">
        <f>IFERROR(INDEX(Työkonekanta!$J$3:$J$27,MATCH($A106,Työkonekanta!$A$3:$A$24,0),1)*$B106*ef_li_ion_akku/1000/1000/INDEX(Työkonekanta!$K$3:$K$27,MATCH($A106,Työkonekanta!$A$3:$A$24,0)),0)</f>
        <v>0</v>
      </c>
      <c r="W106" s="149">
        <f t="shared" si="40"/>
        <v>0</v>
      </c>
      <c r="X106" s="150">
        <f t="shared" si="41"/>
        <v>0</v>
      </c>
      <c r="Y106" s="151">
        <f t="shared" si="42"/>
        <v>0</v>
      </c>
      <c r="Z106" s="152">
        <f t="shared" si="34"/>
        <v>0</v>
      </c>
      <c r="AA106" s="179">
        <f t="shared" si="35"/>
        <v>0</v>
      </c>
      <c r="AB106" s="179">
        <f t="shared" si="36"/>
        <v>0</v>
      </c>
      <c r="AC106" s="180">
        <f t="shared" si="43"/>
        <v>0</v>
      </c>
      <c r="AD106" s="156">
        <f t="shared" si="37"/>
        <v>0</v>
      </c>
      <c r="AE106" s="146">
        <f>IFERROR(INDEX(Työkonekanta!$L$3:$L$30,MATCH($A106,Työkonekanta!$A$3:$A$30,0),1),0)*AF106</f>
        <v>0</v>
      </c>
      <c r="AF106" s="146">
        <f>IFERROR(INDEX(Työkonekanta!$N$3:$N$32,MATCH($A106,Työkonekanta!$A$3:$A$32,0),1),0)</f>
        <v>0</v>
      </c>
      <c r="AG106" s="332">
        <f>I106*INDEX(Muuttujat!$U$5:$U$21,MATCH($C106,Muuttujat!$N$5:$N$21,0),1)</f>
        <v>0</v>
      </c>
      <c r="AH106" s="332">
        <f>J106*INDEX(Muuttujat!$T$5:$T$21,MATCH($C106,Muuttujat!$N$5:$N$21,0),1)</f>
        <v>0</v>
      </c>
      <c r="AI106" s="332">
        <f t="shared" si="28"/>
        <v>0</v>
      </c>
      <c r="AJ106" s="332">
        <f t="shared" si="29"/>
        <v>0</v>
      </c>
      <c r="AK106" s="332">
        <f t="shared" si="38"/>
        <v>0</v>
      </c>
      <c r="AL106" s="332">
        <f t="shared" si="30"/>
        <v>0</v>
      </c>
    </row>
    <row r="107" spans="1:38">
      <c r="A107" s="139">
        <v>15</v>
      </c>
      <c r="B107" s="139">
        <f>IFERROR(INDEX(Työkonekanta!$F$3:$F$27,MATCH('S0b Baseline kasvu'!$A107,Työkonekanta!$A$3:$A$24,0),1),0)</f>
        <v>0</v>
      </c>
      <c r="C107" s="140">
        <v>2022</v>
      </c>
      <c r="D107" s="141" t="str">
        <f>IFERROR(INDEX(Työkonekanta!$D$3:$D$27,MATCH('S0b Baseline kasvu'!$A107,Työkonekanta!$A$3:$A$24,0),1),"undefined")</f>
        <v>sähkö</v>
      </c>
      <c r="E107" s="145">
        <f>IFERROR(INDEX(Työkonekanta!$G$3:$G$27,MATCH($A107,Työkonekanta!$A$3:$A$24,0),1)*INDEX(Työkonekanta!$H$3:$H$27,MATCH($A107,Työkonekanta!$A$3:$A$24,0),1)*(1+s0b_kasvu*($C107-2019))*$B107,0)</f>
        <v>0</v>
      </c>
      <c r="F107" s="145">
        <f t="shared" si="22"/>
        <v>0</v>
      </c>
      <c r="G107" s="145">
        <f t="shared" si="31"/>
        <v>0</v>
      </c>
      <c r="H107" s="145">
        <f t="shared" si="32"/>
        <v>0</v>
      </c>
      <c r="I107" s="145">
        <f t="shared" si="23"/>
        <v>0</v>
      </c>
      <c r="J107" s="145">
        <f t="shared" si="24"/>
        <v>0</v>
      </c>
      <c r="K107" s="142" t="str">
        <f t="shared" si="33"/>
        <v>kWh</v>
      </c>
      <c r="L107" s="146">
        <f>IFERROR(INDEX(Työkonekanta!$I$3:$I$27,MATCH('S0b Baseline kasvu'!$A107,Työkonekanta!$A$3:$A$24,0),1)*(I107+J107)*f_adblue,0)</f>
        <v>0</v>
      </c>
      <c r="M107" s="146">
        <f t="shared" si="39"/>
        <v>0</v>
      </c>
      <c r="N107" s="143" t="str">
        <f>IF(tuulisähkö_vuosi&lt;='S0b Baseline kasvu'!C107,"tuulisähkö",ostosähkö_nyt)</f>
        <v>jäännössähkö</v>
      </c>
      <c r="O107" s="147">
        <f>INDEX(Muuttujat!$J$5:$J$21,MATCH($C107,Muuttujat!$H$5:$H$21,0),1)</f>
        <v>67.190510474999996</v>
      </c>
      <c r="P107" s="342">
        <f>1-(INDEX(Muuttujat!$O$5:$O$21,MATCH($C107,Muuttujat!$N$5:$N$21,0),1))</f>
        <v>0.96</v>
      </c>
      <c r="Q107" s="342">
        <f>INDEX(Muuttujat!$O$5:$O$21,MATCH($C107,Muuttujat!$N$5:$N$21,0),1)</f>
        <v>0.04</v>
      </c>
      <c r="R107" s="148">
        <f>INDEX(Muuttujat!$P$5:$P$21,MATCH($C107,Muuttujat!$N$5:$N$21,0),1)</f>
        <v>4.1787917527764125E-2</v>
      </c>
      <c r="S107" s="149">
        <f t="shared" si="25"/>
        <v>0</v>
      </c>
      <c r="T107" s="150">
        <f t="shared" si="26"/>
        <v>0</v>
      </c>
      <c r="U107" s="150">
        <f t="shared" si="27"/>
        <v>0</v>
      </c>
      <c r="V107" s="150">
        <f>IFERROR(INDEX(Työkonekanta!$J$3:$J$27,MATCH($A107,Työkonekanta!$A$3:$A$24,0),1)*$B107*ef_li_ion_akku/1000/1000/INDEX(Työkonekanta!$K$3:$K$27,MATCH($A107,Työkonekanta!$A$3:$A$24,0)),0)</f>
        <v>0</v>
      </c>
      <c r="W107" s="149">
        <f t="shared" si="40"/>
        <v>0</v>
      </c>
      <c r="X107" s="150">
        <f t="shared" si="41"/>
        <v>0</v>
      </c>
      <c r="Y107" s="151">
        <f t="shared" si="42"/>
        <v>0</v>
      </c>
      <c r="Z107" s="152">
        <f t="shared" si="34"/>
        <v>0</v>
      </c>
      <c r="AA107" s="179">
        <f t="shared" si="35"/>
        <v>0</v>
      </c>
      <c r="AB107" s="179">
        <f t="shared" si="36"/>
        <v>0</v>
      </c>
      <c r="AC107" s="180">
        <f t="shared" si="43"/>
        <v>0</v>
      </c>
      <c r="AD107" s="156">
        <f t="shared" si="37"/>
        <v>0</v>
      </c>
      <c r="AE107" s="146">
        <f>IFERROR(INDEX(Työkonekanta!$L$3:$L$30,MATCH($A107,Työkonekanta!$A$3:$A$30,0),1),0)*AF107</f>
        <v>0</v>
      </c>
      <c r="AF107" s="146">
        <f>IFERROR(INDEX(Työkonekanta!$N$3:$N$32,MATCH($A107,Työkonekanta!$A$3:$A$32,0),1),0)</f>
        <v>0</v>
      </c>
      <c r="AG107" s="332">
        <f>I107*INDEX(Muuttujat!$U$5:$U$21,MATCH($C107,Muuttujat!$N$5:$N$21,0),1)</f>
        <v>0</v>
      </c>
      <c r="AH107" s="332">
        <f>J107*INDEX(Muuttujat!$T$5:$T$21,MATCH($C107,Muuttujat!$N$5:$N$21,0),1)</f>
        <v>0</v>
      </c>
      <c r="AI107" s="332">
        <f t="shared" si="28"/>
        <v>0</v>
      </c>
      <c r="AJ107" s="332">
        <f t="shared" si="29"/>
        <v>0</v>
      </c>
      <c r="AK107" s="332">
        <f t="shared" si="38"/>
        <v>0</v>
      </c>
      <c r="AL107" s="332">
        <f t="shared" si="30"/>
        <v>0</v>
      </c>
    </row>
    <row r="108" spans="1:38">
      <c r="A108" s="139">
        <v>16</v>
      </c>
      <c r="B108" s="139">
        <f>IFERROR(INDEX(Työkonekanta!$F$3:$F$27,MATCH('S0b Baseline kasvu'!$A108,Työkonekanta!$A$3:$A$24,0),1),0)</f>
        <v>0</v>
      </c>
      <c r="C108" s="140">
        <v>2022</v>
      </c>
      <c r="D108" s="141" t="str">
        <f>IFERROR(INDEX(Työkonekanta!$D$3:$D$27,MATCH('S0b Baseline kasvu'!$A108,Työkonekanta!$A$3:$A$24,0),1),"undefined")</f>
        <v>sähkö</v>
      </c>
      <c r="E108" s="145">
        <f>IFERROR(INDEX(Työkonekanta!$G$3:$G$27,MATCH($A108,Työkonekanta!$A$3:$A$24,0),1)*INDEX(Työkonekanta!$H$3:$H$27,MATCH($A108,Työkonekanta!$A$3:$A$24,0),1)*(1+s0b_kasvu*($C108-2019))*$B108,0)</f>
        <v>0</v>
      </c>
      <c r="F108" s="145">
        <f t="shared" si="22"/>
        <v>0</v>
      </c>
      <c r="G108" s="145">
        <f t="shared" si="31"/>
        <v>0</v>
      </c>
      <c r="H108" s="145">
        <f t="shared" si="32"/>
        <v>0</v>
      </c>
      <c r="I108" s="145">
        <f t="shared" si="23"/>
        <v>0</v>
      </c>
      <c r="J108" s="145">
        <f t="shared" si="24"/>
        <v>0</v>
      </c>
      <c r="K108" s="142" t="str">
        <f t="shared" si="33"/>
        <v>kWh</v>
      </c>
      <c r="L108" s="146">
        <f>IFERROR(INDEX(Työkonekanta!$I$3:$I$27,MATCH('S0b Baseline kasvu'!$A108,Työkonekanta!$A$3:$A$24,0),1)*(I108+J108)*f_adblue,0)</f>
        <v>0</v>
      </c>
      <c r="M108" s="146">
        <f t="shared" si="39"/>
        <v>0</v>
      </c>
      <c r="N108" s="143" t="str">
        <f>IF(tuulisähkö_vuosi&lt;='S0b Baseline kasvu'!C108,"tuulisähkö",ostosähkö_nyt)</f>
        <v>jäännössähkö</v>
      </c>
      <c r="O108" s="147">
        <f>INDEX(Muuttujat!$J$5:$J$21,MATCH($C108,Muuttujat!$H$5:$H$21,0),1)</f>
        <v>67.190510474999996</v>
      </c>
      <c r="P108" s="342">
        <f>1-(INDEX(Muuttujat!$O$5:$O$21,MATCH($C108,Muuttujat!$N$5:$N$21,0),1))</f>
        <v>0.96</v>
      </c>
      <c r="Q108" s="342">
        <f>INDEX(Muuttujat!$O$5:$O$21,MATCH($C108,Muuttujat!$N$5:$N$21,0),1)</f>
        <v>0.04</v>
      </c>
      <c r="R108" s="148">
        <f>INDEX(Muuttujat!$P$5:$P$21,MATCH($C108,Muuttujat!$N$5:$N$21,0),1)</f>
        <v>4.1787917527764125E-2</v>
      </c>
      <c r="S108" s="149">
        <f t="shared" si="25"/>
        <v>0</v>
      </c>
      <c r="T108" s="150">
        <f t="shared" si="26"/>
        <v>0</v>
      </c>
      <c r="U108" s="150">
        <f t="shared" si="27"/>
        <v>0</v>
      </c>
      <c r="V108" s="150">
        <f>IFERROR(INDEX(Työkonekanta!$J$3:$J$27,MATCH($A108,Työkonekanta!$A$3:$A$24,0),1)*$B108*ef_li_ion_akku/1000/1000/INDEX(Työkonekanta!$K$3:$K$27,MATCH($A108,Työkonekanta!$A$3:$A$24,0)),0)</f>
        <v>0</v>
      </c>
      <c r="W108" s="149">
        <f t="shared" si="40"/>
        <v>0</v>
      </c>
      <c r="X108" s="150">
        <f t="shared" si="41"/>
        <v>0</v>
      </c>
      <c r="Y108" s="151">
        <f t="shared" si="42"/>
        <v>0</v>
      </c>
      <c r="Z108" s="152">
        <f t="shared" si="34"/>
        <v>0</v>
      </c>
      <c r="AA108" s="179">
        <f t="shared" si="35"/>
        <v>0</v>
      </c>
      <c r="AB108" s="179">
        <f t="shared" si="36"/>
        <v>0</v>
      </c>
      <c r="AC108" s="180">
        <f t="shared" si="43"/>
        <v>0</v>
      </c>
      <c r="AD108" s="156">
        <f t="shared" si="37"/>
        <v>0</v>
      </c>
      <c r="AE108" s="146">
        <f>IFERROR(INDEX(Työkonekanta!$L$3:$L$30,MATCH($A108,Työkonekanta!$A$3:$A$30,0),1),0)*AF108</f>
        <v>0</v>
      </c>
      <c r="AF108" s="146">
        <f>IFERROR(INDEX(Työkonekanta!$N$3:$N$32,MATCH($A108,Työkonekanta!$A$3:$A$32,0),1),0)</f>
        <v>0</v>
      </c>
      <c r="AG108" s="332">
        <f>I108*INDEX(Muuttujat!$U$5:$U$21,MATCH($C108,Muuttujat!$N$5:$N$21,0),1)</f>
        <v>0</v>
      </c>
      <c r="AH108" s="332">
        <f>J108*INDEX(Muuttujat!$T$5:$T$21,MATCH($C108,Muuttujat!$N$5:$N$21,0),1)</f>
        <v>0</v>
      </c>
      <c r="AI108" s="332">
        <f t="shared" si="28"/>
        <v>0</v>
      </c>
      <c r="AJ108" s="332">
        <f t="shared" si="29"/>
        <v>0</v>
      </c>
      <c r="AK108" s="332">
        <f t="shared" si="38"/>
        <v>0</v>
      </c>
      <c r="AL108" s="332">
        <f t="shared" si="30"/>
        <v>0</v>
      </c>
    </row>
    <row r="109" spans="1:38">
      <c r="A109" s="139">
        <v>17</v>
      </c>
      <c r="B109" s="139">
        <f>IFERROR(INDEX(Työkonekanta!$F$3:$F$27,MATCH('S0b Baseline kasvu'!$A109,Työkonekanta!$A$3:$A$24,0),1),0)</f>
        <v>1</v>
      </c>
      <c r="C109" s="140">
        <v>2022</v>
      </c>
      <c r="D109" s="141" t="str">
        <f>IFERROR(INDEX(Työkonekanta!$D$3:$D$27,MATCH('S0b Baseline kasvu'!$A109,Työkonekanta!$A$3:$A$24,0),1),"undefined")</f>
        <v>pom</v>
      </c>
      <c r="E109" s="145">
        <f>IFERROR(INDEX(Työkonekanta!$G$3:$G$27,MATCH($A109,Työkonekanta!$A$3:$A$24,0),1)*INDEX(Työkonekanta!$H$3:$H$27,MATCH($A109,Työkonekanta!$A$3:$A$24,0),1)*(1+s0b_kasvu*($C109-2019))*$B109,0)</f>
        <v>10300</v>
      </c>
      <c r="F109" s="145">
        <f t="shared" si="22"/>
        <v>369770</v>
      </c>
      <c r="G109" s="145">
        <f t="shared" si="31"/>
        <v>354979.2</v>
      </c>
      <c r="H109" s="145">
        <f t="shared" si="32"/>
        <v>14790.800000000001</v>
      </c>
      <c r="I109" s="145">
        <f t="shared" si="23"/>
        <v>9888</v>
      </c>
      <c r="J109" s="145">
        <f t="shared" si="24"/>
        <v>431.21865889212836</v>
      </c>
      <c r="K109" s="142" t="str">
        <f t="shared" si="33"/>
        <v>l</v>
      </c>
      <c r="L109" s="146">
        <f>IFERROR(INDEX(Työkonekanta!$I$3:$I$27,MATCH('S0b Baseline kasvu'!$A109,Työkonekanta!$A$3:$A$24,0),1)*(I109+J109)*f_adblue,0)</f>
        <v>515.9609329446065</v>
      </c>
      <c r="M109" s="146">
        <f t="shared" si="39"/>
        <v>0</v>
      </c>
      <c r="N109" s="143" t="str">
        <f>IF(tuulisähkö_vuosi&lt;='S0b Baseline kasvu'!C109,"tuulisähkö",ostosähkö_nyt)</f>
        <v>jäännössähkö</v>
      </c>
      <c r="O109" s="147">
        <f>INDEX(Muuttujat!$J$5:$J$21,MATCH($C109,Muuttujat!$H$5:$H$21,0),1)</f>
        <v>67.190510474999996</v>
      </c>
      <c r="P109" s="342">
        <f>1-(INDEX(Muuttujat!$O$5:$O$21,MATCH($C109,Muuttujat!$N$5:$N$21,0),1))</f>
        <v>0.96</v>
      </c>
      <c r="Q109" s="342">
        <f>INDEX(Muuttujat!$O$5:$O$21,MATCH($C109,Muuttujat!$N$5:$N$21,0),1)</f>
        <v>0.04</v>
      </c>
      <c r="R109" s="148">
        <f>INDEX(Muuttujat!$P$5:$P$21,MATCH($C109,Muuttujat!$N$5:$N$21,0),1)</f>
        <v>4.1787917527764125E-2</v>
      </c>
      <c r="S109" s="149">
        <f t="shared" si="25"/>
        <v>6.7091068800000002</v>
      </c>
      <c r="T109" s="150">
        <f t="shared" si="26"/>
        <v>0.92294591999999998</v>
      </c>
      <c r="U109" s="150">
        <f t="shared" si="27"/>
        <v>0</v>
      </c>
      <c r="V109" s="150">
        <f>IFERROR(INDEX(Työkonekanta!$J$3:$J$27,MATCH($A109,Työkonekanta!$A$3:$A$24,0),1)*$B109*ef_li_ion_akku/1000/1000/INDEX(Työkonekanta!$K$3:$K$27,MATCH($A109,Työkonekanta!$A$3:$A$24,0)),0)</f>
        <v>0</v>
      </c>
      <c r="W109" s="149">
        <f t="shared" si="40"/>
        <v>26.200395057196797</v>
      </c>
      <c r="X109" s="150">
        <f t="shared" si="41"/>
        <v>0.32727802980000004</v>
      </c>
      <c r="Y109" s="151">
        <f t="shared" si="42"/>
        <v>0.13414984256559767</v>
      </c>
      <c r="Z109" s="152">
        <f t="shared" si="34"/>
        <v>7.6320528000000003</v>
      </c>
      <c r="AA109" s="179">
        <f t="shared" si="35"/>
        <v>26.334544899762395</v>
      </c>
      <c r="AB109" s="179">
        <f t="shared" si="36"/>
        <v>26.661822929562394</v>
      </c>
      <c r="AC109" s="180">
        <f t="shared" si="43"/>
        <v>33.966597699762396</v>
      </c>
      <c r="AD109" s="156">
        <f t="shared" si="37"/>
        <v>34.293875729562394</v>
      </c>
      <c r="AE109" s="146">
        <f>IFERROR(INDEX(Työkonekanta!$L$3:$L$30,MATCH($A109,Työkonekanta!$A$3:$A$30,0),1),0)*AF109</f>
        <v>500000</v>
      </c>
      <c r="AF109" s="146">
        <f>IFERROR(INDEX(Työkonekanta!$N$3:$N$32,MATCH($A109,Työkonekanta!$A$3:$A$32,0),1),0)</f>
        <v>1</v>
      </c>
      <c r="AG109" s="332">
        <f>I109*INDEX(Muuttujat!$U$5:$U$21,MATCH($C109,Muuttujat!$N$5:$N$21,0),1)</f>
        <v>9888</v>
      </c>
      <c r="AH109" s="332">
        <f>J109*INDEX(Muuttujat!$T$5:$T$21,MATCH($C109,Muuttujat!$N$5:$N$21,0),1)</f>
        <v>603.70612244897961</v>
      </c>
      <c r="AI109" s="332">
        <f t="shared" si="28"/>
        <v>257.98046647230325</v>
      </c>
      <c r="AJ109" s="332">
        <f t="shared" si="29"/>
        <v>0</v>
      </c>
      <c r="AK109" s="332">
        <f t="shared" si="38"/>
        <v>10749.686588921282</v>
      </c>
      <c r="AL109" s="332">
        <f t="shared" si="30"/>
        <v>10749.686588921282</v>
      </c>
    </row>
    <row r="110" spans="1:38">
      <c r="A110" s="139">
        <v>18</v>
      </c>
      <c r="B110" s="139">
        <f>IFERROR(INDEX(Työkonekanta!$F$3:$F$27,MATCH('S0b Baseline kasvu'!$A110,Työkonekanta!$A$3:$A$24,0),1),0)</f>
        <v>1</v>
      </c>
      <c r="C110" s="140">
        <v>2022</v>
      </c>
      <c r="D110" s="141" t="str">
        <f>IFERROR(INDEX(Työkonekanta!$D$3:$D$27,MATCH('S0b Baseline kasvu'!$A110,Työkonekanta!$A$3:$A$24,0),1),"undefined")</f>
        <v>pom</v>
      </c>
      <c r="E110" s="145">
        <f>IFERROR(INDEX(Työkonekanta!$G$3:$G$27,MATCH($A110,Työkonekanta!$A$3:$A$24,0),1)*INDEX(Työkonekanta!$H$3:$H$27,MATCH($A110,Työkonekanta!$A$3:$A$24,0),1)*(1+s0b_kasvu*($C110-2019))*$B110,0)</f>
        <v>10300</v>
      </c>
      <c r="F110" s="145">
        <f t="shared" si="22"/>
        <v>369770</v>
      </c>
      <c r="G110" s="145">
        <f t="shared" si="31"/>
        <v>354979.2</v>
      </c>
      <c r="H110" s="145">
        <f t="shared" si="32"/>
        <v>14790.800000000001</v>
      </c>
      <c r="I110" s="145">
        <f t="shared" si="23"/>
        <v>9888</v>
      </c>
      <c r="J110" s="145">
        <f t="shared" si="24"/>
        <v>431.21865889212836</v>
      </c>
      <c r="K110" s="142" t="str">
        <f t="shared" si="33"/>
        <v>l</v>
      </c>
      <c r="L110" s="146">
        <f>IFERROR(INDEX(Työkonekanta!$I$3:$I$27,MATCH('S0b Baseline kasvu'!$A110,Työkonekanta!$A$3:$A$24,0),1)*(I110+J110)*f_adblue,0)</f>
        <v>412.76874635568521</v>
      </c>
      <c r="M110" s="146">
        <f t="shared" si="39"/>
        <v>0</v>
      </c>
      <c r="N110" s="143" t="str">
        <f>IF(tuulisähkö_vuosi&lt;='S0b Baseline kasvu'!C110,"tuulisähkö",ostosähkö_nyt)</f>
        <v>jäännössähkö</v>
      </c>
      <c r="O110" s="147">
        <f>INDEX(Muuttujat!$J$5:$J$21,MATCH($C110,Muuttujat!$H$5:$H$21,0),1)</f>
        <v>67.190510474999996</v>
      </c>
      <c r="P110" s="342">
        <f>1-(INDEX(Muuttujat!$O$5:$O$21,MATCH($C110,Muuttujat!$N$5:$N$21,0),1))</f>
        <v>0.96</v>
      </c>
      <c r="Q110" s="342">
        <f>INDEX(Muuttujat!$O$5:$O$21,MATCH($C110,Muuttujat!$N$5:$N$21,0),1)</f>
        <v>0.04</v>
      </c>
      <c r="R110" s="148">
        <f>INDEX(Muuttujat!$P$5:$P$21,MATCH($C110,Muuttujat!$N$5:$N$21,0),1)</f>
        <v>4.1787917527764125E-2</v>
      </c>
      <c r="S110" s="149">
        <f t="shared" si="25"/>
        <v>6.7091068800000002</v>
      </c>
      <c r="T110" s="150">
        <f t="shared" si="26"/>
        <v>0.92294591999999998</v>
      </c>
      <c r="U110" s="150">
        <f t="shared" si="27"/>
        <v>0</v>
      </c>
      <c r="V110" s="150">
        <f>IFERROR(INDEX(Työkonekanta!$J$3:$J$27,MATCH($A110,Työkonekanta!$A$3:$A$24,0),1)*$B110*ef_li_ion_akku/1000/1000/INDEX(Työkonekanta!$K$3:$K$27,MATCH($A110,Työkonekanta!$A$3:$A$24,0)),0)</f>
        <v>0</v>
      </c>
      <c r="W110" s="149">
        <f t="shared" si="40"/>
        <v>26.200395057196797</v>
      </c>
      <c r="X110" s="150">
        <f t="shared" si="41"/>
        <v>0.32727802980000004</v>
      </c>
      <c r="Y110" s="151">
        <f t="shared" si="42"/>
        <v>0.10731987405247816</v>
      </c>
      <c r="Z110" s="152">
        <f t="shared" si="34"/>
        <v>7.6320528000000003</v>
      </c>
      <c r="AA110" s="179">
        <f t="shared" si="35"/>
        <v>26.307714931249276</v>
      </c>
      <c r="AB110" s="179">
        <f t="shared" si="36"/>
        <v>26.634992961049274</v>
      </c>
      <c r="AC110" s="180">
        <f t="shared" si="43"/>
        <v>33.939767731249276</v>
      </c>
      <c r="AD110" s="156">
        <f t="shared" si="37"/>
        <v>34.267045761049275</v>
      </c>
      <c r="AE110" s="146">
        <f>IFERROR(INDEX(Työkonekanta!$L$3:$L$30,MATCH($A110,Työkonekanta!$A$3:$A$30,0),1),0)*AF110</f>
        <v>500000</v>
      </c>
      <c r="AF110" s="146">
        <f>IFERROR(INDEX(Työkonekanta!$N$3:$N$32,MATCH($A110,Työkonekanta!$A$3:$A$32,0),1),0)</f>
        <v>1</v>
      </c>
      <c r="AG110" s="332">
        <f>I110*INDEX(Muuttujat!$U$5:$U$21,MATCH($C110,Muuttujat!$N$5:$N$21,0),1)</f>
        <v>9888</v>
      </c>
      <c r="AH110" s="332">
        <f>J110*INDEX(Muuttujat!$T$5:$T$21,MATCH($C110,Muuttujat!$N$5:$N$21,0),1)</f>
        <v>603.70612244897961</v>
      </c>
      <c r="AI110" s="332">
        <f t="shared" si="28"/>
        <v>206.3843731778426</v>
      </c>
      <c r="AJ110" s="332">
        <f t="shared" si="29"/>
        <v>0</v>
      </c>
      <c r="AK110" s="332">
        <f t="shared" si="38"/>
        <v>10698.090495626822</v>
      </c>
      <c r="AL110" s="332">
        <f t="shared" si="30"/>
        <v>10698.090495626822</v>
      </c>
    </row>
    <row r="111" spans="1:38">
      <c r="A111" s="139">
        <v>19</v>
      </c>
      <c r="B111" s="139">
        <f>IFERROR(INDEX(Työkonekanta!$F$3:$F$27,MATCH('S0b Baseline kasvu'!$A111,Työkonekanta!$A$3:$A$24,0),1),0)</f>
        <v>0</v>
      </c>
      <c r="C111" s="140">
        <v>2022</v>
      </c>
      <c r="D111" s="141" t="str">
        <f>IFERROR(INDEX(Työkonekanta!$D$3:$D$27,MATCH('S0b Baseline kasvu'!$A111,Työkonekanta!$A$3:$A$24,0),1),"undefined")</f>
        <v>pom</v>
      </c>
      <c r="E111" s="145">
        <f>IFERROR(INDEX(Työkonekanta!$G$3:$G$27,MATCH($A111,Työkonekanta!$A$3:$A$24,0),1)*INDEX(Työkonekanta!$H$3:$H$27,MATCH($A111,Työkonekanta!$A$3:$A$24,0),1)*(1+s0b_kasvu*($C111-2019))*$B111,0)</f>
        <v>0</v>
      </c>
      <c r="F111" s="145">
        <f t="shared" si="22"/>
        <v>0</v>
      </c>
      <c r="G111" s="145">
        <f t="shared" si="31"/>
        <v>0</v>
      </c>
      <c r="H111" s="145">
        <f t="shared" si="32"/>
        <v>0</v>
      </c>
      <c r="I111" s="145">
        <f t="shared" si="23"/>
        <v>0</v>
      </c>
      <c r="J111" s="145">
        <f t="shared" si="24"/>
        <v>0</v>
      </c>
      <c r="K111" s="142" t="str">
        <f t="shared" si="33"/>
        <v>l</v>
      </c>
      <c r="L111" s="146">
        <f>IFERROR(INDEX(Työkonekanta!$I$3:$I$27,MATCH('S0b Baseline kasvu'!$A111,Työkonekanta!$A$3:$A$24,0),1)*(I111+J111)*f_adblue,0)</f>
        <v>0</v>
      </c>
      <c r="M111" s="146">
        <f t="shared" si="39"/>
        <v>0</v>
      </c>
      <c r="N111" s="143" t="str">
        <f>IF(tuulisähkö_vuosi&lt;='S0b Baseline kasvu'!C111,"tuulisähkö",ostosähkö_nyt)</f>
        <v>jäännössähkö</v>
      </c>
      <c r="O111" s="147">
        <f>INDEX(Muuttujat!$J$5:$J$21,MATCH($C111,Muuttujat!$H$5:$H$21,0),1)</f>
        <v>67.190510474999996</v>
      </c>
      <c r="P111" s="342">
        <f>1-(INDEX(Muuttujat!$O$5:$O$21,MATCH($C111,Muuttujat!$N$5:$N$21,0),1))</f>
        <v>0.96</v>
      </c>
      <c r="Q111" s="342">
        <f>INDEX(Muuttujat!$O$5:$O$21,MATCH($C111,Muuttujat!$N$5:$N$21,0),1)</f>
        <v>0.04</v>
      </c>
      <c r="R111" s="148">
        <f>INDEX(Muuttujat!$P$5:$P$21,MATCH($C111,Muuttujat!$N$5:$N$21,0),1)</f>
        <v>4.1787917527764125E-2</v>
      </c>
      <c r="S111" s="149">
        <f t="shared" si="25"/>
        <v>0</v>
      </c>
      <c r="T111" s="150">
        <f t="shared" si="26"/>
        <v>0</v>
      </c>
      <c r="U111" s="150">
        <f t="shared" si="27"/>
        <v>0</v>
      </c>
      <c r="V111" s="150">
        <f>IFERROR(INDEX(Työkonekanta!$J$3:$J$27,MATCH($A111,Työkonekanta!$A$3:$A$24,0),1)*$B111*ef_li_ion_akku/1000/1000/INDEX(Työkonekanta!$K$3:$K$27,MATCH($A111,Työkonekanta!$A$3:$A$24,0)),0)</f>
        <v>0</v>
      </c>
      <c r="W111" s="149">
        <f t="shared" si="40"/>
        <v>0</v>
      </c>
      <c r="X111" s="150">
        <f t="shared" si="41"/>
        <v>0</v>
      </c>
      <c r="Y111" s="151">
        <f t="shared" si="42"/>
        <v>0</v>
      </c>
      <c r="Z111" s="152">
        <f t="shared" si="34"/>
        <v>0</v>
      </c>
      <c r="AA111" s="179">
        <f t="shared" si="35"/>
        <v>0</v>
      </c>
      <c r="AB111" s="179">
        <f t="shared" si="36"/>
        <v>0</v>
      </c>
      <c r="AC111" s="180">
        <f t="shared" si="43"/>
        <v>0</v>
      </c>
      <c r="AD111" s="156">
        <f t="shared" si="37"/>
        <v>0</v>
      </c>
      <c r="AE111" s="146">
        <f>IFERROR(INDEX(Työkonekanta!$L$3:$L$30,MATCH($A111,Työkonekanta!$A$3:$A$30,0),1),0)*AF111</f>
        <v>0</v>
      </c>
      <c r="AF111" s="146">
        <f>IFERROR(INDEX(Työkonekanta!$N$3:$N$32,MATCH($A111,Työkonekanta!$A$3:$A$32,0),1),0)</f>
        <v>0</v>
      </c>
      <c r="AG111" s="332">
        <f>I111*INDEX(Muuttujat!$U$5:$U$21,MATCH($C111,Muuttujat!$N$5:$N$21,0),1)</f>
        <v>0</v>
      </c>
      <c r="AH111" s="332">
        <f>J111*INDEX(Muuttujat!$T$5:$T$21,MATCH($C111,Muuttujat!$N$5:$N$21,0),1)</f>
        <v>0</v>
      </c>
      <c r="AI111" s="332">
        <f t="shared" si="28"/>
        <v>0</v>
      </c>
      <c r="AJ111" s="332">
        <f t="shared" si="29"/>
        <v>0</v>
      </c>
      <c r="AK111" s="332">
        <f t="shared" si="38"/>
        <v>0</v>
      </c>
      <c r="AL111" s="332">
        <f t="shared" si="30"/>
        <v>0</v>
      </c>
    </row>
    <row r="112" spans="1:38">
      <c r="A112" s="139">
        <v>20</v>
      </c>
      <c r="B112" s="139">
        <f>IFERROR(INDEX(Työkonekanta!$F$3:$F$27,MATCH('S0b Baseline kasvu'!$A112,Työkonekanta!$A$3:$A$24,0),1),0)</f>
        <v>0</v>
      </c>
      <c r="C112" s="140">
        <v>2022</v>
      </c>
      <c r="D112" s="141" t="str">
        <f>IFERROR(INDEX(Työkonekanta!$D$3:$D$27,MATCH('S0b Baseline kasvu'!$A112,Työkonekanta!$A$3:$A$24,0),1),"undefined")</f>
        <v>pom</v>
      </c>
      <c r="E112" s="145">
        <f>IFERROR(INDEX(Työkonekanta!$G$3:$G$27,MATCH($A112,Työkonekanta!$A$3:$A$24,0),1)*INDEX(Työkonekanta!$H$3:$H$27,MATCH($A112,Työkonekanta!$A$3:$A$24,0),1)*(1+s0b_kasvu*($C112-2019))*$B112,0)</f>
        <v>0</v>
      </c>
      <c r="F112" s="145">
        <f t="shared" si="22"/>
        <v>0</v>
      </c>
      <c r="G112" s="145">
        <f t="shared" si="31"/>
        <v>0</v>
      </c>
      <c r="H112" s="145">
        <f t="shared" si="32"/>
        <v>0</v>
      </c>
      <c r="I112" s="145">
        <f t="shared" si="23"/>
        <v>0</v>
      </c>
      <c r="J112" s="145">
        <f t="shared" si="24"/>
        <v>0</v>
      </c>
      <c r="K112" s="142" t="str">
        <f t="shared" si="33"/>
        <v>l</v>
      </c>
      <c r="L112" s="146">
        <f>IFERROR(INDEX(Työkonekanta!$I$3:$I$27,MATCH('S0b Baseline kasvu'!$A112,Työkonekanta!$A$3:$A$24,0),1)*(I112+J112)*f_adblue,0)</f>
        <v>0</v>
      </c>
      <c r="M112" s="146">
        <f t="shared" si="39"/>
        <v>0</v>
      </c>
      <c r="N112" s="143" t="str">
        <f>IF(tuulisähkö_vuosi&lt;='S0b Baseline kasvu'!C112,"tuulisähkö",ostosähkö_nyt)</f>
        <v>jäännössähkö</v>
      </c>
      <c r="O112" s="147">
        <f>INDEX(Muuttujat!$J$5:$J$21,MATCH($C112,Muuttujat!$H$5:$H$21,0),1)</f>
        <v>67.190510474999996</v>
      </c>
      <c r="P112" s="342">
        <f>1-(INDEX(Muuttujat!$O$5:$O$21,MATCH($C112,Muuttujat!$N$5:$N$21,0),1))</f>
        <v>0.96</v>
      </c>
      <c r="Q112" s="342">
        <f>INDEX(Muuttujat!$O$5:$O$21,MATCH($C112,Muuttujat!$N$5:$N$21,0),1)</f>
        <v>0.04</v>
      </c>
      <c r="R112" s="148">
        <f>INDEX(Muuttujat!$P$5:$P$21,MATCH($C112,Muuttujat!$N$5:$N$21,0),1)</f>
        <v>4.1787917527764125E-2</v>
      </c>
      <c r="S112" s="149">
        <f t="shared" si="25"/>
        <v>0</v>
      </c>
      <c r="T112" s="150">
        <f t="shared" si="26"/>
        <v>0</v>
      </c>
      <c r="U112" s="150">
        <f t="shared" si="27"/>
        <v>0</v>
      </c>
      <c r="V112" s="150">
        <f>IFERROR(INDEX(Työkonekanta!$J$3:$J$27,MATCH($A112,Työkonekanta!$A$3:$A$24,0),1)*$B112*ef_li_ion_akku/1000/1000/INDEX(Työkonekanta!$K$3:$K$27,MATCH($A112,Työkonekanta!$A$3:$A$24,0)),0)</f>
        <v>0</v>
      </c>
      <c r="W112" s="149">
        <f t="shared" si="40"/>
        <v>0</v>
      </c>
      <c r="X112" s="150">
        <f t="shared" si="41"/>
        <v>0</v>
      </c>
      <c r="Y112" s="151">
        <f t="shared" si="42"/>
        <v>0</v>
      </c>
      <c r="Z112" s="152">
        <f t="shared" si="34"/>
        <v>0</v>
      </c>
      <c r="AA112" s="179">
        <f t="shared" si="35"/>
        <v>0</v>
      </c>
      <c r="AB112" s="179">
        <f t="shared" si="36"/>
        <v>0</v>
      </c>
      <c r="AC112" s="180">
        <f t="shared" si="43"/>
        <v>0</v>
      </c>
      <c r="AD112" s="156">
        <f t="shared" si="37"/>
        <v>0</v>
      </c>
      <c r="AE112" s="146">
        <f>IFERROR(INDEX(Työkonekanta!$L$3:$L$30,MATCH($A112,Työkonekanta!$A$3:$A$30,0),1),0)*AF112</f>
        <v>0</v>
      </c>
      <c r="AF112" s="146">
        <f>IFERROR(INDEX(Työkonekanta!$N$3:$N$32,MATCH($A112,Työkonekanta!$A$3:$A$32,0),1),0)</f>
        <v>0</v>
      </c>
      <c r="AG112" s="332">
        <f>I112*INDEX(Muuttujat!$U$5:$U$21,MATCH($C112,Muuttujat!$N$5:$N$21,0),1)</f>
        <v>0</v>
      </c>
      <c r="AH112" s="332">
        <f>J112*INDEX(Muuttujat!$T$5:$T$21,MATCH($C112,Muuttujat!$N$5:$N$21,0),1)</f>
        <v>0</v>
      </c>
      <c r="AI112" s="332">
        <f t="shared" si="28"/>
        <v>0</v>
      </c>
      <c r="AJ112" s="332">
        <f t="shared" si="29"/>
        <v>0</v>
      </c>
      <c r="AK112" s="332">
        <f t="shared" si="38"/>
        <v>0</v>
      </c>
      <c r="AL112" s="332">
        <f t="shared" si="30"/>
        <v>0</v>
      </c>
    </row>
    <row r="113" spans="1:38">
      <c r="A113" s="139">
        <v>21</v>
      </c>
      <c r="B113" s="139">
        <f>IFERROR(INDEX(Työkonekanta!$F$3:$F$27,MATCH('S0b Baseline kasvu'!$A113,Työkonekanta!$A$3:$A$24,0),1),0)</f>
        <v>35</v>
      </c>
      <c r="C113" s="140">
        <v>2022</v>
      </c>
      <c r="D113" s="141" t="str">
        <f>IFERROR(INDEX(Työkonekanta!$D$3:$D$27,MATCH('S0b Baseline kasvu'!$A113,Työkonekanta!$A$3:$A$24,0),1),"undefined")</f>
        <v>sähkö</v>
      </c>
      <c r="E113" s="145">
        <f>IFERROR(INDEX(Työkonekanta!$G$3:$G$27,MATCH($A113,Työkonekanta!$A$3:$A$24,0),1)*INDEX(Työkonekanta!$H$3:$H$27,MATCH($A113,Työkonekanta!$A$3:$A$24,0),1)*(1+s0b_kasvu*($C113-2019))*$B113,0)</f>
        <v>419415.04629629629</v>
      </c>
      <c r="F113" s="145">
        <f t="shared" si="22"/>
        <v>0</v>
      </c>
      <c r="G113" s="145">
        <f t="shared" si="31"/>
        <v>0</v>
      </c>
      <c r="H113" s="145">
        <f t="shared" si="32"/>
        <v>0</v>
      </c>
      <c r="I113" s="145">
        <f t="shared" si="23"/>
        <v>0</v>
      </c>
      <c r="J113" s="145">
        <f t="shared" si="24"/>
        <v>0</v>
      </c>
      <c r="K113" s="142" t="str">
        <f t="shared" si="33"/>
        <v>kWh</v>
      </c>
      <c r="L113" s="146">
        <f>IFERROR(INDEX(Työkonekanta!$I$3:$I$27,MATCH('S0b Baseline kasvu'!$A113,Työkonekanta!$A$3:$A$24,0),1)*(I113+J113)*f_adblue,0)</f>
        <v>0</v>
      </c>
      <c r="M113" s="146">
        <f t="shared" si="39"/>
        <v>1509894.1666666667</v>
      </c>
      <c r="N113" s="143" t="str">
        <f>IF(tuulisähkö_vuosi&lt;='S0b Baseline kasvu'!C113,"tuulisähkö",ostosähkö_nyt)</f>
        <v>jäännössähkö</v>
      </c>
      <c r="O113" s="147">
        <f>INDEX(Muuttujat!$J$5:$J$21,MATCH($C113,Muuttujat!$H$5:$H$21,0),1)</f>
        <v>67.190510474999996</v>
      </c>
      <c r="P113" s="342">
        <f>1-(INDEX(Muuttujat!$O$5:$O$21,MATCH($C113,Muuttujat!$N$5:$N$21,0),1))</f>
        <v>0.96</v>
      </c>
      <c r="Q113" s="342">
        <f>INDEX(Muuttujat!$O$5:$O$21,MATCH($C113,Muuttujat!$N$5:$N$21,0),1)</f>
        <v>0.04</v>
      </c>
      <c r="R113" s="148">
        <f>INDEX(Muuttujat!$P$5:$P$21,MATCH($C113,Muuttujat!$N$5:$N$21,0),1)</f>
        <v>4.1787917527764125E-2</v>
      </c>
      <c r="S113" s="149">
        <f t="shared" si="25"/>
        <v>0</v>
      </c>
      <c r="T113" s="150">
        <f t="shared" si="26"/>
        <v>0</v>
      </c>
      <c r="U113" s="150">
        <f t="shared" si="27"/>
        <v>101.45055982155806</v>
      </c>
      <c r="V113" s="150">
        <f>IFERROR(INDEX(Työkonekanta!$J$3:$J$27,MATCH($A113,Työkonekanta!$A$3:$A$24,0),1)*$B113*ef_li_ion_akku/1000/1000/INDEX(Työkonekanta!$K$3:$K$27,MATCH($A113,Työkonekanta!$A$3:$A$24,0)),0)</f>
        <v>43.121723076923082</v>
      </c>
      <c r="W113" s="149">
        <f t="shared" si="40"/>
        <v>0</v>
      </c>
      <c r="X113" s="150">
        <f t="shared" si="41"/>
        <v>0</v>
      </c>
      <c r="Y113" s="151">
        <f t="shared" si="42"/>
        <v>0</v>
      </c>
      <c r="Z113" s="152">
        <f t="shared" si="34"/>
        <v>144.57228289848115</v>
      </c>
      <c r="AA113" s="179">
        <f t="shared" si="35"/>
        <v>0</v>
      </c>
      <c r="AB113" s="179">
        <f t="shared" si="36"/>
        <v>0</v>
      </c>
      <c r="AC113" s="180">
        <f t="shared" si="43"/>
        <v>144.57228289848115</v>
      </c>
      <c r="AD113" s="156">
        <f t="shared" si="37"/>
        <v>144.57228289848115</v>
      </c>
      <c r="AE113" s="146">
        <f>IFERROR(INDEX(Työkonekanta!$L$3:$L$30,MATCH($A113,Työkonekanta!$A$3:$A$30,0),1),0)*AF113</f>
        <v>1820000</v>
      </c>
      <c r="AF113" s="146">
        <f>IFERROR(INDEX(Työkonekanta!$N$3:$N$32,MATCH($A113,Työkonekanta!$A$3:$A$32,0),1),0)</f>
        <v>7</v>
      </c>
      <c r="AG113" s="332">
        <f>I113*INDEX(Muuttujat!$U$5:$U$21,MATCH($C113,Muuttujat!$N$5:$N$21,0),1)</f>
        <v>0</v>
      </c>
      <c r="AH113" s="332">
        <f>J113*INDEX(Muuttujat!$T$5:$T$21,MATCH($C113,Muuttujat!$N$5:$N$21,0),1)</f>
        <v>0</v>
      </c>
      <c r="AI113" s="332">
        <f t="shared" si="28"/>
        <v>0</v>
      </c>
      <c r="AJ113" s="332">
        <f t="shared" si="29"/>
        <v>37118.231597222228</v>
      </c>
      <c r="AK113" s="332">
        <f t="shared" si="38"/>
        <v>37118.231597222228</v>
      </c>
      <c r="AL113" s="332">
        <f t="shared" si="30"/>
        <v>1060.520902777778</v>
      </c>
    </row>
    <row r="114" spans="1:38">
      <c r="A114" s="139">
        <v>22</v>
      </c>
      <c r="B114" s="139">
        <f>IFERROR(INDEX(Työkonekanta!$F$3:$F$27,MATCH('S0b Baseline kasvu'!$A114,Työkonekanta!$A$3:$A$24,0),1),0)</f>
        <v>0</v>
      </c>
      <c r="C114" s="140">
        <v>2022</v>
      </c>
      <c r="D114" s="141" t="str">
        <f>IFERROR(INDEX(Työkonekanta!$D$3:$D$27,MATCH('S0b Baseline kasvu'!$A114,Työkonekanta!$A$3:$A$24,0),1),"undefined")</f>
        <v>sähkö</v>
      </c>
      <c r="E114" s="145">
        <f>IFERROR(INDEX(Työkonekanta!$G$3:$G$27,MATCH($A114,Työkonekanta!$A$3:$A$24,0),1)*INDEX(Työkonekanta!$H$3:$H$27,MATCH($A114,Työkonekanta!$A$3:$A$24,0),1)*(1+s0b_kasvu*($C114-2019))*$B114,0)</f>
        <v>0</v>
      </c>
      <c r="F114" s="145">
        <f t="shared" si="22"/>
        <v>0</v>
      </c>
      <c r="G114" s="145">
        <f t="shared" si="31"/>
        <v>0</v>
      </c>
      <c r="H114" s="145">
        <f t="shared" si="32"/>
        <v>0</v>
      </c>
      <c r="I114" s="145">
        <f t="shared" si="23"/>
        <v>0</v>
      </c>
      <c r="J114" s="145">
        <f t="shared" si="24"/>
        <v>0</v>
      </c>
      <c r="K114" s="142" t="str">
        <f t="shared" si="33"/>
        <v>kWh</v>
      </c>
      <c r="L114" s="146">
        <f>IFERROR(INDEX(Työkonekanta!$I$3:$I$27,MATCH('S0b Baseline kasvu'!$A114,Työkonekanta!$A$3:$A$24,0),1)*(I114+J114)*f_adblue,0)</f>
        <v>0</v>
      </c>
      <c r="M114" s="146">
        <f t="shared" si="39"/>
        <v>0</v>
      </c>
      <c r="N114" s="143" t="str">
        <f>IF(tuulisähkö_vuosi&lt;='S0b Baseline kasvu'!C114,"tuulisähkö",ostosähkö_nyt)</f>
        <v>jäännössähkö</v>
      </c>
      <c r="O114" s="147">
        <f>INDEX(Muuttujat!$J$5:$J$21,MATCH($C114,Muuttujat!$H$5:$H$21,0),1)</f>
        <v>67.190510474999996</v>
      </c>
      <c r="P114" s="342">
        <f>1-(INDEX(Muuttujat!$O$5:$O$21,MATCH($C114,Muuttujat!$N$5:$N$21,0),1))</f>
        <v>0.96</v>
      </c>
      <c r="Q114" s="342">
        <f>INDEX(Muuttujat!$O$5:$O$21,MATCH($C114,Muuttujat!$N$5:$N$21,0),1)</f>
        <v>0.04</v>
      </c>
      <c r="R114" s="148">
        <f>INDEX(Muuttujat!$P$5:$P$21,MATCH($C114,Muuttujat!$N$5:$N$21,0),1)</f>
        <v>4.1787917527764125E-2</v>
      </c>
      <c r="S114" s="149">
        <f t="shared" si="25"/>
        <v>0</v>
      </c>
      <c r="T114" s="150">
        <f t="shared" si="26"/>
        <v>0</v>
      </c>
      <c r="U114" s="150">
        <f t="shared" si="27"/>
        <v>0</v>
      </c>
      <c r="V114" s="150">
        <f>IFERROR(INDEX(Työkonekanta!$J$3:$J$27,MATCH($A114,Työkonekanta!$A$3:$A$24,0),1)*$B114*ef_li_ion_akku/1000/1000/INDEX(Työkonekanta!$K$3:$K$27,MATCH($A114,Työkonekanta!$A$3:$A$24,0)),0)</f>
        <v>0</v>
      </c>
      <c r="W114" s="149">
        <f t="shared" si="40"/>
        <v>0</v>
      </c>
      <c r="X114" s="150">
        <f t="shared" si="41"/>
        <v>0</v>
      </c>
      <c r="Y114" s="151">
        <f t="shared" si="42"/>
        <v>0</v>
      </c>
      <c r="Z114" s="152">
        <f t="shared" si="34"/>
        <v>0</v>
      </c>
      <c r="AA114" s="179">
        <f t="shared" si="35"/>
        <v>0</v>
      </c>
      <c r="AB114" s="179">
        <f t="shared" si="36"/>
        <v>0</v>
      </c>
      <c r="AC114" s="180">
        <f t="shared" si="43"/>
        <v>0</v>
      </c>
      <c r="AD114" s="156">
        <f t="shared" si="37"/>
        <v>0</v>
      </c>
      <c r="AE114" s="146">
        <f>IFERROR(INDEX(Työkonekanta!$L$3:$L$30,MATCH($A114,Työkonekanta!$A$3:$A$30,0),1),0)*AF114</f>
        <v>0</v>
      </c>
      <c r="AF114" s="146">
        <f>IFERROR(INDEX(Työkonekanta!$N$3:$N$32,MATCH($A114,Työkonekanta!$A$3:$A$32,0),1),0)</f>
        <v>0</v>
      </c>
      <c r="AG114" s="332">
        <f>I114*INDEX(Muuttujat!$U$5:$U$21,MATCH($C114,Muuttujat!$N$5:$N$21,0),1)</f>
        <v>0</v>
      </c>
      <c r="AH114" s="332">
        <f>J114*INDEX(Muuttujat!$T$5:$T$21,MATCH($C114,Muuttujat!$N$5:$N$21,0),1)</f>
        <v>0</v>
      </c>
      <c r="AI114" s="332">
        <f t="shared" si="28"/>
        <v>0</v>
      </c>
      <c r="AJ114" s="332">
        <f t="shared" si="29"/>
        <v>0</v>
      </c>
      <c r="AK114" s="332">
        <f t="shared" si="38"/>
        <v>0</v>
      </c>
      <c r="AL114" s="332">
        <f t="shared" si="30"/>
        <v>0</v>
      </c>
    </row>
    <row r="115" spans="1:38">
      <c r="A115" s="139">
        <v>23</v>
      </c>
      <c r="B115" s="139">
        <f>IFERROR(INDEX(Työkonekanta!$F$3:$F$27,MATCH('S0b Baseline kasvu'!$A115,Työkonekanta!$A$3:$A$24,0),1),0)</f>
        <v>0</v>
      </c>
      <c r="C115" s="140">
        <v>2022</v>
      </c>
      <c r="D115" s="141" t="str">
        <f>IFERROR(INDEX(Työkonekanta!$D$3:$D$27,MATCH('S0b Baseline kasvu'!$A115,Työkonekanta!$A$3:$A$24,0),1),"undefined")</f>
        <v>undefined</v>
      </c>
      <c r="E115" s="145">
        <f>IFERROR(INDEX(Työkonekanta!$G$3:$G$27,MATCH($A115,Työkonekanta!$A$3:$A$24,0),1)*INDEX(Työkonekanta!$H$3:$H$27,MATCH($A115,Työkonekanta!$A$3:$A$24,0),1)*(1+s0b_kasvu*($C115-2019))*$B115,0)</f>
        <v>0</v>
      </c>
      <c r="F115" s="145">
        <f t="shared" si="22"/>
        <v>0</v>
      </c>
      <c r="G115" s="145">
        <f t="shared" si="31"/>
        <v>0</v>
      </c>
      <c r="H115" s="145">
        <f t="shared" si="32"/>
        <v>0</v>
      </c>
      <c r="I115" s="145">
        <f t="shared" si="23"/>
        <v>0</v>
      </c>
      <c r="J115" s="145">
        <f t="shared" si="24"/>
        <v>0</v>
      </c>
      <c r="K115" s="142" t="str">
        <f t="shared" si="33"/>
        <v>undefined</v>
      </c>
      <c r="L115" s="146">
        <f>IFERROR(INDEX(Työkonekanta!$I$3:$I$27,MATCH('S0b Baseline kasvu'!$A115,Työkonekanta!$A$3:$A$24,0),1)*(I115+J115)*f_adblue,0)</f>
        <v>0</v>
      </c>
      <c r="M115" s="146">
        <f t="shared" si="39"/>
        <v>0</v>
      </c>
      <c r="N115" s="143" t="str">
        <f>IF(tuulisähkö_vuosi&lt;='S0b Baseline kasvu'!C115,"tuulisähkö",ostosähkö_nyt)</f>
        <v>jäännössähkö</v>
      </c>
      <c r="O115" s="147">
        <f>INDEX(Muuttujat!$J$5:$J$21,MATCH($C115,Muuttujat!$H$5:$H$21,0),1)</f>
        <v>67.190510474999996</v>
      </c>
      <c r="P115" s="342">
        <f>1-(INDEX(Muuttujat!$O$5:$O$21,MATCH($C115,Muuttujat!$N$5:$N$21,0),1))</f>
        <v>0.96</v>
      </c>
      <c r="Q115" s="342">
        <f>INDEX(Muuttujat!$O$5:$O$21,MATCH($C115,Muuttujat!$N$5:$N$21,0),1)</f>
        <v>0.04</v>
      </c>
      <c r="R115" s="148">
        <f>INDEX(Muuttujat!$P$5:$P$21,MATCH($C115,Muuttujat!$N$5:$N$21,0),1)</f>
        <v>4.1787917527764125E-2</v>
      </c>
      <c r="S115" s="149">
        <f t="shared" si="25"/>
        <v>0</v>
      </c>
      <c r="T115" s="150">
        <f t="shared" si="26"/>
        <v>0</v>
      </c>
      <c r="U115" s="150">
        <f t="shared" si="27"/>
        <v>0</v>
      </c>
      <c r="V115" s="150">
        <f>IFERROR(INDEX(Työkonekanta!$J$3:$J$27,MATCH($A115,Työkonekanta!$A$3:$A$24,0),1)*$B115*ef_li_ion_akku/1000/1000/INDEX(Työkonekanta!$K$3:$K$27,MATCH($A115,Työkonekanta!$A$3:$A$24,0)),0)</f>
        <v>0</v>
      </c>
      <c r="W115" s="149">
        <f t="shared" si="40"/>
        <v>0</v>
      </c>
      <c r="X115" s="150">
        <f t="shared" si="41"/>
        <v>0</v>
      </c>
      <c r="Y115" s="151">
        <f t="shared" si="42"/>
        <v>0</v>
      </c>
      <c r="Z115" s="152">
        <f t="shared" si="34"/>
        <v>0</v>
      </c>
      <c r="AA115" s="179">
        <f t="shared" si="35"/>
        <v>0</v>
      </c>
      <c r="AB115" s="179">
        <f t="shared" si="36"/>
        <v>0</v>
      </c>
      <c r="AC115" s="180">
        <f t="shared" si="43"/>
        <v>0</v>
      </c>
      <c r="AD115" s="156">
        <f t="shared" si="37"/>
        <v>0</v>
      </c>
      <c r="AE115" s="146">
        <f>IFERROR(INDEX(Työkonekanta!$L$3:$L$30,MATCH($A115,Työkonekanta!$A$3:$A$30,0),1),0)*AF115</f>
        <v>0</v>
      </c>
      <c r="AF115" s="146">
        <f>IFERROR(INDEX(Työkonekanta!$N$3:$N$32,MATCH($A115,Työkonekanta!$A$3:$A$32,0),1),0)</f>
        <v>0</v>
      </c>
      <c r="AG115" s="332">
        <f>I115*INDEX(Muuttujat!$U$5:$U$21,MATCH($C115,Muuttujat!$N$5:$N$21,0),1)</f>
        <v>0</v>
      </c>
      <c r="AH115" s="332">
        <f>J115*INDEX(Muuttujat!$T$5:$T$21,MATCH($C115,Muuttujat!$N$5:$N$21,0),1)</f>
        <v>0</v>
      </c>
      <c r="AI115" s="332">
        <f t="shared" si="28"/>
        <v>0</v>
      </c>
      <c r="AJ115" s="332">
        <f t="shared" si="29"/>
        <v>0</v>
      </c>
      <c r="AK115" s="332">
        <f t="shared" si="38"/>
        <v>0</v>
      </c>
      <c r="AL115" s="332">
        <f t="shared" si="30"/>
        <v>0</v>
      </c>
    </row>
    <row r="116" spans="1:38">
      <c r="A116" s="139">
        <v>24</v>
      </c>
      <c r="B116" s="139">
        <f>IFERROR(INDEX(Työkonekanta!$F$3:$F$27,MATCH('S0b Baseline kasvu'!$A116,Työkonekanta!$A$3:$A$24,0),1),0)</f>
        <v>0</v>
      </c>
      <c r="C116" s="140">
        <v>2022</v>
      </c>
      <c r="D116" s="141" t="str">
        <f>IFERROR(INDEX(Työkonekanta!$D$3:$D$27,MATCH('S0b Baseline kasvu'!$A116,Työkonekanta!$A$3:$A$24,0),1),"undefined")</f>
        <v>undefined</v>
      </c>
      <c r="E116" s="145">
        <f>IFERROR(INDEX(Työkonekanta!$G$3:$G$27,MATCH($A116,Työkonekanta!$A$3:$A$24,0),1)*INDEX(Työkonekanta!$H$3:$H$27,MATCH($A116,Työkonekanta!$A$3:$A$24,0),1)*(1+s0b_kasvu*($C116-2019))*$B116,0)</f>
        <v>0</v>
      </c>
      <c r="F116" s="145">
        <f t="shared" si="22"/>
        <v>0</v>
      </c>
      <c r="G116" s="145">
        <f t="shared" si="31"/>
        <v>0</v>
      </c>
      <c r="H116" s="145">
        <f t="shared" si="32"/>
        <v>0</v>
      </c>
      <c r="I116" s="145">
        <f t="shared" si="23"/>
        <v>0</v>
      </c>
      <c r="J116" s="145">
        <f t="shared" si="24"/>
        <v>0</v>
      </c>
      <c r="K116" s="142" t="str">
        <f t="shared" si="33"/>
        <v>undefined</v>
      </c>
      <c r="L116" s="146">
        <f>IFERROR(INDEX(Työkonekanta!$I$3:$I$27,MATCH('S0b Baseline kasvu'!$A116,Työkonekanta!$A$3:$A$24,0),1)*(I116+J116)*f_adblue,0)</f>
        <v>0</v>
      </c>
      <c r="M116" s="146">
        <f t="shared" si="39"/>
        <v>0</v>
      </c>
      <c r="N116" s="143" t="str">
        <f>IF(tuulisähkö_vuosi&lt;='S0b Baseline kasvu'!C116,"tuulisähkö",ostosähkö_nyt)</f>
        <v>jäännössähkö</v>
      </c>
      <c r="O116" s="147">
        <f>INDEX(Muuttujat!$J$5:$J$21,MATCH($C116,Muuttujat!$H$5:$H$21,0),1)</f>
        <v>67.190510474999996</v>
      </c>
      <c r="P116" s="342">
        <f>1-(INDEX(Muuttujat!$O$5:$O$21,MATCH($C116,Muuttujat!$N$5:$N$21,0),1))</f>
        <v>0.96</v>
      </c>
      <c r="Q116" s="342">
        <f>INDEX(Muuttujat!$O$5:$O$21,MATCH($C116,Muuttujat!$N$5:$N$21,0),1)</f>
        <v>0.04</v>
      </c>
      <c r="R116" s="148">
        <f>INDEX(Muuttujat!$P$5:$P$21,MATCH($C116,Muuttujat!$N$5:$N$21,0),1)</f>
        <v>4.1787917527764125E-2</v>
      </c>
      <c r="S116" s="149">
        <f t="shared" si="25"/>
        <v>0</v>
      </c>
      <c r="T116" s="150">
        <f t="shared" si="26"/>
        <v>0</v>
      </c>
      <c r="U116" s="150">
        <f t="shared" si="27"/>
        <v>0</v>
      </c>
      <c r="V116" s="150">
        <f>IFERROR(INDEX(Työkonekanta!$J$3:$J$27,MATCH($A116,Työkonekanta!$A$3:$A$24,0),1)*$B116*ef_li_ion_akku/1000/1000/INDEX(Työkonekanta!$K$3:$K$27,MATCH($A116,Työkonekanta!$A$3:$A$24,0)),0)</f>
        <v>0</v>
      </c>
      <c r="W116" s="149">
        <f t="shared" si="40"/>
        <v>0</v>
      </c>
      <c r="X116" s="150">
        <f t="shared" si="41"/>
        <v>0</v>
      </c>
      <c r="Y116" s="151">
        <f t="shared" si="42"/>
        <v>0</v>
      </c>
      <c r="Z116" s="152">
        <f t="shared" si="34"/>
        <v>0</v>
      </c>
      <c r="AA116" s="179">
        <f t="shared" si="35"/>
        <v>0</v>
      </c>
      <c r="AB116" s="179">
        <f t="shared" si="36"/>
        <v>0</v>
      </c>
      <c r="AC116" s="180">
        <f t="shared" si="43"/>
        <v>0</v>
      </c>
      <c r="AD116" s="156">
        <f t="shared" si="37"/>
        <v>0</v>
      </c>
      <c r="AE116" s="146">
        <f>IFERROR(INDEX(Työkonekanta!$L$3:$L$30,MATCH($A116,Työkonekanta!$A$3:$A$30,0),1),0)*AF116</f>
        <v>0</v>
      </c>
      <c r="AF116" s="146">
        <f>IFERROR(INDEX(Työkonekanta!$N$3:$N$32,MATCH($A116,Työkonekanta!$A$3:$A$32,0),1),0)</f>
        <v>0</v>
      </c>
      <c r="AG116" s="332">
        <f>I116*INDEX(Muuttujat!$U$5:$U$21,MATCH($C116,Muuttujat!$N$5:$N$21,0),1)</f>
        <v>0</v>
      </c>
      <c r="AH116" s="332">
        <f>J116*INDEX(Muuttujat!$T$5:$T$21,MATCH($C116,Muuttujat!$N$5:$N$21,0),1)</f>
        <v>0</v>
      </c>
      <c r="AI116" s="332">
        <f t="shared" si="28"/>
        <v>0</v>
      </c>
      <c r="AJ116" s="332">
        <f t="shared" si="29"/>
        <v>0</v>
      </c>
      <c r="AK116" s="332">
        <f t="shared" si="38"/>
        <v>0</v>
      </c>
      <c r="AL116" s="332">
        <f t="shared" si="30"/>
        <v>0</v>
      </c>
    </row>
    <row r="117" spans="1:38">
      <c r="A117" s="139">
        <v>25</v>
      </c>
      <c r="B117" s="139">
        <f>IFERROR(INDEX(Työkonekanta!$F$3:$F$27,MATCH('S0b Baseline kasvu'!$A117,Työkonekanta!$A$3:$A$24,0),1),0)</f>
        <v>0</v>
      </c>
      <c r="C117" s="140">
        <v>2022</v>
      </c>
      <c r="D117" s="141" t="str">
        <f>IFERROR(INDEX(Työkonekanta!$D$3:$D$27,MATCH('S0b Baseline kasvu'!$A117,Työkonekanta!$A$3:$A$24,0),1),"undefined")</f>
        <v>undefined</v>
      </c>
      <c r="E117" s="145">
        <f>IFERROR(INDEX(Työkonekanta!$G$3:$G$27,MATCH($A117,Työkonekanta!$A$3:$A$24,0),1)*INDEX(Työkonekanta!$H$3:$H$27,MATCH($A117,Työkonekanta!$A$3:$A$24,0),1)*(1+s0b_kasvu*($C117-2019))*$B117,0)</f>
        <v>0</v>
      </c>
      <c r="F117" s="145">
        <f t="shared" si="22"/>
        <v>0</v>
      </c>
      <c r="G117" s="145">
        <f t="shared" si="31"/>
        <v>0</v>
      </c>
      <c r="H117" s="145">
        <f t="shared" si="32"/>
        <v>0</v>
      </c>
      <c r="I117" s="145">
        <f t="shared" si="23"/>
        <v>0</v>
      </c>
      <c r="J117" s="145">
        <f t="shared" si="24"/>
        <v>0</v>
      </c>
      <c r="K117" s="142" t="str">
        <f t="shared" si="33"/>
        <v>undefined</v>
      </c>
      <c r="L117" s="146">
        <f>IFERROR(INDEX(Työkonekanta!$I$3:$I$27,MATCH('S0b Baseline kasvu'!$A117,Työkonekanta!$A$3:$A$24,0),1)*(I117+J117)*f_adblue,0)</f>
        <v>0</v>
      </c>
      <c r="M117" s="146">
        <f t="shared" si="39"/>
        <v>0</v>
      </c>
      <c r="N117" s="143" t="str">
        <f>IF(tuulisähkö_vuosi&lt;='S0b Baseline kasvu'!C117,"tuulisähkö",ostosähkö_nyt)</f>
        <v>jäännössähkö</v>
      </c>
      <c r="O117" s="147">
        <f>INDEX(Muuttujat!$J$5:$J$21,MATCH($C117,Muuttujat!$H$5:$H$21,0),1)</f>
        <v>67.190510474999996</v>
      </c>
      <c r="P117" s="342">
        <f>1-(INDEX(Muuttujat!$O$5:$O$21,MATCH($C117,Muuttujat!$N$5:$N$21,0),1))</f>
        <v>0.96</v>
      </c>
      <c r="Q117" s="342">
        <f>INDEX(Muuttujat!$O$5:$O$21,MATCH($C117,Muuttujat!$N$5:$N$21,0),1)</f>
        <v>0.04</v>
      </c>
      <c r="R117" s="148">
        <f>INDEX(Muuttujat!$P$5:$P$21,MATCH($C117,Muuttujat!$N$5:$N$21,0),1)</f>
        <v>4.1787917527764125E-2</v>
      </c>
      <c r="S117" s="149">
        <f t="shared" si="25"/>
        <v>0</v>
      </c>
      <c r="T117" s="150">
        <f t="shared" si="26"/>
        <v>0</v>
      </c>
      <c r="U117" s="150">
        <f t="shared" si="27"/>
        <v>0</v>
      </c>
      <c r="V117" s="150">
        <f>IFERROR(INDEX(Työkonekanta!$J$3:$J$27,MATCH($A117,Työkonekanta!$A$3:$A$24,0),1)*$B117*ef_li_ion_akku/1000/1000/INDEX(Työkonekanta!$K$3:$K$27,MATCH($A117,Työkonekanta!$A$3:$A$24,0)),0)</f>
        <v>0</v>
      </c>
      <c r="W117" s="149">
        <f t="shared" si="40"/>
        <v>0</v>
      </c>
      <c r="X117" s="150">
        <f t="shared" si="41"/>
        <v>0</v>
      </c>
      <c r="Y117" s="151">
        <f t="shared" si="42"/>
        <v>0</v>
      </c>
      <c r="Z117" s="152">
        <f t="shared" si="34"/>
        <v>0</v>
      </c>
      <c r="AA117" s="179">
        <f t="shared" si="35"/>
        <v>0</v>
      </c>
      <c r="AB117" s="179">
        <f t="shared" si="36"/>
        <v>0</v>
      </c>
      <c r="AC117" s="180">
        <f t="shared" si="43"/>
        <v>0</v>
      </c>
      <c r="AD117" s="156">
        <f t="shared" si="37"/>
        <v>0</v>
      </c>
      <c r="AE117" s="146">
        <f>IFERROR(INDEX(Työkonekanta!$L$3:$L$30,MATCH($A117,Työkonekanta!$A$3:$A$30,0),1),0)*AF117</f>
        <v>0</v>
      </c>
      <c r="AF117" s="146">
        <f>IFERROR(INDEX(Työkonekanta!$N$3:$N$32,MATCH($A117,Työkonekanta!$A$3:$A$32,0),1),0)</f>
        <v>0</v>
      </c>
      <c r="AG117" s="332">
        <f>I117*INDEX(Muuttujat!$U$5:$U$21,MATCH($C117,Muuttujat!$N$5:$N$21,0),1)</f>
        <v>0</v>
      </c>
      <c r="AH117" s="332">
        <f>J117*INDEX(Muuttujat!$T$5:$T$21,MATCH($C117,Muuttujat!$N$5:$N$21,0),1)</f>
        <v>0</v>
      </c>
      <c r="AI117" s="332">
        <f t="shared" si="28"/>
        <v>0</v>
      </c>
      <c r="AJ117" s="332">
        <f t="shared" si="29"/>
        <v>0</v>
      </c>
      <c r="AK117" s="332">
        <f t="shared" si="38"/>
        <v>0</v>
      </c>
      <c r="AL117" s="332">
        <f t="shared" si="30"/>
        <v>0</v>
      </c>
    </row>
    <row r="118" spans="1:38">
      <c r="A118" s="139">
        <v>26</v>
      </c>
      <c r="B118" s="139">
        <f>IFERROR(INDEX(Työkonekanta!$F$3:$F$27,MATCH('S0b Baseline kasvu'!$A118,Työkonekanta!$A$3:$A$24,0),1),0)</f>
        <v>0</v>
      </c>
      <c r="C118" s="140">
        <v>2022</v>
      </c>
      <c r="D118" s="141" t="str">
        <f>IFERROR(INDEX(Työkonekanta!$D$3:$D$27,MATCH('S0b Baseline kasvu'!$A118,Työkonekanta!$A$3:$A$24,0),1),"undefined")</f>
        <v>undefined</v>
      </c>
      <c r="E118" s="145">
        <f>IFERROR(INDEX(Työkonekanta!$G$3:$G$27,MATCH($A118,Työkonekanta!$A$3:$A$24,0),1)*INDEX(Työkonekanta!$H$3:$H$27,MATCH($A118,Työkonekanta!$A$3:$A$24,0),1)*(1+s0b_kasvu*($C118-2019))*$B118,0)</f>
        <v>0</v>
      </c>
      <c r="F118" s="145">
        <f t="shared" si="22"/>
        <v>0</v>
      </c>
      <c r="G118" s="145">
        <f t="shared" si="31"/>
        <v>0</v>
      </c>
      <c r="H118" s="145">
        <f t="shared" si="32"/>
        <v>0</v>
      </c>
      <c r="I118" s="145">
        <f t="shared" si="23"/>
        <v>0</v>
      </c>
      <c r="J118" s="145">
        <f t="shared" si="24"/>
        <v>0</v>
      </c>
      <c r="K118" s="142" t="str">
        <f t="shared" si="33"/>
        <v>undefined</v>
      </c>
      <c r="L118" s="146">
        <f>IFERROR(INDEX(Työkonekanta!$I$3:$I$27,MATCH('S0b Baseline kasvu'!$A118,Työkonekanta!$A$3:$A$24,0),1)*(I118+J118)*f_adblue,0)</f>
        <v>0</v>
      </c>
      <c r="M118" s="146">
        <f t="shared" si="39"/>
        <v>0</v>
      </c>
      <c r="N118" s="143" t="str">
        <f>IF(tuulisähkö_vuosi&lt;='S0b Baseline kasvu'!C118,"tuulisähkö",ostosähkö_nyt)</f>
        <v>jäännössähkö</v>
      </c>
      <c r="O118" s="147">
        <f>INDEX(Muuttujat!$J$5:$J$21,MATCH($C118,Muuttujat!$H$5:$H$21,0),1)</f>
        <v>67.190510474999996</v>
      </c>
      <c r="P118" s="342">
        <f>1-(INDEX(Muuttujat!$O$5:$O$21,MATCH($C118,Muuttujat!$N$5:$N$21,0),1))</f>
        <v>0.96</v>
      </c>
      <c r="Q118" s="342">
        <f>INDEX(Muuttujat!$O$5:$O$21,MATCH($C118,Muuttujat!$N$5:$N$21,0),1)</f>
        <v>0.04</v>
      </c>
      <c r="R118" s="148">
        <f>INDEX(Muuttujat!$P$5:$P$21,MATCH($C118,Muuttujat!$N$5:$N$21,0),1)</f>
        <v>4.1787917527764125E-2</v>
      </c>
      <c r="S118" s="149">
        <f t="shared" si="25"/>
        <v>0</v>
      </c>
      <c r="T118" s="150">
        <f t="shared" si="26"/>
        <v>0</v>
      </c>
      <c r="U118" s="150">
        <f t="shared" si="27"/>
        <v>0</v>
      </c>
      <c r="V118" s="150">
        <f>IFERROR(INDEX(Työkonekanta!$J$3:$J$27,MATCH($A118,Työkonekanta!$A$3:$A$24,0),1)*$B118*ef_li_ion_akku/1000/1000/INDEX(Työkonekanta!$K$3:$K$27,MATCH($A118,Työkonekanta!$A$3:$A$24,0)),0)</f>
        <v>0</v>
      </c>
      <c r="W118" s="149">
        <f t="shared" si="40"/>
        <v>0</v>
      </c>
      <c r="X118" s="150">
        <f t="shared" si="41"/>
        <v>0</v>
      </c>
      <c r="Y118" s="151">
        <f t="shared" si="42"/>
        <v>0</v>
      </c>
      <c r="Z118" s="152">
        <f t="shared" si="34"/>
        <v>0</v>
      </c>
      <c r="AA118" s="179">
        <f t="shared" si="35"/>
        <v>0</v>
      </c>
      <c r="AB118" s="179">
        <f t="shared" si="36"/>
        <v>0</v>
      </c>
      <c r="AC118" s="180">
        <f t="shared" si="43"/>
        <v>0</v>
      </c>
      <c r="AD118" s="156">
        <f t="shared" si="37"/>
        <v>0</v>
      </c>
      <c r="AE118" s="146">
        <f>IFERROR(INDEX(Työkonekanta!$L$3:$L$30,MATCH($A118,Työkonekanta!$A$3:$A$30,0),1),0)*AF118</f>
        <v>0</v>
      </c>
      <c r="AF118" s="146">
        <f>IFERROR(INDEX(Työkonekanta!$N$3:$N$32,MATCH($A118,Työkonekanta!$A$3:$A$32,0),1),0)</f>
        <v>0</v>
      </c>
      <c r="AG118" s="332">
        <f>I118*INDEX(Muuttujat!$U$5:$U$21,MATCH($C118,Muuttujat!$N$5:$N$21,0),1)</f>
        <v>0</v>
      </c>
      <c r="AH118" s="332">
        <f>J118*INDEX(Muuttujat!$T$5:$T$21,MATCH($C118,Muuttujat!$N$5:$N$21,0),1)</f>
        <v>0</v>
      </c>
      <c r="AI118" s="332">
        <f t="shared" si="28"/>
        <v>0</v>
      </c>
      <c r="AJ118" s="332">
        <f t="shared" si="29"/>
        <v>0</v>
      </c>
      <c r="AK118" s="332">
        <f t="shared" si="38"/>
        <v>0</v>
      </c>
      <c r="AL118" s="332">
        <f t="shared" si="30"/>
        <v>0</v>
      </c>
    </row>
    <row r="119" spans="1:38">
      <c r="A119" s="139">
        <v>27</v>
      </c>
      <c r="B119" s="139">
        <f>IFERROR(INDEX(Työkonekanta!$F$3:$F$27,MATCH('S0b Baseline kasvu'!$A119,Työkonekanta!$A$3:$A$24,0),1),0)</f>
        <v>0</v>
      </c>
      <c r="C119" s="140">
        <v>2022</v>
      </c>
      <c r="D119" s="141" t="str">
        <f>IFERROR(INDEX(Työkonekanta!$D$3:$D$27,MATCH('S0b Baseline kasvu'!$A119,Työkonekanta!$A$3:$A$24,0),1),"undefined")</f>
        <v>undefined</v>
      </c>
      <c r="E119" s="145">
        <f>IFERROR(INDEX(Työkonekanta!$G$3:$G$27,MATCH($A119,Työkonekanta!$A$3:$A$24,0),1)*INDEX(Työkonekanta!$H$3:$H$27,MATCH($A119,Työkonekanta!$A$3:$A$24,0),1)*(1+s0b_kasvu*($C119-2019))*$B119,0)</f>
        <v>0</v>
      </c>
      <c r="F119" s="145">
        <f t="shared" si="22"/>
        <v>0</v>
      </c>
      <c r="G119" s="145">
        <f t="shared" si="31"/>
        <v>0</v>
      </c>
      <c r="H119" s="145">
        <f t="shared" si="32"/>
        <v>0</v>
      </c>
      <c r="I119" s="145">
        <f t="shared" si="23"/>
        <v>0</v>
      </c>
      <c r="J119" s="145">
        <f t="shared" si="24"/>
        <v>0</v>
      </c>
      <c r="K119" s="142" t="str">
        <f t="shared" si="33"/>
        <v>undefined</v>
      </c>
      <c r="L119" s="146">
        <f>IFERROR(INDEX(Työkonekanta!$I$3:$I$27,MATCH('S0b Baseline kasvu'!$A119,Työkonekanta!$A$3:$A$24,0),1)*(I119+J119)*f_adblue,0)</f>
        <v>0</v>
      </c>
      <c r="M119" s="146">
        <f t="shared" si="39"/>
        <v>0</v>
      </c>
      <c r="N119" s="143" t="str">
        <f>IF(tuulisähkö_vuosi&lt;='S0b Baseline kasvu'!C119,"tuulisähkö",ostosähkö_nyt)</f>
        <v>jäännössähkö</v>
      </c>
      <c r="O119" s="147">
        <f>INDEX(Muuttujat!$J$5:$J$21,MATCH($C119,Muuttujat!$H$5:$H$21,0),1)</f>
        <v>67.190510474999996</v>
      </c>
      <c r="P119" s="342">
        <f>1-(INDEX(Muuttujat!$O$5:$O$21,MATCH($C119,Muuttujat!$N$5:$N$21,0),1))</f>
        <v>0.96</v>
      </c>
      <c r="Q119" s="342">
        <f>INDEX(Muuttujat!$O$5:$O$21,MATCH($C119,Muuttujat!$N$5:$N$21,0),1)</f>
        <v>0.04</v>
      </c>
      <c r="R119" s="148">
        <f>INDEX(Muuttujat!$P$5:$P$21,MATCH($C119,Muuttujat!$N$5:$N$21,0),1)</f>
        <v>4.1787917527764125E-2</v>
      </c>
      <c r="S119" s="149">
        <f t="shared" si="25"/>
        <v>0</v>
      </c>
      <c r="T119" s="150">
        <f t="shared" si="26"/>
        <v>0</v>
      </c>
      <c r="U119" s="150">
        <f t="shared" si="27"/>
        <v>0</v>
      </c>
      <c r="V119" s="150">
        <f>IFERROR(INDEX(Työkonekanta!$J$3:$J$27,MATCH($A119,Työkonekanta!$A$3:$A$24,0),1)*$B119*ef_li_ion_akku/1000/1000/INDEX(Työkonekanta!$K$3:$K$27,MATCH($A119,Työkonekanta!$A$3:$A$24,0)),0)</f>
        <v>0</v>
      </c>
      <c r="W119" s="149">
        <f t="shared" si="40"/>
        <v>0</v>
      </c>
      <c r="X119" s="150">
        <f t="shared" si="41"/>
        <v>0</v>
      </c>
      <c r="Y119" s="151">
        <f t="shared" si="42"/>
        <v>0</v>
      </c>
      <c r="Z119" s="152">
        <f t="shared" si="34"/>
        <v>0</v>
      </c>
      <c r="AA119" s="179">
        <f t="shared" si="35"/>
        <v>0</v>
      </c>
      <c r="AB119" s="179">
        <f t="shared" si="36"/>
        <v>0</v>
      </c>
      <c r="AC119" s="180">
        <f t="shared" si="43"/>
        <v>0</v>
      </c>
      <c r="AD119" s="156">
        <f t="shared" si="37"/>
        <v>0</v>
      </c>
      <c r="AE119" s="146">
        <f>IFERROR(INDEX(Työkonekanta!$L$3:$L$30,MATCH($A119,Työkonekanta!$A$3:$A$30,0),1),0)*AF119</f>
        <v>0</v>
      </c>
      <c r="AF119" s="146">
        <f>IFERROR(INDEX(Työkonekanta!$N$3:$N$32,MATCH($A119,Työkonekanta!$A$3:$A$32,0),1),0)</f>
        <v>0</v>
      </c>
      <c r="AG119" s="332">
        <f>I119*INDEX(Muuttujat!$U$5:$U$21,MATCH($C119,Muuttujat!$N$5:$N$21,0),1)</f>
        <v>0</v>
      </c>
      <c r="AH119" s="332">
        <f>J119*INDEX(Muuttujat!$T$5:$T$21,MATCH($C119,Muuttujat!$N$5:$N$21,0),1)</f>
        <v>0</v>
      </c>
      <c r="AI119" s="332">
        <f t="shared" si="28"/>
        <v>0</v>
      </c>
      <c r="AJ119" s="332">
        <f t="shared" si="29"/>
        <v>0</v>
      </c>
      <c r="AK119" s="332">
        <f t="shared" si="38"/>
        <v>0</v>
      </c>
      <c r="AL119" s="332">
        <f t="shared" si="30"/>
        <v>0</v>
      </c>
    </row>
    <row r="120" spans="1:38">
      <c r="A120" s="139">
        <v>28</v>
      </c>
      <c r="B120" s="139">
        <f>IFERROR(INDEX(Työkonekanta!$F$3:$F$27,MATCH('S0b Baseline kasvu'!$A120,Työkonekanta!$A$3:$A$24,0),1),0)</f>
        <v>0</v>
      </c>
      <c r="C120" s="140">
        <v>2022</v>
      </c>
      <c r="D120" s="141" t="str">
        <f>IFERROR(INDEX(Työkonekanta!$D$3:$D$27,MATCH('S0b Baseline kasvu'!$A120,Työkonekanta!$A$3:$A$24,0),1),"undefined")</f>
        <v>undefined</v>
      </c>
      <c r="E120" s="145">
        <f>IFERROR(INDEX(Työkonekanta!$G$3:$G$27,MATCH($A120,Työkonekanta!$A$3:$A$24,0),1)*INDEX(Työkonekanta!$H$3:$H$27,MATCH($A120,Työkonekanta!$A$3:$A$24,0),1)*(1+s0b_kasvu*($C120-2019))*$B120,0)</f>
        <v>0</v>
      </c>
      <c r="F120" s="145">
        <f t="shared" si="22"/>
        <v>0</v>
      </c>
      <c r="G120" s="145">
        <f t="shared" si="31"/>
        <v>0</v>
      </c>
      <c r="H120" s="145">
        <f t="shared" si="32"/>
        <v>0</v>
      </c>
      <c r="I120" s="145">
        <f t="shared" si="23"/>
        <v>0</v>
      </c>
      <c r="J120" s="145">
        <f t="shared" si="24"/>
        <v>0</v>
      </c>
      <c r="K120" s="142" t="str">
        <f t="shared" si="33"/>
        <v>undefined</v>
      </c>
      <c r="L120" s="146">
        <f>IFERROR(INDEX(Työkonekanta!$I$3:$I$27,MATCH('S0b Baseline kasvu'!$A120,Työkonekanta!$A$3:$A$24,0),1)*(I120+J120)*f_adblue,0)</f>
        <v>0</v>
      </c>
      <c r="M120" s="146">
        <f t="shared" si="39"/>
        <v>0</v>
      </c>
      <c r="N120" s="143" t="str">
        <f>IF(tuulisähkö_vuosi&lt;='S0b Baseline kasvu'!C120,"tuulisähkö",ostosähkö_nyt)</f>
        <v>jäännössähkö</v>
      </c>
      <c r="O120" s="147">
        <f>INDEX(Muuttujat!$J$5:$J$21,MATCH($C120,Muuttujat!$H$5:$H$21,0),1)</f>
        <v>67.190510474999996</v>
      </c>
      <c r="P120" s="342">
        <f>1-(INDEX(Muuttujat!$O$5:$O$21,MATCH($C120,Muuttujat!$N$5:$N$21,0),1))</f>
        <v>0.96</v>
      </c>
      <c r="Q120" s="342">
        <f>INDEX(Muuttujat!$O$5:$O$21,MATCH($C120,Muuttujat!$N$5:$N$21,0),1)</f>
        <v>0.04</v>
      </c>
      <c r="R120" s="148">
        <f>INDEX(Muuttujat!$P$5:$P$21,MATCH($C120,Muuttujat!$N$5:$N$21,0),1)</f>
        <v>4.1787917527764125E-2</v>
      </c>
      <c r="S120" s="149">
        <f t="shared" si="25"/>
        <v>0</v>
      </c>
      <c r="T120" s="150">
        <f t="shared" si="26"/>
        <v>0</v>
      </c>
      <c r="U120" s="150">
        <f t="shared" si="27"/>
        <v>0</v>
      </c>
      <c r="V120" s="150">
        <f>IFERROR(INDEX(Työkonekanta!$J$3:$J$27,MATCH($A120,Työkonekanta!$A$3:$A$24,0),1)*$B120*ef_li_ion_akku/1000/1000/INDEX(Työkonekanta!$K$3:$K$27,MATCH($A120,Työkonekanta!$A$3:$A$24,0)),0)</f>
        <v>0</v>
      </c>
      <c r="W120" s="149">
        <f t="shared" si="40"/>
        <v>0</v>
      </c>
      <c r="X120" s="150">
        <f t="shared" si="41"/>
        <v>0</v>
      </c>
      <c r="Y120" s="151">
        <f t="shared" si="42"/>
        <v>0</v>
      </c>
      <c r="Z120" s="152">
        <f t="shared" si="34"/>
        <v>0</v>
      </c>
      <c r="AA120" s="179">
        <f t="shared" si="35"/>
        <v>0</v>
      </c>
      <c r="AB120" s="179">
        <f t="shared" si="36"/>
        <v>0</v>
      </c>
      <c r="AC120" s="180">
        <f t="shared" si="43"/>
        <v>0</v>
      </c>
      <c r="AD120" s="156">
        <f t="shared" si="37"/>
        <v>0</v>
      </c>
      <c r="AE120" s="146">
        <f>IFERROR(INDEX(Työkonekanta!$L$3:$L$30,MATCH($A120,Työkonekanta!$A$3:$A$30,0),1),0)*AF120</f>
        <v>0</v>
      </c>
      <c r="AF120" s="146">
        <f>IFERROR(INDEX(Työkonekanta!$N$3:$N$32,MATCH($A120,Työkonekanta!$A$3:$A$32,0),1),0)</f>
        <v>0</v>
      </c>
      <c r="AG120" s="332">
        <f>I120*INDEX(Muuttujat!$U$5:$U$21,MATCH($C120,Muuttujat!$N$5:$N$21,0),1)</f>
        <v>0</v>
      </c>
      <c r="AH120" s="332">
        <f>J120*INDEX(Muuttujat!$T$5:$T$21,MATCH($C120,Muuttujat!$N$5:$N$21,0),1)</f>
        <v>0</v>
      </c>
      <c r="AI120" s="332">
        <f t="shared" si="28"/>
        <v>0</v>
      </c>
      <c r="AJ120" s="332">
        <f t="shared" si="29"/>
        <v>0</v>
      </c>
      <c r="AK120" s="332">
        <f t="shared" si="38"/>
        <v>0</v>
      </c>
      <c r="AL120" s="332">
        <f t="shared" si="30"/>
        <v>0</v>
      </c>
    </row>
    <row r="121" spans="1:38">
      <c r="A121" s="139">
        <v>29</v>
      </c>
      <c r="B121" s="139">
        <f>IFERROR(INDEX(Työkonekanta!$F$3:$F$27,MATCH('S0b Baseline kasvu'!$A121,Työkonekanta!$A$3:$A$24,0),1),0)</f>
        <v>0</v>
      </c>
      <c r="C121" s="140">
        <v>2022</v>
      </c>
      <c r="D121" s="141" t="str">
        <f>IFERROR(INDEX(Työkonekanta!$D$3:$D$27,MATCH('S0b Baseline kasvu'!$A121,Työkonekanta!$A$3:$A$24,0),1),"undefined")</f>
        <v>undefined</v>
      </c>
      <c r="E121" s="145">
        <f>IFERROR(INDEX(Työkonekanta!$G$3:$G$27,MATCH($A121,Työkonekanta!$A$3:$A$24,0),1)*INDEX(Työkonekanta!$H$3:$H$27,MATCH($A121,Työkonekanta!$A$3:$A$24,0),1)*(1+s0b_kasvu*($C121-2019))*$B121,0)</f>
        <v>0</v>
      </c>
      <c r="F121" s="145">
        <f t="shared" si="22"/>
        <v>0</v>
      </c>
      <c r="G121" s="145">
        <f t="shared" si="31"/>
        <v>0</v>
      </c>
      <c r="H121" s="145">
        <f t="shared" si="32"/>
        <v>0</v>
      </c>
      <c r="I121" s="145">
        <f t="shared" si="23"/>
        <v>0</v>
      </c>
      <c r="J121" s="145">
        <f t="shared" si="24"/>
        <v>0</v>
      </c>
      <c r="K121" s="142" t="str">
        <f t="shared" si="33"/>
        <v>undefined</v>
      </c>
      <c r="L121" s="146">
        <f>IFERROR(INDEX(Työkonekanta!$I$3:$I$27,MATCH('S0b Baseline kasvu'!$A121,Työkonekanta!$A$3:$A$24,0),1)*(I121+J121)*f_adblue,0)</f>
        <v>0</v>
      </c>
      <c r="M121" s="146">
        <f t="shared" si="39"/>
        <v>0</v>
      </c>
      <c r="N121" s="143" t="str">
        <f>IF(tuulisähkö_vuosi&lt;='S0b Baseline kasvu'!C121,"tuulisähkö",ostosähkö_nyt)</f>
        <v>jäännössähkö</v>
      </c>
      <c r="O121" s="147">
        <f>INDEX(Muuttujat!$J$5:$J$21,MATCH($C121,Muuttujat!$H$5:$H$21,0),1)</f>
        <v>67.190510474999996</v>
      </c>
      <c r="P121" s="342">
        <f>1-(INDEX(Muuttujat!$O$5:$O$21,MATCH($C121,Muuttujat!$N$5:$N$21,0),1))</f>
        <v>0.96</v>
      </c>
      <c r="Q121" s="342">
        <f>INDEX(Muuttujat!$O$5:$O$21,MATCH($C121,Muuttujat!$N$5:$N$21,0),1)</f>
        <v>0.04</v>
      </c>
      <c r="R121" s="148">
        <f>INDEX(Muuttujat!$P$5:$P$21,MATCH($C121,Muuttujat!$N$5:$N$21,0),1)</f>
        <v>4.1787917527764125E-2</v>
      </c>
      <c r="S121" s="149">
        <f t="shared" si="25"/>
        <v>0</v>
      </c>
      <c r="T121" s="150">
        <f t="shared" si="26"/>
        <v>0</v>
      </c>
      <c r="U121" s="150">
        <f t="shared" si="27"/>
        <v>0</v>
      </c>
      <c r="V121" s="150">
        <f>IFERROR(INDEX(Työkonekanta!$J$3:$J$27,MATCH($A121,Työkonekanta!$A$3:$A$24,0),1)*$B121*ef_li_ion_akku/1000/1000/INDEX(Työkonekanta!$K$3:$K$27,MATCH($A121,Työkonekanta!$A$3:$A$24,0)),0)</f>
        <v>0</v>
      </c>
      <c r="W121" s="149">
        <f t="shared" si="40"/>
        <v>0</v>
      </c>
      <c r="X121" s="150">
        <f t="shared" si="41"/>
        <v>0</v>
      </c>
      <c r="Y121" s="151">
        <f t="shared" si="42"/>
        <v>0</v>
      </c>
      <c r="Z121" s="152">
        <f t="shared" si="34"/>
        <v>0</v>
      </c>
      <c r="AA121" s="179">
        <f t="shared" si="35"/>
        <v>0</v>
      </c>
      <c r="AB121" s="179">
        <f t="shared" si="36"/>
        <v>0</v>
      </c>
      <c r="AC121" s="180">
        <f t="shared" si="43"/>
        <v>0</v>
      </c>
      <c r="AD121" s="156">
        <f t="shared" si="37"/>
        <v>0</v>
      </c>
      <c r="AE121" s="146">
        <f>IFERROR(INDEX(Työkonekanta!$L$3:$L$30,MATCH($A121,Työkonekanta!$A$3:$A$30,0),1),0)*AF121</f>
        <v>0</v>
      </c>
      <c r="AF121" s="146">
        <f>IFERROR(INDEX(Työkonekanta!$N$3:$N$32,MATCH($A121,Työkonekanta!$A$3:$A$32,0),1),0)</f>
        <v>0</v>
      </c>
      <c r="AG121" s="332">
        <f>I121*INDEX(Muuttujat!$U$5:$U$21,MATCH($C121,Muuttujat!$N$5:$N$21,0),1)</f>
        <v>0</v>
      </c>
      <c r="AH121" s="332">
        <f>J121*INDEX(Muuttujat!$T$5:$T$21,MATCH($C121,Muuttujat!$N$5:$N$21,0),1)</f>
        <v>0</v>
      </c>
      <c r="AI121" s="332">
        <f t="shared" si="28"/>
        <v>0</v>
      </c>
      <c r="AJ121" s="332">
        <f t="shared" si="29"/>
        <v>0</v>
      </c>
      <c r="AK121" s="332">
        <f t="shared" si="38"/>
        <v>0</v>
      </c>
      <c r="AL121" s="332">
        <f t="shared" si="30"/>
        <v>0</v>
      </c>
    </row>
    <row r="122" spans="1:38">
      <c r="A122" s="139">
        <v>30</v>
      </c>
      <c r="B122" s="139">
        <f>IFERROR(INDEX(Työkonekanta!$F$3:$F$27,MATCH('S0b Baseline kasvu'!$A122,Työkonekanta!$A$3:$A$24,0),1),0)</f>
        <v>0</v>
      </c>
      <c r="C122" s="140">
        <v>2022</v>
      </c>
      <c r="D122" s="141" t="str">
        <f>IFERROR(INDEX(Työkonekanta!$D$3:$D$27,MATCH('S0b Baseline kasvu'!$A122,Työkonekanta!$A$3:$A$24,0),1),"undefined")</f>
        <v>undefined</v>
      </c>
      <c r="E122" s="145">
        <f>IFERROR(INDEX(Työkonekanta!$G$3:$G$27,MATCH($A122,Työkonekanta!$A$3:$A$24,0),1)*INDEX(Työkonekanta!$H$3:$H$27,MATCH($A122,Työkonekanta!$A$3:$A$24,0),1)*(1+s0b_kasvu*($C122-2019))*$B122,0)</f>
        <v>0</v>
      </c>
      <c r="F122" s="145">
        <f t="shared" si="22"/>
        <v>0</v>
      </c>
      <c r="G122" s="145">
        <f t="shared" si="31"/>
        <v>0</v>
      </c>
      <c r="H122" s="145">
        <f t="shared" si="32"/>
        <v>0</v>
      </c>
      <c r="I122" s="145">
        <f t="shared" si="23"/>
        <v>0</v>
      </c>
      <c r="J122" s="145">
        <f t="shared" si="24"/>
        <v>0</v>
      </c>
      <c r="K122" s="142" t="str">
        <f t="shared" si="33"/>
        <v>undefined</v>
      </c>
      <c r="L122" s="146">
        <f>IFERROR(INDEX(Työkonekanta!$I$3:$I$27,MATCH('S0b Baseline kasvu'!$A122,Työkonekanta!$A$3:$A$24,0),1)*(I122+J122)*f_adblue,0)</f>
        <v>0</v>
      </c>
      <c r="M122" s="146">
        <f t="shared" si="39"/>
        <v>0</v>
      </c>
      <c r="N122" s="143" t="str">
        <f>IF(tuulisähkö_vuosi&lt;='S0b Baseline kasvu'!C122,"tuulisähkö",ostosähkö_nyt)</f>
        <v>jäännössähkö</v>
      </c>
      <c r="O122" s="147">
        <f>INDEX(Muuttujat!$J$5:$J$21,MATCH($C122,Muuttujat!$H$5:$H$21,0),1)</f>
        <v>67.190510474999996</v>
      </c>
      <c r="P122" s="342">
        <f>1-(INDEX(Muuttujat!$O$5:$O$21,MATCH($C122,Muuttujat!$N$5:$N$21,0),1))</f>
        <v>0.96</v>
      </c>
      <c r="Q122" s="342">
        <f>INDEX(Muuttujat!$O$5:$O$21,MATCH($C122,Muuttujat!$N$5:$N$21,0),1)</f>
        <v>0.04</v>
      </c>
      <c r="R122" s="148">
        <f>INDEX(Muuttujat!$P$5:$P$21,MATCH($C122,Muuttujat!$N$5:$N$21,0),1)</f>
        <v>4.1787917527764125E-2</v>
      </c>
      <c r="S122" s="149">
        <f t="shared" si="25"/>
        <v>0</v>
      </c>
      <c r="T122" s="150">
        <f t="shared" si="26"/>
        <v>0</v>
      </c>
      <c r="U122" s="150">
        <f t="shared" si="27"/>
        <v>0</v>
      </c>
      <c r="V122" s="150">
        <f>IFERROR(INDEX(Työkonekanta!$J$3:$J$27,MATCH($A122,Työkonekanta!$A$3:$A$24,0),1)*$B122*ef_li_ion_akku/1000/1000/INDEX(Työkonekanta!$K$3:$K$27,MATCH($A122,Työkonekanta!$A$3:$A$24,0)),0)</f>
        <v>0</v>
      </c>
      <c r="W122" s="149">
        <f t="shared" si="40"/>
        <v>0</v>
      </c>
      <c r="X122" s="150">
        <f t="shared" si="41"/>
        <v>0</v>
      </c>
      <c r="Y122" s="151">
        <f t="shared" si="42"/>
        <v>0</v>
      </c>
      <c r="Z122" s="152">
        <f t="shared" si="34"/>
        <v>0</v>
      </c>
      <c r="AA122" s="179">
        <f t="shared" si="35"/>
        <v>0</v>
      </c>
      <c r="AB122" s="179">
        <f t="shared" si="36"/>
        <v>0</v>
      </c>
      <c r="AC122" s="180">
        <f t="shared" si="43"/>
        <v>0</v>
      </c>
      <c r="AD122" s="156">
        <f t="shared" si="37"/>
        <v>0</v>
      </c>
      <c r="AE122" s="146">
        <f>IFERROR(INDEX(Työkonekanta!$L$3:$L$30,MATCH($A122,Työkonekanta!$A$3:$A$30,0),1),0)*AF122</f>
        <v>0</v>
      </c>
      <c r="AF122" s="146">
        <f>IFERROR(INDEX(Työkonekanta!$N$3:$N$32,MATCH($A122,Työkonekanta!$A$3:$A$32,0),1),0)</f>
        <v>0</v>
      </c>
      <c r="AG122" s="332">
        <f>I122*INDEX(Muuttujat!$U$5:$U$21,MATCH($C122,Muuttujat!$N$5:$N$21,0),1)</f>
        <v>0</v>
      </c>
      <c r="AH122" s="332">
        <f>J122*INDEX(Muuttujat!$T$5:$T$21,MATCH($C122,Muuttujat!$N$5:$N$21,0),1)</f>
        <v>0</v>
      </c>
      <c r="AI122" s="332">
        <f t="shared" si="28"/>
        <v>0</v>
      </c>
      <c r="AJ122" s="332">
        <f t="shared" si="29"/>
        <v>0</v>
      </c>
      <c r="AK122" s="332">
        <f t="shared" si="38"/>
        <v>0</v>
      </c>
      <c r="AL122" s="332">
        <f t="shared" si="30"/>
        <v>0</v>
      </c>
    </row>
    <row r="123" spans="1:38">
      <c r="A123" s="139">
        <v>1</v>
      </c>
      <c r="B123" s="139">
        <f>IFERROR(INDEX(Työkonekanta!$F$3:$F$27,MATCH('S0b Baseline kasvu'!$A123,Työkonekanta!$A$3:$A$24,0),1),0)</f>
        <v>1</v>
      </c>
      <c r="C123" s="140">
        <v>2023</v>
      </c>
      <c r="D123" s="141" t="str">
        <f>IFERROR(INDEX(Työkonekanta!$D$3:$D$27,MATCH('S0b Baseline kasvu'!$A123,Työkonekanta!$A$3:$A$24,0),1),"undefined")</f>
        <v>pom</v>
      </c>
      <c r="E123" s="145">
        <f>IFERROR(INDEX(Työkonekanta!$G$3:$G$27,MATCH($A123,Työkonekanta!$A$3:$A$24,0),1)*INDEX(Työkonekanta!$H$3:$H$27,MATCH($A123,Työkonekanta!$A$3:$A$24,0),1)*(1+s0b_kasvu*($C123-2019))*$B123,0)</f>
        <v>10400</v>
      </c>
      <c r="F123" s="145">
        <f t="shared" si="22"/>
        <v>373360</v>
      </c>
      <c r="G123" s="145">
        <f t="shared" si="31"/>
        <v>354692</v>
      </c>
      <c r="H123" s="145">
        <f t="shared" si="32"/>
        <v>18668</v>
      </c>
      <c r="I123" s="145">
        <f t="shared" si="23"/>
        <v>9880</v>
      </c>
      <c r="J123" s="145">
        <f t="shared" si="24"/>
        <v>544.25655976676387</v>
      </c>
      <c r="K123" s="142" t="str">
        <f t="shared" si="33"/>
        <v>l</v>
      </c>
      <c r="L123" s="146">
        <f>IFERROR(INDEX(Työkonekanta!$I$3:$I$27,MATCH('S0b Baseline kasvu'!$A123,Työkonekanta!$A$3:$A$24,0),1)*(I123+J123)*f_adblue,0)</f>
        <v>521.21282798833818</v>
      </c>
      <c r="M123" s="146">
        <f t="shared" si="39"/>
        <v>0</v>
      </c>
      <c r="N123" s="143" t="str">
        <f>IF(tuulisähkö_vuosi&lt;='S0b Baseline kasvu'!C123,"tuulisähkö",ostosähkö_nyt)</f>
        <v>jäännössähkö</v>
      </c>
      <c r="O123" s="147">
        <f>INDEX(Muuttujat!$J$5:$J$21,MATCH($C123,Muuttujat!$H$5:$H$21,0),1)</f>
        <v>66.51860537025</v>
      </c>
      <c r="P123" s="342">
        <f>1-(INDEX(Muuttujat!$O$5:$O$21,MATCH($C123,Muuttujat!$N$5:$N$21,0),1))</f>
        <v>0.95</v>
      </c>
      <c r="Q123" s="342">
        <f>INDEX(Muuttujat!$O$5:$O$21,MATCH($C123,Muuttujat!$N$5:$N$21,0),1)</f>
        <v>0.05</v>
      </c>
      <c r="R123" s="148">
        <f>INDEX(Muuttujat!$P$5:$P$21,MATCH($C123,Muuttujat!$N$5:$N$21,0),1)</f>
        <v>5.2210587442409327E-2</v>
      </c>
      <c r="S123" s="149">
        <f t="shared" si="25"/>
        <v>6.7036787999999996</v>
      </c>
      <c r="T123" s="150">
        <f t="shared" si="26"/>
        <v>1.1648832</v>
      </c>
      <c r="U123" s="150">
        <f t="shared" si="27"/>
        <v>0</v>
      </c>
      <c r="V123" s="150">
        <f>IFERROR(INDEX(Työkonekanta!$J$3:$J$27,MATCH($A123,Työkonekanta!$A$3:$A$24,0),1)*$B123*ef_li_ion_akku/1000/1000/INDEX(Työkonekanta!$K$3:$K$27,MATCH($A123,Työkonekanta!$A$3:$A$24,0)),0)</f>
        <v>0</v>
      </c>
      <c r="W123" s="149">
        <f t="shared" si="40"/>
        <v>26.179197326567998</v>
      </c>
      <c r="X123" s="150">
        <f t="shared" si="41"/>
        <v>0.3304554864</v>
      </c>
      <c r="Y123" s="151">
        <f t="shared" si="42"/>
        <v>0.13551533527696794</v>
      </c>
      <c r="Z123" s="152">
        <f t="shared" si="34"/>
        <v>7.8685619999999998</v>
      </c>
      <c r="AA123" s="179">
        <f t="shared" si="35"/>
        <v>26.314712661844965</v>
      </c>
      <c r="AB123" s="179">
        <f t="shared" si="36"/>
        <v>26.645168148244966</v>
      </c>
      <c r="AC123" s="180">
        <f t="shared" si="43"/>
        <v>34.183274661844962</v>
      </c>
      <c r="AD123" s="156">
        <f t="shared" si="37"/>
        <v>34.513730148244967</v>
      </c>
      <c r="AE123" s="146">
        <f>IFERROR(INDEX(Työkonekanta!$L$3:$L$30,MATCH($A123,Työkonekanta!$A$3:$A$30,0),1),0)*AF123</f>
        <v>500000</v>
      </c>
      <c r="AF123" s="146">
        <f>IFERROR(INDEX(Työkonekanta!$N$3:$N$32,MATCH($A123,Työkonekanta!$A$3:$A$32,0),1),0)</f>
        <v>1</v>
      </c>
      <c r="AG123" s="332">
        <f>I123*INDEX(Muuttujat!$U$5:$U$21,MATCH($C123,Muuttujat!$N$5:$N$21,0),1)</f>
        <v>9978.7999999999993</v>
      </c>
      <c r="AH123" s="332">
        <f>J123*INDEX(Muuttujat!$T$5:$T$21,MATCH($C123,Muuttujat!$N$5:$N$21,0),1)</f>
        <v>767.40174927113719</v>
      </c>
      <c r="AI123" s="332">
        <f t="shared" si="28"/>
        <v>260.60641399416909</v>
      </c>
      <c r="AJ123" s="332">
        <f t="shared" si="29"/>
        <v>0</v>
      </c>
      <c r="AK123" s="332">
        <f t="shared" si="38"/>
        <v>11006.808163265305</v>
      </c>
      <c r="AL123" s="332">
        <f t="shared" si="30"/>
        <v>11006.808163265305</v>
      </c>
    </row>
    <row r="124" spans="1:38">
      <c r="A124" s="139">
        <v>2</v>
      </c>
      <c r="B124" s="139">
        <f>IFERROR(INDEX(Työkonekanta!$F$3:$F$27,MATCH('S0b Baseline kasvu'!$A124,Työkonekanta!$A$3:$A$24,0),1),0)</f>
        <v>1</v>
      </c>
      <c r="C124" s="140">
        <v>2023</v>
      </c>
      <c r="D124" s="141" t="str">
        <f>IFERROR(INDEX(Työkonekanta!$D$3:$D$27,MATCH('S0b Baseline kasvu'!$A124,Työkonekanta!$A$3:$A$24,0),1),"undefined")</f>
        <v>pom</v>
      </c>
      <c r="E124" s="145">
        <f>IFERROR(INDEX(Työkonekanta!$G$3:$G$27,MATCH($A124,Työkonekanta!$A$3:$A$24,0),1)*INDEX(Työkonekanta!$H$3:$H$27,MATCH($A124,Työkonekanta!$A$3:$A$24,0),1)*(1+s0b_kasvu*($C124-2019))*$B124,0)</f>
        <v>10400</v>
      </c>
      <c r="F124" s="145">
        <f t="shared" si="22"/>
        <v>373360</v>
      </c>
      <c r="G124" s="145">
        <f t="shared" si="31"/>
        <v>354692</v>
      </c>
      <c r="H124" s="145">
        <f t="shared" si="32"/>
        <v>18668</v>
      </c>
      <c r="I124" s="145">
        <f t="shared" si="23"/>
        <v>9880</v>
      </c>
      <c r="J124" s="145">
        <f t="shared" si="24"/>
        <v>544.25655976676387</v>
      </c>
      <c r="K124" s="142" t="str">
        <f t="shared" si="33"/>
        <v>l</v>
      </c>
      <c r="L124" s="146">
        <f>IFERROR(INDEX(Työkonekanta!$I$3:$I$27,MATCH('S0b Baseline kasvu'!$A124,Työkonekanta!$A$3:$A$24,0),1)*(I124+J124)*f_adblue,0)</f>
        <v>521.21282798833818</v>
      </c>
      <c r="M124" s="146">
        <f t="shared" si="39"/>
        <v>0</v>
      </c>
      <c r="N124" s="143" t="str">
        <f>IF(tuulisähkö_vuosi&lt;='S0b Baseline kasvu'!C124,"tuulisähkö",ostosähkö_nyt)</f>
        <v>jäännössähkö</v>
      </c>
      <c r="O124" s="147">
        <f>INDEX(Muuttujat!$J$5:$J$21,MATCH($C124,Muuttujat!$H$5:$H$21,0),1)</f>
        <v>66.51860537025</v>
      </c>
      <c r="P124" s="342">
        <f>1-(INDEX(Muuttujat!$O$5:$O$21,MATCH($C124,Muuttujat!$N$5:$N$21,0),1))</f>
        <v>0.95</v>
      </c>
      <c r="Q124" s="342">
        <f>INDEX(Muuttujat!$O$5:$O$21,MATCH($C124,Muuttujat!$N$5:$N$21,0),1)</f>
        <v>0.05</v>
      </c>
      <c r="R124" s="148">
        <f>INDEX(Muuttujat!$P$5:$P$21,MATCH($C124,Muuttujat!$N$5:$N$21,0),1)</f>
        <v>5.2210587442409327E-2</v>
      </c>
      <c r="S124" s="149">
        <f t="shared" si="25"/>
        <v>6.7036787999999996</v>
      </c>
      <c r="T124" s="150">
        <f t="shared" si="26"/>
        <v>1.1648832</v>
      </c>
      <c r="U124" s="150">
        <f t="shared" si="27"/>
        <v>0</v>
      </c>
      <c r="V124" s="150">
        <f>IFERROR(INDEX(Työkonekanta!$J$3:$J$27,MATCH($A124,Työkonekanta!$A$3:$A$24,0),1)*$B124*ef_li_ion_akku/1000/1000/INDEX(Työkonekanta!$K$3:$K$27,MATCH($A124,Työkonekanta!$A$3:$A$24,0)),0)</f>
        <v>0</v>
      </c>
      <c r="W124" s="149">
        <f t="shared" si="40"/>
        <v>26.179197326567998</v>
      </c>
      <c r="X124" s="150">
        <f t="shared" si="41"/>
        <v>0.3304554864</v>
      </c>
      <c r="Y124" s="151">
        <f t="shared" si="42"/>
        <v>0.13551533527696794</v>
      </c>
      <c r="Z124" s="152">
        <f t="shared" si="34"/>
        <v>7.8685619999999998</v>
      </c>
      <c r="AA124" s="179">
        <f t="shared" si="35"/>
        <v>26.314712661844965</v>
      </c>
      <c r="AB124" s="179">
        <f t="shared" si="36"/>
        <v>26.645168148244966</v>
      </c>
      <c r="AC124" s="180">
        <f t="shared" si="43"/>
        <v>34.183274661844962</v>
      </c>
      <c r="AD124" s="156">
        <f t="shared" si="37"/>
        <v>34.513730148244967</v>
      </c>
      <c r="AE124" s="146">
        <f>IFERROR(INDEX(Työkonekanta!$L$3:$L$30,MATCH($A124,Työkonekanta!$A$3:$A$30,0),1),0)*AF124</f>
        <v>500000</v>
      </c>
      <c r="AF124" s="146">
        <f>IFERROR(INDEX(Työkonekanta!$N$3:$N$32,MATCH($A124,Työkonekanta!$A$3:$A$32,0),1),0)</f>
        <v>1</v>
      </c>
      <c r="AG124" s="332">
        <f>I124*INDEX(Muuttujat!$U$5:$U$21,MATCH($C124,Muuttujat!$N$5:$N$21,0),1)</f>
        <v>9978.7999999999993</v>
      </c>
      <c r="AH124" s="332">
        <f>J124*INDEX(Muuttujat!$T$5:$T$21,MATCH($C124,Muuttujat!$N$5:$N$21,0),1)</f>
        <v>767.40174927113719</v>
      </c>
      <c r="AI124" s="332">
        <f t="shared" si="28"/>
        <v>260.60641399416909</v>
      </c>
      <c r="AJ124" s="332">
        <f t="shared" si="29"/>
        <v>0</v>
      </c>
      <c r="AK124" s="332">
        <f t="shared" si="38"/>
        <v>11006.808163265305</v>
      </c>
      <c r="AL124" s="332">
        <f t="shared" si="30"/>
        <v>11006.808163265305</v>
      </c>
    </row>
    <row r="125" spans="1:38">
      <c r="A125" s="139">
        <v>3</v>
      </c>
      <c r="B125" s="139">
        <f>IFERROR(INDEX(Työkonekanta!$F$3:$F$27,MATCH('S0b Baseline kasvu'!$A125,Työkonekanta!$A$3:$A$24,0),1),0)</f>
        <v>1</v>
      </c>
      <c r="C125" s="140">
        <v>2023</v>
      </c>
      <c r="D125" s="141" t="str">
        <f>IFERROR(INDEX(Työkonekanta!$D$3:$D$27,MATCH('S0b Baseline kasvu'!$A125,Työkonekanta!$A$3:$A$24,0),1),"undefined")</f>
        <v>pom</v>
      </c>
      <c r="E125" s="145">
        <f>IFERROR(INDEX(Työkonekanta!$G$3:$G$27,MATCH($A125,Työkonekanta!$A$3:$A$24,0),1)*INDEX(Työkonekanta!$H$3:$H$27,MATCH($A125,Työkonekanta!$A$3:$A$24,0),1)*(1+s0b_kasvu*($C125-2019))*$B125,0)</f>
        <v>10400</v>
      </c>
      <c r="F125" s="145">
        <f t="shared" si="22"/>
        <v>373360</v>
      </c>
      <c r="G125" s="145">
        <f t="shared" si="31"/>
        <v>354692</v>
      </c>
      <c r="H125" s="145">
        <f t="shared" si="32"/>
        <v>18668</v>
      </c>
      <c r="I125" s="145">
        <f t="shared" si="23"/>
        <v>9880</v>
      </c>
      <c r="J125" s="145">
        <f t="shared" si="24"/>
        <v>544.25655976676387</v>
      </c>
      <c r="K125" s="142" t="str">
        <f t="shared" si="33"/>
        <v>l</v>
      </c>
      <c r="L125" s="146">
        <f>IFERROR(INDEX(Työkonekanta!$I$3:$I$27,MATCH('S0b Baseline kasvu'!$A125,Työkonekanta!$A$3:$A$24,0),1)*(I125+J125)*f_adblue,0)</f>
        <v>521.21282798833818</v>
      </c>
      <c r="M125" s="146">
        <f t="shared" si="39"/>
        <v>0</v>
      </c>
      <c r="N125" s="143" t="str">
        <f>IF(tuulisähkö_vuosi&lt;='S0b Baseline kasvu'!C125,"tuulisähkö",ostosähkö_nyt)</f>
        <v>jäännössähkö</v>
      </c>
      <c r="O125" s="147">
        <f>INDEX(Muuttujat!$J$5:$J$21,MATCH($C125,Muuttujat!$H$5:$H$21,0),1)</f>
        <v>66.51860537025</v>
      </c>
      <c r="P125" s="342">
        <f>1-(INDEX(Muuttujat!$O$5:$O$21,MATCH($C125,Muuttujat!$N$5:$N$21,0),1))</f>
        <v>0.95</v>
      </c>
      <c r="Q125" s="342">
        <f>INDEX(Muuttujat!$O$5:$O$21,MATCH($C125,Muuttujat!$N$5:$N$21,0),1)</f>
        <v>0.05</v>
      </c>
      <c r="R125" s="148">
        <f>INDEX(Muuttujat!$P$5:$P$21,MATCH($C125,Muuttujat!$N$5:$N$21,0),1)</f>
        <v>5.2210587442409327E-2</v>
      </c>
      <c r="S125" s="149">
        <f t="shared" si="25"/>
        <v>6.7036787999999996</v>
      </c>
      <c r="T125" s="150">
        <f t="shared" si="26"/>
        <v>1.1648832</v>
      </c>
      <c r="U125" s="150">
        <f t="shared" si="27"/>
        <v>0</v>
      </c>
      <c r="V125" s="150">
        <f>IFERROR(INDEX(Työkonekanta!$J$3:$J$27,MATCH($A125,Työkonekanta!$A$3:$A$24,0),1)*$B125*ef_li_ion_akku/1000/1000/INDEX(Työkonekanta!$K$3:$K$27,MATCH($A125,Työkonekanta!$A$3:$A$24,0)),0)</f>
        <v>0</v>
      </c>
      <c r="W125" s="149">
        <f t="shared" si="40"/>
        <v>26.179197326567998</v>
      </c>
      <c r="X125" s="150">
        <f t="shared" si="41"/>
        <v>0.3304554864</v>
      </c>
      <c r="Y125" s="151">
        <f t="shared" si="42"/>
        <v>0.13551533527696794</v>
      </c>
      <c r="Z125" s="152">
        <f t="shared" si="34"/>
        <v>7.8685619999999998</v>
      </c>
      <c r="AA125" s="179">
        <f t="shared" si="35"/>
        <v>26.314712661844965</v>
      </c>
      <c r="AB125" s="179">
        <f t="shared" si="36"/>
        <v>26.645168148244966</v>
      </c>
      <c r="AC125" s="180">
        <f t="shared" si="43"/>
        <v>34.183274661844962</v>
      </c>
      <c r="AD125" s="156">
        <f t="shared" si="37"/>
        <v>34.513730148244967</v>
      </c>
      <c r="AE125" s="146">
        <f>IFERROR(INDEX(Työkonekanta!$L$3:$L$30,MATCH($A125,Työkonekanta!$A$3:$A$30,0),1),0)*AF125</f>
        <v>0</v>
      </c>
      <c r="AF125" s="146">
        <f>IFERROR(INDEX(Työkonekanta!$N$3:$N$32,MATCH($A125,Työkonekanta!$A$3:$A$32,0),1),0)</f>
        <v>0</v>
      </c>
      <c r="AG125" s="332">
        <f>I125*INDEX(Muuttujat!$U$5:$U$21,MATCH($C125,Muuttujat!$N$5:$N$21,0),1)</f>
        <v>9978.7999999999993</v>
      </c>
      <c r="AH125" s="332">
        <f>J125*INDEX(Muuttujat!$T$5:$T$21,MATCH($C125,Muuttujat!$N$5:$N$21,0),1)</f>
        <v>767.40174927113719</v>
      </c>
      <c r="AI125" s="332">
        <f t="shared" si="28"/>
        <v>260.60641399416909</v>
      </c>
      <c r="AJ125" s="332">
        <f t="shared" si="29"/>
        <v>0</v>
      </c>
      <c r="AK125" s="332">
        <f t="shared" si="38"/>
        <v>11006.808163265305</v>
      </c>
      <c r="AL125" s="332">
        <f t="shared" si="30"/>
        <v>11006.808163265305</v>
      </c>
    </row>
    <row r="126" spans="1:38">
      <c r="A126" s="139">
        <v>4</v>
      </c>
      <c r="B126" s="139">
        <f>IFERROR(INDEX(Työkonekanta!$F$3:$F$27,MATCH('S0b Baseline kasvu'!$A126,Työkonekanta!$A$3:$A$24,0),1),0)</f>
        <v>1</v>
      </c>
      <c r="C126" s="140">
        <v>2023</v>
      </c>
      <c r="D126" s="141" t="str">
        <f>IFERROR(INDEX(Työkonekanta!$D$3:$D$27,MATCH('S0b Baseline kasvu'!$A126,Työkonekanta!$A$3:$A$24,0),1),"undefined")</f>
        <v>pom</v>
      </c>
      <c r="E126" s="145">
        <f>IFERROR(INDEX(Työkonekanta!$G$3:$G$27,MATCH($A126,Työkonekanta!$A$3:$A$24,0),1)*INDEX(Työkonekanta!$H$3:$H$27,MATCH($A126,Työkonekanta!$A$3:$A$24,0),1)*(1+s0b_kasvu*($C126-2019))*$B126,0)</f>
        <v>10400</v>
      </c>
      <c r="F126" s="145">
        <f t="shared" si="22"/>
        <v>373360</v>
      </c>
      <c r="G126" s="145">
        <f t="shared" si="31"/>
        <v>354692</v>
      </c>
      <c r="H126" s="145">
        <f t="shared" si="32"/>
        <v>18668</v>
      </c>
      <c r="I126" s="145">
        <f t="shared" si="23"/>
        <v>9880</v>
      </c>
      <c r="J126" s="145">
        <f t="shared" si="24"/>
        <v>544.25655976676387</v>
      </c>
      <c r="K126" s="142" t="str">
        <f t="shared" si="33"/>
        <v>l</v>
      </c>
      <c r="L126" s="146">
        <f>IFERROR(INDEX(Työkonekanta!$I$3:$I$27,MATCH('S0b Baseline kasvu'!$A126,Työkonekanta!$A$3:$A$24,0),1)*(I126+J126)*f_adblue,0)</f>
        <v>521.21282798833818</v>
      </c>
      <c r="M126" s="146">
        <f t="shared" si="39"/>
        <v>0</v>
      </c>
      <c r="N126" s="143" t="str">
        <f>IF(tuulisähkö_vuosi&lt;='S0b Baseline kasvu'!C126,"tuulisähkö",ostosähkö_nyt)</f>
        <v>jäännössähkö</v>
      </c>
      <c r="O126" s="147">
        <f>INDEX(Muuttujat!$J$5:$J$21,MATCH($C126,Muuttujat!$H$5:$H$21,0),1)</f>
        <v>66.51860537025</v>
      </c>
      <c r="P126" s="342">
        <f>1-(INDEX(Muuttujat!$O$5:$O$21,MATCH($C126,Muuttujat!$N$5:$N$21,0),1))</f>
        <v>0.95</v>
      </c>
      <c r="Q126" s="342">
        <f>INDEX(Muuttujat!$O$5:$O$21,MATCH($C126,Muuttujat!$N$5:$N$21,0),1)</f>
        <v>0.05</v>
      </c>
      <c r="R126" s="148">
        <f>INDEX(Muuttujat!$P$5:$P$21,MATCH($C126,Muuttujat!$N$5:$N$21,0),1)</f>
        <v>5.2210587442409327E-2</v>
      </c>
      <c r="S126" s="149">
        <f t="shared" si="25"/>
        <v>6.7036787999999996</v>
      </c>
      <c r="T126" s="150">
        <f t="shared" si="26"/>
        <v>1.1648832</v>
      </c>
      <c r="U126" s="150">
        <f t="shared" si="27"/>
        <v>0</v>
      </c>
      <c r="V126" s="150">
        <f>IFERROR(INDEX(Työkonekanta!$J$3:$J$27,MATCH($A126,Työkonekanta!$A$3:$A$24,0),1)*$B126*ef_li_ion_akku/1000/1000/INDEX(Työkonekanta!$K$3:$K$27,MATCH($A126,Työkonekanta!$A$3:$A$24,0)),0)</f>
        <v>0</v>
      </c>
      <c r="W126" s="149">
        <f t="shared" si="40"/>
        <v>26.179197326567998</v>
      </c>
      <c r="X126" s="150">
        <f t="shared" si="41"/>
        <v>0.3304554864</v>
      </c>
      <c r="Y126" s="151">
        <f t="shared" si="42"/>
        <v>0.13551533527696794</v>
      </c>
      <c r="Z126" s="152">
        <f t="shared" si="34"/>
        <v>7.8685619999999998</v>
      </c>
      <c r="AA126" s="179">
        <f t="shared" si="35"/>
        <v>26.314712661844965</v>
      </c>
      <c r="AB126" s="179">
        <f t="shared" si="36"/>
        <v>26.645168148244966</v>
      </c>
      <c r="AC126" s="180">
        <f t="shared" si="43"/>
        <v>34.183274661844962</v>
      </c>
      <c r="AD126" s="156">
        <f t="shared" si="37"/>
        <v>34.513730148244967</v>
      </c>
      <c r="AE126" s="146">
        <f>IFERROR(INDEX(Työkonekanta!$L$3:$L$30,MATCH($A126,Työkonekanta!$A$3:$A$30,0),1),0)*AF126</f>
        <v>0</v>
      </c>
      <c r="AF126" s="146">
        <f>IFERROR(INDEX(Työkonekanta!$N$3:$N$32,MATCH($A126,Työkonekanta!$A$3:$A$32,0),1),0)</f>
        <v>0</v>
      </c>
      <c r="AG126" s="332">
        <f>I126*INDEX(Muuttujat!$U$5:$U$21,MATCH($C126,Muuttujat!$N$5:$N$21,0),1)</f>
        <v>9978.7999999999993</v>
      </c>
      <c r="AH126" s="332">
        <f>J126*INDEX(Muuttujat!$T$5:$T$21,MATCH($C126,Muuttujat!$N$5:$N$21,0),1)</f>
        <v>767.40174927113719</v>
      </c>
      <c r="AI126" s="332">
        <f t="shared" si="28"/>
        <v>260.60641399416909</v>
      </c>
      <c r="AJ126" s="332">
        <f t="shared" si="29"/>
        <v>0</v>
      </c>
      <c r="AK126" s="332">
        <f t="shared" si="38"/>
        <v>11006.808163265305</v>
      </c>
      <c r="AL126" s="332">
        <f t="shared" si="30"/>
        <v>11006.808163265305</v>
      </c>
    </row>
    <row r="127" spans="1:38">
      <c r="A127" s="139">
        <v>5</v>
      </c>
      <c r="B127" s="139">
        <f>IFERROR(INDEX(Työkonekanta!$F$3:$F$27,MATCH('S0b Baseline kasvu'!$A127,Työkonekanta!$A$3:$A$24,0),1),0)</f>
        <v>0</v>
      </c>
      <c r="C127" s="140">
        <v>2023</v>
      </c>
      <c r="D127" s="141" t="str">
        <f>IFERROR(INDEX(Työkonekanta!$D$3:$D$27,MATCH('S0b Baseline kasvu'!$A127,Työkonekanta!$A$3:$A$24,0),1),"undefined")</f>
        <v>sähkö</v>
      </c>
      <c r="E127" s="145">
        <f>IFERROR(INDEX(Työkonekanta!$G$3:$G$27,MATCH($A127,Työkonekanta!$A$3:$A$24,0),1)*INDEX(Työkonekanta!$H$3:$H$27,MATCH($A127,Työkonekanta!$A$3:$A$24,0),1)*(1+s0b_kasvu*($C127-2019))*$B127,0)</f>
        <v>0</v>
      </c>
      <c r="F127" s="145">
        <f t="shared" si="22"/>
        <v>0</v>
      </c>
      <c r="G127" s="145">
        <f t="shared" si="31"/>
        <v>0</v>
      </c>
      <c r="H127" s="145">
        <f t="shared" si="32"/>
        <v>0</v>
      </c>
      <c r="I127" s="145">
        <f t="shared" si="23"/>
        <v>0</v>
      </c>
      <c r="J127" s="145">
        <f t="shared" si="24"/>
        <v>0</v>
      </c>
      <c r="K127" s="142" t="str">
        <f t="shared" si="33"/>
        <v>kWh</v>
      </c>
      <c r="L127" s="146">
        <f>IFERROR(INDEX(Työkonekanta!$I$3:$I$27,MATCH('S0b Baseline kasvu'!$A127,Työkonekanta!$A$3:$A$24,0),1)*(I127+J127)*f_adblue,0)</f>
        <v>0</v>
      </c>
      <c r="M127" s="146">
        <f t="shared" si="39"/>
        <v>0</v>
      </c>
      <c r="N127" s="143" t="str">
        <f>IF(tuulisähkö_vuosi&lt;='S0b Baseline kasvu'!C127,"tuulisähkö",ostosähkö_nyt)</f>
        <v>jäännössähkö</v>
      </c>
      <c r="O127" s="147">
        <f>INDEX(Muuttujat!$J$5:$J$21,MATCH($C127,Muuttujat!$H$5:$H$21,0),1)</f>
        <v>66.51860537025</v>
      </c>
      <c r="P127" s="342">
        <f>1-(INDEX(Muuttujat!$O$5:$O$21,MATCH($C127,Muuttujat!$N$5:$N$21,0),1))</f>
        <v>0.95</v>
      </c>
      <c r="Q127" s="342">
        <f>INDEX(Muuttujat!$O$5:$O$21,MATCH($C127,Muuttujat!$N$5:$N$21,0),1)</f>
        <v>0.05</v>
      </c>
      <c r="R127" s="148">
        <f>INDEX(Muuttujat!$P$5:$P$21,MATCH($C127,Muuttujat!$N$5:$N$21,0),1)</f>
        <v>5.2210587442409327E-2</v>
      </c>
      <c r="S127" s="149">
        <f t="shared" si="25"/>
        <v>0</v>
      </c>
      <c r="T127" s="150">
        <f t="shared" si="26"/>
        <v>0</v>
      </c>
      <c r="U127" s="150">
        <f t="shared" si="27"/>
        <v>0</v>
      </c>
      <c r="V127" s="150">
        <f>IFERROR(INDEX(Työkonekanta!$J$3:$J$27,MATCH($A127,Työkonekanta!$A$3:$A$24,0),1)*$B127*ef_li_ion_akku/1000/1000/INDEX(Työkonekanta!$K$3:$K$27,MATCH($A127,Työkonekanta!$A$3:$A$24,0)),0)</f>
        <v>0</v>
      </c>
      <c r="W127" s="149">
        <f t="shared" si="40"/>
        <v>0</v>
      </c>
      <c r="X127" s="150">
        <f t="shared" si="41"/>
        <v>0</v>
      </c>
      <c r="Y127" s="151">
        <f t="shared" si="42"/>
        <v>0</v>
      </c>
      <c r="Z127" s="152">
        <f t="shared" si="34"/>
        <v>0</v>
      </c>
      <c r="AA127" s="179">
        <f t="shared" si="35"/>
        <v>0</v>
      </c>
      <c r="AB127" s="179">
        <f t="shared" si="36"/>
        <v>0</v>
      </c>
      <c r="AC127" s="180">
        <f t="shared" si="43"/>
        <v>0</v>
      </c>
      <c r="AD127" s="156">
        <f t="shared" si="37"/>
        <v>0</v>
      </c>
      <c r="AE127" s="146">
        <f>IFERROR(INDEX(Työkonekanta!$L$3:$L$30,MATCH($A127,Työkonekanta!$A$3:$A$30,0),1),0)*AF127</f>
        <v>0</v>
      </c>
      <c r="AF127" s="146">
        <f>IFERROR(INDEX(Työkonekanta!$N$3:$N$32,MATCH($A127,Työkonekanta!$A$3:$A$32,0),1),0)</f>
        <v>0</v>
      </c>
      <c r="AG127" s="332">
        <f>I127*INDEX(Muuttujat!$U$5:$U$21,MATCH($C127,Muuttujat!$N$5:$N$21,0),1)</f>
        <v>0</v>
      </c>
      <c r="AH127" s="332">
        <f>J127*INDEX(Muuttujat!$T$5:$T$21,MATCH($C127,Muuttujat!$N$5:$N$21,0),1)</f>
        <v>0</v>
      </c>
      <c r="AI127" s="332">
        <f t="shared" si="28"/>
        <v>0</v>
      </c>
      <c r="AJ127" s="332">
        <f t="shared" si="29"/>
        <v>0</v>
      </c>
      <c r="AK127" s="332">
        <f t="shared" si="38"/>
        <v>0</v>
      </c>
      <c r="AL127" s="332">
        <f t="shared" si="30"/>
        <v>0</v>
      </c>
    </row>
    <row r="128" spans="1:38">
      <c r="A128" s="139">
        <v>6</v>
      </c>
      <c r="B128" s="139">
        <f>IFERROR(INDEX(Työkonekanta!$F$3:$F$27,MATCH('S0b Baseline kasvu'!$A128,Työkonekanta!$A$3:$A$24,0),1),0)</f>
        <v>0</v>
      </c>
      <c r="C128" s="140">
        <v>2023</v>
      </c>
      <c r="D128" s="141" t="str">
        <f>IFERROR(INDEX(Työkonekanta!$D$3:$D$27,MATCH('S0b Baseline kasvu'!$A128,Työkonekanta!$A$3:$A$24,0),1),"undefined")</f>
        <v>sähkö</v>
      </c>
      <c r="E128" s="145">
        <f>IFERROR(INDEX(Työkonekanta!$G$3:$G$27,MATCH($A128,Työkonekanta!$A$3:$A$24,0),1)*INDEX(Työkonekanta!$H$3:$H$27,MATCH($A128,Työkonekanta!$A$3:$A$24,0),1)*(1+s0b_kasvu*($C128-2019))*$B128,0)</f>
        <v>0</v>
      </c>
      <c r="F128" s="145">
        <f t="shared" si="22"/>
        <v>0</v>
      </c>
      <c r="G128" s="145">
        <f t="shared" si="31"/>
        <v>0</v>
      </c>
      <c r="H128" s="145">
        <f t="shared" si="32"/>
        <v>0</v>
      </c>
      <c r="I128" s="145">
        <f t="shared" si="23"/>
        <v>0</v>
      </c>
      <c r="J128" s="145">
        <f t="shared" si="24"/>
        <v>0</v>
      </c>
      <c r="K128" s="142" t="str">
        <f t="shared" si="33"/>
        <v>kWh</v>
      </c>
      <c r="L128" s="146">
        <f>IFERROR(INDEX(Työkonekanta!$I$3:$I$27,MATCH('S0b Baseline kasvu'!$A128,Työkonekanta!$A$3:$A$24,0),1)*(I128+J128)*f_adblue,0)</f>
        <v>0</v>
      </c>
      <c r="M128" s="146">
        <f t="shared" si="39"/>
        <v>0</v>
      </c>
      <c r="N128" s="143" t="str">
        <f>IF(tuulisähkö_vuosi&lt;='S0b Baseline kasvu'!C128,"tuulisähkö",ostosähkö_nyt)</f>
        <v>jäännössähkö</v>
      </c>
      <c r="O128" s="147">
        <f>INDEX(Muuttujat!$J$5:$J$21,MATCH($C128,Muuttujat!$H$5:$H$21,0),1)</f>
        <v>66.51860537025</v>
      </c>
      <c r="P128" s="342">
        <f>1-(INDEX(Muuttujat!$O$5:$O$21,MATCH($C128,Muuttujat!$N$5:$N$21,0),1))</f>
        <v>0.95</v>
      </c>
      <c r="Q128" s="342">
        <f>INDEX(Muuttujat!$O$5:$O$21,MATCH($C128,Muuttujat!$N$5:$N$21,0),1)</f>
        <v>0.05</v>
      </c>
      <c r="R128" s="148">
        <f>INDEX(Muuttujat!$P$5:$P$21,MATCH($C128,Muuttujat!$N$5:$N$21,0),1)</f>
        <v>5.2210587442409327E-2</v>
      </c>
      <c r="S128" s="149">
        <f t="shared" si="25"/>
        <v>0</v>
      </c>
      <c r="T128" s="150">
        <f t="shared" si="26"/>
        <v>0</v>
      </c>
      <c r="U128" s="150">
        <f t="shared" si="27"/>
        <v>0</v>
      </c>
      <c r="V128" s="150">
        <f>IFERROR(INDEX(Työkonekanta!$J$3:$J$27,MATCH($A128,Työkonekanta!$A$3:$A$24,0),1)*$B128*ef_li_ion_akku/1000/1000/INDEX(Työkonekanta!$K$3:$K$27,MATCH($A128,Työkonekanta!$A$3:$A$24,0)),0)</f>
        <v>0</v>
      </c>
      <c r="W128" s="149">
        <f t="shared" si="40"/>
        <v>0</v>
      </c>
      <c r="X128" s="150">
        <f t="shared" si="41"/>
        <v>0</v>
      </c>
      <c r="Y128" s="151">
        <f t="shared" si="42"/>
        <v>0</v>
      </c>
      <c r="Z128" s="152">
        <f t="shared" si="34"/>
        <v>0</v>
      </c>
      <c r="AA128" s="179">
        <f t="shared" si="35"/>
        <v>0</v>
      </c>
      <c r="AB128" s="179">
        <f t="shared" si="36"/>
        <v>0</v>
      </c>
      <c r="AC128" s="180">
        <f t="shared" si="43"/>
        <v>0</v>
      </c>
      <c r="AD128" s="156">
        <f t="shared" si="37"/>
        <v>0</v>
      </c>
      <c r="AE128" s="146">
        <f>IFERROR(INDEX(Työkonekanta!$L$3:$L$30,MATCH($A128,Työkonekanta!$A$3:$A$30,0),1),0)*AF128</f>
        <v>0</v>
      </c>
      <c r="AF128" s="146">
        <f>IFERROR(INDEX(Työkonekanta!$N$3:$N$32,MATCH($A128,Työkonekanta!$A$3:$A$32,0),1),0)</f>
        <v>0</v>
      </c>
      <c r="AG128" s="332">
        <f>I128*INDEX(Muuttujat!$U$5:$U$21,MATCH($C128,Muuttujat!$N$5:$N$21,0),1)</f>
        <v>0</v>
      </c>
      <c r="AH128" s="332">
        <f>J128*INDEX(Muuttujat!$T$5:$T$21,MATCH($C128,Muuttujat!$N$5:$N$21,0),1)</f>
        <v>0</v>
      </c>
      <c r="AI128" s="332">
        <f t="shared" si="28"/>
        <v>0</v>
      </c>
      <c r="AJ128" s="332">
        <f t="shared" si="29"/>
        <v>0</v>
      </c>
      <c r="AK128" s="332">
        <f t="shared" si="38"/>
        <v>0</v>
      </c>
      <c r="AL128" s="332">
        <f t="shared" si="30"/>
        <v>0</v>
      </c>
    </row>
    <row r="129" spans="1:38">
      <c r="A129" s="139">
        <v>7</v>
      </c>
      <c r="B129" s="139">
        <f>IFERROR(INDEX(Työkonekanta!$F$3:$F$27,MATCH('S0b Baseline kasvu'!$A129,Työkonekanta!$A$3:$A$24,0),1),0)</f>
        <v>1</v>
      </c>
      <c r="C129" s="140">
        <v>2023</v>
      </c>
      <c r="D129" s="141" t="str">
        <f>IFERROR(INDEX(Työkonekanta!$D$3:$D$27,MATCH('S0b Baseline kasvu'!$A129,Työkonekanta!$A$3:$A$24,0),1),"undefined")</f>
        <v>pom</v>
      </c>
      <c r="E129" s="145">
        <f>IFERROR(INDEX(Työkonekanta!$G$3:$G$27,MATCH($A129,Työkonekanta!$A$3:$A$24,0),1)*INDEX(Työkonekanta!$H$3:$H$27,MATCH($A129,Työkonekanta!$A$3:$A$24,0),1)*(1+s0b_kasvu*($C129-2019))*$B129,0)</f>
        <v>10400</v>
      </c>
      <c r="F129" s="145">
        <f t="shared" si="22"/>
        <v>373360</v>
      </c>
      <c r="G129" s="145">
        <f t="shared" si="31"/>
        <v>354692</v>
      </c>
      <c r="H129" s="145">
        <f t="shared" si="32"/>
        <v>18668</v>
      </c>
      <c r="I129" s="145">
        <f t="shared" si="23"/>
        <v>9880</v>
      </c>
      <c r="J129" s="145">
        <f t="shared" si="24"/>
        <v>544.25655976676387</v>
      </c>
      <c r="K129" s="142" t="str">
        <f t="shared" si="33"/>
        <v>l</v>
      </c>
      <c r="L129" s="146">
        <f>IFERROR(INDEX(Työkonekanta!$I$3:$I$27,MATCH('S0b Baseline kasvu'!$A129,Työkonekanta!$A$3:$A$24,0),1)*(I129+J129)*f_adblue,0)</f>
        <v>0</v>
      </c>
      <c r="M129" s="146">
        <f t="shared" si="39"/>
        <v>0</v>
      </c>
      <c r="N129" s="143" t="str">
        <f>IF(tuulisähkö_vuosi&lt;='S0b Baseline kasvu'!C129,"tuulisähkö",ostosähkö_nyt)</f>
        <v>jäännössähkö</v>
      </c>
      <c r="O129" s="147">
        <f>INDEX(Muuttujat!$J$5:$J$21,MATCH($C129,Muuttujat!$H$5:$H$21,0),1)</f>
        <v>66.51860537025</v>
      </c>
      <c r="P129" s="342">
        <f>1-(INDEX(Muuttujat!$O$5:$O$21,MATCH($C129,Muuttujat!$N$5:$N$21,0),1))</f>
        <v>0.95</v>
      </c>
      <c r="Q129" s="342">
        <f>INDEX(Muuttujat!$O$5:$O$21,MATCH($C129,Muuttujat!$N$5:$N$21,0),1)</f>
        <v>0.05</v>
      </c>
      <c r="R129" s="148">
        <f>INDEX(Muuttujat!$P$5:$P$21,MATCH($C129,Muuttujat!$N$5:$N$21,0),1)</f>
        <v>5.2210587442409327E-2</v>
      </c>
      <c r="S129" s="149">
        <f t="shared" si="25"/>
        <v>6.7036787999999996</v>
      </c>
      <c r="T129" s="150">
        <f t="shared" si="26"/>
        <v>1.1648832</v>
      </c>
      <c r="U129" s="150">
        <f t="shared" si="27"/>
        <v>0</v>
      </c>
      <c r="V129" s="150">
        <f>IFERROR(INDEX(Työkonekanta!$J$3:$J$27,MATCH($A129,Työkonekanta!$A$3:$A$24,0),1)*$B129*ef_li_ion_akku/1000/1000/INDEX(Työkonekanta!$K$3:$K$27,MATCH($A129,Työkonekanta!$A$3:$A$24,0)),0)</f>
        <v>0</v>
      </c>
      <c r="W129" s="149">
        <f t="shared" si="40"/>
        <v>26.179197326567998</v>
      </c>
      <c r="X129" s="150">
        <f t="shared" si="41"/>
        <v>0.3304554864</v>
      </c>
      <c r="Y129" s="151">
        <f t="shared" si="42"/>
        <v>0</v>
      </c>
      <c r="Z129" s="152">
        <f t="shared" si="34"/>
        <v>7.8685619999999998</v>
      </c>
      <c r="AA129" s="179">
        <f t="shared" si="35"/>
        <v>26.179197326567998</v>
      </c>
      <c r="AB129" s="179">
        <f t="shared" si="36"/>
        <v>26.509652812968</v>
      </c>
      <c r="AC129" s="180">
        <f t="shared" si="43"/>
        <v>34.047759326567999</v>
      </c>
      <c r="AD129" s="156">
        <f t="shared" si="37"/>
        <v>34.378214812967997</v>
      </c>
      <c r="AE129" s="146">
        <f>IFERROR(INDEX(Työkonekanta!$L$3:$L$30,MATCH($A129,Työkonekanta!$A$3:$A$30,0),1),0)*AF129</f>
        <v>500000</v>
      </c>
      <c r="AF129" s="146">
        <f>IFERROR(INDEX(Työkonekanta!$N$3:$N$32,MATCH($A129,Työkonekanta!$A$3:$A$32,0),1),0)</f>
        <v>1</v>
      </c>
      <c r="AG129" s="332">
        <f>I129*INDEX(Muuttujat!$U$5:$U$21,MATCH($C129,Muuttujat!$N$5:$N$21,0),1)</f>
        <v>9978.7999999999993</v>
      </c>
      <c r="AH129" s="332">
        <f>J129*INDEX(Muuttujat!$T$5:$T$21,MATCH($C129,Muuttujat!$N$5:$N$21,0),1)</f>
        <v>767.40174927113719</v>
      </c>
      <c r="AI129" s="332">
        <f t="shared" si="28"/>
        <v>0</v>
      </c>
      <c r="AJ129" s="332">
        <f t="shared" si="29"/>
        <v>0</v>
      </c>
      <c r="AK129" s="332">
        <f t="shared" si="38"/>
        <v>10746.201749271137</v>
      </c>
      <c r="AL129" s="332">
        <f t="shared" si="30"/>
        <v>10746.201749271137</v>
      </c>
    </row>
    <row r="130" spans="1:38">
      <c r="A130" s="139">
        <v>8</v>
      </c>
      <c r="B130" s="139">
        <f>IFERROR(INDEX(Työkonekanta!$F$3:$F$27,MATCH('S0b Baseline kasvu'!$A130,Työkonekanta!$A$3:$A$24,0),1),0)</f>
        <v>1</v>
      </c>
      <c r="C130" s="140">
        <v>2023</v>
      </c>
      <c r="D130" s="141" t="str">
        <f>IFERROR(INDEX(Työkonekanta!$D$3:$D$27,MATCH('S0b Baseline kasvu'!$A130,Työkonekanta!$A$3:$A$24,0),1),"undefined")</f>
        <v>pom</v>
      </c>
      <c r="E130" s="145">
        <f>IFERROR(INDEX(Työkonekanta!$G$3:$G$27,MATCH($A130,Työkonekanta!$A$3:$A$24,0),1)*INDEX(Työkonekanta!$H$3:$H$27,MATCH($A130,Työkonekanta!$A$3:$A$24,0),1)*(1+s0b_kasvu*($C130-2019))*$B130,0)</f>
        <v>10400</v>
      </c>
      <c r="F130" s="145">
        <f t="shared" si="22"/>
        <v>373360</v>
      </c>
      <c r="G130" s="145">
        <f t="shared" si="31"/>
        <v>354692</v>
      </c>
      <c r="H130" s="145">
        <f t="shared" si="32"/>
        <v>18668</v>
      </c>
      <c r="I130" s="145">
        <f t="shared" si="23"/>
        <v>9880</v>
      </c>
      <c r="J130" s="145">
        <f t="shared" si="24"/>
        <v>544.25655976676387</v>
      </c>
      <c r="K130" s="142" t="str">
        <f t="shared" si="33"/>
        <v>l</v>
      </c>
      <c r="L130" s="146">
        <f>IFERROR(INDEX(Työkonekanta!$I$3:$I$27,MATCH('S0b Baseline kasvu'!$A130,Työkonekanta!$A$3:$A$24,0),1)*(I130+J130)*f_adblue,0)</f>
        <v>521.21282798833818</v>
      </c>
      <c r="M130" s="146">
        <f t="shared" si="39"/>
        <v>0</v>
      </c>
      <c r="N130" s="143" t="str">
        <f>IF(tuulisähkö_vuosi&lt;='S0b Baseline kasvu'!C130,"tuulisähkö",ostosähkö_nyt)</f>
        <v>jäännössähkö</v>
      </c>
      <c r="O130" s="147">
        <f>INDEX(Muuttujat!$J$5:$J$21,MATCH($C130,Muuttujat!$H$5:$H$21,0),1)</f>
        <v>66.51860537025</v>
      </c>
      <c r="P130" s="342">
        <f>1-(INDEX(Muuttujat!$O$5:$O$21,MATCH($C130,Muuttujat!$N$5:$N$21,0),1))</f>
        <v>0.95</v>
      </c>
      <c r="Q130" s="342">
        <f>INDEX(Muuttujat!$O$5:$O$21,MATCH($C130,Muuttujat!$N$5:$N$21,0),1)</f>
        <v>0.05</v>
      </c>
      <c r="R130" s="148">
        <f>INDEX(Muuttujat!$P$5:$P$21,MATCH($C130,Muuttujat!$N$5:$N$21,0),1)</f>
        <v>5.2210587442409327E-2</v>
      </c>
      <c r="S130" s="149">
        <f t="shared" si="25"/>
        <v>6.7036787999999996</v>
      </c>
      <c r="T130" s="150">
        <f t="shared" si="26"/>
        <v>1.1648832</v>
      </c>
      <c r="U130" s="150">
        <f t="shared" si="27"/>
        <v>0</v>
      </c>
      <c r="V130" s="150">
        <f>IFERROR(INDEX(Työkonekanta!$J$3:$J$27,MATCH($A130,Työkonekanta!$A$3:$A$24,0),1)*$B130*ef_li_ion_akku/1000/1000/INDEX(Työkonekanta!$K$3:$K$27,MATCH($A130,Työkonekanta!$A$3:$A$24,0)),0)</f>
        <v>0</v>
      </c>
      <c r="W130" s="149">
        <f t="shared" si="40"/>
        <v>26.179197326567998</v>
      </c>
      <c r="X130" s="150">
        <f t="shared" si="41"/>
        <v>0.3304554864</v>
      </c>
      <c r="Y130" s="151">
        <f t="shared" si="42"/>
        <v>0.13551533527696794</v>
      </c>
      <c r="Z130" s="152">
        <f t="shared" si="34"/>
        <v>7.8685619999999998</v>
      </c>
      <c r="AA130" s="179">
        <f t="shared" si="35"/>
        <v>26.314712661844965</v>
      </c>
      <c r="AB130" s="179">
        <f t="shared" si="36"/>
        <v>26.645168148244966</v>
      </c>
      <c r="AC130" s="180">
        <f t="shared" si="43"/>
        <v>34.183274661844962</v>
      </c>
      <c r="AD130" s="156">
        <f t="shared" si="37"/>
        <v>34.513730148244967</v>
      </c>
      <c r="AE130" s="146">
        <f>IFERROR(INDEX(Työkonekanta!$L$3:$L$30,MATCH($A130,Työkonekanta!$A$3:$A$30,0),1),0)*AF130</f>
        <v>500000</v>
      </c>
      <c r="AF130" s="146">
        <f>IFERROR(INDEX(Työkonekanta!$N$3:$N$32,MATCH($A130,Työkonekanta!$A$3:$A$32,0),1),0)</f>
        <v>1</v>
      </c>
      <c r="AG130" s="332">
        <f>I130*INDEX(Muuttujat!$U$5:$U$21,MATCH($C130,Muuttujat!$N$5:$N$21,0),1)</f>
        <v>9978.7999999999993</v>
      </c>
      <c r="AH130" s="332">
        <f>J130*INDEX(Muuttujat!$T$5:$T$21,MATCH($C130,Muuttujat!$N$5:$N$21,0),1)</f>
        <v>767.40174927113719</v>
      </c>
      <c r="AI130" s="332">
        <f t="shared" si="28"/>
        <v>260.60641399416909</v>
      </c>
      <c r="AJ130" s="332">
        <f t="shared" si="29"/>
        <v>0</v>
      </c>
      <c r="AK130" s="332">
        <f t="shared" si="38"/>
        <v>11006.808163265305</v>
      </c>
      <c r="AL130" s="332">
        <f t="shared" si="30"/>
        <v>11006.808163265305</v>
      </c>
    </row>
    <row r="131" spans="1:38">
      <c r="A131" s="139">
        <v>9</v>
      </c>
      <c r="B131" s="139">
        <f>IFERROR(INDEX(Työkonekanta!$F$3:$F$27,MATCH('S0b Baseline kasvu'!$A131,Työkonekanta!$A$3:$A$24,0),1),0)</f>
        <v>0</v>
      </c>
      <c r="C131" s="140">
        <v>2023</v>
      </c>
      <c r="D131" s="141" t="str">
        <f>IFERROR(INDEX(Työkonekanta!$D$3:$D$27,MATCH('S0b Baseline kasvu'!$A131,Työkonekanta!$A$3:$A$24,0),1),"undefined")</f>
        <v>sähkö</v>
      </c>
      <c r="E131" s="145">
        <f>IFERROR(INDEX(Työkonekanta!$G$3:$G$27,MATCH($A131,Työkonekanta!$A$3:$A$24,0),1)*INDEX(Työkonekanta!$H$3:$H$27,MATCH($A131,Työkonekanta!$A$3:$A$24,0),1)*(1+s0b_kasvu*($C131-2019))*$B131,0)</f>
        <v>0</v>
      </c>
      <c r="F131" s="145">
        <f t="shared" ref="F131:F194" si="44">IF(D131="pom",$E131*hv_pom,0)</f>
        <v>0</v>
      </c>
      <c r="G131" s="145">
        <f t="shared" si="31"/>
        <v>0</v>
      </c>
      <c r="H131" s="145">
        <f t="shared" si="32"/>
        <v>0</v>
      </c>
      <c r="I131" s="145">
        <f t="shared" ref="I131:I194" si="45">$G131/hv_pom</f>
        <v>0</v>
      </c>
      <c r="J131" s="145">
        <f t="shared" ref="J131:J194" si="46">$H131/hv_biodies</f>
        <v>0</v>
      </c>
      <c r="K131" s="142" t="str">
        <f t="shared" si="33"/>
        <v>kWh</v>
      </c>
      <c r="L131" s="146">
        <f>IFERROR(INDEX(Työkonekanta!$I$3:$I$27,MATCH('S0b Baseline kasvu'!$A131,Työkonekanta!$A$3:$A$24,0),1)*(I131+J131)*f_adblue,0)</f>
        <v>0</v>
      </c>
      <c r="M131" s="146">
        <f t="shared" si="39"/>
        <v>0</v>
      </c>
      <c r="N131" s="143" t="str">
        <f>IF(tuulisähkö_vuosi&lt;='S0b Baseline kasvu'!C131,"tuulisähkö",ostosähkö_nyt)</f>
        <v>jäännössähkö</v>
      </c>
      <c r="O131" s="147">
        <f>INDEX(Muuttujat!$J$5:$J$21,MATCH($C131,Muuttujat!$H$5:$H$21,0),1)</f>
        <v>66.51860537025</v>
      </c>
      <c r="P131" s="342">
        <f>1-(INDEX(Muuttujat!$O$5:$O$21,MATCH($C131,Muuttujat!$N$5:$N$21,0),1))</f>
        <v>0.95</v>
      </c>
      <c r="Q131" s="342">
        <f>INDEX(Muuttujat!$O$5:$O$21,MATCH($C131,Muuttujat!$N$5:$N$21,0),1)</f>
        <v>0.05</v>
      </c>
      <c r="R131" s="148">
        <f>INDEX(Muuttujat!$P$5:$P$21,MATCH($C131,Muuttujat!$N$5:$N$21,0),1)</f>
        <v>5.2210587442409327E-2</v>
      </c>
      <c r="S131" s="149">
        <f t="shared" ref="S131:S194" si="47">wtt_ef_e_co2_dies*$G131/1000/1000</f>
        <v>0</v>
      </c>
      <c r="T131" s="150">
        <f t="shared" ref="T131:T194" si="48">wtt_ef_e_co2_biodies*$H131/1000/1000</f>
        <v>0</v>
      </c>
      <c r="U131" s="150">
        <f t="shared" ref="U131:U194" si="49">IF(N131="jäännössähkö",$O131,IF(N131="tuulisähkö",wtt_ef_e_co2_el_wind,0))*$M131/1000/1000</f>
        <v>0</v>
      </c>
      <c r="V131" s="150">
        <f>IFERROR(INDEX(Työkonekanta!$J$3:$J$27,MATCH($A131,Työkonekanta!$A$3:$A$24,0),1)*$B131*ef_li_ion_akku/1000/1000/INDEX(Työkonekanta!$K$3:$K$27,MATCH($A131,Työkonekanta!$A$3:$A$24,0)),0)</f>
        <v>0</v>
      </c>
      <c r="W131" s="149">
        <f t="shared" si="40"/>
        <v>0</v>
      </c>
      <c r="X131" s="150">
        <f t="shared" si="41"/>
        <v>0</v>
      </c>
      <c r="Y131" s="151">
        <f t="shared" si="42"/>
        <v>0</v>
      </c>
      <c r="Z131" s="152">
        <f t="shared" si="34"/>
        <v>0</v>
      </c>
      <c r="AA131" s="179">
        <f t="shared" si="35"/>
        <v>0</v>
      </c>
      <c r="AB131" s="179">
        <f t="shared" si="36"/>
        <v>0</v>
      </c>
      <c r="AC131" s="180">
        <f t="shared" si="43"/>
        <v>0</v>
      </c>
      <c r="AD131" s="156">
        <f t="shared" si="37"/>
        <v>0</v>
      </c>
      <c r="AE131" s="146">
        <f>IFERROR(INDEX(Työkonekanta!$L$3:$L$30,MATCH($A131,Työkonekanta!$A$3:$A$30,0),1),0)*AF131</f>
        <v>0</v>
      </c>
      <c r="AF131" s="146">
        <f>IFERROR(INDEX(Työkonekanta!$N$3:$N$32,MATCH($A131,Työkonekanta!$A$3:$A$32,0),1),0)</f>
        <v>0</v>
      </c>
      <c r="AG131" s="332">
        <f>I131*INDEX(Muuttujat!$U$5:$U$21,MATCH($C131,Muuttujat!$N$5:$N$21,0),1)</f>
        <v>0</v>
      </c>
      <c r="AH131" s="332">
        <f>J131*INDEX(Muuttujat!$T$5:$T$21,MATCH($C131,Muuttujat!$N$5:$N$21,0),1)</f>
        <v>0</v>
      </c>
      <c r="AI131" s="332">
        <f t="shared" ref="AI131:AI194" si="50">L131*hinta_adblue</f>
        <v>0</v>
      </c>
      <c r="AJ131" s="332">
        <f t="shared" ref="AJ131:AJ194" si="51">M131/conv_kwh_mj*hinta_sähkö3</f>
        <v>0</v>
      </c>
      <c r="AK131" s="332">
        <f t="shared" si="38"/>
        <v>0</v>
      </c>
      <c r="AL131" s="332">
        <f t="shared" ref="AL131:AL194" si="52">IFERROR(AK131/B131,0)</f>
        <v>0</v>
      </c>
    </row>
    <row r="132" spans="1:38">
      <c r="A132" s="139">
        <v>10</v>
      </c>
      <c r="B132" s="139">
        <f>IFERROR(INDEX(Työkonekanta!$F$3:$F$27,MATCH('S0b Baseline kasvu'!$A132,Työkonekanta!$A$3:$A$24,0),1),0)</f>
        <v>0</v>
      </c>
      <c r="C132" s="140">
        <v>2023</v>
      </c>
      <c r="D132" s="141" t="str">
        <f>IFERROR(INDEX(Työkonekanta!$D$3:$D$27,MATCH('S0b Baseline kasvu'!$A132,Työkonekanta!$A$3:$A$24,0),1),"undefined")</f>
        <v>sähkö</v>
      </c>
      <c r="E132" s="145">
        <f>IFERROR(INDEX(Työkonekanta!$G$3:$G$27,MATCH($A132,Työkonekanta!$A$3:$A$24,0),1)*INDEX(Työkonekanta!$H$3:$H$27,MATCH($A132,Työkonekanta!$A$3:$A$24,0),1)*(1+s0b_kasvu*($C132-2019))*$B132,0)</f>
        <v>0</v>
      </c>
      <c r="F132" s="145">
        <f t="shared" si="44"/>
        <v>0</v>
      </c>
      <c r="G132" s="145">
        <f t="shared" ref="G132:G195" si="53">$F132*$P132</f>
        <v>0</v>
      </c>
      <c r="H132" s="145">
        <f t="shared" ref="H132:H195" si="54">$F132*$Q132</f>
        <v>0</v>
      </c>
      <c r="I132" s="145">
        <f t="shared" si="45"/>
        <v>0</v>
      </c>
      <c r="J132" s="145">
        <f t="shared" si="46"/>
        <v>0</v>
      </c>
      <c r="K132" s="142" t="str">
        <f t="shared" ref="K132:K195" si="55">IF($D132="sähkö","kWh",IF($D132="pom","l","undefined"))</f>
        <v>kWh</v>
      </c>
      <c r="L132" s="146">
        <f>IFERROR(INDEX(Työkonekanta!$I$3:$I$27,MATCH('S0b Baseline kasvu'!$A132,Työkonekanta!$A$3:$A$24,0),1)*(I132+J132)*f_adblue,0)</f>
        <v>0</v>
      </c>
      <c r="M132" s="146">
        <f t="shared" si="39"/>
        <v>0</v>
      </c>
      <c r="N132" s="143" t="str">
        <f>IF(tuulisähkö_vuosi&lt;='S0b Baseline kasvu'!C132,"tuulisähkö",ostosähkö_nyt)</f>
        <v>jäännössähkö</v>
      </c>
      <c r="O132" s="147">
        <f>INDEX(Muuttujat!$J$5:$J$21,MATCH($C132,Muuttujat!$H$5:$H$21,0),1)</f>
        <v>66.51860537025</v>
      </c>
      <c r="P132" s="342">
        <f>1-(INDEX(Muuttujat!$O$5:$O$21,MATCH($C132,Muuttujat!$N$5:$N$21,0),1))</f>
        <v>0.95</v>
      </c>
      <c r="Q132" s="342">
        <f>INDEX(Muuttujat!$O$5:$O$21,MATCH($C132,Muuttujat!$N$5:$N$21,0),1)</f>
        <v>0.05</v>
      </c>
      <c r="R132" s="148">
        <f>INDEX(Muuttujat!$P$5:$P$21,MATCH($C132,Muuttujat!$N$5:$N$21,0),1)</f>
        <v>5.2210587442409327E-2</v>
      </c>
      <c r="S132" s="149">
        <f t="shared" si="47"/>
        <v>0</v>
      </c>
      <c r="T132" s="150">
        <f t="shared" si="48"/>
        <v>0</v>
      </c>
      <c r="U132" s="150">
        <f t="shared" si="49"/>
        <v>0</v>
      </c>
      <c r="V132" s="150">
        <f>IFERROR(INDEX(Työkonekanta!$J$3:$J$27,MATCH($A132,Työkonekanta!$A$3:$A$24,0),1)*$B132*ef_li_ion_akku/1000/1000/INDEX(Työkonekanta!$K$3:$K$27,MATCH($A132,Työkonekanta!$A$3:$A$24,0)),0)</f>
        <v>0</v>
      </c>
      <c r="W132" s="149">
        <f t="shared" si="40"/>
        <v>0</v>
      </c>
      <c r="X132" s="150">
        <f t="shared" si="41"/>
        <v>0</v>
      </c>
      <c r="Y132" s="151">
        <f t="shared" si="42"/>
        <v>0</v>
      </c>
      <c r="Z132" s="152">
        <f t="shared" ref="Z132:Z195" si="56">SUM($S132:$V132)</f>
        <v>0</v>
      </c>
      <c r="AA132" s="179">
        <f t="shared" ref="AA132:AA195" si="57">$W132+$Y132</f>
        <v>0</v>
      </c>
      <c r="AB132" s="179">
        <f t="shared" ref="AB132:AB195" si="58">SUM($W132:$Y132)</f>
        <v>0</v>
      </c>
      <c r="AC132" s="180">
        <f t="shared" si="43"/>
        <v>0</v>
      </c>
      <c r="AD132" s="156">
        <f t="shared" ref="AD132:AD195" si="59">$Z132+$AB132</f>
        <v>0</v>
      </c>
      <c r="AE132" s="146">
        <f>IFERROR(INDEX(Työkonekanta!$L$3:$L$30,MATCH($A132,Työkonekanta!$A$3:$A$30,0),1),0)*AF132</f>
        <v>0</v>
      </c>
      <c r="AF132" s="146">
        <f>IFERROR(INDEX(Työkonekanta!$N$3:$N$32,MATCH($A132,Työkonekanta!$A$3:$A$32,0),1),0)</f>
        <v>0</v>
      </c>
      <c r="AG132" s="332">
        <f>I132*INDEX(Muuttujat!$U$5:$U$21,MATCH($C132,Muuttujat!$N$5:$N$21,0),1)</f>
        <v>0</v>
      </c>
      <c r="AH132" s="332">
        <f>J132*INDEX(Muuttujat!$T$5:$T$21,MATCH($C132,Muuttujat!$N$5:$N$21,0),1)</f>
        <v>0</v>
      </c>
      <c r="AI132" s="332">
        <f t="shared" si="50"/>
        <v>0</v>
      </c>
      <c r="AJ132" s="332">
        <f t="shared" si="51"/>
        <v>0</v>
      </c>
      <c r="AK132" s="332">
        <f t="shared" ref="AK132:AK195" si="60">SUM(AG132:AJ132)</f>
        <v>0</v>
      </c>
      <c r="AL132" s="332">
        <f t="shared" si="52"/>
        <v>0</v>
      </c>
    </row>
    <row r="133" spans="1:38">
      <c r="A133" s="139">
        <v>11</v>
      </c>
      <c r="B133" s="139">
        <f>IFERROR(INDEX(Työkonekanta!$F$3:$F$27,MATCH('S0b Baseline kasvu'!$A133,Työkonekanta!$A$3:$A$24,0),1),0)</f>
        <v>1</v>
      </c>
      <c r="C133" s="140">
        <v>2023</v>
      </c>
      <c r="D133" s="141" t="str">
        <f>IFERROR(INDEX(Työkonekanta!$D$3:$D$27,MATCH('S0b Baseline kasvu'!$A133,Työkonekanta!$A$3:$A$24,0),1),"undefined")</f>
        <v>pom</v>
      </c>
      <c r="E133" s="145">
        <f>IFERROR(INDEX(Työkonekanta!$G$3:$G$27,MATCH($A133,Työkonekanta!$A$3:$A$24,0),1)*INDEX(Työkonekanta!$H$3:$H$27,MATCH($A133,Työkonekanta!$A$3:$A$24,0),1)*(1+s0b_kasvu*($C133-2019))*$B133,0)</f>
        <v>10400</v>
      </c>
      <c r="F133" s="145">
        <f t="shared" si="44"/>
        <v>373360</v>
      </c>
      <c r="G133" s="145">
        <f t="shared" si="53"/>
        <v>354692</v>
      </c>
      <c r="H133" s="145">
        <f t="shared" si="54"/>
        <v>18668</v>
      </c>
      <c r="I133" s="145">
        <f t="shared" si="45"/>
        <v>9880</v>
      </c>
      <c r="J133" s="145">
        <f t="shared" si="46"/>
        <v>544.25655976676387</v>
      </c>
      <c r="K133" s="142" t="str">
        <f t="shared" si="55"/>
        <v>l</v>
      </c>
      <c r="L133" s="146">
        <f>IFERROR(INDEX(Työkonekanta!$I$3:$I$27,MATCH('S0b Baseline kasvu'!$A133,Työkonekanta!$A$3:$A$24,0),1)*(I133+J133)*f_adblue,0)</f>
        <v>521.21282798833818</v>
      </c>
      <c r="M133" s="146">
        <f t="shared" si="39"/>
        <v>0</v>
      </c>
      <c r="N133" s="143" t="str">
        <f>IF(tuulisähkö_vuosi&lt;='S0b Baseline kasvu'!C133,"tuulisähkö",ostosähkö_nyt)</f>
        <v>jäännössähkö</v>
      </c>
      <c r="O133" s="147">
        <f>INDEX(Muuttujat!$J$5:$J$21,MATCH($C133,Muuttujat!$H$5:$H$21,0),1)</f>
        <v>66.51860537025</v>
      </c>
      <c r="P133" s="342">
        <f>1-(INDEX(Muuttujat!$O$5:$O$21,MATCH($C133,Muuttujat!$N$5:$N$21,0),1))</f>
        <v>0.95</v>
      </c>
      <c r="Q133" s="342">
        <f>INDEX(Muuttujat!$O$5:$O$21,MATCH($C133,Muuttujat!$N$5:$N$21,0),1)</f>
        <v>0.05</v>
      </c>
      <c r="R133" s="148">
        <f>INDEX(Muuttujat!$P$5:$P$21,MATCH($C133,Muuttujat!$N$5:$N$21,0),1)</f>
        <v>5.2210587442409327E-2</v>
      </c>
      <c r="S133" s="149">
        <f t="shared" si="47"/>
        <v>6.7036787999999996</v>
      </c>
      <c r="T133" s="150">
        <f t="shared" si="48"/>
        <v>1.1648832</v>
      </c>
      <c r="U133" s="150">
        <f t="shared" si="49"/>
        <v>0</v>
      </c>
      <c r="V133" s="150">
        <f>IFERROR(INDEX(Työkonekanta!$J$3:$J$27,MATCH($A133,Työkonekanta!$A$3:$A$24,0),1)*$B133*ef_li_ion_akku/1000/1000/INDEX(Työkonekanta!$K$3:$K$27,MATCH($A133,Työkonekanta!$A$3:$A$24,0)),0)</f>
        <v>0</v>
      </c>
      <c r="W133" s="149">
        <f t="shared" si="40"/>
        <v>26.179197326567998</v>
      </c>
      <c r="X133" s="150">
        <f t="shared" si="41"/>
        <v>0.3304554864</v>
      </c>
      <c r="Y133" s="151">
        <f t="shared" si="42"/>
        <v>0.13551533527696794</v>
      </c>
      <c r="Z133" s="152">
        <f t="shared" si="56"/>
        <v>7.8685619999999998</v>
      </c>
      <c r="AA133" s="179">
        <f t="shared" si="57"/>
        <v>26.314712661844965</v>
      </c>
      <c r="AB133" s="179">
        <f t="shared" si="58"/>
        <v>26.645168148244966</v>
      </c>
      <c r="AC133" s="180">
        <f t="shared" si="43"/>
        <v>34.183274661844962</v>
      </c>
      <c r="AD133" s="156">
        <f t="shared" si="59"/>
        <v>34.513730148244967</v>
      </c>
      <c r="AE133" s="146">
        <f>IFERROR(INDEX(Työkonekanta!$L$3:$L$30,MATCH($A133,Työkonekanta!$A$3:$A$30,0),1),0)*AF133</f>
        <v>500000</v>
      </c>
      <c r="AF133" s="146">
        <f>IFERROR(INDEX(Työkonekanta!$N$3:$N$32,MATCH($A133,Työkonekanta!$A$3:$A$32,0),1),0)</f>
        <v>1</v>
      </c>
      <c r="AG133" s="332">
        <f>I133*INDEX(Muuttujat!$U$5:$U$21,MATCH($C133,Muuttujat!$N$5:$N$21,0),1)</f>
        <v>9978.7999999999993</v>
      </c>
      <c r="AH133" s="332">
        <f>J133*INDEX(Muuttujat!$T$5:$T$21,MATCH($C133,Muuttujat!$N$5:$N$21,0),1)</f>
        <v>767.40174927113719</v>
      </c>
      <c r="AI133" s="332">
        <f t="shared" si="50"/>
        <v>260.60641399416909</v>
      </c>
      <c r="AJ133" s="332">
        <f t="shared" si="51"/>
        <v>0</v>
      </c>
      <c r="AK133" s="332">
        <f t="shared" si="60"/>
        <v>11006.808163265305</v>
      </c>
      <c r="AL133" s="332">
        <f t="shared" si="52"/>
        <v>11006.808163265305</v>
      </c>
    </row>
    <row r="134" spans="1:38">
      <c r="A134" s="139">
        <v>12</v>
      </c>
      <c r="B134" s="139">
        <f>IFERROR(INDEX(Työkonekanta!$F$3:$F$27,MATCH('S0b Baseline kasvu'!$A134,Työkonekanta!$A$3:$A$24,0),1),0)</f>
        <v>1</v>
      </c>
      <c r="C134" s="140">
        <v>2023</v>
      </c>
      <c r="D134" s="141" t="str">
        <f>IFERROR(INDEX(Työkonekanta!$D$3:$D$27,MATCH('S0b Baseline kasvu'!$A134,Työkonekanta!$A$3:$A$24,0),1),"undefined")</f>
        <v>pom</v>
      </c>
      <c r="E134" s="145">
        <f>IFERROR(INDEX(Työkonekanta!$G$3:$G$27,MATCH($A134,Työkonekanta!$A$3:$A$24,0),1)*INDEX(Työkonekanta!$H$3:$H$27,MATCH($A134,Työkonekanta!$A$3:$A$24,0),1)*(1+s0b_kasvu*($C134-2019))*$B134,0)</f>
        <v>10400</v>
      </c>
      <c r="F134" s="145">
        <f t="shared" si="44"/>
        <v>373360</v>
      </c>
      <c r="G134" s="145">
        <f t="shared" si="53"/>
        <v>354692</v>
      </c>
      <c r="H134" s="145">
        <f t="shared" si="54"/>
        <v>18668</v>
      </c>
      <c r="I134" s="145">
        <f t="shared" si="45"/>
        <v>9880</v>
      </c>
      <c r="J134" s="145">
        <f t="shared" si="46"/>
        <v>544.25655976676387</v>
      </c>
      <c r="K134" s="142" t="str">
        <f t="shared" si="55"/>
        <v>l</v>
      </c>
      <c r="L134" s="146">
        <f>IFERROR(INDEX(Työkonekanta!$I$3:$I$27,MATCH('S0b Baseline kasvu'!$A134,Työkonekanta!$A$3:$A$24,0),1)*(I134+J134)*f_adblue,0)</f>
        <v>521.21282798833818</v>
      </c>
      <c r="M134" s="146">
        <f t="shared" si="39"/>
        <v>0</v>
      </c>
      <c r="N134" s="143" t="str">
        <f>IF(tuulisähkö_vuosi&lt;='S0b Baseline kasvu'!C134,"tuulisähkö",ostosähkö_nyt)</f>
        <v>jäännössähkö</v>
      </c>
      <c r="O134" s="147">
        <f>INDEX(Muuttujat!$J$5:$J$21,MATCH($C134,Muuttujat!$H$5:$H$21,0),1)</f>
        <v>66.51860537025</v>
      </c>
      <c r="P134" s="342">
        <f>1-(INDEX(Muuttujat!$O$5:$O$21,MATCH($C134,Muuttujat!$N$5:$N$21,0),1))</f>
        <v>0.95</v>
      </c>
      <c r="Q134" s="342">
        <f>INDEX(Muuttujat!$O$5:$O$21,MATCH($C134,Muuttujat!$N$5:$N$21,0),1)</f>
        <v>0.05</v>
      </c>
      <c r="R134" s="148">
        <f>INDEX(Muuttujat!$P$5:$P$21,MATCH($C134,Muuttujat!$N$5:$N$21,0),1)</f>
        <v>5.2210587442409327E-2</v>
      </c>
      <c r="S134" s="149">
        <f t="shared" si="47"/>
        <v>6.7036787999999996</v>
      </c>
      <c r="T134" s="150">
        <f t="shared" si="48"/>
        <v>1.1648832</v>
      </c>
      <c r="U134" s="150">
        <f t="shared" si="49"/>
        <v>0</v>
      </c>
      <c r="V134" s="150">
        <f>IFERROR(INDEX(Työkonekanta!$J$3:$J$27,MATCH($A134,Työkonekanta!$A$3:$A$24,0),1)*$B134*ef_li_ion_akku/1000/1000/INDEX(Työkonekanta!$K$3:$K$27,MATCH($A134,Työkonekanta!$A$3:$A$24,0)),0)</f>
        <v>0</v>
      </c>
      <c r="W134" s="149">
        <f t="shared" si="40"/>
        <v>26.179197326567998</v>
      </c>
      <c r="X134" s="150">
        <f t="shared" si="41"/>
        <v>0.3304554864</v>
      </c>
      <c r="Y134" s="151">
        <f t="shared" si="42"/>
        <v>0.13551533527696794</v>
      </c>
      <c r="Z134" s="152">
        <f t="shared" si="56"/>
        <v>7.8685619999999998</v>
      </c>
      <c r="AA134" s="179">
        <f t="shared" si="57"/>
        <v>26.314712661844965</v>
      </c>
      <c r="AB134" s="179">
        <f t="shared" si="58"/>
        <v>26.645168148244966</v>
      </c>
      <c r="AC134" s="180">
        <f t="shared" si="43"/>
        <v>34.183274661844962</v>
      </c>
      <c r="AD134" s="156">
        <f t="shared" si="59"/>
        <v>34.513730148244967</v>
      </c>
      <c r="AE134" s="146">
        <f>IFERROR(INDEX(Työkonekanta!$L$3:$L$30,MATCH($A134,Työkonekanta!$A$3:$A$30,0),1),0)*AF134</f>
        <v>500000</v>
      </c>
      <c r="AF134" s="146">
        <f>IFERROR(INDEX(Työkonekanta!$N$3:$N$32,MATCH($A134,Työkonekanta!$A$3:$A$32,0),1),0)</f>
        <v>1</v>
      </c>
      <c r="AG134" s="332">
        <f>I134*INDEX(Muuttujat!$U$5:$U$21,MATCH($C134,Muuttujat!$N$5:$N$21,0),1)</f>
        <v>9978.7999999999993</v>
      </c>
      <c r="AH134" s="332">
        <f>J134*INDEX(Muuttujat!$T$5:$T$21,MATCH($C134,Muuttujat!$N$5:$N$21,0),1)</f>
        <v>767.40174927113719</v>
      </c>
      <c r="AI134" s="332">
        <f t="shared" si="50"/>
        <v>260.60641399416909</v>
      </c>
      <c r="AJ134" s="332">
        <f t="shared" si="51"/>
        <v>0</v>
      </c>
      <c r="AK134" s="332">
        <f t="shared" si="60"/>
        <v>11006.808163265305</v>
      </c>
      <c r="AL134" s="332">
        <f t="shared" si="52"/>
        <v>11006.808163265305</v>
      </c>
    </row>
    <row r="135" spans="1:38">
      <c r="A135" s="139">
        <v>13</v>
      </c>
      <c r="B135" s="139">
        <f>IFERROR(INDEX(Työkonekanta!$F$3:$F$27,MATCH('S0b Baseline kasvu'!$A135,Työkonekanta!$A$3:$A$24,0),1),0)</f>
        <v>0</v>
      </c>
      <c r="C135" s="140">
        <v>2023</v>
      </c>
      <c r="D135" s="141" t="str">
        <f>IFERROR(INDEX(Työkonekanta!$D$3:$D$27,MATCH('S0b Baseline kasvu'!$A135,Työkonekanta!$A$3:$A$24,0),1),"undefined")</f>
        <v>pom</v>
      </c>
      <c r="E135" s="145">
        <f>IFERROR(INDEX(Työkonekanta!$G$3:$G$27,MATCH($A135,Työkonekanta!$A$3:$A$24,0),1)*INDEX(Työkonekanta!$H$3:$H$27,MATCH($A135,Työkonekanta!$A$3:$A$24,0),1)*(1+s0b_kasvu*($C135-2019))*$B135,0)</f>
        <v>0</v>
      </c>
      <c r="F135" s="145">
        <f t="shared" si="44"/>
        <v>0</v>
      </c>
      <c r="G135" s="145">
        <f t="shared" si="53"/>
        <v>0</v>
      </c>
      <c r="H135" s="145">
        <f t="shared" si="54"/>
        <v>0</v>
      </c>
      <c r="I135" s="145">
        <f t="shared" si="45"/>
        <v>0</v>
      </c>
      <c r="J135" s="145">
        <f t="shared" si="46"/>
        <v>0</v>
      </c>
      <c r="K135" s="142" t="str">
        <f t="shared" si="55"/>
        <v>l</v>
      </c>
      <c r="L135" s="146">
        <f>IFERROR(INDEX(Työkonekanta!$I$3:$I$27,MATCH('S0b Baseline kasvu'!$A135,Työkonekanta!$A$3:$A$24,0),1)*(I135+J135)*f_adblue,0)</f>
        <v>0</v>
      </c>
      <c r="M135" s="146">
        <f t="shared" si="39"/>
        <v>0</v>
      </c>
      <c r="N135" s="143" t="str">
        <f>IF(tuulisähkö_vuosi&lt;='S0b Baseline kasvu'!C135,"tuulisähkö",ostosähkö_nyt)</f>
        <v>jäännössähkö</v>
      </c>
      <c r="O135" s="147">
        <f>INDEX(Muuttujat!$J$5:$J$21,MATCH($C135,Muuttujat!$H$5:$H$21,0),1)</f>
        <v>66.51860537025</v>
      </c>
      <c r="P135" s="342">
        <f>1-(INDEX(Muuttujat!$O$5:$O$21,MATCH($C135,Muuttujat!$N$5:$N$21,0),1))</f>
        <v>0.95</v>
      </c>
      <c r="Q135" s="342">
        <f>INDEX(Muuttujat!$O$5:$O$21,MATCH($C135,Muuttujat!$N$5:$N$21,0),1)</f>
        <v>0.05</v>
      </c>
      <c r="R135" s="148">
        <f>INDEX(Muuttujat!$P$5:$P$21,MATCH($C135,Muuttujat!$N$5:$N$21,0),1)</f>
        <v>5.2210587442409327E-2</v>
      </c>
      <c r="S135" s="149">
        <f t="shared" si="47"/>
        <v>0</v>
      </c>
      <c r="T135" s="150">
        <f t="shared" si="48"/>
        <v>0</v>
      </c>
      <c r="U135" s="150">
        <f t="shared" si="49"/>
        <v>0</v>
      </c>
      <c r="V135" s="150">
        <f>IFERROR(INDEX(Työkonekanta!$J$3:$J$27,MATCH($A135,Työkonekanta!$A$3:$A$24,0),1)*$B135*ef_li_ion_akku/1000/1000/INDEX(Työkonekanta!$K$3:$K$27,MATCH($A135,Työkonekanta!$A$3:$A$24,0)),0)</f>
        <v>0</v>
      </c>
      <c r="W135" s="149">
        <f t="shared" si="40"/>
        <v>0</v>
      </c>
      <c r="X135" s="150">
        <f t="shared" si="41"/>
        <v>0</v>
      </c>
      <c r="Y135" s="151">
        <f t="shared" si="42"/>
        <v>0</v>
      </c>
      <c r="Z135" s="152">
        <f t="shared" si="56"/>
        <v>0</v>
      </c>
      <c r="AA135" s="179">
        <f t="shared" si="57"/>
        <v>0</v>
      </c>
      <c r="AB135" s="179">
        <f t="shared" si="58"/>
        <v>0</v>
      </c>
      <c r="AC135" s="180">
        <f t="shared" si="43"/>
        <v>0</v>
      </c>
      <c r="AD135" s="156">
        <f t="shared" si="59"/>
        <v>0</v>
      </c>
      <c r="AE135" s="146">
        <f>IFERROR(INDEX(Työkonekanta!$L$3:$L$30,MATCH($A135,Työkonekanta!$A$3:$A$30,0),1),0)*AF135</f>
        <v>0</v>
      </c>
      <c r="AF135" s="146">
        <f>IFERROR(INDEX(Työkonekanta!$N$3:$N$32,MATCH($A135,Työkonekanta!$A$3:$A$32,0),1),0)</f>
        <v>0</v>
      </c>
      <c r="AG135" s="332">
        <f>I135*INDEX(Muuttujat!$U$5:$U$21,MATCH($C135,Muuttujat!$N$5:$N$21,0),1)</f>
        <v>0</v>
      </c>
      <c r="AH135" s="332">
        <f>J135*INDEX(Muuttujat!$T$5:$T$21,MATCH($C135,Muuttujat!$N$5:$N$21,0),1)</f>
        <v>0</v>
      </c>
      <c r="AI135" s="332">
        <f t="shared" si="50"/>
        <v>0</v>
      </c>
      <c r="AJ135" s="332">
        <f t="shared" si="51"/>
        <v>0</v>
      </c>
      <c r="AK135" s="332">
        <f t="shared" si="60"/>
        <v>0</v>
      </c>
      <c r="AL135" s="332">
        <f t="shared" si="52"/>
        <v>0</v>
      </c>
    </row>
    <row r="136" spans="1:38">
      <c r="A136" s="139">
        <v>14</v>
      </c>
      <c r="B136" s="139">
        <f>IFERROR(INDEX(Työkonekanta!$F$3:$F$27,MATCH('S0b Baseline kasvu'!$A136,Työkonekanta!$A$3:$A$24,0),1),0)</f>
        <v>0</v>
      </c>
      <c r="C136" s="140">
        <v>2023</v>
      </c>
      <c r="D136" s="141" t="str">
        <f>IFERROR(INDEX(Työkonekanta!$D$3:$D$27,MATCH('S0b Baseline kasvu'!$A136,Työkonekanta!$A$3:$A$24,0),1),"undefined")</f>
        <v>pom</v>
      </c>
      <c r="E136" s="145">
        <f>IFERROR(INDEX(Työkonekanta!$G$3:$G$27,MATCH($A136,Työkonekanta!$A$3:$A$24,0),1)*INDEX(Työkonekanta!$H$3:$H$27,MATCH($A136,Työkonekanta!$A$3:$A$24,0),1)*(1+s0b_kasvu*($C136-2019))*$B136,0)</f>
        <v>0</v>
      </c>
      <c r="F136" s="145">
        <f t="shared" si="44"/>
        <v>0</v>
      </c>
      <c r="G136" s="145">
        <f t="shared" si="53"/>
        <v>0</v>
      </c>
      <c r="H136" s="145">
        <f t="shared" si="54"/>
        <v>0</v>
      </c>
      <c r="I136" s="145">
        <f t="shared" si="45"/>
        <v>0</v>
      </c>
      <c r="J136" s="145">
        <f t="shared" si="46"/>
        <v>0</v>
      </c>
      <c r="K136" s="142" t="str">
        <f t="shared" si="55"/>
        <v>l</v>
      </c>
      <c r="L136" s="146">
        <f>IFERROR(INDEX(Työkonekanta!$I$3:$I$27,MATCH('S0b Baseline kasvu'!$A136,Työkonekanta!$A$3:$A$24,0),1)*(I136+J136)*f_adblue,0)</f>
        <v>0</v>
      </c>
      <c r="M136" s="146">
        <f t="shared" si="39"/>
        <v>0</v>
      </c>
      <c r="N136" s="143" t="str">
        <f>IF(tuulisähkö_vuosi&lt;='S0b Baseline kasvu'!C136,"tuulisähkö",ostosähkö_nyt)</f>
        <v>jäännössähkö</v>
      </c>
      <c r="O136" s="147">
        <f>INDEX(Muuttujat!$J$5:$J$21,MATCH($C136,Muuttujat!$H$5:$H$21,0),1)</f>
        <v>66.51860537025</v>
      </c>
      <c r="P136" s="342">
        <f>1-(INDEX(Muuttujat!$O$5:$O$21,MATCH($C136,Muuttujat!$N$5:$N$21,0),1))</f>
        <v>0.95</v>
      </c>
      <c r="Q136" s="342">
        <f>INDEX(Muuttujat!$O$5:$O$21,MATCH($C136,Muuttujat!$N$5:$N$21,0),1)</f>
        <v>0.05</v>
      </c>
      <c r="R136" s="148">
        <f>INDEX(Muuttujat!$P$5:$P$21,MATCH($C136,Muuttujat!$N$5:$N$21,0),1)</f>
        <v>5.2210587442409327E-2</v>
      </c>
      <c r="S136" s="149">
        <f t="shared" si="47"/>
        <v>0</v>
      </c>
      <c r="T136" s="150">
        <f t="shared" si="48"/>
        <v>0</v>
      </c>
      <c r="U136" s="150">
        <f t="shared" si="49"/>
        <v>0</v>
      </c>
      <c r="V136" s="150">
        <f>IFERROR(INDEX(Työkonekanta!$J$3:$J$27,MATCH($A136,Työkonekanta!$A$3:$A$24,0),1)*$B136*ef_li_ion_akku/1000/1000/INDEX(Työkonekanta!$K$3:$K$27,MATCH($A136,Työkonekanta!$A$3:$A$24,0)),0)</f>
        <v>0</v>
      </c>
      <c r="W136" s="149">
        <f t="shared" si="40"/>
        <v>0</v>
      </c>
      <c r="X136" s="150">
        <f t="shared" si="41"/>
        <v>0</v>
      </c>
      <c r="Y136" s="151">
        <f t="shared" si="42"/>
        <v>0</v>
      </c>
      <c r="Z136" s="152">
        <f t="shared" si="56"/>
        <v>0</v>
      </c>
      <c r="AA136" s="179">
        <f t="shared" si="57"/>
        <v>0</v>
      </c>
      <c r="AB136" s="179">
        <f t="shared" si="58"/>
        <v>0</v>
      </c>
      <c r="AC136" s="180">
        <f t="shared" si="43"/>
        <v>0</v>
      </c>
      <c r="AD136" s="156">
        <f t="shared" si="59"/>
        <v>0</v>
      </c>
      <c r="AE136" s="146">
        <f>IFERROR(INDEX(Työkonekanta!$L$3:$L$30,MATCH($A136,Työkonekanta!$A$3:$A$30,0),1),0)*AF136</f>
        <v>0</v>
      </c>
      <c r="AF136" s="146">
        <f>IFERROR(INDEX(Työkonekanta!$N$3:$N$32,MATCH($A136,Työkonekanta!$A$3:$A$32,0),1),0)</f>
        <v>0</v>
      </c>
      <c r="AG136" s="332">
        <f>I136*INDEX(Muuttujat!$U$5:$U$21,MATCH($C136,Muuttujat!$N$5:$N$21,0),1)</f>
        <v>0</v>
      </c>
      <c r="AH136" s="332">
        <f>J136*INDEX(Muuttujat!$T$5:$T$21,MATCH($C136,Muuttujat!$N$5:$N$21,0),1)</f>
        <v>0</v>
      </c>
      <c r="AI136" s="332">
        <f t="shared" si="50"/>
        <v>0</v>
      </c>
      <c r="AJ136" s="332">
        <f t="shared" si="51"/>
        <v>0</v>
      </c>
      <c r="AK136" s="332">
        <f t="shared" si="60"/>
        <v>0</v>
      </c>
      <c r="AL136" s="332">
        <f t="shared" si="52"/>
        <v>0</v>
      </c>
    </row>
    <row r="137" spans="1:38">
      <c r="A137" s="139">
        <v>15</v>
      </c>
      <c r="B137" s="139">
        <f>IFERROR(INDEX(Työkonekanta!$F$3:$F$27,MATCH('S0b Baseline kasvu'!$A137,Työkonekanta!$A$3:$A$24,0),1),0)</f>
        <v>0</v>
      </c>
      <c r="C137" s="140">
        <v>2023</v>
      </c>
      <c r="D137" s="141" t="str">
        <f>IFERROR(INDEX(Työkonekanta!$D$3:$D$27,MATCH('S0b Baseline kasvu'!$A137,Työkonekanta!$A$3:$A$24,0),1),"undefined")</f>
        <v>sähkö</v>
      </c>
      <c r="E137" s="145">
        <f>IFERROR(INDEX(Työkonekanta!$G$3:$G$27,MATCH($A137,Työkonekanta!$A$3:$A$24,0),1)*INDEX(Työkonekanta!$H$3:$H$27,MATCH($A137,Työkonekanta!$A$3:$A$24,0),1)*(1+s0b_kasvu*($C137-2019))*$B137,0)</f>
        <v>0</v>
      </c>
      <c r="F137" s="145">
        <f t="shared" si="44"/>
        <v>0</v>
      </c>
      <c r="G137" s="145">
        <f t="shared" si="53"/>
        <v>0</v>
      </c>
      <c r="H137" s="145">
        <f t="shared" si="54"/>
        <v>0</v>
      </c>
      <c r="I137" s="145">
        <f t="shared" si="45"/>
        <v>0</v>
      </c>
      <c r="J137" s="145">
        <f t="shared" si="46"/>
        <v>0</v>
      </c>
      <c r="K137" s="142" t="str">
        <f t="shared" si="55"/>
        <v>kWh</v>
      </c>
      <c r="L137" s="146">
        <f>IFERROR(INDEX(Työkonekanta!$I$3:$I$27,MATCH('S0b Baseline kasvu'!$A137,Työkonekanta!$A$3:$A$24,0),1)*(I137+J137)*f_adblue,0)</f>
        <v>0</v>
      </c>
      <c r="M137" s="146">
        <f t="shared" si="39"/>
        <v>0</v>
      </c>
      <c r="N137" s="143" t="str">
        <f>IF(tuulisähkö_vuosi&lt;='S0b Baseline kasvu'!C137,"tuulisähkö",ostosähkö_nyt)</f>
        <v>jäännössähkö</v>
      </c>
      <c r="O137" s="147">
        <f>INDEX(Muuttujat!$J$5:$J$21,MATCH($C137,Muuttujat!$H$5:$H$21,0),1)</f>
        <v>66.51860537025</v>
      </c>
      <c r="P137" s="342">
        <f>1-(INDEX(Muuttujat!$O$5:$O$21,MATCH($C137,Muuttujat!$N$5:$N$21,0),1))</f>
        <v>0.95</v>
      </c>
      <c r="Q137" s="342">
        <f>INDEX(Muuttujat!$O$5:$O$21,MATCH($C137,Muuttujat!$N$5:$N$21,0),1)</f>
        <v>0.05</v>
      </c>
      <c r="R137" s="148">
        <f>INDEX(Muuttujat!$P$5:$P$21,MATCH($C137,Muuttujat!$N$5:$N$21,0),1)</f>
        <v>5.2210587442409327E-2</v>
      </c>
      <c r="S137" s="149">
        <f t="shared" si="47"/>
        <v>0</v>
      </c>
      <c r="T137" s="150">
        <f t="shared" si="48"/>
        <v>0</v>
      </c>
      <c r="U137" s="150">
        <f t="shared" si="49"/>
        <v>0</v>
      </c>
      <c r="V137" s="150">
        <f>IFERROR(INDEX(Työkonekanta!$J$3:$J$27,MATCH($A137,Työkonekanta!$A$3:$A$24,0),1)*$B137*ef_li_ion_akku/1000/1000/INDEX(Työkonekanta!$K$3:$K$27,MATCH($A137,Työkonekanta!$A$3:$A$24,0)),0)</f>
        <v>0</v>
      </c>
      <c r="W137" s="149">
        <f t="shared" si="40"/>
        <v>0</v>
      </c>
      <c r="X137" s="150">
        <f t="shared" si="41"/>
        <v>0</v>
      </c>
      <c r="Y137" s="151">
        <f t="shared" si="42"/>
        <v>0</v>
      </c>
      <c r="Z137" s="152">
        <f t="shared" si="56"/>
        <v>0</v>
      </c>
      <c r="AA137" s="179">
        <f t="shared" si="57"/>
        <v>0</v>
      </c>
      <c r="AB137" s="179">
        <f t="shared" si="58"/>
        <v>0</v>
      </c>
      <c r="AC137" s="180">
        <f t="shared" si="43"/>
        <v>0</v>
      </c>
      <c r="AD137" s="156">
        <f t="shared" si="59"/>
        <v>0</v>
      </c>
      <c r="AE137" s="146">
        <f>IFERROR(INDEX(Työkonekanta!$L$3:$L$30,MATCH($A137,Työkonekanta!$A$3:$A$30,0),1),0)*AF137</f>
        <v>0</v>
      </c>
      <c r="AF137" s="146">
        <f>IFERROR(INDEX(Työkonekanta!$N$3:$N$32,MATCH($A137,Työkonekanta!$A$3:$A$32,0),1),0)</f>
        <v>0</v>
      </c>
      <c r="AG137" s="332">
        <f>I137*INDEX(Muuttujat!$U$5:$U$21,MATCH($C137,Muuttujat!$N$5:$N$21,0),1)</f>
        <v>0</v>
      </c>
      <c r="AH137" s="332">
        <f>J137*INDEX(Muuttujat!$T$5:$T$21,MATCH($C137,Muuttujat!$N$5:$N$21,0),1)</f>
        <v>0</v>
      </c>
      <c r="AI137" s="332">
        <f t="shared" si="50"/>
        <v>0</v>
      </c>
      <c r="AJ137" s="332">
        <f t="shared" si="51"/>
        <v>0</v>
      </c>
      <c r="AK137" s="332">
        <f t="shared" si="60"/>
        <v>0</v>
      </c>
      <c r="AL137" s="332">
        <f t="shared" si="52"/>
        <v>0</v>
      </c>
    </row>
    <row r="138" spans="1:38">
      <c r="A138" s="139">
        <v>16</v>
      </c>
      <c r="B138" s="139">
        <f>IFERROR(INDEX(Työkonekanta!$F$3:$F$27,MATCH('S0b Baseline kasvu'!$A138,Työkonekanta!$A$3:$A$24,0),1),0)</f>
        <v>0</v>
      </c>
      <c r="C138" s="140">
        <v>2023</v>
      </c>
      <c r="D138" s="141" t="str">
        <f>IFERROR(INDEX(Työkonekanta!$D$3:$D$27,MATCH('S0b Baseline kasvu'!$A138,Työkonekanta!$A$3:$A$24,0),1),"undefined")</f>
        <v>sähkö</v>
      </c>
      <c r="E138" s="145">
        <f>IFERROR(INDEX(Työkonekanta!$G$3:$G$27,MATCH($A138,Työkonekanta!$A$3:$A$24,0),1)*INDEX(Työkonekanta!$H$3:$H$27,MATCH($A138,Työkonekanta!$A$3:$A$24,0),1)*(1+s0b_kasvu*($C138-2019))*$B138,0)</f>
        <v>0</v>
      </c>
      <c r="F138" s="145">
        <f t="shared" si="44"/>
        <v>0</v>
      </c>
      <c r="G138" s="145">
        <f t="shared" si="53"/>
        <v>0</v>
      </c>
      <c r="H138" s="145">
        <f t="shared" si="54"/>
        <v>0</v>
      </c>
      <c r="I138" s="145">
        <f t="shared" si="45"/>
        <v>0</v>
      </c>
      <c r="J138" s="145">
        <f t="shared" si="46"/>
        <v>0</v>
      </c>
      <c r="K138" s="142" t="str">
        <f t="shared" si="55"/>
        <v>kWh</v>
      </c>
      <c r="L138" s="146">
        <f>IFERROR(INDEX(Työkonekanta!$I$3:$I$27,MATCH('S0b Baseline kasvu'!$A138,Työkonekanta!$A$3:$A$24,0),1)*(I138+J138)*f_adblue,0)</f>
        <v>0</v>
      </c>
      <c r="M138" s="146">
        <f t="shared" si="39"/>
        <v>0</v>
      </c>
      <c r="N138" s="143" t="str">
        <f>IF(tuulisähkö_vuosi&lt;='S0b Baseline kasvu'!C138,"tuulisähkö",ostosähkö_nyt)</f>
        <v>jäännössähkö</v>
      </c>
      <c r="O138" s="147">
        <f>INDEX(Muuttujat!$J$5:$J$21,MATCH($C138,Muuttujat!$H$5:$H$21,0),1)</f>
        <v>66.51860537025</v>
      </c>
      <c r="P138" s="342">
        <f>1-(INDEX(Muuttujat!$O$5:$O$21,MATCH($C138,Muuttujat!$N$5:$N$21,0),1))</f>
        <v>0.95</v>
      </c>
      <c r="Q138" s="342">
        <f>INDEX(Muuttujat!$O$5:$O$21,MATCH($C138,Muuttujat!$N$5:$N$21,0),1)</f>
        <v>0.05</v>
      </c>
      <c r="R138" s="148">
        <f>INDEX(Muuttujat!$P$5:$P$21,MATCH($C138,Muuttujat!$N$5:$N$21,0),1)</f>
        <v>5.2210587442409327E-2</v>
      </c>
      <c r="S138" s="149">
        <f t="shared" si="47"/>
        <v>0</v>
      </c>
      <c r="T138" s="150">
        <f t="shared" si="48"/>
        <v>0</v>
      </c>
      <c r="U138" s="150">
        <f t="shared" si="49"/>
        <v>0</v>
      </c>
      <c r="V138" s="150">
        <f>IFERROR(INDEX(Työkonekanta!$J$3:$J$27,MATCH($A138,Työkonekanta!$A$3:$A$24,0),1)*$B138*ef_li_ion_akku/1000/1000/INDEX(Työkonekanta!$K$3:$K$27,MATCH($A138,Työkonekanta!$A$3:$A$24,0)),0)</f>
        <v>0</v>
      </c>
      <c r="W138" s="149">
        <f t="shared" si="40"/>
        <v>0</v>
      </c>
      <c r="X138" s="150">
        <f t="shared" si="41"/>
        <v>0</v>
      </c>
      <c r="Y138" s="151">
        <f t="shared" si="42"/>
        <v>0</v>
      </c>
      <c r="Z138" s="152">
        <f t="shared" si="56"/>
        <v>0</v>
      </c>
      <c r="AA138" s="179">
        <f t="shared" si="57"/>
        <v>0</v>
      </c>
      <c r="AB138" s="179">
        <f t="shared" si="58"/>
        <v>0</v>
      </c>
      <c r="AC138" s="180">
        <f t="shared" si="43"/>
        <v>0</v>
      </c>
      <c r="AD138" s="156">
        <f t="shared" si="59"/>
        <v>0</v>
      </c>
      <c r="AE138" s="146">
        <f>IFERROR(INDEX(Työkonekanta!$L$3:$L$30,MATCH($A138,Työkonekanta!$A$3:$A$30,0),1),0)*AF138</f>
        <v>0</v>
      </c>
      <c r="AF138" s="146">
        <f>IFERROR(INDEX(Työkonekanta!$N$3:$N$32,MATCH($A138,Työkonekanta!$A$3:$A$32,0),1),0)</f>
        <v>0</v>
      </c>
      <c r="AG138" s="332">
        <f>I138*INDEX(Muuttujat!$U$5:$U$21,MATCH($C138,Muuttujat!$N$5:$N$21,0),1)</f>
        <v>0</v>
      </c>
      <c r="AH138" s="332">
        <f>J138*INDEX(Muuttujat!$T$5:$T$21,MATCH($C138,Muuttujat!$N$5:$N$21,0),1)</f>
        <v>0</v>
      </c>
      <c r="AI138" s="332">
        <f t="shared" si="50"/>
        <v>0</v>
      </c>
      <c r="AJ138" s="332">
        <f t="shared" si="51"/>
        <v>0</v>
      </c>
      <c r="AK138" s="332">
        <f t="shared" si="60"/>
        <v>0</v>
      </c>
      <c r="AL138" s="332">
        <f t="shared" si="52"/>
        <v>0</v>
      </c>
    </row>
    <row r="139" spans="1:38">
      <c r="A139" s="139">
        <v>17</v>
      </c>
      <c r="B139" s="139">
        <f>IFERROR(INDEX(Työkonekanta!$F$3:$F$27,MATCH('S0b Baseline kasvu'!$A139,Työkonekanta!$A$3:$A$24,0),1),0)</f>
        <v>1</v>
      </c>
      <c r="C139" s="140">
        <v>2023</v>
      </c>
      <c r="D139" s="141" t="str">
        <f>IFERROR(INDEX(Työkonekanta!$D$3:$D$27,MATCH('S0b Baseline kasvu'!$A139,Työkonekanta!$A$3:$A$24,0),1),"undefined")</f>
        <v>pom</v>
      </c>
      <c r="E139" s="145">
        <f>IFERROR(INDEX(Työkonekanta!$G$3:$G$27,MATCH($A139,Työkonekanta!$A$3:$A$24,0),1)*INDEX(Työkonekanta!$H$3:$H$27,MATCH($A139,Työkonekanta!$A$3:$A$24,0),1)*(1+s0b_kasvu*($C139-2019))*$B139,0)</f>
        <v>10400</v>
      </c>
      <c r="F139" s="145">
        <f t="shared" si="44"/>
        <v>373360</v>
      </c>
      <c r="G139" s="145">
        <f t="shared" si="53"/>
        <v>354692</v>
      </c>
      <c r="H139" s="145">
        <f t="shared" si="54"/>
        <v>18668</v>
      </c>
      <c r="I139" s="145">
        <f t="shared" si="45"/>
        <v>9880</v>
      </c>
      <c r="J139" s="145">
        <f t="shared" si="46"/>
        <v>544.25655976676387</v>
      </c>
      <c r="K139" s="142" t="str">
        <f t="shared" si="55"/>
        <v>l</v>
      </c>
      <c r="L139" s="146">
        <f>IFERROR(INDEX(Työkonekanta!$I$3:$I$27,MATCH('S0b Baseline kasvu'!$A139,Työkonekanta!$A$3:$A$24,0),1)*(I139+J139)*f_adblue,0)</f>
        <v>521.21282798833818</v>
      </c>
      <c r="M139" s="146">
        <f t="shared" si="39"/>
        <v>0</v>
      </c>
      <c r="N139" s="143" t="str">
        <f>IF(tuulisähkö_vuosi&lt;='S0b Baseline kasvu'!C139,"tuulisähkö",ostosähkö_nyt)</f>
        <v>jäännössähkö</v>
      </c>
      <c r="O139" s="147">
        <f>INDEX(Muuttujat!$J$5:$J$21,MATCH($C139,Muuttujat!$H$5:$H$21,0),1)</f>
        <v>66.51860537025</v>
      </c>
      <c r="P139" s="342">
        <f>1-(INDEX(Muuttujat!$O$5:$O$21,MATCH($C139,Muuttujat!$N$5:$N$21,0),1))</f>
        <v>0.95</v>
      </c>
      <c r="Q139" s="342">
        <f>INDEX(Muuttujat!$O$5:$O$21,MATCH($C139,Muuttujat!$N$5:$N$21,0),1)</f>
        <v>0.05</v>
      </c>
      <c r="R139" s="148">
        <f>INDEX(Muuttujat!$P$5:$P$21,MATCH($C139,Muuttujat!$N$5:$N$21,0),1)</f>
        <v>5.2210587442409327E-2</v>
      </c>
      <c r="S139" s="149">
        <f t="shared" si="47"/>
        <v>6.7036787999999996</v>
      </c>
      <c r="T139" s="150">
        <f t="shared" si="48"/>
        <v>1.1648832</v>
      </c>
      <c r="U139" s="150">
        <f t="shared" si="49"/>
        <v>0</v>
      </c>
      <c r="V139" s="150">
        <f>IFERROR(INDEX(Työkonekanta!$J$3:$J$27,MATCH($A139,Työkonekanta!$A$3:$A$24,0),1)*$B139*ef_li_ion_akku/1000/1000/INDEX(Työkonekanta!$K$3:$K$27,MATCH($A139,Työkonekanta!$A$3:$A$24,0)),0)</f>
        <v>0</v>
      </c>
      <c r="W139" s="149">
        <f t="shared" si="40"/>
        <v>26.179197326567998</v>
      </c>
      <c r="X139" s="150">
        <f t="shared" si="41"/>
        <v>0.3304554864</v>
      </c>
      <c r="Y139" s="151">
        <f t="shared" si="42"/>
        <v>0.13551533527696794</v>
      </c>
      <c r="Z139" s="152">
        <f t="shared" si="56"/>
        <v>7.8685619999999998</v>
      </c>
      <c r="AA139" s="179">
        <f t="shared" si="57"/>
        <v>26.314712661844965</v>
      </c>
      <c r="AB139" s="179">
        <f t="shared" si="58"/>
        <v>26.645168148244966</v>
      </c>
      <c r="AC139" s="180">
        <f t="shared" si="43"/>
        <v>34.183274661844962</v>
      </c>
      <c r="AD139" s="156">
        <f t="shared" si="59"/>
        <v>34.513730148244967</v>
      </c>
      <c r="AE139" s="146">
        <f>IFERROR(INDEX(Työkonekanta!$L$3:$L$30,MATCH($A139,Työkonekanta!$A$3:$A$30,0),1),0)*AF139</f>
        <v>500000</v>
      </c>
      <c r="AF139" s="146">
        <f>IFERROR(INDEX(Työkonekanta!$N$3:$N$32,MATCH($A139,Työkonekanta!$A$3:$A$32,0),1),0)</f>
        <v>1</v>
      </c>
      <c r="AG139" s="332">
        <f>I139*INDEX(Muuttujat!$U$5:$U$21,MATCH($C139,Muuttujat!$N$5:$N$21,0),1)</f>
        <v>9978.7999999999993</v>
      </c>
      <c r="AH139" s="332">
        <f>J139*INDEX(Muuttujat!$T$5:$T$21,MATCH($C139,Muuttujat!$N$5:$N$21,0),1)</f>
        <v>767.40174927113719</v>
      </c>
      <c r="AI139" s="332">
        <f t="shared" si="50"/>
        <v>260.60641399416909</v>
      </c>
      <c r="AJ139" s="332">
        <f t="shared" si="51"/>
        <v>0</v>
      </c>
      <c r="AK139" s="332">
        <f t="shared" si="60"/>
        <v>11006.808163265305</v>
      </c>
      <c r="AL139" s="332">
        <f t="shared" si="52"/>
        <v>11006.808163265305</v>
      </c>
    </row>
    <row r="140" spans="1:38">
      <c r="A140" s="139">
        <v>18</v>
      </c>
      <c r="B140" s="139">
        <f>IFERROR(INDEX(Työkonekanta!$F$3:$F$27,MATCH('S0b Baseline kasvu'!$A140,Työkonekanta!$A$3:$A$24,0),1),0)</f>
        <v>1</v>
      </c>
      <c r="C140" s="140">
        <v>2023</v>
      </c>
      <c r="D140" s="141" t="str">
        <f>IFERROR(INDEX(Työkonekanta!$D$3:$D$27,MATCH('S0b Baseline kasvu'!$A140,Työkonekanta!$A$3:$A$24,0),1),"undefined")</f>
        <v>pom</v>
      </c>
      <c r="E140" s="145">
        <f>IFERROR(INDEX(Työkonekanta!$G$3:$G$27,MATCH($A140,Työkonekanta!$A$3:$A$24,0),1)*INDEX(Työkonekanta!$H$3:$H$27,MATCH($A140,Työkonekanta!$A$3:$A$24,0),1)*(1+s0b_kasvu*($C140-2019))*$B140,0)</f>
        <v>10400</v>
      </c>
      <c r="F140" s="145">
        <f t="shared" si="44"/>
        <v>373360</v>
      </c>
      <c r="G140" s="145">
        <f t="shared" si="53"/>
        <v>354692</v>
      </c>
      <c r="H140" s="145">
        <f t="shared" si="54"/>
        <v>18668</v>
      </c>
      <c r="I140" s="145">
        <f t="shared" si="45"/>
        <v>9880</v>
      </c>
      <c r="J140" s="145">
        <f t="shared" si="46"/>
        <v>544.25655976676387</v>
      </c>
      <c r="K140" s="142" t="str">
        <f t="shared" si="55"/>
        <v>l</v>
      </c>
      <c r="L140" s="146">
        <f>IFERROR(INDEX(Työkonekanta!$I$3:$I$27,MATCH('S0b Baseline kasvu'!$A140,Työkonekanta!$A$3:$A$24,0),1)*(I140+J140)*f_adblue,0)</f>
        <v>416.97026239067054</v>
      </c>
      <c r="M140" s="146">
        <f t="shared" si="39"/>
        <v>0</v>
      </c>
      <c r="N140" s="143" t="str">
        <f>IF(tuulisähkö_vuosi&lt;='S0b Baseline kasvu'!C140,"tuulisähkö",ostosähkö_nyt)</f>
        <v>jäännössähkö</v>
      </c>
      <c r="O140" s="147">
        <f>INDEX(Muuttujat!$J$5:$J$21,MATCH($C140,Muuttujat!$H$5:$H$21,0),1)</f>
        <v>66.51860537025</v>
      </c>
      <c r="P140" s="342">
        <f>1-(INDEX(Muuttujat!$O$5:$O$21,MATCH($C140,Muuttujat!$N$5:$N$21,0),1))</f>
        <v>0.95</v>
      </c>
      <c r="Q140" s="342">
        <f>INDEX(Muuttujat!$O$5:$O$21,MATCH($C140,Muuttujat!$N$5:$N$21,0),1)</f>
        <v>0.05</v>
      </c>
      <c r="R140" s="148">
        <f>INDEX(Muuttujat!$P$5:$P$21,MATCH($C140,Muuttujat!$N$5:$N$21,0),1)</f>
        <v>5.2210587442409327E-2</v>
      </c>
      <c r="S140" s="149">
        <f t="shared" si="47"/>
        <v>6.7036787999999996</v>
      </c>
      <c r="T140" s="150">
        <f t="shared" si="48"/>
        <v>1.1648832</v>
      </c>
      <c r="U140" s="150">
        <f t="shared" si="49"/>
        <v>0</v>
      </c>
      <c r="V140" s="150">
        <f>IFERROR(INDEX(Työkonekanta!$J$3:$J$27,MATCH($A140,Työkonekanta!$A$3:$A$24,0),1)*$B140*ef_li_ion_akku/1000/1000/INDEX(Työkonekanta!$K$3:$K$27,MATCH($A140,Työkonekanta!$A$3:$A$24,0)),0)</f>
        <v>0</v>
      </c>
      <c r="W140" s="149">
        <f t="shared" si="40"/>
        <v>26.179197326567998</v>
      </c>
      <c r="X140" s="150">
        <f t="shared" si="41"/>
        <v>0.3304554864</v>
      </c>
      <c r="Y140" s="151">
        <f t="shared" si="42"/>
        <v>0.10841226822157433</v>
      </c>
      <c r="Z140" s="152">
        <f t="shared" si="56"/>
        <v>7.8685619999999998</v>
      </c>
      <c r="AA140" s="179">
        <f t="shared" si="57"/>
        <v>26.287609594789572</v>
      </c>
      <c r="AB140" s="179">
        <f t="shared" si="58"/>
        <v>26.618065081189574</v>
      </c>
      <c r="AC140" s="180">
        <f t="shared" si="43"/>
        <v>34.156171594789569</v>
      </c>
      <c r="AD140" s="156">
        <f t="shared" si="59"/>
        <v>34.486627081189575</v>
      </c>
      <c r="AE140" s="146">
        <f>IFERROR(INDEX(Työkonekanta!$L$3:$L$30,MATCH($A140,Työkonekanta!$A$3:$A$30,0),1),0)*AF140</f>
        <v>500000</v>
      </c>
      <c r="AF140" s="146">
        <f>IFERROR(INDEX(Työkonekanta!$N$3:$N$32,MATCH($A140,Työkonekanta!$A$3:$A$32,0),1),0)</f>
        <v>1</v>
      </c>
      <c r="AG140" s="332">
        <f>I140*INDEX(Muuttujat!$U$5:$U$21,MATCH($C140,Muuttujat!$N$5:$N$21,0),1)</f>
        <v>9978.7999999999993</v>
      </c>
      <c r="AH140" s="332">
        <f>J140*INDEX(Muuttujat!$T$5:$T$21,MATCH($C140,Muuttujat!$N$5:$N$21,0),1)</f>
        <v>767.40174927113719</v>
      </c>
      <c r="AI140" s="332">
        <f t="shared" si="50"/>
        <v>208.48513119533527</v>
      </c>
      <c r="AJ140" s="332">
        <f t="shared" si="51"/>
        <v>0</v>
      </c>
      <c r="AK140" s="332">
        <f t="shared" si="60"/>
        <v>10954.686880466472</v>
      </c>
      <c r="AL140" s="332">
        <f t="shared" si="52"/>
        <v>10954.686880466472</v>
      </c>
    </row>
    <row r="141" spans="1:38">
      <c r="A141" s="139">
        <v>19</v>
      </c>
      <c r="B141" s="139">
        <f>IFERROR(INDEX(Työkonekanta!$F$3:$F$27,MATCH('S0b Baseline kasvu'!$A141,Työkonekanta!$A$3:$A$24,0),1),0)</f>
        <v>0</v>
      </c>
      <c r="C141" s="140">
        <v>2023</v>
      </c>
      <c r="D141" s="141" t="str">
        <f>IFERROR(INDEX(Työkonekanta!$D$3:$D$27,MATCH('S0b Baseline kasvu'!$A141,Työkonekanta!$A$3:$A$24,0),1),"undefined")</f>
        <v>pom</v>
      </c>
      <c r="E141" s="145">
        <f>IFERROR(INDEX(Työkonekanta!$G$3:$G$27,MATCH($A141,Työkonekanta!$A$3:$A$24,0),1)*INDEX(Työkonekanta!$H$3:$H$27,MATCH($A141,Työkonekanta!$A$3:$A$24,0),1)*(1+s0b_kasvu*($C141-2019))*$B141,0)</f>
        <v>0</v>
      </c>
      <c r="F141" s="145">
        <f t="shared" si="44"/>
        <v>0</v>
      </c>
      <c r="G141" s="145">
        <f t="shared" si="53"/>
        <v>0</v>
      </c>
      <c r="H141" s="145">
        <f t="shared" si="54"/>
        <v>0</v>
      </c>
      <c r="I141" s="145">
        <f t="shared" si="45"/>
        <v>0</v>
      </c>
      <c r="J141" s="145">
        <f t="shared" si="46"/>
        <v>0</v>
      </c>
      <c r="K141" s="142" t="str">
        <f t="shared" si="55"/>
        <v>l</v>
      </c>
      <c r="L141" s="146">
        <f>IFERROR(INDEX(Työkonekanta!$I$3:$I$27,MATCH('S0b Baseline kasvu'!$A141,Työkonekanta!$A$3:$A$24,0),1)*(I141+J141)*f_adblue,0)</f>
        <v>0</v>
      </c>
      <c r="M141" s="146">
        <f t="shared" si="39"/>
        <v>0</v>
      </c>
      <c r="N141" s="143" t="str">
        <f>IF(tuulisähkö_vuosi&lt;='S0b Baseline kasvu'!C141,"tuulisähkö",ostosähkö_nyt)</f>
        <v>jäännössähkö</v>
      </c>
      <c r="O141" s="147">
        <f>INDEX(Muuttujat!$J$5:$J$21,MATCH($C141,Muuttujat!$H$5:$H$21,0),1)</f>
        <v>66.51860537025</v>
      </c>
      <c r="P141" s="342">
        <f>1-(INDEX(Muuttujat!$O$5:$O$21,MATCH($C141,Muuttujat!$N$5:$N$21,0),1))</f>
        <v>0.95</v>
      </c>
      <c r="Q141" s="342">
        <f>INDEX(Muuttujat!$O$5:$O$21,MATCH($C141,Muuttujat!$N$5:$N$21,0),1)</f>
        <v>0.05</v>
      </c>
      <c r="R141" s="148">
        <f>INDEX(Muuttujat!$P$5:$P$21,MATCH($C141,Muuttujat!$N$5:$N$21,0),1)</f>
        <v>5.2210587442409327E-2</v>
      </c>
      <c r="S141" s="149">
        <f t="shared" si="47"/>
        <v>0</v>
      </c>
      <c r="T141" s="150">
        <f t="shared" si="48"/>
        <v>0</v>
      </c>
      <c r="U141" s="150">
        <f t="shared" si="49"/>
        <v>0</v>
      </c>
      <c r="V141" s="150">
        <f>IFERROR(INDEX(Työkonekanta!$J$3:$J$27,MATCH($A141,Työkonekanta!$A$3:$A$24,0),1)*$B141*ef_li_ion_akku/1000/1000/INDEX(Työkonekanta!$K$3:$K$27,MATCH($A141,Työkonekanta!$A$3:$A$24,0)),0)</f>
        <v>0</v>
      </c>
      <c r="W141" s="149">
        <f t="shared" si="40"/>
        <v>0</v>
      </c>
      <c r="X141" s="150">
        <f t="shared" si="41"/>
        <v>0</v>
      </c>
      <c r="Y141" s="151">
        <f t="shared" si="42"/>
        <v>0</v>
      </c>
      <c r="Z141" s="152">
        <f t="shared" si="56"/>
        <v>0</v>
      </c>
      <c r="AA141" s="179">
        <f t="shared" si="57"/>
        <v>0</v>
      </c>
      <c r="AB141" s="179">
        <f t="shared" si="58"/>
        <v>0</v>
      </c>
      <c r="AC141" s="180">
        <f t="shared" si="43"/>
        <v>0</v>
      </c>
      <c r="AD141" s="156">
        <f t="shared" si="59"/>
        <v>0</v>
      </c>
      <c r="AE141" s="146">
        <f>IFERROR(INDEX(Työkonekanta!$L$3:$L$30,MATCH($A141,Työkonekanta!$A$3:$A$30,0),1),0)*AF141</f>
        <v>0</v>
      </c>
      <c r="AF141" s="146">
        <f>IFERROR(INDEX(Työkonekanta!$N$3:$N$32,MATCH($A141,Työkonekanta!$A$3:$A$32,0),1),0)</f>
        <v>0</v>
      </c>
      <c r="AG141" s="332">
        <f>I141*INDEX(Muuttujat!$U$5:$U$21,MATCH($C141,Muuttujat!$N$5:$N$21,0),1)</f>
        <v>0</v>
      </c>
      <c r="AH141" s="332">
        <f>J141*INDEX(Muuttujat!$T$5:$T$21,MATCH($C141,Muuttujat!$N$5:$N$21,0),1)</f>
        <v>0</v>
      </c>
      <c r="AI141" s="332">
        <f t="shared" si="50"/>
        <v>0</v>
      </c>
      <c r="AJ141" s="332">
        <f t="shared" si="51"/>
        <v>0</v>
      </c>
      <c r="AK141" s="332">
        <f t="shared" si="60"/>
        <v>0</v>
      </c>
      <c r="AL141" s="332">
        <f t="shared" si="52"/>
        <v>0</v>
      </c>
    </row>
    <row r="142" spans="1:38">
      <c r="A142" s="139">
        <v>20</v>
      </c>
      <c r="B142" s="139">
        <f>IFERROR(INDEX(Työkonekanta!$F$3:$F$27,MATCH('S0b Baseline kasvu'!$A142,Työkonekanta!$A$3:$A$24,0),1),0)</f>
        <v>0</v>
      </c>
      <c r="C142" s="140">
        <v>2023</v>
      </c>
      <c r="D142" s="141" t="str">
        <f>IFERROR(INDEX(Työkonekanta!$D$3:$D$27,MATCH('S0b Baseline kasvu'!$A142,Työkonekanta!$A$3:$A$24,0),1),"undefined")</f>
        <v>pom</v>
      </c>
      <c r="E142" s="145">
        <f>IFERROR(INDEX(Työkonekanta!$G$3:$G$27,MATCH($A142,Työkonekanta!$A$3:$A$24,0),1)*INDEX(Työkonekanta!$H$3:$H$27,MATCH($A142,Työkonekanta!$A$3:$A$24,0),1)*(1+s0b_kasvu*($C142-2019))*$B142,0)</f>
        <v>0</v>
      </c>
      <c r="F142" s="145">
        <f t="shared" si="44"/>
        <v>0</v>
      </c>
      <c r="G142" s="145">
        <f t="shared" si="53"/>
        <v>0</v>
      </c>
      <c r="H142" s="145">
        <f t="shared" si="54"/>
        <v>0</v>
      </c>
      <c r="I142" s="145">
        <f t="shared" si="45"/>
        <v>0</v>
      </c>
      <c r="J142" s="145">
        <f t="shared" si="46"/>
        <v>0</v>
      </c>
      <c r="K142" s="142" t="str">
        <f t="shared" si="55"/>
        <v>l</v>
      </c>
      <c r="L142" s="146">
        <f>IFERROR(INDEX(Työkonekanta!$I$3:$I$27,MATCH('S0b Baseline kasvu'!$A142,Työkonekanta!$A$3:$A$24,0),1)*(I142+J142)*f_adblue,0)</f>
        <v>0</v>
      </c>
      <c r="M142" s="146">
        <f t="shared" si="39"/>
        <v>0</v>
      </c>
      <c r="N142" s="143" t="str">
        <f>IF(tuulisähkö_vuosi&lt;='S0b Baseline kasvu'!C142,"tuulisähkö",ostosähkö_nyt)</f>
        <v>jäännössähkö</v>
      </c>
      <c r="O142" s="147">
        <f>INDEX(Muuttujat!$J$5:$J$21,MATCH($C142,Muuttujat!$H$5:$H$21,0),1)</f>
        <v>66.51860537025</v>
      </c>
      <c r="P142" s="342">
        <f>1-(INDEX(Muuttujat!$O$5:$O$21,MATCH($C142,Muuttujat!$N$5:$N$21,0),1))</f>
        <v>0.95</v>
      </c>
      <c r="Q142" s="342">
        <f>INDEX(Muuttujat!$O$5:$O$21,MATCH($C142,Muuttujat!$N$5:$N$21,0),1)</f>
        <v>0.05</v>
      </c>
      <c r="R142" s="148">
        <f>INDEX(Muuttujat!$P$5:$P$21,MATCH($C142,Muuttujat!$N$5:$N$21,0),1)</f>
        <v>5.2210587442409327E-2</v>
      </c>
      <c r="S142" s="149">
        <f t="shared" si="47"/>
        <v>0</v>
      </c>
      <c r="T142" s="150">
        <f t="shared" si="48"/>
        <v>0</v>
      </c>
      <c r="U142" s="150">
        <f t="shared" si="49"/>
        <v>0</v>
      </c>
      <c r="V142" s="150">
        <f>IFERROR(INDEX(Työkonekanta!$J$3:$J$27,MATCH($A142,Työkonekanta!$A$3:$A$24,0),1)*$B142*ef_li_ion_akku/1000/1000/INDEX(Työkonekanta!$K$3:$K$27,MATCH($A142,Työkonekanta!$A$3:$A$24,0)),0)</f>
        <v>0</v>
      </c>
      <c r="W142" s="149">
        <f t="shared" si="40"/>
        <v>0</v>
      </c>
      <c r="X142" s="150">
        <f t="shared" si="41"/>
        <v>0</v>
      </c>
      <c r="Y142" s="151">
        <f t="shared" si="42"/>
        <v>0</v>
      </c>
      <c r="Z142" s="152">
        <f t="shared" si="56"/>
        <v>0</v>
      </c>
      <c r="AA142" s="179">
        <f t="shared" si="57"/>
        <v>0</v>
      </c>
      <c r="AB142" s="179">
        <f t="shared" si="58"/>
        <v>0</v>
      </c>
      <c r="AC142" s="180">
        <f t="shared" si="43"/>
        <v>0</v>
      </c>
      <c r="AD142" s="156">
        <f t="shared" si="59"/>
        <v>0</v>
      </c>
      <c r="AE142" s="146">
        <f>IFERROR(INDEX(Työkonekanta!$L$3:$L$30,MATCH($A142,Työkonekanta!$A$3:$A$30,0),1),0)*AF142</f>
        <v>0</v>
      </c>
      <c r="AF142" s="146">
        <f>IFERROR(INDEX(Työkonekanta!$N$3:$N$32,MATCH($A142,Työkonekanta!$A$3:$A$32,0),1),0)</f>
        <v>0</v>
      </c>
      <c r="AG142" s="332">
        <f>I142*INDEX(Muuttujat!$U$5:$U$21,MATCH($C142,Muuttujat!$N$5:$N$21,0),1)</f>
        <v>0</v>
      </c>
      <c r="AH142" s="332">
        <f>J142*INDEX(Muuttujat!$T$5:$T$21,MATCH($C142,Muuttujat!$N$5:$N$21,0),1)</f>
        <v>0</v>
      </c>
      <c r="AI142" s="332">
        <f t="shared" si="50"/>
        <v>0</v>
      </c>
      <c r="AJ142" s="332">
        <f t="shared" si="51"/>
        <v>0</v>
      </c>
      <c r="AK142" s="332">
        <f t="shared" si="60"/>
        <v>0</v>
      </c>
      <c r="AL142" s="332">
        <f t="shared" si="52"/>
        <v>0</v>
      </c>
    </row>
    <row r="143" spans="1:38">
      <c r="A143" s="139">
        <v>21</v>
      </c>
      <c r="B143" s="139">
        <f>IFERROR(INDEX(Työkonekanta!$F$3:$F$27,MATCH('S0b Baseline kasvu'!$A143,Työkonekanta!$A$3:$A$24,0),1),0)</f>
        <v>35</v>
      </c>
      <c r="C143" s="140">
        <v>2023</v>
      </c>
      <c r="D143" s="141" t="str">
        <f>IFERROR(INDEX(Työkonekanta!$D$3:$D$27,MATCH('S0b Baseline kasvu'!$A143,Työkonekanta!$A$3:$A$24,0),1),"undefined")</f>
        <v>sähkö</v>
      </c>
      <c r="E143" s="145">
        <f>IFERROR(INDEX(Työkonekanta!$G$3:$G$27,MATCH($A143,Työkonekanta!$A$3:$A$24,0),1)*INDEX(Työkonekanta!$H$3:$H$27,MATCH($A143,Työkonekanta!$A$3:$A$24,0),1)*(1+s0b_kasvu*($C143-2019))*$B143,0)</f>
        <v>423487.03703703702</v>
      </c>
      <c r="F143" s="145">
        <f t="shared" si="44"/>
        <v>0</v>
      </c>
      <c r="G143" s="145">
        <f t="shared" si="53"/>
        <v>0</v>
      </c>
      <c r="H143" s="145">
        <f t="shared" si="54"/>
        <v>0</v>
      </c>
      <c r="I143" s="145">
        <f t="shared" si="45"/>
        <v>0</v>
      </c>
      <c r="J143" s="145">
        <f t="shared" si="46"/>
        <v>0</v>
      </c>
      <c r="K143" s="142" t="str">
        <f t="shared" si="55"/>
        <v>kWh</v>
      </c>
      <c r="L143" s="146">
        <f>IFERROR(INDEX(Työkonekanta!$I$3:$I$27,MATCH('S0b Baseline kasvu'!$A143,Työkonekanta!$A$3:$A$24,0),1)*(I143+J143)*f_adblue,0)</f>
        <v>0</v>
      </c>
      <c r="M143" s="146">
        <f t="shared" si="39"/>
        <v>1524553.3333333333</v>
      </c>
      <c r="N143" s="143" t="str">
        <f>IF(tuulisähkö_vuosi&lt;='S0b Baseline kasvu'!C143,"tuulisähkö",ostosähkö_nyt)</f>
        <v>jäännössähkö</v>
      </c>
      <c r="O143" s="147">
        <f>INDEX(Muuttujat!$J$5:$J$21,MATCH($C143,Muuttujat!$H$5:$H$21,0),1)</f>
        <v>66.51860537025</v>
      </c>
      <c r="P143" s="342">
        <f>1-(INDEX(Muuttujat!$O$5:$O$21,MATCH($C143,Muuttujat!$N$5:$N$21,0),1))</f>
        <v>0.95</v>
      </c>
      <c r="Q143" s="342">
        <f>INDEX(Muuttujat!$O$5:$O$21,MATCH($C143,Muuttujat!$N$5:$N$21,0),1)</f>
        <v>0.05</v>
      </c>
      <c r="R143" s="148">
        <f>INDEX(Muuttujat!$P$5:$P$21,MATCH($C143,Muuttujat!$N$5:$N$21,0),1)</f>
        <v>5.2210587442409327E-2</v>
      </c>
      <c r="S143" s="149">
        <f t="shared" si="47"/>
        <v>0</v>
      </c>
      <c r="T143" s="150">
        <f t="shared" si="48"/>
        <v>0</v>
      </c>
      <c r="U143" s="150">
        <f t="shared" si="49"/>
        <v>101.4111615458992</v>
      </c>
      <c r="V143" s="150">
        <f>IFERROR(INDEX(Työkonekanta!$J$3:$J$27,MATCH($A143,Työkonekanta!$A$3:$A$24,0),1)*$B143*ef_li_ion_akku/1000/1000/INDEX(Työkonekanta!$K$3:$K$27,MATCH($A143,Työkonekanta!$A$3:$A$24,0)),0)</f>
        <v>43.121723076923082</v>
      </c>
      <c r="W143" s="149">
        <f t="shared" si="40"/>
        <v>0</v>
      </c>
      <c r="X143" s="150">
        <f t="shared" si="41"/>
        <v>0</v>
      </c>
      <c r="Y143" s="151">
        <f t="shared" si="42"/>
        <v>0</v>
      </c>
      <c r="Z143" s="152">
        <f t="shared" si="56"/>
        <v>144.53288462282228</v>
      </c>
      <c r="AA143" s="179">
        <f t="shared" si="57"/>
        <v>0</v>
      </c>
      <c r="AB143" s="179">
        <f t="shared" si="58"/>
        <v>0</v>
      </c>
      <c r="AC143" s="180">
        <f t="shared" si="43"/>
        <v>144.53288462282228</v>
      </c>
      <c r="AD143" s="156">
        <f t="shared" si="59"/>
        <v>144.53288462282228</v>
      </c>
      <c r="AE143" s="146">
        <f>IFERROR(INDEX(Työkonekanta!$L$3:$L$30,MATCH($A143,Työkonekanta!$A$3:$A$30,0),1),0)*AF143</f>
        <v>1820000</v>
      </c>
      <c r="AF143" s="146">
        <f>IFERROR(INDEX(Työkonekanta!$N$3:$N$32,MATCH($A143,Työkonekanta!$A$3:$A$32,0),1),0)</f>
        <v>7</v>
      </c>
      <c r="AG143" s="332">
        <f>I143*INDEX(Muuttujat!$U$5:$U$21,MATCH($C143,Muuttujat!$N$5:$N$21,0),1)</f>
        <v>0</v>
      </c>
      <c r="AH143" s="332">
        <f>J143*INDEX(Muuttujat!$T$5:$T$21,MATCH($C143,Muuttujat!$N$5:$N$21,0),1)</f>
        <v>0</v>
      </c>
      <c r="AI143" s="332">
        <f t="shared" si="50"/>
        <v>0</v>
      </c>
      <c r="AJ143" s="332">
        <f t="shared" si="51"/>
        <v>37478.602777777778</v>
      </c>
      <c r="AK143" s="332">
        <f t="shared" si="60"/>
        <v>37478.602777777778</v>
      </c>
      <c r="AL143" s="332">
        <f t="shared" si="52"/>
        <v>1070.8172222222222</v>
      </c>
    </row>
    <row r="144" spans="1:38">
      <c r="A144" s="139">
        <v>22</v>
      </c>
      <c r="B144" s="139">
        <f>IFERROR(INDEX(Työkonekanta!$F$3:$F$27,MATCH('S0b Baseline kasvu'!$A144,Työkonekanta!$A$3:$A$24,0),1),0)</f>
        <v>0</v>
      </c>
      <c r="C144" s="140">
        <v>2023</v>
      </c>
      <c r="D144" s="141" t="str">
        <f>IFERROR(INDEX(Työkonekanta!$D$3:$D$27,MATCH('S0b Baseline kasvu'!$A144,Työkonekanta!$A$3:$A$24,0),1),"undefined")</f>
        <v>sähkö</v>
      </c>
      <c r="E144" s="145">
        <f>IFERROR(INDEX(Työkonekanta!$G$3:$G$27,MATCH($A144,Työkonekanta!$A$3:$A$24,0),1)*INDEX(Työkonekanta!$H$3:$H$27,MATCH($A144,Työkonekanta!$A$3:$A$24,0),1)*(1+s0b_kasvu*($C144-2019))*$B144,0)</f>
        <v>0</v>
      </c>
      <c r="F144" s="145">
        <f t="shared" si="44"/>
        <v>0</v>
      </c>
      <c r="G144" s="145">
        <f t="shared" si="53"/>
        <v>0</v>
      </c>
      <c r="H144" s="145">
        <f t="shared" si="54"/>
        <v>0</v>
      </c>
      <c r="I144" s="145">
        <f t="shared" si="45"/>
        <v>0</v>
      </c>
      <c r="J144" s="145">
        <f t="shared" si="46"/>
        <v>0</v>
      </c>
      <c r="K144" s="142" t="str">
        <f t="shared" si="55"/>
        <v>kWh</v>
      </c>
      <c r="L144" s="146">
        <f>IFERROR(INDEX(Työkonekanta!$I$3:$I$27,MATCH('S0b Baseline kasvu'!$A144,Työkonekanta!$A$3:$A$24,0),1)*(I144+J144)*f_adblue,0)</f>
        <v>0</v>
      </c>
      <c r="M144" s="146">
        <f t="shared" si="39"/>
        <v>0</v>
      </c>
      <c r="N144" s="143" t="str">
        <f>IF(tuulisähkö_vuosi&lt;='S0b Baseline kasvu'!C144,"tuulisähkö",ostosähkö_nyt)</f>
        <v>jäännössähkö</v>
      </c>
      <c r="O144" s="147">
        <f>INDEX(Muuttujat!$J$5:$J$21,MATCH($C144,Muuttujat!$H$5:$H$21,0),1)</f>
        <v>66.51860537025</v>
      </c>
      <c r="P144" s="342">
        <f>1-(INDEX(Muuttujat!$O$5:$O$21,MATCH($C144,Muuttujat!$N$5:$N$21,0),1))</f>
        <v>0.95</v>
      </c>
      <c r="Q144" s="342">
        <f>INDEX(Muuttujat!$O$5:$O$21,MATCH($C144,Muuttujat!$N$5:$N$21,0),1)</f>
        <v>0.05</v>
      </c>
      <c r="R144" s="148">
        <f>INDEX(Muuttujat!$P$5:$P$21,MATCH($C144,Muuttujat!$N$5:$N$21,0),1)</f>
        <v>5.2210587442409327E-2</v>
      </c>
      <c r="S144" s="149">
        <f t="shared" si="47"/>
        <v>0</v>
      </c>
      <c r="T144" s="150">
        <f t="shared" si="48"/>
        <v>0</v>
      </c>
      <c r="U144" s="150">
        <f t="shared" si="49"/>
        <v>0</v>
      </c>
      <c r="V144" s="150">
        <f>IFERROR(INDEX(Työkonekanta!$J$3:$J$27,MATCH($A144,Työkonekanta!$A$3:$A$24,0),1)*$B144*ef_li_ion_akku/1000/1000/INDEX(Työkonekanta!$K$3:$K$27,MATCH($A144,Työkonekanta!$A$3:$A$24,0)),0)</f>
        <v>0</v>
      </c>
      <c r="W144" s="149">
        <f t="shared" si="40"/>
        <v>0</v>
      </c>
      <c r="X144" s="150">
        <f t="shared" si="41"/>
        <v>0</v>
      </c>
      <c r="Y144" s="151">
        <f t="shared" si="42"/>
        <v>0</v>
      </c>
      <c r="Z144" s="152">
        <f t="shared" si="56"/>
        <v>0</v>
      </c>
      <c r="AA144" s="179">
        <f t="shared" si="57"/>
        <v>0</v>
      </c>
      <c r="AB144" s="179">
        <f t="shared" si="58"/>
        <v>0</v>
      </c>
      <c r="AC144" s="180">
        <f t="shared" si="43"/>
        <v>0</v>
      </c>
      <c r="AD144" s="156">
        <f t="shared" si="59"/>
        <v>0</v>
      </c>
      <c r="AE144" s="146">
        <f>IFERROR(INDEX(Työkonekanta!$L$3:$L$30,MATCH($A144,Työkonekanta!$A$3:$A$30,0),1),0)*AF144</f>
        <v>0</v>
      </c>
      <c r="AF144" s="146">
        <f>IFERROR(INDEX(Työkonekanta!$N$3:$N$32,MATCH($A144,Työkonekanta!$A$3:$A$32,0),1),0)</f>
        <v>0</v>
      </c>
      <c r="AG144" s="332">
        <f>I144*INDEX(Muuttujat!$U$5:$U$21,MATCH($C144,Muuttujat!$N$5:$N$21,0),1)</f>
        <v>0</v>
      </c>
      <c r="AH144" s="332">
        <f>J144*INDEX(Muuttujat!$T$5:$T$21,MATCH($C144,Muuttujat!$N$5:$N$21,0),1)</f>
        <v>0</v>
      </c>
      <c r="AI144" s="332">
        <f t="shared" si="50"/>
        <v>0</v>
      </c>
      <c r="AJ144" s="332">
        <f t="shared" si="51"/>
        <v>0</v>
      </c>
      <c r="AK144" s="332">
        <f t="shared" si="60"/>
        <v>0</v>
      </c>
      <c r="AL144" s="332">
        <f t="shared" si="52"/>
        <v>0</v>
      </c>
    </row>
    <row r="145" spans="1:38">
      <c r="A145" s="139">
        <v>23</v>
      </c>
      <c r="B145" s="139">
        <f>IFERROR(INDEX(Työkonekanta!$F$3:$F$27,MATCH('S0b Baseline kasvu'!$A145,Työkonekanta!$A$3:$A$24,0),1),0)</f>
        <v>0</v>
      </c>
      <c r="C145" s="140">
        <v>2023</v>
      </c>
      <c r="D145" s="141" t="str">
        <f>IFERROR(INDEX(Työkonekanta!$D$3:$D$27,MATCH('S0b Baseline kasvu'!$A145,Työkonekanta!$A$3:$A$24,0),1),"undefined")</f>
        <v>undefined</v>
      </c>
      <c r="E145" s="145">
        <f>IFERROR(INDEX(Työkonekanta!$G$3:$G$27,MATCH($A145,Työkonekanta!$A$3:$A$24,0),1)*INDEX(Työkonekanta!$H$3:$H$27,MATCH($A145,Työkonekanta!$A$3:$A$24,0),1)*(1+s0b_kasvu*($C145-2019))*$B145,0)</f>
        <v>0</v>
      </c>
      <c r="F145" s="145">
        <f t="shared" si="44"/>
        <v>0</v>
      </c>
      <c r="G145" s="145">
        <f t="shared" si="53"/>
        <v>0</v>
      </c>
      <c r="H145" s="145">
        <f t="shared" si="54"/>
        <v>0</v>
      </c>
      <c r="I145" s="145">
        <f t="shared" si="45"/>
        <v>0</v>
      </c>
      <c r="J145" s="145">
        <f t="shared" si="46"/>
        <v>0</v>
      </c>
      <c r="K145" s="142" t="str">
        <f t="shared" si="55"/>
        <v>undefined</v>
      </c>
      <c r="L145" s="146">
        <f>IFERROR(INDEX(Työkonekanta!$I$3:$I$27,MATCH('S0b Baseline kasvu'!$A145,Työkonekanta!$A$3:$A$24,0),1)*(I145+J145)*f_adblue,0)</f>
        <v>0</v>
      </c>
      <c r="M145" s="146">
        <f t="shared" si="39"/>
        <v>0</v>
      </c>
      <c r="N145" s="143" t="str">
        <f>IF(tuulisähkö_vuosi&lt;='S0b Baseline kasvu'!C145,"tuulisähkö",ostosähkö_nyt)</f>
        <v>jäännössähkö</v>
      </c>
      <c r="O145" s="147">
        <f>INDEX(Muuttujat!$J$5:$J$21,MATCH($C145,Muuttujat!$H$5:$H$21,0),1)</f>
        <v>66.51860537025</v>
      </c>
      <c r="P145" s="342">
        <f>1-(INDEX(Muuttujat!$O$5:$O$21,MATCH($C145,Muuttujat!$N$5:$N$21,0),1))</f>
        <v>0.95</v>
      </c>
      <c r="Q145" s="342">
        <f>INDEX(Muuttujat!$O$5:$O$21,MATCH($C145,Muuttujat!$N$5:$N$21,0),1)</f>
        <v>0.05</v>
      </c>
      <c r="R145" s="148">
        <f>INDEX(Muuttujat!$P$5:$P$21,MATCH($C145,Muuttujat!$N$5:$N$21,0),1)</f>
        <v>5.2210587442409327E-2</v>
      </c>
      <c r="S145" s="149">
        <f t="shared" si="47"/>
        <v>0</v>
      </c>
      <c r="T145" s="150">
        <f t="shared" si="48"/>
        <v>0</v>
      </c>
      <c r="U145" s="150">
        <f t="shared" si="49"/>
        <v>0</v>
      </c>
      <c r="V145" s="150">
        <f>IFERROR(INDEX(Työkonekanta!$J$3:$J$27,MATCH($A145,Työkonekanta!$A$3:$A$24,0),1)*$B145*ef_li_ion_akku/1000/1000/INDEX(Työkonekanta!$K$3:$K$27,MATCH($A145,Työkonekanta!$A$3:$A$24,0)),0)</f>
        <v>0</v>
      </c>
      <c r="W145" s="149">
        <f t="shared" si="40"/>
        <v>0</v>
      </c>
      <c r="X145" s="150">
        <f t="shared" si="41"/>
        <v>0</v>
      </c>
      <c r="Y145" s="151">
        <f t="shared" si="42"/>
        <v>0</v>
      </c>
      <c r="Z145" s="152">
        <f t="shared" si="56"/>
        <v>0</v>
      </c>
      <c r="AA145" s="179">
        <f t="shared" si="57"/>
        <v>0</v>
      </c>
      <c r="AB145" s="179">
        <f t="shared" si="58"/>
        <v>0</v>
      </c>
      <c r="AC145" s="180">
        <f t="shared" si="43"/>
        <v>0</v>
      </c>
      <c r="AD145" s="156">
        <f t="shared" si="59"/>
        <v>0</v>
      </c>
      <c r="AE145" s="146">
        <f>IFERROR(INDEX(Työkonekanta!$L$3:$L$30,MATCH($A145,Työkonekanta!$A$3:$A$30,0),1),0)*AF145</f>
        <v>0</v>
      </c>
      <c r="AF145" s="146">
        <f>IFERROR(INDEX(Työkonekanta!$N$3:$N$32,MATCH($A145,Työkonekanta!$A$3:$A$32,0),1),0)</f>
        <v>0</v>
      </c>
      <c r="AG145" s="332">
        <f>I145*INDEX(Muuttujat!$U$5:$U$21,MATCH($C145,Muuttujat!$N$5:$N$21,0),1)</f>
        <v>0</v>
      </c>
      <c r="AH145" s="332">
        <f>J145*INDEX(Muuttujat!$T$5:$T$21,MATCH($C145,Muuttujat!$N$5:$N$21,0),1)</f>
        <v>0</v>
      </c>
      <c r="AI145" s="332">
        <f t="shared" si="50"/>
        <v>0</v>
      </c>
      <c r="AJ145" s="332">
        <f t="shared" si="51"/>
        <v>0</v>
      </c>
      <c r="AK145" s="332">
        <f t="shared" si="60"/>
        <v>0</v>
      </c>
      <c r="AL145" s="332">
        <f t="shared" si="52"/>
        <v>0</v>
      </c>
    </row>
    <row r="146" spans="1:38">
      <c r="A146" s="139">
        <v>24</v>
      </c>
      <c r="B146" s="139">
        <f>IFERROR(INDEX(Työkonekanta!$F$3:$F$27,MATCH('S0b Baseline kasvu'!$A146,Työkonekanta!$A$3:$A$24,0),1),0)</f>
        <v>0</v>
      </c>
      <c r="C146" s="140">
        <v>2023</v>
      </c>
      <c r="D146" s="141" t="str">
        <f>IFERROR(INDEX(Työkonekanta!$D$3:$D$27,MATCH('S0b Baseline kasvu'!$A146,Työkonekanta!$A$3:$A$24,0),1),"undefined")</f>
        <v>undefined</v>
      </c>
      <c r="E146" s="145">
        <f>IFERROR(INDEX(Työkonekanta!$G$3:$G$27,MATCH($A146,Työkonekanta!$A$3:$A$24,0),1)*INDEX(Työkonekanta!$H$3:$H$27,MATCH($A146,Työkonekanta!$A$3:$A$24,0),1)*(1+s0b_kasvu*($C146-2019))*$B146,0)</f>
        <v>0</v>
      </c>
      <c r="F146" s="145">
        <f t="shared" si="44"/>
        <v>0</v>
      </c>
      <c r="G146" s="145">
        <f t="shared" si="53"/>
        <v>0</v>
      </c>
      <c r="H146" s="145">
        <f t="shared" si="54"/>
        <v>0</v>
      </c>
      <c r="I146" s="145">
        <f t="shared" si="45"/>
        <v>0</v>
      </c>
      <c r="J146" s="145">
        <f t="shared" si="46"/>
        <v>0</v>
      </c>
      <c r="K146" s="142" t="str">
        <f t="shared" si="55"/>
        <v>undefined</v>
      </c>
      <c r="L146" s="146">
        <f>IFERROR(INDEX(Työkonekanta!$I$3:$I$27,MATCH('S0b Baseline kasvu'!$A146,Työkonekanta!$A$3:$A$24,0),1)*(I146+J146)*f_adblue,0)</f>
        <v>0</v>
      </c>
      <c r="M146" s="146">
        <f t="shared" si="39"/>
        <v>0</v>
      </c>
      <c r="N146" s="143" t="str">
        <f>IF(tuulisähkö_vuosi&lt;='S0b Baseline kasvu'!C146,"tuulisähkö",ostosähkö_nyt)</f>
        <v>jäännössähkö</v>
      </c>
      <c r="O146" s="147">
        <f>INDEX(Muuttujat!$J$5:$J$21,MATCH($C146,Muuttujat!$H$5:$H$21,0),1)</f>
        <v>66.51860537025</v>
      </c>
      <c r="P146" s="342">
        <f>1-(INDEX(Muuttujat!$O$5:$O$21,MATCH($C146,Muuttujat!$N$5:$N$21,0),1))</f>
        <v>0.95</v>
      </c>
      <c r="Q146" s="342">
        <f>INDEX(Muuttujat!$O$5:$O$21,MATCH($C146,Muuttujat!$N$5:$N$21,0),1)</f>
        <v>0.05</v>
      </c>
      <c r="R146" s="148">
        <f>INDEX(Muuttujat!$P$5:$P$21,MATCH($C146,Muuttujat!$N$5:$N$21,0),1)</f>
        <v>5.2210587442409327E-2</v>
      </c>
      <c r="S146" s="149">
        <f t="shared" si="47"/>
        <v>0</v>
      </c>
      <c r="T146" s="150">
        <f t="shared" si="48"/>
        <v>0</v>
      </c>
      <c r="U146" s="150">
        <f t="shared" si="49"/>
        <v>0</v>
      </c>
      <c r="V146" s="150">
        <f>IFERROR(INDEX(Työkonekanta!$J$3:$J$27,MATCH($A146,Työkonekanta!$A$3:$A$24,0),1)*$B146*ef_li_ion_akku/1000/1000/INDEX(Työkonekanta!$K$3:$K$27,MATCH($A146,Työkonekanta!$A$3:$A$24,0)),0)</f>
        <v>0</v>
      </c>
      <c r="W146" s="149">
        <f t="shared" si="40"/>
        <v>0</v>
      </c>
      <c r="X146" s="150">
        <f t="shared" si="41"/>
        <v>0</v>
      </c>
      <c r="Y146" s="151">
        <f t="shared" si="42"/>
        <v>0</v>
      </c>
      <c r="Z146" s="152">
        <f t="shared" si="56"/>
        <v>0</v>
      </c>
      <c r="AA146" s="179">
        <f t="shared" si="57"/>
        <v>0</v>
      </c>
      <c r="AB146" s="179">
        <f t="shared" si="58"/>
        <v>0</v>
      </c>
      <c r="AC146" s="180">
        <f t="shared" si="43"/>
        <v>0</v>
      </c>
      <c r="AD146" s="156">
        <f t="shared" si="59"/>
        <v>0</v>
      </c>
      <c r="AE146" s="146">
        <f>IFERROR(INDEX(Työkonekanta!$L$3:$L$30,MATCH($A146,Työkonekanta!$A$3:$A$30,0),1),0)*AF146</f>
        <v>0</v>
      </c>
      <c r="AF146" s="146">
        <f>IFERROR(INDEX(Työkonekanta!$N$3:$N$32,MATCH($A146,Työkonekanta!$A$3:$A$32,0),1),0)</f>
        <v>0</v>
      </c>
      <c r="AG146" s="332">
        <f>I146*INDEX(Muuttujat!$U$5:$U$21,MATCH($C146,Muuttujat!$N$5:$N$21,0),1)</f>
        <v>0</v>
      </c>
      <c r="AH146" s="332">
        <f>J146*INDEX(Muuttujat!$T$5:$T$21,MATCH($C146,Muuttujat!$N$5:$N$21,0),1)</f>
        <v>0</v>
      </c>
      <c r="AI146" s="332">
        <f t="shared" si="50"/>
        <v>0</v>
      </c>
      <c r="AJ146" s="332">
        <f t="shared" si="51"/>
        <v>0</v>
      </c>
      <c r="AK146" s="332">
        <f t="shared" si="60"/>
        <v>0</v>
      </c>
      <c r="AL146" s="332">
        <f t="shared" si="52"/>
        <v>0</v>
      </c>
    </row>
    <row r="147" spans="1:38">
      <c r="A147" s="139">
        <v>25</v>
      </c>
      <c r="B147" s="139">
        <f>IFERROR(INDEX(Työkonekanta!$F$3:$F$27,MATCH('S0b Baseline kasvu'!$A147,Työkonekanta!$A$3:$A$24,0),1),0)</f>
        <v>0</v>
      </c>
      <c r="C147" s="140">
        <v>2023</v>
      </c>
      <c r="D147" s="141" t="str">
        <f>IFERROR(INDEX(Työkonekanta!$D$3:$D$27,MATCH('S0b Baseline kasvu'!$A147,Työkonekanta!$A$3:$A$24,0),1),"undefined")</f>
        <v>undefined</v>
      </c>
      <c r="E147" s="145">
        <f>IFERROR(INDEX(Työkonekanta!$G$3:$G$27,MATCH($A147,Työkonekanta!$A$3:$A$24,0),1)*INDEX(Työkonekanta!$H$3:$H$27,MATCH($A147,Työkonekanta!$A$3:$A$24,0),1)*(1+s0b_kasvu*($C147-2019))*$B147,0)</f>
        <v>0</v>
      </c>
      <c r="F147" s="145">
        <f t="shared" si="44"/>
        <v>0</v>
      </c>
      <c r="G147" s="145">
        <f t="shared" si="53"/>
        <v>0</v>
      </c>
      <c r="H147" s="145">
        <f t="shared" si="54"/>
        <v>0</v>
      </c>
      <c r="I147" s="145">
        <f t="shared" si="45"/>
        <v>0</v>
      </c>
      <c r="J147" s="145">
        <f t="shared" si="46"/>
        <v>0</v>
      </c>
      <c r="K147" s="142" t="str">
        <f t="shared" si="55"/>
        <v>undefined</v>
      </c>
      <c r="L147" s="146">
        <f>IFERROR(INDEX(Työkonekanta!$I$3:$I$27,MATCH('S0b Baseline kasvu'!$A147,Työkonekanta!$A$3:$A$24,0),1)*(I147+J147)*f_adblue,0)</f>
        <v>0</v>
      </c>
      <c r="M147" s="146">
        <f t="shared" ref="M147:M210" si="61">IF($D147="sähkö",conv_kwh_mj*$E147,0)</f>
        <v>0</v>
      </c>
      <c r="N147" s="143" t="str">
        <f>IF(tuulisähkö_vuosi&lt;='S0b Baseline kasvu'!C147,"tuulisähkö",ostosähkö_nyt)</f>
        <v>jäännössähkö</v>
      </c>
      <c r="O147" s="147">
        <f>INDEX(Muuttujat!$J$5:$J$21,MATCH($C147,Muuttujat!$H$5:$H$21,0),1)</f>
        <v>66.51860537025</v>
      </c>
      <c r="P147" s="342">
        <f>1-(INDEX(Muuttujat!$O$5:$O$21,MATCH($C147,Muuttujat!$N$5:$N$21,0),1))</f>
        <v>0.95</v>
      </c>
      <c r="Q147" s="342">
        <f>INDEX(Muuttujat!$O$5:$O$21,MATCH($C147,Muuttujat!$N$5:$N$21,0),1)</f>
        <v>0.05</v>
      </c>
      <c r="R147" s="148">
        <f>INDEX(Muuttujat!$P$5:$P$21,MATCH($C147,Muuttujat!$N$5:$N$21,0),1)</f>
        <v>5.2210587442409327E-2</v>
      </c>
      <c r="S147" s="149">
        <f t="shared" si="47"/>
        <v>0</v>
      </c>
      <c r="T147" s="150">
        <f t="shared" si="48"/>
        <v>0</v>
      </c>
      <c r="U147" s="150">
        <f t="shared" si="49"/>
        <v>0</v>
      </c>
      <c r="V147" s="150">
        <f>IFERROR(INDEX(Työkonekanta!$J$3:$J$27,MATCH($A147,Työkonekanta!$A$3:$A$24,0),1)*$B147*ef_li_ion_akku/1000/1000/INDEX(Työkonekanta!$K$3:$K$27,MATCH($A147,Työkonekanta!$A$3:$A$24,0)),0)</f>
        <v>0</v>
      </c>
      <c r="W147" s="149">
        <f t="shared" ref="W147:W210" si="62">($I147*IF($D147="pom",ef_v_co2_pom,0))/1000/1000</f>
        <v>0</v>
      </c>
      <c r="X147" s="150">
        <f t="shared" ref="X147:X210" si="63">($E147*(IF($D147="pom",ef_v_ch4_pom,0)*gwp100_ch4+IF($D147="pom",ef_v_n2o_pom,0)*gwp100_n2o))/1000/1000</f>
        <v>0</v>
      </c>
      <c r="Y147" s="151">
        <f t="shared" ref="Y147:Y210" si="64">$L147*ef_v_co2_adblue/1000/1000</f>
        <v>0</v>
      </c>
      <c r="Z147" s="152">
        <f t="shared" si="56"/>
        <v>0</v>
      </c>
      <c r="AA147" s="179">
        <f t="shared" si="57"/>
        <v>0</v>
      </c>
      <c r="AB147" s="179">
        <f t="shared" si="58"/>
        <v>0</v>
      </c>
      <c r="AC147" s="180">
        <f t="shared" ref="AC147:AC210" si="65">$Z147+$AA147</f>
        <v>0</v>
      </c>
      <c r="AD147" s="156">
        <f t="shared" si="59"/>
        <v>0</v>
      </c>
      <c r="AE147" s="146">
        <f>IFERROR(INDEX(Työkonekanta!$L$3:$L$30,MATCH($A147,Työkonekanta!$A$3:$A$30,0),1),0)*AF147</f>
        <v>0</v>
      </c>
      <c r="AF147" s="146">
        <f>IFERROR(INDEX(Työkonekanta!$N$3:$N$32,MATCH($A147,Työkonekanta!$A$3:$A$32,0),1),0)</f>
        <v>0</v>
      </c>
      <c r="AG147" s="332">
        <f>I147*INDEX(Muuttujat!$U$5:$U$21,MATCH($C147,Muuttujat!$N$5:$N$21,0),1)</f>
        <v>0</v>
      </c>
      <c r="AH147" s="332">
        <f>J147*INDEX(Muuttujat!$T$5:$T$21,MATCH($C147,Muuttujat!$N$5:$N$21,0),1)</f>
        <v>0</v>
      </c>
      <c r="AI147" s="332">
        <f t="shared" si="50"/>
        <v>0</v>
      </c>
      <c r="AJ147" s="332">
        <f t="shared" si="51"/>
        <v>0</v>
      </c>
      <c r="AK147" s="332">
        <f t="shared" si="60"/>
        <v>0</v>
      </c>
      <c r="AL147" s="332">
        <f t="shared" si="52"/>
        <v>0</v>
      </c>
    </row>
    <row r="148" spans="1:38">
      <c r="A148" s="139">
        <v>26</v>
      </c>
      <c r="B148" s="139">
        <f>IFERROR(INDEX(Työkonekanta!$F$3:$F$27,MATCH('S0b Baseline kasvu'!$A148,Työkonekanta!$A$3:$A$24,0),1),0)</f>
        <v>0</v>
      </c>
      <c r="C148" s="140">
        <v>2023</v>
      </c>
      <c r="D148" s="141" t="str">
        <f>IFERROR(INDEX(Työkonekanta!$D$3:$D$27,MATCH('S0b Baseline kasvu'!$A148,Työkonekanta!$A$3:$A$24,0),1),"undefined")</f>
        <v>undefined</v>
      </c>
      <c r="E148" s="145">
        <f>IFERROR(INDEX(Työkonekanta!$G$3:$G$27,MATCH($A148,Työkonekanta!$A$3:$A$24,0),1)*INDEX(Työkonekanta!$H$3:$H$27,MATCH($A148,Työkonekanta!$A$3:$A$24,0),1)*(1+s0b_kasvu*($C148-2019))*$B148,0)</f>
        <v>0</v>
      </c>
      <c r="F148" s="145">
        <f t="shared" si="44"/>
        <v>0</v>
      </c>
      <c r="G148" s="145">
        <f t="shared" si="53"/>
        <v>0</v>
      </c>
      <c r="H148" s="145">
        <f t="shared" si="54"/>
        <v>0</v>
      </c>
      <c r="I148" s="145">
        <f t="shared" si="45"/>
        <v>0</v>
      </c>
      <c r="J148" s="145">
        <f t="shared" si="46"/>
        <v>0</v>
      </c>
      <c r="K148" s="142" t="str">
        <f t="shared" si="55"/>
        <v>undefined</v>
      </c>
      <c r="L148" s="146">
        <f>IFERROR(INDEX(Työkonekanta!$I$3:$I$27,MATCH('S0b Baseline kasvu'!$A148,Työkonekanta!$A$3:$A$24,0),1)*(I148+J148)*f_adblue,0)</f>
        <v>0</v>
      </c>
      <c r="M148" s="146">
        <f t="shared" si="61"/>
        <v>0</v>
      </c>
      <c r="N148" s="143" t="str">
        <f>IF(tuulisähkö_vuosi&lt;='S0b Baseline kasvu'!C148,"tuulisähkö",ostosähkö_nyt)</f>
        <v>jäännössähkö</v>
      </c>
      <c r="O148" s="147">
        <f>INDEX(Muuttujat!$J$5:$J$21,MATCH($C148,Muuttujat!$H$5:$H$21,0),1)</f>
        <v>66.51860537025</v>
      </c>
      <c r="P148" s="342">
        <f>1-(INDEX(Muuttujat!$O$5:$O$21,MATCH($C148,Muuttujat!$N$5:$N$21,0),1))</f>
        <v>0.95</v>
      </c>
      <c r="Q148" s="342">
        <f>INDEX(Muuttujat!$O$5:$O$21,MATCH($C148,Muuttujat!$N$5:$N$21,0),1)</f>
        <v>0.05</v>
      </c>
      <c r="R148" s="148">
        <f>INDEX(Muuttujat!$P$5:$P$21,MATCH($C148,Muuttujat!$N$5:$N$21,0),1)</f>
        <v>5.2210587442409327E-2</v>
      </c>
      <c r="S148" s="149">
        <f t="shared" si="47"/>
        <v>0</v>
      </c>
      <c r="T148" s="150">
        <f t="shared" si="48"/>
        <v>0</v>
      </c>
      <c r="U148" s="150">
        <f t="shared" si="49"/>
        <v>0</v>
      </c>
      <c r="V148" s="150">
        <f>IFERROR(INDEX(Työkonekanta!$J$3:$J$27,MATCH($A148,Työkonekanta!$A$3:$A$24,0),1)*$B148*ef_li_ion_akku/1000/1000/INDEX(Työkonekanta!$K$3:$K$27,MATCH($A148,Työkonekanta!$A$3:$A$24,0)),0)</f>
        <v>0</v>
      </c>
      <c r="W148" s="149">
        <f t="shared" si="62"/>
        <v>0</v>
      </c>
      <c r="X148" s="150">
        <f t="shared" si="63"/>
        <v>0</v>
      </c>
      <c r="Y148" s="151">
        <f t="shared" si="64"/>
        <v>0</v>
      </c>
      <c r="Z148" s="152">
        <f t="shared" si="56"/>
        <v>0</v>
      </c>
      <c r="AA148" s="179">
        <f t="shared" si="57"/>
        <v>0</v>
      </c>
      <c r="AB148" s="179">
        <f t="shared" si="58"/>
        <v>0</v>
      </c>
      <c r="AC148" s="180">
        <f t="shared" si="65"/>
        <v>0</v>
      </c>
      <c r="AD148" s="156">
        <f t="shared" si="59"/>
        <v>0</v>
      </c>
      <c r="AE148" s="146">
        <f>IFERROR(INDEX(Työkonekanta!$L$3:$L$30,MATCH($A148,Työkonekanta!$A$3:$A$30,0),1),0)*AF148</f>
        <v>0</v>
      </c>
      <c r="AF148" s="146">
        <f>IFERROR(INDEX(Työkonekanta!$N$3:$N$32,MATCH($A148,Työkonekanta!$A$3:$A$32,0),1),0)</f>
        <v>0</v>
      </c>
      <c r="AG148" s="332">
        <f>I148*INDEX(Muuttujat!$U$5:$U$21,MATCH($C148,Muuttujat!$N$5:$N$21,0),1)</f>
        <v>0</v>
      </c>
      <c r="AH148" s="332">
        <f>J148*INDEX(Muuttujat!$T$5:$T$21,MATCH($C148,Muuttujat!$N$5:$N$21,0),1)</f>
        <v>0</v>
      </c>
      <c r="AI148" s="332">
        <f t="shared" si="50"/>
        <v>0</v>
      </c>
      <c r="AJ148" s="332">
        <f t="shared" si="51"/>
        <v>0</v>
      </c>
      <c r="AK148" s="332">
        <f t="shared" si="60"/>
        <v>0</v>
      </c>
      <c r="AL148" s="332">
        <f t="shared" si="52"/>
        <v>0</v>
      </c>
    </row>
    <row r="149" spans="1:38">
      <c r="A149" s="139">
        <v>27</v>
      </c>
      <c r="B149" s="139">
        <f>IFERROR(INDEX(Työkonekanta!$F$3:$F$27,MATCH('S0b Baseline kasvu'!$A149,Työkonekanta!$A$3:$A$24,0),1),0)</f>
        <v>0</v>
      </c>
      <c r="C149" s="140">
        <v>2023</v>
      </c>
      <c r="D149" s="141" t="str">
        <f>IFERROR(INDEX(Työkonekanta!$D$3:$D$27,MATCH('S0b Baseline kasvu'!$A149,Työkonekanta!$A$3:$A$24,0),1),"undefined")</f>
        <v>undefined</v>
      </c>
      <c r="E149" s="145">
        <f>IFERROR(INDEX(Työkonekanta!$G$3:$G$27,MATCH($A149,Työkonekanta!$A$3:$A$24,0),1)*INDEX(Työkonekanta!$H$3:$H$27,MATCH($A149,Työkonekanta!$A$3:$A$24,0),1)*(1+s0b_kasvu*($C149-2019))*$B149,0)</f>
        <v>0</v>
      </c>
      <c r="F149" s="145">
        <f t="shared" si="44"/>
        <v>0</v>
      </c>
      <c r="G149" s="145">
        <f t="shared" si="53"/>
        <v>0</v>
      </c>
      <c r="H149" s="145">
        <f t="shared" si="54"/>
        <v>0</v>
      </c>
      <c r="I149" s="145">
        <f t="shared" si="45"/>
        <v>0</v>
      </c>
      <c r="J149" s="145">
        <f t="shared" si="46"/>
        <v>0</v>
      </c>
      <c r="K149" s="142" t="str">
        <f t="shared" si="55"/>
        <v>undefined</v>
      </c>
      <c r="L149" s="146">
        <f>IFERROR(INDEX(Työkonekanta!$I$3:$I$27,MATCH('S0b Baseline kasvu'!$A149,Työkonekanta!$A$3:$A$24,0),1)*(I149+J149)*f_adblue,0)</f>
        <v>0</v>
      </c>
      <c r="M149" s="146">
        <f t="shared" si="61"/>
        <v>0</v>
      </c>
      <c r="N149" s="143" t="str">
        <f>IF(tuulisähkö_vuosi&lt;='S0b Baseline kasvu'!C149,"tuulisähkö",ostosähkö_nyt)</f>
        <v>jäännössähkö</v>
      </c>
      <c r="O149" s="147">
        <f>INDEX(Muuttujat!$J$5:$J$21,MATCH($C149,Muuttujat!$H$5:$H$21,0),1)</f>
        <v>66.51860537025</v>
      </c>
      <c r="P149" s="342">
        <f>1-(INDEX(Muuttujat!$O$5:$O$21,MATCH($C149,Muuttujat!$N$5:$N$21,0),1))</f>
        <v>0.95</v>
      </c>
      <c r="Q149" s="342">
        <f>INDEX(Muuttujat!$O$5:$O$21,MATCH($C149,Muuttujat!$N$5:$N$21,0),1)</f>
        <v>0.05</v>
      </c>
      <c r="R149" s="148">
        <f>INDEX(Muuttujat!$P$5:$P$21,MATCH($C149,Muuttujat!$N$5:$N$21,0),1)</f>
        <v>5.2210587442409327E-2</v>
      </c>
      <c r="S149" s="149">
        <f t="shared" si="47"/>
        <v>0</v>
      </c>
      <c r="T149" s="150">
        <f t="shared" si="48"/>
        <v>0</v>
      </c>
      <c r="U149" s="150">
        <f t="shared" si="49"/>
        <v>0</v>
      </c>
      <c r="V149" s="150">
        <f>IFERROR(INDEX(Työkonekanta!$J$3:$J$27,MATCH($A149,Työkonekanta!$A$3:$A$24,0),1)*$B149*ef_li_ion_akku/1000/1000/INDEX(Työkonekanta!$K$3:$K$27,MATCH($A149,Työkonekanta!$A$3:$A$24,0)),0)</f>
        <v>0</v>
      </c>
      <c r="W149" s="149">
        <f t="shared" si="62"/>
        <v>0</v>
      </c>
      <c r="X149" s="150">
        <f t="shared" si="63"/>
        <v>0</v>
      </c>
      <c r="Y149" s="151">
        <f t="shared" si="64"/>
        <v>0</v>
      </c>
      <c r="Z149" s="152">
        <f t="shared" si="56"/>
        <v>0</v>
      </c>
      <c r="AA149" s="179">
        <f t="shared" si="57"/>
        <v>0</v>
      </c>
      <c r="AB149" s="179">
        <f t="shared" si="58"/>
        <v>0</v>
      </c>
      <c r="AC149" s="180">
        <f t="shared" si="65"/>
        <v>0</v>
      </c>
      <c r="AD149" s="156">
        <f t="shared" si="59"/>
        <v>0</v>
      </c>
      <c r="AE149" s="146">
        <f>IFERROR(INDEX(Työkonekanta!$L$3:$L$30,MATCH($A149,Työkonekanta!$A$3:$A$30,0),1),0)*AF149</f>
        <v>0</v>
      </c>
      <c r="AF149" s="146">
        <f>IFERROR(INDEX(Työkonekanta!$N$3:$N$32,MATCH($A149,Työkonekanta!$A$3:$A$32,0),1),0)</f>
        <v>0</v>
      </c>
      <c r="AG149" s="332">
        <f>I149*INDEX(Muuttujat!$U$5:$U$21,MATCH($C149,Muuttujat!$N$5:$N$21,0),1)</f>
        <v>0</v>
      </c>
      <c r="AH149" s="332">
        <f>J149*INDEX(Muuttujat!$T$5:$T$21,MATCH($C149,Muuttujat!$N$5:$N$21,0),1)</f>
        <v>0</v>
      </c>
      <c r="AI149" s="332">
        <f t="shared" si="50"/>
        <v>0</v>
      </c>
      <c r="AJ149" s="332">
        <f t="shared" si="51"/>
        <v>0</v>
      </c>
      <c r="AK149" s="332">
        <f t="shared" si="60"/>
        <v>0</v>
      </c>
      <c r="AL149" s="332">
        <f t="shared" si="52"/>
        <v>0</v>
      </c>
    </row>
    <row r="150" spans="1:38">
      <c r="A150" s="139">
        <v>28</v>
      </c>
      <c r="B150" s="139">
        <f>IFERROR(INDEX(Työkonekanta!$F$3:$F$27,MATCH('S0b Baseline kasvu'!$A150,Työkonekanta!$A$3:$A$24,0),1),0)</f>
        <v>0</v>
      </c>
      <c r="C150" s="140">
        <v>2023</v>
      </c>
      <c r="D150" s="141" t="str">
        <f>IFERROR(INDEX(Työkonekanta!$D$3:$D$27,MATCH('S0b Baseline kasvu'!$A150,Työkonekanta!$A$3:$A$24,0),1),"undefined")</f>
        <v>undefined</v>
      </c>
      <c r="E150" s="145">
        <f>IFERROR(INDEX(Työkonekanta!$G$3:$G$27,MATCH($A150,Työkonekanta!$A$3:$A$24,0),1)*INDEX(Työkonekanta!$H$3:$H$27,MATCH($A150,Työkonekanta!$A$3:$A$24,0),1)*(1+s0b_kasvu*($C150-2019))*$B150,0)</f>
        <v>0</v>
      </c>
      <c r="F150" s="145">
        <f t="shared" si="44"/>
        <v>0</v>
      </c>
      <c r="G150" s="145">
        <f t="shared" si="53"/>
        <v>0</v>
      </c>
      <c r="H150" s="145">
        <f t="shared" si="54"/>
        <v>0</v>
      </c>
      <c r="I150" s="145">
        <f t="shared" si="45"/>
        <v>0</v>
      </c>
      <c r="J150" s="145">
        <f t="shared" si="46"/>
        <v>0</v>
      </c>
      <c r="K150" s="142" t="str">
        <f t="shared" si="55"/>
        <v>undefined</v>
      </c>
      <c r="L150" s="146">
        <f>IFERROR(INDEX(Työkonekanta!$I$3:$I$27,MATCH('S0b Baseline kasvu'!$A150,Työkonekanta!$A$3:$A$24,0),1)*(I150+J150)*f_adblue,0)</f>
        <v>0</v>
      </c>
      <c r="M150" s="146">
        <f t="shared" si="61"/>
        <v>0</v>
      </c>
      <c r="N150" s="143" t="str">
        <f>IF(tuulisähkö_vuosi&lt;='S0b Baseline kasvu'!C150,"tuulisähkö",ostosähkö_nyt)</f>
        <v>jäännössähkö</v>
      </c>
      <c r="O150" s="147">
        <f>INDEX(Muuttujat!$J$5:$J$21,MATCH($C150,Muuttujat!$H$5:$H$21,0),1)</f>
        <v>66.51860537025</v>
      </c>
      <c r="P150" s="342">
        <f>1-(INDEX(Muuttujat!$O$5:$O$21,MATCH($C150,Muuttujat!$N$5:$N$21,0),1))</f>
        <v>0.95</v>
      </c>
      <c r="Q150" s="342">
        <f>INDEX(Muuttujat!$O$5:$O$21,MATCH($C150,Muuttujat!$N$5:$N$21,0),1)</f>
        <v>0.05</v>
      </c>
      <c r="R150" s="148">
        <f>INDEX(Muuttujat!$P$5:$P$21,MATCH($C150,Muuttujat!$N$5:$N$21,0),1)</f>
        <v>5.2210587442409327E-2</v>
      </c>
      <c r="S150" s="149">
        <f t="shared" si="47"/>
        <v>0</v>
      </c>
      <c r="T150" s="150">
        <f t="shared" si="48"/>
        <v>0</v>
      </c>
      <c r="U150" s="150">
        <f t="shared" si="49"/>
        <v>0</v>
      </c>
      <c r="V150" s="150">
        <f>IFERROR(INDEX(Työkonekanta!$J$3:$J$27,MATCH($A150,Työkonekanta!$A$3:$A$24,0),1)*$B150*ef_li_ion_akku/1000/1000/INDEX(Työkonekanta!$K$3:$K$27,MATCH($A150,Työkonekanta!$A$3:$A$24,0)),0)</f>
        <v>0</v>
      </c>
      <c r="W150" s="149">
        <f t="shared" si="62"/>
        <v>0</v>
      </c>
      <c r="X150" s="150">
        <f t="shared" si="63"/>
        <v>0</v>
      </c>
      <c r="Y150" s="151">
        <f t="shared" si="64"/>
        <v>0</v>
      </c>
      <c r="Z150" s="152">
        <f t="shared" si="56"/>
        <v>0</v>
      </c>
      <c r="AA150" s="179">
        <f t="shared" si="57"/>
        <v>0</v>
      </c>
      <c r="AB150" s="179">
        <f t="shared" si="58"/>
        <v>0</v>
      </c>
      <c r="AC150" s="180">
        <f t="shared" si="65"/>
        <v>0</v>
      </c>
      <c r="AD150" s="156">
        <f t="shared" si="59"/>
        <v>0</v>
      </c>
      <c r="AE150" s="146">
        <f>IFERROR(INDEX(Työkonekanta!$L$3:$L$30,MATCH($A150,Työkonekanta!$A$3:$A$30,0),1),0)*AF150</f>
        <v>0</v>
      </c>
      <c r="AF150" s="146">
        <f>IFERROR(INDEX(Työkonekanta!$N$3:$N$32,MATCH($A150,Työkonekanta!$A$3:$A$32,0),1),0)</f>
        <v>0</v>
      </c>
      <c r="AG150" s="332">
        <f>I150*INDEX(Muuttujat!$U$5:$U$21,MATCH($C150,Muuttujat!$N$5:$N$21,0),1)</f>
        <v>0</v>
      </c>
      <c r="AH150" s="332">
        <f>J150*INDEX(Muuttujat!$T$5:$T$21,MATCH($C150,Muuttujat!$N$5:$N$21,0),1)</f>
        <v>0</v>
      </c>
      <c r="AI150" s="332">
        <f t="shared" si="50"/>
        <v>0</v>
      </c>
      <c r="AJ150" s="332">
        <f t="shared" si="51"/>
        <v>0</v>
      </c>
      <c r="AK150" s="332">
        <f t="shared" si="60"/>
        <v>0</v>
      </c>
      <c r="AL150" s="332">
        <f t="shared" si="52"/>
        <v>0</v>
      </c>
    </row>
    <row r="151" spans="1:38">
      <c r="A151" s="139">
        <v>29</v>
      </c>
      <c r="B151" s="139">
        <f>IFERROR(INDEX(Työkonekanta!$F$3:$F$27,MATCH('S0b Baseline kasvu'!$A151,Työkonekanta!$A$3:$A$24,0),1),0)</f>
        <v>0</v>
      </c>
      <c r="C151" s="140">
        <v>2023</v>
      </c>
      <c r="D151" s="141" t="str">
        <f>IFERROR(INDEX(Työkonekanta!$D$3:$D$27,MATCH('S0b Baseline kasvu'!$A151,Työkonekanta!$A$3:$A$24,0),1),"undefined")</f>
        <v>undefined</v>
      </c>
      <c r="E151" s="145">
        <f>IFERROR(INDEX(Työkonekanta!$G$3:$G$27,MATCH($A151,Työkonekanta!$A$3:$A$24,0),1)*INDEX(Työkonekanta!$H$3:$H$27,MATCH($A151,Työkonekanta!$A$3:$A$24,0),1)*(1+s0b_kasvu*($C151-2019))*$B151,0)</f>
        <v>0</v>
      </c>
      <c r="F151" s="145">
        <f t="shared" si="44"/>
        <v>0</v>
      </c>
      <c r="G151" s="145">
        <f t="shared" si="53"/>
        <v>0</v>
      </c>
      <c r="H151" s="145">
        <f t="shared" si="54"/>
        <v>0</v>
      </c>
      <c r="I151" s="145">
        <f t="shared" si="45"/>
        <v>0</v>
      </c>
      <c r="J151" s="145">
        <f t="shared" si="46"/>
        <v>0</v>
      </c>
      <c r="K151" s="142" t="str">
        <f t="shared" si="55"/>
        <v>undefined</v>
      </c>
      <c r="L151" s="146">
        <f>IFERROR(INDEX(Työkonekanta!$I$3:$I$27,MATCH('S0b Baseline kasvu'!$A151,Työkonekanta!$A$3:$A$24,0),1)*(I151+J151)*f_adblue,0)</f>
        <v>0</v>
      </c>
      <c r="M151" s="146">
        <f t="shared" si="61"/>
        <v>0</v>
      </c>
      <c r="N151" s="143" t="str">
        <f>IF(tuulisähkö_vuosi&lt;='S0b Baseline kasvu'!C151,"tuulisähkö",ostosähkö_nyt)</f>
        <v>jäännössähkö</v>
      </c>
      <c r="O151" s="147">
        <f>INDEX(Muuttujat!$J$5:$J$21,MATCH($C151,Muuttujat!$H$5:$H$21,0),1)</f>
        <v>66.51860537025</v>
      </c>
      <c r="P151" s="342">
        <f>1-(INDEX(Muuttujat!$O$5:$O$21,MATCH($C151,Muuttujat!$N$5:$N$21,0),1))</f>
        <v>0.95</v>
      </c>
      <c r="Q151" s="342">
        <f>INDEX(Muuttujat!$O$5:$O$21,MATCH($C151,Muuttujat!$N$5:$N$21,0),1)</f>
        <v>0.05</v>
      </c>
      <c r="R151" s="148">
        <f>INDEX(Muuttujat!$P$5:$P$21,MATCH($C151,Muuttujat!$N$5:$N$21,0),1)</f>
        <v>5.2210587442409327E-2</v>
      </c>
      <c r="S151" s="149">
        <f t="shared" si="47"/>
        <v>0</v>
      </c>
      <c r="T151" s="150">
        <f t="shared" si="48"/>
        <v>0</v>
      </c>
      <c r="U151" s="150">
        <f t="shared" si="49"/>
        <v>0</v>
      </c>
      <c r="V151" s="150">
        <f>IFERROR(INDEX(Työkonekanta!$J$3:$J$27,MATCH($A151,Työkonekanta!$A$3:$A$24,0),1)*$B151*ef_li_ion_akku/1000/1000/INDEX(Työkonekanta!$K$3:$K$27,MATCH($A151,Työkonekanta!$A$3:$A$24,0)),0)</f>
        <v>0</v>
      </c>
      <c r="W151" s="149">
        <f t="shared" si="62"/>
        <v>0</v>
      </c>
      <c r="X151" s="150">
        <f t="shared" si="63"/>
        <v>0</v>
      </c>
      <c r="Y151" s="151">
        <f t="shared" si="64"/>
        <v>0</v>
      </c>
      <c r="Z151" s="152">
        <f t="shared" si="56"/>
        <v>0</v>
      </c>
      <c r="AA151" s="179">
        <f t="shared" si="57"/>
        <v>0</v>
      </c>
      <c r="AB151" s="179">
        <f t="shared" si="58"/>
        <v>0</v>
      </c>
      <c r="AC151" s="180">
        <f t="shared" si="65"/>
        <v>0</v>
      </c>
      <c r="AD151" s="156">
        <f t="shared" si="59"/>
        <v>0</v>
      </c>
      <c r="AE151" s="146">
        <f>IFERROR(INDEX(Työkonekanta!$L$3:$L$30,MATCH($A151,Työkonekanta!$A$3:$A$30,0),1),0)*AF151</f>
        <v>0</v>
      </c>
      <c r="AF151" s="146">
        <f>IFERROR(INDEX(Työkonekanta!$N$3:$N$32,MATCH($A151,Työkonekanta!$A$3:$A$32,0),1),0)</f>
        <v>0</v>
      </c>
      <c r="AG151" s="332">
        <f>I151*INDEX(Muuttujat!$U$5:$U$21,MATCH($C151,Muuttujat!$N$5:$N$21,0),1)</f>
        <v>0</v>
      </c>
      <c r="AH151" s="332">
        <f>J151*INDEX(Muuttujat!$T$5:$T$21,MATCH($C151,Muuttujat!$N$5:$N$21,0),1)</f>
        <v>0</v>
      </c>
      <c r="AI151" s="332">
        <f t="shared" si="50"/>
        <v>0</v>
      </c>
      <c r="AJ151" s="332">
        <f t="shared" si="51"/>
        <v>0</v>
      </c>
      <c r="AK151" s="332">
        <f t="shared" si="60"/>
        <v>0</v>
      </c>
      <c r="AL151" s="332">
        <f t="shared" si="52"/>
        <v>0</v>
      </c>
    </row>
    <row r="152" spans="1:38">
      <c r="A152" s="139">
        <v>30</v>
      </c>
      <c r="B152" s="139">
        <f>IFERROR(INDEX(Työkonekanta!$F$3:$F$27,MATCH('S0b Baseline kasvu'!$A152,Työkonekanta!$A$3:$A$24,0),1),0)</f>
        <v>0</v>
      </c>
      <c r="C152" s="140">
        <v>2023</v>
      </c>
      <c r="D152" s="141" t="str">
        <f>IFERROR(INDEX(Työkonekanta!$D$3:$D$27,MATCH('S0b Baseline kasvu'!$A152,Työkonekanta!$A$3:$A$24,0),1),"undefined")</f>
        <v>undefined</v>
      </c>
      <c r="E152" s="145">
        <f>IFERROR(INDEX(Työkonekanta!$G$3:$G$27,MATCH($A152,Työkonekanta!$A$3:$A$24,0),1)*INDEX(Työkonekanta!$H$3:$H$27,MATCH($A152,Työkonekanta!$A$3:$A$24,0),1)*(1+s0b_kasvu*($C152-2019))*$B152,0)</f>
        <v>0</v>
      </c>
      <c r="F152" s="145">
        <f t="shared" si="44"/>
        <v>0</v>
      </c>
      <c r="G152" s="145">
        <f t="shared" si="53"/>
        <v>0</v>
      </c>
      <c r="H152" s="145">
        <f t="shared" si="54"/>
        <v>0</v>
      </c>
      <c r="I152" s="145">
        <f t="shared" si="45"/>
        <v>0</v>
      </c>
      <c r="J152" s="145">
        <f t="shared" si="46"/>
        <v>0</v>
      </c>
      <c r="K152" s="142" t="str">
        <f t="shared" si="55"/>
        <v>undefined</v>
      </c>
      <c r="L152" s="146">
        <f>IFERROR(INDEX(Työkonekanta!$I$3:$I$27,MATCH('S0b Baseline kasvu'!$A152,Työkonekanta!$A$3:$A$24,0),1)*(I152+J152)*f_adblue,0)</f>
        <v>0</v>
      </c>
      <c r="M152" s="146">
        <f t="shared" si="61"/>
        <v>0</v>
      </c>
      <c r="N152" s="143" t="str">
        <f>IF(tuulisähkö_vuosi&lt;='S0b Baseline kasvu'!C152,"tuulisähkö",ostosähkö_nyt)</f>
        <v>jäännössähkö</v>
      </c>
      <c r="O152" s="147">
        <f>INDEX(Muuttujat!$J$5:$J$21,MATCH($C152,Muuttujat!$H$5:$H$21,0),1)</f>
        <v>66.51860537025</v>
      </c>
      <c r="P152" s="342">
        <f>1-(INDEX(Muuttujat!$O$5:$O$21,MATCH($C152,Muuttujat!$N$5:$N$21,0),1))</f>
        <v>0.95</v>
      </c>
      <c r="Q152" s="342">
        <f>INDEX(Muuttujat!$O$5:$O$21,MATCH($C152,Muuttujat!$N$5:$N$21,0),1)</f>
        <v>0.05</v>
      </c>
      <c r="R152" s="148">
        <f>INDEX(Muuttujat!$P$5:$P$21,MATCH($C152,Muuttujat!$N$5:$N$21,0),1)</f>
        <v>5.2210587442409327E-2</v>
      </c>
      <c r="S152" s="149">
        <f t="shared" si="47"/>
        <v>0</v>
      </c>
      <c r="T152" s="150">
        <f t="shared" si="48"/>
        <v>0</v>
      </c>
      <c r="U152" s="150">
        <f t="shared" si="49"/>
        <v>0</v>
      </c>
      <c r="V152" s="150">
        <f>IFERROR(INDEX(Työkonekanta!$J$3:$J$27,MATCH($A152,Työkonekanta!$A$3:$A$24,0),1)*$B152*ef_li_ion_akku/1000/1000/INDEX(Työkonekanta!$K$3:$K$27,MATCH($A152,Työkonekanta!$A$3:$A$24,0)),0)</f>
        <v>0</v>
      </c>
      <c r="W152" s="149">
        <f t="shared" si="62"/>
        <v>0</v>
      </c>
      <c r="X152" s="150">
        <f t="shared" si="63"/>
        <v>0</v>
      </c>
      <c r="Y152" s="151">
        <f t="shared" si="64"/>
        <v>0</v>
      </c>
      <c r="Z152" s="152">
        <f t="shared" si="56"/>
        <v>0</v>
      </c>
      <c r="AA152" s="179">
        <f t="shared" si="57"/>
        <v>0</v>
      </c>
      <c r="AB152" s="179">
        <f t="shared" si="58"/>
        <v>0</v>
      </c>
      <c r="AC152" s="180">
        <f t="shared" si="65"/>
        <v>0</v>
      </c>
      <c r="AD152" s="156">
        <f t="shared" si="59"/>
        <v>0</v>
      </c>
      <c r="AE152" s="146">
        <f>IFERROR(INDEX(Työkonekanta!$L$3:$L$30,MATCH($A152,Työkonekanta!$A$3:$A$30,0),1),0)*AF152</f>
        <v>0</v>
      </c>
      <c r="AF152" s="146">
        <f>IFERROR(INDEX(Työkonekanta!$N$3:$N$32,MATCH($A152,Työkonekanta!$A$3:$A$32,0),1),0)</f>
        <v>0</v>
      </c>
      <c r="AG152" s="332">
        <f>I152*INDEX(Muuttujat!$U$5:$U$21,MATCH($C152,Muuttujat!$N$5:$N$21,0),1)</f>
        <v>0</v>
      </c>
      <c r="AH152" s="332">
        <f>J152*INDEX(Muuttujat!$T$5:$T$21,MATCH($C152,Muuttujat!$N$5:$N$21,0),1)</f>
        <v>0</v>
      </c>
      <c r="AI152" s="332">
        <f t="shared" si="50"/>
        <v>0</v>
      </c>
      <c r="AJ152" s="332">
        <f t="shared" si="51"/>
        <v>0</v>
      </c>
      <c r="AK152" s="332">
        <f t="shared" si="60"/>
        <v>0</v>
      </c>
      <c r="AL152" s="332">
        <f t="shared" si="52"/>
        <v>0</v>
      </c>
    </row>
    <row r="153" spans="1:38">
      <c r="A153" s="139">
        <v>1</v>
      </c>
      <c r="B153" s="139">
        <f>IFERROR(INDEX(Työkonekanta!$F$3:$F$27,MATCH('S0b Baseline kasvu'!$A153,Työkonekanta!$A$3:$A$24,0),1),0)</f>
        <v>1</v>
      </c>
      <c r="C153" s="140">
        <v>2024</v>
      </c>
      <c r="D153" s="141" t="str">
        <f>IFERROR(INDEX(Työkonekanta!$D$3:$D$27,MATCH('S0b Baseline kasvu'!$A153,Työkonekanta!$A$3:$A$24,0),1),"undefined")</f>
        <v>pom</v>
      </c>
      <c r="E153" s="145">
        <f>IFERROR(INDEX(Työkonekanta!$G$3:$G$27,MATCH($A153,Työkonekanta!$A$3:$A$24,0),1)*INDEX(Työkonekanta!$H$3:$H$27,MATCH($A153,Työkonekanta!$A$3:$A$24,0),1)*(1+s0b_kasvu*($C153-2019))*$B153,0)</f>
        <v>10500</v>
      </c>
      <c r="F153" s="145">
        <f t="shared" si="44"/>
        <v>376950</v>
      </c>
      <c r="G153" s="145">
        <f t="shared" si="53"/>
        <v>354333</v>
      </c>
      <c r="H153" s="145">
        <f t="shared" si="54"/>
        <v>22617</v>
      </c>
      <c r="I153" s="145">
        <f t="shared" si="45"/>
        <v>9870</v>
      </c>
      <c r="J153" s="145">
        <f t="shared" si="46"/>
        <v>659.38775510204084</v>
      </c>
      <c r="K153" s="142" t="str">
        <f t="shared" si="55"/>
        <v>l</v>
      </c>
      <c r="L153" s="146">
        <f>IFERROR(INDEX(Työkonekanta!$I$3:$I$27,MATCH('S0b Baseline kasvu'!$A153,Työkonekanta!$A$3:$A$24,0),1)*(I153+J153)*f_adblue,0)</f>
        <v>526.46938775510205</v>
      </c>
      <c r="M153" s="146">
        <f t="shared" si="61"/>
        <v>0</v>
      </c>
      <c r="N153" s="143" t="str">
        <f>IF(tuulisähkö_vuosi&lt;='S0b Baseline kasvu'!C153,"tuulisähkö",ostosähkö_nyt)</f>
        <v>jäännössähkö</v>
      </c>
      <c r="O153" s="147">
        <f>INDEX(Muuttujat!$J$5:$J$21,MATCH($C153,Muuttujat!$H$5:$H$21,0),1)</f>
        <v>65.853419316547502</v>
      </c>
      <c r="P153" s="342">
        <f>1-(INDEX(Muuttujat!$O$5:$O$21,MATCH($C153,Muuttujat!$N$5:$N$21,0),1))</f>
        <v>0.94</v>
      </c>
      <c r="Q153" s="342">
        <f>INDEX(Muuttujat!$O$5:$O$21,MATCH($C153,Muuttujat!$N$5:$N$21,0),1)</f>
        <v>0.06</v>
      </c>
      <c r="R153" s="148">
        <f>INDEX(Muuttujat!$P$5:$P$21,MATCH($C153,Muuttujat!$N$5:$N$21,0),1)</f>
        <v>6.2623560726971367E-2</v>
      </c>
      <c r="S153" s="149">
        <f t="shared" si="47"/>
        <v>6.6968936999999995</v>
      </c>
      <c r="T153" s="150">
        <f t="shared" si="48"/>
        <v>1.4113008</v>
      </c>
      <c r="U153" s="150">
        <f t="shared" si="49"/>
        <v>0</v>
      </c>
      <c r="V153" s="150">
        <f>IFERROR(INDEX(Työkonekanta!$J$3:$J$27,MATCH($A153,Työkonekanta!$A$3:$A$24,0),1)*$B153*ef_li_ion_akku/1000/1000/INDEX(Työkonekanta!$K$3:$K$27,MATCH($A153,Työkonekanta!$A$3:$A$24,0)),0)</f>
        <v>0</v>
      </c>
      <c r="W153" s="149">
        <f t="shared" si="62"/>
        <v>26.152700163281999</v>
      </c>
      <c r="X153" s="150">
        <f t="shared" si="63"/>
        <v>0.33363294300000002</v>
      </c>
      <c r="Y153" s="151">
        <f t="shared" si="64"/>
        <v>0.13688204081632654</v>
      </c>
      <c r="Z153" s="152">
        <f t="shared" si="56"/>
        <v>8.1081944999999997</v>
      </c>
      <c r="AA153" s="179">
        <f t="shared" si="57"/>
        <v>26.289582204098327</v>
      </c>
      <c r="AB153" s="179">
        <f t="shared" si="58"/>
        <v>26.623215147098328</v>
      </c>
      <c r="AC153" s="180">
        <f t="shared" si="65"/>
        <v>34.397776704098327</v>
      </c>
      <c r="AD153" s="156">
        <f t="shared" si="59"/>
        <v>34.731409647098332</v>
      </c>
      <c r="AE153" s="146">
        <f>IFERROR(INDEX(Työkonekanta!$L$3:$L$30,MATCH($A153,Työkonekanta!$A$3:$A$30,0),1),0)*AF153</f>
        <v>500000</v>
      </c>
      <c r="AF153" s="146">
        <f>IFERROR(INDEX(Työkonekanta!$N$3:$N$32,MATCH($A153,Työkonekanta!$A$3:$A$32,0),1),0)</f>
        <v>1</v>
      </c>
      <c r="AG153" s="332">
        <f>I153*INDEX(Muuttujat!$U$5:$U$21,MATCH($C153,Muuttujat!$N$5:$N$21,0),1)</f>
        <v>10067.4</v>
      </c>
      <c r="AH153" s="332">
        <f>J153*INDEX(Muuttujat!$T$5:$T$21,MATCH($C153,Muuttujat!$N$5:$N$21,0),1)</f>
        <v>936.33061224489791</v>
      </c>
      <c r="AI153" s="332">
        <f t="shared" si="50"/>
        <v>263.23469387755102</v>
      </c>
      <c r="AJ153" s="332">
        <f t="shared" si="51"/>
        <v>0</v>
      </c>
      <c r="AK153" s="332">
        <f t="shared" si="60"/>
        <v>11266.965306122449</v>
      </c>
      <c r="AL153" s="332">
        <f t="shared" si="52"/>
        <v>11266.965306122449</v>
      </c>
    </row>
    <row r="154" spans="1:38">
      <c r="A154" s="139">
        <v>2</v>
      </c>
      <c r="B154" s="139">
        <f>IFERROR(INDEX(Työkonekanta!$F$3:$F$27,MATCH('S0b Baseline kasvu'!$A154,Työkonekanta!$A$3:$A$24,0),1),0)</f>
        <v>1</v>
      </c>
      <c r="C154" s="140">
        <v>2024</v>
      </c>
      <c r="D154" s="141" t="str">
        <f>IFERROR(INDEX(Työkonekanta!$D$3:$D$27,MATCH('S0b Baseline kasvu'!$A154,Työkonekanta!$A$3:$A$24,0),1),"undefined")</f>
        <v>pom</v>
      </c>
      <c r="E154" s="145">
        <f>IFERROR(INDEX(Työkonekanta!$G$3:$G$27,MATCH($A154,Työkonekanta!$A$3:$A$24,0),1)*INDEX(Työkonekanta!$H$3:$H$27,MATCH($A154,Työkonekanta!$A$3:$A$24,0),1)*(1+s0b_kasvu*($C154-2019))*$B154,0)</f>
        <v>10500</v>
      </c>
      <c r="F154" s="145">
        <f t="shared" si="44"/>
        <v>376950</v>
      </c>
      <c r="G154" s="145">
        <f t="shared" si="53"/>
        <v>354333</v>
      </c>
      <c r="H154" s="145">
        <f t="shared" si="54"/>
        <v>22617</v>
      </c>
      <c r="I154" s="145">
        <f t="shared" si="45"/>
        <v>9870</v>
      </c>
      <c r="J154" s="145">
        <f t="shared" si="46"/>
        <v>659.38775510204084</v>
      </c>
      <c r="K154" s="142" t="str">
        <f t="shared" si="55"/>
        <v>l</v>
      </c>
      <c r="L154" s="146">
        <f>IFERROR(INDEX(Työkonekanta!$I$3:$I$27,MATCH('S0b Baseline kasvu'!$A154,Työkonekanta!$A$3:$A$24,0),1)*(I154+J154)*f_adblue,0)</f>
        <v>526.46938775510205</v>
      </c>
      <c r="M154" s="146">
        <f t="shared" si="61"/>
        <v>0</v>
      </c>
      <c r="N154" s="143" t="str">
        <f>IF(tuulisähkö_vuosi&lt;='S0b Baseline kasvu'!C154,"tuulisähkö",ostosähkö_nyt)</f>
        <v>jäännössähkö</v>
      </c>
      <c r="O154" s="147">
        <f>INDEX(Muuttujat!$J$5:$J$21,MATCH($C154,Muuttujat!$H$5:$H$21,0),1)</f>
        <v>65.853419316547502</v>
      </c>
      <c r="P154" s="342">
        <f>1-(INDEX(Muuttujat!$O$5:$O$21,MATCH($C154,Muuttujat!$N$5:$N$21,0),1))</f>
        <v>0.94</v>
      </c>
      <c r="Q154" s="342">
        <f>INDEX(Muuttujat!$O$5:$O$21,MATCH($C154,Muuttujat!$N$5:$N$21,0),1)</f>
        <v>0.06</v>
      </c>
      <c r="R154" s="148">
        <f>INDEX(Muuttujat!$P$5:$P$21,MATCH($C154,Muuttujat!$N$5:$N$21,0),1)</f>
        <v>6.2623560726971367E-2</v>
      </c>
      <c r="S154" s="149">
        <f t="shared" si="47"/>
        <v>6.6968936999999995</v>
      </c>
      <c r="T154" s="150">
        <f t="shared" si="48"/>
        <v>1.4113008</v>
      </c>
      <c r="U154" s="150">
        <f t="shared" si="49"/>
        <v>0</v>
      </c>
      <c r="V154" s="150">
        <f>IFERROR(INDEX(Työkonekanta!$J$3:$J$27,MATCH($A154,Työkonekanta!$A$3:$A$24,0),1)*$B154*ef_li_ion_akku/1000/1000/INDEX(Työkonekanta!$K$3:$K$27,MATCH($A154,Työkonekanta!$A$3:$A$24,0)),0)</f>
        <v>0</v>
      </c>
      <c r="W154" s="149">
        <f t="shared" si="62"/>
        <v>26.152700163281999</v>
      </c>
      <c r="X154" s="150">
        <f t="shared" si="63"/>
        <v>0.33363294300000002</v>
      </c>
      <c r="Y154" s="151">
        <f t="shared" si="64"/>
        <v>0.13688204081632654</v>
      </c>
      <c r="Z154" s="152">
        <f t="shared" si="56"/>
        <v>8.1081944999999997</v>
      </c>
      <c r="AA154" s="179">
        <f t="shared" si="57"/>
        <v>26.289582204098327</v>
      </c>
      <c r="AB154" s="179">
        <f t="shared" si="58"/>
        <v>26.623215147098328</v>
      </c>
      <c r="AC154" s="180">
        <f t="shared" si="65"/>
        <v>34.397776704098327</v>
      </c>
      <c r="AD154" s="156">
        <f t="shared" si="59"/>
        <v>34.731409647098332</v>
      </c>
      <c r="AE154" s="146">
        <f>IFERROR(INDEX(Työkonekanta!$L$3:$L$30,MATCH($A154,Työkonekanta!$A$3:$A$30,0),1),0)*AF154</f>
        <v>500000</v>
      </c>
      <c r="AF154" s="146">
        <f>IFERROR(INDEX(Työkonekanta!$N$3:$N$32,MATCH($A154,Työkonekanta!$A$3:$A$32,0),1),0)</f>
        <v>1</v>
      </c>
      <c r="AG154" s="332">
        <f>I154*INDEX(Muuttujat!$U$5:$U$21,MATCH($C154,Muuttujat!$N$5:$N$21,0),1)</f>
        <v>10067.4</v>
      </c>
      <c r="AH154" s="332">
        <f>J154*INDEX(Muuttujat!$T$5:$T$21,MATCH($C154,Muuttujat!$N$5:$N$21,0),1)</f>
        <v>936.33061224489791</v>
      </c>
      <c r="AI154" s="332">
        <f t="shared" si="50"/>
        <v>263.23469387755102</v>
      </c>
      <c r="AJ154" s="332">
        <f t="shared" si="51"/>
        <v>0</v>
      </c>
      <c r="AK154" s="332">
        <f t="shared" si="60"/>
        <v>11266.965306122449</v>
      </c>
      <c r="AL154" s="332">
        <f t="shared" si="52"/>
        <v>11266.965306122449</v>
      </c>
    </row>
    <row r="155" spans="1:38">
      <c r="A155" s="139">
        <v>3</v>
      </c>
      <c r="B155" s="139">
        <f>IFERROR(INDEX(Työkonekanta!$F$3:$F$27,MATCH('S0b Baseline kasvu'!$A155,Työkonekanta!$A$3:$A$24,0),1),0)</f>
        <v>1</v>
      </c>
      <c r="C155" s="140">
        <v>2024</v>
      </c>
      <c r="D155" s="141" t="str">
        <f>IFERROR(INDEX(Työkonekanta!$D$3:$D$27,MATCH('S0b Baseline kasvu'!$A155,Työkonekanta!$A$3:$A$24,0),1),"undefined")</f>
        <v>pom</v>
      </c>
      <c r="E155" s="145">
        <f>IFERROR(INDEX(Työkonekanta!$G$3:$G$27,MATCH($A155,Työkonekanta!$A$3:$A$24,0),1)*INDEX(Työkonekanta!$H$3:$H$27,MATCH($A155,Työkonekanta!$A$3:$A$24,0),1)*(1+s0b_kasvu*($C155-2019))*$B155,0)</f>
        <v>10500</v>
      </c>
      <c r="F155" s="145">
        <f t="shared" si="44"/>
        <v>376950</v>
      </c>
      <c r="G155" s="145">
        <f t="shared" si="53"/>
        <v>354333</v>
      </c>
      <c r="H155" s="145">
        <f t="shared" si="54"/>
        <v>22617</v>
      </c>
      <c r="I155" s="145">
        <f t="shared" si="45"/>
        <v>9870</v>
      </c>
      <c r="J155" s="145">
        <f t="shared" si="46"/>
        <v>659.38775510204084</v>
      </c>
      <c r="K155" s="142" t="str">
        <f t="shared" si="55"/>
        <v>l</v>
      </c>
      <c r="L155" s="146">
        <f>IFERROR(INDEX(Työkonekanta!$I$3:$I$27,MATCH('S0b Baseline kasvu'!$A155,Työkonekanta!$A$3:$A$24,0),1)*(I155+J155)*f_adblue,0)</f>
        <v>526.46938775510205</v>
      </c>
      <c r="M155" s="146">
        <f t="shared" si="61"/>
        <v>0</v>
      </c>
      <c r="N155" s="143" t="str">
        <f>IF(tuulisähkö_vuosi&lt;='S0b Baseline kasvu'!C155,"tuulisähkö",ostosähkö_nyt)</f>
        <v>jäännössähkö</v>
      </c>
      <c r="O155" s="147">
        <f>INDEX(Muuttujat!$J$5:$J$21,MATCH($C155,Muuttujat!$H$5:$H$21,0),1)</f>
        <v>65.853419316547502</v>
      </c>
      <c r="P155" s="342">
        <f>1-(INDEX(Muuttujat!$O$5:$O$21,MATCH($C155,Muuttujat!$N$5:$N$21,0),1))</f>
        <v>0.94</v>
      </c>
      <c r="Q155" s="342">
        <f>INDEX(Muuttujat!$O$5:$O$21,MATCH($C155,Muuttujat!$N$5:$N$21,0),1)</f>
        <v>0.06</v>
      </c>
      <c r="R155" s="148">
        <f>INDEX(Muuttujat!$P$5:$P$21,MATCH($C155,Muuttujat!$N$5:$N$21,0),1)</f>
        <v>6.2623560726971367E-2</v>
      </c>
      <c r="S155" s="149">
        <f t="shared" si="47"/>
        <v>6.6968936999999995</v>
      </c>
      <c r="T155" s="150">
        <f t="shared" si="48"/>
        <v>1.4113008</v>
      </c>
      <c r="U155" s="150">
        <f t="shared" si="49"/>
        <v>0</v>
      </c>
      <c r="V155" s="150">
        <f>IFERROR(INDEX(Työkonekanta!$J$3:$J$27,MATCH($A155,Työkonekanta!$A$3:$A$24,0),1)*$B155*ef_li_ion_akku/1000/1000/INDEX(Työkonekanta!$K$3:$K$27,MATCH($A155,Työkonekanta!$A$3:$A$24,0)),0)</f>
        <v>0</v>
      </c>
      <c r="W155" s="149">
        <f t="shared" si="62"/>
        <v>26.152700163281999</v>
      </c>
      <c r="X155" s="150">
        <f t="shared" si="63"/>
        <v>0.33363294300000002</v>
      </c>
      <c r="Y155" s="151">
        <f t="shared" si="64"/>
        <v>0.13688204081632654</v>
      </c>
      <c r="Z155" s="152">
        <f t="shared" si="56"/>
        <v>8.1081944999999997</v>
      </c>
      <c r="AA155" s="179">
        <f t="shared" si="57"/>
        <v>26.289582204098327</v>
      </c>
      <c r="AB155" s="179">
        <f t="shared" si="58"/>
        <v>26.623215147098328</v>
      </c>
      <c r="AC155" s="180">
        <f t="shared" si="65"/>
        <v>34.397776704098327</v>
      </c>
      <c r="AD155" s="156">
        <f t="shared" si="59"/>
        <v>34.731409647098332</v>
      </c>
      <c r="AE155" s="146">
        <f>IFERROR(INDEX(Työkonekanta!$L$3:$L$30,MATCH($A155,Työkonekanta!$A$3:$A$30,0),1),0)*AF155</f>
        <v>0</v>
      </c>
      <c r="AF155" s="146">
        <f>IFERROR(INDEX(Työkonekanta!$N$3:$N$32,MATCH($A155,Työkonekanta!$A$3:$A$32,0),1),0)</f>
        <v>0</v>
      </c>
      <c r="AG155" s="332">
        <f>I155*INDEX(Muuttujat!$U$5:$U$21,MATCH($C155,Muuttujat!$N$5:$N$21,0),1)</f>
        <v>10067.4</v>
      </c>
      <c r="AH155" s="332">
        <f>J155*INDEX(Muuttujat!$T$5:$T$21,MATCH($C155,Muuttujat!$N$5:$N$21,0),1)</f>
        <v>936.33061224489791</v>
      </c>
      <c r="AI155" s="332">
        <f t="shared" si="50"/>
        <v>263.23469387755102</v>
      </c>
      <c r="AJ155" s="332">
        <f t="shared" si="51"/>
        <v>0</v>
      </c>
      <c r="AK155" s="332">
        <f t="shared" si="60"/>
        <v>11266.965306122449</v>
      </c>
      <c r="AL155" s="332">
        <f t="shared" si="52"/>
        <v>11266.965306122449</v>
      </c>
    </row>
    <row r="156" spans="1:38">
      <c r="A156" s="139">
        <v>4</v>
      </c>
      <c r="B156" s="139">
        <f>IFERROR(INDEX(Työkonekanta!$F$3:$F$27,MATCH('S0b Baseline kasvu'!$A156,Työkonekanta!$A$3:$A$24,0),1),0)</f>
        <v>1</v>
      </c>
      <c r="C156" s="140">
        <v>2024</v>
      </c>
      <c r="D156" s="141" t="str">
        <f>IFERROR(INDEX(Työkonekanta!$D$3:$D$27,MATCH('S0b Baseline kasvu'!$A156,Työkonekanta!$A$3:$A$24,0),1),"undefined")</f>
        <v>pom</v>
      </c>
      <c r="E156" s="145">
        <f>IFERROR(INDEX(Työkonekanta!$G$3:$G$27,MATCH($A156,Työkonekanta!$A$3:$A$24,0),1)*INDEX(Työkonekanta!$H$3:$H$27,MATCH($A156,Työkonekanta!$A$3:$A$24,0),1)*(1+s0b_kasvu*($C156-2019))*$B156,0)</f>
        <v>10500</v>
      </c>
      <c r="F156" s="145">
        <f t="shared" si="44"/>
        <v>376950</v>
      </c>
      <c r="G156" s="145">
        <f t="shared" si="53"/>
        <v>354333</v>
      </c>
      <c r="H156" s="145">
        <f t="shared" si="54"/>
        <v>22617</v>
      </c>
      <c r="I156" s="145">
        <f t="shared" si="45"/>
        <v>9870</v>
      </c>
      <c r="J156" s="145">
        <f t="shared" si="46"/>
        <v>659.38775510204084</v>
      </c>
      <c r="K156" s="142" t="str">
        <f t="shared" si="55"/>
        <v>l</v>
      </c>
      <c r="L156" s="146">
        <f>IFERROR(INDEX(Työkonekanta!$I$3:$I$27,MATCH('S0b Baseline kasvu'!$A156,Työkonekanta!$A$3:$A$24,0),1)*(I156+J156)*f_adblue,0)</f>
        <v>526.46938775510205</v>
      </c>
      <c r="M156" s="146">
        <f t="shared" si="61"/>
        <v>0</v>
      </c>
      <c r="N156" s="143" t="str">
        <f>IF(tuulisähkö_vuosi&lt;='S0b Baseline kasvu'!C156,"tuulisähkö",ostosähkö_nyt)</f>
        <v>jäännössähkö</v>
      </c>
      <c r="O156" s="147">
        <f>INDEX(Muuttujat!$J$5:$J$21,MATCH($C156,Muuttujat!$H$5:$H$21,0),1)</f>
        <v>65.853419316547502</v>
      </c>
      <c r="P156" s="342">
        <f>1-(INDEX(Muuttujat!$O$5:$O$21,MATCH($C156,Muuttujat!$N$5:$N$21,0),1))</f>
        <v>0.94</v>
      </c>
      <c r="Q156" s="342">
        <f>INDEX(Muuttujat!$O$5:$O$21,MATCH($C156,Muuttujat!$N$5:$N$21,0),1)</f>
        <v>0.06</v>
      </c>
      <c r="R156" s="148">
        <f>INDEX(Muuttujat!$P$5:$P$21,MATCH($C156,Muuttujat!$N$5:$N$21,0),1)</f>
        <v>6.2623560726971367E-2</v>
      </c>
      <c r="S156" s="149">
        <f t="shared" si="47"/>
        <v>6.6968936999999995</v>
      </c>
      <c r="T156" s="150">
        <f t="shared" si="48"/>
        <v>1.4113008</v>
      </c>
      <c r="U156" s="150">
        <f t="shared" si="49"/>
        <v>0</v>
      </c>
      <c r="V156" s="150">
        <f>IFERROR(INDEX(Työkonekanta!$J$3:$J$27,MATCH($A156,Työkonekanta!$A$3:$A$24,0),1)*$B156*ef_li_ion_akku/1000/1000/INDEX(Työkonekanta!$K$3:$K$27,MATCH($A156,Työkonekanta!$A$3:$A$24,0)),0)</f>
        <v>0</v>
      </c>
      <c r="W156" s="149">
        <f t="shared" si="62"/>
        <v>26.152700163281999</v>
      </c>
      <c r="X156" s="150">
        <f t="shared" si="63"/>
        <v>0.33363294300000002</v>
      </c>
      <c r="Y156" s="151">
        <f t="shared" si="64"/>
        <v>0.13688204081632654</v>
      </c>
      <c r="Z156" s="152">
        <f t="shared" si="56"/>
        <v>8.1081944999999997</v>
      </c>
      <c r="AA156" s="179">
        <f t="shared" si="57"/>
        <v>26.289582204098327</v>
      </c>
      <c r="AB156" s="179">
        <f t="shared" si="58"/>
        <v>26.623215147098328</v>
      </c>
      <c r="AC156" s="180">
        <f t="shared" si="65"/>
        <v>34.397776704098327</v>
      </c>
      <c r="AD156" s="156">
        <f t="shared" si="59"/>
        <v>34.731409647098332</v>
      </c>
      <c r="AE156" s="146">
        <f>IFERROR(INDEX(Työkonekanta!$L$3:$L$30,MATCH($A156,Työkonekanta!$A$3:$A$30,0),1),0)*AF156</f>
        <v>0</v>
      </c>
      <c r="AF156" s="146">
        <f>IFERROR(INDEX(Työkonekanta!$N$3:$N$32,MATCH($A156,Työkonekanta!$A$3:$A$32,0),1),0)</f>
        <v>0</v>
      </c>
      <c r="AG156" s="332">
        <f>I156*INDEX(Muuttujat!$U$5:$U$21,MATCH($C156,Muuttujat!$N$5:$N$21,0),1)</f>
        <v>10067.4</v>
      </c>
      <c r="AH156" s="332">
        <f>J156*INDEX(Muuttujat!$T$5:$T$21,MATCH($C156,Muuttujat!$N$5:$N$21,0),1)</f>
        <v>936.33061224489791</v>
      </c>
      <c r="AI156" s="332">
        <f t="shared" si="50"/>
        <v>263.23469387755102</v>
      </c>
      <c r="AJ156" s="332">
        <f t="shared" si="51"/>
        <v>0</v>
      </c>
      <c r="AK156" s="332">
        <f t="shared" si="60"/>
        <v>11266.965306122449</v>
      </c>
      <c r="AL156" s="332">
        <f t="shared" si="52"/>
        <v>11266.965306122449</v>
      </c>
    </row>
    <row r="157" spans="1:38">
      <c r="A157" s="139">
        <v>5</v>
      </c>
      <c r="B157" s="139">
        <f>IFERROR(INDEX(Työkonekanta!$F$3:$F$27,MATCH('S0b Baseline kasvu'!$A157,Työkonekanta!$A$3:$A$24,0),1),0)</f>
        <v>0</v>
      </c>
      <c r="C157" s="140">
        <v>2024</v>
      </c>
      <c r="D157" s="141" t="str">
        <f>IFERROR(INDEX(Työkonekanta!$D$3:$D$27,MATCH('S0b Baseline kasvu'!$A157,Työkonekanta!$A$3:$A$24,0),1),"undefined")</f>
        <v>sähkö</v>
      </c>
      <c r="E157" s="145">
        <f>IFERROR(INDEX(Työkonekanta!$G$3:$G$27,MATCH($A157,Työkonekanta!$A$3:$A$24,0),1)*INDEX(Työkonekanta!$H$3:$H$27,MATCH($A157,Työkonekanta!$A$3:$A$24,0),1)*(1+s0b_kasvu*($C157-2019))*$B157,0)</f>
        <v>0</v>
      </c>
      <c r="F157" s="145">
        <f t="shared" si="44"/>
        <v>0</v>
      </c>
      <c r="G157" s="145">
        <f t="shared" si="53"/>
        <v>0</v>
      </c>
      <c r="H157" s="145">
        <f t="shared" si="54"/>
        <v>0</v>
      </c>
      <c r="I157" s="145">
        <f t="shared" si="45"/>
        <v>0</v>
      </c>
      <c r="J157" s="145">
        <f t="shared" si="46"/>
        <v>0</v>
      </c>
      <c r="K157" s="142" t="str">
        <f t="shared" si="55"/>
        <v>kWh</v>
      </c>
      <c r="L157" s="146">
        <f>IFERROR(INDEX(Työkonekanta!$I$3:$I$27,MATCH('S0b Baseline kasvu'!$A157,Työkonekanta!$A$3:$A$24,0),1)*(I157+J157)*f_adblue,0)</f>
        <v>0</v>
      </c>
      <c r="M157" s="146">
        <f t="shared" si="61"/>
        <v>0</v>
      </c>
      <c r="N157" s="143" t="str">
        <f>IF(tuulisähkö_vuosi&lt;='S0b Baseline kasvu'!C157,"tuulisähkö",ostosähkö_nyt)</f>
        <v>jäännössähkö</v>
      </c>
      <c r="O157" s="147">
        <f>INDEX(Muuttujat!$J$5:$J$21,MATCH($C157,Muuttujat!$H$5:$H$21,0),1)</f>
        <v>65.853419316547502</v>
      </c>
      <c r="P157" s="342">
        <f>1-(INDEX(Muuttujat!$O$5:$O$21,MATCH($C157,Muuttujat!$N$5:$N$21,0),1))</f>
        <v>0.94</v>
      </c>
      <c r="Q157" s="342">
        <f>INDEX(Muuttujat!$O$5:$O$21,MATCH($C157,Muuttujat!$N$5:$N$21,0),1)</f>
        <v>0.06</v>
      </c>
      <c r="R157" s="148">
        <f>INDEX(Muuttujat!$P$5:$P$21,MATCH($C157,Muuttujat!$N$5:$N$21,0),1)</f>
        <v>6.2623560726971367E-2</v>
      </c>
      <c r="S157" s="149">
        <f t="shared" si="47"/>
        <v>0</v>
      </c>
      <c r="T157" s="150">
        <f t="shared" si="48"/>
        <v>0</v>
      </c>
      <c r="U157" s="150">
        <f t="shared" si="49"/>
        <v>0</v>
      </c>
      <c r="V157" s="150">
        <f>IFERROR(INDEX(Työkonekanta!$J$3:$J$27,MATCH($A157,Työkonekanta!$A$3:$A$24,0),1)*$B157*ef_li_ion_akku/1000/1000/INDEX(Työkonekanta!$K$3:$K$27,MATCH($A157,Työkonekanta!$A$3:$A$24,0)),0)</f>
        <v>0</v>
      </c>
      <c r="W157" s="149">
        <f t="shared" si="62"/>
        <v>0</v>
      </c>
      <c r="X157" s="150">
        <f t="shared" si="63"/>
        <v>0</v>
      </c>
      <c r="Y157" s="151">
        <f t="shared" si="64"/>
        <v>0</v>
      </c>
      <c r="Z157" s="152">
        <f t="shared" si="56"/>
        <v>0</v>
      </c>
      <c r="AA157" s="179">
        <f t="shared" si="57"/>
        <v>0</v>
      </c>
      <c r="AB157" s="179">
        <f t="shared" si="58"/>
        <v>0</v>
      </c>
      <c r="AC157" s="180">
        <f t="shared" si="65"/>
        <v>0</v>
      </c>
      <c r="AD157" s="156">
        <f t="shared" si="59"/>
        <v>0</v>
      </c>
      <c r="AE157" s="146">
        <f>IFERROR(INDEX(Työkonekanta!$L$3:$L$30,MATCH($A157,Työkonekanta!$A$3:$A$30,0),1),0)*AF157</f>
        <v>0</v>
      </c>
      <c r="AF157" s="146">
        <f>IFERROR(INDEX(Työkonekanta!$N$3:$N$32,MATCH($A157,Työkonekanta!$A$3:$A$32,0),1),0)</f>
        <v>0</v>
      </c>
      <c r="AG157" s="332">
        <f>I157*INDEX(Muuttujat!$U$5:$U$21,MATCH($C157,Muuttujat!$N$5:$N$21,0),1)</f>
        <v>0</v>
      </c>
      <c r="AH157" s="332">
        <f>J157*INDEX(Muuttujat!$T$5:$T$21,MATCH($C157,Muuttujat!$N$5:$N$21,0),1)</f>
        <v>0</v>
      </c>
      <c r="AI157" s="332">
        <f t="shared" si="50"/>
        <v>0</v>
      </c>
      <c r="AJ157" s="332">
        <f t="shared" si="51"/>
        <v>0</v>
      </c>
      <c r="AK157" s="332">
        <f t="shared" si="60"/>
        <v>0</v>
      </c>
      <c r="AL157" s="332">
        <f t="shared" si="52"/>
        <v>0</v>
      </c>
    </row>
    <row r="158" spans="1:38">
      <c r="A158" s="139">
        <v>6</v>
      </c>
      <c r="B158" s="139">
        <f>IFERROR(INDEX(Työkonekanta!$F$3:$F$27,MATCH('S0b Baseline kasvu'!$A158,Työkonekanta!$A$3:$A$24,0),1),0)</f>
        <v>0</v>
      </c>
      <c r="C158" s="140">
        <v>2024</v>
      </c>
      <c r="D158" s="141" t="str">
        <f>IFERROR(INDEX(Työkonekanta!$D$3:$D$27,MATCH('S0b Baseline kasvu'!$A158,Työkonekanta!$A$3:$A$24,0),1),"undefined")</f>
        <v>sähkö</v>
      </c>
      <c r="E158" s="145">
        <f>IFERROR(INDEX(Työkonekanta!$G$3:$G$27,MATCH($A158,Työkonekanta!$A$3:$A$24,0),1)*INDEX(Työkonekanta!$H$3:$H$27,MATCH($A158,Työkonekanta!$A$3:$A$24,0),1)*(1+s0b_kasvu*($C158-2019))*$B158,0)</f>
        <v>0</v>
      </c>
      <c r="F158" s="145">
        <f t="shared" si="44"/>
        <v>0</v>
      </c>
      <c r="G158" s="145">
        <f t="shared" si="53"/>
        <v>0</v>
      </c>
      <c r="H158" s="145">
        <f t="shared" si="54"/>
        <v>0</v>
      </c>
      <c r="I158" s="145">
        <f t="shared" si="45"/>
        <v>0</v>
      </c>
      <c r="J158" s="145">
        <f t="shared" si="46"/>
        <v>0</v>
      </c>
      <c r="K158" s="142" t="str">
        <f t="shared" si="55"/>
        <v>kWh</v>
      </c>
      <c r="L158" s="146">
        <f>IFERROR(INDEX(Työkonekanta!$I$3:$I$27,MATCH('S0b Baseline kasvu'!$A158,Työkonekanta!$A$3:$A$24,0),1)*(I158+J158)*f_adblue,0)</f>
        <v>0</v>
      </c>
      <c r="M158" s="146">
        <f t="shared" si="61"/>
        <v>0</v>
      </c>
      <c r="N158" s="143" t="str">
        <f>IF(tuulisähkö_vuosi&lt;='S0b Baseline kasvu'!C158,"tuulisähkö",ostosähkö_nyt)</f>
        <v>jäännössähkö</v>
      </c>
      <c r="O158" s="147">
        <f>INDEX(Muuttujat!$J$5:$J$21,MATCH($C158,Muuttujat!$H$5:$H$21,0),1)</f>
        <v>65.853419316547502</v>
      </c>
      <c r="P158" s="342">
        <f>1-(INDEX(Muuttujat!$O$5:$O$21,MATCH($C158,Muuttujat!$N$5:$N$21,0),1))</f>
        <v>0.94</v>
      </c>
      <c r="Q158" s="342">
        <f>INDEX(Muuttujat!$O$5:$O$21,MATCH($C158,Muuttujat!$N$5:$N$21,0),1)</f>
        <v>0.06</v>
      </c>
      <c r="R158" s="148">
        <f>INDEX(Muuttujat!$P$5:$P$21,MATCH($C158,Muuttujat!$N$5:$N$21,0),1)</f>
        <v>6.2623560726971367E-2</v>
      </c>
      <c r="S158" s="149">
        <f t="shared" si="47"/>
        <v>0</v>
      </c>
      <c r="T158" s="150">
        <f t="shared" si="48"/>
        <v>0</v>
      </c>
      <c r="U158" s="150">
        <f t="shared" si="49"/>
        <v>0</v>
      </c>
      <c r="V158" s="150">
        <f>IFERROR(INDEX(Työkonekanta!$J$3:$J$27,MATCH($A158,Työkonekanta!$A$3:$A$24,0),1)*$B158*ef_li_ion_akku/1000/1000/INDEX(Työkonekanta!$K$3:$K$27,MATCH($A158,Työkonekanta!$A$3:$A$24,0)),0)</f>
        <v>0</v>
      </c>
      <c r="W158" s="149">
        <f t="shared" si="62"/>
        <v>0</v>
      </c>
      <c r="X158" s="150">
        <f t="shared" si="63"/>
        <v>0</v>
      </c>
      <c r="Y158" s="151">
        <f t="shared" si="64"/>
        <v>0</v>
      </c>
      <c r="Z158" s="152">
        <f t="shared" si="56"/>
        <v>0</v>
      </c>
      <c r="AA158" s="179">
        <f t="shared" si="57"/>
        <v>0</v>
      </c>
      <c r="AB158" s="179">
        <f t="shared" si="58"/>
        <v>0</v>
      </c>
      <c r="AC158" s="180">
        <f t="shared" si="65"/>
        <v>0</v>
      </c>
      <c r="AD158" s="156">
        <f t="shared" si="59"/>
        <v>0</v>
      </c>
      <c r="AE158" s="146">
        <f>IFERROR(INDEX(Työkonekanta!$L$3:$L$30,MATCH($A158,Työkonekanta!$A$3:$A$30,0),1),0)*AF158</f>
        <v>0</v>
      </c>
      <c r="AF158" s="146">
        <f>IFERROR(INDEX(Työkonekanta!$N$3:$N$32,MATCH($A158,Työkonekanta!$A$3:$A$32,0),1),0)</f>
        <v>0</v>
      </c>
      <c r="AG158" s="332">
        <f>I158*INDEX(Muuttujat!$U$5:$U$21,MATCH($C158,Muuttujat!$N$5:$N$21,0),1)</f>
        <v>0</v>
      </c>
      <c r="AH158" s="332">
        <f>J158*INDEX(Muuttujat!$T$5:$T$21,MATCH($C158,Muuttujat!$N$5:$N$21,0),1)</f>
        <v>0</v>
      </c>
      <c r="AI158" s="332">
        <f t="shared" si="50"/>
        <v>0</v>
      </c>
      <c r="AJ158" s="332">
        <f t="shared" si="51"/>
        <v>0</v>
      </c>
      <c r="AK158" s="332">
        <f t="shared" si="60"/>
        <v>0</v>
      </c>
      <c r="AL158" s="332">
        <f t="shared" si="52"/>
        <v>0</v>
      </c>
    </row>
    <row r="159" spans="1:38">
      <c r="A159" s="139">
        <v>7</v>
      </c>
      <c r="B159" s="139">
        <f>IFERROR(INDEX(Työkonekanta!$F$3:$F$27,MATCH('S0b Baseline kasvu'!$A159,Työkonekanta!$A$3:$A$24,0),1),0)</f>
        <v>1</v>
      </c>
      <c r="C159" s="140">
        <v>2024</v>
      </c>
      <c r="D159" s="141" t="str">
        <f>IFERROR(INDEX(Työkonekanta!$D$3:$D$27,MATCH('S0b Baseline kasvu'!$A159,Työkonekanta!$A$3:$A$24,0),1),"undefined")</f>
        <v>pom</v>
      </c>
      <c r="E159" s="145">
        <f>IFERROR(INDEX(Työkonekanta!$G$3:$G$27,MATCH($A159,Työkonekanta!$A$3:$A$24,0),1)*INDEX(Työkonekanta!$H$3:$H$27,MATCH($A159,Työkonekanta!$A$3:$A$24,0),1)*(1+s0b_kasvu*($C159-2019))*$B159,0)</f>
        <v>10500</v>
      </c>
      <c r="F159" s="145">
        <f t="shared" si="44"/>
        <v>376950</v>
      </c>
      <c r="G159" s="145">
        <f t="shared" si="53"/>
        <v>354333</v>
      </c>
      <c r="H159" s="145">
        <f t="shared" si="54"/>
        <v>22617</v>
      </c>
      <c r="I159" s="145">
        <f t="shared" si="45"/>
        <v>9870</v>
      </c>
      <c r="J159" s="145">
        <f t="shared" si="46"/>
        <v>659.38775510204084</v>
      </c>
      <c r="K159" s="142" t="str">
        <f t="shared" si="55"/>
        <v>l</v>
      </c>
      <c r="L159" s="146">
        <f>IFERROR(INDEX(Työkonekanta!$I$3:$I$27,MATCH('S0b Baseline kasvu'!$A159,Työkonekanta!$A$3:$A$24,0),1)*(I159+J159)*f_adblue,0)</f>
        <v>0</v>
      </c>
      <c r="M159" s="146">
        <f t="shared" si="61"/>
        <v>0</v>
      </c>
      <c r="N159" s="143" t="str">
        <f>IF(tuulisähkö_vuosi&lt;='S0b Baseline kasvu'!C159,"tuulisähkö",ostosähkö_nyt)</f>
        <v>jäännössähkö</v>
      </c>
      <c r="O159" s="147">
        <f>INDEX(Muuttujat!$J$5:$J$21,MATCH($C159,Muuttujat!$H$5:$H$21,0),1)</f>
        <v>65.853419316547502</v>
      </c>
      <c r="P159" s="342">
        <f>1-(INDEX(Muuttujat!$O$5:$O$21,MATCH($C159,Muuttujat!$N$5:$N$21,0),1))</f>
        <v>0.94</v>
      </c>
      <c r="Q159" s="342">
        <f>INDEX(Muuttujat!$O$5:$O$21,MATCH($C159,Muuttujat!$N$5:$N$21,0),1)</f>
        <v>0.06</v>
      </c>
      <c r="R159" s="148">
        <f>INDEX(Muuttujat!$P$5:$P$21,MATCH($C159,Muuttujat!$N$5:$N$21,0),1)</f>
        <v>6.2623560726971367E-2</v>
      </c>
      <c r="S159" s="149">
        <f t="shared" si="47"/>
        <v>6.6968936999999995</v>
      </c>
      <c r="T159" s="150">
        <f t="shared" si="48"/>
        <v>1.4113008</v>
      </c>
      <c r="U159" s="150">
        <f t="shared" si="49"/>
        <v>0</v>
      </c>
      <c r="V159" s="150">
        <f>IFERROR(INDEX(Työkonekanta!$J$3:$J$27,MATCH($A159,Työkonekanta!$A$3:$A$24,0),1)*$B159*ef_li_ion_akku/1000/1000/INDEX(Työkonekanta!$K$3:$K$27,MATCH($A159,Työkonekanta!$A$3:$A$24,0)),0)</f>
        <v>0</v>
      </c>
      <c r="W159" s="149">
        <f t="shared" si="62"/>
        <v>26.152700163281999</v>
      </c>
      <c r="X159" s="150">
        <f t="shared" si="63"/>
        <v>0.33363294300000002</v>
      </c>
      <c r="Y159" s="151">
        <f t="shared" si="64"/>
        <v>0</v>
      </c>
      <c r="Z159" s="152">
        <f t="shared" si="56"/>
        <v>8.1081944999999997</v>
      </c>
      <c r="AA159" s="179">
        <f t="shared" si="57"/>
        <v>26.152700163281999</v>
      </c>
      <c r="AB159" s="179">
        <f t="shared" si="58"/>
        <v>26.486333106282</v>
      </c>
      <c r="AC159" s="180">
        <f t="shared" si="65"/>
        <v>34.260894663282002</v>
      </c>
      <c r="AD159" s="156">
        <f t="shared" si="59"/>
        <v>34.594527606282</v>
      </c>
      <c r="AE159" s="146">
        <f>IFERROR(INDEX(Työkonekanta!$L$3:$L$30,MATCH($A159,Työkonekanta!$A$3:$A$30,0),1),0)*AF159</f>
        <v>500000</v>
      </c>
      <c r="AF159" s="146">
        <f>IFERROR(INDEX(Työkonekanta!$N$3:$N$32,MATCH($A159,Työkonekanta!$A$3:$A$32,0),1),0)</f>
        <v>1</v>
      </c>
      <c r="AG159" s="332">
        <f>I159*INDEX(Muuttujat!$U$5:$U$21,MATCH($C159,Muuttujat!$N$5:$N$21,0),1)</f>
        <v>10067.4</v>
      </c>
      <c r="AH159" s="332">
        <f>J159*INDEX(Muuttujat!$T$5:$T$21,MATCH($C159,Muuttujat!$N$5:$N$21,0),1)</f>
        <v>936.33061224489791</v>
      </c>
      <c r="AI159" s="332">
        <f t="shared" si="50"/>
        <v>0</v>
      </c>
      <c r="AJ159" s="332">
        <f t="shared" si="51"/>
        <v>0</v>
      </c>
      <c r="AK159" s="332">
        <f t="shared" si="60"/>
        <v>11003.730612244897</v>
      </c>
      <c r="AL159" s="332">
        <f t="shared" si="52"/>
        <v>11003.730612244897</v>
      </c>
    </row>
    <row r="160" spans="1:38">
      <c r="A160" s="139">
        <v>8</v>
      </c>
      <c r="B160" s="139">
        <f>IFERROR(INDEX(Työkonekanta!$F$3:$F$27,MATCH('S0b Baseline kasvu'!$A160,Työkonekanta!$A$3:$A$24,0),1),0)</f>
        <v>1</v>
      </c>
      <c r="C160" s="140">
        <v>2024</v>
      </c>
      <c r="D160" s="141" t="str">
        <f>IFERROR(INDEX(Työkonekanta!$D$3:$D$27,MATCH('S0b Baseline kasvu'!$A160,Työkonekanta!$A$3:$A$24,0),1),"undefined")</f>
        <v>pom</v>
      </c>
      <c r="E160" s="145">
        <f>IFERROR(INDEX(Työkonekanta!$G$3:$G$27,MATCH($A160,Työkonekanta!$A$3:$A$24,0),1)*INDEX(Työkonekanta!$H$3:$H$27,MATCH($A160,Työkonekanta!$A$3:$A$24,0),1)*(1+s0b_kasvu*($C160-2019))*$B160,0)</f>
        <v>10500</v>
      </c>
      <c r="F160" s="145">
        <f t="shared" si="44"/>
        <v>376950</v>
      </c>
      <c r="G160" s="145">
        <f t="shared" si="53"/>
        <v>354333</v>
      </c>
      <c r="H160" s="145">
        <f t="shared" si="54"/>
        <v>22617</v>
      </c>
      <c r="I160" s="145">
        <f t="shared" si="45"/>
        <v>9870</v>
      </c>
      <c r="J160" s="145">
        <f t="shared" si="46"/>
        <v>659.38775510204084</v>
      </c>
      <c r="K160" s="142" t="str">
        <f t="shared" si="55"/>
        <v>l</v>
      </c>
      <c r="L160" s="146">
        <f>IFERROR(INDEX(Työkonekanta!$I$3:$I$27,MATCH('S0b Baseline kasvu'!$A160,Työkonekanta!$A$3:$A$24,0),1)*(I160+J160)*f_adblue,0)</f>
        <v>526.46938775510205</v>
      </c>
      <c r="M160" s="146">
        <f t="shared" si="61"/>
        <v>0</v>
      </c>
      <c r="N160" s="143" t="str">
        <f>IF(tuulisähkö_vuosi&lt;='S0b Baseline kasvu'!C160,"tuulisähkö",ostosähkö_nyt)</f>
        <v>jäännössähkö</v>
      </c>
      <c r="O160" s="147">
        <f>INDEX(Muuttujat!$J$5:$J$21,MATCH($C160,Muuttujat!$H$5:$H$21,0),1)</f>
        <v>65.853419316547502</v>
      </c>
      <c r="P160" s="342">
        <f>1-(INDEX(Muuttujat!$O$5:$O$21,MATCH($C160,Muuttujat!$N$5:$N$21,0),1))</f>
        <v>0.94</v>
      </c>
      <c r="Q160" s="342">
        <f>INDEX(Muuttujat!$O$5:$O$21,MATCH($C160,Muuttujat!$N$5:$N$21,0),1)</f>
        <v>0.06</v>
      </c>
      <c r="R160" s="148">
        <f>INDEX(Muuttujat!$P$5:$P$21,MATCH($C160,Muuttujat!$N$5:$N$21,0),1)</f>
        <v>6.2623560726971367E-2</v>
      </c>
      <c r="S160" s="149">
        <f t="shared" si="47"/>
        <v>6.6968936999999995</v>
      </c>
      <c r="T160" s="150">
        <f t="shared" si="48"/>
        <v>1.4113008</v>
      </c>
      <c r="U160" s="150">
        <f t="shared" si="49"/>
        <v>0</v>
      </c>
      <c r="V160" s="150">
        <f>IFERROR(INDEX(Työkonekanta!$J$3:$J$27,MATCH($A160,Työkonekanta!$A$3:$A$24,0),1)*$B160*ef_li_ion_akku/1000/1000/INDEX(Työkonekanta!$K$3:$K$27,MATCH($A160,Työkonekanta!$A$3:$A$24,0)),0)</f>
        <v>0</v>
      </c>
      <c r="W160" s="149">
        <f t="shared" si="62"/>
        <v>26.152700163281999</v>
      </c>
      <c r="X160" s="150">
        <f t="shared" si="63"/>
        <v>0.33363294300000002</v>
      </c>
      <c r="Y160" s="151">
        <f t="shared" si="64"/>
        <v>0.13688204081632654</v>
      </c>
      <c r="Z160" s="152">
        <f t="shared" si="56"/>
        <v>8.1081944999999997</v>
      </c>
      <c r="AA160" s="179">
        <f t="shared" si="57"/>
        <v>26.289582204098327</v>
      </c>
      <c r="AB160" s="179">
        <f t="shared" si="58"/>
        <v>26.623215147098328</v>
      </c>
      <c r="AC160" s="180">
        <f t="shared" si="65"/>
        <v>34.397776704098327</v>
      </c>
      <c r="AD160" s="156">
        <f t="shared" si="59"/>
        <v>34.731409647098332</v>
      </c>
      <c r="AE160" s="146">
        <f>IFERROR(INDEX(Työkonekanta!$L$3:$L$30,MATCH($A160,Työkonekanta!$A$3:$A$30,0),1),0)*AF160</f>
        <v>500000</v>
      </c>
      <c r="AF160" s="146">
        <f>IFERROR(INDEX(Työkonekanta!$N$3:$N$32,MATCH($A160,Työkonekanta!$A$3:$A$32,0),1),0)</f>
        <v>1</v>
      </c>
      <c r="AG160" s="332">
        <f>I160*INDEX(Muuttujat!$U$5:$U$21,MATCH($C160,Muuttujat!$N$5:$N$21,0),1)</f>
        <v>10067.4</v>
      </c>
      <c r="AH160" s="332">
        <f>J160*INDEX(Muuttujat!$T$5:$T$21,MATCH($C160,Muuttujat!$N$5:$N$21,0),1)</f>
        <v>936.33061224489791</v>
      </c>
      <c r="AI160" s="332">
        <f t="shared" si="50"/>
        <v>263.23469387755102</v>
      </c>
      <c r="AJ160" s="332">
        <f t="shared" si="51"/>
        <v>0</v>
      </c>
      <c r="AK160" s="332">
        <f t="shared" si="60"/>
        <v>11266.965306122449</v>
      </c>
      <c r="AL160" s="332">
        <f t="shared" si="52"/>
        <v>11266.965306122449</v>
      </c>
    </row>
    <row r="161" spans="1:38">
      <c r="A161" s="139">
        <v>9</v>
      </c>
      <c r="B161" s="139">
        <f>IFERROR(INDEX(Työkonekanta!$F$3:$F$27,MATCH('S0b Baseline kasvu'!$A161,Työkonekanta!$A$3:$A$24,0),1),0)</f>
        <v>0</v>
      </c>
      <c r="C161" s="140">
        <v>2024</v>
      </c>
      <c r="D161" s="141" t="str">
        <f>IFERROR(INDEX(Työkonekanta!$D$3:$D$27,MATCH('S0b Baseline kasvu'!$A161,Työkonekanta!$A$3:$A$24,0),1),"undefined")</f>
        <v>sähkö</v>
      </c>
      <c r="E161" s="145">
        <f>IFERROR(INDEX(Työkonekanta!$G$3:$G$27,MATCH($A161,Työkonekanta!$A$3:$A$24,0),1)*INDEX(Työkonekanta!$H$3:$H$27,MATCH($A161,Työkonekanta!$A$3:$A$24,0),1)*(1+s0b_kasvu*($C161-2019))*$B161,0)</f>
        <v>0</v>
      </c>
      <c r="F161" s="145">
        <f t="shared" si="44"/>
        <v>0</v>
      </c>
      <c r="G161" s="145">
        <f t="shared" si="53"/>
        <v>0</v>
      </c>
      <c r="H161" s="145">
        <f t="shared" si="54"/>
        <v>0</v>
      </c>
      <c r="I161" s="145">
        <f t="shared" si="45"/>
        <v>0</v>
      </c>
      <c r="J161" s="145">
        <f t="shared" si="46"/>
        <v>0</v>
      </c>
      <c r="K161" s="142" t="str">
        <f t="shared" si="55"/>
        <v>kWh</v>
      </c>
      <c r="L161" s="146">
        <f>IFERROR(INDEX(Työkonekanta!$I$3:$I$27,MATCH('S0b Baseline kasvu'!$A161,Työkonekanta!$A$3:$A$24,0),1)*(I161+J161)*f_adblue,0)</f>
        <v>0</v>
      </c>
      <c r="M161" s="146">
        <f t="shared" si="61"/>
        <v>0</v>
      </c>
      <c r="N161" s="143" t="str">
        <f>IF(tuulisähkö_vuosi&lt;='S0b Baseline kasvu'!C161,"tuulisähkö",ostosähkö_nyt)</f>
        <v>jäännössähkö</v>
      </c>
      <c r="O161" s="147">
        <f>INDEX(Muuttujat!$J$5:$J$21,MATCH($C161,Muuttujat!$H$5:$H$21,0),1)</f>
        <v>65.853419316547502</v>
      </c>
      <c r="P161" s="342">
        <f>1-(INDEX(Muuttujat!$O$5:$O$21,MATCH($C161,Muuttujat!$N$5:$N$21,0),1))</f>
        <v>0.94</v>
      </c>
      <c r="Q161" s="342">
        <f>INDEX(Muuttujat!$O$5:$O$21,MATCH($C161,Muuttujat!$N$5:$N$21,0),1)</f>
        <v>0.06</v>
      </c>
      <c r="R161" s="148">
        <f>INDEX(Muuttujat!$P$5:$P$21,MATCH($C161,Muuttujat!$N$5:$N$21,0),1)</f>
        <v>6.2623560726971367E-2</v>
      </c>
      <c r="S161" s="149">
        <f t="shared" si="47"/>
        <v>0</v>
      </c>
      <c r="T161" s="150">
        <f t="shared" si="48"/>
        <v>0</v>
      </c>
      <c r="U161" s="150">
        <f t="shared" si="49"/>
        <v>0</v>
      </c>
      <c r="V161" s="150">
        <f>IFERROR(INDEX(Työkonekanta!$J$3:$J$27,MATCH($A161,Työkonekanta!$A$3:$A$24,0),1)*$B161*ef_li_ion_akku/1000/1000/INDEX(Työkonekanta!$K$3:$K$27,MATCH($A161,Työkonekanta!$A$3:$A$24,0)),0)</f>
        <v>0</v>
      </c>
      <c r="W161" s="149">
        <f t="shared" si="62"/>
        <v>0</v>
      </c>
      <c r="X161" s="150">
        <f t="shared" si="63"/>
        <v>0</v>
      </c>
      <c r="Y161" s="151">
        <f t="shared" si="64"/>
        <v>0</v>
      </c>
      <c r="Z161" s="152">
        <f t="shared" si="56"/>
        <v>0</v>
      </c>
      <c r="AA161" s="179">
        <f t="shared" si="57"/>
        <v>0</v>
      </c>
      <c r="AB161" s="179">
        <f t="shared" si="58"/>
        <v>0</v>
      </c>
      <c r="AC161" s="180">
        <f t="shared" si="65"/>
        <v>0</v>
      </c>
      <c r="AD161" s="156">
        <f t="shared" si="59"/>
        <v>0</v>
      </c>
      <c r="AE161" s="146">
        <f>IFERROR(INDEX(Työkonekanta!$L$3:$L$30,MATCH($A161,Työkonekanta!$A$3:$A$30,0),1),0)*AF161</f>
        <v>0</v>
      </c>
      <c r="AF161" s="146">
        <f>IFERROR(INDEX(Työkonekanta!$N$3:$N$32,MATCH($A161,Työkonekanta!$A$3:$A$32,0),1),0)</f>
        <v>0</v>
      </c>
      <c r="AG161" s="332">
        <f>I161*INDEX(Muuttujat!$U$5:$U$21,MATCH($C161,Muuttujat!$N$5:$N$21,0),1)</f>
        <v>0</v>
      </c>
      <c r="AH161" s="332">
        <f>J161*INDEX(Muuttujat!$T$5:$T$21,MATCH($C161,Muuttujat!$N$5:$N$21,0),1)</f>
        <v>0</v>
      </c>
      <c r="AI161" s="332">
        <f t="shared" si="50"/>
        <v>0</v>
      </c>
      <c r="AJ161" s="332">
        <f t="shared" si="51"/>
        <v>0</v>
      </c>
      <c r="AK161" s="332">
        <f t="shared" si="60"/>
        <v>0</v>
      </c>
      <c r="AL161" s="332">
        <f t="shared" si="52"/>
        <v>0</v>
      </c>
    </row>
    <row r="162" spans="1:38">
      <c r="A162" s="139">
        <v>10</v>
      </c>
      <c r="B162" s="139">
        <f>IFERROR(INDEX(Työkonekanta!$F$3:$F$27,MATCH('S0b Baseline kasvu'!$A162,Työkonekanta!$A$3:$A$24,0),1),0)</f>
        <v>0</v>
      </c>
      <c r="C162" s="140">
        <v>2024</v>
      </c>
      <c r="D162" s="141" t="str">
        <f>IFERROR(INDEX(Työkonekanta!$D$3:$D$27,MATCH('S0b Baseline kasvu'!$A162,Työkonekanta!$A$3:$A$24,0),1),"undefined")</f>
        <v>sähkö</v>
      </c>
      <c r="E162" s="145">
        <f>IFERROR(INDEX(Työkonekanta!$G$3:$G$27,MATCH($A162,Työkonekanta!$A$3:$A$24,0),1)*INDEX(Työkonekanta!$H$3:$H$27,MATCH($A162,Työkonekanta!$A$3:$A$24,0),1)*(1+s0b_kasvu*($C162-2019))*$B162,0)</f>
        <v>0</v>
      </c>
      <c r="F162" s="145">
        <f t="shared" si="44"/>
        <v>0</v>
      </c>
      <c r="G162" s="145">
        <f t="shared" si="53"/>
        <v>0</v>
      </c>
      <c r="H162" s="145">
        <f t="shared" si="54"/>
        <v>0</v>
      </c>
      <c r="I162" s="145">
        <f t="shared" si="45"/>
        <v>0</v>
      </c>
      <c r="J162" s="145">
        <f t="shared" si="46"/>
        <v>0</v>
      </c>
      <c r="K162" s="142" t="str">
        <f t="shared" si="55"/>
        <v>kWh</v>
      </c>
      <c r="L162" s="146">
        <f>IFERROR(INDEX(Työkonekanta!$I$3:$I$27,MATCH('S0b Baseline kasvu'!$A162,Työkonekanta!$A$3:$A$24,0),1)*(I162+J162)*f_adblue,0)</f>
        <v>0</v>
      </c>
      <c r="M162" s="146">
        <f t="shared" si="61"/>
        <v>0</v>
      </c>
      <c r="N162" s="143" t="str">
        <f>IF(tuulisähkö_vuosi&lt;='S0b Baseline kasvu'!C162,"tuulisähkö",ostosähkö_nyt)</f>
        <v>jäännössähkö</v>
      </c>
      <c r="O162" s="147">
        <f>INDEX(Muuttujat!$J$5:$J$21,MATCH($C162,Muuttujat!$H$5:$H$21,0),1)</f>
        <v>65.853419316547502</v>
      </c>
      <c r="P162" s="342">
        <f>1-(INDEX(Muuttujat!$O$5:$O$21,MATCH($C162,Muuttujat!$N$5:$N$21,0),1))</f>
        <v>0.94</v>
      </c>
      <c r="Q162" s="342">
        <f>INDEX(Muuttujat!$O$5:$O$21,MATCH($C162,Muuttujat!$N$5:$N$21,0),1)</f>
        <v>0.06</v>
      </c>
      <c r="R162" s="148">
        <f>INDEX(Muuttujat!$P$5:$P$21,MATCH($C162,Muuttujat!$N$5:$N$21,0),1)</f>
        <v>6.2623560726971367E-2</v>
      </c>
      <c r="S162" s="149">
        <f t="shared" si="47"/>
        <v>0</v>
      </c>
      <c r="T162" s="150">
        <f t="shared" si="48"/>
        <v>0</v>
      </c>
      <c r="U162" s="150">
        <f t="shared" si="49"/>
        <v>0</v>
      </c>
      <c r="V162" s="150">
        <f>IFERROR(INDEX(Työkonekanta!$J$3:$J$27,MATCH($A162,Työkonekanta!$A$3:$A$24,0),1)*$B162*ef_li_ion_akku/1000/1000/INDEX(Työkonekanta!$K$3:$K$27,MATCH($A162,Työkonekanta!$A$3:$A$24,0)),0)</f>
        <v>0</v>
      </c>
      <c r="W162" s="149">
        <f t="shared" si="62"/>
        <v>0</v>
      </c>
      <c r="X162" s="150">
        <f t="shared" si="63"/>
        <v>0</v>
      </c>
      <c r="Y162" s="151">
        <f t="shared" si="64"/>
        <v>0</v>
      </c>
      <c r="Z162" s="152">
        <f t="shared" si="56"/>
        <v>0</v>
      </c>
      <c r="AA162" s="179">
        <f t="shared" si="57"/>
        <v>0</v>
      </c>
      <c r="AB162" s="179">
        <f t="shared" si="58"/>
        <v>0</v>
      </c>
      <c r="AC162" s="180">
        <f t="shared" si="65"/>
        <v>0</v>
      </c>
      <c r="AD162" s="156">
        <f t="shared" si="59"/>
        <v>0</v>
      </c>
      <c r="AE162" s="146">
        <f>IFERROR(INDEX(Työkonekanta!$L$3:$L$30,MATCH($A162,Työkonekanta!$A$3:$A$30,0),1),0)*AF162</f>
        <v>0</v>
      </c>
      <c r="AF162" s="146">
        <f>IFERROR(INDEX(Työkonekanta!$N$3:$N$32,MATCH($A162,Työkonekanta!$A$3:$A$32,0),1),0)</f>
        <v>0</v>
      </c>
      <c r="AG162" s="332">
        <f>I162*INDEX(Muuttujat!$U$5:$U$21,MATCH($C162,Muuttujat!$N$5:$N$21,0),1)</f>
        <v>0</v>
      </c>
      <c r="AH162" s="332">
        <f>J162*INDEX(Muuttujat!$T$5:$T$21,MATCH($C162,Muuttujat!$N$5:$N$21,0),1)</f>
        <v>0</v>
      </c>
      <c r="AI162" s="332">
        <f t="shared" si="50"/>
        <v>0</v>
      </c>
      <c r="AJ162" s="332">
        <f t="shared" si="51"/>
        <v>0</v>
      </c>
      <c r="AK162" s="332">
        <f t="shared" si="60"/>
        <v>0</v>
      </c>
      <c r="AL162" s="332">
        <f t="shared" si="52"/>
        <v>0</v>
      </c>
    </row>
    <row r="163" spans="1:38">
      <c r="A163" s="139">
        <v>11</v>
      </c>
      <c r="B163" s="139">
        <f>IFERROR(INDEX(Työkonekanta!$F$3:$F$27,MATCH('S0b Baseline kasvu'!$A163,Työkonekanta!$A$3:$A$24,0),1),0)</f>
        <v>1</v>
      </c>
      <c r="C163" s="140">
        <v>2024</v>
      </c>
      <c r="D163" s="141" t="str">
        <f>IFERROR(INDEX(Työkonekanta!$D$3:$D$27,MATCH('S0b Baseline kasvu'!$A163,Työkonekanta!$A$3:$A$24,0),1),"undefined")</f>
        <v>pom</v>
      </c>
      <c r="E163" s="145">
        <f>IFERROR(INDEX(Työkonekanta!$G$3:$G$27,MATCH($A163,Työkonekanta!$A$3:$A$24,0),1)*INDEX(Työkonekanta!$H$3:$H$27,MATCH($A163,Työkonekanta!$A$3:$A$24,0),1)*(1+s0b_kasvu*($C163-2019))*$B163,0)</f>
        <v>10500</v>
      </c>
      <c r="F163" s="145">
        <f t="shared" si="44"/>
        <v>376950</v>
      </c>
      <c r="G163" s="145">
        <f t="shared" si="53"/>
        <v>354333</v>
      </c>
      <c r="H163" s="145">
        <f t="shared" si="54"/>
        <v>22617</v>
      </c>
      <c r="I163" s="145">
        <f t="shared" si="45"/>
        <v>9870</v>
      </c>
      <c r="J163" s="145">
        <f t="shared" si="46"/>
        <v>659.38775510204084</v>
      </c>
      <c r="K163" s="142" t="str">
        <f t="shared" si="55"/>
        <v>l</v>
      </c>
      <c r="L163" s="146">
        <f>IFERROR(INDEX(Työkonekanta!$I$3:$I$27,MATCH('S0b Baseline kasvu'!$A163,Työkonekanta!$A$3:$A$24,0),1)*(I163+J163)*f_adblue,0)</f>
        <v>526.46938775510205</v>
      </c>
      <c r="M163" s="146">
        <f t="shared" si="61"/>
        <v>0</v>
      </c>
      <c r="N163" s="143" t="str">
        <f>IF(tuulisähkö_vuosi&lt;='S0b Baseline kasvu'!C163,"tuulisähkö",ostosähkö_nyt)</f>
        <v>jäännössähkö</v>
      </c>
      <c r="O163" s="147">
        <f>INDEX(Muuttujat!$J$5:$J$21,MATCH($C163,Muuttujat!$H$5:$H$21,0),1)</f>
        <v>65.853419316547502</v>
      </c>
      <c r="P163" s="342">
        <f>1-(INDEX(Muuttujat!$O$5:$O$21,MATCH($C163,Muuttujat!$N$5:$N$21,0),1))</f>
        <v>0.94</v>
      </c>
      <c r="Q163" s="342">
        <f>INDEX(Muuttujat!$O$5:$O$21,MATCH($C163,Muuttujat!$N$5:$N$21,0),1)</f>
        <v>0.06</v>
      </c>
      <c r="R163" s="148">
        <f>INDEX(Muuttujat!$P$5:$P$21,MATCH($C163,Muuttujat!$N$5:$N$21,0),1)</f>
        <v>6.2623560726971367E-2</v>
      </c>
      <c r="S163" s="149">
        <f t="shared" si="47"/>
        <v>6.6968936999999995</v>
      </c>
      <c r="T163" s="150">
        <f t="shared" si="48"/>
        <v>1.4113008</v>
      </c>
      <c r="U163" s="150">
        <f t="shared" si="49"/>
        <v>0</v>
      </c>
      <c r="V163" s="150">
        <f>IFERROR(INDEX(Työkonekanta!$J$3:$J$27,MATCH($A163,Työkonekanta!$A$3:$A$24,0),1)*$B163*ef_li_ion_akku/1000/1000/INDEX(Työkonekanta!$K$3:$K$27,MATCH($A163,Työkonekanta!$A$3:$A$24,0)),0)</f>
        <v>0</v>
      </c>
      <c r="W163" s="149">
        <f t="shared" si="62"/>
        <v>26.152700163281999</v>
      </c>
      <c r="X163" s="150">
        <f t="shared" si="63"/>
        <v>0.33363294300000002</v>
      </c>
      <c r="Y163" s="151">
        <f t="shared" si="64"/>
        <v>0.13688204081632654</v>
      </c>
      <c r="Z163" s="152">
        <f t="shared" si="56"/>
        <v>8.1081944999999997</v>
      </c>
      <c r="AA163" s="179">
        <f t="shared" si="57"/>
        <v>26.289582204098327</v>
      </c>
      <c r="AB163" s="179">
        <f t="shared" si="58"/>
        <v>26.623215147098328</v>
      </c>
      <c r="AC163" s="180">
        <f t="shared" si="65"/>
        <v>34.397776704098327</v>
      </c>
      <c r="AD163" s="156">
        <f t="shared" si="59"/>
        <v>34.731409647098332</v>
      </c>
      <c r="AE163" s="146">
        <f>IFERROR(INDEX(Työkonekanta!$L$3:$L$30,MATCH($A163,Työkonekanta!$A$3:$A$30,0),1),0)*AF163</f>
        <v>500000</v>
      </c>
      <c r="AF163" s="146">
        <f>IFERROR(INDEX(Työkonekanta!$N$3:$N$32,MATCH($A163,Työkonekanta!$A$3:$A$32,0),1),0)</f>
        <v>1</v>
      </c>
      <c r="AG163" s="332">
        <f>I163*INDEX(Muuttujat!$U$5:$U$21,MATCH($C163,Muuttujat!$N$5:$N$21,0),1)</f>
        <v>10067.4</v>
      </c>
      <c r="AH163" s="332">
        <f>J163*INDEX(Muuttujat!$T$5:$T$21,MATCH($C163,Muuttujat!$N$5:$N$21,0),1)</f>
        <v>936.33061224489791</v>
      </c>
      <c r="AI163" s="332">
        <f t="shared" si="50"/>
        <v>263.23469387755102</v>
      </c>
      <c r="AJ163" s="332">
        <f t="shared" si="51"/>
        <v>0</v>
      </c>
      <c r="AK163" s="332">
        <f t="shared" si="60"/>
        <v>11266.965306122449</v>
      </c>
      <c r="AL163" s="332">
        <f t="shared" si="52"/>
        <v>11266.965306122449</v>
      </c>
    </row>
    <row r="164" spans="1:38">
      <c r="A164" s="139">
        <v>12</v>
      </c>
      <c r="B164" s="139">
        <f>IFERROR(INDEX(Työkonekanta!$F$3:$F$27,MATCH('S0b Baseline kasvu'!$A164,Työkonekanta!$A$3:$A$24,0),1),0)</f>
        <v>1</v>
      </c>
      <c r="C164" s="140">
        <v>2024</v>
      </c>
      <c r="D164" s="141" t="str">
        <f>IFERROR(INDEX(Työkonekanta!$D$3:$D$27,MATCH('S0b Baseline kasvu'!$A164,Työkonekanta!$A$3:$A$24,0),1),"undefined")</f>
        <v>pom</v>
      </c>
      <c r="E164" s="145">
        <f>IFERROR(INDEX(Työkonekanta!$G$3:$G$27,MATCH($A164,Työkonekanta!$A$3:$A$24,0),1)*INDEX(Työkonekanta!$H$3:$H$27,MATCH($A164,Työkonekanta!$A$3:$A$24,0),1)*(1+s0b_kasvu*($C164-2019))*$B164,0)</f>
        <v>10500</v>
      </c>
      <c r="F164" s="145">
        <f t="shared" si="44"/>
        <v>376950</v>
      </c>
      <c r="G164" s="145">
        <f t="shared" si="53"/>
        <v>354333</v>
      </c>
      <c r="H164" s="145">
        <f t="shared" si="54"/>
        <v>22617</v>
      </c>
      <c r="I164" s="145">
        <f t="shared" si="45"/>
        <v>9870</v>
      </c>
      <c r="J164" s="145">
        <f t="shared" si="46"/>
        <v>659.38775510204084</v>
      </c>
      <c r="K164" s="142" t="str">
        <f t="shared" si="55"/>
        <v>l</v>
      </c>
      <c r="L164" s="146">
        <f>IFERROR(INDEX(Työkonekanta!$I$3:$I$27,MATCH('S0b Baseline kasvu'!$A164,Työkonekanta!$A$3:$A$24,0),1)*(I164+J164)*f_adblue,0)</f>
        <v>526.46938775510205</v>
      </c>
      <c r="M164" s="146">
        <f t="shared" si="61"/>
        <v>0</v>
      </c>
      <c r="N164" s="143" t="str">
        <f>IF(tuulisähkö_vuosi&lt;='S0b Baseline kasvu'!C164,"tuulisähkö",ostosähkö_nyt)</f>
        <v>jäännössähkö</v>
      </c>
      <c r="O164" s="147">
        <f>INDEX(Muuttujat!$J$5:$J$21,MATCH($C164,Muuttujat!$H$5:$H$21,0),1)</f>
        <v>65.853419316547502</v>
      </c>
      <c r="P164" s="342">
        <f>1-(INDEX(Muuttujat!$O$5:$O$21,MATCH($C164,Muuttujat!$N$5:$N$21,0),1))</f>
        <v>0.94</v>
      </c>
      <c r="Q164" s="342">
        <f>INDEX(Muuttujat!$O$5:$O$21,MATCH($C164,Muuttujat!$N$5:$N$21,0),1)</f>
        <v>0.06</v>
      </c>
      <c r="R164" s="148">
        <f>INDEX(Muuttujat!$P$5:$P$21,MATCH($C164,Muuttujat!$N$5:$N$21,0),1)</f>
        <v>6.2623560726971367E-2</v>
      </c>
      <c r="S164" s="149">
        <f t="shared" si="47"/>
        <v>6.6968936999999995</v>
      </c>
      <c r="T164" s="150">
        <f t="shared" si="48"/>
        <v>1.4113008</v>
      </c>
      <c r="U164" s="150">
        <f t="shared" si="49"/>
        <v>0</v>
      </c>
      <c r="V164" s="150">
        <f>IFERROR(INDEX(Työkonekanta!$J$3:$J$27,MATCH($A164,Työkonekanta!$A$3:$A$24,0),1)*$B164*ef_li_ion_akku/1000/1000/INDEX(Työkonekanta!$K$3:$K$27,MATCH($A164,Työkonekanta!$A$3:$A$24,0)),0)</f>
        <v>0</v>
      </c>
      <c r="W164" s="149">
        <f t="shared" si="62"/>
        <v>26.152700163281999</v>
      </c>
      <c r="X164" s="150">
        <f t="shared" si="63"/>
        <v>0.33363294300000002</v>
      </c>
      <c r="Y164" s="151">
        <f t="shared" si="64"/>
        <v>0.13688204081632654</v>
      </c>
      <c r="Z164" s="152">
        <f t="shared" si="56"/>
        <v>8.1081944999999997</v>
      </c>
      <c r="AA164" s="179">
        <f t="shared" si="57"/>
        <v>26.289582204098327</v>
      </c>
      <c r="AB164" s="179">
        <f t="shared" si="58"/>
        <v>26.623215147098328</v>
      </c>
      <c r="AC164" s="180">
        <f t="shared" si="65"/>
        <v>34.397776704098327</v>
      </c>
      <c r="AD164" s="156">
        <f t="shared" si="59"/>
        <v>34.731409647098332</v>
      </c>
      <c r="AE164" s="146">
        <f>IFERROR(INDEX(Työkonekanta!$L$3:$L$30,MATCH($A164,Työkonekanta!$A$3:$A$30,0),1),0)*AF164</f>
        <v>500000</v>
      </c>
      <c r="AF164" s="146">
        <f>IFERROR(INDEX(Työkonekanta!$N$3:$N$32,MATCH($A164,Työkonekanta!$A$3:$A$32,0),1),0)</f>
        <v>1</v>
      </c>
      <c r="AG164" s="332">
        <f>I164*INDEX(Muuttujat!$U$5:$U$21,MATCH($C164,Muuttujat!$N$5:$N$21,0),1)</f>
        <v>10067.4</v>
      </c>
      <c r="AH164" s="332">
        <f>J164*INDEX(Muuttujat!$T$5:$T$21,MATCH($C164,Muuttujat!$N$5:$N$21,0),1)</f>
        <v>936.33061224489791</v>
      </c>
      <c r="AI164" s="332">
        <f t="shared" si="50"/>
        <v>263.23469387755102</v>
      </c>
      <c r="AJ164" s="332">
        <f t="shared" si="51"/>
        <v>0</v>
      </c>
      <c r="AK164" s="332">
        <f t="shared" si="60"/>
        <v>11266.965306122449</v>
      </c>
      <c r="AL164" s="332">
        <f t="shared" si="52"/>
        <v>11266.965306122449</v>
      </c>
    </row>
    <row r="165" spans="1:38">
      <c r="A165" s="139">
        <v>13</v>
      </c>
      <c r="B165" s="139">
        <f>IFERROR(INDEX(Työkonekanta!$F$3:$F$27,MATCH('S0b Baseline kasvu'!$A165,Työkonekanta!$A$3:$A$24,0),1),0)</f>
        <v>0</v>
      </c>
      <c r="C165" s="140">
        <v>2024</v>
      </c>
      <c r="D165" s="141" t="str">
        <f>IFERROR(INDEX(Työkonekanta!$D$3:$D$27,MATCH('S0b Baseline kasvu'!$A165,Työkonekanta!$A$3:$A$24,0),1),"undefined")</f>
        <v>pom</v>
      </c>
      <c r="E165" s="145">
        <f>IFERROR(INDEX(Työkonekanta!$G$3:$G$27,MATCH($A165,Työkonekanta!$A$3:$A$24,0),1)*INDEX(Työkonekanta!$H$3:$H$27,MATCH($A165,Työkonekanta!$A$3:$A$24,0),1)*(1+s0b_kasvu*($C165-2019))*$B165,0)</f>
        <v>0</v>
      </c>
      <c r="F165" s="145">
        <f t="shared" si="44"/>
        <v>0</v>
      </c>
      <c r="G165" s="145">
        <f t="shared" si="53"/>
        <v>0</v>
      </c>
      <c r="H165" s="145">
        <f t="shared" si="54"/>
        <v>0</v>
      </c>
      <c r="I165" s="145">
        <f t="shared" si="45"/>
        <v>0</v>
      </c>
      <c r="J165" s="145">
        <f t="shared" si="46"/>
        <v>0</v>
      </c>
      <c r="K165" s="142" t="str">
        <f t="shared" si="55"/>
        <v>l</v>
      </c>
      <c r="L165" s="146">
        <f>IFERROR(INDEX(Työkonekanta!$I$3:$I$27,MATCH('S0b Baseline kasvu'!$A165,Työkonekanta!$A$3:$A$24,0),1)*(I165+J165)*f_adblue,0)</f>
        <v>0</v>
      </c>
      <c r="M165" s="146">
        <f t="shared" si="61"/>
        <v>0</v>
      </c>
      <c r="N165" s="143" t="str">
        <f>IF(tuulisähkö_vuosi&lt;='S0b Baseline kasvu'!C165,"tuulisähkö",ostosähkö_nyt)</f>
        <v>jäännössähkö</v>
      </c>
      <c r="O165" s="147">
        <f>INDEX(Muuttujat!$J$5:$J$21,MATCH($C165,Muuttujat!$H$5:$H$21,0),1)</f>
        <v>65.853419316547502</v>
      </c>
      <c r="P165" s="342">
        <f>1-(INDEX(Muuttujat!$O$5:$O$21,MATCH($C165,Muuttujat!$N$5:$N$21,0),1))</f>
        <v>0.94</v>
      </c>
      <c r="Q165" s="342">
        <f>INDEX(Muuttujat!$O$5:$O$21,MATCH($C165,Muuttujat!$N$5:$N$21,0),1)</f>
        <v>0.06</v>
      </c>
      <c r="R165" s="148">
        <f>INDEX(Muuttujat!$P$5:$P$21,MATCH($C165,Muuttujat!$N$5:$N$21,0),1)</f>
        <v>6.2623560726971367E-2</v>
      </c>
      <c r="S165" s="149">
        <f t="shared" si="47"/>
        <v>0</v>
      </c>
      <c r="T165" s="150">
        <f t="shared" si="48"/>
        <v>0</v>
      </c>
      <c r="U165" s="150">
        <f t="shared" si="49"/>
        <v>0</v>
      </c>
      <c r="V165" s="150">
        <f>IFERROR(INDEX(Työkonekanta!$J$3:$J$27,MATCH($A165,Työkonekanta!$A$3:$A$24,0),1)*$B165*ef_li_ion_akku/1000/1000/INDEX(Työkonekanta!$K$3:$K$27,MATCH($A165,Työkonekanta!$A$3:$A$24,0)),0)</f>
        <v>0</v>
      </c>
      <c r="W165" s="149">
        <f t="shared" si="62"/>
        <v>0</v>
      </c>
      <c r="X165" s="150">
        <f t="shared" si="63"/>
        <v>0</v>
      </c>
      <c r="Y165" s="151">
        <f t="shared" si="64"/>
        <v>0</v>
      </c>
      <c r="Z165" s="152">
        <f t="shared" si="56"/>
        <v>0</v>
      </c>
      <c r="AA165" s="179">
        <f t="shared" si="57"/>
        <v>0</v>
      </c>
      <c r="AB165" s="179">
        <f t="shared" si="58"/>
        <v>0</v>
      </c>
      <c r="AC165" s="180">
        <f t="shared" si="65"/>
        <v>0</v>
      </c>
      <c r="AD165" s="156">
        <f t="shared" si="59"/>
        <v>0</v>
      </c>
      <c r="AE165" s="146">
        <f>IFERROR(INDEX(Työkonekanta!$L$3:$L$30,MATCH($A165,Työkonekanta!$A$3:$A$30,0),1),0)*AF165</f>
        <v>0</v>
      </c>
      <c r="AF165" s="146">
        <f>IFERROR(INDEX(Työkonekanta!$N$3:$N$32,MATCH($A165,Työkonekanta!$A$3:$A$32,0),1),0)</f>
        <v>0</v>
      </c>
      <c r="AG165" s="332">
        <f>I165*INDEX(Muuttujat!$U$5:$U$21,MATCH($C165,Muuttujat!$N$5:$N$21,0),1)</f>
        <v>0</v>
      </c>
      <c r="AH165" s="332">
        <f>J165*INDEX(Muuttujat!$T$5:$T$21,MATCH($C165,Muuttujat!$N$5:$N$21,0),1)</f>
        <v>0</v>
      </c>
      <c r="AI165" s="332">
        <f t="shared" si="50"/>
        <v>0</v>
      </c>
      <c r="AJ165" s="332">
        <f t="shared" si="51"/>
        <v>0</v>
      </c>
      <c r="AK165" s="332">
        <f t="shared" si="60"/>
        <v>0</v>
      </c>
      <c r="AL165" s="332">
        <f t="shared" si="52"/>
        <v>0</v>
      </c>
    </row>
    <row r="166" spans="1:38">
      <c r="A166" s="139">
        <v>14</v>
      </c>
      <c r="B166" s="139">
        <f>IFERROR(INDEX(Työkonekanta!$F$3:$F$27,MATCH('S0b Baseline kasvu'!$A166,Työkonekanta!$A$3:$A$24,0),1),0)</f>
        <v>0</v>
      </c>
      <c r="C166" s="140">
        <v>2024</v>
      </c>
      <c r="D166" s="141" t="str">
        <f>IFERROR(INDEX(Työkonekanta!$D$3:$D$27,MATCH('S0b Baseline kasvu'!$A166,Työkonekanta!$A$3:$A$24,0),1),"undefined")</f>
        <v>pom</v>
      </c>
      <c r="E166" s="145">
        <f>IFERROR(INDEX(Työkonekanta!$G$3:$G$27,MATCH($A166,Työkonekanta!$A$3:$A$24,0),1)*INDEX(Työkonekanta!$H$3:$H$27,MATCH($A166,Työkonekanta!$A$3:$A$24,0),1)*(1+s0b_kasvu*($C166-2019))*$B166,0)</f>
        <v>0</v>
      </c>
      <c r="F166" s="145">
        <f t="shared" si="44"/>
        <v>0</v>
      </c>
      <c r="G166" s="145">
        <f t="shared" si="53"/>
        <v>0</v>
      </c>
      <c r="H166" s="145">
        <f t="shared" si="54"/>
        <v>0</v>
      </c>
      <c r="I166" s="145">
        <f t="shared" si="45"/>
        <v>0</v>
      </c>
      <c r="J166" s="145">
        <f t="shared" si="46"/>
        <v>0</v>
      </c>
      <c r="K166" s="142" t="str">
        <f t="shared" si="55"/>
        <v>l</v>
      </c>
      <c r="L166" s="146">
        <f>IFERROR(INDEX(Työkonekanta!$I$3:$I$27,MATCH('S0b Baseline kasvu'!$A166,Työkonekanta!$A$3:$A$24,0),1)*(I166+J166)*f_adblue,0)</f>
        <v>0</v>
      </c>
      <c r="M166" s="146">
        <f t="shared" si="61"/>
        <v>0</v>
      </c>
      <c r="N166" s="143" t="str">
        <f>IF(tuulisähkö_vuosi&lt;='S0b Baseline kasvu'!C166,"tuulisähkö",ostosähkö_nyt)</f>
        <v>jäännössähkö</v>
      </c>
      <c r="O166" s="147">
        <f>INDEX(Muuttujat!$J$5:$J$21,MATCH($C166,Muuttujat!$H$5:$H$21,0),1)</f>
        <v>65.853419316547502</v>
      </c>
      <c r="P166" s="342">
        <f>1-(INDEX(Muuttujat!$O$5:$O$21,MATCH($C166,Muuttujat!$N$5:$N$21,0),1))</f>
        <v>0.94</v>
      </c>
      <c r="Q166" s="342">
        <f>INDEX(Muuttujat!$O$5:$O$21,MATCH($C166,Muuttujat!$N$5:$N$21,0),1)</f>
        <v>0.06</v>
      </c>
      <c r="R166" s="148">
        <f>INDEX(Muuttujat!$P$5:$P$21,MATCH($C166,Muuttujat!$N$5:$N$21,0),1)</f>
        <v>6.2623560726971367E-2</v>
      </c>
      <c r="S166" s="149">
        <f t="shared" si="47"/>
        <v>0</v>
      </c>
      <c r="T166" s="150">
        <f t="shared" si="48"/>
        <v>0</v>
      </c>
      <c r="U166" s="150">
        <f t="shared" si="49"/>
        <v>0</v>
      </c>
      <c r="V166" s="150">
        <f>IFERROR(INDEX(Työkonekanta!$J$3:$J$27,MATCH($A166,Työkonekanta!$A$3:$A$24,0),1)*$B166*ef_li_ion_akku/1000/1000/INDEX(Työkonekanta!$K$3:$K$27,MATCH($A166,Työkonekanta!$A$3:$A$24,0)),0)</f>
        <v>0</v>
      </c>
      <c r="W166" s="149">
        <f t="shared" si="62"/>
        <v>0</v>
      </c>
      <c r="X166" s="150">
        <f t="shared" si="63"/>
        <v>0</v>
      </c>
      <c r="Y166" s="151">
        <f t="shared" si="64"/>
        <v>0</v>
      </c>
      <c r="Z166" s="152">
        <f t="shared" si="56"/>
        <v>0</v>
      </c>
      <c r="AA166" s="179">
        <f t="shared" si="57"/>
        <v>0</v>
      </c>
      <c r="AB166" s="179">
        <f t="shared" si="58"/>
        <v>0</v>
      </c>
      <c r="AC166" s="180">
        <f t="shared" si="65"/>
        <v>0</v>
      </c>
      <c r="AD166" s="156">
        <f t="shared" si="59"/>
        <v>0</v>
      </c>
      <c r="AE166" s="146">
        <f>IFERROR(INDEX(Työkonekanta!$L$3:$L$30,MATCH($A166,Työkonekanta!$A$3:$A$30,0),1),0)*AF166</f>
        <v>0</v>
      </c>
      <c r="AF166" s="146">
        <f>IFERROR(INDEX(Työkonekanta!$N$3:$N$32,MATCH($A166,Työkonekanta!$A$3:$A$32,0),1),0)</f>
        <v>0</v>
      </c>
      <c r="AG166" s="332">
        <f>I166*INDEX(Muuttujat!$U$5:$U$21,MATCH($C166,Muuttujat!$N$5:$N$21,0),1)</f>
        <v>0</v>
      </c>
      <c r="AH166" s="332">
        <f>J166*INDEX(Muuttujat!$T$5:$T$21,MATCH($C166,Muuttujat!$N$5:$N$21,0),1)</f>
        <v>0</v>
      </c>
      <c r="AI166" s="332">
        <f t="shared" si="50"/>
        <v>0</v>
      </c>
      <c r="AJ166" s="332">
        <f t="shared" si="51"/>
        <v>0</v>
      </c>
      <c r="AK166" s="332">
        <f t="shared" si="60"/>
        <v>0</v>
      </c>
      <c r="AL166" s="332">
        <f t="shared" si="52"/>
        <v>0</v>
      </c>
    </row>
    <row r="167" spans="1:38">
      <c r="A167" s="139">
        <v>15</v>
      </c>
      <c r="B167" s="139">
        <f>IFERROR(INDEX(Työkonekanta!$F$3:$F$27,MATCH('S0b Baseline kasvu'!$A167,Työkonekanta!$A$3:$A$24,0),1),0)</f>
        <v>0</v>
      </c>
      <c r="C167" s="140">
        <v>2024</v>
      </c>
      <c r="D167" s="141" t="str">
        <f>IFERROR(INDEX(Työkonekanta!$D$3:$D$27,MATCH('S0b Baseline kasvu'!$A167,Työkonekanta!$A$3:$A$24,0),1),"undefined")</f>
        <v>sähkö</v>
      </c>
      <c r="E167" s="145">
        <f>IFERROR(INDEX(Työkonekanta!$G$3:$G$27,MATCH($A167,Työkonekanta!$A$3:$A$24,0),1)*INDEX(Työkonekanta!$H$3:$H$27,MATCH($A167,Työkonekanta!$A$3:$A$24,0),1)*(1+s0b_kasvu*($C167-2019))*$B167,0)</f>
        <v>0</v>
      </c>
      <c r="F167" s="145">
        <f t="shared" si="44"/>
        <v>0</v>
      </c>
      <c r="G167" s="145">
        <f t="shared" si="53"/>
        <v>0</v>
      </c>
      <c r="H167" s="145">
        <f t="shared" si="54"/>
        <v>0</v>
      </c>
      <c r="I167" s="145">
        <f t="shared" si="45"/>
        <v>0</v>
      </c>
      <c r="J167" s="145">
        <f t="shared" si="46"/>
        <v>0</v>
      </c>
      <c r="K167" s="142" t="str">
        <f t="shared" si="55"/>
        <v>kWh</v>
      </c>
      <c r="L167" s="146">
        <f>IFERROR(INDEX(Työkonekanta!$I$3:$I$27,MATCH('S0b Baseline kasvu'!$A167,Työkonekanta!$A$3:$A$24,0),1)*(I167+J167)*f_adblue,0)</f>
        <v>0</v>
      </c>
      <c r="M167" s="146">
        <f t="shared" si="61"/>
        <v>0</v>
      </c>
      <c r="N167" s="143" t="str">
        <f>IF(tuulisähkö_vuosi&lt;='S0b Baseline kasvu'!C167,"tuulisähkö",ostosähkö_nyt)</f>
        <v>jäännössähkö</v>
      </c>
      <c r="O167" s="147">
        <f>INDEX(Muuttujat!$J$5:$J$21,MATCH($C167,Muuttujat!$H$5:$H$21,0),1)</f>
        <v>65.853419316547502</v>
      </c>
      <c r="P167" s="342">
        <f>1-(INDEX(Muuttujat!$O$5:$O$21,MATCH($C167,Muuttujat!$N$5:$N$21,0),1))</f>
        <v>0.94</v>
      </c>
      <c r="Q167" s="342">
        <f>INDEX(Muuttujat!$O$5:$O$21,MATCH($C167,Muuttujat!$N$5:$N$21,0),1)</f>
        <v>0.06</v>
      </c>
      <c r="R167" s="148">
        <f>INDEX(Muuttujat!$P$5:$P$21,MATCH($C167,Muuttujat!$N$5:$N$21,0),1)</f>
        <v>6.2623560726971367E-2</v>
      </c>
      <c r="S167" s="149">
        <f t="shared" si="47"/>
        <v>0</v>
      </c>
      <c r="T167" s="150">
        <f t="shared" si="48"/>
        <v>0</v>
      </c>
      <c r="U167" s="150">
        <f t="shared" si="49"/>
        <v>0</v>
      </c>
      <c r="V167" s="150">
        <f>IFERROR(INDEX(Työkonekanta!$J$3:$J$27,MATCH($A167,Työkonekanta!$A$3:$A$24,0),1)*$B167*ef_li_ion_akku/1000/1000/INDEX(Työkonekanta!$K$3:$K$27,MATCH($A167,Työkonekanta!$A$3:$A$24,0)),0)</f>
        <v>0</v>
      </c>
      <c r="W167" s="149">
        <f t="shared" si="62"/>
        <v>0</v>
      </c>
      <c r="X167" s="150">
        <f t="shared" si="63"/>
        <v>0</v>
      </c>
      <c r="Y167" s="151">
        <f t="shared" si="64"/>
        <v>0</v>
      </c>
      <c r="Z167" s="152">
        <f t="shared" si="56"/>
        <v>0</v>
      </c>
      <c r="AA167" s="179">
        <f t="shared" si="57"/>
        <v>0</v>
      </c>
      <c r="AB167" s="179">
        <f t="shared" si="58"/>
        <v>0</v>
      </c>
      <c r="AC167" s="180">
        <f t="shared" si="65"/>
        <v>0</v>
      </c>
      <c r="AD167" s="156">
        <f t="shared" si="59"/>
        <v>0</v>
      </c>
      <c r="AE167" s="146">
        <f>IFERROR(INDEX(Työkonekanta!$L$3:$L$30,MATCH($A167,Työkonekanta!$A$3:$A$30,0),1),0)*AF167</f>
        <v>0</v>
      </c>
      <c r="AF167" s="146">
        <f>IFERROR(INDEX(Työkonekanta!$N$3:$N$32,MATCH($A167,Työkonekanta!$A$3:$A$32,0),1),0)</f>
        <v>0</v>
      </c>
      <c r="AG167" s="332">
        <f>I167*INDEX(Muuttujat!$U$5:$U$21,MATCH($C167,Muuttujat!$N$5:$N$21,0),1)</f>
        <v>0</v>
      </c>
      <c r="AH167" s="332">
        <f>J167*INDEX(Muuttujat!$T$5:$T$21,MATCH($C167,Muuttujat!$N$5:$N$21,0),1)</f>
        <v>0</v>
      </c>
      <c r="AI167" s="332">
        <f t="shared" si="50"/>
        <v>0</v>
      </c>
      <c r="AJ167" s="332">
        <f t="shared" si="51"/>
        <v>0</v>
      </c>
      <c r="AK167" s="332">
        <f t="shared" si="60"/>
        <v>0</v>
      </c>
      <c r="AL167" s="332">
        <f t="shared" si="52"/>
        <v>0</v>
      </c>
    </row>
    <row r="168" spans="1:38">
      <c r="A168" s="139">
        <v>16</v>
      </c>
      <c r="B168" s="139">
        <f>IFERROR(INDEX(Työkonekanta!$F$3:$F$27,MATCH('S0b Baseline kasvu'!$A168,Työkonekanta!$A$3:$A$24,0),1),0)</f>
        <v>0</v>
      </c>
      <c r="C168" s="140">
        <v>2024</v>
      </c>
      <c r="D168" s="141" t="str">
        <f>IFERROR(INDEX(Työkonekanta!$D$3:$D$27,MATCH('S0b Baseline kasvu'!$A168,Työkonekanta!$A$3:$A$24,0),1),"undefined")</f>
        <v>sähkö</v>
      </c>
      <c r="E168" s="145">
        <f>IFERROR(INDEX(Työkonekanta!$G$3:$G$27,MATCH($A168,Työkonekanta!$A$3:$A$24,0),1)*INDEX(Työkonekanta!$H$3:$H$27,MATCH($A168,Työkonekanta!$A$3:$A$24,0),1)*(1+s0b_kasvu*($C168-2019))*$B168,0)</f>
        <v>0</v>
      </c>
      <c r="F168" s="145">
        <f t="shared" si="44"/>
        <v>0</v>
      </c>
      <c r="G168" s="145">
        <f t="shared" si="53"/>
        <v>0</v>
      </c>
      <c r="H168" s="145">
        <f t="shared" si="54"/>
        <v>0</v>
      </c>
      <c r="I168" s="145">
        <f t="shared" si="45"/>
        <v>0</v>
      </c>
      <c r="J168" s="145">
        <f t="shared" si="46"/>
        <v>0</v>
      </c>
      <c r="K168" s="142" t="str">
        <f t="shared" si="55"/>
        <v>kWh</v>
      </c>
      <c r="L168" s="146">
        <f>IFERROR(INDEX(Työkonekanta!$I$3:$I$27,MATCH('S0b Baseline kasvu'!$A168,Työkonekanta!$A$3:$A$24,0),1)*(I168+J168)*f_adblue,0)</f>
        <v>0</v>
      </c>
      <c r="M168" s="146">
        <f t="shared" si="61"/>
        <v>0</v>
      </c>
      <c r="N168" s="143" t="str">
        <f>IF(tuulisähkö_vuosi&lt;='S0b Baseline kasvu'!C168,"tuulisähkö",ostosähkö_nyt)</f>
        <v>jäännössähkö</v>
      </c>
      <c r="O168" s="147">
        <f>INDEX(Muuttujat!$J$5:$J$21,MATCH($C168,Muuttujat!$H$5:$H$21,0),1)</f>
        <v>65.853419316547502</v>
      </c>
      <c r="P168" s="342">
        <f>1-(INDEX(Muuttujat!$O$5:$O$21,MATCH($C168,Muuttujat!$N$5:$N$21,0),1))</f>
        <v>0.94</v>
      </c>
      <c r="Q168" s="342">
        <f>INDEX(Muuttujat!$O$5:$O$21,MATCH($C168,Muuttujat!$N$5:$N$21,0),1)</f>
        <v>0.06</v>
      </c>
      <c r="R168" s="148">
        <f>INDEX(Muuttujat!$P$5:$P$21,MATCH($C168,Muuttujat!$N$5:$N$21,0),1)</f>
        <v>6.2623560726971367E-2</v>
      </c>
      <c r="S168" s="149">
        <f t="shared" si="47"/>
        <v>0</v>
      </c>
      <c r="T168" s="150">
        <f t="shared" si="48"/>
        <v>0</v>
      </c>
      <c r="U168" s="150">
        <f t="shared" si="49"/>
        <v>0</v>
      </c>
      <c r="V168" s="150">
        <f>IFERROR(INDEX(Työkonekanta!$J$3:$J$27,MATCH($A168,Työkonekanta!$A$3:$A$24,0),1)*$B168*ef_li_ion_akku/1000/1000/INDEX(Työkonekanta!$K$3:$K$27,MATCH($A168,Työkonekanta!$A$3:$A$24,0)),0)</f>
        <v>0</v>
      </c>
      <c r="W168" s="149">
        <f t="shared" si="62"/>
        <v>0</v>
      </c>
      <c r="X168" s="150">
        <f t="shared" si="63"/>
        <v>0</v>
      </c>
      <c r="Y168" s="151">
        <f t="shared" si="64"/>
        <v>0</v>
      </c>
      <c r="Z168" s="152">
        <f t="shared" si="56"/>
        <v>0</v>
      </c>
      <c r="AA168" s="179">
        <f t="shared" si="57"/>
        <v>0</v>
      </c>
      <c r="AB168" s="179">
        <f t="shared" si="58"/>
        <v>0</v>
      </c>
      <c r="AC168" s="180">
        <f t="shared" si="65"/>
        <v>0</v>
      </c>
      <c r="AD168" s="156">
        <f t="shared" si="59"/>
        <v>0</v>
      </c>
      <c r="AE168" s="146">
        <f>IFERROR(INDEX(Työkonekanta!$L$3:$L$30,MATCH($A168,Työkonekanta!$A$3:$A$30,0),1),0)*AF168</f>
        <v>0</v>
      </c>
      <c r="AF168" s="146">
        <f>IFERROR(INDEX(Työkonekanta!$N$3:$N$32,MATCH($A168,Työkonekanta!$A$3:$A$32,0),1),0)</f>
        <v>0</v>
      </c>
      <c r="AG168" s="332">
        <f>I168*INDEX(Muuttujat!$U$5:$U$21,MATCH($C168,Muuttujat!$N$5:$N$21,0),1)</f>
        <v>0</v>
      </c>
      <c r="AH168" s="332">
        <f>J168*INDEX(Muuttujat!$T$5:$T$21,MATCH($C168,Muuttujat!$N$5:$N$21,0),1)</f>
        <v>0</v>
      </c>
      <c r="AI168" s="332">
        <f t="shared" si="50"/>
        <v>0</v>
      </c>
      <c r="AJ168" s="332">
        <f t="shared" si="51"/>
        <v>0</v>
      </c>
      <c r="AK168" s="332">
        <f t="shared" si="60"/>
        <v>0</v>
      </c>
      <c r="AL168" s="332">
        <f t="shared" si="52"/>
        <v>0</v>
      </c>
    </row>
    <row r="169" spans="1:38">
      <c r="A169" s="139">
        <v>17</v>
      </c>
      <c r="B169" s="139">
        <f>IFERROR(INDEX(Työkonekanta!$F$3:$F$27,MATCH('S0b Baseline kasvu'!$A169,Työkonekanta!$A$3:$A$24,0),1),0)</f>
        <v>1</v>
      </c>
      <c r="C169" s="140">
        <v>2024</v>
      </c>
      <c r="D169" s="141" t="str">
        <f>IFERROR(INDEX(Työkonekanta!$D$3:$D$27,MATCH('S0b Baseline kasvu'!$A169,Työkonekanta!$A$3:$A$24,0),1),"undefined")</f>
        <v>pom</v>
      </c>
      <c r="E169" s="145">
        <f>IFERROR(INDEX(Työkonekanta!$G$3:$G$27,MATCH($A169,Työkonekanta!$A$3:$A$24,0),1)*INDEX(Työkonekanta!$H$3:$H$27,MATCH($A169,Työkonekanta!$A$3:$A$24,0),1)*(1+s0b_kasvu*($C169-2019))*$B169,0)</f>
        <v>10500</v>
      </c>
      <c r="F169" s="145">
        <f t="shared" si="44"/>
        <v>376950</v>
      </c>
      <c r="G169" s="145">
        <f t="shared" si="53"/>
        <v>354333</v>
      </c>
      <c r="H169" s="145">
        <f t="shared" si="54"/>
        <v>22617</v>
      </c>
      <c r="I169" s="145">
        <f t="shared" si="45"/>
        <v>9870</v>
      </c>
      <c r="J169" s="145">
        <f t="shared" si="46"/>
        <v>659.38775510204084</v>
      </c>
      <c r="K169" s="142" t="str">
        <f t="shared" si="55"/>
        <v>l</v>
      </c>
      <c r="L169" s="146">
        <f>IFERROR(INDEX(Työkonekanta!$I$3:$I$27,MATCH('S0b Baseline kasvu'!$A169,Työkonekanta!$A$3:$A$24,0),1)*(I169+J169)*f_adblue,0)</f>
        <v>526.46938775510205</v>
      </c>
      <c r="M169" s="146">
        <f t="shared" si="61"/>
        <v>0</v>
      </c>
      <c r="N169" s="143" t="str">
        <f>IF(tuulisähkö_vuosi&lt;='S0b Baseline kasvu'!C169,"tuulisähkö",ostosähkö_nyt)</f>
        <v>jäännössähkö</v>
      </c>
      <c r="O169" s="147">
        <f>INDEX(Muuttujat!$J$5:$J$21,MATCH($C169,Muuttujat!$H$5:$H$21,0),1)</f>
        <v>65.853419316547502</v>
      </c>
      <c r="P169" s="342">
        <f>1-(INDEX(Muuttujat!$O$5:$O$21,MATCH($C169,Muuttujat!$N$5:$N$21,0),1))</f>
        <v>0.94</v>
      </c>
      <c r="Q169" s="342">
        <f>INDEX(Muuttujat!$O$5:$O$21,MATCH($C169,Muuttujat!$N$5:$N$21,0),1)</f>
        <v>0.06</v>
      </c>
      <c r="R169" s="148">
        <f>INDEX(Muuttujat!$P$5:$P$21,MATCH($C169,Muuttujat!$N$5:$N$21,0),1)</f>
        <v>6.2623560726971367E-2</v>
      </c>
      <c r="S169" s="149">
        <f t="shared" si="47"/>
        <v>6.6968936999999995</v>
      </c>
      <c r="T169" s="150">
        <f t="shared" si="48"/>
        <v>1.4113008</v>
      </c>
      <c r="U169" s="150">
        <f t="shared" si="49"/>
        <v>0</v>
      </c>
      <c r="V169" s="150">
        <f>IFERROR(INDEX(Työkonekanta!$J$3:$J$27,MATCH($A169,Työkonekanta!$A$3:$A$24,0),1)*$B169*ef_li_ion_akku/1000/1000/INDEX(Työkonekanta!$K$3:$K$27,MATCH($A169,Työkonekanta!$A$3:$A$24,0)),0)</f>
        <v>0</v>
      </c>
      <c r="W169" s="149">
        <f t="shared" si="62"/>
        <v>26.152700163281999</v>
      </c>
      <c r="X169" s="150">
        <f t="shared" si="63"/>
        <v>0.33363294300000002</v>
      </c>
      <c r="Y169" s="151">
        <f t="shared" si="64"/>
        <v>0.13688204081632654</v>
      </c>
      <c r="Z169" s="152">
        <f t="shared" si="56"/>
        <v>8.1081944999999997</v>
      </c>
      <c r="AA169" s="179">
        <f t="shared" si="57"/>
        <v>26.289582204098327</v>
      </c>
      <c r="AB169" s="179">
        <f t="shared" si="58"/>
        <v>26.623215147098328</v>
      </c>
      <c r="AC169" s="180">
        <f t="shared" si="65"/>
        <v>34.397776704098327</v>
      </c>
      <c r="AD169" s="156">
        <f t="shared" si="59"/>
        <v>34.731409647098332</v>
      </c>
      <c r="AE169" s="146">
        <f>IFERROR(INDEX(Työkonekanta!$L$3:$L$30,MATCH($A169,Työkonekanta!$A$3:$A$30,0),1),0)*AF169</f>
        <v>500000</v>
      </c>
      <c r="AF169" s="146">
        <f>IFERROR(INDEX(Työkonekanta!$N$3:$N$32,MATCH($A169,Työkonekanta!$A$3:$A$32,0),1),0)</f>
        <v>1</v>
      </c>
      <c r="AG169" s="332">
        <f>I169*INDEX(Muuttujat!$U$5:$U$21,MATCH($C169,Muuttujat!$N$5:$N$21,0),1)</f>
        <v>10067.4</v>
      </c>
      <c r="AH169" s="332">
        <f>J169*INDEX(Muuttujat!$T$5:$T$21,MATCH($C169,Muuttujat!$N$5:$N$21,0),1)</f>
        <v>936.33061224489791</v>
      </c>
      <c r="AI169" s="332">
        <f t="shared" si="50"/>
        <v>263.23469387755102</v>
      </c>
      <c r="AJ169" s="332">
        <f t="shared" si="51"/>
        <v>0</v>
      </c>
      <c r="AK169" s="332">
        <f t="shared" si="60"/>
        <v>11266.965306122449</v>
      </c>
      <c r="AL169" s="332">
        <f t="shared" si="52"/>
        <v>11266.965306122449</v>
      </c>
    </row>
    <row r="170" spans="1:38">
      <c r="A170" s="139">
        <v>18</v>
      </c>
      <c r="B170" s="139">
        <f>IFERROR(INDEX(Työkonekanta!$F$3:$F$27,MATCH('S0b Baseline kasvu'!$A170,Työkonekanta!$A$3:$A$24,0),1),0)</f>
        <v>1</v>
      </c>
      <c r="C170" s="140">
        <v>2024</v>
      </c>
      <c r="D170" s="141" t="str">
        <f>IFERROR(INDEX(Työkonekanta!$D$3:$D$27,MATCH('S0b Baseline kasvu'!$A170,Työkonekanta!$A$3:$A$24,0),1),"undefined")</f>
        <v>pom</v>
      </c>
      <c r="E170" s="145">
        <f>IFERROR(INDEX(Työkonekanta!$G$3:$G$27,MATCH($A170,Työkonekanta!$A$3:$A$24,0),1)*INDEX(Työkonekanta!$H$3:$H$27,MATCH($A170,Työkonekanta!$A$3:$A$24,0),1)*(1+s0b_kasvu*($C170-2019))*$B170,0)</f>
        <v>10500</v>
      </c>
      <c r="F170" s="145">
        <f t="shared" si="44"/>
        <v>376950</v>
      </c>
      <c r="G170" s="145">
        <f t="shared" si="53"/>
        <v>354333</v>
      </c>
      <c r="H170" s="145">
        <f t="shared" si="54"/>
        <v>22617</v>
      </c>
      <c r="I170" s="145">
        <f t="shared" si="45"/>
        <v>9870</v>
      </c>
      <c r="J170" s="145">
        <f t="shared" si="46"/>
        <v>659.38775510204084</v>
      </c>
      <c r="K170" s="142" t="str">
        <f t="shared" si="55"/>
        <v>l</v>
      </c>
      <c r="L170" s="146">
        <f>IFERROR(INDEX(Työkonekanta!$I$3:$I$27,MATCH('S0b Baseline kasvu'!$A170,Työkonekanta!$A$3:$A$24,0),1)*(I170+J170)*f_adblue,0)</f>
        <v>421.17551020408166</v>
      </c>
      <c r="M170" s="146">
        <f t="shared" si="61"/>
        <v>0</v>
      </c>
      <c r="N170" s="143" t="str">
        <f>IF(tuulisähkö_vuosi&lt;='S0b Baseline kasvu'!C170,"tuulisähkö",ostosähkö_nyt)</f>
        <v>jäännössähkö</v>
      </c>
      <c r="O170" s="147">
        <f>INDEX(Muuttujat!$J$5:$J$21,MATCH($C170,Muuttujat!$H$5:$H$21,0),1)</f>
        <v>65.853419316547502</v>
      </c>
      <c r="P170" s="342">
        <f>1-(INDEX(Muuttujat!$O$5:$O$21,MATCH($C170,Muuttujat!$N$5:$N$21,0),1))</f>
        <v>0.94</v>
      </c>
      <c r="Q170" s="342">
        <f>INDEX(Muuttujat!$O$5:$O$21,MATCH($C170,Muuttujat!$N$5:$N$21,0),1)</f>
        <v>0.06</v>
      </c>
      <c r="R170" s="148">
        <f>INDEX(Muuttujat!$P$5:$P$21,MATCH($C170,Muuttujat!$N$5:$N$21,0),1)</f>
        <v>6.2623560726971367E-2</v>
      </c>
      <c r="S170" s="149">
        <f t="shared" si="47"/>
        <v>6.6968936999999995</v>
      </c>
      <c r="T170" s="150">
        <f t="shared" si="48"/>
        <v>1.4113008</v>
      </c>
      <c r="U170" s="150">
        <f t="shared" si="49"/>
        <v>0</v>
      </c>
      <c r="V170" s="150">
        <f>IFERROR(INDEX(Työkonekanta!$J$3:$J$27,MATCH($A170,Työkonekanta!$A$3:$A$24,0),1)*$B170*ef_li_ion_akku/1000/1000/INDEX(Työkonekanta!$K$3:$K$27,MATCH($A170,Työkonekanta!$A$3:$A$24,0)),0)</f>
        <v>0</v>
      </c>
      <c r="W170" s="149">
        <f t="shared" si="62"/>
        <v>26.152700163281999</v>
      </c>
      <c r="X170" s="150">
        <f t="shared" si="63"/>
        <v>0.33363294300000002</v>
      </c>
      <c r="Y170" s="151">
        <f t="shared" si="64"/>
        <v>0.10950563265306122</v>
      </c>
      <c r="Z170" s="152">
        <f t="shared" si="56"/>
        <v>8.1081944999999997</v>
      </c>
      <c r="AA170" s="179">
        <f t="shared" si="57"/>
        <v>26.26220579593506</v>
      </c>
      <c r="AB170" s="179">
        <f t="shared" si="58"/>
        <v>26.595838738935061</v>
      </c>
      <c r="AC170" s="180">
        <f t="shared" si="65"/>
        <v>34.370400295935056</v>
      </c>
      <c r="AD170" s="156">
        <f t="shared" si="59"/>
        <v>34.704033238935061</v>
      </c>
      <c r="AE170" s="146">
        <f>IFERROR(INDEX(Työkonekanta!$L$3:$L$30,MATCH($A170,Työkonekanta!$A$3:$A$30,0),1),0)*AF170</f>
        <v>500000</v>
      </c>
      <c r="AF170" s="146">
        <f>IFERROR(INDEX(Työkonekanta!$N$3:$N$32,MATCH($A170,Työkonekanta!$A$3:$A$32,0),1),0)</f>
        <v>1</v>
      </c>
      <c r="AG170" s="332">
        <f>I170*INDEX(Muuttujat!$U$5:$U$21,MATCH($C170,Muuttujat!$N$5:$N$21,0),1)</f>
        <v>10067.4</v>
      </c>
      <c r="AH170" s="332">
        <f>J170*INDEX(Muuttujat!$T$5:$T$21,MATCH($C170,Muuttujat!$N$5:$N$21,0),1)</f>
        <v>936.33061224489791</v>
      </c>
      <c r="AI170" s="332">
        <f t="shared" si="50"/>
        <v>210.58775510204083</v>
      </c>
      <c r="AJ170" s="332">
        <f t="shared" si="51"/>
        <v>0</v>
      </c>
      <c r="AK170" s="332">
        <f t="shared" si="60"/>
        <v>11214.318367346938</v>
      </c>
      <c r="AL170" s="332">
        <f t="shared" si="52"/>
        <v>11214.318367346938</v>
      </c>
    </row>
    <row r="171" spans="1:38">
      <c r="A171" s="139">
        <v>19</v>
      </c>
      <c r="B171" s="139">
        <f>IFERROR(INDEX(Työkonekanta!$F$3:$F$27,MATCH('S0b Baseline kasvu'!$A171,Työkonekanta!$A$3:$A$24,0),1),0)</f>
        <v>0</v>
      </c>
      <c r="C171" s="140">
        <v>2024</v>
      </c>
      <c r="D171" s="141" t="str">
        <f>IFERROR(INDEX(Työkonekanta!$D$3:$D$27,MATCH('S0b Baseline kasvu'!$A171,Työkonekanta!$A$3:$A$24,0),1),"undefined")</f>
        <v>pom</v>
      </c>
      <c r="E171" s="145">
        <f>IFERROR(INDEX(Työkonekanta!$G$3:$G$27,MATCH($A171,Työkonekanta!$A$3:$A$24,0),1)*INDEX(Työkonekanta!$H$3:$H$27,MATCH($A171,Työkonekanta!$A$3:$A$24,0),1)*(1+s0b_kasvu*($C171-2019))*$B171,0)</f>
        <v>0</v>
      </c>
      <c r="F171" s="145">
        <f t="shared" si="44"/>
        <v>0</v>
      </c>
      <c r="G171" s="145">
        <f t="shared" si="53"/>
        <v>0</v>
      </c>
      <c r="H171" s="145">
        <f t="shared" si="54"/>
        <v>0</v>
      </c>
      <c r="I171" s="145">
        <f t="shared" si="45"/>
        <v>0</v>
      </c>
      <c r="J171" s="145">
        <f t="shared" si="46"/>
        <v>0</v>
      </c>
      <c r="K171" s="142" t="str">
        <f t="shared" si="55"/>
        <v>l</v>
      </c>
      <c r="L171" s="146">
        <f>IFERROR(INDEX(Työkonekanta!$I$3:$I$27,MATCH('S0b Baseline kasvu'!$A171,Työkonekanta!$A$3:$A$24,0),1)*(I171+J171)*f_adblue,0)</f>
        <v>0</v>
      </c>
      <c r="M171" s="146">
        <f t="shared" si="61"/>
        <v>0</v>
      </c>
      <c r="N171" s="143" t="str">
        <f>IF(tuulisähkö_vuosi&lt;='S0b Baseline kasvu'!C171,"tuulisähkö",ostosähkö_nyt)</f>
        <v>jäännössähkö</v>
      </c>
      <c r="O171" s="147">
        <f>INDEX(Muuttujat!$J$5:$J$21,MATCH($C171,Muuttujat!$H$5:$H$21,0),1)</f>
        <v>65.853419316547502</v>
      </c>
      <c r="P171" s="342">
        <f>1-(INDEX(Muuttujat!$O$5:$O$21,MATCH($C171,Muuttujat!$N$5:$N$21,0),1))</f>
        <v>0.94</v>
      </c>
      <c r="Q171" s="342">
        <f>INDEX(Muuttujat!$O$5:$O$21,MATCH($C171,Muuttujat!$N$5:$N$21,0),1)</f>
        <v>0.06</v>
      </c>
      <c r="R171" s="148">
        <f>INDEX(Muuttujat!$P$5:$P$21,MATCH($C171,Muuttujat!$N$5:$N$21,0),1)</f>
        <v>6.2623560726971367E-2</v>
      </c>
      <c r="S171" s="149">
        <f t="shared" si="47"/>
        <v>0</v>
      </c>
      <c r="T171" s="150">
        <f t="shared" si="48"/>
        <v>0</v>
      </c>
      <c r="U171" s="150">
        <f t="shared" si="49"/>
        <v>0</v>
      </c>
      <c r="V171" s="150">
        <f>IFERROR(INDEX(Työkonekanta!$J$3:$J$27,MATCH($A171,Työkonekanta!$A$3:$A$24,0),1)*$B171*ef_li_ion_akku/1000/1000/INDEX(Työkonekanta!$K$3:$K$27,MATCH($A171,Työkonekanta!$A$3:$A$24,0)),0)</f>
        <v>0</v>
      </c>
      <c r="W171" s="149">
        <f t="shared" si="62"/>
        <v>0</v>
      </c>
      <c r="X171" s="150">
        <f t="shared" si="63"/>
        <v>0</v>
      </c>
      <c r="Y171" s="151">
        <f t="shared" si="64"/>
        <v>0</v>
      </c>
      <c r="Z171" s="152">
        <f t="shared" si="56"/>
        <v>0</v>
      </c>
      <c r="AA171" s="179">
        <f t="shared" si="57"/>
        <v>0</v>
      </c>
      <c r="AB171" s="179">
        <f t="shared" si="58"/>
        <v>0</v>
      </c>
      <c r="AC171" s="180">
        <f t="shared" si="65"/>
        <v>0</v>
      </c>
      <c r="AD171" s="156">
        <f t="shared" si="59"/>
        <v>0</v>
      </c>
      <c r="AE171" s="146">
        <f>IFERROR(INDEX(Työkonekanta!$L$3:$L$30,MATCH($A171,Työkonekanta!$A$3:$A$30,0),1),0)*AF171</f>
        <v>0</v>
      </c>
      <c r="AF171" s="146">
        <f>IFERROR(INDEX(Työkonekanta!$N$3:$N$32,MATCH($A171,Työkonekanta!$A$3:$A$32,0),1),0)</f>
        <v>0</v>
      </c>
      <c r="AG171" s="332">
        <f>I171*INDEX(Muuttujat!$U$5:$U$21,MATCH($C171,Muuttujat!$N$5:$N$21,0),1)</f>
        <v>0</v>
      </c>
      <c r="AH171" s="332">
        <f>J171*INDEX(Muuttujat!$T$5:$T$21,MATCH($C171,Muuttujat!$N$5:$N$21,0),1)</f>
        <v>0</v>
      </c>
      <c r="AI171" s="332">
        <f t="shared" si="50"/>
        <v>0</v>
      </c>
      <c r="AJ171" s="332">
        <f t="shared" si="51"/>
        <v>0</v>
      </c>
      <c r="AK171" s="332">
        <f t="shared" si="60"/>
        <v>0</v>
      </c>
      <c r="AL171" s="332">
        <f t="shared" si="52"/>
        <v>0</v>
      </c>
    </row>
    <row r="172" spans="1:38">
      <c r="A172" s="139">
        <v>20</v>
      </c>
      <c r="B172" s="139">
        <f>IFERROR(INDEX(Työkonekanta!$F$3:$F$27,MATCH('S0b Baseline kasvu'!$A172,Työkonekanta!$A$3:$A$24,0),1),0)</f>
        <v>0</v>
      </c>
      <c r="C172" s="140">
        <v>2024</v>
      </c>
      <c r="D172" s="141" t="str">
        <f>IFERROR(INDEX(Työkonekanta!$D$3:$D$27,MATCH('S0b Baseline kasvu'!$A172,Työkonekanta!$A$3:$A$24,0),1),"undefined")</f>
        <v>pom</v>
      </c>
      <c r="E172" s="145">
        <f>IFERROR(INDEX(Työkonekanta!$G$3:$G$27,MATCH($A172,Työkonekanta!$A$3:$A$24,0),1)*INDEX(Työkonekanta!$H$3:$H$27,MATCH($A172,Työkonekanta!$A$3:$A$24,0),1)*(1+s0b_kasvu*($C172-2019))*$B172,0)</f>
        <v>0</v>
      </c>
      <c r="F172" s="145">
        <f t="shared" si="44"/>
        <v>0</v>
      </c>
      <c r="G172" s="145">
        <f t="shared" si="53"/>
        <v>0</v>
      </c>
      <c r="H172" s="145">
        <f t="shared" si="54"/>
        <v>0</v>
      </c>
      <c r="I172" s="145">
        <f t="shared" si="45"/>
        <v>0</v>
      </c>
      <c r="J172" s="145">
        <f t="shared" si="46"/>
        <v>0</v>
      </c>
      <c r="K172" s="142" t="str">
        <f t="shared" si="55"/>
        <v>l</v>
      </c>
      <c r="L172" s="146">
        <f>IFERROR(INDEX(Työkonekanta!$I$3:$I$27,MATCH('S0b Baseline kasvu'!$A172,Työkonekanta!$A$3:$A$24,0),1)*(I172+J172)*f_adblue,0)</f>
        <v>0</v>
      </c>
      <c r="M172" s="146">
        <f t="shared" si="61"/>
        <v>0</v>
      </c>
      <c r="N172" s="143" t="str">
        <f>IF(tuulisähkö_vuosi&lt;='S0b Baseline kasvu'!C172,"tuulisähkö",ostosähkö_nyt)</f>
        <v>jäännössähkö</v>
      </c>
      <c r="O172" s="147">
        <f>INDEX(Muuttujat!$J$5:$J$21,MATCH($C172,Muuttujat!$H$5:$H$21,0),1)</f>
        <v>65.853419316547502</v>
      </c>
      <c r="P172" s="342">
        <f>1-(INDEX(Muuttujat!$O$5:$O$21,MATCH($C172,Muuttujat!$N$5:$N$21,0),1))</f>
        <v>0.94</v>
      </c>
      <c r="Q172" s="342">
        <f>INDEX(Muuttujat!$O$5:$O$21,MATCH($C172,Muuttujat!$N$5:$N$21,0),1)</f>
        <v>0.06</v>
      </c>
      <c r="R172" s="148">
        <f>INDEX(Muuttujat!$P$5:$P$21,MATCH($C172,Muuttujat!$N$5:$N$21,0),1)</f>
        <v>6.2623560726971367E-2</v>
      </c>
      <c r="S172" s="149">
        <f t="shared" si="47"/>
        <v>0</v>
      </c>
      <c r="T172" s="150">
        <f t="shared" si="48"/>
        <v>0</v>
      </c>
      <c r="U172" s="150">
        <f t="shared" si="49"/>
        <v>0</v>
      </c>
      <c r="V172" s="150">
        <f>IFERROR(INDEX(Työkonekanta!$J$3:$J$27,MATCH($A172,Työkonekanta!$A$3:$A$24,0),1)*$B172*ef_li_ion_akku/1000/1000/INDEX(Työkonekanta!$K$3:$K$27,MATCH($A172,Työkonekanta!$A$3:$A$24,0)),0)</f>
        <v>0</v>
      </c>
      <c r="W172" s="149">
        <f t="shared" si="62"/>
        <v>0</v>
      </c>
      <c r="X172" s="150">
        <f t="shared" si="63"/>
        <v>0</v>
      </c>
      <c r="Y172" s="151">
        <f t="shared" si="64"/>
        <v>0</v>
      </c>
      <c r="Z172" s="152">
        <f t="shared" si="56"/>
        <v>0</v>
      </c>
      <c r="AA172" s="179">
        <f t="shared" si="57"/>
        <v>0</v>
      </c>
      <c r="AB172" s="179">
        <f t="shared" si="58"/>
        <v>0</v>
      </c>
      <c r="AC172" s="180">
        <f t="shared" si="65"/>
        <v>0</v>
      </c>
      <c r="AD172" s="156">
        <f t="shared" si="59"/>
        <v>0</v>
      </c>
      <c r="AE172" s="146">
        <f>IFERROR(INDEX(Työkonekanta!$L$3:$L$30,MATCH($A172,Työkonekanta!$A$3:$A$30,0),1),0)*AF172</f>
        <v>0</v>
      </c>
      <c r="AF172" s="146">
        <f>IFERROR(INDEX(Työkonekanta!$N$3:$N$32,MATCH($A172,Työkonekanta!$A$3:$A$32,0),1),0)</f>
        <v>0</v>
      </c>
      <c r="AG172" s="332">
        <f>I172*INDEX(Muuttujat!$U$5:$U$21,MATCH($C172,Muuttujat!$N$5:$N$21,0),1)</f>
        <v>0</v>
      </c>
      <c r="AH172" s="332">
        <f>J172*INDEX(Muuttujat!$T$5:$T$21,MATCH($C172,Muuttujat!$N$5:$N$21,0),1)</f>
        <v>0</v>
      </c>
      <c r="AI172" s="332">
        <f t="shared" si="50"/>
        <v>0</v>
      </c>
      <c r="AJ172" s="332">
        <f t="shared" si="51"/>
        <v>0</v>
      </c>
      <c r="AK172" s="332">
        <f t="shared" si="60"/>
        <v>0</v>
      </c>
      <c r="AL172" s="332">
        <f t="shared" si="52"/>
        <v>0</v>
      </c>
    </row>
    <row r="173" spans="1:38">
      <c r="A173" s="139">
        <v>21</v>
      </c>
      <c r="B173" s="139">
        <f>IFERROR(INDEX(Työkonekanta!$F$3:$F$27,MATCH('S0b Baseline kasvu'!$A173,Työkonekanta!$A$3:$A$24,0),1),0)</f>
        <v>35</v>
      </c>
      <c r="C173" s="140">
        <v>2024</v>
      </c>
      <c r="D173" s="141" t="str">
        <f>IFERROR(INDEX(Työkonekanta!$D$3:$D$27,MATCH('S0b Baseline kasvu'!$A173,Työkonekanta!$A$3:$A$24,0),1),"undefined")</f>
        <v>sähkö</v>
      </c>
      <c r="E173" s="145">
        <f>IFERROR(INDEX(Työkonekanta!$G$3:$G$27,MATCH($A173,Työkonekanta!$A$3:$A$24,0),1)*INDEX(Työkonekanta!$H$3:$H$27,MATCH($A173,Työkonekanta!$A$3:$A$24,0),1)*(1+s0b_kasvu*($C173-2019))*$B173,0)</f>
        <v>427559.02777777781</v>
      </c>
      <c r="F173" s="145">
        <f t="shared" si="44"/>
        <v>0</v>
      </c>
      <c r="G173" s="145">
        <f t="shared" si="53"/>
        <v>0</v>
      </c>
      <c r="H173" s="145">
        <f t="shared" si="54"/>
        <v>0</v>
      </c>
      <c r="I173" s="145">
        <f t="shared" si="45"/>
        <v>0</v>
      </c>
      <c r="J173" s="145">
        <f t="shared" si="46"/>
        <v>0</v>
      </c>
      <c r="K173" s="142" t="str">
        <f t="shared" si="55"/>
        <v>kWh</v>
      </c>
      <c r="L173" s="146">
        <f>IFERROR(INDEX(Työkonekanta!$I$3:$I$27,MATCH('S0b Baseline kasvu'!$A173,Työkonekanta!$A$3:$A$24,0),1)*(I173+J173)*f_adblue,0)</f>
        <v>0</v>
      </c>
      <c r="M173" s="146">
        <f t="shared" si="61"/>
        <v>1539212.5000000002</v>
      </c>
      <c r="N173" s="143" t="str">
        <f>IF(tuulisähkö_vuosi&lt;='S0b Baseline kasvu'!C173,"tuulisähkö",ostosähkö_nyt)</f>
        <v>jäännössähkö</v>
      </c>
      <c r="O173" s="147">
        <f>INDEX(Muuttujat!$J$5:$J$21,MATCH($C173,Muuttujat!$H$5:$H$21,0),1)</f>
        <v>65.853419316547502</v>
      </c>
      <c r="P173" s="342">
        <f>1-(INDEX(Muuttujat!$O$5:$O$21,MATCH($C173,Muuttujat!$N$5:$N$21,0),1))</f>
        <v>0.94</v>
      </c>
      <c r="Q173" s="342">
        <f>INDEX(Muuttujat!$O$5:$O$21,MATCH($C173,Muuttujat!$N$5:$N$21,0),1)</f>
        <v>0.06</v>
      </c>
      <c r="R173" s="148">
        <f>INDEX(Muuttujat!$P$5:$P$21,MATCH($C173,Muuttujat!$N$5:$N$21,0),1)</f>
        <v>6.2623560726971367E-2</v>
      </c>
      <c r="S173" s="149">
        <f t="shared" si="47"/>
        <v>0</v>
      </c>
      <c r="T173" s="150">
        <f t="shared" si="48"/>
        <v>0</v>
      </c>
      <c r="U173" s="150">
        <f t="shared" si="49"/>
        <v>101.3624061797714</v>
      </c>
      <c r="V173" s="150">
        <f>IFERROR(INDEX(Työkonekanta!$J$3:$J$27,MATCH($A173,Työkonekanta!$A$3:$A$24,0),1)*$B173*ef_li_ion_akku/1000/1000/INDEX(Työkonekanta!$K$3:$K$27,MATCH($A173,Työkonekanta!$A$3:$A$24,0)),0)</f>
        <v>43.121723076923082</v>
      </c>
      <c r="W173" s="149">
        <f t="shared" si="62"/>
        <v>0</v>
      </c>
      <c r="X173" s="150">
        <f t="shared" si="63"/>
        <v>0</v>
      </c>
      <c r="Y173" s="151">
        <f t="shared" si="64"/>
        <v>0</v>
      </c>
      <c r="Z173" s="152">
        <f t="shared" si="56"/>
        <v>144.48412925669447</v>
      </c>
      <c r="AA173" s="179">
        <f t="shared" si="57"/>
        <v>0</v>
      </c>
      <c r="AB173" s="179">
        <f t="shared" si="58"/>
        <v>0</v>
      </c>
      <c r="AC173" s="180">
        <f t="shared" si="65"/>
        <v>144.48412925669447</v>
      </c>
      <c r="AD173" s="156">
        <f t="shared" si="59"/>
        <v>144.48412925669447</v>
      </c>
      <c r="AE173" s="146">
        <f>IFERROR(INDEX(Työkonekanta!$L$3:$L$30,MATCH($A173,Työkonekanta!$A$3:$A$30,0),1),0)*AF173</f>
        <v>1820000</v>
      </c>
      <c r="AF173" s="146">
        <f>IFERROR(INDEX(Työkonekanta!$N$3:$N$32,MATCH($A173,Työkonekanta!$A$3:$A$32,0),1),0)</f>
        <v>7</v>
      </c>
      <c r="AG173" s="332">
        <f>I173*INDEX(Muuttujat!$U$5:$U$21,MATCH($C173,Muuttujat!$N$5:$N$21,0),1)</f>
        <v>0</v>
      </c>
      <c r="AH173" s="332">
        <f>J173*INDEX(Muuttujat!$T$5:$T$21,MATCH($C173,Muuttujat!$N$5:$N$21,0),1)</f>
        <v>0</v>
      </c>
      <c r="AI173" s="332">
        <f t="shared" si="50"/>
        <v>0</v>
      </c>
      <c r="AJ173" s="332">
        <f t="shared" si="51"/>
        <v>37838.973958333343</v>
      </c>
      <c r="AK173" s="332">
        <f t="shared" si="60"/>
        <v>37838.973958333343</v>
      </c>
      <c r="AL173" s="332">
        <f t="shared" si="52"/>
        <v>1081.1135416666668</v>
      </c>
    </row>
    <row r="174" spans="1:38">
      <c r="A174" s="139">
        <v>22</v>
      </c>
      <c r="B174" s="139">
        <f>IFERROR(INDEX(Työkonekanta!$F$3:$F$27,MATCH('S0b Baseline kasvu'!$A174,Työkonekanta!$A$3:$A$24,0),1),0)</f>
        <v>0</v>
      </c>
      <c r="C174" s="140">
        <v>2024</v>
      </c>
      <c r="D174" s="141" t="str">
        <f>IFERROR(INDEX(Työkonekanta!$D$3:$D$27,MATCH('S0b Baseline kasvu'!$A174,Työkonekanta!$A$3:$A$24,0),1),"undefined")</f>
        <v>sähkö</v>
      </c>
      <c r="E174" s="145">
        <f>IFERROR(INDEX(Työkonekanta!$G$3:$G$27,MATCH($A174,Työkonekanta!$A$3:$A$24,0),1)*INDEX(Työkonekanta!$H$3:$H$27,MATCH($A174,Työkonekanta!$A$3:$A$24,0),1)*(1+s0b_kasvu*($C174-2019))*$B174,0)</f>
        <v>0</v>
      </c>
      <c r="F174" s="145">
        <f t="shared" si="44"/>
        <v>0</v>
      </c>
      <c r="G174" s="145">
        <f t="shared" si="53"/>
        <v>0</v>
      </c>
      <c r="H174" s="145">
        <f t="shared" si="54"/>
        <v>0</v>
      </c>
      <c r="I174" s="145">
        <f t="shared" si="45"/>
        <v>0</v>
      </c>
      <c r="J174" s="145">
        <f t="shared" si="46"/>
        <v>0</v>
      </c>
      <c r="K174" s="142" t="str">
        <f t="shared" si="55"/>
        <v>kWh</v>
      </c>
      <c r="L174" s="146">
        <f>IFERROR(INDEX(Työkonekanta!$I$3:$I$27,MATCH('S0b Baseline kasvu'!$A174,Työkonekanta!$A$3:$A$24,0),1)*(I174+J174)*f_adblue,0)</f>
        <v>0</v>
      </c>
      <c r="M174" s="146">
        <f t="shared" si="61"/>
        <v>0</v>
      </c>
      <c r="N174" s="143" t="str">
        <f>IF(tuulisähkö_vuosi&lt;='S0b Baseline kasvu'!C174,"tuulisähkö",ostosähkö_nyt)</f>
        <v>jäännössähkö</v>
      </c>
      <c r="O174" s="147">
        <f>INDEX(Muuttujat!$J$5:$J$21,MATCH($C174,Muuttujat!$H$5:$H$21,0),1)</f>
        <v>65.853419316547502</v>
      </c>
      <c r="P174" s="342">
        <f>1-(INDEX(Muuttujat!$O$5:$O$21,MATCH($C174,Muuttujat!$N$5:$N$21,0),1))</f>
        <v>0.94</v>
      </c>
      <c r="Q174" s="342">
        <f>INDEX(Muuttujat!$O$5:$O$21,MATCH($C174,Muuttujat!$N$5:$N$21,0),1)</f>
        <v>0.06</v>
      </c>
      <c r="R174" s="148">
        <f>INDEX(Muuttujat!$P$5:$P$21,MATCH($C174,Muuttujat!$N$5:$N$21,0),1)</f>
        <v>6.2623560726971367E-2</v>
      </c>
      <c r="S174" s="149">
        <f t="shared" si="47"/>
        <v>0</v>
      </c>
      <c r="T174" s="150">
        <f t="shared" si="48"/>
        <v>0</v>
      </c>
      <c r="U174" s="150">
        <f t="shared" si="49"/>
        <v>0</v>
      </c>
      <c r="V174" s="150">
        <f>IFERROR(INDEX(Työkonekanta!$J$3:$J$27,MATCH($A174,Työkonekanta!$A$3:$A$24,0),1)*$B174*ef_li_ion_akku/1000/1000/INDEX(Työkonekanta!$K$3:$K$27,MATCH($A174,Työkonekanta!$A$3:$A$24,0)),0)</f>
        <v>0</v>
      </c>
      <c r="W174" s="149">
        <f t="shared" si="62"/>
        <v>0</v>
      </c>
      <c r="X174" s="150">
        <f t="shared" si="63"/>
        <v>0</v>
      </c>
      <c r="Y174" s="151">
        <f t="shared" si="64"/>
        <v>0</v>
      </c>
      <c r="Z174" s="152">
        <f t="shared" si="56"/>
        <v>0</v>
      </c>
      <c r="AA174" s="179">
        <f t="shared" si="57"/>
        <v>0</v>
      </c>
      <c r="AB174" s="179">
        <f t="shared" si="58"/>
        <v>0</v>
      </c>
      <c r="AC174" s="180">
        <f t="shared" si="65"/>
        <v>0</v>
      </c>
      <c r="AD174" s="156">
        <f t="shared" si="59"/>
        <v>0</v>
      </c>
      <c r="AE174" s="146">
        <f>IFERROR(INDEX(Työkonekanta!$L$3:$L$30,MATCH($A174,Työkonekanta!$A$3:$A$30,0),1),0)*AF174</f>
        <v>0</v>
      </c>
      <c r="AF174" s="146">
        <f>IFERROR(INDEX(Työkonekanta!$N$3:$N$32,MATCH($A174,Työkonekanta!$A$3:$A$32,0),1),0)</f>
        <v>0</v>
      </c>
      <c r="AG174" s="332">
        <f>I174*INDEX(Muuttujat!$U$5:$U$21,MATCH($C174,Muuttujat!$N$5:$N$21,0),1)</f>
        <v>0</v>
      </c>
      <c r="AH174" s="332">
        <f>J174*INDEX(Muuttujat!$T$5:$T$21,MATCH($C174,Muuttujat!$N$5:$N$21,0),1)</f>
        <v>0</v>
      </c>
      <c r="AI174" s="332">
        <f t="shared" si="50"/>
        <v>0</v>
      </c>
      <c r="AJ174" s="332">
        <f t="shared" si="51"/>
        <v>0</v>
      </c>
      <c r="AK174" s="332">
        <f t="shared" si="60"/>
        <v>0</v>
      </c>
      <c r="AL174" s="332">
        <f t="shared" si="52"/>
        <v>0</v>
      </c>
    </row>
    <row r="175" spans="1:38">
      <c r="A175" s="139">
        <v>23</v>
      </c>
      <c r="B175" s="139">
        <f>IFERROR(INDEX(Työkonekanta!$F$3:$F$27,MATCH('S0b Baseline kasvu'!$A175,Työkonekanta!$A$3:$A$24,0),1),0)</f>
        <v>0</v>
      </c>
      <c r="C175" s="140">
        <v>2024</v>
      </c>
      <c r="D175" s="141" t="str">
        <f>IFERROR(INDEX(Työkonekanta!$D$3:$D$27,MATCH('S0b Baseline kasvu'!$A175,Työkonekanta!$A$3:$A$24,0),1),"undefined")</f>
        <v>undefined</v>
      </c>
      <c r="E175" s="145">
        <f>IFERROR(INDEX(Työkonekanta!$G$3:$G$27,MATCH($A175,Työkonekanta!$A$3:$A$24,0),1)*INDEX(Työkonekanta!$H$3:$H$27,MATCH($A175,Työkonekanta!$A$3:$A$24,0),1)*(1+s0b_kasvu*($C175-2019))*$B175,0)</f>
        <v>0</v>
      </c>
      <c r="F175" s="145">
        <f t="shared" si="44"/>
        <v>0</v>
      </c>
      <c r="G175" s="145">
        <f t="shared" si="53"/>
        <v>0</v>
      </c>
      <c r="H175" s="145">
        <f t="shared" si="54"/>
        <v>0</v>
      </c>
      <c r="I175" s="145">
        <f t="shared" si="45"/>
        <v>0</v>
      </c>
      <c r="J175" s="145">
        <f t="shared" si="46"/>
        <v>0</v>
      </c>
      <c r="K175" s="142" t="str">
        <f t="shared" si="55"/>
        <v>undefined</v>
      </c>
      <c r="L175" s="146">
        <f>IFERROR(INDEX(Työkonekanta!$I$3:$I$27,MATCH('S0b Baseline kasvu'!$A175,Työkonekanta!$A$3:$A$24,0),1)*(I175+J175)*f_adblue,0)</f>
        <v>0</v>
      </c>
      <c r="M175" s="146">
        <f t="shared" si="61"/>
        <v>0</v>
      </c>
      <c r="N175" s="143" t="str">
        <f>IF(tuulisähkö_vuosi&lt;='S0b Baseline kasvu'!C175,"tuulisähkö",ostosähkö_nyt)</f>
        <v>jäännössähkö</v>
      </c>
      <c r="O175" s="147">
        <f>INDEX(Muuttujat!$J$5:$J$21,MATCH($C175,Muuttujat!$H$5:$H$21,0),1)</f>
        <v>65.853419316547502</v>
      </c>
      <c r="P175" s="342">
        <f>1-(INDEX(Muuttujat!$O$5:$O$21,MATCH($C175,Muuttujat!$N$5:$N$21,0),1))</f>
        <v>0.94</v>
      </c>
      <c r="Q175" s="342">
        <f>INDEX(Muuttujat!$O$5:$O$21,MATCH($C175,Muuttujat!$N$5:$N$21,0),1)</f>
        <v>0.06</v>
      </c>
      <c r="R175" s="148">
        <f>INDEX(Muuttujat!$P$5:$P$21,MATCH($C175,Muuttujat!$N$5:$N$21,0),1)</f>
        <v>6.2623560726971367E-2</v>
      </c>
      <c r="S175" s="149">
        <f t="shared" si="47"/>
        <v>0</v>
      </c>
      <c r="T175" s="150">
        <f t="shared" si="48"/>
        <v>0</v>
      </c>
      <c r="U175" s="150">
        <f t="shared" si="49"/>
        <v>0</v>
      </c>
      <c r="V175" s="150">
        <f>IFERROR(INDEX(Työkonekanta!$J$3:$J$27,MATCH($A175,Työkonekanta!$A$3:$A$24,0),1)*$B175*ef_li_ion_akku/1000/1000/INDEX(Työkonekanta!$K$3:$K$27,MATCH($A175,Työkonekanta!$A$3:$A$24,0)),0)</f>
        <v>0</v>
      </c>
      <c r="W175" s="149">
        <f t="shared" si="62"/>
        <v>0</v>
      </c>
      <c r="X175" s="150">
        <f t="shared" si="63"/>
        <v>0</v>
      </c>
      <c r="Y175" s="151">
        <f t="shared" si="64"/>
        <v>0</v>
      </c>
      <c r="Z175" s="152">
        <f t="shared" si="56"/>
        <v>0</v>
      </c>
      <c r="AA175" s="179">
        <f t="shared" si="57"/>
        <v>0</v>
      </c>
      <c r="AB175" s="179">
        <f t="shared" si="58"/>
        <v>0</v>
      </c>
      <c r="AC175" s="180">
        <f t="shared" si="65"/>
        <v>0</v>
      </c>
      <c r="AD175" s="156">
        <f t="shared" si="59"/>
        <v>0</v>
      </c>
      <c r="AE175" s="146">
        <f>IFERROR(INDEX(Työkonekanta!$L$3:$L$30,MATCH($A175,Työkonekanta!$A$3:$A$30,0),1),0)*AF175</f>
        <v>0</v>
      </c>
      <c r="AF175" s="146">
        <f>IFERROR(INDEX(Työkonekanta!$N$3:$N$32,MATCH($A175,Työkonekanta!$A$3:$A$32,0),1),0)</f>
        <v>0</v>
      </c>
      <c r="AG175" s="332">
        <f>I175*INDEX(Muuttujat!$U$5:$U$21,MATCH($C175,Muuttujat!$N$5:$N$21,0),1)</f>
        <v>0</v>
      </c>
      <c r="AH175" s="332">
        <f>J175*INDEX(Muuttujat!$T$5:$T$21,MATCH($C175,Muuttujat!$N$5:$N$21,0),1)</f>
        <v>0</v>
      </c>
      <c r="AI175" s="332">
        <f t="shared" si="50"/>
        <v>0</v>
      </c>
      <c r="AJ175" s="332">
        <f t="shared" si="51"/>
        <v>0</v>
      </c>
      <c r="AK175" s="332">
        <f t="shared" si="60"/>
        <v>0</v>
      </c>
      <c r="AL175" s="332">
        <f t="shared" si="52"/>
        <v>0</v>
      </c>
    </row>
    <row r="176" spans="1:38">
      <c r="A176" s="139">
        <v>24</v>
      </c>
      <c r="B176" s="139">
        <f>IFERROR(INDEX(Työkonekanta!$F$3:$F$27,MATCH('S0b Baseline kasvu'!$A176,Työkonekanta!$A$3:$A$24,0),1),0)</f>
        <v>0</v>
      </c>
      <c r="C176" s="140">
        <v>2024</v>
      </c>
      <c r="D176" s="141" t="str">
        <f>IFERROR(INDEX(Työkonekanta!$D$3:$D$27,MATCH('S0b Baseline kasvu'!$A176,Työkonekanta!$A$3:$A$24,0),1),"undefined")</f>
        <v>undefined</v>
      </c>
      <c r="E176" s="145">
        <f>IFERROR(INDEX(Työkonekanta!$G$3:$G$27,MATCH($A176,Työkonekanta!$A$3:$A$24,0),1)*INDEX(Työkonekanta!$H$3:$H$27,MATCH($A176,Työkonekanta!$A$3:$A$24,0),1)*(1+s0b_kasvu*($C176-2019))*$B176,0)</f>
        <v>0</v>
      </c>
      <c r="F176" s="145">
        <f t="shared" si="44"/>
        <v>0</v>
      </c>
      <c r="G176" s="145">
        <f t="shared" si="53"/>
        <v>0</v>
      </c>
      <c r="H176" s="145">
        <f t="shared" si="54"/>
        <v>0</v>
      </c>
      <c r="I176" s="145">
        <f t="shared" si="45"/>
        <v>0</v>
      </c>
      <c r="J176" s="145">
        <f t="shared" si="46"/>
        <v>0</v>
      </c>
      <c r="K176" s="142" t="str">
        <f t="shared" si="55"/>
        <v>undefined</v>
      </c>
      <c r="L176" s="146">
        <f>IFERROR(INDEX(Työkonekanta!$I$3:$I$27,MATCH('S0b Baseline kasvu'!$A176,Työkonekanta!$A$3:$A$24,0),1)*(I176+J176)*f_adblue,0)</f>
        <v>0</v>
      </c>
      <c r="M176" s="146">
        <f t="shared" si="61"/>
        <v>0</v>
      </c>
      <c r="N176" s="143" t="str">
        <f>IF(tuulisähkö_vuosi&lt;='S0b Baseline kasvu'!C176,"tuulisähkö",ostosähkö_nyt)</f>
        <v>jäännössähkö</v>
      </c>
      <c r="O176" s="147">
        <f>INDEX(Muuttujat!$J$5:$J$21,MATCH($C176,Muuttujat!$H$5:$H$21,0),1)</f>
        <v>65.853419316547502</v>
      </c>
      <c r="P176" s="342">
        <f>1-(INDEX(Muuttujat!$O$5:$O$21,MATCH($C176,Muuttujat!$N$5:$N$21,0),1))</f>
        <v>0.94</v>
      </c>
      <c r="Q176" s="342">
        <f>INDEX(Muuttujat!$O$5:$O$21,MATCH($C176,Muuttujat!$N$5:$N$21,0),1)</f>
        <v>0.06</v>
      </c>
      <c r="R176" s="148">
        <f>INDEX(Muuttujat!$P$5:$P$21,MATCH($C176,Muuttujat!$N$5:$N$21,0),1)</f>
        <v>6.2623560726971367E-2</v>
      </c>
      <c r="S176" s="149">
        <f t="shared" si="47"/>
        <v>0</v>
      </c>
      <c r="T176" s="150">
        <f t="shared" si="48"/>
        <v>0</v>
      </c>
      <c r="U176" s="150">
        <f t="shared" si="49"/>
        <v>0</v>
      </c>
      <c r="V176" s="150">
        <f>IFERROR(INDEX(Työkonekanta!$J$3:$J$27,MATCH($A176,Työkonekanta!$A$3:$A$24,0),1)*$B176*ef_li_ion_akku/1000/1000/INDEX(Työkonekanta!$K$3:$K$27,MATCH($A176,Työkonekanta!$A$3:$A$24,0)),0)</f>
        <v>0</v>
      </c>
      <c r="W176" s="149">
        <f t="shared" si="62"/>
        <v>0</v>
      </c>
      <c r="X176" s="150">
        <f t="shared" si="63"/>
        <v>0</v>
      </c>
      <c r="Y176" s="151">
        <f t="shared" si="64"/>
        <v>0</v>
      </c>
      <c r="Z176" s="152">
        <f t="shared" si="56"/>
        <v>0</v>
      </c>
      <c r="AA176" s="179">
        <f t="shared" si="57"/>
        <v>0</v>
      </c>
      <c r="AB176" s="179">
        <f t="shared" si="58"/>
        <v>0</v>
      </c>
      <c r="AC176" s="180">
        <f t="shared" si="65"/>
        <v>0</v>
      </c>
      <c r="AD176" s="156">
        <f t="shared" si="59"/>
        <v>0</v>
      </c>
      <c r="AE176" s="146">
        <f>IFERROR(INDEX(Työkonekanta!$L$3:$L$30,MATCH($A176,Työkonekanta!$A$3:$A$30,0),1),0)*AF176</f>
        <v>0</v>
      </c>
      <c r="AF176" s="146">
        <f>IFERROR(INDEX(Työkonekanta!$N$3:$N$32,MATCH($A176,Työkonekanta!$A$3:$A$32,0),1),0)</f>
        <v>0</v>
      </c>
      <c r="AG176" s="332">
        <f>I176*INDEX(Muuttujat!$U$5:$U$21,MATCH($C176,Muuttujat!$N$5:$N$21,0),1)</f>
        <v>0</v>
      </c>
      <c r="AH176" s="332">
        <f>J176*INDEX(Muuttujat!$T$5:$T$21,MATCH($C176,Muuttujat!$N$5:$N$21,0),1)</f>
        <v>0</v>
      </c>
      <c r="AI176" s="332">
        <f t="shared" si="50"/>
        <v>0</v>
      </c>
      <c r="AJ176" s="332">
        <f t="shared" si="51"/>
        <v>0</v>
      </c>
      <c r="AK176" s="332">
        <f t="shared" si="60"/>
        <v>0</v>
      </c>
      <c r="AL176" s="332">
        <f t="shared" si="52"/>
        <v>0</v>
      </c>
    </row>
    <row r="177" spans="1:38">
      <c r="A177" s="139">
        <v>25</v>
      </c>
      <c r="B177" s="139">
        <f>IFERROR(INDEX(Työkonekanta!$F$3:$F$27,MATCH('S0b Baseline kasvu'!$A177,Työkonekanta!$A$3:$A$24,0),1),0)</f>
        <v>0</v>
      </c>
      <c r="C177" s="140">
        <v>2024</v>
      </c>
      <c r="D177" s="141" t="str">
        <f>IFERROR(INDEX(Työkonekanta!$D$3:$D$27,MATCH('S0b Baseline kasvu'!$A177,Työkonekanta!$A$3:$A$24,0),1),"undefined")</f>
        <v>undefined</v>
      </c>
      <c r="E177" s="145">
        <f>IFERROR(INDEX(Työkonekanta!$G$3:$G$27,MATCH($A177,Työkonekanta!$A$3:$A$24,0),1)*INDEX(Työkonekanta!$H$3:$H$27,MATCH($A177,Työkonekanta!$A$3:$A$24,0),1)*(1+s0b_kasvu*($C177-2019))*$B177,0)</f>
        <v>0</v>
      </c>
      <c r="F177" s="145">
        <f t="shared" si="44"/>
        <v>0</v>
      </c>
      <c r="G177" s="145">
        <f t="shared" si="53"/>
        <v>0</v>
      </c>
      <c r="H177" s="145">
        <f t="shared" si="54"/>
        <v>0</v>
      </c>
      <c r="I177" s="145">
        <f t="shared" si="45"/>
        <v>0</v>
      </c>
      <c r="J177" s="145">
        <f t="shared" si="46"/>
        <v>0</v>
      </c>
      <c r="K177" s="142" t="str">
        <f t="shared" si="55"/>
        <v>undefined</v>
      </c>
      <c r="L177" s="146">
        <f>IFERROR(INDEX(Työkonekanta!$I$3:$I$27,MATCH('S0b Baseline kasvu'!$A177,Työkonekanta!$A$3:$A$24,0),1)*(I177+J177)*f_adblue,0)</f>
        <v>0</v>
      </c>
      <c r="M177" s="146">
        <f t="shared" si="61"/>
        <v>0</v>
      </c>
      <c r="N177" s="143" t="str">
        <f>IF(tuulisähkö_vuosi&lt;='S0b Baseline kasvu'!C177,"tuulisähkö",ostosähkö_nyt)</f>
        <v>jäännössähkö</v>
      </c>
      <c r="O177" s="147">
        <f>INDEX(Muuttujat!$J$5:$J$21,MATCH($C177,Muuttujat!$H$5:$H$21,0),1)</f>
        <v>65.853419316547502</v>
      </c>
      <c r="P177" s="342">
        <f>1-(INDEX(Muuttujat!$O$5:$O$21,MATCH($C177,Muuttujat!$N$5:$N$21,0),1))</f>
        <v>0.94</v>
      </c>
      <c r="Q177" s="342">
        <f>INDEX(Muuttujat!$O$5:$O$21,MATCH($C177,Muuttujat!$N$5:$N$21,0),1)</f>
        <v>0.06</v>
      </c>
      <c r="R177" s="148">
        <f>INDEX(Muuttujat!$P$5:$P$21,MATCH($C177,Muuttujat!$N$5:$N$21,0),1)</f>
        <v>6.2623560726971367E-2</v>
      </c>
      <c r="S177" s="149">
        <f t="shared" si="47"/>
        <v>0</v>
      </c>
      <c r="T177" s="150">
        <f t="shared" si="48"/>
        <v>0</v>
      </c>
      <c r="U177" s="150">
        <f t="shared" si="49"/>
        <v>0</v>
      </c>
      <c r="V177" s="150">
        <f>IFERROR(INDEX(Työkonekanta!$J$3:$J$27,MATCH($A177,Työkonekanta!$A$3:$A$24,0),1)*$B177*ef_li_ion_akku/1000/1000/INDEX(Työkonekanta!$K$3:$K$27,MATCH($A177,Työkonekanta!$A$3:$A$24,0)),0)</f>
        <v>0</v>
      </c>
      <c r="W177" s="149">
        <f t="shared" si="62"/>
        <v>0</v>
      </c>
      <c r="X177" s="150">
        <f t="shared" si="63"/>
        <v>0</v>
      </c>
      <c r="Y177" s="151">
        <f t="shared" si="64"/>
        <v>0</v>
      </c>
      <c r="Z177" s="152">
        <f t="shared" si="56"/>
        <v>0</v>
      </c>
      <c r="AA177" s="179">
        <f t="shared" si="57"/>
        <v>0</v>
      </c>
      <c r="AB177" s="179">
        <f t="shared" si="58"/>
        <v>0</v>
      </c>
      <c r="AC177" s="180">
        <f t="shared" si="65"/>
        <v>0</v>
      </c>
      <c r="AD177" s="156">
        <f t="shared" si="59"/>
        <v>0</v>
      </c>
      <c r="AE177" s="146">
        <f>IFERROR(INDEX(Työkonekanta!$L$3:$L$30,MATCH($A177,Työkonekanta!$A$3:$A$30,0),1),0)*AF177</f>
        <v>0</v>
      </c>
      <c r="AF177" s="146">
        <f>IFERROR(INDEX(Työkonekanta!$N$3:$N$32,MATCH($A177,Työkonekanta!$A$3:$A$32,0),1),0)</f>
        <v>0</v>
      </c>
      <c r="AG177" s="332">
        <f>I177*INDEX(Muuttujat!$U$5:$U$21,MATCH($C177,Muuttujat!$N$5:$N$21,0),1)</f>
        <v>0</v>
      </c>
      <c r="AH177" s="332">
        <f>J177*INDEX(Muuttujat!$T$5:$T$21,MATCH($C177,Muuttujat!$N$5:$N$21,0),1)</f>
        <v>0</v>
      </c>
      <c r="AI177" s="332">
        <f t="shared" si="50"/>
        <v>0</v>
      </c>
      <c r="AJ177" s="332">
        <f t="shared" si="51"/>
        <v>0</v>
      </c>
      <c r="AK177" s="332">
        <f t="shared" si="60"/>
        <v>0</v>
      </c>
      <c r="AL177" s="332">
        <f t="shared" si="52"/>
        <v>0</v>
      </c>
    </row>
    <row r="178" spans="1:38">
      <c r="A178" s="139">
        <v>26</v>
      </c>
      <c r="B178" s="139">
        <f>IFERROR(INDEX(Työkonekanta!$F$3:$F$27,MATCH('S0b Baseline kasvu'!$A178,Työkonekanta!$A$3:$A$24,0),1),0)</f>
        <v>0</v>
      </c>
      <c r="C178" s="140">
        <v>2024</v>
      </c>
      <c r="D178" s="141" t="str">
        <f>IFERROR(INDEX(Työkonekanta!$D$3:$D$27,MATCH('S0b Baseline kasvu'!$A178,Työkonekanta!$A$3:$A$24,0),1),"undefined")</f>
        <v>undefined</v>
      </c>
      <c r="E178" s="145">
        <f>IFERROR(INDEX(Työkonekanta!$G$3:$G$27,MATCH($A178,Työkonekanta!$A$3:$A$24,0),1)*INDEX(Työkonekanta!$H$3:$H$27,MATCH($A178,Työkonekanta!$A$3:$A$24,0),1)*(1+s0b_kasvu*($C178-2019))*$B178,0)</f>
        <v>0</v>
      </c>
      <c r="F178" s="145">
        <f t="shared" si="44"/>
        <v>0</v>
      </c>
      <c r="G178" s="145">
        <f t="shared" si="53"/>
        <v>0</v>
      </c>
      <c r="H178" s="145">
        <f t="shared" si="54"/>
        <v>0</v>
      </c>
      <c r="I178" s="145">
        <f t="shared" si="45"/>
        <v>0</v>
      </c>
      <c r="J178" s="145">
        <f t="shared" si="46"/>
        <v>0</v>
      </c>
      <c r="K178" s="142" t="str">
        <f t="shared" si="55"/>
        <v>undefined</v>
      </c>
      <c r="L178" s="146">
        <f>IFERROR(INDEX(Työkonekanta!$I$3:$I$27,MATCH('S0b Baseline kasvu'!$A178,Työkonekanta!$A$3:$A$24,0),1)*(I178+J178)*f_adblue,0)</f>
        <v>0</v>
      </c>
      <c r="M178" s="146">
        <f t="shared" si="61"/>
        <v>0</v>
      </c>
      <c r="N178" s="143" t="str">
        <f>IF(tuulisähkö_vuosi&lt;='S0b Baseline kasvu'!C178,"tuulisähkö",ostosähkö_nyt)</f>
        <v>jäännössähkö</v>
      </c>
      <c r="O178" s="147">
        <f>INDEX(Muuttujat!$J$5:$J$21,MATCH($C178,Muuttujat!$H$5:$H$21,0),1)</f>
        <v>65.853419316547502</v>
      </c>
      <c r="P178" s="342">
        <f>1-(INDEX(Muuttujat!$O$5:$O$21,MATCH($C178,Muuttujat!$N$5:$N$21,0),1))</f>
        <v>0.94</v>
      </c>
      <c r="Q178" s="342">
        <f>INDEX(Muuttujat!$O$5:$O$21,MATCH($C178,Muuttujat!$N$5:$N$21,0),1)</f>
        <v>0.06</v>
      </c>
      <c r="R178" s="148">
        <f>INDEX(Muuttujat!$P$5:$P$21,MATCH($C178,Muuttujat!$N$5:$N$21,0),1)</f>
        <v>6.2623560726971367E-2</v>
      </c>
      <c r="S178" s="149">
        <f t="shared" si="47"/>
        <v>0</v>
      </c>
      <c r="T178" s="150">
        <f t="shared" si="48"/>
        <v>0</v>
      </c>
      <c r="U178" s="150">
        <f t="shared" si="49"/>
        <v>0</v>
      </c>
      <c r="V178" s="150">
        <f>IFERROR(INDEX(Työkonekanta!$J$3:$J$27,MATCH($A178,Työkonekanta!$A$3:$A$24,0),1)*$B178*ef_li_ion_akku/1000/1000/INDEX(Työkonekanta!$K$3:$K$27,MATCH($A178,Työkonekanta!$A$3:$A$24,0)),0)</f>
        <v>0</v>
      </c>
      <c r="W178" s="149">
        <f t="shared" si="62"/>
        <v>0</v>
      </c>
      <c r="X178" s="150">
        <f t="shared" si="63"/>
        <v>0</v>
      </c>
      <c r="Y178" s="151">
        <f t="shared" si="64"/>
        <v>0</v>
      </c>
      <c r="Z178" s="152">
        <f t="shared" si="56"/>
        <v>0</v>
      </c>
      <c r="AA178" s="179">
        <f t="shared" si="57"/>
        <v>0</v>
      </c>
      <c r="AB178" s="179">
        <f t="shared" si="58"/>
        <v>0</v>
      </c>
      <c r="AC178" s="180">
        <f t="shared" si="65"/>
        <v>0</v>
      </c>
      <c r="AD178" s="156">
        <f t="shared" si="59"/>
        <v>0</v>
      </c>
      <c r="AE178" s="146">
        <f>IFERROR(INDEX(Työkonekanta!$L$3:$L$30,MATCH($A178,Työkonekanta!$A$3:$A$30,0),1),0)*AF178</f>
        <v>0</v>
      </c>
      <c r="AF178" s="146">
        <f>IFERROR(INDEX(Työkonekanta!$N$3:$N$32,MATCH($A178,Työkonekanta!$A$3:$A$32,0),1),0)</f>
        <v>0</v>
      </c>
      <c r="AG178" s="332">
        <f>I178*INDEX(Muuttujat!$U$5:$U$21,MATCH($C178,Muuttujat!$N$5:$N$21,0),1)</f>
        <v>0</v>
      </c>
      <c r="AH178" s="332">
        <f>J178*INDEX(Muuttujat!$T$5:$T$21,MATCH($C178,Muuttujat!$N$5:$N$21,0),1)</f>
        <v>0</v>
      </c>
      <c r="AI178" s="332">
        <f t="shared" si="50"/>
        <v>0</v>
      </c>
      <c r="AJ178" s="332">
        <f t="shared" si="51"/>
        <v>0</v>
      </c>
      <c r="AK178" s="332">
        <f t="shared" si="60"/>
        <v>0</v>
      </c>
      <c r="AL178" s="332">
        <f t="shared" si="52"/>
        <v>0</v>
      </c>
    </row>
    <row r="179" spans="1:38">
      <c r="A179" s="139">
        <v>27</v>
      </c>
      <c r="B179" s="139">
        <f>IFERROR(INDEX(Työkonekanta!$F$3:$F$27,MATCH('S0b Baseline kasvu'!$A179,Työkonekanta!$A$3:$A$24,0),1),0)</f>
        <v>0</v>
      </c>
      <c r="C179" s="140">
        <v>2024</v>
      </c>
      <c r="D179" s="141" t="str">
        <f>IFERROR(INDEX(Työkonekanta!$D$3:$D$27,MATCH('S0b Baseline kasvu'!$A179,Työkonekanta!$A$3:$A$24,0),1),"undefined")</f>
        <v>undefined</v>
      </c>
      <c r="E179" s="145">
        <f>IFERROR(INDEX(Työkonekanta!$G$3:$G$27,MATCH($A179,Työkonekanta!$A$3:$A$24,0),1)*INDEX(Työkonekanta!$H$3:$H$27,MATCH($A179,Työkonekanta!$A$3:$A$24,0),1)*(1+s0b_kasvu*($C179-2019))*$B179,0)</f>
        <v>0</v>
      </c>
      <c r="F179" s="145">
        <f t="shared" si="44"/>
        <v>0</v>
      </c>
      <c r="G179" s="145">
        <f t="shared" si="53"/>
        <v>0</v>
      </c>
      <c r="H179" s="145">
        <f t="shared" si="54"/>
        <v>0</v>
      </c>
      <c r="I179" s="145">
        <f t="shared" si="45"/>
        <v>0</v>
      </c>
      <c r="J179" s="145">
        <f t="shared" si="46"/>
        <v>0</v>
      </c>
      <c r="K179" s="142" t="str">
        <f t="shared" si="55"/>
        <v>undefined</v>
      </c>
      <c r="L179" s="146">
        <f>IFERROR(INDEX(Työkonekanta!$I$3:$I$27,MATCH('S0b Baseline kasvu'!$A179,Työkonekanta!$A$3:$A$24,0),1)*(I179+J179)*f_adblue,0)</f>
        <v>0</v>
      </c>
      <c r="M179" s="146">
        <f t="shared" si="61"/>
        <v>0</v>
      </c>
      <c r="N179" s="143" t="str">
        <f>IF(tuulisähkö_vuosi&lt;='S0b Baseline kasvu'!C179,"tuulisähkö",ostosähkö_nyt)</f>
        <v>jäännössähkö</v>
      </c>
      <c r="O179" s="147">
        <f>INDEX(Muuttujat!$J$5:$J$21,MATCH($C179,Muuttujat!$H$5:$H$21,0),1)</f>
        <v>65.853419316547502</v>
      </c>
      <c r="P179" s="342">
        <f>1-(INDEX(Muuttujat!$O$5:$O$21,MATCH($C179,Muuttujat!$N$5:$N$21,0),1))</f>
        <v>0.94</v>
      </c>
      <c r="Q179" s="342">
        <f>INDEX(Muuttujat!$O$5:$O$21,MATCH($C179,Muuttujat!$N$5:$N$21,0),1)</f>
        <v>0.06</v>
      </c>
      <c r="R179" s="148">
        <f>INDEX(Muuttujat!$P$5:$P$21,MATCH($C179,Muuttujat!$N$5:$N$21,0),1)</f>
        <v>6.2623560726971367E-2</v>
      </c>
      <c r="S179" s="149">
        <f t="shared" si="47"/>
        <v>0</v>
      </c>
      <c r="T179" s="150">
        <f t="shared" si="48"/>
        <v>0</v>
      </c>
      <c r="U179" s="150">
        <f t="shared" si="49"/>
        <v>0</v>
      </c>
      <c r="V179" s="150">
        <f>IFERROR(INDEX(Työkonekanta!$J$3:$J$27,MATCH($A179,Työkonekanta!$A$3:$A$24,0),1)*$B179*ef_li_ion_akku/1000/1000/INDEX(Työkonekanta!$K$3:$K$27,MATCH($A179,Työkonekanta!$A$3:$A$24,0)),0)</f>
        <v>0</v>
      </c>
      <c r="W179" s="149">
        <f t="shared" si="62"/>
        <v>0</v>
      </c>
      <c r="X179" s="150">
        <f t="shared" si="63"/>
        <v>0</v>
      </c>
      <c r="Y179" s="151">
        <f t="shared" si="64"/>
        <v>0</v>
      </c>
      <c r="Z179" s="152">
        <f t="shared" si="56"/>
        <v>0</v>
      </c>
      <c r="AA179" s="179">
        <f t="shared" si="57"/>
        <v>0</v>
      </c>
      <c r="AB179" s="179">
        <f t="shared" si="58"/>
        <v>0</v>
      </c>
      <c r="AC179" s="180">
        <f t="shared" si="65"/>
        <v>0</v>
      </c>
      <c r="AD179" s="156">
        <f t="shared" si="59"/>
        <v>0</v>
      </c>
      <c r="AE179" s="146">
        <f>IFERROR(INDEX(Työkonekanta!$L$3:$L$30,MATCH($A179,Työkonekanta!$A$3:$A$30,0),1),0)*AF179</f>
        <v>0</v>
      </c>
      <c r="AF179" s="146">
        <f>IFERROR(INDEX(Työkonekanta!$N$3:$N$32,MATCH($A179,Työkonekanta!$A$3:$A$32,0),1),0)</f>
        <v>0</v>
      </c>
      <c r="AG179" s="332">
        <f>I179*INDEX(Muuttujat!$U$5:$U$21,MATCH($C179,Muuttujat!$N$5:$N$21,0),1)</f>
        <v>0</v>
      </c>
      <c r="AH179" s="332">
        <f>J179*INDEX(Muuttujat!$T$5:$T$21,MATCH($C179,Muuttujat!$N$5:$N$21,0),1)</f>
        <v>0</v>
      </c>
      <c r="AI179" s="332">
        <f t="shared" si="50"/>
        <v>0</v>
      </c>
      <c r="AJ179" s="332">
        <f t="shared" si="51"/>
        <v>0</v>
      </c>
      <c r="AK179" s="332">
        <f t="shared" si="60"/>
        <v>0</v>
      </c>
      <c r="AL179" s="332">
        <f t="shared" si="52"/>
        <v>0</v>
      </c>
    </row>
    <row r="180" spans="1:38">
      <c r="A180" s="139">
        <v>28</v>
      </c>
      <c r="B180" s="139">
        <f>IFERROR(INDEX(Työkonekanta!$F$3:$F$27,MATCH('S0b Baseline kasvu'!$A180,Työkonekanta!$A$3:$A$24,0),1),0)</f>
        <v>0</v>
      </c>
      <c r="C180" s="140">
        <v>2024</v>
      </c>
      <c r="D180" s="141" t="str">
        <f>IFERROR(INDEX(Työkonekanta!$D$3:$D$27,MATCH('S0b Baseline kasvu'!$A180,Työkonekanta!$A$3:$A$24,0),1),"undefined")</f>
        <v>undefined</v>
      </c>
      <c r="E180" s="145">
        <f>IFERROR(INDEX(Työkonekanta!$G$3:$G$27,MATCH($A180,Työkonekanta!$A$3:$A$24,0),1)*INDEX(Työkonekanta!$H$3:$H$27,MATCH($A180,Työkonekanta!$A$3:$A$24,0),1)*(1+s0b_kasvu*($C180-2019))*$B180,0)</f>
        <v>0</v>
      </c>
      <c r="F180" s="145">
        <f t="shared" si="44"/>
        <v>0</v>
      </c>
      <c r="G180" s="145">
        <f t="shared" si="53"/>
        <v>0</v>
      </c>
      <c r="H180" s="145">
        <f t="shared" si="54"/>
        <v>0</v>
      </c>
      <c r="I180" s="145">
        <f t="shared" si="45"/>
        <v>0</v>
      </c>
      <c r="J180" s="145">
        <f t="shared" si="46"/>
        <v>0</v>
      </c>
      <c r="K180" s="142" t="str">
        <f t="shared" si="55"/>
        <v>undefined</v>
      </c>
      <c r="L180" s="146">
        <f>IFERROR(INDEX(Työkonekanta!$I$3:$I$27,MATCH('S0b Baseline kasvu'!$A180,Työkonekanta!$A$3:$A$24,0),1)*(I180+J180)*f_adblue,0)</f>
        <v>0</v>
      </c>
      <c r="M180" s="146">
        <f t="shared" si="61"/>
        <v>0</v>
      </c>
      <c r="N180" s="143" t="str">
        <f>IF(tuulisähkö_vuosi&lt;='S0b Baseline kasvu'!C180,"tuulisähkö",ostosähkö_nyt)</f>
        <v>jäännössähkö</v>
      </c>
      <c r="O180" s="147">
        <f>INDEX(Muuttujat!$J$5:$J$21,MATCH($C180,Muuttujat!$H$5:$H$21,0),1)</f>
        <v>65.853419316547502</v>
      </c>
      <c r="P180" s="342">
        <f>1-(INDEX(Muuttujat!$O$5:$O$21,MATCH($C180,Muuttujat!$N$5:$N$21,0),1))</f>
        <v>0.94</v>
      </c>
      <c r="Q180" s="342">
        <f>INDEX(Muuttujat!$O$5:$O$21,MATCH($C180,Muuttujat!$N$5:$N$21,0),1)</f>
        <v>0.06</v>
      </c>
      <c r="R180" s="148">
        <f>INDEX(Muuttujat!$P$5:$P$21,MATCH($C180,Muuttujat!$N$5:$N$21,0),1)</f>
        <v>6.2623560726971367E-2</v>
      </c>
      <c r="S180" s="149">
        <f t="shared" si="47"/>
        <v>0</v>
      </c>
      <c r="T180" s="150">
        <f t="shared" si="48"/>
        <v>0</v>
      </c>
      <c r="U180" s="150">
        <f t="shared" si="49"/>
        <v>0</v>
      </c>
      <c r="V180" s="150">
        <f>IFERROR(INDEX(Työkonekanta!$J$3:$J$27,MATCH($A180,Työkonekanta!$A$3:$A$24,0),1)*$B180*ef_li_ion_akku/1000/1000/INDEX(Työkonekanta!$K$3:$K$27,MATCH($A180,Työkonekanta!$A$3:$A$24,0)),0)</f>
        <v>0</v>
      </c>
      <c r="W180" s="149">
        <f t="shared" si="62"/>
        <v>0</v>
      </c>
      <c r="X180" s="150">
        <f t="shared" si="63"/>
        <v>0</v>
      </c>
      <c r="Y180" s="151">
        <f t="shared" si="64"/>
        <v>0</v>
      </c>
      <c r="Z180" s="152">
        <f t="shared" si="56"/>
        <v>0</v>
      </c>
      <c r="AA180" s="179">
        <f t="shared" si="57"/>
        <v>0</v>
      </c>
      <c r="AB180" s="179">
        <f t="shared" si="58"/>
        <v>0</v>
      </c>
      <c r="AC180" s="180">
        <f t="shared" si="65"/>
        <v>0</v>
      </c>
      <c r="AD180" s="156">
        <f t="shared" si="59"/>
        <v>0</v>
      </c>
      <c r="AE180" s="146">
        <f>IFERROR(INDEX(Työkonekanta!$L$3:$L$30,MATCH($A180,Työkonekanta!$A$3:$A$30,0),1),0)*AF180</f>
        <v>0</v>
      </c>
      <c r="AF180" s="146">
        <f>IFERROR(INDEX(Työkonekanta!$N$3:$N$32,MATCH($A180,Työkonekanta!$A$3:$A$32,0),1),0)</f>
        <v>0</v>
      </c>
      <c r="AG180" s="332">
        <f>I180*INDEX(Muuttujat!$U$5:$U$21,MATCH($C180,Muuttujat!$N$5:$N$21,0),1)</f>
        <v>0</v>
      </c>
      <c r="AH180" s="332">
        <f>J180*INDEX(Muuttujat!$T$5:$T$21,MATCH($C180,Muuttujat!$N$5:$N$21,0),1)</f>
        <v>0</v>
      </c>
      <c r="AI180" s="332">
        <f t="shared" si="50"/>
        <v>0</v>
      </c>
      <c r="AJ180" s="332">
        <f t="shared" si="51"/>
        <v>0</v>
      </c>
      <c r="AK180" s="332">
        <f t="shared" si="60"/>
        <v>0</v>
      </c>
      <c r="AL180" s="332">
        <f t="shared" si="52"/>
        <v>0</v>
      </c>
    </row>
    <row r="181" spans="1:38">
      <c r="A181" s="139">
        <v>29</v>
      </c>
      <c r="B181" s="139">
        <f>IFERROR(INDEX(Työkonekanta!$F$3:$F$27,MATCH('S0b Baseline kasvu'!$A181,Työkonekanta!$A$3:$A$24,0),1),0)</f>
        <v>0</v>
      </c>
      <c r="C181" s="140">
        <v>2024</v>
      </c>
      <c r="D181" s="141" t="str">
        <f>IFERROR(INDEX(Työkonekanta!$D$3:$D$27,MATCH('S0b Baseline kasvu'!$A181,Työkonekanta!$A$3:$A$24,0),1),"undefined")</f>
        <v>undefined</v>
      </c>
      <c r="E181" s="145">
        <f>IFERROR(INDEX(Työkonekanta!$G$3:$G$27,MATCH($A181,Työkonekanta!$A$3:$A$24,0),1)*INDEX(Työkonekanta!$H$3:$H$27,MATCH($A181,Työkonekanta!$A$3:$A$24,0),1)*(1+s0b_kasvu*($C181-2019))*$B181,0)</f>
        <v>0</v>
      </c>
      <c r="F181" s="145">
        <f t="shared" si="44"/>
        <v>0</v>
      </c>
      <c r="G181" s="145">
        <f t="shared" si="53"/>
        <v>0</v>
      </c>
      <c r="H181" s="145">
        <f t="shared" si="54"/>
        <v>0</v>
      </c>
      <c r="I181" s="145">
        <f t="shared" si="45"/>
        <v>0</v>
      </c>
      <c r="J181" s="145">
        <f t="shared" si="46"/>
        <v>0</v>
      </c>
      <c r="K181" s="142" t="str">
        <f t="shared" si="55"/>
        <v>undefined</v>
      </c>
      <c r="L181" s="146">
        <f>IFERROR(INDEX(Työkonekanta!$I$3:$I$27,MATCH('S0b Baseline kasvu'!$A181,Työkonekanta!$A$3:$A$24,0),1)*(I181+J181)*f_adblue,0)</f>
        <v>0</v>
      </c>
      <c r="M181" s="146">
        <f t="shared" si="61"/>
        <v>0</v>
      </c>
      <c r="N181" s="143" t="str">
        <f>IF(tuulisähkö_vuosi&lt;='S0b Baseline kasvu'!C181,"tuulisähkö",ostosähkö_nyt)</f>
        <v>jäännössähkö</v>
      </c>
      <c r="O181" s="147">
        <f>INDEX(Muuttujat!$J$5:$J$21,MATCH($C181,Muuttujat!$H$5:$H$21,0),1)</f>
        <v>65.853419316547502</v>
      </c>
      <c r="P181" s="342">
        <f>1-(INDEX(Muuttujat!$O$5:$O$21,MATCH($C181,Muuttujat!$N$5:$N$21,0),1))</f>
        <v>0.94</v>
      </c>
      <c r="Q181" s="342">
        <f>INDEX(Muuttujat!$O$5:$O$21,MATCH($C181,Muuttujat!$N$5:$N$21,0),1)</f>
        <v>0.06</v>
      </c>
      <c r="R181" s="148">
        <f>INDEX(Muuttujat!$P$5:$P$21,MATCH($C181,Muuttujat!$N$5:$N$21,0),1)</f>
        <v>6.2623560726971367E-2</v>
      </c>
      <c r="S181" s="149">
        <f t="shared" si="47"/>
        <v>0</v>
      </c>
      <c r="T181" s="150">
        <f t="shared" si="48"/>
        <v>0</v>
      </c>
      <c r="U181" s="150">
        <f t="shared" si="49"/>
        <v>0</v>
      </c>
      <c r="V181" s="150">
        <f>IFERROR(INDEX(Työkonekanta!$J$3:$J$27,MATCH($A181,Työkonekanta!$A$3:$A$24,0),1)*$B181*ef_li_ion_akku/1000/1000/INDEX(Työkonekanta!$K$3:$K$27,MATCH($A181,Työkonekanta!$A$3:$A$24,0)),0)</f>
        <v>0</v>
      </c>
      <c r="W181" s="149">
        <f t="shared" si="62"/>
        <v>0</v>
      </c>
      <c r="X181" s="150">
        <f t="shared" si="63"/>
        <v>0</v>
      </c>
      <c r="Y181" s="151">
        <f t="shared" si="64"/>
        <v>0</v>
      </c>
      <c r="Z181" s="152">
        <f t="shared" si="56"/>
        <v>0</v>
      </c>
      <c r="AA181" s="179">
        <f t="shared" si="57"/>
        <v>0</v>
      </c>
      <c r="AB181" s="179">
        <f t="shared" si="58"/>
        <v>0</v>
      </c>
      <c r="AC181" s="180">
        <f t="shared" si="65"/>
        <v>0</v>
      </c>
      <c r="AD181" s="156">
        <f t="shared" si="59"/>
        <v>0</v>
      </c>
      <c r="AE181" s="146">
        <f>IFERROR(INDEX(Työkonekanta!$L$3:$L$30,MATCH($A181,Työkonekanta!$A$3:$A$30,0),1),0)*AF181</f>
        <v>0</v>
      </c>
      <c r="AF181" s="146">
        <f>IFERROR(INDEX(Työkonekanta!$N$3:$N$32,MATCH($A181,Työkonekanta!$A$3:$A$32,0),1),0)</f>
        <v>0</v>
      </c>
      <c r="AG181" s="332">
        <f>I181*INDEX(Muuttujat!$U$5:$U$21,MATCH($C181,Muuttujat!$N$5:$N$21,0),1)</f>
        <v>0</v>
      </c>
      <c r="AH181" s="332">
        <f>J181*INDEX(Muuttujat!$T$5:$T$21,MATCH($C181,Muuttujat!$N$5:$N$21,0),1)</f>
        <v>0</v>
      </c>
      <c r="AI181" s="332">
        <f t="shared" si="50"/>
        <v>0</v>
      </c>
      <c r="AJ181" s="332">
        <f t="shared" si="51"/>
        <v>0</v>
      </c>
      <c r="AK181" s="332">
        <f t="shared" si="60"/>
        <v>0</v>
      </c>
      <c r="AL181" s="332">
        <f t="shared" si="52"/>
        <v>0</v>
      </c>
    </row>
    <row r="182" spans="1:38">
      <c r="A182" s="139">
        <v>30</v>
      </c>
      <c r="B182" s="139">
        <f>IFERROR(INDEX(Työkonekanta!$F$3:$F$27,MATCH('S0b Baseline kasvu'!$A182,Työkonekanta!$A$3:$A$24,0),1),0)</f>
        <v>0</v>
      </c>
      <c r="C182" s="140">
        <v>2024</v>
      </c>
      <c r="D182" s="141" t="str">
        <f>IFERROR(INDEX(Työkonekanta!$D$3:$D$27,MATCH('S0b Baseline kasvu'!$A182,Työkonekanta!$A$3:$A$24,0),1),"undefined")</f>
        <v>undefined</v>
      </c>
      <c r="E182" s="145">
        <f>IFERROR(INDEX(Työkonekanta!$G$3:$G$27,MATCH($A182,Työkonekanta!$A$3:$A$24,0),1)*INDEX(Työkonekanta!$H$3:$H$27,MATCH($A182,Työkonekanta!$A$3:$A$24,0),1)*(1+s0b_kasvu*($C182-2019))*$B182,0)</f>
        <v>0</v>
      </c>
      <c r="F182" s="145">
        <f t="shared" si="44"/>
        <v>0</v>
      </c>
      <c r="G182" s="145">
        <f t="shared" si="53"/>
        <v>0</v>
      </c>
      <c r="H182" s="145">
        <f t="shared" si="54"/>
        <v>0</v>
      </c>
      <c r="I182" s="145">
        <f t="shared" si="45"/>
        <v>0</v>
      </c>
      <c r="J182" s="145">
        <f t="shared" si="46"/>
        <v>0</v>
      </c>
      <c r="K182" s="142" t="str">
        <f t="shared" si="55"/>
        <v>undefined</v>
      </c>
      <c r="L182" s="146">
        <f>IFERROR(INDEX(Työkonekanta!$I$3:$I$27,MATCH('S0b Baseline kasvu'!$A182,Työkonekanta!$A$3:$A$24,0),1)*(I182+J182)*f_adblue,0)</f>
        <v>0</v>
      </c>
      <c r="M182" s="146">
        <f t="shared" si="61"/>
        <v>0</v>
      </c>
      <c r="N182" s="143" t="str">
        <f>IF(tuulisähkö_vuosi&lt;='S0b Baseline kasvu'!C182,"tuulisähkö",ostosähkö_nyt)</f>
        <v>jäännössähkö</v>
      </c>
      <c r="O182" s="147">
        <f>INDEX(Muuttujat!$J$5:$J$21,MATCH($C182,Muuttujat!$H$5:$H$21,0),1)</f>
        <v>65.853419316547502</v>
      </c>
      <c r="P182" s="342">
        <f>1-(INDEX(Muuttujat!$O$5:$O$21,MATCH($C182,Muuttujat!$N$5:$N$21,0),1))</f>
        <v>0.94</v>
      </c>
      <c r="Q182" s="342">
        <f>INDEX(Muuttujat!$O$5:$O$21,MATCH($C182,Muuttujat!$N$5:$N$21,0),1)</f>
        <v>0.06</v>
      </c>
      <c r="R182" s="148">
        <f>INDEX(Muuttujat!$P$5:$P$21,MATCH($C182,Muuttujat!$N$5:$N$21,0),1)</f>
        <v>6.2623560726971367E-2</v>
      </c>
      <c r="S182" s="149">
        <f t="shared" si="47"/>
        <v>0</v>
      </c>
      <c r="T182" s="150">
        <f t="shared" si="48"/>
        <v>0</v>
      </c>
      <c r="U182" s="150">
        <f t="shared" si="49"/>
        <v>0</v>
      </c>
      <c r="V182" s="150">
        <f>IFERROR(INDEX(Työkonekanta!$J$3:$J$27,MATCH($A182,Työkonekanta!$A$3:$A$24,0),1)*$B182*ef_li_ion_akku/1000/1000/INDEX(Työkonekanta!$K$3:$K$27,MATCH($A182,Työkonekanta!$A$3:$A$24,0)),0)</f>
        <v>0</v>
      </c>
      <c r="W182" s="149">
        <f t="shared" si="62"/>
        <v>0</v>
      </c>
      <c r="X182" s="150">
        <f t="shared" si="63"/>
        <v>0</v>
      </c>
      <c r="Y182" s="151">
        <f t="shared" si="64"/>
        <v>0</v>
      </c>
      <c r="Z182" s="152">
        <f t="shared" si="56"/>
        <v>0</v>
      </c>
      <c r="AA182" s="179">
        <f t="shared" si="57"/>
        <v>0</v>
      </c>
      <c r="AB182" s="179">
        <f t="shared" si="58"/>
        <v>0</v>
      </c>
      <c r="AC182" s="180">
        <f t="shared" si="65"/>
        <v>0</v>
      </c>
      <c r="AD182" s="156">
        <f t="shared" si="59"/>
        <v>0</v>
      </c>
      <c r="AE182" s="146">
        <f>IFERROR(INDEX(Työkonekanta!$L$3:$L$30,MATCH($A182,Työkonekanta!$A$3:$A$30,0),1),0)*AF182</f>
        <v>0</v>
      </c>
      <c r="AF182" s="146">
        <f>IFERROR(INDEX(Työkonekanta!$N$3:$N$32,MATCH($A182,Työkonekanta!$A$3:$A$32,0),1),0)</f>
        <v>0</v>
      </c>
      <c r="AG182" s="332">
        <f>I182*INDEX(Muuttujat!$U$5:$U$21,MATCH($C182,Muuttujat!$N$5:$N$21,0),1)</f>
        <v>0</v>
      </c>
      <c r="AH182" s="332">
        <f>J182*INDEX(Muuttujat!$T$5:$T$21,MATCH($C182,Muuttujat!$N$5:$N$21,0),1)</f>
        <v>0</v>
      </c>
      <c r="AI182" s="332">
        <f t="shared" si="50"/>
        <v>0</v>
      </c>
      <c r="AJ182" s="332">
        <f t="shared" si="51"/>
        <v>0</v>
      </c>
      <c r="AK182" s="332">
        <f t="shared" si="60"/>
        <v>0</v>
      </c>
      <c r="AL182" s="332">
        <f t="shared" si="52"/>
        <v>0</v>
      </c>
    </row>
    <row r="183" spans="1:38">
      <c r="A183" s="139">
        <v>1</v>
      </c>
      <c r="B183" s="139">
        <f>IFERROR(INDEX(Työkonekanta!$F$3:$F$27,MATCH('S0b Baseline kasvu'!$A183,Työkonekanta!$A$3:$A$24,0),1),0)</f>
        <v>1</v>
      </c>
      <c r="C183" s="140">
        <v>2025</v>
      </c>
      <c r="D183" s="141" t="str">
        <f>IFERROR(INDEX(Työkonekanta!$D$3:$D$27,MATCH('S0b Baseline kasvu'!$A183,Työkonekanta!$A$3:$A$24,0),1),"undefined")</f>
        <v>pom</v>
      </c>
      <c r="E183" s="145">
        <f>IFERROR(INDEX(Työkonekanta!$G$3:$G$27,MATCH($A183,Työkonekanta!$A$3:$A$24,0),1)*INDEX(Työkonekanta!$H$3:$H$27,MATCH($A183,Työkonekanta!$A$3:$A$24,0),1)*(1+s0b_kasvu*($C183-2019))*$B183,0)</f>
        <v>10600</v>
      </c>
      <c r="F183" s="145">
        <f t="shared" si="44"/>
        <v>380540</v>
      </c>
      <c r="G183" s="145">
        <f t="shared" si="53"/>
        <v>353902.19999999995</v>
      </c>
      <c r="H183" s="145">
        <f t="shared" si="54"/>
        <v>26637.800000000003</v>
      </c>
      <c r="I183" s="145">
        <f t="shared" si="45"/>
        <v>9858</v>
      </c>
      <c r="J183" s="145">
        <f t="shared" si="46"/>
        <v>776.61224489795939</v>
      </c>
      <c r="K183" s="142" t="str">
        <f t="shared" si="55"/>
        <v>l</v>
      </c>
      <c r="L183" s="146">
        <f>IFERROR(INDEX(Työkonekanta!$I$3:$I$27,MATCH('S0b Baseline kasvu'!$A183,Työkonekanta!$A$3:$A$24,0),1)*(I183+J183)*f_adblue,0)</f>
        <v>531.730612244898</v>
      </c>
      <c r="M183" s="146">
        <f t="shared" si="61"/>
        <v>0</v>
      </c>
      <c r="N183" s="143" t="str">
        <f>IF(tuulisähkö_vuosi&lt;='S0b Baseline kasvu'!C183,"tuulisähkö",ostosähkö_nyt)</f>
        <v>jäännössähkö</v>
      </c>
      <c r="O183" s="147">
        <f>INDEX(Muuttujat!$J$5:$J$21,MATCH($C183,Muuttujat!$H$5:$H$21,0),1)</f>
        <v>65.194885123382022</v>
      </c>
      <c r="P183" s="342">
        <f>1-(INDEX(Muuttujat!$O$5:$O$21,MATCH($C183,Muuttujat!$N$5:$N$21,0),1))</f>
        <v>0.92999999999999994</v>
      </c>
      <c r="Q183" s="342">
        <f>INDEX(Muuttujat!$O$5:$O$21,MATCH($C183,Muuttujat!$N$5:$N$21,0),1)</f>
        <v>7.0000000000000007E-2</v>
      </c>
      <c r="R183" s="148">
        <f>INDEX(Muuttujat!$P$5:$P$21,MATCH($C183,Muuttujat!$N$5:$N$21,0),1)</f>
        <v>7.3026850896560899E-2</v>
      </c>
      <c r="S183" s="149">
        <f t="shared" si="47"/>
        <v>6.6887515799999981</v>
      </c>
      <c r="T183" s="150">
        <f t="shared" si="48"/>
        <v>1.6621987200000001</v>
      </c>
      <c r="U183" s="150">
        <f t="shared" si="49"/>
        <v>0</v>
      </c>
      <c r="V183" s="150">
        <f>IFERROR(INDEX(Työkonekanta!$J$3:$J$27,MATCH($A183,Työkonekanta!$A$3:$A$24,0),1)*$B183*ef_li_ion_akku/1000/1000/INDEX(Työkonekanta!$K$3:$K$27,MATCH($A183,Työkonekanta!$A$3:$A$24,0)),0)</f>
        <v>0</v>
      </c>
      <c r="W183" s="149">
        <f t="shared" si="62"/>
        <v>26.1209035673388</v>
      </c>
      <c r="X183" s="150">
        <f t="shared" si="63"/>
        <v>0.33681039959999998</v>
      </c>
      <c r="Y183" s="151">
        <f t="shared" si="64"/>
        <v>0.1382499591836735</v>
      </c>
      <c r="Z183" s="152">
        <f t="shared" si="56"/>
        <v>8.3509502999999974</v>
      </c>
      <c r="AA183" s="179">
        <f t="shared" si="57"/>
        <v>26.259153526522475</v>
      </c>
      <c r="AB183" s="179">
        <f t="shared" si="58"/>
        <v>26.595963926122476</v>
      </c>
      <c r="AC183" s="180">
        <f t="shared" si="65"/>
        <v>34.610103826522476</v>
      </c>
      <c r="AD183" s="156">
        <f t="shared" si="59"/>
        <v>34.946914226122473</v>
      </c>
      <c r="AE183" s="146">
        <f>IFERROR(INDEX(Työkonekanta!$L$3:$L$30,MATCH($A183,Työkonekanta!$A$3:$A$30,0),1),0)*AF183</f>
        <v>500000</v>
      </c>
      <c r="AF183" s="146">
        <f>IFERROR(INDEX(Työkonekanta!$N$3:$N$32,MATCH($A183,Työkonekanta!$A$3:$A$32,0),1),0)</f>
        <v>1</v>
      </c>
      <c r="AG183" s="332">
        <f>I183*INDEX(Muuttujat!$U$5:$U$21,MATCH($C183,Muuttujat!$N$5:$N$21,0),1)</f>
        <v>10153.74</v>
      </c>
      <c r="AH183" s="332">
        <f>J183*INDEX(Muuttujat!$T$5:$T$21,MATCH($C183,Muuttujat!$N$5:$N$21,0),1)</f>
        <v>1110.5555102040821</v>
      </c>
      <c r="AI183" s="332">
        <f t="shared" si="50"/>
        <v>265.865306122449</v>
      </c>
      <c r="AJ183" s="332">
        <f t="shared" si="51"/>
        <v>0</v>
      </c>
      <c r="AK183" s="332">
        <f t="shared" si="60"/>
        <v>11530.16081632653</v>
      </c>
      <c r="AL183" s="332">
        <f t="shared" si="52"/>
        <v>11530.16081632653</v>
      </c>
    </row>
    <row r="184" spans="1:38">
      <c r="A184" s="139">
        <v>2</v>
      </c>
      <c r="B184" s="139">
        <f>IFERROR(INDEX(Työkonekanta!$F$3:$F$27,MATCH('S0b Baseline kasvu'!$A184,Työkonekanta!$A$3:$A$24,0),1),0)</f>
        <v>1</v>
      </c>
      <c r="C184" s="140">
        <v>2025</v>
      </c>
      <c r="D184" s="141" t="str">
        <f>IFERROR(INDEX(Työkonekanta!$D$3:$D$27,MATCH('S0b Baseline kasvu'!$A184,Työkonekanta!$A$3:$A$24,0),1),"undefined")</f>
        <v>pom</v>
      </c>
      <c r="E184" s="145">
        <f>IFERROR(INDEX(Työkonekanta!$G$3:$G$27,MATCH($A184,Työkonekanta!$A$3:$A$24,0),1)*INDEX(Työkonekanta!$H$3:$H$27,MATCH($A184,Työkonekanta!$A$3:$A$24,0),1)*(1+s0b_kasvu*($C184-2019))*$B184,0)</f>
        <v>10600</v>
      </c>
      <c r="F184" s="145">
        <f t="shared" si="44"/>
        <v>380540</v>
      </c>
      <c r="G184" s="145">
        <f t="shared" si="53"/>
        <v>353902.19999999995</v>
      </c>
      <c r="H184" s="145">
        <f t="shared" si="54"/>
        <v>26637.800000000003</v>
      </c>
      <c r="I184" s="145">
        <f t="shared" si="45"/>
        <v>9858</v>
      </c>
      <c r="J184" s="145">
        <f t="shared" si="46"/>
        <v>776.61224489795939</v>
      </c>
      <c r="K184" s="142" t="str">
        <f t="shared" si="55"/>
        <v>l</v>
      </c>
      <c r="L184" s="146">
        <f>IFERROR(INDEX(Työkonekanta!$I$3:$I$27,MATCH('S0b Baseline kasvu'!$A184,Työkonekanta!$A$3:$A$24,0),1)*(I184+J184)*f_adblue,0)</f>
        <v>531.730612244898</v>
      </c>
      <c r="M184" s="146">
        <f t="shared" si="61"/>
        <v>0</v>
      </c>
      <c r="N184" s="143" t="str">
        <f>IF(tuulisähkö_vuosi&lt;='S0b Baseline kasvu'!C184,"tuulisähkö",ostosähkö_nyt)</f>
        <v>jäännössähkö</v>
      </c>
      <c r="O184" s="147">
        <f>INDEX(Muuttujat!$J$5:$J$21,MATCH($C184,Muuttujat!$H$5:$H$21,0),1)</f>
        <v>65.194885123382022</v>
      </c>
      <c r="P184" s="342">
        <f>1-(INDEX(Muuttujat!$O$5:$O$21,MATCH($C184,Muuttujat!$N$5:$N$21,0),1))</f>
        <v>0.92999999999999994</v>
      </c>
      <c r="Q184" s="342">
        <f>INDEX(Muuttujat!$O$5:$O$21,MATCH($C184,Muuttujat!$N$5:$N$21,0),1)</f>
        <v>7.0000000000000007E-2</v>
      </c>
      <c r="R184" s="148">
        <f>INDEX(Muuttujat!$P$5:$P$21,MATCH($C184,Muuttujat!$N$5:$N$21,0),1)</f>
        <v>7.3026850896560899E-2</v>
      </c>
      <c r="S184" s="149">
        <f t="shared" si="47"/>
        <v>6.6887515799999981</v>
      </c>
      <c r="T184" s="150">
        <f t="shared" si="48"/>
        <v>1.6621987200000001</v>
      </c>
      <c r="U184" s="150">
        <f t="shared" si="49"/>
        <v>0</v>
      </c>
      <c r="V184" s="150">
        <f>IFERROR(INDEX(Työkonekanta!$J$3:$J$27,MATCH($A184,Työkonekanta!$A$3:$A$24,0),1)*$B184*ef_li_ion_akku/1000/1000/INDEX(Työkonekanta!$K$3:$K$27,MATCH($A184,Työkonekanta!$A$3:$A$24,0)),0)</f>
        <v>0</v>
      </c>
      <c r="W184" s="149">
        <f t="shared" si="62"/>
        <v>26.1209035673388</v>
      </c>
      <c r="X184" s="150">
        <f t="shared" si="63"/>
        <v>0.33681039959999998</v>
      </c>
      <c r="Y184" s="151">
        <f t="shared" si="64"/>
        <v>0.1382499591836735</v>
      </c>
      <c r="Z184" s="152">
        <f t="shared" si="56"/>
        <v>8.3509502999999974</v>
      </c>
      <c r="AA184" s="179">
        <f t="shared" si="57"/>
        <v>26.259153526522475</v>
      </c>
      <c r="AB184" s="179">
        <f t="shared" si="58"/>
        <v>26.595963926122476</v>
      </c>
      <c r="AC184" s="180">
        <f t="shared" si="65"/>
        <v>34.610103826522476</v>
      </c>
      <c r="AD184" s="156">
        <f t="shared" si="59"/>
        <v>34.946914226122473</v>
      </c>
      <c r="AE184" s="146">
        <f>IFERROR(INDEX(Työkonekanta!$L$3:$L$30,MATCH($A184,Työkonekanta!$A$3:$A$30,0),1),0)*AF184</f>
        <v>500000</v>
      </c>
      <c r="AF184" s="146">
        <f>IFERROR(INDEX(Työkonekanta!$N$3:$N$32,MATCH($A184,Työkonekanta!$A$3:$A$32,0),1),0)</f>
        <v>1</v>
      </c>
      <c r="AG184" s="332">
        <f>I184*INDEX(Muuttujat!$U$5:$U$21,MATCH($C184,Muuttujat!$N$5:$N$21,0),1)</f>
        <v>10153.74</v>
      </c>
      <c r="AH184" s="332">
        <f>J184*INDEX(Muuttujat!$T$5:$T$21,MATCH($C184,Muuttujat!$N$5:$N$21,0),1)</f>
        <v>1110.5555102040821</v>
      </c>
      <c r="AI184" s="332">
        <f t="shared" si="50"/>
        <v>265.865306122449</v>
      </c>
      <c r="AJ184" s="332">
        <f t="shared" si="51"/>
        <v>0</v>
      </c>
      <c r="AK184" s="332">
        <f t="shared" si="60"/>
        <v>11530.16081632653</v>
      </c>
      <c r="AL184" s="332">
        <f t="shared" si="52"/>
        <v>11530.16081632653</v>
      </c>
    </row>
    <row r="185" spans="1:38">
      <c r="A185" s="139">
        <v>3</v>
      </c>
      <c r="B185" s="139">
        <f>IFERROR(INDEX(Työkonekanta!$F$3:$F$27,MATCH('S0b Baseline kasvu'!$A185,Työkonekanta!$A$3:$A$24,0),1),0)</f>
        <v>1</v>
      </c>
      <c r="C185" s="140">
        <v>2025</v>
      </c>
      <c r="D185" s="141" t="str">
        <f>IFERROR(INDEX(Työkonekanta!$D$3:$D$27,MATCH('S0b Baseline kasvu'!$A185,Työkonekanta!$A$3:$A$24,0),1),"undefined")</f>
        <v>pom</v>
      </c>
      <c r="E185" s="145">
        <f>IFERROR(INDEX(Työkonekanta!$G$3:$G$27,MATCH($A185,Työkonekanta!$A$3:$A$24,0),1)*INDEX(Työkonekanta!$H$3:$H$27,MATCH($A185,Työkonekanta!$A$3:$A$24,0),1)*(1+s0b_kasvu*($C185-2019))*$B185,0)</f>
        <v>10600</v>
      </c>
      <c r="F185" s="145">
        <f t="shared" si="44"/>
        <v>380540</v>
      </c>
      <c r="G185" s="145">
        <f t="shared" si="53"/>
        <v>353902.19999999995</v>
      </c>
      <c r="H185" s="145">
        <f t="shared" si="54"/>
        <v>26637.800000000003</v>
      </c>
      <c r="I185" s="145">
        <f t="shared" si="45"/>
        <v>9858</v>
      </c>
      <c r="J185" s="145">
        <f t="shared" si="46"/>
        <v>776.61224489795939</v>
      </c>
      <c r="K185" s="142" t="str">
        <f t="shared" si="55"/>
        <v>l</v>
      </c>
      <c r="L185" s="146">
        <f>IFERROR(INDEX(Työkonekanta!$I$3:$I$27,MATCH('S0b Baseline kasvu'!$A185,Työkonekanta!$A$3:$A$24,0),1)*(I185+J185)*f_adblue,0)</f>
        <v>531.730612244898</v>
      </c>
      <c r="M185" s="146">
        <f t="shared" si="61"/>
        <v>0</v>
      </c>
      <c r="N185" s="143" t="str">
        <f>IF(tuulisähkö_vuosi&lt;='S0b Baseline kasvu'!C185,"tuulisähkö",ostosähkö_nyt)</f>
        <v>jäännössähkö</v>
      </c>
      <c r="O185" s="147">
        <f>INDEX(Muuttujat!$J$5:$J$21,MATCH($C185,Muuttujat!$H$5:$H$21,0),1)</f>
        <v>65.194885123382022</v>
      </c>
      <c r="P185" s="342">
        <f>1-(INDEX(Muuttujat!$O$5:$O$21,MATCH($C185,Muuttujat!$N$5:$N$21,0),1))</f>
        <v>0.92999999999999994</v>
      </c>
      <c r="Q185" s="342">
        <f>INDEX(Muuttujat!$O$5:$O$21,MATCH($C185,Muuttujat!$N$5:$N$21,0),1)</f>
        <v>7.0000000000000007E-2</v>
      </c>
      <c r="R185" s="148">
        <f>INDEX(Muuttujat!$P$5:$P$21,MATCH($C185,Muuttujat!$N$5:$N$21,0),1)</f>
        <v>7.3026850896560899E-2</v>
      </c>
      <c r="S185" s="149">
        <f t="shared" si="47"/>
        <v>6.6887515799999981</v>
      </c>
      <c r="T185" s="150">
        <f t="shared" si="48"/>
        <v>1.6621987200000001</v>
      </c>
      <c r="U185" s="150">
        <f t="shared" si="49"/>
        <v>0</v>
      </c>
      <c r="V185" s="150">
        <f>IFERROR(INDEX(Työkonekanta!$J$3:$J$27,MATCH($A185,Työkonekanta!$A$3:$A$24,0),1)*$B185*ef_li_ion_akku/1000/1000/INDEX(Työkonekanta!$K$3:$K$27,MATCH($A185,Työkonekanta!$A$3:$A$24,0)),0)</f>
        <v>0</v>
      </c>
      <c r="W185" s="149">
        <f t="shared" si="62"/>
        <v>26.1209035673388</v>
      </c>
      <c r="X185" s="150">
        <f t="shared" si="63"/>
        <v>0.33681039959999998</v>
      </c>
      <c r="Y185" s="151">
        <f t="shared" si="64"/>
        <v>0.1382499591836735</v>
      </c>
      <c r="Z185" s="152">
        <f t="shared" si="56"/>
        <v>8.3509502999999974</v>
      </c>
      <c r="AA185" s="179">
        <f t="shared" si="57"/>
        <v>26.259153526522475</v>
      </c>
      <c r="AB185" s="179">
        <f t="shared" si="58"/>
        <v>26.595963926122476</v>
      </c>
      <c r="AC185" s="180">
        <f t="shared" si="65"/>
        <v>34.610103826522476</v>
      </c>
      <c r="AD185" s="156">
        <f t="shared" si="59"/>
        <v>34.946914226122473</v>
      </c>
      <c r="AE185" s="146">
        <f>IFERROR(INDEX(Työkonekanta!$L$3:$L$30,MATCH($A185,Työkonekanta!$A$3:$A$30,0),1),0)*AF185</f>
        <v>0</v>
      </c>
      <c r="AF185" s="146">
        <f>IFERROR(INDEX(Työkonekanta!$N$3:$N$32,MATCH($A185,Työkonekanta!$A$3:$A$32,0),1),0)</f>
        <v>0</v>
      </c>
      <c r="AG185" s="332">
        <f>I185*INDEX(Muuttujat!$U$5:$U$21,MATCH($C185,Muuttujat!$N$5:$N$21,0),1)</f>
        <v>10153.74</v>
      </c>
      <c r="AH185" s="332">
        <f>J185*INDEX(Muuttujat!$T$5:$T$21,MATCH($C185,Muuttujat!$N$5:$N$21,0),1)</f>
        <v>1110.5555102040821</v>
      </c>
      <c r="AI185" s="332">
        <f t="shared" si="50"/>
        <v>265.865306122449</v>
      </c>
      <c r="AJ185" s="332">
        <f t="shared" si="51"/>
        <v>0</v>
      </c>
      <c r="AK185" s="332">
        <f t="shared" si="60"/>
        <v>11530.16081632653</v>
      </c>
      <c r="AL185" s="332">
        <f t="shared" si="52"/>
        <v>11530.16081632653</v>
      </c>
    </row>
    <row r="186" spans="1:38">
      <c r="A186" s="139">
        <v>4</v>
      </c>
      <c r="B186" s="139">
        <f>IFERROR(INDEX(Työkonekanta!$F$3:$F$27,MATCH('S0b Baseline kasvu'!$A186,Työkonekanta!$A$3:$A$24,0),1),0)</f>
        <v>1</v>
      </c>
      <c r="C186" s="140">
        <v>2025</v>
      </c>
      <c r="D186" s="141" t="str">
        <f>IFERROR(INDEX(Työkonekanta!$D$3:$D$27,MATCH('S0b Baseline kasvu'!$A186,Työkonekanta!$A$3:$A$24,0),1),"undefined")</f>
        <v>pom</v>
      </c>
      <c r="E186" s="145">
        <f>IFERROR(INDEX(Työkonekanta!$G$3:$G$27,MATCH($A186,Työkonekanta!$A$3:$A$24,0),1)*INDEX(Työkonekanta!$H$3:$H$27,MATCH($A186,Työkonekanta!$A$3:$A$24,0),1)*(1+s0b_kasvu*($C186-2019))*$B186,0)</f>
        <v>10600</v>
      </c>
      <c r="F186" s="145">
        <f t="shared" si="44"/>
        <v>380540</v>
      </c>
      <c r="G186" s="145">
        <f t="shared" si="53"/>
        <v>353902.19999999995</v>
      </c>
      <c r="H186" s="145">
        <f t="shared" si="54"/>
        <v>26637.800000000003</v>
      </c>
      <c r="I186" s="145">
        <f t="shared" si="45"/>
        <v>9858</v>
      </c>
      <c r="J186" s="145">
        <f t="shared" si="46"/>
        <v>776.61224489795939</v>
      </c>
      <c r="K186" s="142" t="str">
        <f t="shared" si="55"/>
        <v>l</v>
      </c>
      <c r="L186" s="146">
        <f>IFERROR(INDEX(Työkonekanta!$I$3:$I$27,MATCH('S0b Baseline kasvu'!$A186,Työkonekanta!$A$3:$A$24,0),1)*(I186+J186)*f_adblue,0)</f>
        <v>531.730612244898</v>
      </c>
      <c r="M186" s="146">
        <f t="shared" si="61"/>
        <v>0</v>
      </c>
      <c r="N186" s="143" t="str">
        <f>IF(tuulisähkö_vuosi&lt;='S0b Baseline kasvu'!C186,"tuulisähkö",ostosähkö_nyt)</f>
        <v>jäännössähkö</v>
      </c>
      <c r="O186" s="147">
        <f>INDEX(Muuttujat!$J$5:$J$21,MATCH($C186,Muuttujat!$H$5:$H$21,0),1)</f>
        <v>65.194885123382022</v>
      </c>
      <c r="P186" s="342">
        <f>1-(INDEX(Muuttujat!$O$5:$O$21,MATCH($C186,Muuttujat!$N$5:$N$21,0),1))</f>
        <v>0.92999999999999994</v>
      </c>
      <c r="Q186" s="342">
        <f>INDEX(Muuttujat!$O$5:$O$21,MATCH($C186,Muuttujat!$N$5:$N$21,0),1)</f>
        <v>7.0000000000000007E-2</v>
      </c>
      <c r="R186" s="148">
        <f>INDEX(Muuttujat!$P$5:$P$21,MATCH($C186,Muuttujat!$N$5:$N$21,0),1)</f>
        <v>7.3026850896560899E-2</v>
      </c>
      <c r="S186" s="149">
        <f t="shared" si="47"/>
        <v>6.6887515799999981</v>
      </c>
      <c r="T186" s="150">
        <f t="shared" si="48"/>
        <v>1.6621987200000001</v>
      </c>
      <c r="U186" s="150">
        <f t="shared" si="49"/>
        <v>0</v>
      </c>
      <c r="V186" s="150">
        <f>IFERROR(INDEX(Työkonekanta!$J$3:$J$27,MATCH($A186,Työkonekanta!$A$3:$A$24,0),1)*$B186*ef_li_ion_akku/1000/1000/INDEX(Työkonekanta!$K$3:$K$27,MATCH($A186,Työkonekanta!$A$3:$A$24,0)),0)</f>
        <v>0</v>
      </c>
      <c r="W186" s="149">
        <f t="shared" si="62"/>
        <v>26.1209035673388</v>
      </c>
      <c r="X186" s="150">
        <f t="shared" si="63"/>
        <v>0.33681039959999998</v>
      </c>
      <c r="Y186" s="151">
        <f t="shared" si="64"/>
        <v>0.1382499591836735</v>
      </c>
      <c r="Z186" s="152">
        <f t="shared" si="56"/>
        <v>8.3509502999999974</v>
      </c>
      <c r="AA186" s="179">
        <f t="shared" si="57"/>
        <v>26.259153526522475</v>
      </c>
      <c r="AB186" s="179">
        <f t="shared" si="58"/>
        <v>26.595963926122476</v>
      </c>
      <c r="AC186" s="180">
        <f t="shared" si="65"/>
        <v>34.610103826522476</v>
      </c>
      <c r="AD186" s="156">
        <f t="shared" si="59"/>
        <v>34.946914226122473</v>
      </c>
      <c r="AE186" s="146">
        <f>IFERROR(INDEX(Työkonekanta!$L$3:$L$30,MATCH($A186,Työkonekanta!$A$3:$A$30,0),1),0)*AF186</f>
        <v>0</v>
      </c>
      <c r="AF186" s="146">
        <f>IFERROR(INDEX(Työkonekanta!$N$3:$N$32,MATCH($A186,Työkonekanta!$A$3:$A$32,0),1),0)</f>
        <v>0</v>
      </c>
      <c r="AG186" s="332">
        <f>I186*INDEX(Muuttujat!$U$5:$U$21,MATCH($C186,Muuttujat!$N$5:$N$21,0),1)</f>
        <v>10153.74</v>
      </c>
      <c r="AH186" s="332">
        <f>J186*INDEX(Muuttujat!$T$5:$T$21,MATCH($C186,Muuttujat!$N$5:$N$21,0),1)</f>
        <v>1110.5555102040821</v>
      </c>
      <c r="AI186" s="332">
        <f t="shared" si="50"/>
        <v>265.865306122449</v>
      </c>
      <c r="AJ186" s="332">
        <f t="shared" si="51"/>
        <v>0</v>
      </c>
      <c r="AK186" s="332">
        <f t="shared" si="60"/>
        <v>11530.16081632653</v>
      </c>
      <c r="AL186" s="332">
        <f t="shared" si="52"/>
        <v>11530.16081632653</v>
      </c>
    </row>
    <row r="187" spans="1:38">
      <c r="A187" s="139">
        <v>5</v>
      </c>
      <c r="B187" s="139">
        <f>IFERROR(INDEX(Työkonekanta!$F$3:$F$27,MATCH('S0b Baseline kasvu'!$A187,Työkonekanta!$A$3:$A$24,0),1),0)</f>
        <v>0</v>
      </c>
      <c r="C187" s="140">
        <v>2025</v>
      </c>
      <c r="D187" s="141" t="str">
        <f>IFERROR(INDEX(Työkonekanta!$D$3:$D$27,MATCH('S0b Baseline kasvu'!$A187,Työkonekanta!$A$3:$A$24,0),1),"undefined")</f>
        <v>sähkö</v>
      </c>
      <c r="E187" s="145">
        <f>IFERROR(INDEX(Työkonekanta!$G$3:$G$27,MATCH($A187,Työkonekanta!$A$3:$A$24,0),1)*INDEX(Työkonekanta!$H$3:$H$27,MATCH($A187,Työkonekanta!$A$3:$A$24,0),1)*(1+s0b_kasvu*($C187-2019))*$B187,0)</f>
        <v>0</v>
      </c>
      <c r="F187" s="145">
        <f t="shared" si="44"/>
        <v>0</v>
      </c>
      <c r="G187" s="145">
        <f t="shared" si="53"/>
        <v>0</v>
      </c>
      <c r="H187" s="145">
        <f t="shared" si="54"/>
        <v>0</v>
      </c>
      <c r="I187" s="145">
        <f t="shared" si="45"/>
        <v>0</v>
      </c>
      <c r="J187" s="145">
        <f t="shared" si="46"/>
        <v>0</v>
      </c>
      <c r="K187" s="142" t="str">
        <f t="shared" si="55"/>
        <v>kWh</v>
      </c>
      <c r="L187" s="146">
        <f>IFERROR(INDEX(Työkonekanta!$I$3:$I$27,MATCH('S0b Baseline kasvu'!$A187,Työkonekanta!$A$3:$A$24,0),1)*(I187+J187)*f_adblue,0)</f>
        <v>0</v>
      </c>
      <c r="M187" s="146">
        <f t="shared" si="61"/>
        <v>0</v>
      </c>
      <c r="N187" s="143" t="str">
        <f>IF(tuulisähkö_vuosi&lt;='S0b Baseline kasvu'!C187,"tuulisähkö",ostosähkö_nyt)</f>
        <v>jäännössähkö</v>
      </c>
      <c r="O187" s="147">
        <f>INDEX(Muuttujat!$J$5:$J$21,MATCH($C187,Muuttujat!$H$5:$H$21,0),1)</f>
        <v>65.194885123382022</v>
      </c>
      <c r="P187" s="342">
        <f>1-(INDEX(Muuttujat!$O$5:$O$21,MATCH($C187,Muuttujat!$N$5:$N$21,0),1))</f>
        <v>0.92999999999999994</v>
      </c>
      <c r="Q187" s="342">
        <f>INDEX(Muuttujat!$O$5:$O$21,MATCH($C187,Muuttujat!$N$5:$N$21,0),1)</f>
        <v>7.0000000000000007E-2</v>
      </c>
      <c r="R187" s="148">
        <f>INDEX(Muuttujat!$P$5:$P$21,MATCH($C187,Muuttujat!$N$5:$N$21,0),1)</f>
        <v>7.3026850896560899E-2</v>
      </c>
      <c r="S187" s="149">
        <f t="shared" si="47"/>
        <v>0</v>
      </c>
      <c r="T187" s="150">
        <f t="shared" si="48"/>
        <v>0</v>
      </c>
      <c r="U187" s="150">
        <f t="shared" si="49"/>
        <v>0</v>
      </c>
      <c r="V187" s="150">
        <f>IFERROR(INDEX(Työkonekanta!$J$3:$J$27,MATCH($A187,Työkonekanta!$A$3:$A$24,0),1)*$B187*ef_li_ion_akku/1000/1000/INDEX(Työkonekanta!$K$3:$K$27,MATCH($A187,Työkonekanta!$A$3:$A$24,0)),0)</f>
        <v>0</v>
      </c>
      <c r="W187" s="149">
        <f t="shared" si="62"/>
        <v>0</v>
      </c>
      <c r="X187" s="150">
        <f t="shared" si="63"/>
        <v>0</v>
      </c>
      <c r="Y187" s="151">
        <f t="shared" si="64"/>
        <v>0</v>
      </c>
      <c r="Z187" s="152">
        <f t="shared" si="56"/>
        <v>0</v>
      </c>
      <c r="AA187" s="179">
        <f t="shared" si="57"/>
        <v>0</v>
      </c>
      <c r="AB187" s="179">
        <f t="shared" si="58"/>
        <v>0</v>
      </c>
      <c r="AC187" s="180">
        <f t="shared" si="65"/>
        <v>0</v>
      </c>
      <c r="AD187" s="156">
        <f t="shared" si="59"/>
        <v>0</v>
      </c>
      <c r="AE187" s="146">
        <f>IFERROR(INDEX(Työkonekanta!$L$3:$L$30,MATCH($A187,Työkonekanta!$A$3:$A$30,0),1),0)*AF187</f>
        <v>0</v>
      </c>
      <c r="AF187" s="146">
        <f>IFERROR(INDEX(Työkonekanta!$N$3:$N$32,MATCH($A187,Työkonekanta!$A$3:$A$32,0),1),0)</f>
        <v>0</v>
      </c>
      <c r="AG187" s="332">
        <f>I187*INDEX(Muuttujat!$U$5:$U$21,MATCH($C187,Muuttujat!$N$5:$N$21,0),1)</f>
        <v>0</v>
      </c>
      <c r="AH187" s="332">
        <f>J187*INDEX(Muuttujat!$T$5:$T$21,MATCH($C187,Muuttujat!$N$5:$N$21,0),1)</f>
        <v>0</v>
      </c>
      <c r="AI187" s="332">
        <f t="shared" si="50"/>
        <v>0</v>
      </c>
      <c r="AJ187" s="332">
        <f t="shared" si="51"/>
        <v>0</v>
      </c>
      <c r="AK187" s="332">
        <f t="shared" si="60"/>
        <v>0</v>
      </c>
      <c r="AL187" s="332">
        <f t="shared" si="52"/>
        <v>0</v>
      </c>
    </row>
    <row r="188" spans="1:38">
      <c r="A188" s="139">
        <v>6</v>
      </c>
      <c r="B188" s="139">
        <f>IFERROR(INDEX(Työkonekanta!$F$3:$F$27,MATCH('S0b Baseline kasvu'!$A188,Työkonekanta!$A$3:$A$24,0),1),0)</f>
        <v>0</v>
      </c>
      <c r="C188" s="140">
        <v>2025</v>
      </c>
      <c r="D188" s="141" t="str">
        <f>IFERROR(INDEX(Työkonekanta!$D$3:$D$27,MATCH('S0b Baseline kasvu'!$A188,Työkonekanta!$A$3:$A$24,0),1),"undefined")</f>
        <v>sähkö</v>
      </c>
      <c r="E188" s="145">
        <f>IFERROR(INDEX(Työkonekanta!$G$3:$G$27,MATCH($A188,Työkonekanta!$A$3:$A$24,0),1)*INDEX(Työkonekanta!$H$3:$H$27,MATCH($A188,Työkonekanta!$A$3:$A$24,0),1)*(1+s0b_kasvu*($C188-2019))*$B188,0)</f>
        <v>0</v>
      </c>
      <c r="F188" s="145">
        <f t="shared" si="44"/>
        <v>0</v>
      </c>
      <c r="G188" s="145">
        <f t="shared" si="53"/>
        <v>0</v>
      </c>
      <c r="H188" s="145">
        <f t="shared" si="54"/>
        <v>0</v>
      </c>
      <c r="I188" s="145">
        <f t="shared" si="45"/>
        <v>0</v>
      </c>
      <c r="J188" s="145">
        <f t="shared" si="46"/>
        <v>0</v>
      </c>
      <c r="K188" s="142" t="str">
        <f t="shared" si="55"/>
        <v>kWh</v>
      </c>
      <c r="L188" s="146">
        <f>IFERROR(INDEX(Työkonekanta!$I$3:$I$27,MATCH('S0b Baseline kasvu'!$A188,Työkonekanta!$A$3:$A$24,0),1)*(I188+J188)*f_adblue,0)</f>
        <v>0</v>
      </c>
      <c r="M188" s="146">
        <f t="shared" si="61"/>
        <v>0</v>
      </c>
      <c r="N188" s="143" t="str">
        <f>IF(tuulisähkö_vuosi&lt;='S0b Baseline kasvu'!C188,"tuulisähkö",ostosähkö_nyt)</f>
        <v>jäännössähkö</v>
      </c>
      <c r="O188" s="147">
        <f>INDEX(Muuttujat!$J$5:$J$21,MATCH($C188,Muuttujat!$H$5:$H$21,0),1)</f>
        <v>65.194885123382022</v>
      </c>
      <c r="P188" s="342">
        <f>1-(INDEX(Muuttujat!$O$5:$O$21,MATCH($C188,Muuttujat!$N$5:$N$21,0),1))</f>
        <v>0.92999999999999994</v>
      </c>
      <c r="Q188" s="342">
        <f>INDEX(Muuttujat!$O$5:$O$21,MATCH($C188,Muuttujat!$N$5:$N$21,0),1)</f>
        <v>7.0000000000000007E-2</v>
      </c>
      <c r="R188" s="148">
        <f>INDEX(Muuttujat!$P$5:$P$21,MATCH($C188,Muuttujat!$N$5:$N$21,0),1)</f>
        <v>7.3026850896560899E-2</v>
      </c>
      <c r="S188" s="149">
        <f t="shared" si="47"/>
        <v>0</v>
      </c>
      <c r="T188" s="150">
        <f t="shared" si="48"/>
        <v>0</v>
      </c>
      <c r="U188" s="150">
        <f t="shared" si="49"/>
        <v>0</v>
      </c>
      <c r="V188" s="150">
        <f>IFERROR(INDEX(Työkonekanta!$J$3:$J$27,MATCH($A188,Työkonekanta!$A$3:$A$24,0),1)*$B188*ef_li_ion_akku/1000/1000/INDEX(Työkonekanta!$K$3:$K$27,MATCH($A188,Työkonekanta!$A$3:$A$24,0)),0)</f>
        <v>0</v>
      </c>
      <c r="W188" s="149">
        <f t="shared" si="62"/>
        <v>0</v>
      </c>
      <c r="X188" s="150">
        <f t="shared" si="63"/>
        <v>0</v>
      </c>
      <c r="Y188" s="151">
        <f t="shared" si="64"/>
        <v>0</v>
      </c>
      <c r="Z188" s="152">
        <f t="shared" si="56"/>
        <v>0</v>
      </c>
      <c r="AA188" s="179">
        <f t="shared" si="57"/>
        <v>0</v>
      </c>
      <c r="AB188" s="179">
        <f t="shared" si="58"/>
        <v>0</v>
      </c>
      <c r="AC188" s="180">
        <f t="shared" si="65"/>
        <v>0</v>
      </c>
      <c r="AD188" s="156">
        <f t="shared" si="59"/>
        <v>0</v>
      </c>
      <c r="AE188" s="146">
        <f>IFERROR(INDEX(Työkonekanta!$L$3:$L$30,MATCH($A188,Työkonekanta!$A$3:$A$30,0),1),0)*AF188</f>
        <v>0</v>
      </c>
      <c r="AF188" s="146">
        <f>IFERROR(INDEX(Työkonekanta!$N$3:$N$32,MATCH($A188,Työkonekanta!$A$3:$A$32,0),1),0)</f>
        <v>0</v>
      </c>
      <c r="AG188" s="332">
        <f>I188*INDEX(Muuttujat!$U$5:$U$21,MATCH($C188,Muuttujat!$N$5:$N$21,0),1)</f>
        <v>0</v>
      </c>
      <c r="AH188" s="332">
        <f>J188*INDEX(Muuttujat!$T$5:$T$21,MATCH($C188,Muuttujat!$N$5:$N$21,0),1)</f>
        <v>0</v>
      </c>
      <c r="AI188" s="332">
        <f t="shared" si="50"/>
        <v>0</v>
      </c>
      <c r="AJ188" s="332">
        <f t="shared" si="51"/>
        <v>0</v>
      </c>
      <c r="AK188" s="332">
        <f t="shared" si="60"/>
        <v>0</v>
      </c>
      <c r="AL188" s="332">
        <f t="shared" si="52"/>
        <v>0</v>
      </c>
    </row>
    <row r="189" spans="1:38">
      <c r="A189" s="139">
        <v>7</v>
      </c>
      <c r="B189" s="139">
        <f>IFERROR(INDEX(Työkonekanta!$F$3:$F$27,MATCH('S0b Baseline kasvu'!$A189,Työkonekanta!$A$3:$A$24,0),1),0)</f>
        <v>1</v>
      </c>
      <c r="C189" s="140">
        <v>2025</v>
      </c>
      <c r="D189" s="141" t="str">
        <f>IFERROR(INDEX(Työkonekanta!$D$3:$D$27,MATCH('S0b Baseline kasvu'!$A189,Työkonekanta!$A$3:$A$24,0),1),"undefined")</f>
        <v>pom</v>
      </c>
      <c r="E189" s="145">
        <f>IFERROR(INDEX(Työkonekanta!$G$3:$G$27,MATCH($A189,Työkonekanta!$A$3:$A$24,0),1)*INDEX(Työkonekanta!$H$3:$H$27,MATCH($A189,Työkonekanta!$A$3:$A$24,0),1)*(1+s0b_kasvu*($C189-2019))*$B189,0)</f>
        <v>10600</v>
      </c>
      <c r="F189" s="145">
        <f t="shared" si="44"/>
        <v>380540</v>
      </c>
      <c r="G189" s="145">
        <f t="shared" si="53"/>
        <v>353902.19999999995</v>
      </c>
      <c r="H189" s="145">
        <f t="shared" si="54"/>
        <v>26637.800000000003</v>
      </c>
      <c r="I189" s="145">
        <f t="shared" si="45"/>
        <v>9858</v>
      </c>
      <c r="J189" s="145">
        <f t="shared" si="46"/>
        <v>776.61224489795939</v>
      </c>
      <c r="K189" s="142" t="str">
        <f t="shared" si="55"/>
        <v>l</v>
      </c>
      <c r="L189" s="146">
        <f>IFERROR(INDEX(Työkonekanta!$I$3:$I$27,MATCH('S0b Baseline kasvu'!$A189,Työkonekanta!$A$3:$A$24,0),1)*(I189+J189)*f_adblue,0)</f>
        <v>0</v>
      </c>
      <c r="M189" s="146">
        <f t="shared" si="61"/>
        <v>0</v>
      </c>
      <c r="N189" s="143" t="str">
        <f>IF(tuulisähkö_vuosi&lt;='S0b Baseline kasvu'!C189,"tuulisähkö",ostosähkö_nyt)</f>
        <v>jäännössähkö</v>
      </c>
      <c r="O189" s="147">
        <f>INDEX(Muuttujat!$J$5:$J$21,MATCH($C189,Muuttujat!$H$5:$H$21,0),1)</f>
        <v>65.194885123382022</v>
      </c>
      <c r="P189" s="342">
        <f>1-(INDEX(Muuttujat!$O$5:$O$21,MATCH($C189,Muuttujat!$N$5:$N$21,0),1))</f>
        <v>0.92999999999999994</v>
      </c>
      <c r="Q189" s="342">
        <f>INDEX(Muuttujat!$O$5:$O$21,MATCH($C189,Muuttujat!$N$5:$N$21,0),1)</f>
        <v>7.0000000000000007E-2</v>
      </c>
      <c r="R189" s="148">
        <f>INDEX(Muuttujat!$P$5:$P$21,MATCH($C189,Muuttujat!$N$5:$N$21,0),1)</f>
        <v>7.3026850896560899E-2</v>
      </c>
      <c r="S189" s="149">
        <f t="shared" si="47"/>
        <v>6.6887515799999981</v>
      </c>
      <c r="T189" s="150">
        <f t="shared" si="48"/>
        <v>1.6621987200000001</v>
      </c>
      <c r="U189" s="150">
        <f t="shared" si="49"/>
        <v>0</v>
      </c>
      <c r="V189" s="150">
        <f>IFERROR(INDEX(Työkonekanta!$J$3:$J$27,MATCH($A189,Työkonekanta!$A$3:$A$24,0),1)*$B189*ef_li_ion_akku/1000/1000/INDEX(Työkonekanta!$K$3:$K$27,MATCH($A189,Työkonekanta!$A$3:$A$24,0)),0)</f>
        <v>0</v>
      </c>
      <c r="W189" s="149">
        <f t="shared" si="62"/>
        <v>26.1209035673388</v>
      </c>
      <c r="X189" s="150">
        <f t="shared" si="63"/>
        <v>0.33681039959999998</v>
      </c>
      <c r="Y189" s="151">
        <f t="shared" si="64"/>
        <v>0</v>
      </c>
      <c r="Z189" s="152">
        <f t="shared" si="56"/>
        <v>8.3509502999999974</v>
      </c>
      <c r="AA189" s="179">
        <f t="shared" si="57"/>
        <v>26.1209035673388</v>
      </c>
      <c r="AB189" s="179">
        <f t="shared" si="58"/>
        <v>26.457713966938801</v>
      </c>
      <c r="AC189" s="180">
        <f t="shared" si="65"/>
        <v>34.471853867338794</v>
      </c>
      <c r="AD189" s="156">
        <f t="shared" si="59"/>
        <v>34.808664266938798</v>
      </c>
      <c r="AE189" s="146">
        <f>IFERROR(INDEX(Työkonekanta!$L$3:$L$30,MATCH($A189,Työkonekanta!$A$3:$A$30,0),1),0)*AF189</f>
        <v>500000</v>
      </c>
      <c r="AF189" s="146">
        <f>IFERROR(INDEX(Työkonekanta!$N$3:$N$32,MATCH($A189,Työkonekanta!$A$3:$A$32,0),1),0)</f>
        <v>1</v>
      </c>
      <c r="AG189" s="332">
        <f>I189*INDEX(Muuttujat!$U$5:$U$21,MATCH($C189,Muuttujat!$N$5:$N$21,0),1)</f>
        <v>10153.74</v>
      </c>
      <c r="AH189" s="332">
        <f>J189*INDEX(Muuttujat!$T$5:$T$21,MATCH($C189,Muuttujat!$N$5:$N$21,0),1)</f>
        <v>1110.5555102040821</v>
      </c>
      <c r="AI189" s="332">
        <f t="shared" si="50"/>
        <v>0</v>
      </c>
      <c r="AJ189" s="332">
        <f t="shared" si="51"/>
        <v>0</v>
      </c>
      <c r="AK189" s="332">
        <f t="shared" si="60"/>
        <v>11264.295510204081</v>
      </c>
      <c r="AL189" s="332">
        <f t="shared" si="52"/>
        <v>11264.295510204081</v>
      </c>
    </row>
    <row r="190" spans="1:38">
      <c r="A190" s="139">
        <v>8</v>
      </c>
      <c r="B190" s="139">
        <f>IFERROR(INDEX(Työkonekanta!$F$3:$F$27,MATCH('S0b Baseline kasvu'!$A190,Työkonekanta!$A$3:$A$24,0),1),0)</f>
        <v>1</v>
      </c>
      <c r="C190" s="140">
        <v>2025</v>
      </c>
      <c r="D190" s="141" t="str">
        <f>IFERROR(INDEX(Työkonekanta!$D$3:$D$27,MATCH('S0b Baseline kasvu'!$A190,Työkonekanta!$A$3:$A$24,0),1),"undefined")</f>
        <v>pom</v>
      </c>
      <c r="E190" s="145">
        <f>IFERROR(INDEX(Työkonekanta!$G$3:$G$27,MATCH($A190,Työkonekanta!$A$3:$A$24,0),1)*INDEX(Työkonekanta!$H$3:$H$27,MATCH($A190,Työkonekanta!$A$3:$A$24,0),1)*(1+s0b_kasvu*($C190-2019))*$B190,0)</f>
        <v>10600</v>
      </c>
      <c r="F190" s="145">
        <f t="shared" si="44"/>
        <v>380540</v>
      </c>
      <c r="G190" s="145">
        <f t="shared" si="53"/>
        <v>353902.19999999995</v>
      </c>
      <c r="H190" s="145">
        <f t="shared" si="54"/>
        <v>26637.800000000003</v>
      </c>
      <c r="I190" s="145">
        <f t="shared" si="45"/>
        <v>9858</v>
      </c>
      <c r="J190" s="145">
        <f t="shared" si="46"/>
        <v>776.61224489795939</v>
      </c>
      <c r="K190" s="142" t="str">
        <f t="shared" si="55"/>
        <v>l</v>
      </c>
      <c r="L190" s="146">
        <f>IFERROR(INDEX(Työkonekanta!$I$3:$I$27,MATCH('S0b Baseline kasvu'!$A190,Työkonekanta!$A$3:$A$24,0),1)*(I190+J190)*f_adblue,0)</f>
        <v>531.730612244898</v>
      </c>
      <c r="M190" s="146">
        <f t="shared" si="61"/>
        <v>0</v>
      </c>
      <c r="N190" s="143" t="str">
        <f>IF(tuulisähkö_vuosi&lt;='S0b Baseline kasvu'!C190,"tuulisähkö",ostosähkö_nyt)</f>
        <v>jäännössähkö</v>
      </c>
      <c r="O190" s="147">
        <f>INDEX(Muuttujat!$J$5:$J$21,MATCH($C190,Muuttujat!$H$5:$H$21,0),1)</f>
        <v>65.194885123382022</v>
      </c>
      <c r="P190" s="342">
        <f>1-(INDEX(Muuttujat!$O$5:$O$21,MATCH($C190,Muuttujat!$N$5:$N$21,0),1))</f>
        <v>0.92999999999999994</v>
      </c>
      <c r="Q190" s="342">
        <f>INDEX(Muuttujat!$O$5:$O$21,MATCH($C190,Muuttujat!$N$5:$N$21,0),1)</f>
        <v>7.0000000000000007E-2</v>
      </c>
      <c r="R190" s="148">
        <f>INDEX(Muuttujat!$P$5:$P$21,MATCH($C190,Muuttujat!$N$5:$N$21,0),1)</f>
        <v>7.3026850896560899E-2</v>
      </c>
      <c r="S190" s="149">
        <f t="shared" si="47"/>
        <v>6.6887515799999981</v>
      </c>
      <c r="T190" s="150">
        <f t="shared" si="48"/>
        <v>1.6621987200000001</v>
      </c>
      <c r="U190" s="150">
        <f t="shared" si="49"/>
        <v>0</v>
      </c>
      <c r="V190" s="150">
        <f>IFERROR(INDEX(Työkonekanta!$J$3:$J$27,MATCH($A190,Työkonekanta!$A$3:$A$24,0),1)*$B190*ef_li_ion_akku/1000/1000/INDEX(Työkonekanta!$K$3:$K$27,MATCH($A190,Työkonekanta!$A$3:$A$24,0)),0)</f>
        <v>0</v>
      </c>
      <c r="W190" s="149">
        <f t="shared" si="62"/>
        <v>26.1209035673388</v>
      </c>
      <c r="X190" s="150">
        <f t="shared" si="63"/>
        <v>0.33681039959999998</v>
      </c>
      <c r="Y190" s="151">
        <f t="shared" si="64"/>
        <v>0.1382499591836735</v>
      </c>
      <c r="Z190" s="152">
        <f t="shared" si="56"/>
        <v>8.3509502999999974</v>
      </c>
      <c r="AA190" s="179">
        <f t="shared" si="57"/>
        <v>26.259153526522475</v>
      </c>
      <c r="AB190" s="179">
        <f t="shared" si="58"/>
        <v>26.595963926122476</v>
      </c>
      <c r="AC190" s="180">
        <f t="shared" si="65"/>
        <v>34.610103826522476</v>
      </c>
      <c r="AD190" s="156">
        <f t="shared" si="59"/>
        <v>34.946914226122473</v>
      </c>
      <c r="AE190" s="146">
        <f>IFERROR(INDEX(Työkonekanta!$L$3:$L$30,MATCH($A190,Työkonekanta!$A$3:$A$30,0),1),0)*AF190</f>
        <v>500000</v>
      </c>
      <c r="AF190" s="146">
        <f>IFERROR(INDEX(Työkonekanta!$N$3:$N$32,MATCH($A190,Työkonekanta!$A$3:$A$32,0),1),0)</f>
        <v>1</v>
      </c>
      <c r="AG190" s="332">
        <f>I190*INDEX(Muuttujat!$U$5:$U$21,MATCH($C190,Muuttujat!$N$5:$N$21,0),1)</f>
        <v>10153.74</v>
      </c>
      <c r="AH190" s="332">
        <f>J190*INDEX(Muuttujat!$T$5:$T$21,MATCH($C190,Muuttujat!$N$5:$N$21,0),1)</f>
        <v>1110.5555102040821</v>
      </c>
      <c r="AI190" s="332">
        <f t="shared" si="50"/>
        <v>265.865306122449</v>
      </c>
      <c r="AJ190" s="332">
        <f t="shared" si="51"/>
        <v>0</v>
      </c>
      <c r="AK190" s="332">
        <f t="shared" si="60"/>
        <v>11530.16081632653</v>
      </c>
      <c r="AL190" s="332">
        <f t="shared" si="52"/>
        <v>11530.16081632653</v>
      </c>
    </row>
    <row r="191" spans="1:38">
      <c r="A191" s="139">
        <v>9</v>
      </c>
      <c r="B191" s="139">
        <f>IFERROR(INDEX(Työkonekanta!$F$3:$F$27,MATCH('S0b Baseline kasvu'!$A191,Työkonekanta!$A$3:$A$24,0),1),0)</f>
        <v>0</v>
      </c>
      <c r="C191" s="140">
        <v>2025</v>
      </c>
      <c r="D191" s="141" t="str">
        <f>IFERROR(INDEX(Työkonekanta!$D$3:$D$27,MATCH('S0b Baseline kasvu'!$A191,Työkonekanta!$A$3:$A$24,0),1),"undefined")</f>
        <v>sähkö</v>
      </c>
      <c r="E191" s="145">
        <f>IFERROR(INDEX(Työkonekanta!$G$3:$G$27,MATCH($A191,Työkonekanta!$A$3:$A$24,0),1)*INDEX(Työkonekanta!$H$3:$H$27,MATCH($A191,Työkonekanta!$A$3:$A$24,0),1)*(1+s0b_kasvu*($C191-2019))*$B191,0)</f>
        <v>0</v>
      </c>
      <c r="F191" s="145">
        <f t="shared" si="44"/>
        <v>0</v>
      </c>
      <c r="G191" s="145">
        <f t="shared" si="53"/>
        <v>0</v>
      </c>
      <c r="H191" s="145">
        <f t="shared" si="54"/>
        <v>0</v>
      </c>
      <c r="I191" s="145">
        <f t="shared" si="45"/>
        <v>0</v>
      </c>
      <c r="J191" s="145">
        <f t="shared" si="46"/>
        <v>0</v>
      </c>
      <c r="K191" s="142" t="str">
        <f t="shared" si="55"/>
        <v>kWh</v>
      </c>
      <c r="L191" s="146">
        <f>IFERROR(INDEX(Työkonekanta!$I$3:$I$27,MATCH('S0b Baseline kasvu'!$A191,Työkonekanta!$A$3:$A$24,0),1)*(I191+J191)*f_adblue,0)</f>
        <v>0</v>
      </c>
      <c r="M191" s="146">
        <f t="shared" si="61"/>
        <v>0</v>
      </c>
      <c r="N191" s="143" t="str">
        <f>IF(tuulisähkö_vuosi&lt;='S0b Baseline kasvu'!C191,"tuulisähkö",ostosähkö_nyt)</f>
        <v>jäännössähkö</v>
      </c>
      <c r="O191" s="147">
        <f>INDEX(Muuttujat!$J$5:$J$21,MATCH($C191,Muuttujat!$H$5:$H$21,0),1)</f>
        <v>65.194885123382022</v>
      </c>
      <c r="P191" s="342">
        <f>1-(INDEX(Muuttujat!$O$5:$O$21,MATCH($C191,Muuttujat!$N$5:$N$21,0),1))</f>
        <v>0.92999999999999994</v>
      </c>
      <c r="Q191" s="342">
        <f>INDEX(Muuttujat!$O$5:$O$21,MATCH($C191,Muuttujat!$N$5:$N$21,0),1)</f>
        <v>7.0000000000000007E-2</v>
      </c>
      <c r="R191" s="148">
        <f>INDEX(Muuttujat!$P$5:$P$21,MATCH($C191,Muuttujat!$N$5:$N$21,0),1)</f>
        <v>7.3026850896560899E-2</v>
      </c>
      <c r="S191" s="149">
        <f t="shared" si="47"/>
        <v>0</v>
      </c>
      <c r="T191" s="150">
        <f t="shared" si="48"/>
        <v>0</v>
      </c>
      <c r="U191" s="150">
        <f t="shared" si="49"/>
        <v>0</v>
      </c>
      <c r="V191" s="150">
        <f>IFERROR(INDEX(Työkonekanta!$J$3:$J$27,MATCH($A191,Työkonekanta!$A$3:$A$24,0),1)*$B191*ef_li_ion_akku/1000/1000/INDEX(Työkonekanta!$K$3:$K$27,MATCH($A191,Työkonekanta!$A$3:$A$24,0)),0)</f>
        <v>0</v>
      </c>
      <c r="W191" s="149">
        <f t="shared" si="62"/>
        <v>0</v>
      </c>
      <c r="X191" s="150">
        <f t="shared" si="63"/>
        <v>0</v>
      </c>
      <c r="Y191" s="151">
        <f t="shared" si="64"/>
        <v>0</v>
      </c>
      <c r="Z191" s="152">
        <f t="shared" si="56"/>
        <v>0</v>
      </c>
      <c r="AA191" s="179">
        <f t="shared" si="57"/>
        <v>0</v>
      </c>
      <c r="AB191" s="179">
        <f t="shared" si="58"/>
        <v>0</v>
      </c>
      <c r="AC191" s="180">
        <f t="shared" si="65"/>
        <v>0</v>
      </c>
      <c r="AD191" s="156">
        <f t="shared" si="59"/>
        <v>0</v>
      </c>
      <c r="AE191" s="146">
        <f>IFERROR(INDEX(Työkonekanta!$L$3:$L$30,MATCH($A191,Työkonekanta!$A$3:$A$30,0),1),0)*AF191</f>
        <v>0</v>
      </c>
      <c r="AF191" s="146">
        <f>IFERROR(INDEX(Työkonekanta!$N$3:$N$32,MATCH($A191,Työkonekanta!$A$3:$A$32,0),1),0)</f>
        <v>0</v>
      </c>
      <c r="AG191" s="332">
        <f>I191*INDEX(Muuttujat!$U$5:$U$21,MATCH($C191,Muuttujat!$N$5:$N$21,0),1)</f>
        <v>0</v>
      </c>
      <c r="AH191" s="332">
        <f>J191*INDEX(Muuttujat!$T$5:$T$21,MATCH($C191,Muuttujat!$N$5:$N$21,0),1)</f>
        <v>0</v>
      </c>
      <c r="AI191" s="332">
        <f t="shared" si="50"/>
        <v>0</v>
      </c>
      <c r="AJ191" s="332">
        <f t="shared" si="51"/>
        <v>0</v>
      </c>
      <c r="AK191" s="332">
        <f t="shared" si="60"/>
        <v>0</v>
      </c>
      <c r="AL191" s="332">
        <f t="shared" si="52"/>
        <v>0</v>
      </c>
    </row>
    <row r="192" spans="1:38">
      <c r="A192" s="139">
        <v>10</v>
      </c>
      <c r="B192" s="139">
        <f>IFERROR(INDEX(Työkonekanta!$F$3:$F$27,MATCH('S0b Baseline kasvu'!$A192,Työkonekanta!$A$3:$A$24,0),1),0)</f>
        <v>0</v>
      </c>
      <c r="C192" s="140">
        <v>2025</v>
      </c>
      <c r="D192" s="141" t="str">
        <f>IFERROR(INDEX(Työkonekanta!$D$3:$D$27,MATCH('S0b Baseline kasvu'!$A192,Työkonekanta!$A$3:$A$24,0),1),"undefined")</f>
        <v>sähkö</v>
      </c>
      <c r="E192" s="145">
        <f>IFERROR(INDEX(Työkonekanta!$G$3:$G$27,MATCH($A192,Työkonekanta!$A$3:$A$24,0),1)*INDEX(Työkonekanta!$H$3:$H$27,MATCH($A192,Työkonekanta!$A$3:$A$24,0),1)*(1+s0b_kasvu*($C192-2019))*$B192,0)</f>
        <v>0</v>
      </c>
      <c r="F192" s="145">
        <f t="shared" si="44"/>
        <v>0</v>
      </c>
      <c r="G192" s="145">
        <f t="shared" si="53"/>
        <v>0</v>
      </c>
      <c r="H192" s="145">
        <f t="shared" si="54"/>
        <v>0</v>
      </c>
      <c r="I192" s="145">
        <f t="shared" si="45"/>
        <v>0</v>
      </c>
      <c r="J192" s="145">
        <f t="shared" si="46"/>
        <v>0</v>
      </c>
      <c r="K192" s="142" t="str">
        <f t="shared" si="55"/>
        <v>kWh</v>
      </c>
      <c r="L192" s="146">
        <f>IFERROR(INDEX(Työkonekanta!$I$3:$I$27,MATCH('S0b Baseline kasvu'!$A192,Työkonekanta!$A$3:$A$24,0),1)*(I192+J192)*f_adblue,0)</f>
        <v>0</v>
      </c>
      <c r="M192" s="146">
        <f t="shared" si="61"/>
        <v>0</v>
      </c>
      <c r="N192" s="143" t="str">
        <f>IF(tuulisähkö_vuosi&lt;='S0b Baseline kasvu'!C192,"tuulisähkö",ostosähkö_nyt)</f>
        <v>jäännössähkö</v>
      </c>
      <c r="O192" s="147">
        <f>INDEX(Muuttujat!$J$5:$J$21,MATCH($C192,Muuttujat!$H$5:$H$21,0),1)</f>
        <v>65.194885123382022</v>
      </c>
      <c r="P192" s="342">
        <f>1-(INDEX(Muuttujat!$O$5:$O$21,MATCH($C192,Muuttujat!$N$5:$N$21,0),1))</f>
        <v>0.92999999999999994</v>
      </c>
      <c r="Q192" s="342">
        <f>INDEX(Muuttujat!$O$5:$O$21,MATCH($C192,Muuttujat!$N$5:$N$21,0),1)</f>
        <v>7.0000000000000007E-2</v>
      </c>
      <c r="R192" s="148">
        <f>INDEX(Muuttujat!$P$5:$P$21,MATCH($C192,Muuttujat!$N$5:$N$21,0),1)</f>
        <v>7.3026850896560899E-2</v>
      </c>
      <c r="S192" s="149">
        <f t="shared" si="47"/>
        <v>0</v>
      </c>
      <c r="T192" s="150">
        <f t="shared" si="48"/>
        <v>0</v>
      </c>
      <c r="U192" s="150">
        <f t="shared" si="49"/>
        <v>0</v>
      </c>
      <c r="V192" s="150">
        <f>IFERROR(INDEX(Työkonekanta!$J$3:$J$27,MATCH($A192,Työkonekanta!$A$3:$A$24,0),1)*$B192*ef_li_ion_akku/1000/1000/INDEX(Työkonekanta!$K$3:$K$27,MATCH($A192,Työkonekanta!$A$3:$A$24,0)),0)</f>
        <v>0</v>
      </c>
      <c r="W192" s="149">
        <f t="shared" si="62"/>
        <v>0</v>
      </c>
      <c r="X192" s="150">
        <f t="shared" si="63"/>
        <v>0</v>
      </c>
      <c r="Y192" s="151">
        <f t="shared" si="64"/>
        <v>0</v>
      </c>
      <c r="Z192" s="152">
        <f t="shared" si="56"/>
        <v>0</v>
      </c>
      <c r="AA192" s="179">
        <f t="shared" si="57"/>
        <v>0</v>
      </c>
      <c r="AB192" s="179">
        <f t="shared" si="58"/>
        <v>0</v>
      </c>
      <c r="AC192" s="180">
        <f t="shared" si="65"/>
        <v>0</v>
      </c>
      <c r="AD192" s="156">
        <f t="shared" si="59"/>
        <v>0</v>
      </c>
      <c r="AE192" s="146">
        <f>IFERROR(INDEX(Työkonekanta!$L$3:$L$30,MATCH($A192,Työkonekanta!$A$3:$A$30,0),1),0)*AF192</f>
        <v>0</v>
      </c>
      <c r="AF192" s="146">
        <f>IFERROR(INDEX(Työkonekanta!$N$3:$N$32,MATCH($A192,Työkonekanta!$A$3:$A$32,0),1),0)</f>
        <v>0</v>
      </c>
      <c r="AG192" s="332">
        <f>I192*INDEX(Muuttujat!$U$5:$U$21,MATCH($C192,Muuttujat!$N$5:$N$21,0),1)</f>
        <v>0</v>
      </c>
      <c r="AH192" s="332">
        <f>J192*INDEX(Muuttujat!$T$5:$T$21,MATCH($C192,Muuttujat!$N$5:$N$21,0),1)</f>
        <v>0</v>
      </c>
      <c r="AI192" s="332">
        <f t="shared" si="50"/>
        <v>0</v>
      </c>
      <c r="AJ192" s="332">
        <f t="shared" si="51"/>
        <v>0</v>
      </c>
      <c r="AK192" s="332">
        <f t="shared" si="60"/>
        <v>0</v>
      </c>
      <c r="AL192" s="332">
        <f t="shared" si="52"/>
        <v>0</v>
      </c>
    </row>
    <row r="193" spans="1:38">
      <c r="A193" s="139">
        <v>11</v>
      </c>
      <c r="B193" s="139">
        <f>IFERROR(INDEX(Työkonekanta!$F$3:$F$27,MATCH('S0b Baseline kasvu'!$A193,Työkonekanta!$A$3:$A$24,0),1),0)</f>
        <v>1</v>
      </c>
      <c r="C193" s="140">
        <v>2025</v>
      </c>
      <c r="D193" s="141" t="str">
        <f>IFERROR(INDEX(Työkonekanta!$D$3:$D$27,MATCH('S0b Baseline kasvu'!$A193,Työkonekanta!$A$3:$A$24,0),1),"undefined")</f>
        <v>pom</v>
      </c>
      <c r="E193" s="145">
        <f>IFERROR(INDEX(Työkonekanta!$G$3:$G$27,MATCH($A193,Työkonekanta!$A$3:$A$24,0),1)*INDEX(Työkonekanta!$H$3:$H$27,MATCH($A193,Työkonekanta!$A$3:$A$24,0),1)*(1+s0b_kasvu*($C193-2019))*$B193,0)</f>
        <v>10600</v>
      </c>
      <c r="F193" s="145">
        <f t="shared" si="44"/>
        <v>380540</v>
      </c>
      <c r="G193" s="145">
        <f t="shared" si="53"/>
        <v>353902.19999999995</v>
      </c>
      <c r="H193" s="145">
        <f t="shared" si="54"/>
        <v>26637.800000000003</v>
      </c>
      <c r="I193" s="145">
        <f t="shared" si="45"/>
        <v>9858</v>
      </c>
      <c r="J193" s="145">
        <f t="shared" si="46"/>
        <v>776.61224489795939</v>
      </c>
      <c r="K193" s="142" t="str">
        <f t="shared" si="55"/>
        <v>l</v>
      </c>
      <c r="L193" s="146">
        <f>IFERROR(INDEX(Työkonekanta!$I$3:$I$27,MATCH('S0b Baseline kasvu'!$A193,Työkonekanta!$A$3:$A$24,0),1)*(I193+J193)*f_adblue,0)</f>
        <v>531.730612244898</v>
      </c>
      <c r="M193" s="146">
        <f t="shared" si="61"/>
        <v>0</v>
      </c>
      <c r="N193" s="143" t="str">
        <f>IF(tuulisähkö_vuosi&lt;='S0b Baseline kasvu'!C193,"tuulisähkö",ostosähkö_nyt)</f>
        <v>jäännössähkö</v>
      </c>
      <c r="O193" s="147">
        <f>INDEX(Muuttujat!$J$5:$J$21,MATCH($C193,Muuttujat!$H$5:$H$21,0),1)</f>
        <v>65.194885123382022</v>
      </c>
      <c r="P193" s="342">
        <f>1-(INDEX(Muuttujat!$O$5:$O$21,MATCH($C193,Muuttujat!$N$5:$N$21,0),1))</f>
        <v>0.92999999999999994</v>
      </c>
      <c r="Q193" s="342">
        <f>INDEX(Muuttujat!$O$5:$O$21,MATCH($C193,Muuttujat!$N$5:$N$21,0),1)</f>
        <v>7.0000000000000007E-2</v>
      </c>
      <c r="R193" s="148">
        <f>INDEX(Muuttujat!$P$5:$P$21,MATCH($C193,Muuttujat!$N$5:$N$21,0),1)</f>
        <v>7.3026850896560899E-2</v>
      </c>
      <c r="S193" s="149">
        <f t="shared" si="47"/>
        <v>6.6887515799999981</v>
      </c>
      <c r="T193" s="150">
        <f t="shared" si="48"/>
        <v>1.6621987200000001</v>
      </c>
      <c r="U193" s="150">
        <f t="shared" si="49"/>
        <v>0</v>
      </c>
      <c r="V193" s="150">
        <f>IFERROR(INDEX(Työkonekanta!$J$3:$J$27,MATCH($A193,Työkonekanta!$A$3:$A$24,0),1)*$B193*ef_li_ion_akku/1000/1000/INDEX(Työkonekanta!$K$3:$K$27,MATCH($A193,Työkonekanta!$A$3:$A$24,0)),0)</f>
        <v>0</v>
      </c>
      <c r="W193" s="149">
        <f t="shared" si="62"/>
        <v>26.1209035673388</v>
      </c>
      <c r="X193" s="150">
        <f t="shared" si="63"/>
        <v>0.33681039959999998</v>
      </c>
      <c r="Y193" s="151">
        <f t="shared" si="64"/>
        <v>0.1382499591836735</v>
      </c>
      <c r="Z193" s="152">
        <f t="shared" si="56"/>
        <v>8.3509502999999974</v>
      </c>
      <c r="AA193" s="179">
        <f t="shared" si="57"/>
        <v>26.259153526522475</v>
      </c>
      <c r="AB193" s="179">
        <f t="shared" si="58"/>
        <v>26.595963926122476</v>
      </c>
      <c r="AC193" s="180">
        <f t="shared" si="65"/>
        <v>34.610103826522476</v>
      </c>
      <c r="AD193" s="156">
        <f t="shared" si="59"/>
        <v>34.946914226122473</v>
      </c>
      <c r="AE193" s="146">
        <f>IFERROR(INDEX(Työkonekanta!$L$3:$L$30,MATCH($A193,Työkonekanta!$A$3:$A$30,0),1),0)*AF193</f>
        <v>500000</v>
      </c>
      <c r="AF193" s="146">
        <f>IFERROR(INDEX(Työkonekanta!$N$3:$N$32,MATCH($A193,Työkonekanta!$A$3:$A$32,0),1),0)</f>
        <v>1</v>
      </c>
      <c r="AG193" s="332">
        <f>I193*INDEX(Muuttujat!$U$5:$U$21,MATCH($C193,Muuttujat!$N$5:$N$21,0),1)</f>
        <v>10153.74</v>
      </c>
      <c r="AH193" s="332">
        <f>J193*INDEX(Muuttujat!$T$5:$T$21,MATCH($C193,Muuttujat!$N$5:$N$21,0),1)</f>
        <v>1110.5555102040821</v>
      </c>
      <c r="AI193" s="332">
        <f t="shared" si="50"/>
        <v>265.865306122449</v>
      </c>
      <c r="AJ193" s="332">
        <f t="shared" si="51"/>
        <v>0</v>
      </c>
      <c r="AK193" s="332">
        <f t="shared" si="60"/>
        <v>11530.16081632653</v>
      </c>
      <c r="AL193" s="332">
        <f t="shared" si="52"/>
        <v>11530.16081632653</v>
      </c>
    </row>
    <row r="194" spans="1:38">
      <c r="A194" s="139">
        <v>12</v>
      </c>
      <c r="B194" s="139">
        <f>IFERROR(INDEX(Työkonekanta!$F$3:$F$27,MATCH('S0b Baseline kasvu'!$A194,Työkonekanta!$A$3:$A$24,0),1),0)</f>
        <v>1</v>
      </c>
      <c r="C194" s="140">
        <v>2025</v>
      </c>
      <c r="D194" s="141" t="str">
        <f>IFERROR(INDEX(Työkonekanta!$D$3:$D$27,MATCH('S0b Baseline kasvu'!$A194,Työkonekanta!$A$3:$A$24,0),1),"undefined")</f>
        <v>pom</v>
      </c>
      <c r="E194" s="145">
        <f>IFERROR(INDEX(Työkonekanta!$G$3:$G$27,MATCH($A194,Työkonekanta!$A$3:$A$24,0),1)*INDEX(Työkonekanta!$H$3:$H$27,MATCH($A194,Työkonekanta!$A$3:$A$24,0),1)*(1+s0b_kasvu*($C194-2019))*$B194,0)</f>
        <v>10600</v>
      </c>
      <c r="F194" s="145">
        <f t="shared" si="44"/>
        <v>380540</v>
      </c>
      <c r="G194" s="145">
        <f t="shared" si="53"/>
        <v>353902.19999999995</v>
      </c>
      <c r="H194" s="145">
        <f t="shared" si="54"/>
        <v>26637.800000000003</v>
      </c>
      <c r="I194" s="145">
        <f t="shared" si="45"/>
        <v>9858</v>
      </c>
      <c r="J194" s="145">
        <f t="shared" si="46"/>
        <v>776.61224489795939</v>
      </c>
      <c r="K194" s="142" t="str">
        <f t="shared" si="55"/>
        <v>l</v>
      </c>
      <c r="L194" s="146">
        <f>IFERROR(INDEX(Työkonekanta!$I$3:$I$27,MATCH('S0b Baseline kasvu'!$A194,Työkonekanta!$A$3:$A$24,0),1)*(I194+J194)*f_adblue,0)</f>
        <v>531.730612244898</v>
      </c>
      <c r="M194" s="146">
        <f t="shared" si="61"/>
        <v>0</v>
      </c>
      <c r="N194" s="143" t="str">
        <f>IF(tuulisähkö_vuosi&lt;='S0b Baseline kasvu'!C194,"tuulisähkö",ostosähkö_nyt)</f>
        <v>jäännössähkö</v>
      </c>
      <c r="O194" s="147">
        <f>INDEX(Muuttujat!$J$5:$J$21,MATCH($C194,Muuttujat!$H$5:$H$21,0),1)</f>
        <v>65.194885123382022</v>
      </c>
      <c r="P194" s="342">
        <f>1-(INDEX(Muuttujat!$O$5:$O$21,MATCH($C194,Muuttujat!$N$5:$N$21,0),1))</f>
        <v>0.92999999999999994</v>
      </c>
      <c r="Q194" s="342">
        <f>INDEX(Muuttujat!$O$5:$O$21,MATCH($C194,Muuttujat!$N$5:$N$21,0),1)</f>
        <v>7.0000000000000007E-2</v>
      </c>
      <c r="R194" s="148">
        <f>INDEX(Muuttujat!$P$5:$P$21,MATCH($C194,Muuttujat!$N$5:$N$21,0),1)</f>
        <v>7.3026850896560899E-2</v>
      </c>
      <c r="S194" s="149">
        <f t="shared" si="47"/>
        <v>6.6887515799999981</v>
      </c>
      <c r="T194" s="150">
        <f t="shared" si="48"/>
        <v>1.6621987200000001</v>
      </c>
      <c r="U194" s="150">
        <f t="shared" si="49"/>
        <v>0</v>
      </c>
      <c r="V194" s="150">
        <f>IFERROR(INDEX(Työkonekanta!$J$3:$J$27,MATCH($A194,Työkonekanta!$A$3:$A$24,0),1)*$B194*ef_li_ion_akku/1000/1000/INDEX(Työkonekanta!$K$3:$K$27,MATCH($A194,Työkonekanta!$A$3:$A$24,0)),0)</f>
        <v>0</v>
      </c>
      <c r="W194" s="149">
        <f t="shared" si="62"/>
        <v>26.1209035673388</v>
      </c>
      <c r="X194" s="150">
        <f t="shared" si="63"/>
        <v>0.33681039959999998</v>
      </c>
      <c r="Y194" s="151">
        <f t="shared" si="64"/>
        <v>0.1382499591836735</v>
      </c>
      <c r="Z194" s="152">
        <f t="shared" si="56"/>
        <v>8.3509502999999974</v>
      </c>
      <c r="AA194" s="179">
        <f t="shared" si="57"/>
        <v>26.259153526522475</v>
      </c>
      <c r="AB194" s="179">
        <f t="shared" si="58"/>
        <v>26.595963926122476</v>
      </c>
      <c r="AC194" s="180">
        <f t="shared" si="65"/>
        <v>34.610103826522476</v>
      </c>
      <c r="AD194" s="156">
        <f t="shared" si="59"/>
        <v>34.946914226122473</v>
      </c>
      <c r="AE194" s="146">
        <f>IFERROR(INDEX(Työkonekanta!$L$3:$L$30,MATCH($A194,Työkonekanta!$A$3:$A$30,0),1),0)*AF194</f>
        <v>500000</v>
      </c>
      <c r="AF194" s="146">
        <f>IFERROR(INDEX(Työkonekanta!$N$3:$N$32,MATCH($A194,Työkonekanta!$A$3:$A$32,0),1),0)</f>
        <v>1</v>
      </c>
      <c r="AG194" s="332">
        <f>I194*INDEX(Muuttujat!$U$5:$U$21,MATCH($C194,Muuttujat!$N$5:$N$21,0),1)</f>
        <v>10153.74</v>
      </c>
      <c r="AH194" s="332">
        <f>J194*INDEX(Muuttujat!$T$5:$T$21,MATCH($C194,Muuttujat!$N$5:$N$21,0),1)</f>
        <v>1110.5555102040821</v>
      </c>
      <c r="AI194" s="332">
        <f t="shared" si="50"/>
        <v>265.865306122449</v>
      </c>
      <c r="AJ194" s="332">
        <f t="shared" si="51"/>
        <v>0</v>
      </c>
      <c r="AK194" s="332">
        <f t="shared" si="60"/>
        <v>11530.16081632653</v>
      </c>
      <c r="AL194" s="332">
        <f t="shared" si="52"/>
        <v>11530.16081632653</v>
      </c>
    </row>
    <row r="195" spans="1:38">
      <c r="A195" s="139">
        <v>13</v>
      </c>
      <c r="B195" s="139">
        <f>IFERROR(INDEX(Työkonekanta!$F$3:$F$27,MATCH('S0b Baseline kasvu'!$A195,Työkonekanta!$A$3:$A$24,0),1),0)</f>
        <v>0</v>
      </c>
      <c r="C195" s="140">
        <v>2025</v>
      </c>
      <c r="D195" s="141" t="str">
        <f>IFERROR(INDEX(Työkonekanta!$D$3:$D$27,MATCH('S0b Baseline kasvu'!$A195,Työkonekanta!$A$3:$A$24,0),1),"undefined")</f>
        <v>pom</v>
      </c>
      <c r="E195" s="145">
        <f>IFERROR(INDEX(Työkonekanta!$G$3:$G$27,MATCH($A195,Työkonekanta!$A$3:$A$24,0),1)*INDEX(Työkonekanta!$H$3:$H$27,MATCH($A195,Työkonekanta!$A$3:$A$24,0),1)*(1+s0b_kasvu*($C195-2019))*$B195,0)</f>
        <v>0</v>
      </c>
      <c r="F195" s="145">
        <f t="shared" ref="F195:F258" si="66">IF(D195="pom",$E195*hv_pom,0)</f>
        <v>0</v>
      </c>
      <c r="G195" s="145">
        <f t="shared" si="53"/>
        <v>0</v>
      </c>
      <c r="H195" s="145">
        <f t="shared" si="54"/>
        <v>0</v>
      </c>
      <c r="I195" s="145">
        <f t="shared" ref="I195:I258" si="67">$G195/hv_pom</f>
        <v>0</v>
      </c>
      <c r="J195" s="145">
        <f t="shared" ref="J195:J258" si="68">$H195/hv_biodies</f>
        <v>0</v>
      </c>
      <c r="K195" s="142" t="str">
        <f t="shared" si="55"/>
        <v>l</v>
      </c>
      <c r="L195" s="146">
        <f>IFERROR(INDEX(Työkonekanta!$I$3:$I$27,MATCH('S0b Baseline kasvu'!$A195,Työkonekanta!$A$3:$A$24,0),1)*(I195+J195)*f_adblue,0)</f>
        <v>0</v>
      </c>
      <c r="M195" s="146">
        <f t="shared" si="61"/>
        <v>0</v>
      </c>
      <c r="N195" s="143" t="str">
        <f>IF(tuulisähkö_vuosi&lt;='S0b Baseline kasvu'!C195,"tuulisähkö",ostosähkö_nyt)</f>
        <v>jäännössähkö</v>
      </c>
      <c r="O195" s="147">
        <f>INDEX(Muuttujat!$J$5:$J$21,MATCH($C195,Muuttujat!$H$5:$H$21,0),1)</f>
        <v>65.194885123382022</v>
      </c>
      <c r="P195" s="342">
        <f>1-(INDEX(Muuttujat!$O$5:$O$21,MATCH($C195,Muuttujat!$N$5:$N$21,0),1))</f>
        <v>0.92999999999999994</v>
      </c>
      <c r="Q195" s="342">
        <f>INDEX(Muuttujat!$O$5:$O$21,MATCH($C195,Muuttujat!$N$5:$N$21,0),1)</f>
        <v>7.0000000000000007E-2</v>
      </c>
      <c r="R195" s="148">
        <f>INDEX(Muuttujat!$P$5:$P$21,MATCH($C195,Muuttujat!$N$5:$N$21,0),1)</f>
        <v>7.3026850896560899E-2</v>
      </c>
      <c r="S195" s="149">
        <f t="shared" ref="S195:S258" si="69">wtt_ef_e_co2_dies*$G195/1000/1000</f>
        <v>0</v>
      </c>
      <c r="T195" s="150">
        <f t="shared" ref="T195:T258" si="70">wtt_ef_e_co2_biodies*$H195/1000/1000</f>
        <v>0</v>
      </c>
      <c r="U195" s="150">
        <f t="shared" ref="U195:U258" si="71">IF(N195="jäännössähkö",$O195,IF(N195="tuulisähkö",wtt_ef_e_co2_el_wind,0))*$M195/1000/1000</f>
        <v>0</v>
      </c>
      <c r="V195" s="150">
        <f>IFERROR(INDEX(Työkonekanta!$J$3:$J$27,MATCH($A195,Työkonekanta!$A$3:$A$24,0),1)*$B195*ef_li_ion_akku/1000/1000/INDEX(Työkonekanta!$K$3:$K$27,MATCH($A195,Työkonekanta!$A$3:$A$24,0)),0)</f>
        <v>0</v>
      </c>
      <c r="W195" s="149">
        <f t="shared" si="62"/>
        <v>0</v>
      </c>
      <c r="X195" s="150">
        <f t="shared" si="63"/>
        <v>0</v>
      </c>
      <c r="Y195" s="151">
        <f t="shared" si="64"/>
        <v>0</v>
      </c>
      <c r="Z195" s="152">
        <f t="shared" si="56"/>
        <v>0</v>
      </c>
      <c r="AA195" s="179">
        <f t="shared" si="57"/>
        <v>0</v>
      </c>
      <c r="AB195" s="179">
        <f t="shared" si="58"/>
        <v>0</v>
      </c>
      <c r="AC195" s="180">
        <f t="shared" si="65"/>
        <v>0</v>
      </c>
      <c r="AD195" s="156">
        <f t="shared" si="59"/>
        <v>0</v>
      </c>
      <c r="AE195" s="146">
        <f>IFERROR(INDEX(Työkonekanta!$L$3:$L$30,MATCH($A195,Työkonekanta!$A$3:$A$30,0),1),0)*AF195</f>
        <v>0</v>
      </c>
      <c r="AF195" s="146">
        <f>IFERROR(INDEX(Työkonekanta!$N$3:$N$32,MATCH($A195,Työkonekanta!$A$3:$A$32,0),1),0)</f>
        <v>0</v>
      </c>
      <c r="AG195" s="332">
        <f>I195*INDEX(Muuttujat!$U$5:$U$21,MATCH($C195,Muuttujat!$N$5:$N$21,0),1)</f>
        <v>0</v>
      </c>
      <c r="AH195" s="332">
        <f>J195*INDEX(Muuttujat!$T$5:$T$21,MATCH($C195,Muuttujat!$N$5:$N$21,0),1)</f>
        <v>0</v>
      </c>
      <c r="AI195" s="332">
        <f t="shared" ref="AI195:AI258" si="72">L195*hinta_adblue</f>
        <v>0</v>
      </c>
      <c r="AJ195" s="332">
        <f t="shared" ref="AJ195:AJ258" si="73">M195/conv_kwh_mj*hinta_sähkö3</f>
        <v>0</v>
      </c>
      <c r="AK195" s="332">
        <f t="shared" si="60"/>
        <v>0</v>
      </c>
      <c r="AL195" s="332">
        <f t="shared" ref="AL195:AL258" si="74">IFERROR(AK195/B195,0)</f>
        <v>0</v>
      </c>
    </row>
    <row r="196" spans="1:38">
      <c r="A196" s="139">
        <v>14</v>
      </c>
      <c r="B196" s="139">
        <f>IFERROR(INDEX(Työkonekanta!$F$3:$F$27,MATCH('S0b Baseline kasvu'!$A196,Työkonekanta!$A$3:$A$24,0),1),0)</f>
        <v>0</v>
      </c>
      <c r="C196" s="140">
        <v>2025</v>
      </c>
      <c r="D196" s="141" t="str">
        <f>IFERROR(INDEX(Työkonekanta!$D$3:$D$27,MATCH('S0b Baseline kasvu'!$A196,Työkonekanta!$A$3:$A$24,0),1),"undefined")</f>
        <v>pom</v>
      </c>
      <c r="E196" s="145">
        <f>IFERROR(INDEX(Työkonekanta!$G$3:$G$27,MATCH($A196,Työkonekanta!$A$3:$A$24,0),1)*INDEX(Työkonekanta!$H$3:$H$27,MATCH($A196,Työkonekanta!$A$3:$A$24,0),1)*(1+s0b_kasvu*($C196-2019))*$B196,0)</f>
        <v>0</v>
      </c>
      <c r="F196" s="145">
        <f t="shared" si="66"/>
        <v>0</v>
      </c>
      <c r="G196" s="145">
        <f t="shared" ref="G196:G259" si="75">$F196*$P196</f>
        <v>0</v>
      </c>
      <c r="H196" s="145">
        <f t="shared" ref="H196:H259" si="76">$F196*$Q196</f>
        <v>0</v>
      </c>
      <c r="I196" s="145">
        <f t="shared" si="67"/>
        <v>0</v>
      </c>
      <c r="J196" s="145">
        <f t="shared" si="68"/>
        <v>0</v>
      </c>
      <c r="K196" s="142" t="str">
        <f t="shared" ref="K196:K259" si="77">IF($D196="sähkö","kWh",IF($D196="pom","l","undefined"))</f>
        <v>l</v>
      </c>
      <c r="L196" s="146">
        <f>IFERROR(INDEX(Työkonekanta!$I$3:$I$27,MATCH('S0b Baseline kasvu'!$A196,Työkonekanta!$A$3:$A$24,0),1)*(I196+J196)*f_adblue,0)</f>
        <v>0</v>
      </c>
      <c r="M196" s="146">
        <f t="shared" si="61"/>
        <v>0</v>
      </c>
      <c r="N196" s="143" t="str">
        <f>IF(tuulisähkö_vuosi&lt;='S0b Baseline kasvu'!C196,"tuulisähkö",ostosähkö_nyt)</f>
        <v>jäännössähkö</v>
      </c>
      <c r="O196" s="147">
        <f>INDEX(Muuttujat!$J$5:$J$21,MATCH($C196,Muuttujat!$H$5:$H$21,0),1)</f>
        <v>65.194885123382022</v>
      </c>
      <c r="P196" s="342">
        <f>1-(INDEX(Muuttujat!$O$5:$O$21,MATCH($C196,Muuttujat!$N$5:$N$21,0),1))</f>
        <v>0.92999999999999994</v>
      </c>
      <c r="Q196" s="342">
        <f>INDEX(Muuttujat!$O$5:$O$21,MATCH($C196,Muuttujat!$N$5:$N$21,0),1)</f>
        <v>7.0000000000000007E-2</v>
      </c>
      <c r="R196" s="148">
        <f>INDEX(Muuttujat!$P$5:$P$21,MATCH($C196,Muuttujat!$N$5:$N$21,0),1)</f>
        <v>7.3026850896560899E-2</v>
      </c>
      <c r="S196" s="149">
        <f t="shared" si="69"/>
        <v>0</v>
      </c>
      <c r="T196" s="150">
        <f t="shared" si="70"/>
        <v>0</v>
      </c>
      <c r="U196" s="150">
        <f t="shared" si="71"/>
        <v>0</v>
      </c>
      <c r="V196" s="150">
        <f>IFERROR(INDEX(Työkonekanta!$J$3:$J$27,MATCH($A196,Työkonekanta!$A$3:$A$24,0),1)*$B196*ef_li_ion_akku/1000/1000/INDEX(Työkonekanta!$K$3:$K$27,MATCH($A196,Työkonekanta!$A$3:$A$24,0)),0)</f>
        <v>0</v>
      </c>
      <c r="W196" s="149">
        <f t="shared" si="62"/>
        <v>0</v>
      </c>
      <c r="X196" s="150">
        <f t="shared" si="63"/>
        <v>0</v>
      </c>
      <c r="Y196" s="151">
        <f t="shared" si="64"/>
        <v>0</v>
      </c>
      <c r="Z196" s="152">
        <f t="shared" ref="Z196:Z259" si="78">SUM($S196:$V196)</f>
        <v>0</v>
      </c>
      <c r="AA196" s="179">
        <f t="shared" ref="AA196:AA259" si="79">$W196+$Y196</f>
        <v>0</v>
      </c>
      <c r="AB196" s="179">
        <f t="shared" ref="AB196:AB259" si="80">SUM($W196:$Y196)</f>
        <v>0</v>
      </c>
      <c r="AC196" s="180">
        <f t="shared" si="65"/>
        <v>0</v>
      </c>
      <c r="AD196" s="156">
        <f t="shared" ref="AD196:AD259" si="81">$Z196+$AB196</f>
        <v>0</v>
      </c>
      <c r="AE196" s="146">
        <f>IFERROR(INDEX(Työkonekanta!$L$3:$L$30,MATCH($A196,Työkonekanta!$A$3:$A$30,0),1),0)*AF196</f>
        <v>0</v>
      </c>
      <c r="AF196" s="146">
        <f>IFERROR(INDEX(Työkonekanta!$N$3:$N$32,MATCH($A196,Työkonekanta!$A$3:$A$32,0),1),0)</f>
        <v>0</v>
      </c>
      <c r="AG196" s="332">
        <f>I196*INDEX(Muuttujat!$U$5:$U$21,MATCH($C196,Muuttujat!$N$5:$N$21,0),1)</f>
        <v>0</v>
      </c>
      <c r="AH196" s="332">
        <f>J196*INDEX(Muuttujat!$T$5:$T$21,MATCH($C196,Muuttujat!$N$5:$N$21,0),1)</f>
        <v>0</v>
      </c>
      <c r="AI196" s="332">
        <f t="shared" si="72"/>
        <v>0</v>
      </c>
      <c r="AJ196" s="332">
        <f t="shared" si="73"/>
        <v>0</v>
      </c>
      <c r="AK196" s="332">
        <f t="shared" ref="AK196:AK259" si="82">SUM(AG196:AJ196)</f>
        <v>0</v>
      </c>
      <c r="AL196" s="332">
        <f t="shared" si="74"/>
        <v>0</v>
      </c>
    </row>
    <row r="197" spans="1:38">
      <c r="A197" s="139">
        <v>15</v>
      </c>
      <c r="B197" s="139">
        <f>IFERROR(INDEX(Työkonekanta!$F$3:$F$27,MATCH('S0b Baseline kasvu'!$A197,Työkonekanta!$A$3:$A$24,0),1),0)</f>
        <v>0</v>
      </c>
      <c r="C197" s="140">
        <v>2025</v>
      </c>
      <c r="D197" s="141" t="str">
        <f>IFERROR(INDEX(Työkonekanta!$D$3:$D$27,MATCH('S0b Baseline kasvu'!$A197,Työkonekanta!$A$3:$A$24,0),1),"undefined")</f>
        <v>sähkö</v>
      </c>
      <c r="E197" s="145">
        <f>IFERROR(INDEX(Työkonekanta!$G$3:$G$27,MATCH($A197,Työkonekanta!$A$3:$A$24,0),1)*INDEX(Työkonekanta!$H$3:$H$27,MATCH($A197,Työkonekanta!$A$3:$A$24,0),1)*(1+s0b_kasvu*($C197-2019))*$B197,0)</f>
        <v>0</v>
      </c>
      <c r="F197" s="145">
        <f t="shared" si="66"/>
        <v>0</v>
      </c>
      <c r="G197" s="145">
        <f t="shared" si="75"/>
        <v>0</v>
      </c>
      <c r="H197" s="145">
        <f t="shared" si="76"/>
        <v>0</v>
      </c>
      <c r="I197" s="145">
        <f t="shared" si="67"/>
        <v>0</v>
      </c>
      <c r="J197" s="145">
        <f t="shared" si="68"/>
        <v>0</v>
      </c>
      <c r="K197" s="142" t="str">
        <f t="shared" si="77"/>
        <v>kWh</v>
      </c>
      <c r="L197" s="146">
        <f>IFERROR(INDEX(Työkonekanta!$I$3:$I$27,MATCH('S0b Baseline kasvu'!$A197,Työkonekanta!$A$3:$A$24,0),1)*(I197+J197)*f_adblue,0)</f>
        <v>0</v>
      </c>
      <c r="M197" s="146">
        <f t="shared" si="61"/>
        <v>0</v>
      </c>
      <c r="N197" s="143" t="str">
        <f>IF(tuulisähkö_vuosi&lt;='S0b Baseline kasvu'!C197,"tuulisähkö",ostosähkö_nyt)</f>
        <v>jäännössähkö</v>
      </c>
      <c r="O197" s="147">
        <f>INDEX(Muuttujat!$J$5:$J$21,MATCH($C197,Muuttujat!$H$5:$H$21,0),1)</f>
        <v>65.194885123382022</v>
      </c>
      <c r="P197" s="342">
        <f>1-(INDEX(Muuttujat!$O$5:$O$21,MATCH($C197,Muuttujat!$N$5:$N$21,0),1))</f>
        <v>0.92999999999999994</v>
      </c>
      <c r="Q197" s="342">
        <f>INDEX(Muuttujat!$O$5:$O$21,MATCH($C197,Muuttujat!$N$5:$N$21,0),1)</f>
        <v>7.0000000000000007E-2</v>
      </c>
      <c r="R197" s="148">
        <f>INDEX(Muuttujat!$P$5:$P$21,MATCH($C197,Muuttujat!$N$5:$N$21,0),1)</f>
        <v>7.3026850896560899E-2</v>
      </c>
      <c r="S197" s="149">
        <f t="shared" si="69"/>
        <v>0</v>
      </c>
      <c r="T197" s="150">
        <f t="shared" si="70"/>
        <v>0</v>
      </c>
      <c r="U197" s="150">
        <f t="shared" si="71"/>
        <v>0</v>
      </c>
      <c r="V197" s="150">
        <f>IFERROR(INDEX(Työkonekanta!$J$3:$J$27,MATCH($A197,Työkonekanta!$A$3:$A$24,0),1)*$B197*ef_li_ion_akku/1000/1000/INDEX(Työkonekanta!$K$3:$K$27,MATCH($A197,Työkonekanta!$A$3:$A$24,0)),0)</f>
        <v>0</v>
      </c>
      <c r="W197" s="149">
        <f t="shared" si="62"/>
        <v>0</v>
      </c>
      <c r="X197" s="150">
        <f t="shared" si="63"/>
        <v>0</v>
      </c>
      <c r="Y197" s="151">
        <f t="shared" si="64"/>
        <v>0</v>
      </c>
      <c r="Z197" s="152">
        <f t="shared" si="78"/>
        <v>0</v>
      </c>
      <c r="AA197" s="179">
        <f t="shared" si="79"/>
        <v>0</v>
      </c>
      <c r="AB197" s="179">
        <f t="shared" si="80"/>
        <v>0</v>
      </c>
      <c r="AC197" s="180">
        <f t="shared" si="65"/>
        <v>0</v>
      </c>
      <c r="AD197" s="156">
        <f t="shared" si="81"/>
        <v>0</v>
      </c>
      <c r="AE197" s="146">
        <f>IFERROR(INDEX(Työkonekanta!$L$3:$L$30,MATCH($A197,Työkonekanta!$A$3:$A$30,0),1),0)*AF197</f>
        <v>0</v>
      </c>
      <c r="AF197" s="146">
        <f>IFERROR(INDEX(Työkonekanta!$N$3:$N$32,MATCH($A197,Työkonekanta!$A$3:$A$32,0),1),0)</f>
        <v>0</v>
      </c>
      <c r="AG197" s="332">
        <f>I197*INDEX(Muuttujat!$U$5:$U$21,MATCH($C197,Muuttujat!$N$5:$N$21,0),1)</f>
        <v>0</v>
      </c>
      <c r="AH197" s="332">
        <f>J197*INDEX(Muuttujat!$T$5:$T$21,MATCH($C197,Muuttujat!$N$5:$N$21,0),1)</f>
        <v>0</v>
      </c>
      <c r="AI197" s="332">
        <f t="shared" si="72"/>
        <v>0</v>
      </c>
      <c r="AJ197" s="332">
        <f t="shared" si="73"/>
        <v>0</v>
      </c>
      <c r="AK197" s="332">
        <f t="shared" si="82"/>
        <v>0</v>
      </c>
      <c r="AL197" s="332">
        <f t="shared" si="74"/>
        <v>0</v>
      </c>
    </row>
    <row r="198" spans="1:38">
      <c r="A198" s="139">
        <v>16</v>
      </c>
      <c r="B198" s="139">
        <f>IFERROR(INDEX(Työkonekanta!$F$3:$F$27,MATCH('S0b Baseline kasvu'!$A198,Työkonekanta!$A$3:$A$24,0),1),0)</f>
        <v>0</v>
      </c>
      <c r="C198" s="140">
        <v>2025</v>
      </c>
      <c r="D198" s="141" t="str">
        <f>IFERROR(INDEX(Työkonekanta!$D$3:$D$27,MATCH('S0b Baseline kasvu'!$A198,Työkonekanta!$A$3:$A$24,0),1),"undefined")</f>
        <v>sähkö</v>
      </c>
      <c r="E198" s="145">
        <f>IFERROR(INDEX(Työkonekanta!$G$3:$G$27,MATCH($A198,Työkonekanta!$A$3:$A$24,0),1)*INDEX(Työkonekanta!$H$3:$H$27,MATCH($A198,Työkonekanta!$A$3:$A$24,0),1)*(1+s0b_kasvu*($C198-2019))*$B198,0)</f>
        <v>0</v>
      </c>
      <c r="F198" s="145">
        <f t="shared" si="66"/>
        <v>0</v>
      </c>
      <c r="G198" s="145">
        <f t="shared" si="75"/>
        <v>0</v>
      </c>
      <c r="H198" s="145">
        <f t="shared" si="76"/>
        <v>0</v>
      </c>
      <c r="I198" s="145">
        <f t="shared" si="67"/>
        <v>0</v>
      </c>
      <c r="J198" s="145">
        <f t="shared" si="68"/>
        <v>0</v>
      </c>
      <c r="K198" s="142" t="str">
        <f t="shared" si="77"/>
        <v>kWh</v>
      </c>
      <c r="L198" s="146">
        <f>IFERROR(INDEX(Työkonekanta!$I$3:$I$27,MATCH('S0b Baseline kasvu'!$A198,Työkonekanta!$A$3:$A$24,0),1)*(I198+J198)*f_adblue,0)</f>
        <v>0</v>
      </c>
      <c r="M198" s="146">
        <f t="shared" si="61"/>
        <v>0</v>
      </c>
      <c r="N198" s="143" t="str">
        <f>IF(tuulisähkö_vuosi&lt;='S0b Baseline kasvu'!C198,"tuulisähkö",ostosähkö_nyt)</f>
        <v>jäännössähkö</v>
      </c>
      <c r="O198" s="147">
        <f>INDEX(Muuttujat!$J$5:$J$21,MATCH($C198,Muuttujat!$H$5:$H$21,0),1)</f>
        <v>65.194885123382022</v>
      </c>
      <c r="P198" s="342">
        <f>1-(INDEX(Muuttujat!$O$5:$O$21,MATCH($C198,Muuttujat!$N$5:$N$21,0),1))</f>
        <v>0.92999999999999994</v>
      </c>
      <c r="Q198" s="342">
        <f>INDEX(Muuttujat!$O$5:$O$21,MATCH($C198,Muuttujat!$N$5:$N$21,0),1)</f>
        <v>7.0000000000000007E-2</v>
      </c>
      <c r="R198" s="148">
        <f>INDEX(Muuttujat!$P$5:$P$21,MATCH($C198,Muuttujat!$N$5:$N$21,0),1)</f>
        <v>7.3026850896560899E-2</v>
      </c>
      <c r="S198" s="149">
        <f t="shared" si="69"/>
        <v>0</v>
      </c>
      <c r="T198" s="150">
        <f t="shared" si="70"/>
        <v>0</v>
      </c>
      <c r="U198" s="150">
        <f t="shared" si="71"/>
        <v>0</v>
      </c>
      <c r="V198" s="150">
        <f>IFERROR(INDEX(Työkonekanta!$J$3:$J$27,MATCH($A198,Työkonekanta!$A$3:$A$24,0),1)*$B198*ef_li_ion_akku/1000/1000/INDEX(Työkonekanta!$K$3:$K$27,MATCH($A198,Työkonekanta!$A$3:$A$24,0)),0)</f>
        <v>0</v>
      </c>
      <c r="W198" s="149">
        <f t="shared" si="62"/>
        <v>0</v>
      </c>
      <c r="X198" s="150">
        <f t="shared" si="63"/>
        <v>0</v>
      </c>
      <c r="Y198" s="151">
        <f t="shared" si="64"/>
        <v>0</v>
      </c>
      <c r="Z198" s="152">
        <f t="shared" si="78"/>
        <v>0</v>
      </c>
      <c r="AA198" s="179">
        <f t="shared" si="79"/>
        <v>0</v>
      </c>
      <c r="AB198" s="179">
        <f t="shared" si="80"/>
        <v>0</v>
      </c>
      <c r="AC198" s="180">
        <f t="shared" si="65"/>
        <v>0</v>
      </c>
      <c r="AD198" s="156">
        <f t="shared" si="81"/>
        <v>0</v>
      </c>
      <c r="AE198" s="146">
        <f>IFERROR(INDEX(Työkonekanta!$L$3:$L$30,MATCH($A198,Työkonekanta!$A$3:$A$30,0),1),0)*AF198</f>
        <v>0</v>
      </c>
      <c r="AF198" s="146">
        <f>IFERROR(INDEX(Työkonekanta!$N$3:$N$32,MATCH($A198,Työkonekanta!$A$3:$A$32,0),1),0)</f>
        <v>0</v>
      </c>
      <c r="AG198" s="332">
        <f>I198*INDEX(Muuttujat!$U$5:$U$21,MATCH($C198,Muuttujat!$N$5:$N$21,0),1)</f>
        <v>0</v>
      </c>
      <c r="AH198" s="332">
        <f>J198*INDEX(Muuttujat!$T$5:$T$21,MATCH($C198,Muuttujat!$N$5:$N$21,0),1)</f>
        <v>0</v>
      </c>
      <c r="AI198" s="332">
        <f t="shared" si="72"/>
        <v>0</v>
      </c>
      <c r="AJ198" s="332">
        <f t="shared" si="73"/>
        <v>0</v>
      </c>
      <c r="AK198" s="332">
        <f t="shared" si="82"/>
        <v>0</v>
      </c>
      <c r="AL198" s="332">
        <f t="shared" si="74"/>
        <v>0</v>
      </c>
    </row>
    <row r="199" spans="1:38">
      <c r="A199" s="139">
        <v>17</v>
      </c>
      <c r="B199" s="139">
        <f>IFERROR(INDEX(Työkonekanta!$F$3:$F$27,MATCH('S0b Baseline kasvu'!$A199,Työkonekanta!$A$3:$A$24,0),1),0)</f>
        <v>1</v>
      </c>
      <c r="C199" s="140">
        <v>2025</v>
      </c>
      <c r="D199" s="141" t="str">
        <f>IFERROR(INDEX(Työkonekanta!$D$3:$D$27,MATCH('S0b Baseline kasvu'!$A199,Työkonekanta!$A$3:$A$24,0),1),"undefined")</f>
        <v>pom</v>
      </c>
      <c r="E199" s="145">
        <f>IFERROR(INDEX(Työkonekanta!$G$3:$G$27,MATCH($A199,Työkonekanta!$A$3:$A$24,0),1)*INDEX(Työkonekanta!$H$3:$H$27,MATCH($A199,Työkonekanta!$A$3:$A$24,0),1)*(1+s0b_kasvu*($C199-2019))*$B199,0)</f>
        <v>10600</v>
      </c>
      <c r="F199" s="145">
        <f t="shared" si="66"/>
        <v>380540</v>
      </c>
      <c r="G199" s="145">
        <f t="shared" si="75"/>
        <v>353902.19999999995</v>
      </c>
      <c r="H199" s="145">
        <f t="shared" si="76"/>
        <v>26637.800000000003</v>
      </c>
      <c r="I199" s="145">
        <f t="shared" si="67"/>
        <v>9858</v>
      </c>
      <c r="J199" s="145">
        <f t="shared" si="68"/>
        <v>776.61224489795939</v>
      </c>
      <c r="K199" s="142" t="str">
        <f t="shared" si="77"/>
        <v>l</v>
      </c>
      <c r="L199" s="146">
        <f>IFERROR(INDEX(Työkonekanta!$I$3:$I$27,MATCH('S0b Baseline kasvu'!$A199,Työkonekanta!$A$3:$A$24,0),1)*(I199+J199)*f_adblue,0)</f>
        <v>531.730612244898</v>
      </c>
      <c r="M199" s="146">
        <f t="shared" si="61"/>
        <v>0</v>
      </c>
      <c r="N199" s="143" t="str">
        <f>IF(tuulisähkö_vuosi&lt;='S0b Baseline kasvu'!C199,"tuulisähkö",ostosähkö_nyt)</f>
        <v>jäännössähkö</v>
      </c>
      <c r="O199" s="147">
        <f>INDEX(Muuttujat!$J$5:$J$21,MATCH($C199,Muuttujat!$H$5:$H$21,0),1)</f>
        <v>65.194885123382022</v>
      </c>
      <c r="P199" s="342">
        <f>1-(INDEX(Muuttujat!$O$5:$O$21,MATCH($C199,Muuttujat!$N$5:$N$21,0),1))</f>
        <v>0.92999999999999994</v>
      </c>
      <c r="Q199" s="342">
        <f>INDEX(Muuttujat!$O$5:$O$21,MATCH($C199,Muuttujat!$N$5:$N$21,0),1)</f>
        <v>7.0000000000000007E-2</v>
      </c>
      <c r="R199" s="148">
        <f>INDEX(Muuttujat!$P$5:$P$21,MATCH($C199,Muuttujat!$N$5:$N$21,0),1)</f>
        <v>7.3026850896560899E-2</v>
      </c>
      <c r="S199" s="149">
        <f t="shared" si="69"/>
        <v>6.6887515799999981</v>
      </c>
      <c r="T199" s="150">
        <f t="shared" si="70"/>
        <v>1.6621987200000001</v>
      </c>
      <c r="U199" s="150">
        <f t="shared" si="71"/>
        <v>0</v>
      </c>
      <c r="V199" s="150">
        <f>IFERROR(INDEX(Työkonekanta!$J$3:$J$27,MATCH($A199,Työkonekanta!$A$3:$A$24,0),1)*$B199*ef_li_ion_akku/1000/1000/INDEX(Työkonekanta!$K$3:$K$27,MATCH($A199,Työkonekanta!$A$3:$A$24,0)),0)</f>
        <v>0</v>
      </c>
      <c r="W199" s="149">
        <f t="shared" si="62"/>
        <v>26.1209035673388</v>
      </c>
      <c r="X199" s="150">
        <f t="shared" si="63"/>
        <v>0.33681039959999998</v>
      </c>
      <c r="Y199" s="151">
        <f t="shared" si="64"/>
        <v>0.1382499591836735</v>
      </c>
      <c r="Z199" s="152">
        <f t="shared" si="78"/>
        <v>8.3509502999999974</v>
      </c>
      <c r="AA199" s="179">
        <f t="shared" si="79"/>
        <v>26.259153526522475</v>
      </c>
      <c r="AB199" s="179">
        <f t="shared" si="80"/>
        <v>26.595963926122476</v>
      </c>
      <c r="AC199" s="180">
        <f t="shared" si="65"/>
        <v>34.610103826522476</v>
      </c>
      <c r="AD199" s="156">
        <f t="shared" si="81"/>
        <v>34.946914226122473</v>
      </c>
      <c r="AE199" s="146">
        <f>IFERROR(INDEX(Työkonekanta!$L$3:$L$30,MATCH($A199,Työkonekanta!$A$3:$A$30,0),1),0)*AF199</f>
        <v>500000</v>
      </c>
      <c r="AF199" s="146">
        <f>IFERROR(INDEX(Työkonekanta!$N$3:$N$32,MATCH($A199,Työkonekanta!$A$3:$A$32,0),1),0)</f>
        <v>1</v>
      </c>
      <c r="AG199" s="332">
        <f>I199*INDEX(Muuttujat!$U$5:$U$21,MATCH($C199,Muuttujat!$N$5:$N$21,0),1)</f>
        <v>10153.74</v>
      </c>
      <c r="AH199" s="332">
        <f>J199*INDEX(Muuttujat!$T$5:$T$21,MATCH($C199,Muuttujat!$N$5:$N$21,0),1)</f>
        <v>1110.5555102040821</v>
      </c>
      <c r="AI199" s="332">
        <f t="shared" si="72"/>
        <v>265.865306122449</v>
      </c>
      <c r="AJ199" s="332">
        <f t="shared" si="73"/>
        <v>0</v>
      </c>
      <c r="AK199" s="332">
        <f t="shared" si="82"/>
        <v>11530.16081632653</v>
      </c>
      <c r="AL199" s="332">
        <f t="shared" si="74"/>
        <v>11530.16081632653</v>
      </c>
    </row>
    <row r="200" spans="1:38">
      <c r="A200" s="139">
        <v>18</v>
      </c>
      <c r="B200" s="139">
        <f>IFERROR(INDEX(Työkonekanta!$F$3:$F$27,MATCH('S0b Baseline kasvu'!$A200,Työkonekanta!$A$3:$A$24,0),1),0)</f>
        <v>1</v>
      </c>
      <c r="C200" s="140">
        <v>2025</v>
      </c>
      <c r="D200" s="141" t="str">
        <f>IFERROR(INDEX(Työkonekanta!$D$3:$D$27,MATCH('S0b Baseline kasvu'!$A200,Työkonekanta!$A$3:$A$24,0),1),"undefined")</f>
        <v>pom</v>
      </c>
      <c r="E200" s="145">
        <f>IFERROR(INDEX(Työkonekanta!$G$3:$G$27,MATCH($A200,Työkonekanta!$A$3:$A$24,0),1)*INDEX(Työkonekanta!$H$3:$H$27,MATCH($A200,Työkonekanta!$A$3:$A$24,0),1)*(1+s0b_kasvu*($C200-2019))*$B200,0)</f>
        <v>10600</v>
      </c>
      <c r="F200" s="145">
        <f t="shared" si="66"/>
        <v>380540</v>
      </c>
      <c r="G200" s="145">
        <f t="shared" si="75"/>
        <v>353902.19999999995</v>
      </c>
      <c r="H200" s="145">
        <f t="shared" si="76"/>
        <v>26637.800000000003</v>
      </c>
      <c r="I200" s="145">
        <f t="shared" si="67"/>
        <v>9858</v>
      </c>
      <c r="J200" s="145">
        <f t="shared" si="68"/>
        <v>776.61224489795939</v>
      </c>
      <c r="K200" s="142" t="str">
        <f t="shared" si="77"/>
        <v>l</v>
      </c>
      <c r="L200" s="146">
        <f>IFERROR(INDEX(Työkonekanta!$I$3:$I$27,MATCH('S0b Baseline kasvu'!$A200,Työkonekanta!$A$3:$A$24,0),1)*(I200+J200)*f_adblue,0)</f>
        <v>425.3844897959184</v>
      </c>
      <c r="M200" s="146">
        <f t="shared" si="61"/>
        <v>0</v>
      </c>
      <c r="N200" s="143" t="str">
        <f>IF(tuulisähkö_vuosi&lt;='S0b Baseline kasvu'!C200,"tuulisähkö",ostosähkö_nyt)</f>
        <v>jäännössähkö</v>
      </c>
      <c r="O200" s="147">
        <f>INDEX(Muuttujat!$J$5:$J$21,MATCH($C200,Muuttujat!$H$5:$H$21,0),1)</f>
        <v>65.194885123382022</v>
      </c>
      <c r="P200" s="342">
        <f>1-(INDEX(Muuttujat!$O$5:$O$21,MATCH($C200,Muuttujat!$N$5:$N$21,0),1))</f>
        <v>0.92999999999999994</v>
      </c>
      <c r="Q200" s="342">
        <f>INDEX(Muuttujat!$O$5:$O$21,MATCH($C200,Muuttujat!$N$5:$N$21,0),1)</f>
        <v>7.0000000000000007E-2</v>
      </c>
      <c r="R200" s="148">
        <f>INDEX(Muuttujat!$P$5:$P$21,MATCH($C200,Muuttujat!$N$5:$N$21,0),1)</f>
        <v>7.3026850896560899E-2</v>
      </c>
      <c r="S200" s="149">
        <f t="shared" si="69"/>
        <v>6.6887515799999981</v>
      </c>
      <c r="T200" s="150">
        <f t="shared" si="70"/>
        <v>1.6621987200000001</v>
      </c>
      <c r="U200" s="150">
        <f t="shared" si="71"/>
        <v>0</v>
      </c>
      <c r="V200" s="150">
        <f>IFERROR(INDEX(Työkonekanta!$J$3:$J$27,MATCH($A200,Työkonekanta!$A$3:$A$24,0),1)*$B200*ef_li_ion_akku/1000/1000/INDEX(Työkonekanta!$K$3:$K$27,MATCH($A200,Työkonekanta!$A$3:$A$24,0)),0)</f>
        <v>0</v>
      </c>
      <c r="W200" s="149">
        <f t="shared" si="62"/>
        <v>26.1209035673388</v>
      </c>
      <c r="X200" s="150">
        <f t="shared" si="63"/>
        <v>0.33681039959999998</v>
      </c>
      <c r="Y200" s="151">
        <f t="shared" si="64"/>
        <v>0.11059996734693878</v>
      </c>
      <c r="Z200" s="152">
        <f t="shared" si="78"/>
        <v>8.3509502999999974</v>
      </c>
      <c r="AA200" s="179">
        <f t="shared" si="79"/>
        <v>26.231503534685739</v>
      </c>
      <c r="AB200" s="179">
        <f t="shared" si="80"/>
        <v>26.56831393428574</v>
      </c>
      <c r="AC200" s="180">
        <f t="shared" si="65"/>
        <v>34.582453834685737</v>
      </c>
      <c r="AD200" s="156">
        <f t="shared" si="81"/>
        <v>34.919264234285734</v>
      </c>
      <c r="AE200" s="146">
        <f>IFERROR(INDEX(Työkonekanta!$L$3:$L$30,MATCH($A200,Työkonekanta!$A$3:$A$30,0),1),0)*AF200</f>
        <v>500000</v>
      </c>
      <c r="AF200" s="146">
        <f>IFERROR(INDEX(Työkonekanta!$N$3:$N$32,MATCH($A200,Työkonekanta!$A$3:$A$32,0),1),0)</f>
        <v>1</v>
      </c>
      <c r="AG200" s="332">
        <f>I200*INDEX(Muuttujat!$U$5:$U$21,MATCH($C200,Muuttujat!$N$5:$N$21,0),1)</f>
        <v>10153.74</v>
      </c>
      <c r="AH200" s="332">
        <f>J200*INDEX(Muuttujat!$T$5:$T$21,MATCH($C200,Muuttujat!$N$5:$N$21,0),1)</f>
        <v>1110.5555102040821</v>
      </c>
      <c r="AI200" s="332">
        <f t="shared" si="72"/>
        <v>212.6922448979592</v>
      </c>
      <c r="AJ200" s="332">
        <f t="shared" si="73"/>
        <v>0</v>
      </c>
      <c r="AK200" s="332">
        <f t="shared" si="82"/>
        <v>11476.98775510204</v>
      </c>
      <c r="AL200" s="332">
        <f t="shared" si="74"/>
        <v>11476.98775510204</v>
      </c>
    </row>
    <row r="201" spans="1:38">
      <c r="A201" s="139">
        <v>19</v>
      </c>
      <c r="B201" s="139">
        <f>IFERROR(INDEX(Työkonekanta!$F$3:$F$27,MATCH('S0b Baseline kasvu'!$A201,Työkonekanta!$A$3:$A$24,0),1),0)</f>
        <v>0</v>
      </c>
      <c r="C201" s="140">
        <v>2025</v>
      </c>
      <c r="D201" s="141" t="str">
        <f>IFERROR(INDEX(Työkonekanta!$D$3:$D$27,MATCH('S0b Baseline kasvu'!$A201,Työkonekanta!$A$3:$A$24,0),1),"undefined")</f>
        <v>pom</v>
      </c>
      <c r="E201" s="145">
        <f>IFERROR(INDEX(Työkonekanta!$G$3:$G$27,MATCH($A201,Työkonekanta!$A$3:$A$24,0),1)*INDEX(Työkonekanta!$H$3:$H$27,MATCH($A201,Työkonekanta!$A$3:$A$24,0),1)*(1+s0b_kasvu*($C201-2019))*$B201,0)</f>
        <v>0</v>
      </c>
      <c r="F201" s="145">
        <f t="shared" si="66"/>
        <v>0</v>
      </c>
      <c r="G201" s="145">
        <f t="shared" si="75"/>
        <v>0</v>
      </c>
      <c r="H201" s="145">
        <f t="shared" si="76"/>
        <v>0</v>
      </c>
      <c r="I201" s="145">
        <f t="shared" si="67"/>
        <v>0</v>
      </c>
      <c r="J201" s="145">
        <f t="shared" si="68"/>
        <v>0</v>
      </c>
      <c r="K201" s="142" t="str">
        <f t="shared" si="77"/>
        <v>l</v>
      </c>
      <c r="L201" s="146">
        <f>IFERROR(INDEX(Työkonekanta!$I$3:$I$27,MATCH('S0b Baseline kasvu'!$A201,Työkonekanta!$A$3:$A$24,0),1)*(I201+J201)*f_adblue,0)</f>
        <v>0</v>
      </c>
      <c r="M201" s="146">
        <f t="shared" si="61"/>
        <v>0</v>
      </c>
      <c r="N201" s="143" t="str">
        <f>IF(tuulisähkö_vuosi&lt;='S0b Baseline kasvu'!C201,"tuulisähkö",ostosähkö_nyt)</f>
        <v>jäännössähkö</v>
      </c>
      <c r="O201" s="147">
        <f>INDEX(Muuttujat!$J$5:$J$21,MATCH($C201,Muuttujat!$H$5:$H$21,0),1)</f>
        <v>65.194885123382022</v>
      </c>
      <c r="P201" s="342">
        <f>1-(INDEX(Muuttujat!$O$5:$O$21,MATCH($C201,Muuttujat!$N$5:$N$21,0),1))</f>
        <v>0.92999999999999994</v>
      </c>
      <c r="Q201" s="342">
        <f>INDEX(Muuttujat!$O$5:$O$21,MATCH($C201,Muuttujat!$N$5:$N$21,0),1)</f>
        <v>7.0000000000000007E-2</v>
      </c>
      <c r="R201" s="148">
        <f>INDEX(Muuttujat!$P$5:$P$21,MATCH($C201,Muuttujat!$N$5:$N$21,0),1)</f>
        <v>7.3026850896560899E-2</v>
      </c>
      <c r="S201" s="149">
        <f t="shared" si="69"/>
        <v>0</v>
      </c>
      <c r="T201" s="150">
        <f t="shared" si="70"/>
        <v>0</v>
      </c>
      <c r="U201" s="150">
        <f t="shared" si="71"/>
        <v>0</v>
      </c>
      <c r="V201" s="150">
        <f>IFERROR(INDEX(Työkonekanta!$J$3:$J$27,MATCH($A201,Työkonekanta!$A$3:$A$24,0),1)*$B201*ef_li_ion_akku/1000/1000/INDEX(Työkonekanta!$K$3:$K$27,MATCH($A201,Työkonekanta!$A$3:$A$24,0)),0)</f>
        <v>0</v>
      </c>
      <c r="W201" s="149">
        <f t="shared" si="62"/>
        <v>0</v>
      </c>
      <c r="X201" s="150">
        <f t="shared" si="63"/>
        <v>0</v>
      </c>
      <c r="Y201" s="151">
        <f t="shared" si="64"/>
        <v>0</v>
      </c>
      <c r="Z201" s="152">
        <f t="shared" si="78"/>
        <v>0</v>
      </c>
      <c r="AA201" s="179">
        <f t="shared" si="79"/>
        <v>0</v>
      </c>
      <c r="AB201" s="179">
        <f t="shared" si="80"/>
        <v>0</v>
      </c>
      <c r="AC201" s="180">
        <f t="shared" si="65"/>
        <v>0</v>
      </c>
      <c r="AD201" s="156">
        <f t="shared" si="81"/>
        <v>0</v>
      </c>
      <c r="AE201" s="146">
        <f>IFERROR(INDEX(Työkonekanta!$L$3:$L$30,MATCH($A201,Työkonekanta!$A$3:$A$30,0),1),0)*AF201</f>
        <v>0</v>
      </c>
      <c r="AF201" s="146">
        <f>IFERROR(INDEX(Työkonekanta!$N$3:$N$32,MATCH($A201,Työkonekanta!$A$3:$A$32,0),1),0)</f>
        <v>0</v>
      </c>
      <c r="AG201" s="332">
        <f>I201*INDEX(Muuttujat!$U$5:$U$21,MATCH($C201,Muuttujat!$N$5:$N$21,0),1)</f>
        <v>0</v>
      </c>
      <c r="AH201" s="332">
        <f>J201*INDEX(Muuttujat!$T$5:$T$21,MATCH($C201,Muuttujat!$N$5:$N$21,0),1)</f>
        <v>0</v>
      </c>
      <c r="AI201" s="332">
        <f t="shared" si="72"/>
        <v>0</v>
      </c>
      <c r="AJ201" s="332">
        <f t="shared" si="73"/>
        <v>0</v>
      </c>
      <c r="AK201" s="332">
        <f t="shared" si="82"/>
        <v>0</v>
      </c>
      <c r="AL201" s="332">
        <f t="shared" si="74"/>
        <v>0</v>
      </c>
    </row>
    <row r="202" spans="1:38">
      <c r="A202" s="139">
        <v>20</v>
      </c>
      <c r="B202" s="139">
        <f>IFERROR(INDEX(Työkonekanta!$F$3:$F$27,MATCH('S0b Baseline kasvu'!$A202,Työkonekanta!$A$3:$A$24,0),1),0)</f>
        <v>0</v>
      </c>
      <c r="C202" s="140">
        <v>2025</v>
      </c>
      <c r="D202" s="141" t="str">
        <f>IFERROR(INDEX(Työkonekanta!$D$3:$D$27,MATCH('S0b Baseline kasvu'!$A202,Työkonekanta!$A$3:$A$24,0),1),"undefined")</f>
        <v>pom</v>
      </c>
      <c r="E202" s="145">
        <f>IFERROR(INDEX(Työkonekanta!$G$3:$G$27,MATCH($A202,Työkonekanta!$A$3:$A$24,0),1)*INDEX(Työkonekanta!$H$3:$H$27,MATCH($A202,Työkonekanta!$A$3:$A$24,0),1)*(1+s0b_kasvu*($C202-2019))*$B202,0)</f>
        <v>0</v>
      </c>
      <c r="F202" s="145">
        <f t="shared" si="66"/>
        <v>0</v>
      </c>
      <c r="G202" s="145">
        <f t="shared" si="75"/>
        <v>0</v>
      </c>
      <c r="H202" s="145">
        <f t="shared" si="76"/>
        <v>0</v>
      </c>
      <c r="I202" s="145">
        <f t="shared" si="67"/>
        <v>0</v>
      </c>
      <c r="J202" s="145">
        <f t="shared" si="68"/>
        <v>0</v>
      </c>
      <c r="K202" s="142" t="str">
        <f t="shared" si="77"/>
        <v>l</v>
      </c>
      <c r="L202" s="146">
        <f>IFERROR(INDEX(Työkonekanta!$I$3:$I$27,MATCH('S0b Baseline kasvu'!$A202,Työkonekanta!$A$3:$A$24,0),1)*(I202+J202)*f_adblue,0)</f>
        <v>0</v>
      </c>
      <c r="M202" s="146">
        <f t="shared" si="61"/>
        <v>0</v>
      </c>
      <c r="N202" s="143" t="str">
        <f>IF(tuulisähkö_vuosi&lt;='S0b Baseline kasvu'!C202,"tuulisähkö",ostosähkö_nyt)</f>
        <v>jäännössähkö</v>
      </c>
      <c r="O202" s="147">
        <f>INDEX(Muuttujat!$J$5:$J$21,MATCH($C202,Muuttujat!$H$5:$H$21,0),1)</f>
        <v>65.194885123382022</v>
      </c>
      <c r="P202" s="342">
        <f>1-(INDEX(Muuttujat!$O$5:$O$21,MATCH($C202,Muuttujat!$N$5:$N$21,0),1))</f>
        <v>0.92999999999999994</v>
      </c>
      <c r="Q202" s="342">
        <f>INDEX(Muuttujat!$O$5:$O$21,MATCH($C202,Muuttujat!$N$5:$N$21,0),1)</f>
        <v>7.0000000000000007E-2</v>
      </c>
      <c r="R202" s="148">
        <f>INDEX(Muuttujat!$P$5:$P$21,MATCH($C202,Muuttujat!$N$5:$N$21,0),1)</f>
        <v>7.3026850896560899E-2</v>
      </c>
      <c r="S202" s="149">
        <f t="shared" si="69"/>
        <v>0</v>
      </c>
      <c r="T202" s="150">
        <f t="shared" si="70"/>
        <v>0</v>
      </c>
      <c r="U202" s="150">
        <f t="shared" si="71"/>
        <v>0</v>
      </c>
      <c r="V202" s="150">
        <f>IFERROR(INDEX(Työkonekanta!$J$3:$J$27,MATCH($A202,Työkonekanta!$A$3:$A$24,0),1)*$B202*ef_li_ion_akku/1000/1000/INDEX(Työkonekanta!$K$3:$K$27,MATCH($A202,Työkonekanta!$A$3:$A$24,0)),0)</f>
        <v>0</v>
      </c>
      <c r="W202" s="149">
        <f t="shared" si="62"/>
        <v>0</v>
      </c>
      <c r="X202" s="150">
        <f t="shared" si="63"/>
        <v>0</v>
      </c>
      <c r="Y202" s="151">
        <f t="shared" si="64"/>
        <v>0</v>
      </c>
      <c r="Z202" s="152">
        <f t="shared" si="78"/>
        <v>0</v>
      </c>
      <c r="AA202" s="179">
        <f t="shared" si="79"/>
        <v>0</v>
      </c>
      <c r="AB202" s="179">
        <f t="shared" si="80"/>
        <v>0</v>
      </c>
      <c r="AC202" s="180">
        <f t="shared" si="65"/>
        <v>0</v>
      </c>
      <c r="AD202" s="156">
        <f t="shared" si="81"/>
        <v>0</v>
      </c>
      <c r="AE202" s="146">
        <f>IFERROR(INDEX(Työkonekanta!$L$3:$L$30,MATCH($A202,Työkonekanta!$A$3:$A$30,0),1),0)*AF202</f>
        <v>0</v>
      </c>
      <c r="AF202" s="146">
        <f>IFERROR(INDEX(Työkonekanta!$N$3:$N$32,MATCH($A202,Työkonekanta!$A$3:$A$32,0),1),0)</f>
        <v>0</v>
      </c>
      <c r="AG202" s="332">
        <f>I202*INDEX(Muuttujat!$U$5:$U$21,MATCH($C202,Muuttujat!$N$5:$N$21,0),1)</f>
        <v>0</v>
      </c>
      <c r="AH202" s="332">
        <f>J202*INDEX(Muuttujat!$T$5:$T$21,MATCH($C202,Muuttujat!$N$5:$N$21,0),1)</f>
        <v>0</v>
      </c>
      <c r="AI202" s="332">
        <f t="shared" si="72"/>
        <v>0</v>
      </c>
      <c r="AJ202" s="332">
        <f t="shared" si="73"/>
        <v>0</v>
      </c>
      <c r="AK202" s="332">
        <f t="shared" si="82"/>
        <v>0</v>
      </c>
      <c r="AL202" s="332">
        <f t="shared" si="74"/>
        <v>0</v>
      </c>
    </row>
    <row r="203" spans="1:38">
      <c r="A203" s="139">
        <v>21</v>
      </c>
      <c r="B203" s="139">
        <f>IFERROR(INDEX(Työkonekanta!$F$3:$F$27,MATCH('S0b Baseline kasvu'!$A203,Työkonekanta!$A$3:$A$24,0),1),0)</f>
        <v>35</v>
      </c>
      <c r="C203" s="140">
        <v>2025</v>
      </c>
      <c r="D203" s="141" t="str">
        <f>IFERROR(INDEX(Työkonekanta!$D$3:$D$27,MATCH('S0b Baseline kasvu'!$A203,Työkonekanta!$A$3:$A$24,0),1),"undefined")</f>
        <v>sähkö</v>
      </c>
      <c r="E203" s="145">
        <f>IFERROR(INDEX(Työkonekanta!$G$3:$G$27,MATCH($A203,Työkonekanta!$A$3:$A$24,0),1)*INDEX(Työkonekanta!$H$3:$H$27,MATCH($A203,Työkonekanta!$A$3:$A$24,0),1)*(1+s0b_kasvu*($C203-2019))*$B203,0)</f>
        <v>431631.01851851854</v>
      </c>
      <c r="F203" s="145">
        <f t="shared" si="66"/>
        <v>0</v>
      </c>
      <c r="G203" s="145">
        <f t="shared" si="75"/>
        <v>0</v>
      </c>
      <c r="H203" s="145">
        <f t="shared" si="76"/>
        <v>0</v>
      </c>
      <c r="I203" s="145">
        <f t="shared" si="67"/>
        <v>0</v>
      </c>
      <c r="J203" s="145">
        <f t="shared" si="68"/>
        <v>0</v>
      </c>
      <c r="K203" s="142" t="str">
        <f t="shared" si="77"/>
        <v>kWh</v>
      </c>
      <c r="L203" s="146">
        <f>IFERROR(INDEX(Työkonekanta!$I$3:$I$27,MATCH('S0b Baseline kasvu'!$A203,Työkonekanta!$A$3:$A$24,0),1)*(I203+J203)*f_adblue,0)</f>
        <v>0</v>
      </c>
      <c r="M203" s="146">
        <f t="shared" si="61"/>
        <v>1553871.6666666667</v>
      </c>
      <c r="N203" s="143" t="str">
        <f>IF(tuulisähkö_vuosi&lt;='S0b Baseline kasvu'!C203,"tuulisähkö",ostosähkö_nyt)</f>
        <v>jäännössähkö</v>
      </c>
      <c r="O203" s="147">
        <f>INDEX(Muuttujat!$J$5:$J$21,MATCH($C203,Muuttujat!$H$5:$H$21,0),1)</f>
        <v>65.194885123382022</v>
      </c>
      <c r="P203" s="342">
        <f>1-(INDEX(Muuttujat!$O$5:$O$21,MATCH($C203,Muuttujat!$N$5:$N$21,0),1))</f>
        <v>0.92999999999999994</v>
      </c>
      <c r="Q203" s="342">
        <f>INDEX(Muuttujat!$O$5:$O$21,MATCH($C203,Muuttujat!$N$5:$N$21,0),1)</f>
        <v>7.0000000000000007E-2</v>
      </c>
      <c r="R203" s="148">
        <f>INDEX(Muuttujat!$P$5:$P$21,MATCH($C203,Muuttujat!$N$5:$N$21,0),1)</f>
        <v>7.3026850896560899E-2</v>
      </c>
      <c r="S203" s="149">
        <f t="shared" si="69"/>
        <v>0</v>
      </c>
      <c r="T203" s="150">
        <f t="shared" si="70"/>
        <v>0</v>
      </c>
      <c r="U203" s="150">
        <f t="shared" si="71"/>
        <v>101.30448480481151</v>
      </c>
      <c r="V203" s="150">
        <f>IFERROR(INDEX(Työkonekanta!$J$3:$J$27,MATCH($A203,Työkonekanta!$A$3:$A$24,0),1)*$B203*ef_li_ion_akku/1000/1000/INDEX(Työkonekanta!$K$3:$K$27,MATCH($A203,Työkonekanta!$A$3:$A$24,0)),0)</f>
        <v>43.121723076923082</v>
      </c>
      <c r="W203" s="149">
        <f t="shared" si="62"/>
        <v>0</v>
      </c>
      <c r="X203" s="150">
        <f t="shared" si="63"/>
        <v>0</v>
      </c>
      <c r="Y203" s="151">
        <f t="shared" si="64"/>
        <v>0</v>
      </c>
      <c r="Z203" s="152">
        <f t="shared" si="78"/>
        <v>144.4262078817346</v>
      </c>
      <c r="AA203" s="179">
        <f t="shared" si="79"/>
        <v>0</v>
      </c>
      <c r="AB203" s="179">
        <f t="shared" si="80"/>
        <v>0</v>
      </c>
      <c r="AC203" s="180">
        <f t="shared" si="65"/>
        <v>144.4262078817346</v>
      </c>
      <c r="AD203" s="156">
        <f t="shared" si="81"/>
        <v>144.4262078817346</v>
      </c>
      <c r="AE203" s="146">
        <f>IFERROR(INDEX(Työkonekanta!$L$3:$L$30,MATCH($A203,Työkonekanta!$A$3:$A$30,0),1),0)*AF203</f>
        <v>1820000</v>
      </c>
      <c r="AF203" s="146">
        <f>IFERROR(INDEX(Työkonekanta!$N$3:$N$32,MATCH($A203,Työkonekanta!$A$3:$A$32,0),1),0)</f>
        <v>7</v>
      </c>
      <c r="AG203" s="332">
        <f>I203*INDEX(Muuttujat!$U$5:$U$21,MATCH($C203,Muuttujat!$N$5:$N$21,0),1)</f>
        <v>0</v>
      </c>
      <c r="AH203" s="332">
        <f>J203*INDEX(Muuttujat!$T$5:$T$21,MATCH($C203,Muuttujat!$N$5:$N$21,0),1)</f>
        <v>0</v>
      </c>
      <c r="AI203" s="332">
        <f t="shared" si="72"/>
        <v>0</v>
      </c>
      <c r="AJ203" s="332">
        <f t="shared" si="73"/>
        <v>38199.345138888893</v>
      </c>
      <c r="AK203" s="332">
        <f t="shared" si="82"/>
        <v>38199.345138888893</v>
      </c>
      <c r="AL203" s="332">
        <f t="shared" si="74"/>
        <v>1091.4098611111112</v>
      </c>
    </row>
    <row r="204" spans="1:38">
      <c r="A204" s="139">
        <v>22</v>
      </c>
      <c r="B204" s="139">
        <f>IFERROR(INDEX(Työkonekanta!$F$3:$F$27,MATCH('S0b Baseline kasvu'!$A204,Työkonekanta!$A$3:$A$24,0),1),0)</f>
        <v>0</v>
      </c>
      <c r="C204" s="140">
        <v>2025</v>
      </c>
      <c r="D204" s="141" t="str">
        <f>IFERROR(INDEX(Työkonekanta!$D$3:$D$27,MATCH('S0b Baseline kasvu'!$A204,Työkonekanta!$A$3:$A$24,0),1),"undefined")</f>
        <v>sähkö</v>
      </c>
      <c r="E204" s="145">
        <f>IFERROR(INDEX(Työkonekanta!$G$3:$G$27,MATCH($A204,Työkonekanta!$A$3:$A$24,0),1)*INDEX(Työkonekanta!$H$3:$H$27,MATCH($A204,Työkonekanta!$A$3:$A$24,0),1)*(1+s0b_kasvu*($C204-2019))*$B204,0)</f>
        <v>0</v>
      </c>
      <c r="F204" s="145">
        <f t="shared" si="66"/>
        <v>0</v>
      </c>
      <c r="G204" s="145">
        <f t="shared" si="75"/>
        <v>0</v>
      </c>
      <c r="H204" s="145">
        <f t="shared" si="76"/>
        <v>0</v>
      </c>
      <c r="I204" s="145">
        <f t="shared" si="67"/>
        <v>0</v>
      </c>
      <c r="J204" s="145">
        <f t="shared" si="68"/>
        <v>0</v>
      </c>
      <c r="K204" s="142" t="str">
        <f t="shared" si="77"/>
        <v>kWh</v>
      </c>
      <c r="L204" s="146">
        <f>IFERROR(INDEX(Työkonekanta!$I$3:$I$27,MATCH('S0b Baseline kasvu'!$A204,Työkonekanta!$A$3:$A$24,0),1)*(I204+J204)*f_adblue,0)</f>
        <v>0</v>
      </c>
      <c r="M204" s="146">
        <f t="shared" si="61"/>
        <v>0</v>
      </c>
      <c r="N204" s="143" t="str">
        <f>IF(tuulisähkö_vuosi&lt;='S0b Baseline kasvu'!C204,"tuulisähkö",ostosähkö_nyt)</f>
        <v>jäännössähkö</v>
      </c>
      <c r="O204" s="147">
        <f>INDEX(Muuttujat!$J$5:$J$21,MATCH($C204,Muuttujat!$H$5:$H$21,0),1)</f>
        <v>65.194885123382022</v>
      </c>
      <c r="P204" s="342">
        <f>1-(INDEX(Muuttujat!$O$5:$O$21,MATCH($C204,Muuttujat!$N$5:$N$21,0),1))</f>
        <v>0.92999999999999994</v>
      </c>
      <c r="Q204" s="342">
        <f>INDEX(Muuttujat!$O$5:$O$21,MATCH($C204,Muuttujat!$N$5:$N$21,0),1)</f>
        <v>7.0000000000000007E-2</v>
      </c>
      <c r="R204" s="148">
        <f>INDEX(Muuttujat!$P$5:$P$21,MATCH($C204,Muuttujat!$N$5:$N$21,0),1)</f>
        <v>7.3026850896560899E-2</v>
      </c>
      <c r="S204" s="149">
        <f t="shared" si="69"/>
        <v>0</v>
      </c>
      <c r="T204" s="150">
        <f t="shared" si="70"/>
        <v>0</v>
      </c>
      <c r="U204" s="150">
        <f t="shared" si="71"/>
        <v>0</v>
      </c>
      <c r="V204" s="150">
        <f>IFERROR(INDEX(Työkonekanta!$J$3:$J$27,MATCH($A204,Työkonekanta!$A$3:$A$24,0),1)*$B204*ef_li_ion_akku/1000/1000/INDEX(Työkonekanta!$K$3:$K$27,MATCH($A204,Työkonekanta!$A$3:$A$24,0)),0)</f>
        <v>0</v>
      </c>
      <c r="W204" s="149">
        <f t="shared" si="62"/>
        <v>0</v>
      </c>
      <c r="X204" s="150">
        <f t="shared" si="63"/>
        <v>0</v>
      </c>
      <c r="Y204" s="151">
        <f t="shared" si="64"/>
        <v>0</v>
      </c>
      <c r="Z204" s="152">
        <f t="shared" si="78"/>
        <v>0</v>
      </c>
      <c r="AA204" s="179">
        <f t="shared" si="79"/>
        <v>0</v>
      </c>
      <c r="AB204" s="179">
        <f t="shared" si="80"/>
        <v>0</v>
      </c>
      <c r="AC204" s="180">
        <f t="shared" si="65"/>
        <v>0</v>
      </c>
      <c r="AD204" s="156">
        <f t="shared" si="81"/>
        <v>0</v>
      </c>
      <c r="AE204" s="146">
        <f>IFERROR(INDEX(Työkonekanta!$L$3:$L$30,MATCH($A204,Työkonekanta!$A$3:$A$30,0),1),0)*AF204</f>
        <v>0</v>
      </c>
      <c r="AF204" s="146">
        <f>IFERROR(INDEX(Työkonekanta!$N$3:$N$32,MATCH($A204,Työkonekanta!$A$3:$A$32,0),1),0)</f>
        <v>0</v>
      </c>
      <c r="AG204" s="332">
        <f>I204*INDEX(Muuttujat!$U$5:$U$21,MATCH($C204,Muuttujat!$N$5:$N$21,0),1)</f>
        <v>0</v>
      </c>
      <c r="AH204" s="332">
        <f>J204*INDEX(Muuttujat!$T$5:$T$21,MATCH($C204,Muuttujat!$N$5:$N$21,0),1)</f>
        <v>0</v>
      </c>
      <c r="AI204" s="332">
        <f t="shared" si="72"/>
        <v>0</v>
      </c>
      <c r="AJ204" s="332">
        <f t="shared" si="73"/>
        <v>0</v>
      </c>
      <c r="AK204" s="332">
        <f t="shared" si="82"/>
        <v>0</v>
      </c>
      <c r="AL204" s="332">
        <f t="shared" si="74"/>
        <v>0</v>
      </c>
    </row>
    <row r="205" spans="1:38">
      <c r="A205" s="139">
        <v>23</v>
      </c>
      <c r="B205" s="139">
        <f>IFERROR(INDEX(Työkonekanta!$F$3:$F$27,MATCH('S0b Baseline kasvu'!$A205,Työkonekanta!$A$3:$A$24,0),1),0)</f>
        <v>0</v>
      </c>
      <c r="C205" s="140">
        <v>2025</v>
      </c>
      <c r="D205" s="141" t="str">
        <f>IFERROR(INDEX(Työkonekanta!$D$3:$D$27,MATCH('S0b Baseline kasvu'!$A205,Työkonekanta!$A$3:$A$24,0),1),"undefined")</f>
        <v>undefined</v>
      </c>
      <c r="E205" s="145">
        <f>IFERROR(INDEX(Työkonekanta!$G$3:$G$27,MATCH($A205,Työkonekanta!$A$3:$A$24,0),1)*INDEX(Työkonekanta!$H$3:$H$27,MATCH($A205,Työkonekanta!$A$3:$A$24,0),1)*(1+s0b_kasvu*($C205-2019))*$B205,0)</f>
        <v>0</v>
      </c>
      <c r="F205" s="145">
        <f t="shared" si="66"/>
        <v>0</v>
      </c>
      <c r="G205" s="145">
        <f t="shared" si="75"/>
        <v>0</v>
      </c>
      <c r="H205" s="145">
        <f t="shared" si="76"/>
        <v>0</v>
      </c>
      <c r="I205" s="145">
        <f t="shared" si="67"/>
        <v>0</v>
      </c>
      <c r="J205" s="145">
        <f t="shared" si="68"/>
        <v>0</v>
      </c>
      <c r="K205" s="142" t="str">
        <f t="shared" si="77"/>
        <v>undefined</v>
      </c>
      <c r="L205" s="146">
        <f>IFERROR(INDEX(Työkonekanta!$I$3:$I$27,MATCH('S0b Baseline kasvu'!$A205,Työkonekanta!$A$3:$A$24,0),1)*(I205+J205)*f_adblue,0)</f>
        <v>0</v>
      </c>
      <c r="M205" s="146">
        <f t="shared" si="61"/>
        <v>0</v>
      </c>
      <c r="N205" s="143" t="str">
        <f>IF(tuulisähkö_vuosi&lt;='S0b Baseline kasvu'!C205,"tuulisähkö",ostosähkö_nyt)</f>
        <v>jäännössähkö</v>
      </c>
      <c r="O205" s="147">
        <f>INDEX(Muuttujat!$J$5:$J$21,MATCH($C205,Muuttujat!$H$5:$H$21,0),1)</f>
        <v>65.194885123382022</v>
      </c>
      <c r="P205" s="342">
        <f>1-(INDEX(Muuttujat!$O$5:$O$21,MATCH($C205,Muuttujat!$N$5:$N$21,0),1))</f>
        <v>0.92999999999999994</v>
      </c>
      <c r="Q205" s="342">
        <f>INDEX(Muuttujat!$O$5:$O$21,MATCH($C205,Muuttujat!$N$5:$N$21,0),1)</f>
        <v>7.0000000000000007E-2</v>
      </c>
      <c r="R205" s="148">
        <f>INDEX(Muuttujat!$P$5:$P$21,MATCH($C205,Muuttujat!$N$5:$N$21,0),1)</f>
        <v>7.3026850896560899E-2</v>
      </c>
      <c r="S205" s="149">
        <f t="shared" si="69"/>
        <v>0</v>
      </c>
      <c r="T205" s="150">
        <f t="shared" si="70"/>
        <v>0</v>
      </c>
      <c r="U205" s="150">
        <f t="shared" si="71"/>
        <v>0</v>
      </c>
      <c r="V205" s="150">
        <f>IFERROR(INDEX(Työkonekanta!$J$3:$J$27,MATCH($A205,Työkonekanta!$A$3:$A$24,0),1)*$B205*ef_li_ion_akku/1000/1000/INDEX(Työkonekanta!$K$3:$K$27,MATCH($A205,Työkonekanta!$A$3:$A$24,0)),0)</f>
        <v>0</v>
      </c>
      <c r="W205" s="149">
        <f t="shared" si="62"/>
        <v>0</v>
      </c>
      <c r="X205" s="150">
        <f t="shared" si="63"/>
        <v>0</v>
      </c>
      <c r="Y205" s="151">
        <f t="shared" si="64"/>
        <v>0</v>
      </c>
      <c r="Z205" s="152">
        <f t="shared" si="78"/>
        <v>0</v>
      </c>
      <c r="AA205" s="179">
        <f t="shared" si="79"/>
        <v>0</v>
      </c>
      <c r="AB205" s="179">
        <f t="shared" si="80"/>
        <v>0</v>
      </c>
      <c r="AC205" s="180">
        <f t="shared" si="65"/>
        <v>0</v>
      </c>
      <c r="AD205" s="156">
        <f t="shared" si="81"/>
        <v>0</v>
      </c>
      <c r="AE205" s="146">
        <f>IFERROR(INDEX(Työkonekanta!$L$3:$L$30,MATCH($A205,Työkonekanta!$A$3:$A$30,0),1),0)*AF205</f>
        <v>0</v>
      </c>
      <c r="AF205" s="146">
        <f>IFERROR(INDEX(Työkonekanta!$N$3:$N$32,MATCH($A205,Työkonekanta!$A$3:$A$32,0),1),0)</f>
        <v>0</v>
      </c>
      <c r="AG205" s="332">
        <f>I205*INDEX(Muuttujat!$U$5:$U$21,MATCH($C205,Muuttujat!$N$5:$N$21,0),1)</f>
        <v>0</v>
      </c>
      <c r="AH205" s="332">
        <f>J205*INDEX(Muuttujat!$T$5:$T$21,MATCH($C205,Muuttujat!$N$5:$N$21,0),1)</f>
        <v>0</v>
      </c>
      <c r="AI205" s="332">
        <f t="shared" si="72"/>
        <v>0</v>
      </c>
      <c r="AJ205" s="332">
        <f t="shared" si="73"/>
        <v>0</v>
      </c>
      <c r="AK205" s="332">
        <f t="shared" si="82"/>
        <v>0</v>
      </c>
      <c r="AL205" s="332">
        <f t="shared" si="74"/>
        <v>0</v>
      </c>
    </row>
    <row r="206" spans="1:38">
      <c r="A206" s="139">
        <v>24</v>
      </c>
      <c r="B206" s="139">
        <f>IFERROR(INDEX(Työkonekanta!$F$3:$F$27,MATCH('S0b Baseline kasvu'!$A206,Työkonekanta!$A$3:$A$24,0),1),0)</f>
        <v>0</v>
      </c>
      <c r="C206" s="140">
        <v>2025</v>
      </c>
      <c r="D206" s="141" t="str">
        <f>IFERROR(INDEX(Työkonekanta!$D$3:$D$27,MATCH('S0b Baseline kasvu'!$A206,Työkonekanta!$A$3:$A$24,0),1),"undefined")</f>
        <v>undefined</v>
      </c>
      <c r="E206" s="145">
        <f>IFERROR(INDEX(Työkonekanta!$G$3:$G$27,MATCH($A206,Työkonekanta!$A$3:$A$24,0),1)*INDEX(Työkonekanta!$H$3:$H$27,MATCH($A206,Työkonekanta!$A$3:$A$24,0),1)*(1+s0b_kasvu*($C206-2019))*$B206,0)</f>
        <v>0</v>
      </c>
      <c r="F206" s="145">
        <f t="shared" si="66"/>
        <v>0</v>
      </c>
      <c r="G206" s="145">
        <f t="shared" si="75"/>
        <v>0</v>
      </c>
      <c r="H206" s="145">
        <f t="shared" si="76"/>
        <v>0</v>
      </c>
      <c r="I206" s="145">
        <f t="shared" si="67"/>
        <v>0</v>
      </c>
      <c r="J206" s="145">
        <f t="shared" si="68"/>
        <v>0</v>
      </c>
      <c r="K206" s="142" t="str">
        <f t="shared" si="77"/>
        <v>undefined</v>
      </c>
      <c r="L206" s="146">
        <f>IFERROR(INDEX(Työkonekanta!$I$3:$I$27,MATCH('S0b Baseline kasvu'!$A206,Työkonekanta!$A$3:$A$24,0),1)*(I206+J206)*f_adblue,0)</f>
        <v>0</v>
      </c>
      <c r="M206" s="146">
        <f t="shared" si="61"/>
        <v>0</v>
      </c>
      <c r="N206" s="143" t="str">
        <f>IF(tuulisähkö_vuosi&lt;='S0b Baseline kasvu'!C206,"tuulisähkö",ostosähkö_nyt)</f>
        <v>jäännössähkö</v>
      </c>
      <c r="O206" s="147">
        <f>INDEX(Muuttujat!$J$5:$J$21,MATCH($C206,Muuttujat!$H$5:$H$21,0),1)</f>
        <v>65.194885123382022</v>
      </c>
      <c r="P206" s="342">
        <f>1-(INDEX(Muuttujat!$O$5:$O$21,MATCH($C206,Muuttujat!$N$5:$N$21,0),1))</f>
        <v>0.92999999999999994</v>
      </c>
      <c r="Q206" s="342">
        <f>INDEX(Muuttujat!$O$5:$O$21,MATCH($C206,Muuttujat!$N$5:$N$21,0),1)</f>
        <v>7.0000000000000007E-2</v>
      </c>
      <c r="R206" s="148">
        <f>INDEX(Muuttujat!$P$5:$P$21,MATCH($C206,Muuttujat!$N$5:$N$21,0),1)</f>
        <v>7.3026850896560899E-2</v>
      </c>
      <c r="S206" s="149">
        <f t="shared" si="69"/>
        <v>0</v>
      </c>
      <c r="T206" s="150">
        <f t="shared" si="70"/>
        <v>0</v>
      </c>
      <c r="U206" s="150">
        <f t="shared" si="71"/>
        <v>0</v>
      </c>
      <c r="V206" s="150">
        <f>IFERROR(INDEX(Työkonekanta!$J$3:$J$27,MATCH($A206,Työkonekanta!$A$3:$A$24,0),1)*$B206*ef_li_ion_akku/1000/1000/INDEX(Työkonekanta!$K$3:$K$27,MATCH($A206,Työkonekanta!$A$3:$A$24,0)),0)</f>
        <v>0</v>
      </c>
      <c r="W206" s="149">
        <f t="shared" si="62"/>
        <v>0</v>
      </c>
      <c r="X206" s="150">
        <f t="shared" si="63"/>
        <v>0</v>
      </c>
      <c r="Y206" s="151">
        <f t="shared" si="64"/>
        <v>0</v>
      </c>
      <c r="Z206" s="152">
        <f t="shared" si="78"/>
        <v>0</v>
      </c>
      <c r="AA206" s="179">
        <f t="shared" si="79"/>
        <v>0</v>
      </c>
      <c r="AB206" s="179">
        <f t="shared" si="80"/>
        <v>0</v>
      </c>
      <c r="AC206" s="180">
        <f t="shared" si="65"/>
        <v>0</v>
      </c>
      <c r="AD206" s="156">
        <f t="shared" si="81"/>
        <v>0</v>
      </c>
      <c r="AE206" s="146">
        <f>IFERROR(INDEX(Työkonekanta!$L$3:$L$30,MATCH($A206,Työkonekanta!$A$3:$A$30,0),1),0)*AF206</f>
        <v>0</v>
      </c>
      <c r="AF206" s="146">
        <f>IFERROR(INDEX(Työkonekanta!$N$3:$N$32,MATCH($A206,Työkonekanta!$A$3:$A$32,0),1),0)</f>
        <v>0</v>
      </c>
      <c r="AG206" s="332">
        <f>I206*INDEX(Muuttujat!$U$5:$U$21,MATCH($C206,Muuttujat!$N$5:$N$21,0),1)</f>
        <v>0</v>
      </c>
      <c r="AH206" s="332">
        <f>J206*INDEX(Muuttujat!$T$5:$T$21,MATCH($C206,Muuttujat!$N$5:$N$21,0),1)</f>
        <v>0</v>
      </c>
      <c r="AI206" s="332">
        <f t="shared" si="72"/>
        <v>0</v>
      </c>
      <c r="AJ206" s="332">
        <f t="shared" si="73"/>
        <v>0</v>
      </c>
      <c r="AK206" s="332">
        <f t="shared" si="82"/>
        <v>0</v>
      </c>
      <c r="AL206" s="332">
        <f t="shared" si="74"/>
        <v>0</v>
      </c>
    </row>
    <row r="207" spans="1:38">
      <c r="A207" s="139">
        <v>25</v>
      </c>
      <c r="B207" s="139">
        <f>IFERROR(INDEX(Työkonekanta!$F$3:$F$27,MATCH('S0b Baseline kasvu'!$A207,Työkonekanta!$A$3:$A$24,0),1),0)</f>
        <v>0</v>
      </c>
      <c r="C207" s="140">
        <v>2025</v>
      </c>
      <c r="D207" s="141" t="str">
        <f>IFERROR(INDEX(Työkonekanta!$D$3:$D$27,MATCH('S0b Baseline kasvu'!$A207,Työkonekanta!$A$3:$A$24,0),1),"undefined")</f>
        <v>undefined</v>
      </c>
      <c r="E207" s="145">
        <f>IFERROR(INDEX(Työkonekanta!$G$3:$G$27,MATCH($A207,Työkonekanta!$A$3:$A$24,0),1)*INDEX(Työkonekanta!$H$3:$H$27,MATCH($A207,Työkonekanta!$A$3:$A$24,0),1)*(1+s0b_kasvu*($C207-2019))*$B207,0)</f>
        <v>0</v>
      </c>
      <c r="F207" s="145">
        <f t="shared" si="66"/>
        <v>0</v>
      </c>
      <c r="G207" s="145">
        <f t="shared" si="75"/>
        <v>0</v>
      </c>
      <c r="H207" s="145">
        <f t="shared" si="76"/>
        <v>0</v>
      </c>
      <c r="I207" s="145">
        <f t="shared" si="67"/>
        <v>0</v>
      </c>
      <c r="J207" s="145">
        <f t="shared" si="68"/>
        <v>0</v>
      </c>
      <c r="K207" s="142" t="str">
        <f t="shared" si="77"/>
        <v>undefined</v>
      </c>
      <c r="L207" s="146">
        <f>IFERROR(INDEX(Työkonekanta!$I$3:$I$27,MATCH('S0b Baseline kasvu'!$A207,Työkonekanta!$A$3:$A$24,0),1)*(I207+J207)*f_adblue,0)</f>
        <v>0</v>
      </c>
      <c r="M207" s="146">
        <f t="shared" si="61"/>
        <v>0</v>
      </c>
      <c r="N207" s="143" t="str">
        <f>IF(tuulisähkö_vuosi&lt;='S0b Baseline kasvu'!C207,"tuulisähkö",ostosähkö_nyt)</f>
        <v>jäännössähkö</v>
      </c>
      <c r="O207" s="147">
        <f>INDEX(Muuttujat!$J$5:$J$21,MATCH($C207,Muuttujat!$H$5:$H$21,0),1)</f>
        <v>65.194885123382022</v>
      </c>
      <c r="P207" s="342">
        <f>1-(INDEX(Muuttujat!$O$5:$O$21,MATCH($C207,Muuttujat!$N$5:$N$21,0),1))</f>
        <v>0.92999999999999994</v>
      </c>
      <c r="Q207" s="342">
        <f>INDEX(Muuttujat!$O$5:$O$21,MATCH($C207,Muuttujat!$N$5:$N$21,0),1)</f>
        <v>7.0000000000000007E-2</v>
      </c>
      <c r="R207" s="148">
        <f>INDEX(Muuttujat!$P$5:$P$21,MATCH($C207,Muuttujat!$N$5:$N$21,0),1)</f>
        <v>7.3026850896560899E-2</v>
      </c>
      <c r="S207" s="149">
        <f t="shared" si="69"/>
        <v>0</v>
      </c>
      <c r="T207" s="150">
        <f t="shared" si="70"/>
        <v>0</v>
      </c>
      <c r="U207" s="150">
        <f t="shared" si="71"/>
        <v>0</v>
      </c>
      <c r="V207" s="150">
        <f>IFERROR(INDEX(Työkonekanta!$J$3:$J$27,MATCH($A207,Työkonekanta!$A$3:$A$24,0),1)*$B207*ef_li_ion_akku/1000/1000/INDEX(Työkonekanta!$K$3:$K$27,MATCH($A207,Työkonekanta!$A$3:$A$24,0)),0)</f>
        <v>0</v>
      </c>
      <c r="W207" s="149">
        <f t="shared" si="62"/>
        <v>0</v>
      </c>
      <c r="X207" s="150">
        <f t="shared" si="63"/>
        <v>0</v>
      </c>
      <c r="Y207" s="151">
        <f t="shared" si="64"/>
        <v>0</v>
      </c>
      <c r="Z207" s="152">
        <f t="shared" si="78"/>
        <v>0</v>
      </c>
      <c r="AA207" s="179">
        <f t="shared" si="79"/>
        <v>0</v>
      </c>
      <c r="AB207" s="179">
        <f t="shared" si="80"/>
        <v>0</v>
      </c>
      <c r="AC207" s="180">
        <f t="shared" si="65"/>
        <v>0</v>
      </c>
      <c r="AD207" s="156">
        <f t="shared" si="81"/>
        <v>0</v>
      </c>
      <c r="AE207" s="146">
        <f>IFERROR(INDEX(Työkonekanta!$L$3:$L$30,MATCH($A207,Työkonekanta!$A$3:$A$30,0),1),0)*AF207</f>
        <v>0</v>
      </c>
      <c r="AF207" s="146">
        <f>IFERROR(INDEX(Työkonekanta!$N$3:$N$32,MATCH($A207,Työkonekanta!$A$3:$A$32,0),1),0)</f>
        <v>0</v>
      </c>
      <c r="AG207" s="332">
        <f>I207*INDEX(Muuttujat!$U$5:$U$21,MATCH($C207,Muuttujat!$N$5:$N$21,0),1)</f>
        <v>0</v>
      </c>
      <c r="AH207" s="332">
        <f>J207*INDEX(Muuttujat!$T$5:$T$21,MATCH($C207,Muuttujat!$N$5:$N$21,0),1)</f>
        <v>0</v>
      </c>
      <c r="AI207" s="332">
        <f t="shared" si="72"/>
        <v>0</v>
      </c>
      <c r="AJ207" s="332">
        <f t="shared" si="73"/>
        <v>0</v>
      </c>
      <c r="AK207" s="332">
        <f t="shared" si="82"/>
        <v>0</v>
      </c>
      <c r="AL207" s="332">
        <f t="shared" si="74"/>
        <v>0</v>
      </c>
    </row>
    <row r="208" spans="1:38">
      <c r="A208" s="139">
        <v>26</v>
      </c>
      <c r="B208" s="139">
        <f>IFERROR(INDEX(Työkonekanta!$F$3:$F$27,MATCH('S0b Baseline kasvu'!$A208,Työkonekanta!$A$3:$A$24,0),1),0)</f>
        <v>0</v>
      </c>
      <c r="C208" s="140">
        <v>2025</v>
      </c>
      <c r="D208" s="141" t="str">
        <f>IFERROR(INDEX(Työkonekanta!$D$3:$D$27,MATCH('S0b Baseline kasvu'!$A208,Työkonekanta!$A$3:$A$24,0),1),"undefined")</f>
        <v>undefined</v>
      </c>
      <c r="E208" s="145">
        <f>IFERROR(INDEX(Työkonekanta!$G$3:$G$27,MATCH($A208,Työkonekanta!$A$3:$A$24,0),1)*INDEX(Työkonekanta!$H$3:$H$27,MATCH($A208,Työkonekanta!$A$3:$A$24,0),1)*(1+s0b_kasvu*($C208-2019))*$B208,0)</f>
        <v>0</v>
      </c>
      <c r="F208" s="145">
        <f t="shared" si="66"/>
        <v>0</v>
      </c>
      <c r="G208" s="145">
        <f t="shared" si="75"/>
        <v>0</v>
      </c>
      <c r="H208" s="145">
        <f t="shared" si="76"/>
        <v>0</v>
      </c>
      <c r="I208" s="145">
        <f t="shared" si="67"/>
        <v>0</v>
      </c>
      <c r="J208" s="145">
        <f t="shared" si="68"/>
        <v>0</v>
      </c>
      <c r="K208" s="142" t="str">
        <f t="shared" si="77"/>
        <v>undefined</v>
      </c>
      <c r="L208" s="146">
        <f>IFERROR(INDEX(Työkonekanta!$I$3:$I$27,MATCH('S0b Baseline kasvu'!$A208,Työkonekanta!$A$3:$A$24,0),1)*(I208+J208)*f_adblue,0)</f>
        <v>0</v>
      </c>
      <c r="M208" s="146">
        <f t="shared" si="61"/>
        <v>0</v>
      </c>
      <c r="N208" s="143" t="str">
        <f>IF(tuulisähkö_vuosi&lt;='S0b Baseline kasvu'!C208,"tuulisähkö",ostosähkö_nyt)</f>
        <v>jäännössähkö</v>
      </c>
      <c r="O208" s="147">
        <f>INDEX(Muuttujat!$J$5:$J$21,MATCH($C208,Muuttujat!$H$5:$H$21,0),1)</f>
        <v>65.194885123382022</v>
      </c>
      <c r="P208" s="342">
        <f>1-(INDEX(Muuttujat!$O$5:$O$21,MATCH($C208,Muuttujat!$N$5:$N$21,0),1))</f>
        <v>0.92999999999999994</v>
      </c>
      <c r="Q208" s="342">
        <f>INDEX(Muuttujat!$O$5:$O$21,MATCH($C208,Muuttujat!$N$5:$N$21,0),1)</f>
        <v>7.0000000000000007E-2</v>
      </c>
      <c r="R208" s="148">
        <f>INDEX(Muuttujat!$P$5:$P$21,MATCH($C208,Muuttujat!$N$5:$N$21,0),1)</f>
        <v>7.3026850896560899E-2</v>
      </c>
      <c r="S208" s="149">
        <f t="shared" si="69"/>
        <v>0</v>
      </c>
      <c r="T208" s="150">
        <f t="shared" si="70"/>
        <v>0</v>
      </c>
      <c r="U208" s="150">
        <f t="shared" si="71"/>
        <v>0</v>
      </c>
      <c r="V208" s="150">
        <f>IFERROR(INDEX(Työkonekanta!$J$3:$J$27,MATCH($A208,Työkonekanta!$A$3:$A$24,0),1)*$B208*ef_li_ion_akku/1000/1000/INDEX(Työkonekanta!$K$3:$K$27,MATCH($A208,Työkonekanta!$A$3:$A$24,0)),0)</f>
        <v>0</v>
      </c>
      <c r="W208" s="149">
        <f t="shared" si="62"/>
        <v>0</v>
      </c>
      <c r="X208" s="150">
        <f t="shared" si="63"/>
        <v>0</v>
      </c>
      <c r="Y208" s="151">
        <f t="shared" si="64"/>
        <v>0</v>
      </c>
      <c r="Z208" s="152">
        <f t="shared" si="78"/>
        <v>0</v>
      </c>
      <c r="AA208" s="179">
        <f t="shared" si="79"/>
        <v>0</v>
      </c>
      <c r="AB208" s="179">
        <f t="shared" si="80"/>
        <v>0</v>
      </c>
      <c r="AC208" s="180">
        <f t="shared" si="65"/>
        <v>0</v>
      </c>
      <c r="AD208" s="156">
        <f t="shared" si="81"/>
        <v>0</v>
      </c>
      <c r="AE208" s="146">
        <f>IFERROR(INDEX(Työkonekanta!$L$3:$L$30,MATCH($A208,Työkonekanta!$A$3:$A$30,0),1),0)*AF208</f>
        <v>0</v>
      </c>
      <c r="AF208" s="146">
        <f>IFERROR(INDEX(Työkonekanta!$N$3:$N$32,MATCH($A208,Työkonekanta!$A$3:$A$32,0),1),0)</f>
        <v>0</v>
      </c>
      <c r="AG208" s="332">
        <f>I208*INDEX(Muuttujat!$U$5:$U$21,MATCH($C208,Muuttujat!$N$5:$N$21,0),1)</f>
        <v>0</v>
      </c>
      <c r="AH208" s="332">
        <f>J208*INDEX(Muuttujat!$T$5:$T$21,MATCH($C208,Muuttujat!$N$5:$N$21,0),1)</f>
        <v>0</v>
      </c>
      <c r="AI208" s="332">
        <f t="shared" si="72"/>
        <v>0</v>
      </c>
      <c r="AJ208" s="332">
        <f t="shared" si="73"/>
        <v>0</v>
      </c>
      <c r="AK208" s="332">
        <f t="shared" si="82"/>
        <v>0</v>
      </c>
      <c r="AL208" s="332">
        <f t="shared" si="74"/>
        <v>0</v>
      </c>
    </row>
    <row r="209" spans="1:38">
      <c r="A209" s="139">
        <v>27</v>
      </c>
      <c r="B209" s="139">
        <f>IFERROR(INDEX(Työkonekanta!$F$3:$F$27,MATCH('S0b Baseline kasvu'!$A209,Työkonekanta!$A$3:$A$24,0),1),0)</f>
        <v>0</v>
      </c>
      <c r="C209" s="140">
        <v>2025</v>
      </c>
      <c r="D209" s="141" t="str">
        <f>IFERROR(INDEX(Työkonekanta!$D$3:$D$27,MATCH('S0b Baseline kasvu'!$A209,Työkonekanta!$A$3:$A$24,0),1),"undefined")</f>
        <v>undefined</v>
      </c>
      <c r="E209" s="145">
        <f>IFERROR(INDEX(Työkonekanta!$G$3:$G$27,MATCH($A209,Työkonekanta!$A$3:$A$24,0),1)*INDEX(Työkonekanta!$H$3:$H$27,MATCH($A209,Työkonekanta!$A$3:$A$24,0),1)*(1+s0b_kasvu*($C209-2019))*$B209,0)</f>
        <v>0</v>
      </c>
      <c r="F209" s="145">
        <f t="shared" si="66"/>
        <v>0</v>
      </c>
      <c r="G209" s="145">
        <f t="shared" si="75"/>
        <v>0</v>
      </c>
      <c r="H209" s="145">
        <f t="shared" si="76"/>
        <v>0</v>
      </c>
      <c r="I209" s="145">
        <f t="shared" si="67"/>
        <v>0</v>
      </c>
      <c r="J209" s="145">
        <f t="shared" si="68"/>
        <v>0</v>
      </c>
      <c r="K209" s="142" t="str">
        <f t="shared" si="77"/>
        <v>undefined</v>
      </c>
      <c r="L209" s="146">
        <f>IFERROR(INDEX(Työkonekanta!$I$3:$I$27,MATCH('S0b Baseline kasvu'!$A209,Työkonekanta!$A$3:$A$24,0),1)*(I209+J209)*f_adblue,0)</f>
        <v>0</v>
      </c>
      <c r="M209" s="146">
        <f t="shared" si="61"/>
        <v>0</v>
      </c>
      <c r="N209" s="143" t="str">
        <f>IF(tuulisähkö_vuosi&lt;='S0b Baseline kasvu'!C209,"tuulisähkö",ostosähkö_nyt)</f>
        <v>jäännössähkö</v>
      </c>
      <c r="O209" s="147">
        <f>INDEX(Muuttujat!$J$5:$J$21,MATCH($C209,Muuttujat!$H$5:$H$21,0),1)</f>
        <v>65.194885123382022</v>
      </c>
      <c r="P209" s="342">
        <f>1-(INDEX(Muuttujat!$O$5:$O$21,MATCH($C209,Muuttujat!$N$5:$N$21,0),1))</f>
        <v>0.92999999999999994</v>
      </c>
      <c r="Q209" s="342">
        <f>INDEX(Muuttujat!$O$5:$O$21,MATCH($C209,Muuttujat!$N$5:$N$21,0),1)</f>
        <v>7.0000000000000007E-2</v>
      </c>
      <c r="R209" s="148">
        <f>INDEX(Muuttujat!$P$5:$P$21,MATCH($C209,Muuttujat!$N$5:$N$21,0),1)</f>
        <v>7.3026850896560899E-2</v>
      </c>
      <c r="S209" s="149">
        <f t="shared" si="69"/>
        <v>0</v>
      </c>
      <c r="T209" s="150">
        <f t="shared" si="70"/>
        <v>0</v>
      </c>
      <c r="U209" s="150">
        <f t="shared" si="71"/>
        <v>0</v>
      </c>
      <c r="V209" s="150">
        <f>IFERROR(INDEX(Työkonekanta!$J$3:$J$27,MATCH($A209,Työkonekanta!$A$3:$A$24,0),1)*$B209*ef_li_ion_akku/1000/1000/INDEX(Työkonekanta!$K$3:$K$27,MATCH($A209,Työkonekanta!$A$3:$A$24,0)),0)</f>
        <v>0</v>
      </c>
      <c r="W209" s="149">
        <f t="shared" si="62"/>
        <v>0</v>
      </c>
      <c r="X209" s="150">
        <f t="shared" si="63"/>
        <v>0</v>
      </c>
      <c r="Y209" s="151">
        <f t="shared" si="64"/>
        <v>0</v>
      </c>
      <c r="Z209" s="152">
        <f t="shared" si="78"/>
        <v>0</v>
      </c>
      <c r="AA209" s="179">
        <f t="shared" si="79"/>
        <v>0</v>
      </c>
      <c r="AB209" s="179">
        <f t="shared" si="80"/>
        <v>0</v>
      </c>
      <c r="AC209" s="180">
        <f t="shared" si="65"/>
        <v>0</v>
      </c>
      <c r="AD209" s="156">
        <f t="shared" si="81"/>
        <v>0</v>
      </c>
      <c r="AE209" s="146">
        <f>IFERROR(INDEX(Työkonekanta!$L$3:$L$30,MATCH($A209,Työkonekanta!$A$3:$A$30,0),1),0)*AF209</f>
        <v>0</v>
      </c>
      <c r="AF209" s="146">
        <f>IFERROR(INDEX(Työkonekanta!$N$3:$N$32,MATCH($A209,Työkonekanta!$A$3:$A$32,0),1),0)</f>
        <v>0</v>
      </c>
      <c r="AG209" s="332">
        <f>I209*INDEX(Muuttujat!$U$5:$U$21,MATCH($C209,Muuttujat!$N$5:$N$21,0),1)</f>
        <v>0</v>
      </c>
      <c r="AH209" s="332">
        <f>J209*INDEX(Muuttujat!$T$5:$T$21,MATCH($C209,Muuttujat!$N$5:$N$21,0),1)</f>
        <v>0</v>
      </c>
      <c r="AI209" s="332">
        <f t="shared" si="72"/>
        <v>0</v>
      </c>
      <c r="AJ209" s="332">
        <f t="shared" si="73"/>
        <v>0</v>
      </c>
      <c r="AK209" s="332">
        <f t="shared" si="82"/>
        <v>0</v>
      </c>
      <c r="AL209" s="332">
        <f t="shared" si="74"/>
        <v>0</v>
      </c>
    </row>
    <row r="210" spans="1:38">
      <c r="A210" s="139">
        <v>28</v>
      </c>
      <c r="B210" s="139">
        <f>IFERROR(INDEX(Työkonekanta!$F$3:$F$27,MATCH('S0b Baseline kasvu'!$A210,Työkonekanta!$A$3:$A$24,0),1),0)</f>
        <v>0</v>
      </c>
      <c r="C210" s="140">
        <v>2025</v>
      </c>
      <c r="D210" s="141" t="str">
        <f>IFERROR(INDEX(Työkonekanta!$D$3:$D$27,MATCH('S0b Baseline kasvu'!$A210,Työkonekanta!$A$3:$A$24,0),1),"undefined")</f>
        <v>undefined</v>
      </c>
      <c r="E210" s="145">
        <f>IFERROR(INDEX(Työkonekanta!$G$3:$G$27,MATCH($A210,Työkonekanta!$A$3:$A$24,0),1)*INDEX(Työkonekanta!$H$3:$H$27,MATCH($A210,Työkonekanta!$A$3:$A$24,0),1)*(1+s0b_kasvu*($C210-2019))*$B210,0)</f>
        <v>0</v>
      </c>
      <c r="F210" s="145">
        <f t="shared" si="66"/>
        <v>0</v>
      </c>
      <c r="G210" s="145">
        <f t="shared" si="75"/>
        <v>0</v>
      </c>
      <c r="H210" s="145">
        <f t="shared" si="76"/>
        <v>0</v>
      </c>
      <c r="I210" s="145">
        <f t="shared" si="67"/>
        <v>0</v>
      </c>
      <c r="J210" s="145">
        <f t="shared" si="68"/>
        <v>0</v>
      </c>
      <c r="K210" s="142" t="str">
        <f t="shared" si="77"/>
        <v>undefined</v>
      </c>
      <c r="L210" s="146">
        <f>IFERROR(INDEX(Työkonekanta!$I$3:$I$27,MATCH('S0b Baseline kasvu'!$A210,Työkonekanta!$A$3:$A$24,0),1)*(I210+J210)*f_adblue,0)</f>
        <v>0</v>
      </c>
      <c r="M210" s="146">
        <f t="shared" si="61"/>
        <v>0</v>
      </c>
      <c r="N210" s="143" t="str">
        <f>IF(tuulisähkö_vuosi&lt;='S0b Baseline kasvu'!C210,"tuulisähkö",ostosähkö_nyt)</f>
        <v>jäännössähkö</v>
      </c>
      <c r="O210" s="147">
        <f>INDEX(Muuttujat!$J$5:$J$21,MATCH($C210,Muuttujat!$H$5:$H$21,0),1)</f>
        <v>65.194885123382022</v>
      </c>
      <c r="P210" s="342">
        <f>1-(INDEX(Muuttujat!$O$5:$O$21,MATCH($C210,Muuttujat!$N$5:$N$21,0),1))</f>
        <v>0.92999999999999994</v>
      </c>
      <c r="Q210" s="342">
        <f>INDEX(Muuttujat!$O$5:$O$21,MATCH($C210,Muuttujat!$N$5:$N$21,0),1)</f>
        <v>7.0000000000000007E-2</v>
      </c>
      <c r="R210" s="148">
        <f>INDEX(Muuttujat!$P$5:$P$21,MATCH($C210,Muuttujat!$N$5:$N$21,0),1)</f>
        <v>7.3026850896560899E-2</v>
      </c>
      <c r="S210" s="149">
        <f t="shared" si="69"/>
        <v>0</v>
      </c>
      <c r="T210" s="150">
        <f t="shared" si="70"/>
        <v>0</v>
      </c>
      <c r="U210" s="150">
        <f t="shared" si="71"/>
        <v>0</v>
      </c>
      <c r="V210" s="150">
        <f>IFERROR(INDEX(Työkonekanta!$J$3:$J$27,MATCH($A210,Työkonekanta!$A$3:$A$24,0),1)*$B210*ef_li_ion_akku/1000/1000/INDEX(Työkonekanta!$K$3:$K$27,MATCH($A210,Työkonekanta!$A$3:$A$24,0)),0)</f>
        <v>0</v>
      </c>
      <c r="W210" s="149">
        <f t="shared" si="62"/>
        <v>0</v>
      </c>
      <c r="X210" s="150">
        <f t="shared" si="63"/>
        <v>0</v>
      </c>
      <c r="Y210" s="151">
        <f t="shared" si="64"/>
        <v>0</v>
      </c>
      <c r="Z210" s="152">
        <f t="shared" si="78"/>
        <v>0</v>
      </c>
      <c r="AA210" s="179">
        <f t="shared" si="79"/>
        <v>0</v>
      </c>
      <c r="AB210" s="179">
        <f t="shared" si="80"/>
        <v>0</v>
      </c>
      <c r="AC210" s="180">
        <f t="shared" si="65"/>
        <v>0</v>
      </c>
      <c r="AD210" s="156">
        <f t="shared" si="81"/>
        <v>0</v>
      </c>
      <c r="AE210" s="146">
        <f>IFERROR(INDEX(Työkonekanta!$L$3:$L$30,MATCH($A210,Työkonekanta!$A$3:$A$30,0),1),0)*AF210</f>
        <v>0</v>
      </c>
      <c r="AF210" s="146">
        <f>IFERROR(INDEX(Työkonekanta!$N$3:$N$32,MATCH($A210,Työkonekanta!$A$3:$A$32,0),1),0)</f>
        <v>0</v>
      </c>
      <c r="AG210" s="332">
        <f>I210*INDEX(Muuttujat!$U$5:$U$21,MATCH($C210,Muuttujat!$N$5:$N$21,0),1)</f>
        <v>0</v>
      </c>
      <c r="AH210" s="332">
        <f>J210*INDEX(Muuttujat!$T$5:$T$21,MATCH($C210,Muuttujat!$N$5:$N$21,0),1)</f>
        <v>0</v>
      </c>
      <c r="AI210" s="332">
        <f t="shared" si="72"/>
        <v>0</v>
      </c>
      <c r="AJ210" s="332">
        <f t="shared" si="73"/>
        <v>0</v>
      </c>
      <c r="AK210" s="332">
        <f t="shared" si="82"/>
        <v>0</v>
      </c>
      <c r="AL210" s="332">
        <f t="shared" si="74"/>
        <v>0</v>
      </c>
    </row>
    <row r="211" spans="1:38">
      <c r="A211" s="139">
        <v>29</v>
      </c>
      <c r="B211" s="139">
        <f>IFERROR(INDEX(Työkonekanta!$F$3:$F$27,MATCH('S0b Baseline kasvu'!$A211,Työkonekanta!$A$3:$A$24,0),1),0)</f>
        <v>0</v>
      </c>
      <c r="C211" s="140">
        <v>2025</v>
      </c>
      <c r="D211" s="141" t="str">
        <f>IFERROR(INDEX(Työkonekanta!$D$3:$D$27,MATCH('S0b Baseline kasvu'!$A211,Työkonekanta!$A$3:$A$24,0),1),"undefined")</f>
        <v>undefined</v>
      </c>
      <c r="E211" s="145">
        <f>IFERROR(INDEX(Työkonekanta!$G$3:$G$27,MATCH($A211,Työkonekanta!$A$3:$A$24,0),1)*INDEX(Työkonekanta!$H$3:$H$27,MATCH($A211,Työkonekanta!$A$3:$A$24,0),1)*(1+s0b_kasvu*($C211-2019))*$B211,0)</f>
        <v>0</v>
      </c>
      <c r="F211" s="145">
        <f t="shared" si="66"/>
        <v>0</v>
      </c>
      <c r="G211" s="145">
        <f t="shared" si="75"/>
        <v>0</v>
      </c>
      <c r="H211" s="145">
        <f t="shared" si="76"/>
        <v>0</v>
      </c>
      <c r="I211" s="145">
        <f t="shared" si="67"/>
        <v>0</v>
      </c>
      <c r="J211" s="145">
        <f t="shared" si="68"/>
        <v>0</v>
      </c>
      <c r="K211" s="142" t="str">
        <f t="shared" si="77"/>
        <v>undefined</v>
      </c>
      <c r="L211" s="146">
        <f>IFERROR(INDEX(Työkonekanta!$I$3:$I$27,MATCH('S0b Baseline kasvu'!$A211,Työkonekanta!$A$3:$A$24,0),1)*(I211+J211)*f_adblue,0)</f>
        <v>0</v>
      </c>
      <c r="M211" s="146">
        <f t="shared" ref="M211:M274" si="83">IF($D211="sähkö",conv_kwh_mj*$E211,0)</f>
        <v>0</v>
      </c>
      <c r="N211" s="143" t="str">
        <f>IF(tuulisähkö_vuosi&lt;='S0b Baseline kasvu'!C211,"tuulisähkö",ostosähkö_nyt)</f>
        <v>jäännössähkö</v>
      </c>
      <c r="O211" s="147">
        <f>INDEX(Muuttujat!$J$5:$J$21,MATCH($C211,Muuttujat!$H$5:$H$21,0),1)</f>
        <v>65.194885123382022</v>
      </c>
      <c r="P211" s="342">
        <f>1-(INDEX(Muuttujat!$O$5:$O$21,MATCH($C211,Muuttujat!$N$5:$N$21,0),1))</f>
        <v>0.92999999999999994</v>
      </c>
      <c r="Q211" s="342">
        <f>INDEX(Muuttujat!$O$5:$O$21,MATCH($C211,Muuttujat!$N$5:$N$21,0),1)</f>
        <v>7.0000000000000007E-2</v>
      </c>
      <c r="R211" s="148">
        <f>INDEX(Muuttujat!$P$5:$P$21,MATCH($C211,Muuttujat!$N$5:$N$21,0),1)</f>
        <v>7.3026850896560899E-2</v>
      </c>
      <c r="S211" s="149">
        <f t="shared" si="69"/>
        <v>0</v>
      </c>
      <c r="T211" s="150">
        <f t="shared" si="70"/>
        <v>0</v>
      </c>
      <c r="U211" s="150">
        <f t="shared" si="71"/>
        <v>0</v>
      </c>
      <c r="V211" s="150">
        <f>IFERROR(INDEX(Työkonekanta!$J$3:$J$27,MATCH($A211,Työkonekanta!$A$3:$A$24,0),1)*$B211*ef_li_ion_akku/1000/1000/INDEX(Työkonekanta!$K$3:$K$27,MATCH($A211,Työkonekanta!$A$3:$A$24,0)),0)</f>
        <v>0</v>
      </c>
      <c r="W211" s="149">
        <f t="shared" ref="W211:W274" si="84">($I211*IF($D211="pom",ef_v_co2_pom,0))/1000/1000</f>
        <v>0</v>
      </c>
      <c r="X211" s="150">
        <f t="shared" ref="X211:X274" si="85">($E211*(IF($D211="pom",ef_v_ch4_pom,0)*gwp100_ch4+IF($D211="pom",ef_v_n2o_pom,0)*gwp100_n2o))/1000/1000</f>
        <v>0</v>
      </c>
      <c r="Y211" s="151">
        <f t="shared" ref="Y211:Y274" si="86">$L211*ef_v_co2_adblue/1000/1000</f>
        <v>0</v>
      </c>
      <c r="Z211" s="152">
        <f t="shared" si="78"/>
        <v>0</v>
      </c>
      <c r="AA211" s="179">
        <f t="shared" si="79"/>
        <v>0</v>
      </c>
      <c r="AB211" s="179">
        <f t="shared" si="80"/>
        <v>0</v>
      </c>
      <c r="AC211" s="180">
        <f t="shared" ref="AC211:AC274" si="87">$Z211+$AA211</f>
        <v>0</v>
      </c>
      <c r="AD211" s="156">
        <f t="shared" si="81"/>
        <v>0</v>
      </c>
      <c r="AE211" s="146">
        <f>IFERROR(INDEX(Työkonekanta!$L$3:$L$30,MATCH($A211,Työkonekanta!$A$3:$A$30,0),1),0)*AF211</f>
        <v>0</v>
      </c>
      <c r="AF211" s="146">
        <f>IFERROR(INDEX(Työkonekanta!$N$3:$N$32,MATCH($A211,Työkonekanta!$A$3:$A$32,0),1),0)</f>
        <v>0</v>
      </c>
      <c r="AG211" s="332">
        <f>I211*INDEX(Muuttujat!$U$5:$U$21,MATCH($C211,Muuttujat!$N$5:$N$21,0),1)</f>
        <v>0</v>
      </c>
      <c r="AH211" s="332">
        <f>J211*INDEX(Muuttujat!$T$5:$T$21,MATCH($C211,Muuttujat!$N$5:$N$21,0),1)</f>
        <v>0</v>
      </c>
      <c r="AI211" s="332">
        <f t="shared" si="72"/>
        <v>0</v>
      </c>
      <c r="AJ211" s="332">
        <f t="shared" si="73"/>
        <v>0</v>
      </c>
      <c r="AK211" s="332">
        <f t="shared" si="82"/>
        <v>0</v>
      </c>
      <c r="AL211" s="332">
        <f t="shared" si="74"/>
        <v>0</v>
      </c>
    </row>
    <row r="212" spans="1:38">
      <c r="A212" s="139">
        <v>30</v>
      </c>
      <c r="B212" s="139">
        <f>IFERROR(INDEX(Työkonekanta!$F$3:$F$27,MATCH('S0b Baseline kasvu'!$A212,Työkonekanta!$A$3:$A$24,0),1),0)</f>
        <v>0</v>
      </c>
      <c r="C212" s="140">
        <v>2025</v>
      </c>
      <c r="D212" s="141" t="str">
        <f>IFERROR(INDEX(Työkonekanta!$D$3:$D$27,MATCH('S0b Baseline kasvu'!$A212,Työkonekanta!$A$3:$A$24,0),1),"undefined")</f>
        <v>undefined</v>
      </c>
      <c r="E212" s="145">
        <f>IFERROR(INDEX(Työkonekanta!$G$3:$G$27,MATCH($A212,Työkonekanta!$A$3:$A$24,0),1)*INDEX(Työkonekanta!$H$3:$H$27,MATCH($A212,Työkonekanta!$A$3:$A$24,0),1)*(1+s0b_kasvu*($C212-2019))*$B212,0)</f>
        <v>0</v>
      </c>
      <c r="F212" s="145">
        <f t="shared" si="66"/>
        <v>0</v>
      </c>
      <c r="G212" s="145">
        <f t="shared" si="75"/>
        <v>0</v>
      </c>
      <c r="H212" s="145">
        <f t="shared" si="76"/>
        <v>0</v>
      </c>
      <c r="I212" s="145">
        <f t="shared" si="67"/>
        <v>0</v>
      </c>
      <c r="J212" s="145">
        <f t="shared" si="68"/>
        <v>0</v>
      </c>
      <c r="K212" s="142" t="str">
        <f t="shared" si="77"/>
        <v>undefined</v>
      </c>
      <c r="L212" s="146">
        <f>IFERROR(INDEX(Työkonekanta!$I$3:$I$27,MATCH('S0b Baseline kasvu'!$A212,Työkonekanta!$A$3:$A$24,0),1)*(I212+J212)*f_adblue,0)</f>
        <v>0</v>
      </c>
      <c r="M212" s="146">
        <f t="shared" si="83"/>
        <v>0</v>
      </c>
      <c r="N212" s="143" t="str">
        <f>IF(tuulisähkö_vuosi&lt;='S0b Baseline kasvu'!C212,"tuulisähkö",ostosähkö_nyt)</f>
        <v>jäännössähkö</v>
      </c>
      <c r="O212" s="147">
        <f>INDEX(Muuttujat!$J$5:$J$21,MATCH($C212,Muuttujat!$H$5:$H$21,0),1)</f>
        <v>65.194885123382022</v>
      </c>
      <c r="P212" s="342">
        <f>1-(INDEX(Muuttujat!$O$5:$O$21,MATCH($C212,Muuttujat!$N$5:$N$21,0),1))</f>
        <v>0.92999999999999994</v>
      </c>
      <c r="Q212" s="342">
        <f>INDEX(Muuttujat!$O$5:$O$21,MATCH($C212,Muuttujat!$N$5:$N$21,0),1)</f>
        <v>7.0000000000000007E-2</v>
      </c>
      <c r="R212" s="148">
        <f>INDEX(Muuttujat!$P$5:$P$21,MATCH($C212,Muuttujat!$N$5:$N$21,0),1)</f>
        <v>7.3026850896560899E-2</v>
      </c>
      <c r="S212" s="149">
        <f t="shared" si="69"/>
        <v>0</v>
      </c>
      <c r="T212" s="150">
        <f t="shared" si="70"/>
        <v>0</v>
      </c>
      <c r="U212" s="150">
        <f t="shared" si="71"/>
        <v>0</v>
      </c>
      <c r="V212" s="150">
        <f>IFERROR(INDEX(Työkonekanta!$J$3:$J$27,MATCH($A212,Työkonekanta!$A$3:$A$24,0),1)*$B212*ef_li_ion_akku/1000/1000/INDEX(Työkonekanta!$K$3:$K$27,MATCH($A212,Työkonekanta!$A$3:$A$24,0)),0)</f>
        <v>0</v>
      </c>
      <c r="W212" s="149">
        <f t="shared" si="84"/>
        <v>0</v>
      </c>
      <c r="X212" s="150">
        <f t="shared" si="85"/>
        <v>0</v>
      </c>
      <c r="Y212" s="151">
        <f t="shared" si="86"/>
        <v>0</v>
      </c>
      <c r="Z212" s="152">
        <f t="shared" si="78"/>
        <v>0</v>
      </c>
      <c r="AA212" s="179">
        <f t="shared" si="79"/>
        <v>0</v>
      </c>
      <c r="AB212" s="179">
        <f t="shared" si="80"/>
        <v>0</v>
      </c>
      <c r="AC212" s="180">
        <f t="shared" si="87"/>
        <v>0</v>
      </c>
      <c r="AD212" s="156">
        <f t="shared" si="81"/>
        <v>0</v>
      </c>
      <c r="AE212" s="146">
        <f>IFERROR(INDEX(Työkonekanta!$L$3:$L$30,MATCH($A212,Työkonekanta!$A$3:$A$30,0),1),0)*AF212</f>
        <v>0</v>
      </c>
      <c r="AF212" s="146">
        <f>IFERROR(INDEX(Työkonekanta!$N$3:$N$32,MATCH($A212,Työkonekanta!$A$3:$A$32,0),1),0)</f>
        <v>0</v>
      </c>
      <c r="AG212" s="332">
        <f>I212*INDEX(Muuttujat!$U$5:$U$21,MATCH($C212,Muuttujat!$N$5:$N$21,0),1)</f>
        <v>0</v>
      </c>
      <c r="AH212" s="332">
        <f>J212*INDEX(Muuttujat!$T$5:$T$21,MATCH($C212,Muuttujat!$N$5:$N$21,0),1)</f>
        <v>0</v>
      </c>
      <c r="AI212" s="332">
        <f t="shared" si="72"/>
        <v>0</v>
      </c>
      <c r="AJ212" s="332">
        <f t="shared" si="73"/>
        <v>0</v>
      </c>
      <c r="AK212" s="332">
        <f t="shared" si="82"/>
        <v>0</v>
      </c>
      <c r="AL212" s="332">
        <f t="shared" si="74"/>
        <v>0</v>
      </c>
    </row>
    <row r="213" spans="1:38">
      <c r="A213" s="139">
        <v>1</v>
      </c>
      <c r="B213" s="139">
        <f>IFERROR(INDEX(Työkonekanta!$F$3:$F$27,MATCH('S0b Baseline kasvu'!$A213,Työkonekanta!$A$3:$A$24,0),1),0)</f>
        <v>1</v>
      </c>
      <c r="C213" s="140">
        <v>2026</v>
      </c>
      <c r="D213" s="141" t="str">
        <f>IFERROR(INDEX(Työkonekanta!$D$3:$D$27,MATCH('S0b Baseline kasvu'!$A213,Työkonekanta!$A$3:$A$24,0),1),"undefined")</f>
        <v>pom</v>
      </c>
      <c r="E213" s="145">
        <f>IFERROR(INDEX(Työkonekanta!$G$3:$G$27,MATCH($A213,Työkonekanta!$A$3:$A$24,0),1)*INDEX(Työkonekanta!$H$3:$H$27,MATCH($A213,Työkonekanta!$A$3:$A$24,0),1)*(1+s0b_kasvu*($C213-2019))*$B213,0)</f>
        <v>10700</v>
      </c>
      <c r="F213" s="145">
        <f t="shared" si="66"/>
        <v>384130</v>
      </c>
      <c r="G213" s="145">
        <f t="shared" si="75"/>
        <v>353399.60000000003</v>
      </c>
      <c r="H213" s="145">
        <f t="shared" si="76"/>
        <v>30730.400000000001</v>
      </c>
      <c r="I213" s="145">
        <f t="shared" si="67"/>
        <v>9844.0000000000018</v>
      </c>
      <c r="J213" s="145">
        <f t="shared" si="68"/>
        <v>895.93002915451905</v>
      </c>
      <c r="K213" s="142" t="str">
        <f t="shared" si="77"/>
        <v>l</v>
      </c>
      <c r="L213" s="146">
        <f>IFERROR(INDEX(Työkonekanta!$I$3:$I$27,MATCH('S0b Baseline kasvu'!$A213,Työkonekanta!$A$3:$A$24,0),1)*(I213+J213)*f_adblue,0)</f>
        <v>536.99650145772603</v>
      </c>
      <c r="M213" s="146">
        <f t="shared" si="83"/>
        <v>0</v>
      </c>
      <c r="N213" s="143" t="str">
        <f>IF(tuulisähkö_vuosi&lt;='S0b Baseline kasvu'!C213,"tuulisähkö",ostosähkö_nyt)</f>
        <v>jäännössähkö</v>
      </c>
      <c r="O213" s="147">
        <f>INDEX(Muuttujat!$J$5:$J$21,MATCH($C213,Muuttujat!$H$5:$H$21,0),1)</f>
        <v>64.542936272148211</v>
      </c>
      <c r="P213" s="342">
        <f>1-(INDEX(Muuttujat!$O$5:$O$21,MATCH($C213,Muuttujat!$N$5:$N$21,0),1))</f>
        <v>0.92</v>
      </c>
      <c r="Q213" s="342">
        <f>INDEX(Muuttujat!$O$5:$O$21,MATCH($C213,Muuttujat!$N$5:$N$21,0),1)</f>
        <v>0.08</v>
      </c>
      <c r="R213" s="148">
        <f>INDEX(Muuttujat!$P$5:$P$21,MATCH($C213,Muuttujat!$N$5:$N$21,0),1)</f>
        <v>8.3420471452195388E-2</v>
      </c>
      <c r="S213" s="149">
        <f t="shared" si="69"/>
        <v>6.67925244</v>
      </c>
      <c r="T213" s="150">
        <f t="shared" si="70"/>
        <v>1.9175769599999999</v>
      </c>
      <c r="U213" s="150">
        <f t="shared" si="71"/>
        <v>0</v>
      </c>
      <c r="V213" s="150">
        <f>IFERROR(INDEX(Työkonekanta!$J$3:$J$27,MATCH($A213,Työkonekanta!$A$3:$A$24,0),1)*$B213*ef_li_ion_akku/1000/1000/INDEX(Työkonekanta!$K$3:$K$27,MATCH($A213,Työkonekanta!$A$3:$A$24,0)),0)</f>
        <v>0</v>
      </c>
      <c r="W213" s="149">
        <f t="shared" si="84"/>
        <v>26.083807538738405</v>
      </c>
      <c r="X213" s="150">
        <f t="shared" si="85"/>
        <v>0.33998785619999994</v>
      </c>
      <c r="Y213" s="151">
        <f t="shared" si="86"/>
        <v>0.13961909037900874</v>
      </c>
      <c r="Z213" s="152">
        <f t="shared" si="78"/>
        <v>8.5968294000000007</v>
      </c>
      <c r="AA213" s="179">
        <f t="shared" si="79"/>
        <v>26.223426629117412</v>
      </c>
      <c r="AB213" s="179">
        <f t="shared" si="80"/>
        <v>26.563414485317413</v>
      </c>
      <c r="AC213" s="180">
        <f t="shared" si="87"/>
        <v>34.820256029117417</v>
      </c>
      <c r="AD213" s="156">
        <f t="shared" si="81"/>
        <v>35.160243885317414</v>
      </c>
      <c r="AE213" s="146">
        <f>IFERROR(INDEX(Työkonekanta!$L$3:$L$30,MATCH($A213,Työkonekanta!$A$3:$A$30,0),1),0)*AF213</f>
        <v>500000</v>
      </c>
      <c r="AF213" s="146">
        <f>IFERROR(INDEX(Työkonekanta!$N$3:$N$32,MATCH($A213,Työkonekanta!$A$3:$A$32,0),1),0)</f>
        <v>1</v>
      </c>
      <c r="AG213" s="332">
        <f>I213*INDEX(Muuttujat!$U$5:$U$21,MATCH($C213,Muuttujat!$N$5:$N$21,0),1)</f>
        <v>10139.320000000002</v>
      </c>
      <c r="AH213" s="332">
        <f>J213*INDEX(Muuttujat!$T$5:$T$21,MATCH($C213,Muuttujat!$N$5:$N$21,0),1)</f>
        <v>1281.1799416909623</v>
      </c>
      <c r="AI213" s="332">
        <f t="shared" si="72"/>
        <v>268.49825072886301</v>
      </c>
      <c r="AJ213" s="332">
        <f t="shared" si="73"/>
        <v>0</v>
      </c>
      <c r="AK213" s="332">
        <f t="shared" si="82"/>
        <v>11688.998192419826</v>
      </c>
      <c r="AL213" s="332">
        <f t="shared" si="74"/>
        <v>11688.998192419826</v>
      </c>
    </row>
    <row r="214" spans="1:38">
      <c r="A214" s="139">
        <v>2</v>
      </c>
      <c r="B214" s="139">
        <f>IFERROR(INDEX(Työkonekanta!$F$3:$F$27,MATCH('S0b Baseline kasvu'!$A214,Työkonekanta!$A$3:$A$24,0),1),0)</f>
        <v>1</v>
      </c>
      <c r="C214" s="140">
        <v>2026</v>
      </c>
      <c r="D214" s="141" t="str">
        <f>IFERROR(INDEX(Työkonekanta!$D$3:$D$27,MATCH('S0b Baseline kasvu'!$A214,Työkonekanta!$A$3:$A$24,0),1),"undefined")</f>
        <v>pom</v>
      </c>
      <c r="E214" s="145">
        <f>IFERROR(INDEX(Työkonekanta!$G$3:$G$27,MATCH($A214,Työkonekanta!$A$3:$A$24,0),1)*INDEX(Työkonekanta!$H$3:$H$27,MATCH($A214,Työkonekanta!$A$3:$A$24,0),1)*(1+s0b_kasvu*($C214-2019))*$B214,0)</f>
        <v>10700</v>
      </c>
      <c r="F214" s="145">
        <f t="shared" si="66"/>
        <v>384130</v>
      </c>
      <c r="G214" s="145">
        <f t="shared" si="75"/>
        <v>353399.60000000003</v>
      </c>
      <c r="H214" s="145">
        <f t="shared" si="76"/>
        <v>30730.400000000001</v>
      </c>
      <c r="I214" s="145">
        <f t="shared" si="67"/>
        <v>9844.0000000000018</v>
      </c>
      <c r="J214" s="145">
        <f t="shared" si="68"/>
        <v>895.93002915451905</v>
      </c>
      <c r="K214" s="142" t="str">
        <f t="shared" si="77"/>
        <v>l</v>
      </c>
      <c r="L214" s="146">
        <f>IFERROR(INDEX(Työkonekanta!$I$3:$I$27,MATCH('S0b Baseline kasvu'!$A214,Työkonekanta!$A$3:$A$24,0),1)*(I214+J214)*f_adblue,0)</f>
        <v>536.99650145772603</v>
      </c>
      <c r="M214" s="146">
        <f t="shared" si="83"/>
        <v>0</v>
      </c>
      <c r="N214" s="143" t="str">
        <f>IF(tuulisähkö_vuosi&lt;='S0b Baseline kasvu'!C214,"tuulisähkö",ostosähkö_nyt)</f>
        <v>jäännössähkö</v>
      </c>
      <c r="O214" s="147">
        <f>INDEX(Muuttujat!$J$5:$J$21,MATCH($C214,Muuttujat!$H$5:$H$21,0),1)</f>
        <v>64.542936272148211</v>
      </c>
      <c r="P214" s="342">
        <f>1-(INDEX(Muuttujat!$O$5:$O$21,MATCH($C214,Muuttujat!$N$5:$N$21,0),1))</f>
        <v>0.92</v>
      </c>
      <c r="Q214" s="342">
        <f>INDEX(Muuttujat!$O$5:$O$21,MATCH($C214,Muuttujat!$N$5:$N$21,0),1)</f>
        <v>0.08</v>
      </c>
      <c r="R214" s="148">
        <f>INDEX(Muuttujat!$P$5:$P$21,MATCH($C214,Muuttujat!$N$5:$N$21,0),1)</f>
        <v>8.3420471452195388E-2</v>
      </c>
      <c r="S214" s="149">
        <f t="shared" si="69"/>
        <v>6.67925244</v>
      </c>
      <c r="T214" s="150">
        <f t="shared" si="70"/>
        <v>1.9175769599999999</v>
      </c>
      <c r="U214" s="150">
        <f t="shared" si="71"/>
        <v>0</v>
      </c>
      <c r="V214" s="150">
        <f>IFERROR(INDEX(Työkonekanta!$J$3:$J$27,MATCH($A214,Työkonekanta!$A$3:$A$24,0),1)*$B214*ef_li_ion_akku/1000/1000/INDEX(Työkonekanta!$K$3:$K$27,MATCH($A214,Työkonekanta!$A$3:$A$24,0)),0)</f>
        <v>0</v>
      </c>
      <c r="W214" s="149">
        <f t="shared" si="84"/>
        <v>26.083807538738405</v>
      </c>
      <c r="X214" s="150">
        <f t="shared" si="85"/>
        <v>0.33998785619999994</v>
      </c>
      <c r="Y214" s="151">
        <f t="shared" si="86"/>
        <v>0.13961909037900874</v>
      </c>
      <c r="Z214" s="152">
        <f t="shared" si="78"/>
        <v>8.5968294000000007</v>
      </c>
      <c r="AA214" s="179">
        <f t="shared" si="79"/>
        <v>26.223426629117412</v>
      </c>
      <c r="AB214" s="179">
        <f t="shared" si="80"/>
        <v>26.563414485317413</v>
      </c>
      <c r="AC214" s="180">
        <f t="shared" si="87"/>
        <v>34.820256029117417</v>
      </c>
      <c r="AD214" s="156">
        <f t="shared" si="81"/>
        <v>35.160243885317414</v>
      </c>
      <c r="AE214" s="146">
        <f>IFERROR(INDEX(Työkonekanta!$L$3:$L$30,MATCH($A214,Työkonekanta!$A$3:$A$30,0),1),0)*AF214</f>
        <v>500000</v>
      </c>
      <c r="AF214" s="146">
        <f>IFERROR(INDEX(Työkonekanta!$N$3:$N$32,MATCH($A214,Työkonekanta!$A$3:$A$32,0),1),0)</f>
        <v>1</v>
      </c>
      <c r="AG214" s="332">
        <f>I214*INDEX(Muuttujat!$U$5:$U$21,MATCH($C214,Muuttujat!$N$5:$N$21,0),1)</f>
        <v>10139.320000000002</v>
      </c>
      <c r="AH214" s="332">
        <f>J214*INDEX(Muuttujat!$T$5:$T$21,MATCH($C214,Muuttujat!$N$5:$N$21,0),1)</f>
        <v>1281.1799416909623</v>
      </c>
      <c r="AI214" s="332">
        <f t="shared" si="72"/>
        <v>268.49825072886301</v>
      </c>
      <c r="AJ214" s="332">
        <f t="shared" si="73"/>
        <v>0</v>
      </c>
      <c r="AK214" s="332">
        <f t="shared" si="82"/>
        <v>11688.998192419826</v>
      </c>
      <c r="AL214" s="332">
        <f t="shared" si="74"/>
        <v>11688.998192419826</v>
      </c>
    </row>
    <row r="215" spans="1:38">
      <c r="A215" s="139">
        <v>3</v>
      </c>
      <c r="B215" s="139">
        <f>IFERROR(INDEX(Työkonekanta!$F$3:$F$27,MATCH('S0b Baseline kasvu'!$A215,Työkonekanta!$A$3:$A$24,0),1),0)</f>
        <v>1</v>
      </c>
      <c r="C215" s="140">
        <v>2026</v>
      </c>
      <c r="D215" s="141" t="str">
        <f>IFERROR(INDEX(Työkonekanta!$D$3:$D$27,MATCH('S0b Baseline kasvu'!$A215,Työkonekanta!$A$3:$A$24,0),1),"undefined")</f>
        <v>pom</v>
      </c>
      <c r="E215" s="145">
        <f>IFERROR(INDEX(Työkonekanta!$G$3:$G$27,MATCH($A215,Työkonekanta!$A$3:$A$24,0),1)*INDEX(Työkonekanta!$H$3:$H$27,MATCH($A215,Työkonekanta!$A$3:$A$24,0),1)*(1+s0b_kasvu*($C215-2019))*$B215,0)</f>
        <v>10700</v>
      </c>
      <c r="F215" s="145">
        <f t="shared" si="66"/>
        <v>384130</v>
      </c>
      <c r="G215" s="145">
        <f t="shared" si="75"/>
        <v>353399.60000000003</v>
      </c>
      <c r="H215" s="145">
        <f t="shared" si="76"/>
        <v>30730.400000000001</v>
      </c>
      <c r="I215" s="145">
        <f t="shared" si="67"/>
        <v>9844.0000000000018</v>
      </c>
      <c r="J215" s="145">
        <f t="shared" si="68"/>
        <v>895.93002915451905</v>
      </c>
      <c r="K215" s="142" t="str">
        <f t="shared" si="77"/>
        <v>l</v>
      </c>
      <c r="L215" s="146">
        <f>IFERROR(INDEX(Työkonekanta!$I$3:$I$27,MATCH('S0b Baseline kasvu'!$A215,Työkonekanta!$A$3:$A$24,0),1)*(I215+J215)*f_adblue,0)</f>
        <v>536.99650145772603</v>
      </c>
      <c r="M215" s="146">
        <f t="shared" si="83"/>
        <v>0</v>
      </c>
      <c r="N215" s="143" t="str">
        <f>IF(tuulisähkö_vuosi&lt;='S0b Baseline kasvu'!C215,"tuulisähkö",ostosähkö_nyt)</f>
        <v>jäännössähkö</v>
      </c>
      <c r="O215" s="147">
        <f>INDEX(Muuttujat!$J$5:$J$21,MATCH($C215,Muuttujat!$H$5:$H$21,0),1)</f>
        <v>64.542936272148211</v>
      </c>
      <c r="P215" s="342">
        <f>1-(INDEX(Muuttujat!$O$5:$O$21,MATCH($C215,Muuttujat!$N$5:$N$21,0),1))</f>
        <v>0.92</v>
      </c>
      <c r="Q215" s="342">
        <f>INDEX(Muuttujat!$O$5:$O$21,MATCH($C215,Muuttujat!$N$5:$N$21,0),1)</f>
        <v>0.08</v>
      </c>
      <c r="R215" s="148">
        <f>INDEX(Muuttujat!$P$5:$P$21,MATCH($C215,Muuttujat!$N$5:$N$21,0),1)</f>
        <v>8.3420471452195388E-2</v>
      </c>
      <c r="S215" s="149">
        <f t="shared" si="69"/>
        <v>6.67925244</v>
      </c>
      <c r="T215" s="150">
        <f t="shared" si="70"/>
        <v>1.9175769599999999</v>
      </c>
      <c r="U215" s="150">
        <f t="shared" si="71"/>
        <v>0</v>
      </c>
      <c r="V215" s="150">
        <f>IFERROR(INDEX(Työkonekanta!$J$3:$J$27,MATCH($A215,Työkonekanta!$A$3:$A$24,0),1)*$B215*ef_li_ion_akku/1000/1000/INDEX(Työkonekanta!$K$3:$K$27,MATCH($A215,Työkonekanta!$A$3:$A$24,0)),0)</f>
        <v>0</v>
      </c>
      <c r="W215" s="149">
        <f t="shared" si="84"/>
        <v>26.083807538738405</v>
      </c>
      <c r="X215" s="150">
        <f t="shared" si="85"/>
        <v>0.33998785619999994</v>
      </c>
      <c r="Y215" s="151">
        <f t="shared" si="86"/>
        <v>0.13961909037900874</v>
      </c>
      <c r="Z215" s="152">
        <f t="shared" si="78"/>
        <v>8.5968294000000007</v>
      </c>
      <c r="AA215" s="179">
        <f t="shared" si="79"/>
        <v>26.223426629117412</v>
      </c>
      <c r="AB215" s="179">
        <f t="shared" si="80"/>
        <v>26.563414485317413</v>
      </c>
      <c r="AC215" s="180">
        <f t="shared" si="87"/>
        <v>34.820256029117417</v>
      </c>
      <c r="AD215" s="156">
        <f t="shared" si="81"/>
        <v>35.160243885317414</v>
      </c>
      <c r="AE215" s="146">
        <f>IFERROR(INDEX(Työkonekanta!$L$3:$L$30,MATCH($A215,Työkonekanta!$A$3:$A$30,0),1),0)*AF215</f>
        <v>0</v>
      </c>
      <c r="AF215" s="146">
        <f>IFERROR(INDEX(Työkonekanta!$N$3:$N$32,MATCH($A215,Työkonekanta!$A$3:$A$32,0),1),0)</f>
        <v>0</v>
      </c>
      <c r="AG215" s="332">
        <f>I215*INDEX(Muuttujat!$U$5:$U$21,MATCH($C215,Muuttujat!$N$5:$N$21,0),1)</f>
        <v>10139.320000000002</v>
      </c>
      <c r="AH215" s="332">
        <f>J215*INDEX(Muuttujat!$T$5:$T$21,MATCH($C215,Muuttujat!$N$5:$N$21,0),1)</f>
        <v>1281.1799416909623</v>
      </c>
      <c r="AI215" s="332">
        <f t="shared" si="72"/>
        <v>268.49825072886301</v>
      </c>
      <c r="AJ215" s="332">
        <f t="shared" si="73"/>
        <v>0</v>
      </c>
      <c r="AK215" s="332">
        <f t="shared" si="82"/>
        <v>11688.998192419826</v>
      </c>
      <c r="AL215" s="332">
        <f t="shared" si="74"/>
        <v>11688.998192419826</v>
      </c>
    </row>
    <row r="216" spans="1:38">
      <c r="A216" s="139">
        <v>4</v>
      </c>
      <c r="B216" s="139">
        <f>IFERROR(INDEX(Työkonekanta!$F$3:$F$27,MATCH('S0b Baseline kasvu'!$A216,Työkonekanta!$A$3:$A$24,0),1),0)</f>
        <v>1</v>
      </c>
      <c r="C216" s="140">
        <v>2026</v>
      </c>
      <c r="D216" s="141" t="str">
        <f>IFERROR(INDEX(Työkonekanta!$D$3:$D$27,MATCH('S0b Baseline kasvu'!$A216,Työkonekanta!$A$3:$A$24,0),1),"undefined")</f>
        <v>pom</v>
      </c>
      <c r="E216" s="145">
        <f>IFERROR(INDEX(Työkonekanta!$G$3:$G$27,MATCH($A216,Työkonekanta!$A$3:$A$24,0),1)*INDEX(Työkonekanta!$H$3:$H$27,MATCH($A216,Työkonekanta!$A$3:$A$24,0),1)*(1+s0b_kasvu*($C216-2019))*$B216,0)</f>
        <v>10700</v>
      </c>
      <c r="F216" s="145">
        <f t="shared" si="66"/>
        <v>384130</v>
      </c>
      <c r="G216" s="145">
        <f t="shared" si="75"/>
        <v>353399.60000000003</v>
      </c>
      <c r="H216" s="145">
        <f t="shared" si="76"/>
        <v>30730.400000000001</v>
      </c>
      <c r="I216" s="145">
        <f t="shared" si="67"/>
        <v>9844.0000000000018</v>
      </c>
      <c r="J216" s="145">
        <f t="shared" si="68"/>
        <v>895.93002915451905</v>
      </c>
      <c r="K216" s="142" t="str">
        <f t="shared" si="77"/>
        <v>l</v>
      </c>
      <c r="L216" s="146">
        <f>IFERROR(INDEX(Työkonekanta!$I$3:$I$27,MATCH('S0b Baseline kasvu'!$A216,Työkonekanta!$A$3:$A$24,0),1)*(I216+J216)*f_adblue,0)</f>
        <v>536.99650145772603</v>
      </c>
      <c r="M216" s="146">
        <f t="shared" si="83"/>
        <v>0</v>
      </c>
      <c r="N216" s="143" t="str">
        <f>IF(tuulisähkö_vuosi&lt;='S0b Baseline kasvu'!C216,"tuulisähkö",ostosähkö_nyt)</f>
        <v>jäännössähkö</v>
      </c>
      <c r="O216" s="147">
        <f>INDEX(Muuttujat!$J$5:$J$21,MATCH($C216,Muuttujat!$H$5:$H$21,0),1)</f>
        <v>64.542936272148211</v>
      </c>
      <c r="P216" s="342">
        <f>1-(INDEX(Muuttujat!$O$5:$O$21,MATCH($C216,Muuttujat!$N$5:$N$21,0),1))</f>
        <v>0.92</v>
      </c>
      <c r="Q216" s="342">
        <f>INDEX(Muuttujat!$O$5:$O$21,MATCH($C216,Muuttujat!$N$5:$N$21,0),1)</f>
        <v>0.08</v>
      </c>
      <c r="R216" s="148">
        <f>INDEX(Muuttujat!$P$5:$P$21,MATCH($C216,Muuttujat!$N$5:$N$21,0),1)</f>
        <v>8.3420471452195388E-2</v>
      </c>
      <c r="S216" s="149">
        <f t="shared" si="69"/>
        <v>6.67925244</v>
      </c>
      <c r="T216" s="150">
        <f t="shared" si="70"/>
        <v>1.9175769599999999</v>
      </c>
      <c r="U216" s="150">
        <f t="shared" si="71"/>
        <v>0</v>
      </c>
      <c r="V216" s="150">
        <f>IFERROR(INDEX(Työkonekanta!$J$3:$J$27,MATCH($A216,Työkonekanta!$A$3:$A$24,0),1)*$B216*ef_li_ion_akku/1000/1000/INDEX(Työkonekanta!$K$3:$K$27,MATCH($A216,Työkonekanta!$A$3:$A$24,0)),0)</f>
        <v>0</v>
      </c>
      <c r="W216" s="149">
        <f t="shared" si="84"/>
        <v>26.083807538738405</v>
      </c>
      <c r="X216" s="150">
        <f t="shared" si="85"/>
        <v>0.33998785619999994</v>
      </c>
      <c r="Y216" s="151">
        <f t="shared" si="86"/>
        <v>0.13961909037900874</v>
      </c>
      <c r="Z216" s="152">
        <f t="shared" si="78"/>
        <v>8.5968294000000007</v>
      </c>
      <c r="AA216" s="179">
        <f t="shared" si="79"/>
        <v>26.223426629117412</v>
      </c>
      <c r="AB216" s="179">
        <f t="shared" si="80"/>
        <v>26.563414485317413</v>
      </c>
      <c r="AC216" s="180">
        <f t="shared" si="87"/>
        <v>34.820256029117417</v>
      </c>
      <c r="AD216" s="156">
        <f t="shared" si="81"/>
        <v>35.160243885317414</v>
      </c>
      <c r="AE216" s="146">
        <f>IFERROR(INDEX(Työkonekanta!$L$3:$L$30,MATCH($A216,Työkonekanta!$A$3:$A$30,0),1),0)*AF216</f>
        <v>0</v>
      </c>
      <c r="AF216" s="146">
        <f>IFERROR(INDEX(Työkonekanta!$N$3:$N$32,MATCH($A216,Työkonekanta!$A$3:$A$32,0),1),0)</f>
        <v>0</v>
      </c>
      <c r="AG216" s="332">
        <f>I216*INDEX(Muuttujat!$U$5:$U$21,MATCH($C216,Muuttujat!$N$5:$N$21,0),1)</f>
        <v>10139.320000000002</v>
      </c>
      <c r="AH216" s="332">
        <f>J216*INDEX(Muuttujat!$T$5:$T$21,MATCH($C216,Muuttujat!$N$5:$N$21,0),1)</f>
        <v>1281.1799416909623</v>
      </c>
      <c r="AI216" s="332">
        <f t="shared" si="72"/>
        <v>268.49825072886301</v>
      </c>
      <c r="AJ216" s="332">
        <f t="shared" si="73"/>
        <v>0</v>
      </c>
      <c r="AK216" s="332">
        <f t="shared" si="82"/>
        <v>11688.998192419826</v>
      </c>
      <c r="AL216" s="332">
        <f t="shared" si="74"/>
        <v>11688.998192419826</v>
      </c>
    </row>
    <row r="217" spans="1:38">
      <c r="A217" s="139">
        <v>5</v>
      </c>
      <c r="B217" s="139">
        <f>IFERROR(INDEX(Työkonekanta!$F$3:$F$27,MATCH('S0b Baseline kasvu'!$A217,Työkonekanta!$A$3:$A$24,0),1),0)</f>
        <v>0</v>
      </c>
      <c r="C217" s="140">
        <v>2026</v>
      </c>
      <c r="D217" s="141" t="str">
        <f>IFERROR(INDEX(Työkonekanta!$D$3:$D$27,MATCH('S0b Baseline kasvu'!$A217,Työkonekanta!$A$3:$A$24,0),1),"undefined")</f>
        <v>sähkö</v>
      </c>
      <c r="E217" s="145">
        <f>IFERROR(INDEX(Työkonekanta!$G$3:$G$27,MATCH($A217,Työkonekanta!$A$3:$A$24,0),1)*INDEX(Työkonekanta!$H$3:$H$27,MATCH($A217,Työkonekanta!$A$3:$A$24,0),1)*(1+s0b_kasvu*($C217-2019))*$B217,0)</f>
        <v>0</v>
      </c>
      <c r="F217" s="145">
        <f t="shared" si="66"/>
        <v>0</v>
      </c>
      <c r="G217" s="145">
        <f t="shared" si="75"/>
        <v>0</v>
      </c>
      <c r="H217" s="145">
        <f t="shared" si="76"/>
        <v>0</v>
      </c>
      <c r="I217" s="145">
        <f t="shared" si="67"/>
        <v>0</v>
      </c>
      <c r="J217" s="145">
        <f t="shared" si="68"/>
        <v>0</v>
      </c>
      <c r="K217" s="142" t="str">
        <f t="shared" si="77"/>
        <v>kWh</v>
      </c>
      <c r="L217" s="146">
        <f>IFERROR(INDEX(Työkonekanta!$I$3:$I$27,MATCH('S0b Baseline kasvu'!$A217,Työkonekanta!$A$3:$A$24,0),1)*(I217+J217)*f_adblue,0)</f>
        <v>0</v>
      </c>
      <c r="M217" s="146">
        <f t="shared" si="83"/>
        <v>0</v>
      </c>
      <c r="N217" s="143" t="str">
        <f>IF(tuulisähkö_vuosi&lt;='S0b Baseline kasvu'!C217,"tuulisähkö",ostosähkö_nyt)</f>
        <v>jäännössähkö</v>
      </c>
      <c r="O217" s="147">
        <f>INDEX(Muuttujat!$J$5:$J$21,MATCH($C217,Muuttujat!$H$5:$H$21,0),1)</f>
        <v>64.542936272148211</v>
      </c>
      <c r="P217" s="342">
        <f>1-(INDEX(Muuttujat!$O$5:$O$21,MATCH($C217,Muuttujat!$N$5:$N$21,0),1))</f>
        <v>0.92</v>
      </c>
      <c r="Q217" s="342">
        <f>INDEX(Muuttujat!$O$5:$O$21,MATCH($C217,Muuttujat!$N$5:$N$21,0),1)</f>
        <v>0.08</v>
      </c>
      <c r="R217" s="148">
        <f>INDEX(Muuttujat!$P$5:$P$21,MATCH($C217,Muuttujat!$N$5:$N$21,0),1)</f>
        <v>8.3420471452195388E-2</v>
      </c>
      <c r="S217" s="149">
        <f t="shared" si="69"/>
        <v>0</v>
      </c>
      <c r="T217" s="150">
        <f t="shared" si="70"/>
        <v>0</v>
      </c>
      <c r="U217" s="150">
        <f t="shared" si="71"/>
        <v>0</v>
      </c>
      <c r="V217" s="150">
        <f>IFERROR(INDEX(Työkonekanta!$J$3:$J$27,MATCH($A217,Työkonekanta!$A$3:$A$24,0),1)*$B217*ef_li_ion_akku/1000/1000/INDEX(Työkonekanta!$K$3:$K$27,MATCH($A217,Työkonekanta!$A$3:$A$24,0)),0)</f>
        <v>0</v>
      </c>
      <c r="W217" s="149">
        <f t="shared" si="84"/>
        <v>0</v>
      </c>
      <c r="X217" s="150">
        <f t="shared" si="85"/>
        <v>0</v>
      </c>
      <c r="Y217" s="151">
        <f t="shared" si="86"/>
        <v>0</v>
      </c>
      <c r="Z217" s="152">
        <f t="shared" si="78"/>
        <v>0</v>
      </c>
      <c r="AA217" s="179">
        <f t="shared" si="79"/>
        <v>0</v>
      </c>
      <c r="AB217" s="179">
        <f t="shared" si="80"/>
        <v>0</v>
      </c>
      <c r="AC217" s="180">
        <f t="shared" si="87"/>
        <v>0</v>
      </c>
      <c r="AD217" s="156">
        <f t="shared" si="81"/>
        <v>0</v>
      </c>
      <c r="AE217" s="146">
        <f>IFERROR(INDEX(Työkonekanta!$L$3:$L$30,MATCH($A217,Työkonekanta!$A$3:$A$30,0),1),0)*AF217</f>
        <v>0</v>
      </c>
      <c r="AF217" s="146">
        <f>IFERROR(INDEX(Työkonekanta!$N$3:$N$32,MATCH($A217,Työkonekanta!$A$3:$A$32,0),1),0)</f>
        <v>0</v>
      </c>
      <c r="AG217" s="332">
        <f>I217*INDEX(Muuttujat!$U$5:$U$21,MATCH($C217,Muuttujat!$N$5:$N$21,0),1)</f>
        <v>0</v>
      </c>
      <c r="AH217" s="332">
        <f>J217*INDEX(Muuttujat!$T$5:$T$21,MATCH($C217,Muuttujat!$N$5:$N$21,0),1)</f>
        <v>0</v>
      </c>
      <c r="AI217" s="332">
        <f t="shared" si="72"/>
        <v>0</v>
      </c>
      <c r="AJ217" s="332">
        <f t="shared" si="73"/>
        <v>0</v>
      </c>
      <c r="AK217" s="332">
        <f t="shared" si="82"/>
        <v>0</v>
      </c>
      <c r="AL217" s="332">
        <f t="shared" si="74"/>
        <v>0</v>
      </c>
    </row>
    <row r="218" spans="1:38">
      <c r="A218" s="139">
        <v>6</v>
      </c>
      <c r="B218" s="139">
        <f>IFERROR(INDEX(Työkonekanta!$F$3:$F$27,MATCH('S0b Baseline kasvu'!$A218,Työkonekanta!$A$3:$A$24,0),1),0)</f>
        <v>0</v>
      </c>
      <c r="C218" s="140">
        <v>2026</v>
      </c>
      <c r="D218" s="141" t="str">
        <f>IFERROR(INDEX(Työkonekanta!$D$3:$D$27,MATCH('S0b Baseline kasvu'!$A218,Työkonekanta!$A$3:$A$24,0),1),"undefined")</f>
        <v>sähkö</v>
      </c>
      <c r="E218" s="145">
        <f>IFERROR(INDEX(Työkonekanta!$G$3:$G$27,MATCH($A218,Työkonekanta!$A$3:$A$24,0),1)*INDEX(Työkonekanta!$H$3:$H$27,MATCH($A218,Työkonekanta!$A$3:$A$24,0),1)*(1+s0b_kasvu*($C218-2019))*$B218,0)</f>
        <v>0</v>
      </c>
      <c r="F218" s="145">
        <f t="shared" si="66"/>
        <v>0</v>
      </c>
      <c r="G218" s="145">
        <f t="shared" si="75"/>
        <v>0</v>
      </c>
      <c r="H218" s="145">
        <f t="shared" si="76"/>
        <v>0</v>
      </c>
      <c r="I218" s="145">
        <f t="shared" si="67"/>
        <v>0</v>
      </c>
      <c r="J218" s="145">
        <f t="shared" si="68"/>
        <v>0</v>
      </c>
      <c r="K218" s="142" t="str">
        <f t="shared" si="77"/>
        <v>kWh</v>
      </c>
      <c r="L218" s="146">
        <f>IFERROR(INDEX(Työkonekanta!$I$3:$I$27,MATCH('S0b Baseline kasvu'!$A218,Työkonekanta!$A$3:$A$24,0),1)*(I218+J218)*f_adblue,0)</f>
        <v>0</v>
      </c>
      <c r="M218" s="146">
        <f t="shared" si="83"/>
        <v>0</v>
      </c>
      <c r="N218" s="143" t="str">
        <f>IF(tuulisähkö_vuosi&lt;='S0b Baseline kasvu'!C218,"tuulisähkö",ostosähkö_nyt)</f>
        <v>jäännössähkö</v>
      </c>
      <c r="O218" s="147">
        <f>INDEX(Muuttujat!$J$5:$J$21,MATCH($C218,Muuttujat!$H$5:$H$21,0),1)</f>
        <v>64.542936272148211</v>
      </c>
      <c r="P218" s="342">
        <f>1-(INDEX(Muuttujat!$O$5:$O$21,MATCH($C218,Muuttujat!$N$5:$N$21,0),1))</f>
        <v>0.92</v>
      </c>
      <c r="Q218" s="342">
        <f>INDEX(Muuttujat!$O$5:$O$21,MATCH($C218,Muuttujat!$N$5:$N$21,0),1)</f>
        <v>0.08</v>
      </c>
      <c r="R218" s="148">
        <f>INDEX(Muuttujat!$P$5:$P$21,MATCH($C218,Muuttujat!$N$5:$N$21,0),1)</f>
        <v>8.3420471452195388E-2</v>
      </c>
      <c r="S218" s="149">
        <f t="shared" si="69"/>
        <v>0</v>
      </c>
      <c r="T218" s="150">
        <f t="shared" si="70"/>
        <v>0</v>
      </c>
      <c r="U218" s="150">
        <f t="shared" si="71"/>
        <v>0</v>
      </c>
      <c r="V218" s="150">
        <f>IFERROR(INDEX(Työkonekanta!$J$3:$J$27,MATCH($A218,Työkonekanta!$A$3:$A$24,0),1)*$B218*ef_li_ion_akku/1000/1000/INDEX(Työkonekanta!$K$3:$K$27,MATCH($A218,Työkonekanta!$A$3:$A$24,0)),0)</f>
        <v>0</v>
      </c>
      <c r="W218" s="149">
        <f t="shared" si="84"/>
        <v>0</v>
      </c>
      <c r="X218" s="150">
        <f t="shared" si="85"/>
        <v>0</v>
      </c>
      <c r="Y218" s="151">
        <f t="shared" si="86"/>
        <v>0</v>
      </c>
      <c r="Z218" s="152">
        <f t="shared" si="78"/>
        <v>0</v>
      </c>
      <c r="AA218" s="179">
        <f t="shared" si="79"/>
        <v>0</v>
      </c>
      <c r="AB218" s="179">
        <f t="shared" si="80"/>
        <v>0</v>
      </c>
      <c r="AC218" s="180">
        <f t="shared" si="87"/>
        <v>0</v>
      </c>
      <c r="AD218" s="156">
        <f t="shared" si="81"/>
        <v>0</v>
      </c>
      <c r="AE218" s="146">
        <f>IFERROR(INDEX(Työkonekanta!$L$3:$L$30,MATCH($A218,Työkonekanta!$A$3:$A$30,0),1),0)*AF218</f>
        <v>0</v>
      </c>
      <c r="AF218" s="146">
        <f>IFERROR(INDEX(Työkonekanta!$N$3:$N$32,MATCH($A218,Työkonekanta!$A$3:$A$32,0),1),0)</f>
        <v>0</v>
      </c>
      <c r="AG218" s="332">
        <f>I218*INDEX(Muuttujat!$U$5:$U$21,MATCH($C218,Muuttujat!$N$5:$N$21,0),1)</f>
        <v>0</v>
      </c>
      <c r="AH218" s="332">
        <f>J218*INDEX(Muuttujat!$T$5:$T$21,MATCH($C218,Muuttujat!$N$5:$N$21,0),1)</f>
        <v>0</v>
      </c>
      <c r="AI218" s="332">
        <f t="shared" si="72"/>
        <v>0</v>
      </c>
      <c r="AJ218" s="332">
        <f t="shared" si="73"/>
        <v>0</v>
      </c>
      <c r="AK218" s="332">
        <f t="shared" si="82"/>
        <v>0</v>
      </c>
      <c r="AL218" s="332">
        <f t="shared" si="74"/>
        <v>0</v>
      </c>
    </row>
    <row r="219" spans="1:38">
      <c r="A219" s="139">
        <v>7</v>
      </c>
      <c r="B219" s="139">
        <f>IFERROR(INDEX(Työkonekanta!$F$3:$F$27,MATCH('S0b Baseline kasvu'!$A219,Työkonekanta!$A$3:$A$24,0),1),0)</f>
        <v>1</v>
      </c>
      <c r="C219" s="140">
        <v>2026</v>
      </c>
      <c r="D219" s="141" t="str">
        <f>IFERROR(INDEX(Työkonekanta!$D$3:$D$27,MATCH('S0b Baseline kasvu'!$A219,Työkonekanta!$A$3:$A$24,0),1),"undefined")</f>
        <v>pom</v>
      </c>
      <c r="E219" s="145">
        <f>IFERROR(INDEX(Työkonekanta!$G$3:$G$27,MATCH($A219,Työkonekanta!$A$3:$A$24,0),1)*INDEX(Työkonekanta!$H$3:$H$27,MATCH($A219,Työkonekanta!$A$3:$A$24,0),1)*(1+s0b_kasvu*($C219-2019))*$B219,0)</f>
        <v>10700</v>
      </c>
      <c r="F219" s="145">
        <f t="shared" si="66"/>
        <v>384130</v>
      </c>
      <c r="G219" s="145">
        <f t="shared" si="75"/>
        <v>353399.60000000003</v>
      </c>
      <c r="H219" s="145">
        <f t="shared" si="76"/>
        <v>30730.400000000001</v>
      </c>
      <c r="I219" s="145">
        <f t="shared" si="67"/>
        <v>9844.0000000000018</v>
      </c>
      <c r="J219" s="145">
        <f t="shared" si="68"/>
        <v>895.93002915451905</v>
      </c>
      <c r="K219" s="142" t="str">
        <f t="shared" si="77"/>
        <v>l</v>
      </c>
      <c r="L219" s="146">
        <f>IFERROR(INDEX(Työkonekanta!$I$3:$I$27,MATCH('S0b Baseline kasvu'!$A219,Työkonekanta!$A$3:$A$24,0),1)*(I219+J219)*f_adblue,0)</f>
        <v>0</v>
      </c>
      <c r="M219" s="146">
        <f t="shared" si="83"/>
        <v>0</v>
      </c>
      <c r="N219" s="143" t="str">
        <f>IF(tuulisähkö_vuosi&lt;='S0b Baseline kasvu'!C219,"tuulisähkö",ostosähkö_nyt)</f>
        <v>jäännössähkö</v>
      </c>
      <c r="O219" s="147">
        <f>INDEX(Muuttujat!$J$5:$J$21,MATCH($C219,Muuttujat!$H$5:$H$21,0),1)</f>
        <v>64.542936272148211</v>
      </c>
      <c r="P219" s="342">
        <f>1-(INDEX(Muuttujat!$O$5:$O$21,MATCH($C219,Muuttujat!$N$5:$N$21,0),1))</f>
        <v>0.92</v>
      </c>
      <c r="Q219" s="342">
        <f>INDEX(Muuttujat!$O$5:$O$21,MATCH($C219,Muuttujat!$N$5:$N$21,0),1)</f>
        <v>0.08</v>
      </c>
      <c r="R219" s="148">
        <f>INDEX(Muuttujat!$P$5:$P$21,MATCH($C219,Muuttujat!$N$5:$N$21,0),1)</f>
        <v>8.3420471452195388E-2</v>
      </c>
      <c r="S219" s="149">
        <f t="shared" si="69"/>
        <v>6.67925244</v>
      </c>
      <c r="T219" s="150">
        <f t="shared" si="70"/>
        <v>1.9175769599999999</v>
      </c>
      <c r="U219" s="150">
        <f t="shared" si="71"/>
        <v>0</v>
      </c>
      <c r="V219" s="150">
        <f>IFERROR(INDEX(Työkonekanta!$J$3:$J$27,MATCH($A219,Työkonekanta!$A$3:$A$24,0),1)*$B219*ef_li_ion_akku/1000/1000/INDEX(Työkonekanta!$K$3:$K$27,MATCH($A219,Työkonekanta!$A$3:$A$24,0)),0)</f>
        <v>0</v>
      </c>
      <c r="W219" s="149">
        <f t="shared" si="84"/>
        <v>26.083807538738405</v>
      </c>
      <c r="X219" s="150">
        <f t="shared" si="85"/>
        <v>0.33998785619999994</v>
      </c>
      <c r="Y219" s="151">
        <f t="shared" si="86"/>
        <v>0</v>
      </c>
      <c r="Z219" s="152">
        <f t="shared" si="78"/>
        <v>8.5968294000000007</v>
      </c>
      <c r="AA219" s="179">
        <f t="shared" si="79"/>
        <v>26.083807538738405</v>
      </c>
      <c r="AB219" s="179">
        <f t="shared" si="80"/>
        <v>26.423795394938406</v>
      </c>
      <c r="AC219" s="180">
        <f t="shared" si="87"/>
        <v>34.680636938738402</v>
      </c>
      <c r="AD219" s="156">
        <f t="shared" si="81"/>
        <v>35.020624794938406</v>
      </c>
      <c r="AE219" s="146">
        <f>IFERROR(INDEX(Työkonekanta!$L$3:$L$30,MATCH($A219,Työkonekanta!$A$3:$A$30,0),1),0)*AF219</f>
        <v>500000</v>
      </c>
      <c r="AF219" s="146">
        <f>IFERROR(INDEX(Työkonekanta!$N$3:$N$32,MATCH($A219,Työkonekanta!$A$3:$A$32,0),1),0)</f>
        <v>1</v>
      </c>
      <c r="AG219" s="332">
        <f>I219*INDEX(Muuttujat!$U$5:$U$21,MATCH($C219,Muuttujat!$N$5:$N$21,0),1)</f>
        <v>10139.320000000002</v>
      </c>
      <c r="AH219" s="332">
        <f>J219*INDEX(Muuttujat!$T$5:$T$21,MATCH($C219,Muuttujat!$N$5:$N$21,0),1)</f>
        <v>1281.1799416909623</v>
      </c>
      <c r="AI219" s="332">
        <f t="shared" si="72"/>
        <v>0</v>
      </c>
      <c r="AJ219" s="332">
        <f t="shared" si="73"/>
        <v>0</v>
      </c>
      <c r="AK219" s="332">
        <f t="shared" si="82"/>
        <v>11420.499941690963</v>
      </c>
      <c r="AL219" s="332">
        <f t="shared" si="74"/>
        <v>11420.499941690963</v>
      </c>
    </row>
    <row r="220" spans="1:38">
      <c r="A220" s="139">
        <v>8</v>
      </c>
      <c r="B220" s="139">
        <f>IFERROR(INDEX(Työkonekanta!$F$3:$F$27,MATCH('S0b Baseline kasvu'!$A220,Työkonekanta!$A$3:$A$24,0),1),0)</f>
        <v>1</v>
      </c>
      <c r="C220" s="140">
        <v>2026</v>
      </c>
      <c r="D220" s="141" t="str">
        <f>IFERROR(INDEX(Työkonekanta!$D$3:$D$27,MATCH('S0b Baseline kasvu'!$A220,Työkonekanta!$A$3:$A$24,0),1),"undefined")</f>
        <v>pom</v>
      </c>
      <c r="E220" s="145">
        <f>IFERROR(INDEX(Työkonekanta!$G$3:$G$27,MATCH($A220,Työkonekanta!$A$3:$A$24,0),1)*INDEX(Työkonekanta!$H$3:$H$27,MATCH($A220,Työkonekanta!$A$3:$A$24,0),1)*(1+s0b_kasvu*($C220-2019))*$B220,0)</f>
        <v>10700</v>
      </c>
      <c r="F220" s="145">
        <f t="shared" si="66"/>
        <v>384130</v>
      </c>
      <c r="G220" s="145">
        <f t="shared" si="75"/>
        <v>353399.60000000003</v>
      </c>
      <c r="H220" s="145">
        <f t="shared" si="76"/>
        <v>30730.400000000001</v>
      </c>
      <c r="I220" s="145">
        <f t="shared" si="67"/>
        <v>9844.0000000000018</v>
      </c>
      <c r="J220" s="145">
        <f t="shared" si="68"/>
        <v>895.93002915451905</v>
      </c>
      <c r="K220" s="142" t="str">
        <f t="shared" si="77"/>
        <v>l</v>
      </c>
      <c r="L220" s="146">
        <f>IFERROR(INDEX(Työkonekanta!$I$3:$I$27,MATCH('S0b Baseline kasvu'!$A220,Työkonekanta!$A$3:$A$24,0),1)*(I220+J220)*f_adblue,0)</f>
        <v>536.99650145772603</v>
      </c>
      <c r="M220" s="146">
        <f t="shared" si="83"/>
        <v>0</v>
      </c>
      <c r="N220" s="143" t="str">
        <f>IF(tuulisähkö_vuosi&lt;='S0b Baseline kasvu'!C220,"tuulisähkö",ostosähkö_nyt)</f>
        <v>jäännössähkö</v>
      </c>
      <c r="O220" s="147">
        <f>INDEX(Muuttujat!$J$5:$J$21,MATCH($C220,Muuttujat!$H$5:$H$21,0),1)</f>
        <v>64.542936272148211</v>
      </c>
      <c r="P220" s="342">
        <f>1-(INDEX(Muuttujat!$O$5:$O$21,MATCH($C220,Muuttujat!$N$5:$N$21,0),1))</f>
        <v>0.92</v>
      </c>
      <c r="Q220" s="342">
        <f>INDEX(Muuttujat!$O$5:$O$21,MATCH($C220,Muuttujat!$N$5:$N$21,0),1)</f>
        <v>0.08</v>
      </c>
      <c r="R220" s="148">
        <f>INDEX(Muuttujat!$P$5:$P$21,MATCH($C220,Muuttujat!$N$5:$N$21,0),1)</f>
        <v>8.3420471452195388E-2</v>
      </c>
      <c r="S220" s="149">
        <f t="shared" si="69"/>
        <v>6.67925244</v>
      </c>
      <c r="T220" s="150">
        <f t="shared" si="70"/>
        <v>1.9175769599999999</v>
      </c>
      <c r="U220" s="150">
        <f t="shared" si="71"/>
        <v>0</v>
      </c>
      <c r="V220" s="150">
        <f>IFERROR(INDEX(Työkonekanta!$J$3:$J$27,MATCH($A220,Työkonekanta!$A$3:$A$24,0),1)*$B220*ef_li_ion_akku/1000/1000/INDEX(Työkonekanta!$K$3:$K$27,MATCH($A220,Työkonekanta!$A$3:$A$24,0)),0)</f>
        <v>0</v>
      </c>
      <c r="W220" s="149">
        <f t="shared" si="84"/>
        <v>26.083807538738405</v>
      </c>
      <c r="X220" s="150">
        <f t="shared" si="85"/>
        <v>0.33998785619999994</v>
      </c>
      <c r="Y220" s="151">
        <f t="shared" si="86"/>
        <v>0.13961909037900874</v>
      </c>
      <c r="Z220" s="152">
        <f t="shared" si="78"/>
        <v>8.5968294000000007</v>
      </c>
      <c r="AA220" s="179">
        <f t="shared" si="79"/>
        <v>26.223426629117412</v>
      </c>
      <c r="AB220" s="179">
        <f t="shared" si="80"/>
        <v>26.563414485317413</v>
      </c>
      <c r="AC220" s="180">
        <f t="shared" si="87"/>
        <v>34.820256029117417</v>
      </c>
      <c r="AD220" s="156">
        <f t="shared" si="81"/>
        <v>35.160243885317414</v>
      </c>
      <c r="AE220" s="146">
        <f>IFERROR(INDEX(Työkonekanta!$L$3:$L$30,MATCH($A220,Työkonekanta!$A$3:$A$30,0),1),0)*AF220</f>
        <v>500000</v>
      </c>
      <c r="AF220" s="146">
        <f>IFERROR(INDEX(Työkonekanta!$N$3:$N$32,MATCH($A220,Työkonekanta!$A$3:$A$32,0),1),0)</f>
        <v>1</v>
      </c>
      <c r="AG220" s="332">
        <f>I220*INDEX(Muuttujat!$U$5:$U$21,MATCH($C220,Muuttujat!$N$5:$N$21,0),1)</f>
        <v>10139.320000000002</v>
      </c>
      <c r="AH220" s="332">
        <f>J220*INDEX(Muuttujat!$T$5:$T$21,MATCH($C220,Muuttujat!$N$5:$N$21,0),1)</f>
        <v>1281.1799416909623</v>
      </c>
      <c r="AI220" s="332">
        <f t="shared" si="72"/>
        <v>268.49825072886301</v>
      </c>
      <c r="AJ220" s="332">
        <f t="shared" si="73"/>
        <v>0</v>
      </c>
      <c r="AK220" s="332">
        <f t="shared" si="82"/>
        <v>11688.998192419826</v>
      </c>
      <c r="AL220" s="332">
        <f t="shared" si="74"/>
        <v>11688.998192419826</v>
      </c>
    </row>
    <row r="221" spans="1:38">
      <c r="A221" s="139">
        <v>9</v>
      </c>
      <c r="B221" s="139">
        <f>IFERROR(INDEX(Työkonekanta!$F$3:$F$27,MATCH('S0b Baseline kasvu'!$A221,Työkonekanta!$A$3:$A$24,0),1),0)</f>
        <v>0</v>
      </c>
      <c r="C221" s="140">
        <v>2026</v>
      </c>
      <c r="D221" s="141" t="str">
        <f>IFERROR(INDEX(Työkonekanta!$D$3:$D$27,MATCH('S0b Baseline kasvu'!$A221,Työkonekanta!$A$3:$A$24,0),1),"undefined")</f>
        <v>sähkö</v>
      </c>
      <c r="E221" s="145">
        <f>IFERROR(INDEX(Työkonekanta!$G$3:$G$27,MATCH($A221,Työkonekanta!$A$3:$A$24,0),1)*INDEX(Työkonekanta!$H$3:$H$27,MATCH($A221,Työkonekanta!$A$3:$A$24,0),1)*(1+s0b_kasvu*($C221-2019))*$B221,0)</f>
        <v>0</v>
      </c>
      <c r="F221" s="145">
        <f t="shared" si="66"/>
        <v>0</v>
      </c>
      <c r="G221" s="145">
        <f t="shared" si="75"/>
        <v>0</v>
      </c>
      <c r="H221" s="145">
        <f t="shared" si="76"/>
        <v>0</v>
      </c>
      <c r="I221" s="145">
        <f t="shared" si="67"/>
        <v>0</v>
      </c>
      <c r="J221" s="145">
        <f t="shared" si="68"/>
        <v>0</v>
      </c>
      <c r="K221" s="142" t="str">
        <f t="shared" si="77"/>
        <v>kWh</v>
      </c>
      <c r="L221" s="146">
        <f>IFERROR(INDEX(Työkonekanta!$I$3:$I$27,MATCH('S0b Baseline kasvu'!$A221,Työkonekanta!$A$3:$A$24,0),1)*(I221+J221)*f_adblue,0)</f>
        <v>0</v>
      </c>
      <c r="M221" s="146">
        <f t="shared" si="83"/>
        <v>0</v>
      </c>
      <c r="N221" s="143" t="str">
        <f>IF(tuulisähkö_vuosi&lt;='S0b Baseline kasvu'!C221,"tuulisähkö",ostosähkö_nyt)</f>
        <v>jäännössähkö</v>
      </c>
      <c r="O221" s="147">
        <f>INDEX(Muuttujat!$J$5:$J$21,MATCH($C221,Muuttujat!$H$5:$H$21,0),1)</f>
        <v>64.542936272148211</v>
      </c>
      <c r="P221" s="342">
        <f>1-(INDEX(Muuttujat!$O$5:$O$21,MATCH($C221,Muuttujat!$N$5:$N$21,0),1))</f>
        <v>0.92</v>
      </c>
      <c r="Q221" s="342">
        <f>INDEX(Muuttujat!$O$5:$O$21,MATCH($C221,Muuttujat!$N$5:$N$21,0),1)</f>
        <v>0.08</v>
      </c>
      <c r="R221" s="148">
        <f>INDEX(Muuttujat!$P$5:$P$21,MATCH($C221,Muuttujat!$N$5:$N$21,0),1)</f>
        <v>8.3420471452195388E-2</v>
      </c>
      <c r="S221" s="149">
        <f t="shared" si="69"/>
        <v>0</v>
      </c>
      <c r="T221" s="150">
        <f t="shared" si="70"/>
        <v>0</v>
      </c>
      <c r="U221" s="150">
        <f t="shared" si="71"/>
        <v>0</v>
      </c>
      <c r="V221" s="150">
        <f>IFERROR(INDEX(Työkonekanta!$J$3:$J$27,MATCH($A221,Työkonekanta!$A$3:$A$24,0),1)*$B221*ef_li_ion_akku/1000/1000/INDEX(Työkonekanta!$K$3:$K$27,MATCH($A221,Työkonekanta!$A$3:$A$24,0)),0)</f>
        <v>0</v>
      </c>
      <c r="W221" s="149">
        <f t="shared" si="84"/>
        <v>0</v>
      </c>
      <c r="X221" s="150">
        <f t="shared" si="85"/>
        <v>0</v>
      </c>
      <c r="Y221" s="151">
        <f t="shared" si="86"/>
        <v>0</v>
      </c>
      <c r="Z221" s="152">
        <f t="shared" si="78"/>
        <v>0</v>
      </c>
      <c r="AA221" s="179">
        <f t="shared" si="79"/>
        <v>0</v>
      </c>
      <c r="AB221" s="179">
        <f t="shared" si="80"/>
        <v>0</v>
      </c>
      <c r="AC221" s="180">
        <f t="shared" si="87"/>
        <v>0</v>
      </c>
      <c r="AD221" s="156">
        <f t="shared" si="81"/>
        <v>0</v>
      </c>
      <c r="AE221" s="146">
        <f>IFERROR(INDEX(Työkonekanta!$L$3:$L$30,MATCH($A221,Työkonekanta!$A$3:$A$30,0),1),0)*AF221</f>
        <v>0</v>
      </c>
      <c r="AF221" s="146">
        <f>IFERROR(INDEX(Työkonekanta!$N$3:$N$32,MATCH($A221,Työkonekanta!$A$3:$A$32,0),1),0)</f>
        <v>0</v>
      </c>
      <c r="AG221" s="332">
        <f>I221*INDEX(Muuttujat!$U$5:$U$21,MATCH($C221,Muuttujat!$N$5:$N$21,0),1)</f>
        <v>0</v>
      </c>
      <c r="AH221" s="332">
        <f>J221*INDEX(Muuttujat!$T$5:$T$21,MATCH($C221,Muuttujat!$N$5:$N$21,0),1)</f>
        <v>0</v>
      </c>
      <c r="AI221" s="332">
        <f t="shared" si="72"/>
        <v>0</v>
      </c>
      <c r="AJ221" s="332">
        <f t="shared" si="73"/>
        <v>0</v>
      </c>
      <c r="AK221" s="332">
        <f t="shared" si="82"/>
        <v>0</v>
      </c>
      <c r="AL221" s="332">
        <f t="shared" si="74"/>
        <v>0</v>
      </c>
    </row>
    <row r="222" spans="1:38">
      <c r="A222" s="139">
        <v>10</v>
      </c>
      <c r="B222" s="139">
        <f>IFERROR(INDEX(Työkonekanta!$F$3:$F$27,MATCH('S0b Baseline kasvu'!$A222,Työkonekanta!$A$3:$A$24,0),1),0)</f>
        <v>0</v>
      </c>
      <c r="C222" s="140">
        <v>2026</v>
      </c>
      <c r="D222" s="141" t="str">
        <f>IFERROR(INDEX(Työkonekanta!$D$3:$D$27,MATCH('S0b Baseline kasvu'!$A222,Työkonekanta!$A$3:$A$24,0),1),"undefined")</f>
        <v>sähkö</v>
      </c>
      <c r="E222" s="145">
        <f>IFERROR(INDEX(Työkonekanta!$G$3:$G$27,MATCH($A222,Työkonekanta!$A$3:$A$24,0),1)*INDEX(Työkonekanta!$H$3:$H$27,MATCH($A222,Työkonekanta!$A$3:$A$24,0),1)*(1+s0b_kasvu*($C222-2019))*$B222,0)</f>
        <v>0</v>
      </c>
      <c r="F222" s="145">
        <f t="shared" si="66"/>
        <v>0</v>
      </c>
      <c r="G222" s="145">
        <f t="shared" si="75"/>
        <v>0</v>
      </c>
      <c r="H222" s="145">
        <f t="shared" si="76"/>
        <v>0</v>
      </c>
      <c r="I222" s="145">
        <f t="shared" si="67"/>
        <v>0</v>
      </c>
      <c r="J222" s="145">
        <f t="shared" si="68"/>
        <v>0</v>
      </c>
      <c r="K222" s="142" t="str">
        <f t="shared" si="77"/>
        <v>kWh</v>
      </c>
      <c r="L222" s="146">
        <f>IFERROR(INDEX(Työkonekanta!$I$3:$I$27,MATCH('S0b Baseline kasvu'!$A222,Työkonekanta!$A$3:$A$24,0),1)*(I222+J222)*f_adblue,0)</f>
        <v>0</v>
      </c>
      <c r="M222" s="146">
        <f t="shared" si="83"/>
        <v>0</v>
      </c>
      <c r="N222" s="143" t="str">
        <f>IF(tuulisähkö_vuosi&lt;='S0b Baseline kasvu'!C222,"tuulisähkö",ostosähkö_nyt)</f>
        <v>jäännössähkö</v>
      </c>
      <c r="O222" s="147">
        <f>INDEX(Muuttujat!$J$5:$J$21,MATCH($C222,Muuttujat!$H$5:$H$21,0),1)</f>
        <v>64.542936272148211</v>
      </c>
      <c r="P222" s="342">
        <f>1-(INDEX(Muuttujat!$O$5:$O$21,MATCH($C222,Muuttujat!$N$5:$N$21,0),1))</f>
        <v>0.92</v>
      </c>
      <c r="Q222" s="342">
        <f>INDEX(Muuttujat!$O$5:$O$21,MATCH($C222,Muuttujat!$N$5:$N$21,0),1)</f>
        <v>0.08</v>
      </c>
      <c r="R222" s="148">
        <f>INDEX(Muuttujat!$P$5:$P$21,MATCH($C222,Muuttujat!$N$5:$N$21,0),1)</f>
        <v>8.3420471452195388E-2</v>
      </c>
      <c r="S222" s="149">
        <f t="shared" si="69"/>
        <v>0</v>
      </c>
      <c r="T222" s="150">
        <f t="shared" si="70"/>
        <v>0</v>
      </c>
      <c r="U222" s="150">
        <f t="shared" si="71"/>
        <v>0</v>
      </c>
      <c r="V222" s="150">
        <f>IFERROR(INDEX(Työkonekanta!$J$3:$J$27,MATCH($A222,Työkonekanta!$A$3:$A$24,0),1)*$B222*ef_li_ion_akku/1000/1000/INDEX(Työkonekanta!$K$3:$K$27,MATCH($A222,Työkonekanta!$A$3:$A$24,0)),0)</f>
        <v>0</v>
      </c>
      <c r="W222" s="149">
        <f t="shared" si="84"/>
        <v>0</v>
      </c>
      <c r="X222" s="150">
        <f t="shared" si="85"/>
        <v>0</v>
      </c>
      <c r="Y222" s="151">
        <f t="shared" si="86"/>
        <v>0</v>
      </c>
      <c r="Z222" s="152">
        <f t="shared" si="78"/>
        <v>0</v>
      </c>
      <c r="AA222" s="179">
        <f t="shared" si="79"/>
        <v>0</v>
      </c>
      <c r="AB222" s="179">
        <f t="shared" si="80"/>
        <v>0</v>
      </c>
      <c r="AC222" s="180">
        <f t="shared" si="87"/>
        <v>0</v>
      </c>
      <c r="AD222" s="156">
        <f t="shared" si="81"/>
        <v>0</v>
      </c>
      <c r="AE222" s="146">
        <f>IFERROR(INDEX(Työkonekanta!$L$3:$L$30,MATCH($A222,Työkonekanta!$A$3:$A$30,0),1),0)*AF222</f>
        <v>0</v>
      </c>
      <c r="AF222" s="146">
        <f>IFERROR(INDEX(Työkonekanta!$N$3:$N$32,MATCH($A222,Työkonekanta!$A$3:$A$32,0),1),0)</f>
        <v>0</v>
      </c>
      <c r="AG222" s="332">
        <f>I222*INDEX(Muuttujat!$U$5:$U$21,MATCH($C222,Muuttujat!$N$5:$N$21,0),1)</f>
        <v>0</v>
      </c>
      <c r="AH222" s="332">
        <f>J222*INDEX(Muuttujat!$T$5:$T$21,MATCH($C222,Muuttujat!$N$5:$N$21,0),1)</f>
        <v>0</v>
      </c>
      <c r="AI222" s="332">
        <f t="shared" si="72"/>
        <v>0</v>
      </c>
      <c r="AJ222" s="332">
        <f t="shared" si="73"/>
        <v>0</v>
      </c>
      <c r="AK222" s="332">
        <f t="shared" si="82"/>
        <v>0</v>
      </c>
      <c r="AL222" s="332">
        <f t="shared" si="74"/>
        <v>0</v>
      </c>
    </row>
    <row r="223" spans="1:38">
      <c r="A223" s="139">
        <v>11</v>
      </c>
      <c r="B223" s="139">
        <f>IFERROR(INDEX(Työkonekanta!$F$3:$F$27,MATCH('S0b Baseline kasvu'!$A223,Työkonekanta!$A$3:$A$24,0),1),0)</f>
        <v>1</v>
      </c>
      <c r="C223" s="140">
        <v>2026</v>
      </c>
      <c r="D223" s="141" t="str">
        <f>IFERROR(INDEX(Työkonekanta!$D$3:$D$27,MATCH('S0b Baseline kasvu'!$A223,Työkonekanta!$A$3:$A$24,0),1),"undefined")</f>
        <v>pom</v>
      </c>
      <c r="E223" s="145">
        <f>IFERROR(INDEX(Työkonekanta!$G$3:$G$27,MATCH($A223,Työkonekanta!$A$3:$A$24,0),1)*INDEX(Työkonekanta!$H$3:$H$27,MATCH($A223,Työkonekanta!$A$3:$A$24,0),1)*(1+s0b_kasvu*($C223-2019))*$B223,0)</f>
        <v>10700</v>
      </c>
      <c r="F223" s="145">
        <f t="shared" si="66"/>
        <v>384130</v>
      </c>
      <c r="G223" s="145">
        <f t="shared" si="75"/>
        <v>353399.60000000003</v>
      </c>
      <c r="H223" s="145">
        <f t="shared" si="76"/>
        <v>30730.400000000001</v>
      </c>
      <c r="I223" s="145">
        <f t="shared" si="67"/>
        <v>9844.0000000000018</v>
      </c>
      <c r="J223" s="145">
        <f t="shared" si="68"/>
        <v>895.93002915451905</v>
      </c>
      <c r="K223" s="142" t="str">
        <f t="shared" si="77"/>
        <v>l</v>
      </c>
      <c r="L223" s="146">
        <f>IFERROR(INDEX(Työkonekanta!$I$3:$I$27,MATCH('S0b Baseline kasvu'!$A223,Työkonekanta!$A$3:$A$24,0),1)*(I223+J223)*f_adblue,0)</f>
        <v>536.99650145772603</v>
      </c>
      <c r="M223" s="146">
        <f t="shared" si="83"/>
        <v>0</v>
      </c>
      <c r="N223" s="143" t="str">
        <f>IF(tuulisähkö_vuosi&lt;='S0b Baseline kasvu'!C223,"tuulisähkö",ostosähkö_nyt)</f>
        <v>jäännössähkö</v>
      </c>
      <c r="O223" s="147">
        <f>INDEX(Muuttujat!$J$5:$J$21,MATCH($C223,Muuttujat!$H$5:$H$21,0),1)</f>
        <v>64.542936272148211</v>
      </c>
      <c r="P223" s="342">
        <f>1-(INDEX(Muuttujat!$O$5:$O$21,MATCH($C223,Muuttujat!$N$5:$N$21,0),1))</f>
        <v>0.92</v>
      </c>
      <c r="Q223" s="342">
        <f>INDEX(Muuttujat!$O$5:$O$21,MATCH($C223,Muuttujat!$N$5:$N$21,0),1)</f>
        <v>0.08</v>
      </c>
      <c r="R223" s="148">
        <f>INDEX(Muuttujat!$P$5:$P$21,MATCH($C223,Muuttujat!$N$5:$N$21,0),1)</f>
        <v>8.3420471452195388E-2</v>
      </c>
      <c r="S223" s="149">
        <f t="shared" si="69"/>
        <v>6.67925244</v>
      </c>
      <c r="T223" s="150">
        <f t="shared" si="70"/>
        <v>1.9175769599999999</v>
      </c>
      <c r="U223" s="150">
        <f t="shared" si="71"/>
        <v>0</v>
      </c>
      <c r="V223" s="150">
        <f>IFERROR(INDEX(Työkonekanta!$J$3:$J$27,MATCH($A223,Työkonekanta!$A$3:$A$24,0),1)*$B223*ef_li_ion_akku/1000/1000/INDEX(Työkonekanta!$K$3:$K$27,MATCH($A223,Työkonekanta!$A$3:$A$24,0)),0)</f>
        <v>0</v>
      </c>
      <c r="W223" s="149">
        <f t="shared" si="84"/>
        <v>26.083807538738405</v>
      </c>
      <c r="X223" s="150">
        <f t="shared" si="85"/>
        <v>0.33998785619999994</v>
      </c>
      <c r="Y223" s="151">
        <f t="shared" si="86"/>
        <v>0.13961909037900874</v>
      </c>
      <c r="Z223" s="152">
        <f t="shared" si="78"/>
        <v>8.5968294000000007</v>
      </c>
      <c r="AA223" s="179">
        <f t="shared" si="79"/>
        <v>26.223426629117412</v>
      </c>
      <c r="AB223" s="179">
        <f t="shared" si="80"/>
        <v>26.563414485317413</v>
      </c>
      <c r="AC223" s="180">
        <f t="shared" si="87"/>
        <v>34.820256029117417</v>
      </c>
      <c r="AD223" s="156">
        <f t="shared" si="81"/>
        <v>35.160243885317414</v>
      </c>
      <c r="AE223" s="146">
        <f>IFERROR(INDEX(Työkonekanta!$L$3:$L$30,MATCH($A223,Työkonekanta!$A$3:$A$30,0),1),0)*AF223</f>
        <v>500000</v>
      </c>
      <c r="AF223" s="146">
        <f>IFERROR(INDEX(Työkonekanta!$N$3:$N$32,MATCH($A223,Työkonekanta!$A$3:$A$32,0),1),0)</f>
        <v>1</v>
      </c>
      <c r="AG223" s="332">
        <f>I223*INDEX(Muuttujat!$U$5:$U$21,MATCH($C223,Muuttujat!$N$5:$N$21,0),1)</f>
        <v>10139.320000000002</v>
      </c>
      <c r="AH223" s="332">
        <f>J223*INDEX(Muuttujat!$T$5:$T$21,MATCH($C223,Muuttujat!$N$5:$N$21,0),1)</f>
        <v>1281.1799416909623</v>
      </c>
      <c r="AI223" s="332">
        <f t="shared" si="72"/>
        <v>268.49825072886301</v>
      </c>
      <c r="AJ223" s="332">
        <f t="shared" si="73"/>
        <v>0</v>
      </c>
      <c r="AK223" s="332">
        <f t="shared" si="82"/>
        <v>11688.998192419826</v>
      </c>
      <c r="AL223" s="332">
        <f t="shared" si="74"/>
        <v>11688.998192419826</v>
      </c>
    </row>
    <row r="224" spans="1:38">
      <c r="A224" s="139">
        <v>12</v>
      </c>
      <c r="B224" s="139">
        <f>IFERROR(INDEX(Työkonekanta!$F$3:$F$27,MATCH('S0b Baseline kasvu'!$A224,Työkonekanta!$A$3:$A$24,0),1),0)</f>
        <v>1</v>
      </c>
      <c r="C224" s="140">
        <v>2026</v>
      </c>
      <c r="D224" s="141" t="str">
        <f>IFERROR(INDEX(Työkonekanta!$D$3:$D$27,MATCH('S0b Baseline kasvu'!$A224,Työkonekanta!$A$3:$A$24,0),1),"undefined")</f>
        <v>pom</v>
      </c>
      <c r="E224" s="145">
        <f>IFERROR(INDEX(Työkonekanta!$G$3:$G$27,MATCH($A224,Työkonekanta!$A$3:$A$24,0),1)*INDEX(Työkonekanta!$H$3:$H$27,MATCH($A224,Työkonekanta!$A$3:$A$24,0),1)*(1+s0b_kasvu*($C224-2019))*$B224,0)</f>
        <v>10700</v>
      </c>
      <c r="F224" s="145">
        <f t="shared" si="66"/>
        <v>384130</v>
      </c>
      <c r="G224" s="145">
        <f t="shared" si="75"/>
        <v>353399.60000000003</v>
      </c>
      <c r="H224" s="145">
        <f t="shared" si="76"/>
        <v>30730.400000000001</v>
      </c>
      <c r="I224" s="145">
        <f t="shared" si="67"/>
        <v>9844.0000000000018</v>
      </c>
      <c r="J224" s="145">
        <f t="shared" si="68"/>
        <v>895.93002915451905</v>
      </c>
      <c r="K224" s="142" t="str">
        <f t="shared" si="77"/>
        <v>l</v>
      </c>
      <c r="L224" s="146">
        <f>IFERROR(INDEX(Työkonekanta!$I$3:$I$27,MATCH('S0b Baseline kasvu'!$A224,Työkonekanta!$A$3:$A$24,0),1)*(I224+J224)*f_adblue,0)</f>
        <v>536.99650145772603</v>
      </c>
      <c r="M224" s="146">
        <f t="shared" si="83"/>
        <v>0</v>
      </c>
      <c r="N224" s="143" t="str">
        <f>IF(tuulisähkö_vuosi&lt;='S0b Baseline kasvu'!C224,"tuulisähkö",ostosähkö_nyt)</f>
        <v>jäännössähkö</v>
      </c>
      <c r="O224" s="147">
        <f>INDEX(Muuttujat!$J$5:$J$21,MATCH($C224,Muuttujat!$H$5:$H$21,0),1)</f>
        <v>64.542936272148211</v>
      </c>
      <c r="P224" s="342">
        <f>1-(INDEX(Muuttujat!$O$5:$O$21,MATCH($C224,Muuttujat!$N$5:$N$21,0),1))</f>
        <v>0.92</v>
      </c>
      <c r="Q224" s="342">
        <f>INDEX(Muuttujat!$O$5:$O$21,MATCH($C224,Muuttujat!$N$5:$N$21,0),1)</f>
        <v>0.08</v>
      </c>
      <c r="R224" s="148">
        <f>INDEX(Muuttujat!$P$5:$P$21,MATCH($C224,Muuttujat!$N$5:$N$21,0),1)</f>
        <v>8.3420471452195388E-2</v>
      </c>
      <c r="S224" s="149">
        <f t="shared" si="69"/>
        <v>6.67925244</v>
      </c>
      <c r="T224" s="150">
        <f t="shared" si="70"/>
        <v>1.9175769599999999</v>
      </c>
      <c r="U224" s="150">
        <f t="shared" si="71"/>
        <v>0</v>
      </c>
      <c r="V224" s="150">
        <f>IFERROR(INDEX(Työkonekanta!$J$3:$J$27,MATCH($A224,Työkonekanta!$A$3:$A$24,0),1)*$B224*ef_li_ion_akku/1000/1000/INDEX(Työkonekanta!$K$3:$K$27,MATCH($A224,Työkonekanta!$A$3:$A$24,0)),0)</f>
        <v>0</v>
      </c>
      <c r="W224" s="149">
        <f t="shared" si="84"/>
        <v>26.083807538738405</v>
      </c>
      <c r="X224" s="150">
        <f t="shared" si="85"/>
        <v>0.33998785619999994</v>
      </c>
      <c r="Y224" s="151">
        <f t="shared" si="86"/>
        <v>0.13961909037900874</v>
      </c>
      <c r="Z224" s="152">
        <f t="shared" si="78"/>
        <v>8.5968294000000007</v>
      </c>
      <c r="AA224" s="179">
        <f t="shared" si="79"/>
        <v>26.223426629117412</v>
      </c>
      <c r="AB224" s="179">
        <f t="shared" si="80"/>
        <v>26.563414485317413</v>
      </c>
      <c r="AC224" s="180">
        <f t="shared" si="87"/>
        <v>34.820256029117417</v>
      </c>
      <c r="AD224" s="156">
        <f t="shared" si="81"/>
        <v>35.160243885317414</v>
      </c>
      <c r="AE224" s="146">
        <f>IFERROR(INDEX(Työkonekanta!$L$3:$L$30,MATCH($A224,Työkonekanta!$A$3:$A$30,0),1),0)*AF224</f>
        <v>500000</v>
      </c>
      <c r="AF224" s="146">
        <f>IFERROR(INDEX(Työkonekanta!$N$3:$N$32,MATCH($A224,Työkonekanta!$A$3:$A$32,0),1),0)</f>
        <v>1</v>
      </c>
      <c r="AG224" s="332">
        <f>I224*INDEX(Muuttujat!$U$5:$U$21,MATCH($C224,Muuttujat!$N$5:$N$21,0),1)</f>
        <v>10139.320000000002</v>
      </c>
      <c r="AH224" s="332">
        <f>J224*INDEX(Muuttujat!$T$5:$T$21,MATCH($C224,Muuttujat!$N$5:$N$21,0),1)</f>
        <v>1281.1799416909623</v>
      </c>
      <c r="AI224" s="332">
        <f t="shared" si="72"/>
        <v>268.49825072886301</v>
      </c>
      <c r="AJ224" s="332">
        <f t="shared" si="73"/>
        <v>0</v>
      </c>
      <c r="AK224" s="332">
        <f t="shared" si="82"/>
        <v>11688.998192419826</v>
      </c>
      <c r="AL224" s="332">
        <f t="shared" si="74"/>
        <v>11688.998192419826</v>
      </c>
    </row>
    <row r="225" spans="1:38">
      <c r="A225" s="139">
        <v>13</v>
      </c>
      <c r="B225" s="139">
        <f>IFERROR(INDEX(Työkonekanta!$F$3:$F$27,MATCH('S0b Baseline kasvu'!$A225,Työkonekanta!$A$3:$A$24,0),1),0)</f>
        <v>0</v>
      </c>
      <c r="C225" s="140">
        <v>2026</v>
      </c>
      <c r="D225" s="141" t="str">
        <f>IFERROR(INDEX(Työkonekanta!$D$3:$D$27,MATCH('S0b Baseline kasvu'!$A225,Työkonekanta!$A$3:$A$24,0),1),"undefined")</f>
        <v>pom</v>
      </c>
      <c r="E225" s="145">
        <f>IFERROR(INDEX(Työkonekanta!$G$3:$G$27,MATCH($A225,Työkonekanta!$A$3:$A$24,0),1)*INDEX(Työkonekanta!$H$3:$H$27,MATCH($A225,Työkonekanta!$A$3:$A$24,0),1)*(1+s0b_kasvu*($C225-2019))*$B225,0)</f>
        <v>0</v>
      </c>
      <c r="F225" s="145">
        <f t="shared" si="66"/>
        <v>0</v>
      </c>
      <c r="G225" s="145">
        <f t="shared" si="75"/>
        <v>0</v>
      </c>
      <c r="H225" s="145">
        <f t="shared" si="76"/>
        <v>0</v>
      </c>
      <c r="I225" s="145">
        <f t="shared" si="67"/>
        <v>0</v>
      </c>
      <c r="J225" s="145">
        <f t="shared" si="68"/>
        <v>0</v>
      </c>
      <c r="K225" s="142" t="str">
        <f t="shared" si="77"/>
        <v>l</v>
      </c>
      <c r="L225" s="146">
        <f>IFERROR(INDEX(Työkonekanta!$I$3:$I$27,MATCH('S0b Baseline kasvu'!$A225,Työkonekanta!$A$3:$A$24,0),1)*(I225+J225)*f_adblue,0)</f>
        <v>0</v>
      </c>
      <c r="M225" s="146">
        <f t="shared" si="83"/>
        <v>0</v>
      </c>
      <c r="N225" s="143" t="str">
        <f>IF(tuulisähkö_vuosi&lt;='S0b Baseline kasvu'!C225,"tuulisähkö",ostosähkö_nyt)</f>
        <v>jäännössähkö</v>
      </c>
      <c r="O225" s="147">
        <f>INDEX(Muuttujat!$J$5:$J$21,MATCH($C225,Muuttujat!$H$5:$H$21,0),1)</f>
        <v>64.542936272148211</v>
      </c>
      <c r="P225" s="342">
        <f>1-(INDEX(Muuttujat!$O$5:$O$21,MATCH($C225,Muuttujat!$N$5:$N$21,0),1))</f>
        <v>0.92</v>
      </c>
      <c r="Q225" s="342">
        <f>INDEX(Muuttujat!$O$5:$O$21,MATCH($C225,Muuttujat!$N$5:$N$21,0),1)</f>
        <v>0.08</v>
      </c>
      <c r="R225" s="148">
        <f>INDEX(Muuttujat!$P$5:$P$21,MATCH($C225,Muuttujat!$N$5:$N$21,0),1)</f>
        <v>8.3420471452195388E-2</v>
      </c>
      <c r="S225" s="149">
        <f t="shared" si="69"/>
        <v>0</v>
      </c>
      <c r="T225" s="150">
        <f t="shared" si="70"/>
        <v>0</v>
      </c>
      <c r="U225" s="150">
        <f t="shared" si="71"/>
        <v>0</v>
      </c>
      <c r="V225" s="150">
        <f>IFERROR(INDEX(Työkonekanta!$J$3:$J$27,MATCH($A225,Työkonekanta!$A$3:$A$24,0),1)*$B225*ef_li_ion_akku/1000/1000/INDEX(Työkonekanta!$K$3:$K$27,MATCH($A225,Työkonekanta!$A$3:$A$24,0)),0)</f>
        <v>0</v>
      </c>
      <c r="W225" s="149">
        <f t="shared" si="84"/>
        <v>0</v>
      </c>
      <c r="X225" s="150">
        <f t="shared" si="85"/>
        <v>0</v>
      </c>
      <c r="Y225" s="151">
        <f t="shared" si="86"/>
        <v>0</v>
      </c>
      <c r="Z225" s="152">
        <f t="shared" si="78"/>
        <v>0</v>
      </c>
      <c r="AA225" s="179">
        <f t="shared" si="79"/>
        <v>0</v>
      </c>
      <c r="AB225" s="179">
        <f t="shared" si="80"/>
        <v>0</v>
      </c>
      <c r="AC225" s="180">
        <f t="shared" si="87"/>
        <v>0</v>
      </c>
      <c r="AD225" s="156">
        <f t="shared" si="81"/>
        <v>0</v>
      </c>
      <c r="AE225" s="146">
        <f>IFERROR(INDEX(Työkonekanta!$L$3:$L$30,MATCH($A225,Työkonekanta!$A$3:$A$30,0),1),0)*AF225</f>
        <v>0</v>
      </c>
      <c r="AF225" s="146">
        <f>IFERROR(INDEX(Työkonekanta!$N$3:$N$32,MATCH($A225,Työkonekanta!$A$3:$A$32,0),1),0)</f>
        <v>0</v>
      </c>
      <c r="AG225" s="332">
        <f>I225*INDEX(Muuttujat!$U$5:$U$21,MATCH($C225,Muuttujat!$N$5:$N$21,0),1)</f>
        <v>0</v>
      </c>
      <c r="AH225" s="332">
        <f>J225*INDEX(Muuttujat!$T$5:$T$21,MATCH($C225,Muuttujat!$N$5:$N$21,0),1)</f>
        <v>0</v>
      </c>
      <c r="AI225" s="332">
        <f t="shared" si="72"/>
        <v>0</v>
      </c>
      <c r="AJ225" s="332">
        <f t="shared" si="73"/>
        <v>0</v>
      </c>
      <c r="AK225" s="332">
        <f t="shared" si="82"/>
        <v>0</v>
      </c>
      <c r="AL225" s="332">
        <f t="shared" si="74"/>
        <v>0</v>
      </c>
    </row>
    <row r="226" spans="1:38">
      <c r="A226" s="139">
        <v>14</v>
      </c>
      <c r="B226" s="139">
        <f>IFERROR(INDEX(Työkonekanta!$F$3:$F$27,MATCH('S0b Baseline kasvu'!$A226,Työkonekanta!$A$3:$A$24,0),1),0)</f>
        <v>0</v>
      </c>
      <c r="C226" s="140">
        <v>2026</v>
      </c>
      <c r="D226" s="141" t="str">
        <f>IFERROR(INDEX(Työkonekanta!$D$3:$D$27,MATCH('S0b Baseline kasvu'!$A226,Työkonekanta!$A$3:$A$24,0),1),"undefined")</f>
        <v>pom</v>
      </c>
      <c r="E226" s="145">
        <f>IFERROR(INDEX(Työkonekanta!$G$3:$G$27,MATCH($A226,Työkonekanta!$A$3:$A$24,0),1)*INDEX(Työkonekanta!$H$3:$H$27,MATCH($A226,Työkonekanta!$A$3:$A$24,0),1)*(1+s0b_kasvu*($C226-2019))*$B226,0)</f>
        <v>0</v>
      </c>
      <c r="F226" s="145">
        <f t="shared" si="66"/>
        <v>0</v>
      </c>
      <c r="G226" s="145">
        <f t="shared" si="75"/>
        <v>0</v>
      </c>
      <c r="H226" s="145">
        <f t="shared" si="76"/>
        <v>0</v>
      </c>
      <c r="I226" s="145">
        <f t="shared" si="67"/>
        <v>0</v>
      </c>
      <c r="J226" s="145">
        <f t="shared" si="68"/>
        <v>0</v>
      </c>
      <c r="K226" s="142" t="str">
        <f t="shared" si="77"/>
        <v>l</v>
      </c>
      <c r="L226" s="146">
        <f>IFERROR(INDEX(Työkonekanta!$I$3:$I$27,MATCH('S0b Baseline kasvu'!$A226,Työkonekanta!$A$3:$A$24,0),1)*(I226+J226)*f_adblue,0)</f>
        <v>0</v>
      </c>
      <c r="M226" s="146">
        <f t="shared" si="83"/>
        <v>0</v>
      </c>
      <c r="N226" s="143" t="str">
        <f>IF(tuulisähkö_vuosi&lt;='S0b Baseline kasvu'!C226,"tuulisähkö",ostosähkö_nyt)</f>
        <v>jäännössähkö</v>
      </c>
      <c r="O226" s="147">
        <f>INDEX(Muuttujat!$J$5:$J$21,MATCH($C226,Muuttujat!$H$5:$H$21,0),1)</f>
        <v>64.542936272148211</v>
      </c>
      <c r="P226" s="342">
        <f>1-(INDEX(Muuttujat!$O$5:$O$21,MATCH($C226,Muuttujat!$N$5:$N$21,0),1))</f>
        <v>0.92</v>
      </c>
      <c r="Q226" s="342">
        <f>INDEX(Muuttujat!$O$5:$O$21,MATCH($C226,Muuttujat!$N$5:$N$21,0),1)</f>
        <v>0.08</v>
      </c>
      <c r="R226" s="148">
        <f>INDEX(Muuttujat!$P$5:$P$21,MATCH($C226,Muuttujat!$N$5:$N$21,0),1)</f>
        <v>8.3420471452195388E-2</v>
      </c>
      <c r="S226" s="149">
        <f t="shared" si="69"/>
        <v>0</v>
      </c>
      <c r="T226" s="150">
        <f t="shared" si="70"/>
        <v>0</v>
      </c>
      <c r="U226" s="150">
        <f t="shared" si="71"/>
        <v>0</v>
      </c>
      <c r="V226" s="150">
        <f>IFERROR(INDEX(Työkonekanta!$J$3:$J$27,MATCH($A226,Työkonekanta!$A$3:$A$24,0),1)*$B226*ef_li_ion_akku/1000/1000/INDEX(Työkonekanta!$K$3:$K$27,MATCH($A226,Työkonekanta!$A$3:$A$24,0)),0)</f>
        <v>0</v>
      </c>
      <c r="W226" s="149">
        <f t="shared" si="84"/>
        <v>0</v>
      </c>
      <c r="X226" s="150">
        <f t="shared" si="85"/>
        <v>0</v>
      </c>
      <c r="Y226" s="151">
        <f t="shared" si="86"/>
        <v>0</v>
      </c>
      <c r="Z226" s="152">
        <f t="shared" si="78"/>
        <v>0</v>
      </c>
      <c r="AA226" s="179">
        <f t="shared" si="79"/>
        <v>0</v>
      </c>
      <c r="AB226" s="179">
        <f t="shared" si="80"/>
        <v>0</v>
      </c>
      <c r="AC226" s="180">
        <f t="shared" si="87"/>
        <v>0</v>
      </c>
      <c r="AD226" s="156">
        <f t="shared" si="81"/>
        <v>0</v>
      </c>
      <c r="AE226" s="146">
        <f>IFERROR(INDEX(Työkonekanta!$L$3:$L$30,MATCH($A226,Työkonekanta!$A$3:$A$30,0),1),0)*AF226</f>
        <v>0</v>
      </c>
      <c r="AF226" s="146">
        <f>IFERROR(INDEX(Työkonekanta!$N$3:$N$32,MATCH($A226,Työkonekanta!$A$3:$A$32,0),1),0)</f>
        <v>0</v>
      </c>
      <c r="AG226" s="332">
        <f>I226*INDEX(Muuttujat!$U$5:$U$21,MATCH($C226,Muuttujat!$N$5:$N$21,0),1)</f>
        <v>0</v>
      </c>
      <c r="AH226" s="332">
        <f>J226*INDEX(Muuttujat!$T$5:$T$21,MATCH($C226,Muuttujat!$N$5:$N$21,0),1)</f>
        <v>0</v>
      </c>
      <c r="AI226" s="332">
        <f t="shared" si="72"/>
        <v>0</v>
      </c>
      <c r="AJ226" s="332">
        <f t="shared" si="73"/>
        <v>0</v>
      </c>
      <c r="AK226" s="332">
        <f t="shared" si="82"/>
        <v>0</v>
      </c>
      <c r="AL226" s="332">
        <f t="shared" si="74"/>
        <v>0</v>
      </c>
    </row>
    <row r="227" spans="1:38">
      <c r="A227" s="139">
        <v>15</v>
      </c>
      <c r="B227" s="139">
        <f>IFERROR(INDEX(Työkonekanta!$F$3:$F$27,MATCH('S0b Baseline kasvu'!$A227,Työkonekanta!$A$3:$A$24,0),1),0)</f>
        <v>0</v>
      </c>
      <c r="C227" s="140">
        <v>2026</v>
      </c>
      <c r="D227" s="141" t="str">
        <f>IFERROR(INDEX(Työkonekanta!$D$3:$D$27,MATCH('S0b Baseline kasvu'!$A227,Työkonekanta!$A$3:$A$24,0),1),"undefined")</f>
        <v>sähkö</v>
      </c>
      <c r="E227" s="145">
        <f>IFERROR(INDEX(Työkonekanta!$G$3:$G$27,MATCH($A227,Työkonekanta!$A$3:$A$24,0),1)*INDEX(Työkonekanta!$H$3:$H$27,MATCH($A227,Työkonekanta!$A$3:$A$24,0),1)*(1+s0b_kasvu*($C227-2019))*$B227,0)</f>
        <v>0</v>
      </c>
      <c r="F227" s="145">
        <f t="shared" si="66"/>
        <v>0</v>
      </c>
      <c r="G227" s="145">
        <f t="shared" si="75"/>
        <v>0</v>
      </c>
      <c r="H227" s="145">
        <f t="shared" si="76"/>
        <v>0</v>
      </c>
      <c r="I227" s="145">
        <f t="shared" si="67"/>
        <v>0</v>
      </c>
      <c r="J227" s="145">
        <f t="shared" si="68"/>
        <v>0</v>
      </c>
      <c r="K227" s="142" t="str">
        <f t="shared" si="77"/>
        <v>kWh</v>
      </c>
      <c r="L227" s="146">
        <f>IFERROR(INDEX(Työkonekanta!$I$3:$I$27,MATCH('S0b Baseline kasvu'!$A227,Työkonekanta!$A$3:$A$24,0),1)*(I227+J227)*f_adblue,0)</f>
        <v>0</v>
      </c>
      <c r="M227" s="146">
        <f t="shared" si="83"/>
        <v>0</v>
      </c>
      <c r="N227" s="143" t="str">
        <f>IF(tuulisähkö_vuosi&lt;='S0b Baseline kasvu'!C227,"tuulisähkö",ostosähkö_nyt)</f>
        <v>jäännössähkö</v>
      </c>
      <c r="O227" s="147">
        <f>INDEX(Muuttujat!$J$5:$J$21,MATCH($C227,Muuttujat!$H$5:$H$21,0),1)</f>
        <v>64.542936272148211</v>
      </c>
      <c r="P227" s="342">
        <f>1-(INDEX(Muuttujat!$O$5:$O$21,MATCH($C227,Muuttujat!$N$5:$N$21,0),1))</f>
        <v>0.92</v>
      </c>
      <c r="Q227" s="342">
        <f>INDEX(Muuttujat!$O$5:$O$21,MATCH($C227,Muuttujat!$N$5:$N$21,0),1)</f>
        <v>0.08</v>
      </c>
      <c r="R227" s="148">
        <f>INDEX(Muuttujat!$P$5:$P$21,MATCH($C227,Muuttujat!$N$5:$N$21,0),1)</f>
        <v>8.3420471452195388E-2</v>
      </c>
      <c r="S227" s="149">
        <f t="shared" si="69"/>
        <v>0</v>
      </c>
      <c r="T227" s="150">
        <f t="shared" si="70"/>
        <v>0</v>
      </c>
      <c r="U227" s="150">
        <f t="shared" si="71"/>
        <v>0</v>
      </c>
      <c r="V227" s="150">
        <f>IFERROR(INDEX(Työkonekanta!$J$3:$J$27,MATCH($A227,Työkonekanta!$A$3:$A$24,0),1)*$B227*ef_li_ion_akku/1000/1000/INDEX(Työkonekanta!$K$3:$K$27,MATCH($A227,Työkonekanta!$A$3:$A$24,0)),0)</f>
        <v>0</v>
      </c>
      <c r="W227" s="149">
        <f t="shared" si="84"/>
        <v>0</v>
      </c>
      <c r="X227" s="150">
        <f t="shared" si="85"/>
        <v>0</v>
      </c>
      <c r="Y227" s="151">
        <f t="shared" si="86"/>
        <v>0</v>
      </c>
      <c r="Z227" s="152">
        <f t="shared" si="78"/>
        <v>0</v>
      </c>
      <c r="AA227" s="179">
        <f t="shared" si="79"/>
        <v>0</v>
      </c>
      <c r="AB227" s="179">
        <f t="shared" si="80"/>
        <v>0</v>
      </c>
      <c r="AC227" s="180">
        <f t="shared" si="87"/>
        <v>0</v>
      </c>
      <c r="AD227" s="156">
        <f t="shared" si="81"/>
        <v>0</v>
      </c>
      <c r="AE227" s="146">
        <f>IFERROR(INDEX(Työkonekanta!$L$3:$L$30,MATCH($A227,Työkonekanta!$A$3:$A$30,0),1),0)*AF227</f>
        <v>0</v>
      </c>
      <c r="AF227" s="146">
        <f>IFERROR(INDEX(Työkonekanta!$N$3:$N$32,MATCH($A227,Työkonekanta!$A$3:$A$32,0),1),0)</f>
        <v>0</v>
      </c>
      <c r="AG227" s="332">
        <f>I227*INDEX(Muuttujat!$U$5:$U$21,MATCH($C227,Muuttujat!$N$5:$N$21,0),1)</f>
        <v>0</v>
      </c>
      <c r="AH227" s="332">
        <f>J227*INDEX(Muuttujat!$T$5:$T$21,MATCH($C227,Muuttujat!$N$5:$N$21,0),1)</f>
        <v>0</v>
      </c>
      <c r="AI227" s="332">
        <f t="shared" si="72"/>
        <v>0</v>
      </c>
      <c r="AJ227" s="332">
        <f t="shared" si="73"/>
        <v>0</v>
      </c>
      <c r="AK227" s="332">
        <f t="shared" si="82"/>
        <v>0</v>
      </c>
      <c r="AL227" s="332">
        <f t="shared" si="74"/>
        <v>0</v>
      </c>
    </row>
    <row r="228" spans="1:38">
      <c r="A228" s="139">
        <v>16</v>
      </c>
      <c r="B228" s="139">
        <f>IFERROR(INDEX(Työkonekanta!$F$3:$F$27,MATCH('S0b Baseline kasvu'!$A228,Työkonekanta!$A$3:$A$24,0),1),0)</f>
        <v>0</v>
      </c>
      <c r="C228" s="140">
        <v>2026</v>
      </c>
      <c r="D228" s="141" t="str">
        <f>IFERROR(INDEX(Työkonekanta!$D$3:$D$27,MATCH('S0b Baseline kasvu'!$A228,Työkonekanta!$A$3:$A$24,0),1),"undefined")</f>
        <v>sähkö</v>
      </c>
      <c r="E228" s="145">
        <f>IFERROR(INDEX(Työkonekanta!$G$3:$G$27,MATCH($A228,Työkonekanta!$A$3:$A$24,0),1)*INDEX(Työkonekanta!$H$3:$H$27,MATCH($A228,Työkonekanta!$A$3:$A$24,0),1)*(1+s0b_kasvu*($C228-2019))*$B228,0)</f>
        <v>0</v>
      </c>
      <c r="F228" s="145">
        <f t="shared" si="66"/>
        <v>0</v>
      </c>
      <c r="G228" s="145">
        <f t="shared" si="75"/>
        <v>0</v>
      </c>
      <c r="H228" s="145">
        <f t="shared" si="76"/>
        <v>0</v>
      </c>
      <c r="I228" s="145">
        <f t="shared" si="67"/>
        <v>0</v>
      </c>
      <c r="J228" s="145">
        <f t="shared" si="68"/>
        <v>0</v>
      </c>
      <c r="K228" s="142" t="str">
        <f t="shared" si="77"/>
        <v>kWh</v>
      </c>
      <c r="L228" s="146">
        <f>IFERROR(INDEX(Työkonekanta!$I$3:$I$27,MATCH('S0b Baseline kasvu'!$A228,Työkonekanta!$A$3:$A$24,0),1)*(I228+J228)*f_adblue,0)</f>
        <v>0</v>
      </c>
      <c r="M228" s="146">
        <f t="shared" si="83"/>
        <v>0</v>
      </c>
      <c r="N228" s="143" t="str">
        <f>IF(tuulisähkö_vuosi&lt;='S0b Baseline kasvu'!C228,"tuulisähkö",ostosähkö_nyt)</f>
        <v>jäännössähkö</v>
      </c>
      <c r="O228" s="147">
        <f>INDEX(Muuttujat!$J$5:$J$21,MATCH($C228,Muuttujat!$H$5:$H$21,0),1)</f>
        <v>64.542936272148211</v>
      </c>
      <c r="P228" s="342">
        <f>1-(INDEX(Muuttujat!$O$5:$O$21,MATCH($C228,Muuttujat!$N$5:$N$21,0),1))</f>
        <v>0.92</v>
      </c>
      <c r="Q228" s="342">
        <f>INDEX(Muuttujat!$O$5:$O$21,MATCH($C228,Muuttujat!$N$5:$N$21,0),1)</f>
        <v>0.08</v>
      </c>
      <c r="R228" s="148">
        <f>INDEX(Muuttujat!$P$5:$P$21,MATCH($C228,Muuttujat!$N$5:$N$21,0),1)</f>
        <v>8.3420471452195388E-2</v>
      </c>
      <c r="S228" s="149">
        <f t="shared" si="69"/>
        <v>0</v>
      </c>
      <c r="T228" s="150">
        <f t="shared" si="70"/>
        <v>0</v>
      </c>
      <c r="U228" s="150">
        <f t="shared" si="71"/>
        <v>0</v>
      </c>
      <c r="V228" s="150">
        <f>IFERROR(INDEX(Työkonekanta!$J$3:$J$27,MATCH($A228,Työkonekanta!$A$3:$A$24,0),1)*$B228*ef_li_ion_akku/1000/1000/INDEX(Työkonekanta!$K$3:$K$27,MATCH($A228,Työkonekanta!$A$3:$A$24,0)),0)</f>
        <v>0</v>
      </c>
      <c r="W228" s="149">
        <f t="shared" si="84"/>
        <v>0</v>
      </c>
      <c r="X228" s="150">
        <f t="shared" si="85"/>
        <v>0</v>
      </c>
      <c r="Y228" s="151">
        <f t="shared" si="86"/>
        <v>0</v>
      </c>
      <c r="Z228" s="152">
        <f t="shared" si="78"/>
        <v>0</v>
      </c>
      <c r="AA228" s="179">
        <f t="shared" si="79"/>
        <v>0</v>
      </c>
      <c r="AB228" s="179">
        <f t="shared" si="80"/>
        <v>0</v>
      </c>
      <c r="AC228" s="180">
        <f t="shared" si="87"/>
        <v>0</v>
      </c>
      <c r="AD228" s="156">
        <f t="shared" si="81"/>
        <v>0</v>
      </c>
      <c r="AE228" s="146">
        <f>IFERROR(INDEX(Työkonekanta!$L$3:$L$30,MATCH($A228,Työkonekanta!$A$3:$A$30,0),1),0)*AF228</f>
        <v>0</v>
      </c>
      <c r="AF228" s="146">
        <f>IFERROR(INDEX(Työkonekanta!$N$3:$N$32,MATCH($A228,Työkonekanta!$A$3:$A$32,0),1),0)</f>
        <v>0</v>
      </c>
      <c r="AG228" s="332">
        <f>I228*INDEX(Muuttujat!$U$5:$U$21,MATCH($C228,Muuttujat!$N$5:$N$21,0),1)</f>
        <v>0</v>
      </c>
      <c r="AH228" s="332">
        <f>J228*INDEX(Muuttujat!$T$5:$T$21,MATCH($C228,Muuttujat!$N$5:$N$21,0),1)</f>
        <v>0</v>
      </c>
      <c r="AI228" s="332">
        <f t="shared" si="72"/>
        <v>0</v>
      </c>
      <c r="AJ228" s="332">
        <f t="shared" si="73"/>
        <v>0</v>
      </c>
      <c r="AK228" s="332">
        <f t="shared" si="82"/>
        <v>0</v>
      </c>
      <c r="AL228" s="332">
        <f t="shared" si="74"/>
        <v>0</v>
      </c>
    </row>
    <row r="229" spans="1:38">
      <c r="A229" s="139">
        <v>17</v>
      </c>
      <c r="B229" s="139">
        <f>IFERROR(INDEX(Työkonekanta!$F$3:$F$27,MATCH('S0b Baseline kasvu'!$A229,Työkonekanta!$A$3:$A$24,0),1),0)</f>
        <v>1</v>
      </c>
      <c r="C229" s="140">
        <v>2026</v>
      </c>
      <c r="D229" s="141" t="str">
        <f>IFERROR(INDEX(Työkonekanta!$D$3:$D$27,MATCH('S0b Baseline kasvu'!$A229,Työkonekanta!$A$3:$A$24,0),1),"undefined")</f>
        <v>pom</v>
      </c>
      <c r="E229" s="145">
        <f>IFERROR(INDEX(Työkonekanta!$G$3:$G$27,MATCH($A229,Työkonekanta!$A$3:$A$24,0),1)*INDEX(Työkonekanta!$H$3:$H$27,MATCH($A229,Työkonekanta!$A$3:$A$24,0),1)*(1+s0b_kasvu*($C229-2019))*$B229,0)</f>
        <v>10700</v>
      </c>
      <c r="F229" s="145">
        <f t="shared" si="66"/>
        <v>384130</v>
      </c>
      <c r="G229" s="145">
        <f t="shared" si="75"/>
        <v>353399.60000000003</v>
      </c>
      <c r="H229" s="145">
        <f t="shared" si="76"/>
        <v>30730.400000000001</v>
      </c>
      <c r="I229" s="145">
        <f t="shared" si="67"/>
        <v>9844.0000000000018</v>
      </c>
      <c r="J229" s="145">
        <f t="shared" si="68"/>
        <v>895.93002915451905</v>
      </c>
      <c r="K229" s="142" t="str">
        <f t="shared" si="77"/>
        <v>l</v>
      </c>
      <c r="L229" s="146">
        <f>IFERROR(INDEX(Työkonekanta!$I$3:$I$27,MATCH('S0b Baseline kasvu'!$A229,Työkonekanta!$A$3:$A$24,0),1)*(I229+J229)*f_adblue,0)</f>
        <v>536.99650145772603</v>
      </c>
      <c r="M229" s="146">
        <f t="shared" si="83"/>
        <v>0</v>
      </c>
      <c r="N229" s="143" t="str">
        <f>IF(tuulisähkö_vuosi&lt;='S0b Baseline kasvu'!C229,"tuulisähkö",ostosähkö_nyt)</f>
        <v>jäännössähkö</v>
      </c>
      <c r="O229" s="147">
        <f>INDEX(Muuttujat!$J$5:$J$21,MATCH($C229,Muuttujat!$H$5:$H$21,0),1)</f>
        <v>64.542936272148211</v>
      </c>
      <c r="P229" s="342">
        <f>1-(INDEX(Muuttujat!$O$5:$O$21,MATCH($C229,Muuttujat!$N$5:$N$21,0),1))</f>
        <v>0.92</v>
      </c>
      <c r="Q229" s="342">
        <f>INDEX(Muuttujat!$O$5:$O$21,MATCH($C229,Muuttujat!$N$5:$N$21,0),1)</f>
        <v>0.08</v>
      </c>
      <c r="R229" s="148">
        <f>INDEX(Muuttujat!$P$5:$P$21,MATCH($C229,Muuttujat!$N$5:$N$21,0),1)</f>
        <v>8.3420471452195388E-2</v>
      </c>
      <c r="S229" s="149">
        <f t="shared" si="69"/>
        <v>6.67925244</v>
      </c>
      <c r="T229" s="150">
        <f t="shared" si="70"/>
        <v>1.9175769599999999</v>
      </c>
      <c r="U229" s="150">
        <f t="shared" si="71"/>
        <v>0</v>
      </c>
      <c r="V229" s="150">
        <f>IFERROR(INDEX(Työkonekanta!$J$3:$J$27,MATCH($A229,Työkonekanta!$A$3:$A$24,0),1)*$B229*ef_li_ion_akku/1000/1000/INDEX(Työkonekanta!$K$3:$K$27,MATCH($A229,Työkonekanta!$A$3:$A$24,0)),0)</f>
        <v>0</v>
      </c>
      <c r="W229" s="149">
        <f t="shared" si="84"/>
        <v>26.083807538738405</v>
      </c>
      <c r="X229" s="150">
        <f t="shared" si="85"/>
        <v>0.33998785619999994</v>
      </c>
      <c r="Y229" s="151">
        <f t="shared" si="86"/>
        <v>0.13961909037900874</v>
      </c>
      <c r="Z229" s="152">
        <f t="shared" si="78"/>
        <v>8.5968294000000007</v>
      </c>
      <c r="AA229" s="179">
        <f t="shared" si="79"/>
        <v>26.223426629117412</v>
      </c>
      <c r="AB229" s="179">
        <f t="shared" si="80"/>
        <v>26.563414485317413</v>
      </c>
      <c r="AC229" s="180">
        <f t="shared" si="87"/>
        <v>34.820256029117417</v>
      </c>
      <c r="AD229" s="156">
        <f t="shared" si="81"/>
        <v>35.160243885317414</v>
      </c>
      <c r="AE229" s="146">
        <f>IFERROR(INDEX(Työkonekanta!$L$3:$L$30,MATCH($A229,Työkonekanta!$A$3:$A$30,0),1),0)*AF229</f>
        <v>500000</v>
      </c>
      <c r="AF229" s="146">
        <f>IFERROR(INDEX(Työkonekanta!$N$3:$N$32,MATCH($A229,Työkonekanta!$A$3:$A$32,0),1),0)</f>
        <v>1</v>
      </c>
      <c r="AG229" s="332">
        <f>I229*INDEX(Muuttujat!$U$5:$U$21,MATCH($C229,Muuttujat!$N$5:$N$21,0),1)</f>
        <v>10139.320000000002</v>
      </c>
      <c r="AH229" s="332">
        <f>J229*INDEX(Muuttujat!$T$5:$T$21,MATCH($C229,Muuttujat!$N$5:$N$21,0),1)</f>
        <v>1281.1799416909623</v>
      </c>
      <c r="AI229" s="332">
        <f t="shared" si="72"/>
        <v>268.49825072886301</v>
      </c>
      <c r="AJ229" s="332">
        <f t="shared" si="73"/>
        <v>0</v>
      </c>
      <c r="AK229" s="332">
        <f t="shared" si="82"/>
        <v>11688.998192419826</v>
      </c>
      <c r="AL229" s="332">
        <f t="shared" si="74"/>
        <v>11688.998192419826</v>
      </c>
    </row>
    <row r="230" spans="1:38">
      <c r="A230" s="139">
        <v>18</v>
      </c>
      <c r="B230" s="139">
        <f>IFERROR(INDEX(Työkonekanta!$F$3:$F$27,MATCH('S0b Baseline kasvu'!$A230,Työkonekanta!$A$3:$A$24,0),1),0)</f>
        <v>1</v>
      </c>
      <c r="C230" s="140">
        <v>2026</v>
      </c>
      <c r="D230" s="141" t="str">
        <f>IFERROR(INDEX(Työkonekanta!$D$3:$D$27,MATCH('S0b Baseline kasvu'!$A230,Työkonekanta!$A$3:$A$24,0),1),"undefined")</f>
        <v>pom</v>
      </c>
      <c r="E230" s="145">
        <f>IFERROR(INDEX(Työkonekanta!$G$3:$G$27,MATCH($A230,Työkonekanta!$A$3:$A$24,0),1)*INDEX(Työkonekanta!$H$3:$H$27,MATCH($A230,Työkonekanta!$A$3:$A$24,0),1)*(1+s0b_kasvu*($C230-2019))*$B230,0)</f>
        <v>10700</v>
      </c>
      <c r="F230" s="145">
        <f t="shared" si="66"/>
        <v>384130</v>
      </c>
      <c r="G230" s="145">
        <f t="shared" si="75"/>
        <v>353399.60000000003</v>
      </c>
      <c r="H230" s="145">
        <f t="shared" si="76"/>
        <v>30730.400000000001</v>
      </c>
      <c r="I230" s="145">
        <f t="shared" si="67"/>
        <v>9844.0000000000018</v>
      </c>
      <c r="J230" s="145">
        <f t="shared" si="68"/>
        <v>895.93002915451905</v>
      </c>
      <c r="K230" s="142" t="str">
        <f t="shared" si="77"/>
        <v>l</v>
      </c>
      <c r="L230" s="146">
        <f>IFERROR(INDEX(Työkonekanta!$I$3:$I$27,MATCH('S0b Baseline kasvu'!$A230,Työkonekanta!$A$3:$A$24,0),1)*(I230+J230)*f_adblue,0)</f>
        <v>429.59720116618087</v>
      </c>
      <c r="M230" s="146">
        <f t="shared" si="83"/>
        <v>0</v>
      </c>
      <c r="N230" s="143" t="str">
        <f>IF(tuulisähkö_vuosi&lt;='S0b Baseline kasvu'!C230,"tuulisähkö",ostosähkö_nyt)</f>
        <v>jäännössähkö</v>
      </c>
      <c r="O230" s="147">
        <f>INDEX(Muuttujat!$J$5:$J$21,MATCH($C230,Muuttujat!$H$5:$H$21,0),1)</f>
        <v>64.542936272148211</v>
      </c>
      <c r="P230" s="342">
        <f>1-(INDEX(Muuttujat!$O$5:$O$21,MATCH($C230,Muuttujat!$N$5:$N$21,0),1))</f>
        <v>0.92</v>
      </c>
      <c r="Q230" s="342">
        <f>INDEX(Muuttujat!$O$5:$O$21,MATCH($C230,Muuttujat!$N$5:$N$21,0),1)</f>
        <v>0.08</v>
      </c>
      <c r="R230" s="148">
        <f>INDEX(Muuttujat!$P$5:$P$21,MATCH($C230,Muuttujat!$N$5:$N$21,0),1)</f>
        <v>8.3420471452195388E-2</v>
      </c>
      <c r="S230" s="149">
        <f t="shared" si="69"/>
        <v>6.67925244</v>
      </c>
      <c r="T230" s="150">
        <f t="shared" si="70"/>
        <v>1.9175769599999999</v>
      </c>
      <c r="U230" s="150">
        <f t="shared" si="71"/>
        <v>0</v>
      </c>
      <c r="V230" s="150">
        <f>IFERROR(INDEX(Työkonekanta!$J$3:$J$27,MATCH($A230,Työkonekanta!$A$3:$A$24,0),1)*$B230*ef_li_ion_akku/1000/1000/INDEX(Työkonekanta!$K$3:$K$27,MATCH($A230,Työkonekanta!$A$3:$A$24,0)),0)</f>
        <v>0</v>
      </c>
      <c r="W230" s="149">
        <f t="shared" si="84"/>
        <v>26.083807538738405</v>
      </c>
      <c r="X230" s="150">
        <f t="shared" si="85"/>
        <v>0.33998785619999994</v>
      </c>
      <c r="Y230" s="151">
        <f t="shared" si="86"/>
        <v>0.11169527230320701</v>
      </c>
      <c r="Z230" s="152">
        <f t="shared" si="78"/>
        <v>8.5968294000000007</v>
      </c>
      <c r="AA230" s="179">
        <f t="shared" si="79"/>
        <v>26.195502811041614</v>
      </c>
      <c r="AB230" s="179">
        <f t="shared" si="80"/>
        <v>26.535490667241614</v>
      </c>
      <c r="AC230" s="180">
        <f t="shared" si="87"/>
        <v>34.792332211041611</v>
      </c>
      <c r="AD230" s="156">
        <f t="shared" si="81"/>
        <v>35.132320067241615</v>
      </c>
      <c r="AE230" s="146">
        <f>IFERROR(INDEX(Työkonekanta!$L$3:$L$30,MATCH($A230,Työkonekanta!$A$3:$A$30,0),1),0)*AF230</f>
        <v>500000</v>
      </c>
      <c r="AF230" s="146">
        <f>IFERROR(INDEX(Työkonekanta!$N$3:$N$32,MATCH($A230,Työkonekanta!$A$3:$A$32,0),1),0)</f>
        <v>1</v>
      </c>
      <c r="AG230" s="332">
        <f>I230*INDEX(Muuttujat!$U$5:$U$21,MATCH($C230,Muuttujat!$N$5:$N$21,0),1)</f>
        <v>10139.320000000002</v>
      </c>
      <c r="AH230" s="332">
        <f>J230*INDEX(Muuttujat!$T$5:$T$21,MATCH($C230,Muuttujat!$N$5:$N$21,0),1)</f>
        <v>1281.1799416909623</v>
      </c>
      <c r="AI230" s="332">
        <f t="shared" si="72"/>
        <v>214.79860058309043</v>
      </c>
      <c r="AJ230" s="332">
        <f t="shared" si="73"/>
        <v>0</v>
      </c>
      <c r="AK230" s="332">
        <f t="shared" si="82"/>
        <v>11635.298542274053</v>
      </c>
      <c r="AL230" s="332">
        <f t="shared" si="74"/>
        <v>11635.298542274053</v>
      </c>
    </row>
    <row r="231" spans="1:38">
      <c r="A231" s="139">
        <v>19</v>
      </c>
      <c r="B231" s="139">
        <f>IFERROR(INDEX(Työkonekanta!$F$3:$F$27,MATCH('S0b Baseline kasvu'!$A231,Työkonekanta!$A$3:$A$24,0),1),0)</f>
        <v>0</v>
      </c>
      <c r="C231" s="140">
        <v>2026</v>
      </c>
      <c r="D231" s="141" t="str">
        <f>IFERROR(INDEX(Työkonekanta!$D$3:$D$27,MATCH('S0b Baseline kasvu'!$A231,Työkonekanta!$A$3:$A$24,0),1),"undefined")</f>
        <v>pom</v>
      </c>
      <c r="E231" s="145">
        <f>IFERROR(INDEX(Työkonekanta!$G$3:$G$27,MATCH($A231,Työkonekanta!$A$3:$A$24,0),1)*INDEX(Työkonekanta!$H$3:$H$27,MATCH($A231,Työkonekanta!$A$3:$A$24,0),1)*(1+s0b_kasvu*($C231-2019))*$B231,0)</f>
        <v>0</v>
      </c>
      <c r="F231" s="145">
        <f t="shared" si="66"/>
        <v>0</v>
      </c>
      <c r="G231" s="145">
        <f t="shared" si="75"/>
        <v>0</v>
      </c>
      <c r="H231" s="145">
        <f t="shared" si="76"/>
        <v>0</v>
      </c>
      <c r="I231" s="145">
        <f t="shared" si="67"/>
        <v>0</v>
      </c>
      <c r="J231" s="145">
        <f t="shared" si="68"/>
        <v>0</v>
      </c>
      <c r="K231" s="142" t="str">
        <f t="shared" si="77"/>
        <v>l</v>
      </c>
      <c r="L231" s="146">
        <f>IFERROR(INDEX(Työkonekanta!$I$3:$I$27,MATCH('S0b Baseline kasvu'!$A231,Työkonekanta!$A$3:$A$24,0),1)*(I231+J231)*f_adblue,0)</f>
        <v>0</v>
      </c>
      <c r="M231" s="146">
        <f t="shared" si="83"/>
        <v>0</v>
      </c>
      <c r="N231" s="143" t="str">
        <f>IF(tuulisähkö_vuosi&lt;='S0b Baseline kasvu'!C231,"tuulisähkö",ostosähkö_nyt)</f>
        <v>jäännössähkö</v>
      </c>
      <c r="O231" s="147">
        <f>INDEX(Muuttujat!$J$5:$J$21,MATCH($C231,Muuttujat!$H$5:$H$21,0),1)</f>
        <v>64.542936272148211</v>
      </c>
      <c r="P231" s="342">
        <f>1-(INDEX(Muuttujat!$O$5:$O$21,MATCH($C231,Muuttujat!$N$5:$N$21,0),1))</f>
        <v>0.92</v>
      </c>
      <c r="Q231" s="342">
        <f>INDEX(Muuttujat!$O$5:$O$21,MATCH($C231,Muuttujat!$N$5:$N$21,0),1)</f>
        <v>0.08</v>
      </c>
      <c r="R231" s="148">
        <f>INDEX(Muuttujat!$P$5:$P$21,MATCH($C231,Muuttujat!$N$5:$N$21,0),1)</f>
        <v>8.3420471452195388E-2</v>
      </c>
      <c r="S231" s="149">
        <f t="shared" si="69"/>
        <v>0</v>
      </c>
      <c r="T231" s="150">
        <f t="shared" si="70"/>
        <v>0</v>
      </c>
      <c r="U231" s="150">
        <f t="shared" si="71"/>
        <v>0</v>
      </c>
      <c r="V231" s="150">
        <f>IFERROR(INDEX(Työkonekanta!$J$3:$J$27,MATCH($A231,Työkonekanta!$A$3:$A$24,0),1)*$B231*ef_li_ion_akku/1000/1000/INDEX(Työkonekanta!$K$3:$K$27,MATCH($A231,Työkonekanta!$A$3:$A$24,0)),0)</f>
        <v>0</v>
      </c>
      <c r="W231" s="149">
        <f t="shared" si="84"/>
        <v>0</v>
      </c>
      <c r="X231" s="150">
        <f t="shared" si="85"/>
        <v>0</v>
      </c>
      <c r="Y231" s="151">
        <f t="shared" si="86"/>
        <v>0</v>
      </c>
      <c r="Z231" s="152">
        <f t="shared" si="78"/>
        <v>0</v>
      </c>
      <c r="AA231" s="179">
        <f t="shared" si="79"/>
        <v>0</v>
      </c>
      <c r="AB231" s="179">
        <f t="shared" si="80"/>
        <v>0</v>
      </c>
      <c r="AC231" s="180">
        <f t="shared" si="87"/>
        <v>0</v>
      </c>
      <c r="AD231" s="156">
        <f t="shared" si="81"/>
        <v>0</v>
      </c>
      <c r="AE231" s="146">
        <f>IFERROR(INDEX(Työkonekanta!$L$3:$L$30,MATCH($A231,Työkonekanta!$A$3:$A$30,0),1),0)*AF231</f>
        <v>0</v>
      </c>
      <c r="AF231" s="146">
        <f>IFERROR(INDEX(Työkonekanta!$N$3:$N$32,MATCH($A231,Työkonekanta!$A$3:$A$32,0),1),0)</f>
        <v>0</v>
      </c>
      <c r="AG231" s="332">
        <f>I231*INDEX(Muuttujat!$U$5:$U$21,MATCH($C231,Muuttujat!$N$5:$N$21,0),1)</f>
        <v>0</v>
      </c>
      <c r="AH231" s="332">
        <f>J231*INDEX(Muuttujat!$T$5:$T$21,MATCH($C231,Muuttujat!$N$5:$N$21,0),1)</f>
        <v>0</v>
      </c>
      <c r="AI231" s="332">
        <f t="shared" si="72"/>
        <v>0</v>
      </c>
      <c r="AJ231" s="332">
        <f t="shared" si="73"/>
        <v>0</v>
      </c>
      <c r="AK231" s="332">
        <f t="shared" si="82"/>
        <v>0</v>
      </c>
      <c r="AL231" s="332">
        <f t="shared" si="74"/>
        <v>0</v>
      </c>
    </row>
    <row r="232" spans="1:38">
      <c r="A232" s="139">
        <v>20</v>
      </c>
      <c r="B232" s="139">
        <f>IFERROR(INDEX(Työkonekanta!$F$3:$F$27,MATCH('S0b Baseline kasvu'!$A232,Työkonekanta!$A$3:$A$24,0),1),0)</f>
        <v>0</v>
      </c>
      <c r="C232" s="140">
        <v>2026</v>
      </c>
      <c r="D232" s="141" t="str">
        <f>IFERROR(INDEX(Työkonekanta!$D$3:$D$27,MATCH('S0b Baseline kasvu'!$A232,Työkonekanta!$A$3:$A$24,0),1),"undefined")</f>
        <v>pom</v>
      </c>
      <c r="E232" s="145">
        <f>IFERROR(INDEX(Työkonekanta!$G$3:$G$27,MATCH($A232,Työkonekanta!$A$3:$A$24,0),1)*INDEX(Työkonekanta!$H$3:$H$27,MATCH($A232,Työkonekanta!$A$3:$A$24,0),1)*(1+s0b_kasvu*($C232-2019))*$B232,0)</f>
        <v>0</v>
      </c>
      <c r="F232" s="145">
        <f t="shared" si="66"/>
        <v>0</v>
      </c>
      <c r="G232" s="145">
        <f t="shared" si="75"/>
        <v>0</v>
      </c>
      <c r="H232" s="145">
        <f t="shared" si="76"/>
        <v>0</v>
      </c>
      <c r="I232" s="145">
        <f t="shared" si="67"/>
        <v>0</v>
      </c>
      <c r="J232" s="145">
        <f t="shared" si="68"/>
        <v>0</v>
      </c>
      <c r="K232" s="142" t="str">
        <f t="shared" si="77"/>
        <v>l</v>
      </c>
      <c r="L232" s="146">
        <f>IFERROR(INDEX(Työkonekanta!$I$3:$I$27,MATCH('S0b Baseline kasvu'!$A232,Työkonekanta!$A$3:$A$24,0),1)*(I232+J232)*f_adblue,0)</f>
        <v>0</v>
      </c>
      <c r="M232" s="146">
        <f t="shared" si="83"/>
        <v>0</v>
      </c>
      <c r="N232" s="143" t="str">
        <f>IF(tuulisähkö_vuosi&lt;='S0b Baseline kasvu'!C232,"tuulisähkö",ostosähkö_nyt)</f>
        <v>jäännössähkö</v>
      </c>
      <c r="O232" s="147">
        <f>INDEX(Muuttujat!$J$5:$J$21,MATCH($C232,Muuttujat!$H$5:$H$21,0),1)</f>
        <v>64.542936272148211</v>
      </c>
      <c r="P232" s="342">
        <f>1-(INDEX(Muuttujat!$O$5:$O$21,MATCH($C232,Muuttujat!$N$5:$N$21,0),1))</f>
        <v>0.92</v>
      </c>
      <c r="Q232" s="342">
        <f>INDEX(Muuttujat!$O$5:$O$21,MATCH($C232,Muuttujat!$N$5:$N$21,0),1)</f>
        <v>0.08</v>
      </c>
      <c r="R232" s="148">
        <f>INDEX(Muuttujat!$P$5:$P$21,MATCH($C232,Muuttujat!$N$5:$N$21,0),1)</f>
        <v>8.3420471452195388E-2</v>
      </c>
      <c r="S232" s="149">
        <f t="shared" si="69"/>
        <v>0</v>
      </c>
      <c r="T232" s="150">
        <f t="shared" si="70"/>
        <v>0</v>
      </c>
      <c r="U232" s="150">
        <f t="shared" si="71"/>
        <v>0</v>
      </c>
      <c r="V232" s="150">
        <f>IFERROR(INDEX(Työkonekanta!$J$3:$J$27,MATCH($A232,Työkonekanta!$A$3:$A$24,0),1)*$B232*ef_li_ion_akku/1000/1000/INDEX(Työkonekanta!$K$3:$K$27,MATCH($A232,Työkonekanta!$A$3:$A$24,0)),0)</f>
        <v>0</v>
      </c>
      <c r="W232" s="149">
        <f t="shared" si="84"/>
        <v>0</v>
      </c>
      <c r="X232" s="150">
        <f t="shared" si="85"/>
        <v>0</v>
      </c>
      <c r="Y232" s="151">
        <f t="shared" si="86"/>
        <v>0</v>
      </c>
      <c r="Z232" s="152">
        <f t="shared" si="78"/>
        <v>0</v>
      </c>
      <c r="AA232" s="179">
        <f t="shared" si="79"/>
        <v>0</v>
      </c>
      <c r="AB232" s="179">
        <f t="shared" si="80"/>
        <v>0</v>
      </c>
      <c r="AC232" s="180">
        <f t="shared" si="87"/>
        <v>0</v>
      </c>
      <c r="AD232" s="156">
        <f t="shared" si="81"/>
        <v>0</v>
      </c>
      <c r="AE232" s="146">
        <f>IFERROR(INDEX(Työkonekanta!$L$3:$L$30,MATCH($A232,Työkonekanta!$A$3:$A$30,0),1),0)*AF232</f>
        <v>0</v>
      </c>
      <c r="AF232" s="146">
        <f>IFERROR(INDEX(Työkonekanta!$N$3:$N$32,MATCH($A232,Työkonekanta!$A$3:$A$32,0),1),0)</f>
        <v>0</v>
      </c>
      <c r="AG232" s="332">
        <f>I232*INDEX(Muuttujat!$U$5:$U$21,MATCH($C232,Muuttujat!$N$5:$N$21,0),1)</f>
        <v>0</v>
      </c>
      <c r="AH232" s="332">
        <f>J232*INDEX(Muuttujat!$T$5:$T$21,MATCH($C232,Muuttujat!$N$5:$N$21,0),1)</f>
        <v>0</v>
      </c>
      <c r="AI232" s="332">
        <f t="shared" si="72"/>
        <v>0</v>
      </c>
      <c r="AJ232" s="332">
        <f t="shared" si="73"/>
        <v>0</v>
      </c>
      <c r="AK232" s="332">
        <f t="shared" si="82"/>
        <v>0</v>
      </c>
      <c r="AL232" s="332">
        <f t="shared" si="74"/>
        <v>0</v>
      </c>
    </row>
    <row r="233" spans="1:38">
      <c r="A233" s="139">
        <v>21</v>
      </c>
      <c r="B233" s="139">
        <f>IFERROR(INDEX(Työkonekanta!$F$3:$F$27,MATCH('S0b Baseline kasvu'!$A233,Työkonekanta!$A$3:$A$24,0),1),0)</f>
        <v>35</v>
      </c>
      <c r="C233" s="140">
        <v>2026</v>
      </c>
      <c r="D233" s="141" t="str">
        <f>IFERROR(INDEX(Työkonekanta!$D$3:$D$27,MATCH('S0b Baseline kasvu'!$A233,Työkonekanta!$A$3:$A$24,0),1),"undefined")</f>
        <v>sähkö</v>
      </c>
      <c r="E233" s="145">
        <f>IFERROR(INDEX(Työkonekanta!$G$3:$G$27,MATCH($A233,Työkonekanta!$A$3:$A$24,0),1)*INDEX(Työkonekanta!$H$3:$H$27,MATCH($A233,Työkonekanta!$A$3:$A$24,0),1)*(1+s0b_kasvu*($C233-2019))*$B233,0)</f>
        <v>435703.00925925933</v>
      </c>
      <c r="F233" s="145">
        <f t="shared" si="66"/>
        <v>0</v>
      </c>
      <c r="G233" s="145">
        <f t="shared" si="75"/>
        <v>0</v>
      </c>
      <c r="H233" s="145">
        <f t="shared" si="76"/>
        <v>0</v>
      </c>
      <c r="I233" s="145">
        <f t="shared" si="67"/>
        <v>0</v>
      </c>
      <c r="J233" s="145">
        <f t="shared" si="68"/>
        <v>0</v>
      </c>
      <c r="K233" s="142" t="str">
        <f t="shared" si="77"/>
        <v>kWh</v>
      </c>
      <c r="L233" s="146">
        <f>IFERROR(INDEX(Työkonekanta!$I$3:$I$27,MATCH('S0b Baseline kasvu'!$A233,Työkonekanta!$A$3:$A$24,0),1)*(I233+J233)*f_adblue,0)</f>
        <v>0</v>
      </c>
      <c r="M233" s="146">
        <f t="shared" si="83"/>
        <v>1568530.8333333337</v>
      </c>
      <c r="N233" s="143" t="str">
        <f>IF(tuulisähkö_vuosi&lt;='S0b Baseline kasvu'!C233,"tuulisähkö",ostosähkö_nyt)</f>
        <v>jäännössähkö</v>
      </c>
      <c r="O233" s="147">
        <f>INDEX(Muuttujat!$J$5:$J$21,MATCH($C233,Muuttujat!$H$5:$H$21,0),1)</f>
        <v>64.542936272148211</v>
      </c>
      <c r="P233" s="342">
        <f>1-(INDEX(Muuttujat!$O$5:$O$21,MATCH($C233,Muuttujat!$N$5:$N$21,0),1))</f>
        <v>0.92</v>
      </c>
      <c r="Q233" s="342">
        <f>INDEX(Muuttujat!$O$5:$O$21,MATCH($C233,Muuttujat!$N$5:$N$21,0),1)</f>
        <v>0.08</v>
      </c>
      <c r="R233" s="148">
        <f>INDEX(Muuttujat!$P$5:$P$21,MATCH($C233,Muuttujat!$N$5:$N$21,0),1)</f>
        <v>8.3420471452195388E-2</v>
      </c>
      <c r="S233" s="149">
        <f t="shared" si="69"/>
        <v>0</v>
      </c>
      <c r="T233" s="150">
        <f t="shared" si="70"/>
        <v>0</v>
      </c>
      <c r="U233" s="150">
        <f t="shared" si="71"/>
        <v>101.23758561673287</v>
      </c>
      <c r="V233" s="150">
        <f>IFERROR(INDEX(Työkonekanta!$J$3:$J$27,MATCH($A233,Työkonekanta!$A$3:$A$24,0),1)*$B233*ef_li_ion_akku/1000/1000/INDEX(Työkonekanta!$K$3:$K$27,MATCH($A233,Työkonekanta!$A$3:$A$24,0)),0)</f>
        <v>43.121723076923082</v>
      </c>
      <c r="W233" s="149">
        <f t="shared" si="84"/>
        <v>0</v>
      </c>
      <c r="X233" s="150">
        <f t="shared" si="85"/>
        <v>0</v>
      </c>
      <c r="Y233" s="151">
        <f t="shared" si="86"/>
        <v>0</v>
      </c>
      <c r="Z233" s="152">
        <f t="shared" si="78"/>
        <v>144.35930869365595</v>
      </c>
      <c r="AA233" s="179">
        <f t="shared" si="79"/>
        <v>0</v>
      </c>
      <c r="AB233" s="179">
        <f t="shared" si="80"/>
        <v>0</v>
      </c>
      <c r="AC233" s="180">
        <f t="shared" si="87"/>
        <v>144.35930869365595</v>
      </c>
      <c r="AD233" s="156">
        <f t="shared" si="81"/>
        <v>144.35930869365595</v>
      </c>
      <c r="AE233" s="146">
        <f>IFERROR(INDEX(Työkonekanta!$L$3:$L$30,MATCH($A233,Työkonekanta!$A$3:$A$30,0),1),0)*AF233</f>
        <v>1820000</v>
      </c>
      <c r="AF233" s="146">
        <f>IFERROR(INDEX(Työkonekanta!$N$3:$N$32,MATCH($A233,Työkonekanta!$A$3:$A$32,0),1),0)</f>
        <v>7</v>
      </c>
      <c r="AG233" s="332">
        <f>I233*INDEX(Muuttujat!$U$5:$U$21,MATCH($C233,Muuttujat!$N$5:$N$21,0),1)</f>
        <v>0</v>
      </c>
      <c r="AH233" s="332">
        <f>J233*INDEX(Muuttujat!$T$5:$T$21,MATCH($C233,Muuttujat!$N$5:$N$21,0),1)</f>
        <v>0</v>
      </c>
      <c r="AI233" s="332">
        <f t="shared" si="72"/>
        <v>0</v>
      </c>
      <c r="AJ233" s="332">
        <f t="shared" si="73"/>
        <v>38559.716319444451</v>
      </c>
      <c r="AK233" s="332">
        <f t="shared" si="82"/>
        <v>38559.716319444451</v>
      </c>
      <c r="AL233" s="332">
        <f t="shared" si="74"/>
        <v>1101.7061805555556</v>
      </c>
    </row>
    <row r="234" spans="1:38">
      <c r="A234" s="139">
        <v>22</v>
      </c>
      <c r="B234" s="139">
        <f>IFERROR(INDEX(Työkonekanta!$F$3:$F$27,MATCH('S0b Baseline kasvu'!$A234,Työkonekanta!$A$3:$A$24,0),1),0)</f>
        <v>0</v>
      </c>
      <c r="C234" s="140">
        <v>2026</v>
      </c>
      <c r="D234" s="141" t="str">
        <f>IFERROR(INDEX(Työkonekanta!$D$3:$D$27,MATCH('S0b Baseline kasvu'!$A234,Työkonekanta!$A$3:$A$24,0),1),"undefined")</f>
        <v>sähkö</v>
      </c>
      <c r="E234" s="145">
        <f>IFERROR(INDEX(Työkonekanta!$G$3:$G$27,MATCH($A234,Työkonekanta!$A$3:$A$24,0),1)*INDEX(Työkonekanta!$H$3:$H$27,MATCH($A234,Työkonekanta!$A$3:$A$24,0),1)*(1+s0b_kasvu*($C234-2019))*$B234,0)</f>
        <v>0</v>
      </c>
      <c r="F234" s="145">
        <f t="shared" si="66"/>
        <v>0</v>
      </c>
      <c r="G234" s="145">
        <f t="shared" si="75"/>
        <v>0</v>
      </c>
      <c r="H234" s="145">
        <f t="shared" si="76"/>
        <v>0</v>
      </c>
      <c r="I234" s="145">
        <f t="shared" si="67"/>
        <v>0</v>
      </c>
      <c r="J234" s="145">
        <f t="shared" si="68"/>
        <v>0</v>
      </c>
      <c r="K234" s="142" t="str">
        <f t="shared" si="77"/>
        <v>kWh</v>
      </c>
      <c r="L234" s="146">
        <f>IFERROR(INDEX(Työkonekanta!$I$3:$I$27,MATCH('S0b Baseline kasvu'!$A234,Työkonekanta!$A$3:$A$24,0),1)*(I234+J234)*f_adblue,0)</f>
        <v>0</v>
      </c>
      <c r="M234" s="146">
        <f t="shared" si="83"/>
        <v>0</v>
      </c>
      <c r="N234" s="143" t="str">
        <f>IF(tuulisähkö_vuosi&lt;='S0b Baseline kasvu'!C234,"tuulisähkö",ostosähkö_nyt)</f>
        <v>jäännössähkö</v>
      </c>
      <c r="O234" s="147">
        <f>INDEX(Muuttujat!$J$5:$J$21,MATCH($C234,Muuttujat!$H$5:$H$21,0),1)</f>
        <v>64.542936272148211</v>
      </c>
      <c r="P234" s="342">
        <f>1-(INDEX(Muuttujat!$O$5:$O$21,MATCH($C234,Muuttujat!$N$5:$N$21,0),1))</f>
        <v>0.92</v>
      </c>
      <c r="Q234" s="342">
        <f>INDEX(Muuttujat!$O$5:$O$21,MATCH($C234,Muuttujat!$N$5:$N$21,0),1)</f>
        <v>0.08</v>
      </c>
      <c r="R234" s="148">
        <f>INDEX(Muuttujat!$P$5:$P$21,MATCH($C234,Muuttujat!$N$5:$N$21,0),1)</f>
        <v>8.3420471452195388E-2</v>
      </c>
      <c r="S234" s="149">
        <f t="shared" si="69"/>
        <v>0</v>
      </c>
      <c r="T234" s="150">
        <f t="shared" si="70"/>
        <v>0</v>
      </c>
      <c r="U234" s="150">
        <f t="shared" si="71"/>
        <v>0</v>
      </c>
      <c r="V234" s="150">
        <f>IFERROR(INDEX(Työkonekanta!$J$3:$J$27,MATCH($A234,Työkonekanta!$A$3:$A$24,0),1)*$B234*ef_li_ion_akku/1000/1000/INDEX(Työkonekanta!$K$3:$K$27,MATCH($A234,Työkonekanta!$A$3:$A$24,0)),0)</f>
        <v>0</v>
      </c>
      <c r="W234" s="149">
        <f t="shared" si="84"/>
        <v>0</v>
      </c>
      <c r="X234" s="150">
        <f t="shared" si="85"/>
        <v>0</v>
      </c>
      <c r="Y234" s="151">
        <f t="shared" si="86"/>
        <v>0</v>
      </c>
      <c r="Z234" s="152">
        <f t="shared" si="78"/>
        <v>0</v>
      </c>
      <c r="AA234" s="179">
        <f t="shared" si="79"/>
        <v>0</v>
      </c>
      <c r="AB234" s="179">
        <f t="shared" si="80"/>
        <v>0</v>
      </c>
      <c r="AC234" s="180">
        <f t="shared" si="87"/>
        <v>0</v>
      </c>
      <c r="AD234" s="156">
        <f t="shared" si="81"/>
        <v>0</v>
      </c>
      <c r="AE234" s="146">
        <f>IFERROR(INDEX(Työkonekanta!$L$3:$L$30,MATCH($A234,Työkonekanta!$A$3:$A$30,0),1),0)*AF234</f>
        <v>0</v>
      </c>
      <c r="AF234" s="146">
        <f>IFERROR(INDEX(Työkonekanta!$N$3:$N$32,MATCH($A234,Työkonekanta!$A$3:$A$32,0),1),0)</f>
        <v>0</v>
      </c>
      <c r="AG234" s="332">
        <f>I234*INDEX(Muuttujat!$U$5:$U$21,MATCH($C234,Muuttujat!$N$5:$N$21,0),1)</f>
        <v>0</v>
      </c>
      <c r="AH234" s="332">
        <f>J234*INDEX(Muuttujat!$T$5:$T$21,MATCH($C234,Muuttujat!$N$5:$N$21,0),1)</f>
        <v>0</v>
      </c>
      <c r="AI234" s="332">
        <f t="shared" si="72"/>
        <v>0</v>
      </c>
      <c r="AJ234" s="332">
        <f t="shared" si="73"/>
        <v>0</v>
      </c>
      <c r="AK234" s="332">
        <f t="shared" si="82"/>
        <v>0</v>
      </c>
      <c r="AL234" s="332">
        <f t="shared" si="74"/>
        <v>0</v>
      </c>
    </row>
    <row r="235" spans="1:38">
      <c r="A235" s="139">
        <v>23</v>
      </c>
      <c r="B235" s="139">
        <f>IFERROR(INDEX(Työkonekanta!$F$3:$F$27,MATCH('S0b Baseline kasvu'!$A235,Työkonekanta!$A$3:$A$24,0),1),0)</f>
        <v>0</v>
      </c>
      <c r="C235" s="140">
        <v>2026</v>
      </c>
      <c r="D235" s="141" t="str">
        <f>IFERROR(INDEX(Työkonekanta!$D$3:$D$27,MATCH('S0b Baseline kasvu'!$A235,Työkonekanta!$A$3:$A$24,0),1),"undefined")</f>
        <v>undefined</v>
      </c>
      <c r="E235" s="145">
        <f>IFERROR(INDEX(Työkonekanta!$G$3:$G$27,MATCH($A235,Työkonekanta!$A$3:$A$24,0),1)*INDEX(Työkonekanta!$H$3:$H$27,MATCH($A235,Työkonekanta!$A$3:$A$24,0),1)*(1+s0b_kasvu*($C235-2019))*$B235,0)</f>
        <v>0</v>
      </c>
      <c r="F235" s="145">
        <f t="shared" si="66"/>
        <v>0</v>
      </c>
      <c r="G235" s="145">
        <f t="shared" si="75"/>
        <v>0</v>
      </c>
      <c r="H235" s="145">
        <f t="shared" si="76"/>
        <v>0</v>
      </c>
      <c r="I235" s="145">
        <f t="shared" si="67"/>
        <v>0</v>
      </c>
      <c r="J235" s="145">
        <f t="shared" si="68"/>
        <v>0</v>
      </c>
      <c r="K235" s="142" t="str">
        <f t="shared" si="77"/>
        <v>undefined</v>
      </c>
      <c r="L235" s="146">
        <f>IFERROR(INDEX(Työkonekanta!$I$3:$I$27,MATCH('S0b Baseline kasvu'!$A235,Työkonekanta!$A$3:$A$24,0),1)*(I235+J235)*f_adblue,0)</f>
        <v>0</v>
      </c>
      <c r="M235" s="146">
        <f t="shared" si="83"/>
        <v>0</v>
      </c>
      <c r="N235" s="143" t="str">
        <f>IF(tuulisähkö_vuosi&lt;='S0b Baseline kasvu'!C235,"tuulisähkö",ostosähkö_nyt)</f>
        <v>jäännössähkö</v>
      </c>
      <c r="O235" s="147">
        <f>INDEX(Muuttujat!$J$5:$J$21,MATCH($C235,Muuttujat!$H$5:$H$21,0),1)</f>
        <v>64.542936272148211</v>
      </c>
      <c r="P235" s="342">
        <f>1-(INDEX(Muuttujat!$O$5:$O$21,MATCH($C235,Muuttujat!$N$5:$N$21,0),1))</f>
        <v>0.92</v>
      </c>
      <c r="Q235" s="342">
        <f>INDEX(Muuttujat!$O$5:$O$21,MATCH($C235,Muuttujat!$N$5:$N$21,0),1)</f>
        <v>0.08</v>
      </c>
      <c r="R235" s="148">
        <f>INDEX(Muuttujat!$P$5:$P$21,MATCH($C235,Muuttujat!$N$5:$N$21,0),1)</f>
        <v>8.3420471452195388E-2</v>
      </c>
      <c r="S235" s="149">
        <f t="shared" si="69"/>
        <v>0</v>
      </c>
      <c r="T235" s="150">
        <f t="shared" si="70"/>
        <v>0</v>
      </c>
      <c r="U235" s="150">
        <f t="shared" si="71"/>
        <v>0</v>
      </c>
      <c r="V235" s="150">
        <f>IFERROR(INDEX(Työkonekanta!$J$3:$J$27,MATCH($A235,Työkonekanta!$A$3:$A$24,0),1)*$B235*ef_li_ion_akku/1000/1000/INDEX(Työkonekanta!$K$3:$K$27,MATCH($A235,Työkonekanta!$A$3:$A$24,0)),0)</f>
        <v>0</v>
      </c>
      <c r="W235" s="149">
        <f t="shared" si="84"/>
        <v>0</v>
      </c>
      <c r="X235" s="150">
        <f t="shared" si="85"/>
        <v>0</v>
      </c>
      <c r="Y235" s="151">
        <f t="shared" si="86"/>
        <v>0</v>
      </c>
      <c r="Z235" s="152">
        <f t="shared" si="78"/>
        <v>0</v>
      </c>
      <c r="AA235" s="179">
        <f t="shared" si="79"/>
        <v>0</v>
      </c>
      <c r="AB235" s="179">
        <f t="shared" si="80"/>
        <v>0</v>
      </c>
      <c r="AC235" s="180">
        <f t="shared" si="87"/>
        <v>0</v>
      </c>
      <c r="AD235" s="156">
        <f t="shared" si="81"/>
        <v>0</v>
      </c>
      <c r="AE235" s="146">
        <f>IFERROR(INDEX(Työkonekanta!$L$3:$L$30,MATCH($A235,Työkonekanta!$A$3:$A$30,0),1),0)*AF235</f>
        <v>0</v>
      </c>
      <c r="AF235" s="146">
        <f>IFERROR(INDEX(Työkonekanta!$N$3:$N$32,MATCH($A235,Työkonekanta!$A$3:$A$32,0),1),0)</f>
        <v>0</v>
      </c>
      <c r="AG235" s="332">
        <f>I235*INDEX(Muuttujat!$U$5:$U$21,MATCH($C235,Muuttujat!$N$5:$N$21,0),1)</f>
        <v>0</v>
      </c>
      <c r="AH235" s="332">
        <f>J235*INDEX(Muuttujat!$T$5:$T$21,MATCH($C235,Muuttujat!$N$5:$N$21,0),1)</f>
        <v>0</v>
      </c>
      <c r="AI235" s="332">
        <f t="shared" si="72"/>
        <v>0</v>
      </c>
      <c r="AJ235" s="332">
        <f t="shared" si="73"/>
        <v>0</v>
      </c>
      <c r="AK235" s="332">
        <f t="shared" si="82"/>
        <v>0</v>
      </c>
      <c r="AL235" s="332">
        <f t="shared" si="74"/>
        <v>0</v>
      </c>
    </row>
    <row r="236" spans="1:38">
      <c r="A236" s="139">
        <v>24</v>
      </c>
      <c r="B236" s="139">
        <f>IFERROR(INDEX(Työkonekanta!$F$3:$F$27,MATCH('S0b Baseline kasvu'!$A236,Työkonekanta!$A$3:$A$24,0),1),0)</f>
        <v>0</v>
      </c>
      <c r="C236" s="140">
        <v>2026</v>
      </c>
      <c r="D236" s="141" t="str">
        <f>IFERROR(INDEX(Työkonekanta!$D$3:$D$27,MATCH('S0b Baseline kasvu'!$A236,Työkonekanta!$A$3:$A$24,0),1),"undefined")</f>
        <v>undefined</v>
      </c>
      <c r="E236" s="145">
        <f>IFERROR(INDEX(Työkonekanta!$G$3:$G$27,MATCH($A236,Työkonekanta!$A$3:$A$24,0),1)*INDEX(Työkonekanta!$H$3:$H$27,MATCH($A236,Työkonekanta!$A$3:$A$24,0),1)*(1+s0b_kasvu*($C236-2019))*$B236,0)</f>
        <v>0</v>
      </c>
      <c r="F236" s="145">
        <f t="shared" si="66"/>
        <v>0</v>
      </c>
      <c r="G236" s="145">
        <f t="shared" si="75"/>
        <v>0</v>
      </c>
      <c r="H236" s="145">
        <f t="shared" si="76"/>
        <v>0</v>
      </c>
      <c r="I236" s="145">
        <f t="shared" si="67"/>
        <v>0</v>
      </c>
      <c r="J236" s="145">
        <f t="shared" si="68"/>
        <v>0</v>
      </c>
      <c r="K236" s="142" t="str">
        <f t="shared" si="77"/>
        <v>undefined</v>
      </c>
      <c r="L236" s="146">
        <f>IFERROR(INDEX(Työkonekanta!$I$3:$I$27,MATCH('S0b Baseline kasvu'!$A236,Työkonekanta!$A$3:$A$24,0),1)*(I236+J236)*f_adblue,0)</f>
        <v>0</v>
      </c>
      <c r="M236" s="146">
        <f t="shared" si="83"/>
        <v>0</v>
      </c>
      <c r="N236" s="143" t="str">
        <f>IF(tuulisähkö_vuosi&lt;='S0b Baseline kasvu'!C236,"tuulisähkö",ostosähkö_nyt)</f>
        <v>jäännössähkö</v>
      </c>
      <c r="O236" s="147">
        <f>INDEX(Muuttujat!$J$5:$J$21,MATCH($C236,Muuttujat!$H$5:$H$21,0),1)</f>
        <v>64.542936272148211</v>
      </c>
      <c r="P236" s="342">
        <f>1-(INDEX(Muuttujat!$O$5:$O$21,MATCH($C236,Muuttujat!$N$5:$N$21,0),1))</f>
        <v>0.92</v>
      </c>
      <c r="Q236" s="342">
        <f>INDEX(Muuttujat!$O$5:$O$21,MATCH($C236,Muuttujat!$N$5:$N$21,0),1)</f>
        <v>0.08</v>
      </c>
      <c r="R236" s="148">
        <f>INDEX(Muuttujat!$P$5:$P$21,MATCH($C236,Muuttujat!$N$5:$N$21,0),1)</f>
        <v>8.3420471452195388E-2</v>
      </c>
      <c r="S236" s="149">
        <f t="shared" si="69"/>
        <v>0</v>
      </c>
      <c r="T236" s="150">
        <f t="shared" si="70"/>
        <v>0</v>
      </c>
      <c r="U236" s="150">
        <f t="shared" si="71"/>
        <v>0</v>
      </c>
      <c r="V236" s="150">
        <f>IFERROR(INDEX(Työkonekanta!$J$3:$J$27,MATCH($A236,Työkonekanta!$A$3:$A$24,0),1)*$B236*ef_li_ion_akku/1000/1000/INDEX(Työkonekanta!$K$3:$K$27,MATCH($A236,Työkonekanta!$A$3:$A$24,0)),0)</f>
        <v>0</v>
      </c>
      <c r="W236" s="149">
        <f t="shared" si="84"/>
        <v>0</v>
      </c>
      <c r="X236" s="150">
        <f t="shared" si="85"/>
        <v>0</v>
      </c>
      <c r="Y236" s="151">
        <f t="shared" si="86"/>
        <v>0</v>
      </c>
      <c r="Z236" s="152">
        <f t="shared" si="78"/>
        <v>0</v>
      </c>
      <c r="AA236" s="179">
        <f t="shared" si="79"/>
        <v>0</v>
      </c>
      <c r="AB236" s="179">
        <f t="shared" si="80"/>
        <v>0</v>
      </c>
      <c r="AC236" s="180">
        <f t="shared" si="87"/>
        <v>0</v>
      </c>
      <c r="AD236" s="156">
        <f t="shared" si="81"/>
        <v>0</v>
      </c>
      <c r="AE236" s="146">
        <f>IFERROR(INDEX(Työkonekanta!$L$3:$L$30,MATCH($A236,Työkonekanta!$A$3:$A$30,0),1),0)*AF236</f>
        <v>0</v>
      </c>
      <c r="AF236" s="146">
        <f>IFERROR(INDEX(Työkonekanta!$N$3:$N$32,MATCH($A236,Työkonekanta!$A$3:$A$32,0),1),0)</f>
        <v>0</v>
      </c>
      <c r="AG236" s="332">
        <f>I236*INDEX(Muuttujat!$U$5:$U$21,MATCH($C236,Muuttujat!$N$5:$N$21,0),1)</f>
        <v>0</v>
      </c>
      <c r="AH236" s="332">
        <f>J236*INDEX(Muuttujat!$T$5:$T$21,MATCH($C236,Muuttujat!$N$5:$N$21,0),1)</f>
        <v>0</v>
      </c>
      <c r="AI236" s="332">
        <f t="shared" si="72"/>
        <v>0</v>
      </c>
      <c r="AJ236" s="332">
        <f t="shared" si="73"/>
        <v>0</v>
      </c>
      <c r="AK236" s="332">
        <f t="shared" si="82"/>
        <v>0</v>
      </c>
      <c r="AL236" s="332">
        <f t="shared" si="74"/>
        <v>0</v>
      </c>
    </row>
    <row r="237" spans="1:38">
      <c r="A237" s="139">
        <v>25</v>
      </c>
      <c r="B237" s="139">
        <f>IFERROR(INDEX(Työkonekanta!$F$3:$F$27,MATCH('S0b Baseline kasvu'!$A237,Työkonekanta!$A$3:$A$24,0),1),0)</f>
        <v>0</v>
      </c>
      <c r="C237" s="140">
        <v>2026</v>
      </c>
      <c r="D237" s="141" t="str">
        <f>IFERROR(INDEX(Työkonekanta!$D$3:$D$27,MATCH('S0b Baseline kasvu'!$A237,Työkonekanta!$A$3:$A$24,0),1),"undefined")</f>
        <v>undefined</v>
      </c>
      <c r="E237" s="145">
        <f>IFERROR(INDEX(Työkonekanta!$G$3:$G$27,MATCH($A237,Työkonekanta!$A$3:$A$24,0),1)*INDEX(Työkonekanta!$H$3:$H$27,MATCH($A237,Työkonekanta!$A$3:$A$24,0),1)*(1+s0b_kasvu*($C237-2019))*$B237,0)</f>
        <v>0</v>
      </c>
      <c r="F237" s="145">
        <f t="shared" si="66"/>
        <v>0</v>
      </c>
      <c r="G237" s="145">
        <f t="shared" si="75"/>
        <v>0</v>
      </c>
      <c r="H237" s="145">
        <f t="shared" si="76"/>
        <v>0</v>
      </c>
      <c r="I237" s="145">
        <f t="shared" si="67"/>
        <v>0</v>
      </c>
      <c r="J237" s="145">
        <f t="shared" si="68"/>
        <v>0</v>
      </c>
      <c r="K237" s="142" t="str">
        <f t="shared" si="77"/>
        <v>undefined</v>
      </c>
      <c r="L237" s="146">
        <f>IFERROR(INDEX(Työkonekanta!$I$3:$I$27,MATCH('S0b Baseline kasvu'!$A237,Työkonekanta!$A$3:$A$24,0),1)*(I237+J237)*f_adblue,0)</f>
        <v>0</v>
      </c>
      <c r="M237" s="146">
        <f t="shared" si="83"/>
        <v>0</v>
      </c>
      <c r="N237" s="143" t="str">
        <f>IF(tuulisähkö_vuosi&lt;='S0b Baseline kasvu'!C237,"tuulisähkö",ostosähkö_nyt)</f>
        <v>jäännössähkö</v>
      </c>
      <c r="O237" s="147">
        <f>INDEX(Muuttujat!$J$5:$J$21,MATCH($C237,Muuttujat!$H$5:$H$21,0),1)</f>
        <v>64.542936272148211</v>
      </c>
      <c r="P237" s="342">
        <f>1-(INDEX(Muuttujat!$O$5:$O$21,MATCH($C237,Muuttujat!$N$5:$N$21,0),1))</f>
        <v>0.92</v>
      </c>
      <c r="Q237" s="342">
        <f>INDEX(Muuttujat!$O$5:$O$21,MATCH($C237,Muuttujat!$N$5:$N$21,0),1)</f>
        <v>0.08</v>
      </c>
      <c r="R237" s="148">
        <f>INDEX(Muuttujat!$P$5:$P$21,MATCH($C237,Muuttujat!$N$5:$N$21,0),1)</f>
        <v>8.3420471452195388E-2</v>
      </c>
      <c r="S237" s="149">
        <f t="shared" si="69"/>
        <v>0</v>
      </c>
      <c r="T237" s="150">
        <f t="shared" si="70"/>
        <v>0</v>
      </c>
      <c r="U237" s="150">
        <f t="shared" si="71"/>
        <v>0</v>
      </c>
      <c r="V237" s="150">
        <f>IFERROR(INDEX(Työkonekanta!$J$3:$J$27,MATCH($A237,Työkonekanta!$A$3:$A$24,0),1)*$B237*ef_li_ion_akku/1000/1000/INDEX(Työkonekanta!$K$3:$K$27,MATCH($A237,Työkonekanta!$A$3:$A$24,0)),0)</f>
        <v>0</v>
      </c>
      <c r="W237" s="149">
        <f t="shared" si="84"/>
        <v>0</v>
      </c>
      <c r="X237" s="150">
        <f t="shared" si="85"/>
        <v>0</v>
      </c>
      <c r="Y237" s="151">
        <f t="shared" si="86"/>
        <v>0</v>
      </c>
      <c r="Z237" s="152">
        <f t="shared" si="78"/>
        <v>0</v>
      </c>
      <c r="AA237" s="179">
        <f t="shared" si="79"/>
        <v>0</v>
      </c>
      <c r="AB237" s="179">
        <f t="shared" si="80"/>
        <v>0</v>
      </c>
      <c r="AC237" s="180">
        <f t="shared" si="87"/>
        <v>0</v>
      </c>
      <c r="AD237" s="156">
        <f t="shared" si="81"/>
        <v>0</v>
      </c>
      <c r="AE237" s="146">
        <f>IFERROR(INDEX(Työkonekanta!$L$3:$L$30,MATCH($A237,Työkonekanta!$A$3:$A$30,0),1),0)*AF237</f>
        <v>0</v>
      </c>
      <c r="AF237" s="146">
        <f>IFERROR(INDEX(Työkonekanta!$N$3:$N$32,MATCH($A237,Työkonekanta!$A$3:$A$32,0),1),0)</f>
        <v>0</v>
      </c>
      <c r="AG237" s="332">
        <f>I237*INDEX(Muuttujat!$U$5:$U$21,MATCH($C237,Muuttujat!$N$5:$N$21,0),1)</f>
        <v>0</v>
      </c>
      <c r="AH237" s="332">
        <f>J237*INDEX(Muuttujat!$T$5:$T$21,MATCH($C237,Muuttujat!$N$5:$N$21,0),1)</f>
        <v>0</v>
      </c>
      <c r="AI237" s="332">
        <f t="shared" si="72"/>
        <v>0</v>
      </c>
      <c r="AJ237" s="332">
        <f t="shared" si="73"/>
        <v>0</v>
      </c>
      <c r="AK237" s="332">
        <f t="shared" si="82"/>
        <v>0</v>
      </c>
      <c r="AL237" s="332">
        <f t="shared" si="74"/>
        <v>0</v>
      </c>
    </row>
    <row r="238" spans="1:38">
      <c r="A238" s="139">
        <v>26</v>
      </c>
      <c r="B238" s="139">
        <f>IFERROR(INDEX(Työkonekanta!$F$3:$F$27,MATCH('S0b Baseline kasvu'!$A238,Työkonekanta!$A$3:$A$24,0),1),0)</f>
        <v>0</v>
      </c>
      <c r="C238" s="140">
        <v>2026</v>
      </c>
      <c r="D238" s="141" t="str">
        <f>IFERROR(INDEX(Työkonekanta!$D$3:$D$27,MATCH('S0b Baseline kasvu'!$A238,Työkonekanta!$A$3:$A$24,0),1),"undefined")</f>
        <v>undefined</v>
      </c>
      <c r="E238" s="145">
        <f>IFERROR(INDEX(Työkonekanta!$G$3:$G$27,MATCH($A238,Työkonekanta!$A$3:$A$24,0),1)*INDEX(Työkonekanta!$H$3:$H$27,MATCH($A238,Työkonekanta!$A$3:$A$24,0),1)*(1+s0b_kasvu*($C238-2019))*$B238,0)</f>
        <v>0</v>
      </c>
      <c r="F238" s="145">
        <f t="shared" si="66"/>
        <v>0</v>
      </c>
      <c r="G238" s="145">
        <f t="shared" si="75"/>
        <v>0</v>
      </c>
      <c r="H238" s="145">
        <f t="shared" si="76"/>
        <v>0</v>
      </c>
      <c r="I238" s="145">
        <f t="shared" si="67"/>
        <v>0</v>
      </c>
      <c r="J238" s="145">
        <f t="shared" si="68"/>
        <v>0</v>
      </c>
      <c r="K238" s="142" t="str">
        <f t="shared" si="77"/>
        <v>undefined</v>
      </c>
      <c r="L238" s="146">
        <f>IFERROR(INDEX(Työkonekanta!$I$3:$I$27,MATCH('S0b Baseline kasvu'!$A238,Työkonekanta!$A$3:$A$24,0),1)*(I238+J238)*f_adblue,0)</f>
        <v>0</v>
      </c>
      <c r="M238" s="146">
        <f t="shared" si="83"/>
        <v>0</v>
      </c>
      <c r="N238" s="143" t="str">
        <f>IF(tuulisähkö_vuosi&lt;='S0b Baseline kasvu'!C238,"tuulisähkö",ostosähkö_nyt)</f>
        <v>jäännössähkö</v>
      </c>
      <c r="O238" s="147">
        <f>INDEX(Muuttujat!$J$5:$J$21,MATCH($C238,Muuttujat!$H$5:$H$21,0),1)</f>
        <v>64.542936272148211</v>
      </c>
      <c r="P238" s="342">
        <f>1-(INDEX(Muuttujat!$O$5:$O$21,MATCH($C238,Muuttujat!$N$5:$N$21,0),1))</f>
        <v>0.92</v>
      </c>
      <c r="Q238" s="342">
        <f>INDEX(Muuttujat!$O$5:$O$21,MATCH($C238,Muuttujat!$N$5:$N$21,0),1)</f>
        <v>0.08</v>
      </c>
      <c r="R238" s="148">
        <f>INDEX(Muuttujat!$P$5:$P$21,MATCH($C238,Muuttujat!$N$5:$N$21,0),1)</f>
        <v>8.3420471452195388E-2</v>
      </c>
      <c r="S238" s="149">
        <f t="shared" si="69"/>
        <v>0</v>
      </c>
      <c r="T238" s="150">
        <f t="shared" si="70"/>
        <v>0</v>
      </c>
      <c r="U238" s="150">
        <f t="shared" si="71"/>
        <v>0</v>
      </c>
      <c r="V238" s="150">
        <f>IFERROR(INDEX(Työkonekanta!$J$3:$J$27,MATCH($A238,Työkonekanta!$A$3:$A$24,0),1)*$B238*ef_li_ion_akku/1000/1000/INDEX(Työkonekanta!$K$3:$K$27,MATCH($A238,Työkonekanta!$A$3:$A$24,0)),0)</f>
        <v>0</v>
      </c>
      <c r="W238" s="149">
        <f t="shared" si="84"/>
        <v>0</v>
      </c>
      <c r="X238" s="150">
        <f t="shared" si="85"/>
        <v>0</v>
      </c>
      <c r="Y238" s="151">
        <f t="shared" si="86"/>
        <v>0</v>
      </c>
      <c r="Z238" s="152">
        <f t="shared" si="78"/>
        <v>0</v>
      </c>
      <c r="AA238" s="179">
        <f t="shared" si="79"/>
        <v>0</v>
      </c>
      <c r="AB238" s="179">
        <f t="shared" si="80"/>
        <v>0</v>
      </c>
      <c r="AC238" s="180">
        <f t="shared" si="87"/>
        <v>0</v>
      </c>
      <c r="AD238" s="156">
        <f t="shared" si="81"/>
        <v>0</v>
      </c>
      <c r="AE238" s="146">
        <f>IFERROR(INDEX(Työkonekanta!$L$3:$L$30,MATCH($A238,Työkonekanta!$A$3:$A$30,0),1),0)*AF238</f>
        <v>0</v>
      </c>
      <c r="AF238" s="146">
        <f>IFERROR(INDEX(Työkonekanta!$N$3:$N$32,MATCH($A238,Työkonekanta!$A$3:$A$32,0),1),0)</f>
        <v>0</v>
      </c>
      <c r="AG238" s="332">
        <f>I238*INDEX(Muuttujat!$U$5:$U$21,MATCH($C238,Muuttujat!$N$5:$N$21,0),1)</f>
        <v>0</v>
      </c>
      <c r="AH238" s="332">
        <f>J238*INDEX(Muuttujat!$T$5:$T$21,MATCH($C238,Muuttujat!$N$5:$N$21,0),1)</f>
        <v>0</v>
      </c>
      <c r="AI238" s="332">
        <f t="shared" si="72"/>
        <v>0</v>
      </c>
      <c r="AJ238" s="332">
        <f t="shared" si="73"/>
        <v>0</v>
      </c>
      <c r="AK238" s="332">
        <f t="shared" si="82"/>
        <v>0</v>
      </c>
      <c r="AL238" s="332">
        <f t="shared" si="74"/>
        <v>0</v>
      </c>
    </row>
    <row r="239" spans="1:38">
      <c r="A239" s="139">
        <v>27</v>
      </c>
      <c r="B239" s="139">
        <f>IFERROR(INDEX(Työkonekanta!$F$3:$F$27,MATCH('S0b Baseline kasvu'!$A239,Työkonekanta!$A$3:$A$24,0),1),0)</f>
        <v>0</v>
      </c>
      <c r="C239" s="140">
        <v>2026</v>
      </c>
      <c r="D239" s="141" t="str">
        <f>IFERROR(INDEX(Työkonekanta!$D$3:$D$27,MATCH('S0b Baseline kasvu'!$A239,Työkonekanta!$A$3:$A$24,0),1),"undefined")</f>
        <v>undefined</v>
      </c>
      <c r="E239" s="145">
        <f>IFERROR(INDEX(Työkonekanta!$G$3:$G$27,MATCH($A239,Työkonekanta!$A$3:$A$24,0),1)*INDEX(Työkonekanta!$H$3:$H$27,MATCH($A239,Työkonekanta!$A$3:$A$24,0),1)*(1+s0b_kasvu*($C239-2019))*$B239,0)</f>
        <v>0</v>
      </c>
      <c r="F239" s="145">
        <f t="shared" si="66"/>
        <v>0</v>
      </c>
      <c r="G239" s="145">
        <f t="shared" si="75"/>
        <v>0</v>
      </c>
      <c r="H239" s="145">
        <f t="shared" si="76"/>
        <v>0</v>
      </c>
      <c r="I239" s="145">
        <f t="shared" si="67"/>
        <v>0</v>
      </c>
      <c r="J239" s="145">
        <f t="shared" si="68"/>
        <v>0</v>
      </c>
      <c r="K239" s="142" t="str">
        <f t="shared" si="77"/>
        <v>undefined</v>
      </c>
      <c r="L239" s="146">
        <f>IFERROR(INDEX(Työkonekanta!$I$3:$I$27,MATCH('S0b Baseline kasvu'!$A239,Työkonekanta!$A$3:$A$24,0),1)*(I239+J239)*f_adblue,0)</f>
        <v>0</v>
      </c>
      <c r="M239" s="146">
        <f t="shared" si="83"/>
        <v>0</v>
      </c>
      <c r="N239" s="143" t="str">
        <f>IF(tuulisähkö_vuosi&lt;='S0b Baseline kasvu'!C239,"tuulisähkö",ostosähkö_nyt)</f>
        <v>jäännössähkö</v>
      </c>
      <c r="O239" s="147">
        <f>INDEX(Muuttujat!$J$5:$J$21,MATCH($C239,Muuttujat!$H$5:$H$21,0),1)</f>
        <v>64.542936272148211</v>
      </c>
      <c r="P239" s="342">
        <f>1-(INDEX(Muuttujat!$O$5:$O$21,MATCH($C239,Muuttujat!$N$5:$N$21,0),1))</f>
        <v>0.92</v>
      </c>
      <c r="Q239" s="342">
        <f>INDEX(Muuttujat!$O$5:$O$21,MATCH($C239,Muuttujat!$N$5:$N$21,0),1)</f>
        <v>0.08</v>
      </c>
      <c r="R239" s="148">
        <f>INDEX(Muuttujat!$P$5:$P$21,MATCH($C239,Muuttujat!$N$5:$N$21,0),1)</f>
        <v>8.3420471452195388E-2</v>
      </c>
      <c r="S239" s="149">
        <f t="shared" si="69"/>
        <v>0</v>
      </c>
      <c r="T239" s="150">
        <f t="shared" si="70"/>
        <v>0</v>
      </c>
      <c r="U239" s="150">
        <f t="shared" si="71"/>
        <v>0</v>
      </c>
      <c r="V239" s="150">
        <f>IFERROR(INDEX(Työkonekanta!$J$3:$J$27,MATCH($A239,Työkonekanta!$A$3:$A$24,0),1)*$B239*ef_li_ion_akku/1000/1000/INDEX(Työkonekanta!$K$3:$K$27,MATCH($A239,Työkonekanta!$A$3:$A$24,0)),0)</f>
        <v>0</v>
      </c>
      <c r="W239" s="149">
        <f t="shared" si="84"/>
        <v>0</v>
      </c>
      <c r="X239" s="150">
        <f t="shared" si="85"/>
        <v>0</v>
      </c>
      <c r="Y239" s="151">
        <f t="shared" si="86"/>
        <v>0</v>
      </c>
      <c r="Z239" s="152">
        <f t="shared" si="78"/>
        <v>0</v>
      </c>
      <c r="AA239" s="179">
        <f t="shared" si="79"/>
        <v>0</v>
      </c>
      <c r="AB239" s="179">
        <f t="shared" si="80"/>
        <v>0</v>
      </c>
      <c r="AC239" s="180">
        <f t="shared" si="87"/>
        <v>0</v>
      </c>
      <c r="AD239" s="156">
        <f t="shared" si="81"/>
        <v>0</v>
      </c>
      <c r="AE239" s="146">
        <f>IFERROR(INDEX(Työkonekanta!$L$3:$L$30,MATCH($A239,Työkonekanta!$A$3:$A$30,0),1),0)*AF239</f>
        <v>0</v>
      </c>
      <c r="AF239" s="146">
        <f>IFERROR(INDEX(Työkonekanta!$N$3:$N$32,MATCH($A239,Työkonekanta!$A$3:$A$32,0),1),0)</f>
        <v>0</v>
      </c>
      <c r="AG239" s="332">
        <f>I239*INDEX(Muuttujat!$U$5:$U$21,MATCH($C239,Muuttujat!$N$5:$N$21,0),1)</f>
        <v>0</v>
      </c>
      <c r="AH239" s="332">
        <f>J239*INDEX(Muuttujat!$T$5:$T$21,MATCH($C239,Muuttujat!$N$5:$N$21,0),1)</f>
        <v>0</v>
      </c>
      <c r="AI239" s="332">
        <f t="shared" si="72"/>
        <v>0</v>
      </c>
      <c r="AJ239" s="332">
        <f t="shared" si="73"/>
        <v>0</v>
      </c>
      <c r="AK239" s="332">
        <f t="shared" si="82"/>
        <v>0</v>
      </c>
      <c r="AL239" s="332">
        <f t="shared" si="74"/>
        <v>0</v>
      </c>
    </row>
    <row r="240" spans="1:38">
      <c r="A240" s="139">
        <v>28</v>
      </c>
      <c r="B240" s="139">
        <f>IFERROR(INDEX(Työkonekanta!$F$3:$F$27,MATCH('S0b Baseline kasvu'!$A240,Työkonekanta!$A$3:$A$24,0),1),0)</f>
        <v>0</v>
      </c>
      <c r="C240" s="140">
        <v>2026</v>
      </c>
      <c r="D240" s="141" t="str">
        <f>IFERROR(INDEX(Työkonekanta!$D$3:$D$27,MATCH('S0b Baseline kasvu'!$A240,Työkonekanta!$A$3:$A$24,0),1),"undefined")</f>
        <v>undefined</v>
      </c>
      <c r="E240" s="145">
        <f>IFERROR(INDEX(Työkonekanta!$G$3:$G$27,MATCH($A240,Työkonekanta!$A$3:$A$24,0),1)*INDEX(Työkonekanta!$H$3:$H$27,MATCH($A240,Työkonekanta!$A$3:$A$24,0),1)*(1+s0b_kasvu*($C240-2019))*$B240,0)</f>
        <v>0</v>
      </c>
      <c r="F240" s="145">
        <f t="shared" si="66"/>
        <v>0</v>
      </c>
      <c r="G240" s="145">
        <f t="shared" si="75"/>
        <v>0</v>
      </c>
      <c r="H240" s="145">
        <f t="shared" si="76"/>
        <v>0</v>
      </c>
      <c r="I240" s="145">
        <f t="shared" si="67"/>
        <v>0</v>
      </c>
      <c r="J240" s="145">
        <f t="shared" si="68"/>
        <v>0</v>
      </c>
      <c r="K240" s="142" t="str">
        <f t="shared" si="77"/>
        <v>undefined</v>
      </c>
      <c r="L240" s="146">
        <f>IFERROR(INDEX(Työkonekanta!$I$3:$I$27,MATCH('S0b Baseline kasvu'!$A240,Työkonekanta!$A$3:$A$24,0),1)*(I240+J240)*f_adblue,0)</f>
        <v>0</v>
      </c>
      <c r="M240" s="146">
        <f t="shared" si="83"/>
        <v>0</v>
      </c>
      <c r="N240" s="143" t="str">
        <f>IF(tuulisähkö_vuosi&lt;='S0b Baseline kasvu'!C240,"tuulisähkö",ostosähkö_nyt)</f>
        <v>jäännössähkö</v>
      </c>
      <c r="O240" s="147">
        <f>INDEX(Muuttujat!$J$5:$J$21,MATCH($C240,Muuttujat!$H$5:$H$21,0),1)</f>
        <v>64.542936272148211</v>
      </c>
      <c r="P240" s="342">
        <f>1-(INDEX(Muuttujat!$O$5:$O$21,MATCH($C240,Muuttujat!$N$5:$N$21,0),1))</f>
        <v>0.92</v>
      </c>
      <c r="Q240" s="342">
        <f>INDEX(Muuttujat!$O$5:$O$21,MATCH($C240,Muuttujat!$N$5:$N$21,0),1)</f>
        <v>0.08</v>
      </c>
      <c r="R240" s="148">
        <f>INDEX(Muuttujat!$P$5:$P$21,MATCH($C240,Muuttujat!$N$5:$N$21,0),1)</f>
        <v>8.3420471452195388E-2</v>
      </c>
      <c r="S240" s="149">
        <f t="shared" si="69"/>
        <v>0</v>
      </c>
      <c r="T240" s="150">
        <f t="shared" si="70"/>
        <v>0</v>
      </c>
      <c r="U240" s="150">
        <f t="shared" si="71"/>
        <v>0</v>
      </c>
      <c r="V240" s="150">
        <f>IFERROR(INDEX(Työkonekanta!$J$3:$J$27,MATCH($A240,Työkonekanta!$A$3:$A$24,0),1)*$B240*ef_li_ion_akku/1000/1000/INDEX(Työkonekanta!$K$3:$K$27,MATCH($A240,Työkonekanta!$A$3:$A$24,0)),0)</f>
        <v>0</v>
      </c>
      <c r="W240" s="149">
        <f t="shared" si="84"/>
        <v>0</v>
      </c>
      <c r="X240" s="150">
        <f t="shared" si="85"/>
        <v>0</v>
      </c>
      <c r="Y240" s="151">
        <f t="shared" si="86"/>
        <v>0</v>
      </c>
      <c r="Z240" s="152">
        <f t="shared" si="78"/>
        <v>0</v>
      </c>
      <c r="AA240" s="179">
        <f t="shared" si="79"/>
        <v>0</v>
      </c>
      <c r="AB240" s="179">
        <f t="shared" si="80"/>
        <v>0</v>
      </c>
      <c r="AC240" s="180">
        <f t="shared" si="87"/>
        <v>0</v>
      </c>
      <c r="AD240" s="156">
        <f t="shared" si="81"/>
        <v>0</v>
      </c>
      <c r="AE240" s="146">
        <f>IFERROR(INDEX(Työkonekanta!$L$3:$L$30,MATCH($A240,Työkonekanta!$A$3:$A$30,0),1),0)*AF240</f>
        <v>0</v>
      </c>
      <c r="AF240" s="146">
        <f>IFERROR(INDEX(Työkonekanta!$N$3:$N$32,MATCH($A240,Työkonekanta!$A$3:$A$32,0),1),0)</f>
        <v>0</v>
      </c>
      <c r="AG240" s="332">
        <f>I240*INDEX(Muuttujat!$U$5:$U$21,MATCH($C240,Muuttujat!$N$5:$N$21,0),1)</f>
        <v>0</v>
      </c>
      <c r="AH240" s="332">
        <f>J240*INDEX(Muuttujat!$T$5:$T$21,MATCH($C240,Muuttujat!$N$5:$N$21,0),1)</f>
        <v>0</v>
      </c>
      <c r="AI240" s="332">
        <f t="shared" si="72"/>
        <v>0</v>
      </c>
      <c r="AJ240" s="332">
        <f t="shared" si="73"/>
        <v>0</v>
      </c>
      <c r="AK240" s="332">
        <f t="shared" si="82"/>
        <v>0</v>
      </c>
      <c r="AL240" s="332">
        <f t="shared" si="74"/>
        <v>0</v>
      </c>
    </row>
    <row r="241" spans="1:38">
      <c r="A241" s="139">
        <v>29</v>
      </c>
      <c r="B241" s="139">
        <f>IFERROR(INDEX(Työkonekanta!$F$3:$F$27,MATCH('S0b Baseline kasvu'!$A241,Työkonekanta!$A$3:$A$24,0),1),0)</f>
        <v>0</v>
      </c>
      <c r="C241" s="140">
        <v>2026</v>
      </c>
      <c r="D241" s="141" t="str">
        <f>IFERROR(INDEX(Työkonekanta!$D$3:$D$27,MATCH('S0b Baseline kasvu'!$A241,Työkonekanta!$A$3:$A$24,0),1),"undefined")</f>
        <v>undefined</v>
      </c>
      <c r="E241" s="145">
        <f>IFERROR(INDEX(Työkonekanta!$G$3:$G$27,MATCH($A241,Työkonekanta!$A$3:$A$24,0),1)*INDEX(Työkonekanta!$H$3:$H$27,MATCH($A241,Työkonekanta!$A$3:$A$24,0),1)*(1+s0b_kasvu*($C241-2019))*$B241,0)</f>
        <v>0</v>
      </c>
      <c r="F241" s="145">
        <f t="shared" si="66"/>
        <v>0</v>
      </c>
      <c r="G241" s="145">
        <f t="shared" si="75"/>
        <v>0</v>
      </c>
      <c r="H241" s="145">
        <f t="shared" si="76"/>
        <v>0</v>
      </c>
      <c r="I241" s="145">
        <f t="shared" si="67"/>
        <v>0</v>
      </c>
      <c r="J241" s="145">
        <f t="shared" si="68"/>
        <v>0</v>
      </c>
      <c r="K241" s="142" t="str">
        <f t="shared" si="77"/>
        <v>undefined</v>
      </c>
      <c r="L241" s="146">
        <f>IFERROR(INDEX(Työkonekanta!$I$3:$I$27,MATCH('S0b Baseline kasvu'!$A241,Työkonekanta!$A$3:$A$24,0),1)*(I241+J241)*f_adblue,0)</f>
        <v>0</v>
      </c>
      <c r="M241" s="146">
        <f t="shared" si="83"/>
        <v>0</v>
      </c>
      <c r="N241" s="143" t="str">
        <f>IF(tuulisähkö_vuosi&lt;='S0b Baseline kasvu'!C241,"tuulisähkö",ostosähkö_nyt)</f>
        <v>jäännössähkö</v>
      </c>
      <c r="O241" s="147">
        <f>INDEX(Muuttujat!$J$5:$J$21,MATCH($C241,Muuttujat!$H$5:$H$21,0),1)</f>
        <v>64.542936272148211</v>
      </c>
      <c r="P241" s="342">
        <f>1-(INDEX(Muuttujat!$O$5:$O$21,MATCH($C241,Muuttujat!$N$5:$N$21,0),1))</f>
        <v>0.92</v>
      </c>
      <c r="Q241" s="342">
        <f>INDEX(Muuttujat!$O$5:$O$21,MATCH($C241,Muuttujat!$N$5:$N$21,0),1)</f>
        <v>0.08</v>
      </c>
      <c r="R241" s="148">
        <f>INDEX(Muuttujat!$P$5:$P$21,MATCH($C241,Muuttujat!$N$5:$N$21,0),1)</f>
        <v>8.3420471452195388E-2</v>
      </c>
      <c r="S241" s="149">
        <f t="shared" si="69"/>
        <v>0</v>
      </c>
      <c r="T241" s="150">
        <f t="shared" si="70"/>
        <v>0</v>
      </c>
      <c r="U241" s="150">
        <f t="shared" si="71"/>
        <v>0</v>
      </c>
      <c r="V241" s="150">
        <f>IFERROR(INDEX(Työkonekanta!$J$3:$J$27,MATCH($A241,Työkonekanta!$A$3:$A$24,0),1)*$B241*ef_li_ion_akku/1000/1000/INDEX(Työkonekanta!$K$3:$K$27,MATCH($A241,Työkonekanta!$A$3:$A$24,0)),0)</f>
        <v>0</v>
      </c>
      <c r="W241" s="149">
        <f t="shared" si="84"/>
        <v>0</v>
      </c>
      <c r="X241" s="150">
        <f t="shared" si="85"/>
        <v>0</v>
      </c>
      <c r="Y241" s="151">
        <f t="shared" si="86"/>
        <v>0</v>
      </c>
      <c r="Z241" s="152">
        <f t="shared" si="78"/>
        <v>0</v>
      </c>
      <c r="AA241" s="179">
        <f t="shared" si="79"/>
        <v>0</v>
      </c>
      <c r="AB241" s="179">
        <f t="shared" si="80"/>
        <v>0</v>
      </c>
      <c r="AC241" s="180">
        <f t="shared" si="87"/>
        <v>0</v>
      </c>
      <c r="AD241" s="156">
        <f t="shared" si="81"/>
        <v>0</v>
      </c>
      <c r="AE241" s="146">
        <f>IFERROR(INDEX(Työkonekanta!$L$3:$L$30,MATCH($A241,Työkonekanta!$A$3:$A$30,0),1),0)*AF241</f>
        <v>0</v>
      </c>
      <c r="AF241" s="146">
        <f>IFERROR(INDEX(Työkonekanta!$N$3:$N$32,MATCH($A241,Työkonekanta!$A$3:$A$32,0),1),0)</f>
        <v>0</v>
      </c>
      <c r="AG241" s="332">
        <f>I241*INDEX(Muuttujat!$U$5:$U$21,MATCH($C241,Muuttujat!$N$5:$N$21,0),1)</f>
        <v>0</v>
      </c>
      <c r="AH241" s="332">
        <f>J241*INDEX(Muuttujat!$T$5:$T$21,MATCH($C241,Muuttujat!$N$5:$N$21,0),1)</f>
        <v>0</v>
      </c>
      <c r="AI241" s="332">
        <f t="shared" si="72"/>
        <v>0</v>
      </c>
      <c r="AJ241" s="332">
        <f t="shared" si="73"/>
        <v>0</v>
      </c>
      <c r="AK241" s="332">
        <f t="shared" si="82"/>
        <v>0</v>
      </c>
      <c r="AL241" s="332">
        <f t="shared" si="74"/>
        <v>0</v>
      </c>
    </row>
    <row r="242" spans="1:38">
      <c r="A242" s="139">
        <v>30</v>
      </c>
      <c r="B242" s="139">
        <f>IFERROR(INDEX(Työkonekanta!$F$3:$F$27,MATCH('S0b Baseline kasvu'!$A242,Työkonekanta!$A$3:$A$24,0),1),0)</f>
        <v>0</v>
      </c>
      <c r="C242" s="140">
        <v>2026</v>
      </c>
      <c r="D242" s="141" t="str">
        <f>IFERROR(INDEX(Työkonekanta!$D$3:$D$27,MATCH('S0b Baseline kasvu'!$A242,Työkonekanta!$A$3:$A$24,0),1),"undefined")</f>
        <v>undefined</v>
      </c>
      <c r="E242" s="145">
        <f>IFERROR(INDEX(Työkonekanta!$G$3:$G$27,MATCH($A242,Työkonekanta!$A$3:$A$24,0),1)*INDEX(Työkonekanta!$H$3:$H$27,MATCH($A242,Työkonekanta!$A$3:$A$24,0),1)*(1+s0b_kasvu*($C242-2019))*$B242,0)</f>
        <v>0</v>
      </c>
      <c r="F242" s="145">
        <f t="shared" si="66"/>
        <v>0</v>
      </c>
      <c r="G242" s="145">
        <f t="shared" si="75"/>
        <v>0</v>
      </c>
      <c r="H242" s="145">
        <f t="shared" si="76"/>
        <v>0</v>
      </c>
      <c r="I242" s="145">
        <f t="shared" si="67"/>
        <v>0</v>
      </c>
      <c r="J242" s="145">
        <f t="shared" si="68"/>
        <v>0</v>
      </c>
      <c r="K242" s="142" t="str">
        <f t="shared" si="77"/>
        <v>undefined</v>
      </c>
      <c r="L242" s="146">
        <f>IFERROR(INDEX(Työkonekanta!$I$3:$I$27,MATCH('S0b Baseline kasvu'!$A242,Työkonekanta!$A$3:$A$24,0),1)*(I242+J242)*f_adblue,0)</f>
        <v>0</v>
      </c>
      <c r="M242" s="146">
        <f t="shared" si="83"/>
        <v>0</v>
      </c>
      <c r="N242" s="143" t="str">
        <f>IF(tuulisähkö_vuosi&lt;='S0b Baseline kasvu'!C242,"tuulisähkö",ostosähkö_nyt)</f>
        <v>jäännössähkö</v>
      </c>
      <c r="O242" s="147">
        <f>INDEX(Muuttujat!$J$5:$J$21,MATCH($C242,Muuttujat!$H$5:$H$21,0),1)</f>
        <v>64.542936272148211</v>
      </c>
      <c r="P242" s="342">
        <f>1-(INDEX(Muuttujat!$O$5:$O$21,MATCH($C242,Muuttujat!$N$5:$N$21,0),1))</f>
        <v>0.92</v>
      </c>
      <c r="Q242" s="342">
        <f>INDEX(Muuttujat!$O$5:$O$21,MATCH($C242,Muuttujat!$N$5:$N$21,0),1)</f>
        <v>0.08</v>
      </c>
      <c r="R242" s="148">
        <f>INDEX(Muuttujat!$P$5:$P$21,MATCH($C242,Muuttujat!$N$5:$N$21,0),1)</f>
        <v>8.3420471452195388E-2</v>
      </c>
      <c r="S242" s="149">
        <f t="shared" si="69"/>
        <v>0</v>
      </c>
      <c r="T242" s="150">
        <f t="shared" si="70"/>
        <v>0</v>
      </c>
      <c r="U242" s="150">
        <f t="shared" si="71"/>
        <v>0</v>
      </c>
      <c r="V242" s="150">
        <f>IFERROR(INDEX(Työkonekanta!$J$3:$J$27,MATCH($A242,Työkonekanta!$A$3:$A$24,0),1)*$B242*ef_li_ion_akku/1000/1000/INDEX(Työkonekanta!$K$3:$K$27,MATCH($A242,Työkonekanta!$A$3:$A$24,0)),0)</f>
        <v>0</v>
      </c>
      <c r="W242" s="149">
        <f t="shared" si="84"/>
        <v>0</v>
      </c>
      <c r="X242" s="150">
        <f t="shared" si="85"/>
        <v>0</v>
      </c>
      <c r="Y242" s="151">
        <f t="shared" si="86"/>
        <v>0</v>
      </c>
      <c r="Z242" s="152">
        <f t="shared" si="78"/>
        <v>0</v>
      </c>
      <c r="AA242" s="179">
        <f t="shared" si="79"/>
        <v>0</v>
      </c>
      <c r="AB242" s="179">
        <f t="shared" si="80"/>
        <v>0</v>
      </c>
      <c r="AC242" s="180">
        <f t="shared" si="87"/>
        <v>0</v>
      </c>
      <c r="AD242" s="156">
        <f t="shared" si="81"/>
        <v>0</v>
      </c>
      <c r="AE242" s="146">
        <f>IFERROR(INDEX(Työkonekanta!$L$3:$L$30,MATCH($A242,Työkonekanta!$A$3:$A$30,0),1),0)*AF242</f>
        <v>0</v>
      </c>
      <c r="AF242" s="146">
        <f>IFERROR(INDEX(Työkonekanta!$N$3:$N$32,MATCH($A242,Työkonekanta!$A$3:$A$32,0),1),0)</f>
        <v>0</v>
      </c>
      <c r="AG242" s="332">
        <f>I242*INDEX(Muuttujat!$U$5:$U$21,MATCH($C242,Muuttujat!$N$5:$N$21,0),1)</f>
        <v>0</v>
      </c>
      <c r="AH242" s="332">
        <f>J242*INDEX(Muuttujat!$T$5:$T$21,MATCH($C242,Muuttujat!$N$5:$N$21,0),1)</f>
        <v>0</v>
      </c>
      <c r="AI242" s="332">
        <f t="shared" si="72"/>
        <v>0</v>
      </c>
      <c r="AJ242" s="332">
        <f t="shared" si="73"/>
        <v>0</v>
      </c>
      <c r="AK242" s="332">
        <f t="shared" si="82"/>
        <v>0</v>
      </c>
      <c r="AL242" s="332">
        <f t="shared" si="74"/>
        <v>0</v>
      </c>
    </row>
    <row r="243" spans="1:38">
      <c r="A243" s="139">
        <v>1</v>
      </c>
      <c r="B243" s="139">
        <f>IFERROR(INDEX(Työkonekanta!$F$3:$F$27,MATCH('S0b Baseline kasvu'!$A243,Työkonekanta!$A$3:$A$24,0),1),0)</f>
        <v>1</v>
      </c>
      <c r="C243" s="140">
        <v>2027</v>
      </c>
      <c r="D243" s="141" t="str">
        <f>IFERROR(INDEX(Työkonekanta!$D$3:$D$27,MATCH('S0b Baseline kasvu'!$A243,Työkonekanta!$A$3:$A$24,0),1),"undefined")</f>
        <v>pom</v>
      </c>
      <c r="E243" s="145">
        <f>IFERROR(INDEX(Työkonekanta!$G$3:$G$27,MATCH($A243,Työkonekanta!$A$3:$A$24,0),1)*INDEX(Työkonekanta!$H$3:$H$27,MATCH($A243,Työkonekanta!$A$3:$A$24,0),1)*(1+s0b_kasvu*($C243-2019))*$B243,0)</f>
        <v>10800</v>
      </c>
      <c r="F243" s="145">
        <f t="shared" si="66"/>
        <v>387720</v>
      </c>
      <c r="G243" s="145">
        <f t="shared" si="75"/>
        <v>352825.2</v>
      </c>
      <c r="H243" s="145">
        <f t="shared" si="76"/>
        <v>34894.799999999996</v>
      </c>
      <c r="I243" s="145">
        <f t="shared" si="67"/>
        <v>9828</v>
      </c>
      <c r="J243" s="145">
        <f t="shared" si="68"/>
        <v>1017.3411078717201</v>
      </c>
      <c r="K243" s="142" t="str">
        <f t="shared" si="77"/>
        <v>l</v>
      </c>
      <c r="L243" s="146">
        <f>IFERROR(INDEX(Työkonekanta!$I$3:$I$27,MATCH('S0b Baseline kasvu'!$A243,Työkonekanta!$A$3:$A$24,0),1)*(I243+J243)*f_adblue,0)</f>
        <v>542.26705539358602</v>
      </c>
      <c r="M243" s="146">
        <f t="shared" si="83"/>
        <v>0</v>
      </c>
      <c r="N243" s="143" t="str">
        <f>IF(tuulisähkö_vuosi&lt;='S0b Baseline kasvu'!C243,"tuulisähkö",ostosähkö_nyt)</f>
        <v>jäännössähkö</v>
      </c>
      <c r="O243" s="147">
        <f>INDEX(Muuttujat!$J$5:$J$21,MATCH($C243,Muuttujat!$H$5:$H$21,0),1)</f>
        <v>63.897506909426724</v>
      </c>
      <c r="P243" s="342">
        <f>1-(INDEX(Muuttujat!$O$5:$O$21,MATCH($C243,Muuttujat!$N$5:$N$21,0),1))</f>
        <v>0.91</v>
      </c>
      <c r="Q243" s="342">
        <f>INDEX(Muuttujat!$O$5:$O$21,MATCH($C243,Muuttujat!$N$5:$N$21,0),1)</f>
        <v>0.09</v>
      </c>
      <c r="R243" s="148">
        <f>INDEX(Muuttujat!$P$5:$P$21,MATCH($C243,Muuttujat!$N$5:$N$21,0),1)</f>
        <v>9.3804435869509845E-2</v>
      </c>
      <c r="S243" s="149">
        <f t="shared" si="69"/>
        <v>6.6683962799999987</v>
      </c>
      <c r="T243" s="150">
        <f t="shared" si="70"/>
        <v>2.1774355199999995</v>
      </c>
      <c r="U243" s="150">
        <f t="shared" si="71"/>
        <v>0</v>
      </c>
      <c r="V243" s="150">
        <f>IFERROR(INDEX(Työkonekanta!$J$3:$J$27,MATCH($A243,Työkonekanta!$A$3:$A$24,0),1)*$B243*ef_li_ion_akku/1000/1000/INDEX(Työkonekanta!$K$3:$K$27,MATCH($A243,Työkonekanta!$A$3:$A$24,0)),0)</f>
        <v>0</v>
      </c>
      <c r="W243" s="149">
        <f t="shared" si="84"/>
        <v>26.0414120774808</v>
      </c>
      <c r="X243" s="150">
        <f t="shared" si="85"/>
        <v>0.34316531280000001</v>
      </c>
      <c r="Y243" s="151">
        <f t="shared" si="86"/>
        <v>0.14098943440233239</v>
      </c>
      <c r="Z243" s="152">
        <f t="shared" si="78"/>
        <v>8.8458317999999991</v>
      </c>
      <c r="AA243" s="179">
        <f t="shared" si="79"/>
        <v>26.182401511883132</v>
      </c>
      <c r="AB243" s="179">
        <f t="shared" si="80"/>
        <v>26.525566824683132</v>
      </c>
      <c r="AC243" s="180">
        <f t="shared" si="87"/>
        <v>35.028233311883127</v>
      </c>
      <c r="AD243" s="156">
        <f t="shared" si="81"/>
        <v>35.371398624683131</v>
      </c>
      <c r="AE243" s="146">
        <f>IFERROR(INDEX(Työkonekanta!$L$3:$L$30,MATCH($A243,Työkonekanta!$A$3:$A$30,0),1),0)*AF243</f>
        <v>500000</v>
      </c>
      <c r="AF243" s="146">
        <f>IFERROR(INDEX(Työkonekanta!$N$3:$N$32,MATCH($A243,Työkonekanta!$A$3:$A$32,0),1),0)</f>
        <v>1</v>
      </c>
      <c r="AG243" s="332">
        <f>I243*INDEX(Muuttujat!$U$5:$U$21,MATCH($C243,Muuttujat!$N$5:$N$21,0),1)</f>
        <v>10221.120000000001</v>
      </c>
      <c r="AH243" s="332">
        <f>J243*INDEX(Muuttujat!$T$5:$T$21,MATCH($C243,Muuttujat!$N$5:$N$21,0),1)</f>
        <v>1464.9711953352769</v>
      </c>
      <c r="AI243" s="332">
        <f t="shared" si="72"/>
        <v>271.13352769679301</v>
      </c>
      <c r="AJ243" s="332">
        <f t="shared" si="73"/>
        <v>0</v>
      </c>
      <c r="AK243" s="332">
        <f t="shared" si="82"/>
        <v>11957.22472303207</v>
      </c>
      <c r="AL243" s="332">
        <f t="shared" si="74"/>
        <v>11957.22472303207</v>
      </c>
    </row>
    <row r="244" spans="1:38">
      <c r="A244" s="139">
        <v>2</v>
      </c>
      <c r="B244" s="139">
        <f>IFERROR(INDEX(Työkonekanta!$F$3:$F$27,MATCH('S0b Baseline kasvu'!$A244,Työkonekanta!$A$3:$A$24,0),1),0)</f>
        <v>1</v>
      </c>
      <c r="C244" s="140">
        <v>2027</v>
      </c>
      <c r="D244" s="141" t="str">
        <f>IFERROR(INDEX(Työkonekanta!$D$3:$D$27,MATCH('S0b Baseline kasvu'!$A244,Työkonekanta!$A$3:$A$24,0),1),"undefined")</f>
        <v>pom</v>
      </c>
      <c r="E244" s="145">
        <f>IFERROR(INDEX(Työkonekanta!$G$3:$G$27,MATCH($A244,Työkonekanta!$A$3:$A$24,0),1)*INDEX(Työkonekanta!$H$3:$H$27,MATCH($A244,Työkonekanta!$A$3:$A$24,0),1)*(1+s0b_kasvu*($C244-2019))*$B244,0)</f>
        <v>10800</v>
      </c>
      <c r="F244" s="145">
        <f t="shared" si="66"/>
        <v>387720</v>
      </c>
      <c r="G244" s="145">
        <f t="shared" si="75"/>
        <v>352825.2</v>
      </c>
      <c r="H244" s="145">
        <f t="shared" si="76"/>
        <v>34894.799999999996</v>
      </c>
      <c r="I244" s="145">
        <f t="shared" si="67"/>
        <v>9828</v>
      </c>
      <c r="J244" s="145">
        <f t="shared" si="68"/>
        <v>1017.3411078717201</v>
      </c>
      <c r="K244" s="142" t="str">
        <f t="shared" si="77"/>
        <v>l</v>
      </c>
      <c r="L244" s="146">
        <f>IFERROR(INDEX(Työkonekanta!$I$3:$I$27,MATCH('S0b Baseline kasvu'!$A244,Työkonekanta!$A$3:$A$24,0),1)*(I244+J244)*f_adblue,0)</f>
        <v>542.26705539358602</v>
      </c>
      <c r="M244" s="146">
        <f t="shared" si="83"/>
        <v>0</v>
      </c>
      <c r="N244" s="143" t="str">
        <f>IF(tuulisähkö_vuosi&lt;='S0b Baseline kasvu'!C244,"tuulisähkö",ostosähkö_nyt)</f>
        <v>jäännössähkö</v>
      </c>
      <c r="O244" s="147">
        <f>INDEX(Muuttujat!$J$5:$J$21,MATCH($C244,Muuttujat!$H$5:$H$21,0),1)</f>
        <v>63.897506909426724</v>
      </c>
      <c r="P244" s="342">
        <f>1-(INDEX(Muuttujat!$O$5:$O$21,MATCH($C244,Muuttujat!$N$5:$N$21,0),1))</f>
        <v>0.91</v>
      </c>
      <c r="Q244" s="342">
        <f>INDEX(Muuttujat!$O$5:$O$21,MATCH($C244,Muuttujat!$N$5:$N$21,0),1)</f>
        <v>0.09</v>
      </c>
      <c r="R244" s="148">
        <f>INDEX(Muuttujat!$P$5:$P$21,MATCH($C244,Muuttujat!$N$5:$N$21,0),1)</f>
        <v>9.3804435869509845E-2</v>
      </c>
      <c r="S244" s="149">
        <f t="shared" si="69"/>
        <v>6.6683962799999987</v>
      </c>
      <c r="T244" s="150">
        <f t="shared" si="70"/>
        <v>2.1774355199999995</v>
      </c>
      <c r="U244" s="150">
        <f t="shared" si="71"/>
        <v>0</v>
      </c>
      <c r="V244" s="150">
        <f>IFERROR(INDEX(Työkonekanta!$J$3:$J$27,MATCH($A244,Työkonekanta!$A$3:$A$24,0),1)*$B244*ef_li_ion_akku/1000/1000/INDEX(Työkonekanta!$K$3:$K$27,MATCH($A244,Työkonekanta!$A$3:$A$24,0)),0)</f>
        <v>0</v>
      </c>
      <c r="W244" s="149">
        <f t="shared" si="84"/>
        <v>26.0414120774808</v>
      </c>
      <c r="X244" s="150">
        <f t="shared" si="85"/>
        <v>0.34316531280000001</v>
      </c>
      <c r="Y244" s="151">
        <f t="shared" si="86"/>
        <v>0.14098943440233239</v>
      </c>
      <c r="Z244" s="152">
        <f t="shared" si="78"/>
        <v>8.8458317999999991</v>
      </c>
      <c r="AA244" s="179">
        <f t="shared" si="79"/>
        <v>26.182401511883132</v>
      </c>
      <c r="AB244" s="179">
        <f t="shared" si="80"/>
        <v>26.525566824683132</v>
      </c>
      <c r="AC244" s="180">
        <f t="shared" si="87"/>
        <v>35.028233311883127</v>
      </c>
      <c r="AD244" s="156">
        <f t="shared" si="81"/>
        <v>35.371398624683131</v>
      </c>
      <c r="AE244" s="146">
        <f>IFERROR(INDEX(Työkonekanta!$L$3:$L$30,MATCH($A244,Työkonekanta!$A$3:$A$30,0),1),0)*AF244</f>
        <v>500000</v>
      </c>
      <c r="AF244" s="146">
        <f>IFERROR(INDEX(Työkonekanta!$N$3:$N$32,MATCH($A244,Työkonekanta!$A$3:$A$32,0),1),0)</f>
        <v>1</v>
      </c>
      <c r="AG244" s="332">
        <f>I244*INDEX(Muuttujat!$U$5:$U$21,MATCH($C244,Muuttujat!$N$5:$N$21,0),1)</f>
        <v>10221.120000000001</v>
      </c>
      <c r="AH244" s="332">
        <f>J244*INDEX(Muuttujat!$T$5:$T$21,MATCH($C244,Muuttujat!$N$5:$N$21,0),1)</f>
        <v>1464.9711953352769</v>
      </c>
      <c r="AI244" s="332">
        <f t="shared" si="72"/>
        <v>271.13352769679301</v>
      </c>
      <c r="AJ244" s="332">
        <f t="shared" si="73"/>
        <v>0</v>
      </c>
      <c r="AK244" s="332">
        <f t="shared" si="82"/>
        <v>11957.22472303207</v>
      </c>
      <c r="AL244" s="332">
        <f t="shared" si="74"/>
        <v>11957.22472303207</v>
      </c>
    </row>
    <row r="245" spans="1:38">
      <c r="A245" s="139">
        <v>3</v>
      </c>
      <c r="B245" s="139">
        <f>IFERROR(INDEX(Työkonekanta!$F$3:$F$27,MATCH('S0b Baseline kasvu'!$A245,Työkonekanta!$A$3:$A$24,0),1),0)</f>
        <v>1</v>
      </c>
      <c r="C245" s="140">
        <v>2027</v>
      </c>
      <c r="D245" s="141" t="str">
        <f>IFERROR(INDEX(Työkonekanta!$D$3:$D$27,MATCH('S0b Baseline kasvu'!$A245,Työkonekanta!$A$3:$A$24,0),1),"undefined")</f>
        <v>pom</v>
      </c>
      <c r="E245" s="145">
        <f>IFERROR(INDEX(Työkonekanta!$G$3:$G$27,MATCH($A245,Työkonekanta!$A$3:$A$24,0),1)*INDEX(Työkonekanta!$H$3:$H$27,MATCH($A245,Työkonekanta!$A$3:$A$24,0),1)*(1+s0b_kasvu*($C245-2019))*$B245,0)</f>
        <v>10800</v>
      </c>
      <c r="F245" s="145">
        <f t="shared" si="66"/>
        <v>387720</v>
      </c>
      <c r="G245" s="145">
        <f t="shared" si="75"/>
        <v>352825.2</v>
      </c>
      <c r="H245" s="145">
        <f t="shared" si="76"/>
        <v>34894.799999999996</v>
      </c>
      <c r="I245" s="145">
        <f t="shared" si="67"/>
        <v>9828</v>
      </c>
      <c r="J245" s="145">
        <f t="shared" si="68"/>
        <v>1017.3411078717201</v>
      </c>
      <c r="K245" s="142" t="str">
        <f t="shared" si="77"/>
        <v>l</v>
      </c>
      <c r="L245" s="146">
        <f>IFERROR(INDEX(Työkonekanta!$I$3:$I$27,MATCH('S0b Baseline kasvu'!$A245,Työkonekanta!$A$3:$A$24,0),1)*(I245+J245)*f_adblue,0)</f>
        <v>542.26705539358602</v>
      </c>
      <c r="M245" s="146">
        <f t="shared" si="83"/>
        <v>0</v>
      </c>
      <c r="N245" s="143" t="str">
        <f>IF(tuulisähkö_vuosi&lt;='S0b Baseline kasvu'!C245,"tuulisähkö",ostosähkö_nyt)</f>
        <v>jäännössähkö</v>
      </c>
      <c r="O245" s="147">
        <f>INDEX(Muuttujat!$J$5:$J$21,MATCH($C245,Muuttujat!$H$5:$H$21,0),1)</f>
        <v>63.897506909426724</v>
      </c>
      <c r="P245" s="342">
        <f>1-(INDEX(Muuttujat!$O$5:$O$21,MATCH($C245,Muuttujat!$N$5:$N$21,0),1))</f>
        <v>0.91</v>
      </c>
      <c r="Q245" s="342">
        <f>INDEX(Muuttujat!$O$5:$O$21,MATCH($C245,Muuttujat!$N$5:$N$21,0),1)</f>
        <v>0.09</v>
      </c>
      <c r="R245" s="148">
        <f>INDEX(Muuttujat!$P$5:$P$21,MATCH($C245,Muuttujat!$N$5:$N$21,0),1)</f>
        <v>9.3804435869509845E-2</v>
      </c>
      <c r="S245" s="149">
        <f t="shared" si="69"/>
        <v>6.6683962799999987</v>
      </c>
      <c r="T245" s="150">
        <f t="shared" si="70"/>
        <v>2.1774355199999995</v>
      </c>
      <c r="U245" s="150">
        <f t="shared" si="71"/>
        <v>0</v>
      </c>
      <c r="V245" s="150">
        <f>IFERROR(INDEX(Työkonekanta!$J$3:$J$27,MATCH($A245,Työkonekanta!$A$3:$A$24,0),1)*$B245*ef_li_ion_akku/1000/1000/INDEX(Työkonekanta!$K$3:$K$27,MATCH($A245,Työkonekanta!$A$3:$A$24,0)),0)</f>
        <v>0</v>
      </c>
      <c r="W245" s="149">
        <f t="shared" si="84"/>
        <v>26.0414120774808</v>
      </c>
      <c r="X245" s="150">
        <f t="shared" si="85"/>
        <v>0.34316531280000001</v>
      </c>
      <c r="Y245" s="151">
        <f t="shared" si="86"/>
        <v>0.14098943440233239</v>
      </c>
      <c r="Z245" s="152">
        <f t="shared" si="78"/>
        <v>8.8458317999999991</v>
      </c>
      <c r="AA245" s="179">
        <f t="shared" si="79"/>
        <v>26.182401511883132</v>
      </c>
      <c r="AB245" s="179">
        <f t="shared" si="80"/>
        <v>26.525566824683132</v>
      </c>
      <c r="AC245" s="180">
        <f t="shared" si="87"/>
        <v>35.028233311883127</v>
      </c>
      <c r="AD245" s="156">
        <f t="shared" si="81"/>
        <v>35.371398624683131</v>
      </c>
      <c r="AE245" s="146">
        <f>IFERROR(INDEX(Työkonekanta!$L$3:$L$30,MATCH($A245,Työkonekanta!$A$3:$A$30,0),1),0)*AF245</f>
        <v>0</v>
      </c>
      <c r="AF245" s="146">
        <f>IFERROR(INDEX(Työkonekanta!$N$3:$N$32,MATCH($A245,Työkonekanta!$A$3:$A$32,0),1),0)</f>
        <v>0</v>
      </c>
      <c r="AG245" s="332">
        <f>I245*INDEX(Muuttujat!$U$5:$U$21,MATCH($C245,Muuttujat!$N$5:$N$21,0),1)</f>
        <v>10221.120000000001</v>
      </c>
      <c r="AH245" s="332">
        <f>J245*INDEX(Muuttujat!$T$5:$T$21,MATCH($C245,Muuttujat!$N$5:$N$21,0),1)</f>
        <v>1464.9711953352769</v>
      </c>
      <c r="AI245" s="332">
        <f t="shared" si="72"/>
        <v>271.13352769679301</v>
      </c>
      <c r="AJ245" s="332">
        <f t="shared" si="73"/>
        <v>0</v>
      </c>
      <c r="AK245" s="332">
        <f t="shared" si="82"/>
        <v>11957.22472303207</v>
      </c>
      <c r="AL245" s="332">
        <f t="shared" si="74"/>
        <v>11957.22472303207</v>
      </c>
    </row>
    <row r="246" spans="1:38">
      <c r="A246" s="139">
        <v>4</v>
      </c>
      <c r="B246" s="139">
        <f>IFERROR(INDEX(Työkonekanta!$F$3:$F$27,MATCH('S0b Baseline kasvu'!$A246,Työkonekanta!$A$3:$A$24,0),1),0)</f>
        <v>1</v>
      </c>
      <c r="C246" s="140">
        <v>2027</v>
      </c>
      <c r="D246" s="141" t="str">
        <f>IFERROR(INDEX(Työkonekanta!$D$3:$D$27,MATCH('S0b Baseline kasvu'!$A246,Työkonekanta!$A$3:$A$24,0),1),"undefined")</f>
        <v>pom</v>
      </c>
      <c r="E246" s="145">
        <f>IFERROR(INDEX(Työkonekanta!$G$3:$G$27,MATCH($A246,Työkonekanta!$A$3:$A$24,0),1)*INDEX(Työkonekanta!$H$3:$H$27,MATCH($A246,Työkonekanta!$A$3:$A$24,0),1)*(1+s0b_kasvu*($C246-2019))*$B246,0)</f>
        <v>10800</v>
      </c>
      <c r="F246" s="145">
        <f t="shared" si="66"/>
        <v>387720</v>
      </c>
      <c r="G246" s="145">
        <f t="shared" si="75"/>
        <v>352825.2</v>
      </c>
      <c r="H246" s="145">
        <f t="shared" si="76"/>
        <v>34894.799999999996</v>
      </c>
      <c r="I246" s="145">
        <f t="shared" si="67"/>
        <v>9828</v>
      </c>
      <c r="J246" s="145">
        <f t="shared" si="68"/>
        <v>1017.3411078717201</v>
      </c>
      <c r="K246" s="142" t="str">
        <f t="shared" si="77"/>
        <v>l</v>
      </c>
      <c r="L246" s="146">
        <f>IFERROR(INDEX(Työkonekanta!$I$3:$I$27,MATCH('S0b Baseline kasvu'!$A246,Työkonekanta!$A$3:$A$24,0),1)*(I246+J246)*f_adblue,0)</f>
        <v>542.26705539358602</v>
      </c>
      <c r="M246" s="146">
        <f t="shared" si="83"/>
        <v>0</v>
      </c>
      <c r="N246" s="143" t="str">
        <f>IF(tuulisähkö_vuosi&lt;='S0b Baseline kasvu'!C246,"tuulisähkö",ostosähkö_nyt)</f>
        <v>jäännössähkö</v>
      </c>
      <c r="O246" s="147">
        <f>INDEX(Muuttujat!$J$5:$J$21,MATCH($C246,Muuttujat!$H$5:$H$21,0),1)</f>
        <v>63.897506909426724</v>
      </c>
      <c r="P246" s="342">
        <f>1-(INDEX(Muuttujat!$O$5:$O$21,MATCH($C246,Muuttujat!$N$5:$N$21,0),1))</f>
        <v>0.91</v>
      </c>
      <c r="Q246" s="342">
        <f>INDEX(Muuttujat!$O$5:$O$21,MATCH($C246,Muuttujat!$N$5:$N$21,0),1)</f>
        <v>0.09</v>
      </c>
      <c r="R246" s="148">
        <f>INDEX(Muuttujat!$P$5:$P$21,MATCH($C246,Muuttujat!$N$5:$N$21,0),1)</f>
        <v>9.3804435869509845E-2</v>
      </c>
      <c r="S246" s="149">
        <f t="shared" si="69"/>
        <v>6.6683962799999987</v>
      </c>
      <c r="T246" s="150">
        <f t="shared" si="70"/>
        <v>2.1774355199999995</v>
      </c>
      <c r="U246" s="150">
        <f t="shared" si="71"/>
        <v>0</v>
      </c>
      <c r="V246" s="150">
        <f>IFERROR(INDEX(Työkonekanta!$J$3:$J$27,MATCH($A246,Työkonekanta!$A$3:$A$24,0),1)*$B246*ef_li_ion_akku/1000/1000/INDEX(Työkonekanta!$K$3:$K$27,MATCH($A246,Työkonekanta!$A$3:$A$24,0)),0)</f>
        <v>0</v>
      </c>
      <c r="W246" s="149">
        <f t="shared" si="84"/>
        <v>26.0414120774808</v>
      </c>
      <c r="X246" s="150">
        <f t="shared" si="85"/>
        <v>0.34316531280000001</v>
      </c>
      <c r="Y246" s="151">
        <f t="shared" si="86"/>
        <v>0.14098943440233239</v>
      </c>
      <c r="Z246" s="152">
        <f t="shared" si="78"/>
        <v>8.8458317999999991</v>
      </c>
      <c r="AA246" s="179">
        <f t="shared" si="79"/>
        <v>26.182401511883132</v>
      </c>
      <c r="AB246" s="179">
        <f t="shared" si="80"/>
        <v>26.525566824683132</v>
      </c>
      <c r="AC246" s="180">
        <f t="shared" si="87"/>
        <v>35.028233311883127</v>
      </c>
      <c r="AD246" s="156">
        <f t="shared" si="81"/>
        <v>35.371398624683131</v>
      </c>
      <c r="AE246" s="146">
        <f>IFERROR(INDEX(Työkonekanta!$L$3:$L$30,MATCH($A246,Työkonekanta!$A$3:$A$30,0),1),0)*AF246</f>
        <v>0</v>
      </c>
      <c r="AF246" s="146">
        <f>IFERROR(INDEX(Työkonekanta!$N$3:$N$32,MATCH($A246,Työkonekanta!$A$3:$A$32,0),1),0)</f>
        <v>0</v>
      </c>
      <c r="AG246" s="332">
        <f>I246*INDEX(Muuttujat!$U$5:$U$21,MATCH($C246,Muuttujat!$N$5:$N$21,0),1)</f>
        <v>10221.120000000001</v>
      </c>
      <c r="AH246" s="332">
        <f>J246*INDEX(Muuttujat!$T$5:$T$21,MATCH($C246,Muuttujat!$N$5:$N$21,0),1)</f>
        <v>1464.9711953352769</v>
      </c>
      <c r="AI246" s="332">
        <f t="shared" si="72"/>
        <v>271.13352769679301</v>
      </c>
      <c r="AJ246" s="332">
        <f t="shared" si="73"/>
        <v>0</v>
      </c>
      <c r="AK246" s="332">
        <f t="shared" si="82"/>
        <v>11957.22472303207</v>
      </c>
      <c r="AL246" s="332">
        <f t="shared" si="74"/>
        <v>11957.22472303207</v>
      </c>
    </row>
    <row r="247" spans="1:38">
      <c r="A247" s="139">
        <v>5</v>
      </c>
      <c r="B247" s="139">
        <f>IFERROR(INDEX(Työkonekanta!$F$3:$F$27,MATCH('S0b Baseline kasvu'!$A247,Työkonekanta!$A$3:$A$24,0),1),0)</f>
        <v>0</v>
      </c>
      <c r="C247" s="140">
        <v>2027</v>
      </c>
      <c r="D247" s="141" t="str">
        <f>IFERROR(INDEX(Työkonekanta!$D$3:$D$27,MATCH('S0b Baseline kasvu'!$A247,Työkonekanta!$A$3:$A$24,0),1),"undefined")</f>
        <v>sähkö</v>
      </c>
      <c r="E247" s="145">
        <f>IFERROR(INDEX(Työkonekanta!$G$3:$G$27,MATCH($A247,Työkonekanta!$A$3:$A$24,0),1)*INDEX(Työkonekanta!$H$3:$H$27,MATCH($A247,Työkonekanta!$A$3:$A$24,0),1)*(1+s0b_kasvu*($C247-2019))*$B247,0)</f>
        <v>0</v>
      </c>
      <c r="F247" s="145">
        <f t="shared" si="66"/>
        <v>0</v>
      </c>
      <c r="G247" s="145">
        <f t="shared" si="75"/>
        <v>0</v>
      </c>
      <c r="H247" s="145">
        <f t="shared" si="76"/>
        <v>0</v>
      </c>
      <c r="I247" s="145">
        <f t="shared" si="67"/>
        <v>0</v>
      </c>
      <c r="J247" s="145">
        <f t="shared" si="68"/>
        <v>0</v>
      </c>
      <c r="K247" s="142" t="str">
        <f t="shared" si="77"/>
        <v>kWh</v>
      </c>
      <c r="L247" s="146">
        <f>IFERROR(INDEX(Työkonekanta!$I$3:$I$27,MATCH('S0b Baseline kasvu'!$A247,Työkonekanta!$A$3:$A$24,0),1)*(I247+J247)*f_adblue,0)</f>
        <v>0</v>
      </c>
      <c r="M247" s="146">
        <f t="shared" si="83"/>
        <v>0</v>
      </c>
      <c r="N247" s="143" t="str">
        <f>IF(tuulisähkö_vuosi&lt;='S0b Baseline kasvu'!C247,"tuulisähkö",ostosähkö_nyt)</f>
        <v>jäännössähkö</v>
      </c>
      <c r="O247" s="147">
        <f>INDEX(Muuttujat!$J$5:$J$21,MATCH($C247,Muuttujat!$H$5:$H$21,0),1)</f>
        <v>63.897506909426724</v>
      </c>
      <c r="P247" s="342">
        <f>1-(INDEX(Muuttujat!$O$5:$O$21,MATCH($C247,Muuttujat!$N$5:$N$21,0),1))</f>
        <v>0.91</v>
      </c>
      <c r="Q247" s="342">
        <f>INDEX(Muuttujat!$O$5:$O$21,MATCH($C247,Muuttujat!$N$5:$N$21,0),1)</f>
        <v>0.09</v>
      </c>
      <c r="R247" s="148">
        <f>INDEX(Muuttujat!$P$5:$P$21,MATCH($C247,Muuttujat!$N$5:$N$21,0),1)</f>
        <v>9.3804435869509845E-2</v>
      </c>
      <c r="S247" s="149">
        <f t="shared" si="69"/>
        <v>0</v>
      </c>
      <c r="T247" s="150">
        <f t="shared" si="70"/>
        <v>0</v>
      </c>
      <c r="U247" s="150">
        <f t="shared" si="71"/>
        <v>0</v>
      </c>
      <c r="V247" s="150">
        <f>IFERROR(INDEX(Työkonekanta!$J$3:$J$27,MATCH($A247,Työkonekanta!$A$3:$A$24,0),1)*$B247*ef_li_ion_akku/1000/1000/INDEX(Työkonekanta!$K$3:$K$27,MATCH($A247,Työkonekanta!$A$3:$A$24,0)),0)</f>
        <v>0</v>
      </c>
      <c r="W247" s="149">
        <f t="shared" si="84"/>
        <v>0</v>
      </c>
      <c r="X247" s="150">
        <f t="shared" si="85"/>
        <v>0</v>
      </c>
      <c r="Y247" s="151">
        <f t="shared" si="86"/>
        <v>0</v>
      </c>
      <c r="Z247" s="152">
        <f t="shared" si="78"/>
        <v>0</v>
      </c>
      <c r="AA247" s="179">
        <f t="shared" si="79"/>
        <v>0</v>
      </c>
      <c r="AB247" s="179">
        <f t="shared" si="80"/>
        <v>0</v>
      </c>
      <c r="AC247" s="180">
        <f t="shared" si="87"/>
        <v>0</v>
      </c>
      <c r="AD247" s="156">
        <f t="shared" si="81"/>
        <v>0</v>
      </c>
      <c r="AE247" s="146">
        <f>IFERROR(INDEX(Työkonekanta!$L$3:$L$30,MATCH($A247,Työkonekanta!$A$3:$A$30,0),1),0)*AF247</f>
        <v>0</v>
      </c>
      <c r="AF247" s="146">
        <f>IFERROR(INDEX(Työkonekanta!$N$3:$N$32,MATCH($A247,Työkonekanta!$A$3:$A$32,0),1),0)</f>
        <v>0</v>
      </c>
      <c r="AG247" s="332">
        <f>I247*INDEX(Muuttujat!$U$5:$U$21,MATCH($C247,Muuttujat!$N$5:$N$21,0),1)</f>
        <v>0</v>
      </c>
      <c r="AH247" s="332">
        <f>J247*INDEX(Muuttujat!$T$5:$T$21,MATCH($C247,Muuttujat!$N$5:$N$21,0),1)</f>
        <v>0</v>
      </c>
      <c r="AI247" s="332">
        <f t="shared" si="72"/>
        <v>0</v>
      </c>
      <c r="AJ247" s="332">
        <f t="shared" si="73"/>
        <v>0</v>
      </c>
      <c r="AK247" s="332">
        <f t="shared" si="82"/>
        <v>0</v>
      </c>
      <c r="AL247" s="332">
        <f t="shared" si="74"/>
        <v>0</v>
      </c>
    </row>
    <row r="248" spans="1:38">
      <c r="A248" s="139">
        <v>6</v>
      </c>
      <c r="B248" s="139">
        <f>IFERROR(INDEX(Työkonekanta!$F$3:$F$27,MATCH('S0b Baseline kasvu'!$A248,Työkonekanta!$A$3:$A$24,0),1),0)</f>
        <v>0</v>
      </c>
      <c r="C248" s="140">
        <v>2027</v>
      </c>
      <c r="D248" s="141" t="str">
        <f>IFERROR(INDEX(Työkonekanta!$D$3:$D$27,MATCH('S0b Baseline kasvu'!$A248,Työkonekanta!$A$3:$A$24,0),1),"undefined")</f>
        <v>sähkö</v>
      </c>
      <c r="E248" s="145">
        <f>IFERROR(INDEX(Työkonekanta!$G$3:$G$27,MATCH($A248,Työkonekanta!$A$3:$A$24,0),1)*INDEX(Työkonekanta!$H$3:$H$27,MATCH($A248,Työkonekanta!$A$3:$A$24,0),1)*(1+s0b_kasvu*($C248-2019))*$B248,0)</f>
        <v>0</v>
      </c>
      <c r="F248" s="145">
        <f t="shared" si="66"/>
        <v>0</v>
      </c>
      <c r="G248" s="145">
        <f t="shared" si="75"/>
        <v>0</v>
      </c>
      <c r="H248" s="145">
        <f t="shared" si="76"/>
        <v>0</v>
      </c>
      <c r="I248" s="145">
        <f t="shared" si="67"/>
        <v>0</v>
      </c>
      <c r="J248" s="145">
        <f t="shared" si="68"/>
        <v>0</v>
      </c>
      <c r="K248" s="142" t="str">
        <f t="shared" si="77"/>
        <v>kWh</v>
      </c>
      <c r="L248" s="146">
        <f>IFERROR(INDEX(Työkonekanta!$I$3:$I$27,MATCH('S0b Baseline kasvu'!$A248,Työkonekanta!$A$3:$A$24,0),1)*(I248+J248)*f_adblue,0)</f>
        <v>0</v>
      </c>
      <c r="M248" s="146">
        <f t="shared" si="83"/>
        <v>0</v>
      </c>
      <c r="N248" s="143" t="str">
        <f>IF(tuulisähkö_vuosi&lt;='S0b Baseline kasvu'!C248,"tuulisähkö",ostosähkö_nyt)</f>
        <v>jäännössähkö</v>
      </c>
      <c r="O248" s="147">
        <f>INDEX(Muuttujat!$J$5:$J$21,MATCH($C248,Muuttujat!$H$5:$H$21,0),1)</f>
        <v>63.897506909426724</v>
      </c>
      <c r="P248" s="342">
        <f>1-(INDEX(Muuttujat!$O$5:$O$21,MATCH($C248,Muuttujat!$N$5:$N$21,0),1))</f>
        <v>0.91</v>
      </c>
      <c r="Q248" s="342">
        <f>INDEX(Muuttujat!$O$5:$O$21,MATCH($C248,Muuttujat!$N$5:$N$21,0),1)</f>
        <v>0.09</v>
      </c>
      <c r="R248" s="148">
        <f>INDEX(Muuttujat!$P$5:$P$21,MATCH($C248,Muuttujat!$N$5:$N$21,0),1)</f>
        <v>9.3804435869509845E-2</v>
      </c>
      <c r="S248" s="149">
        <f t="shared" si="69"/>
        <v>0</v>
      </c>
      <c r="T248" s="150">
        <f t="shared" si="70"/>
        <v>0</v>
      </c>
      <c r="U248" s="150">
        <f t="shared" si="71"/>
        <v>0</v>
      </c>
      <c r="V248" s="150">
        <f>IFERROR(INDEX(Työkonekanta!$J$3:$J$27,MATCH($A248,Työkonekanta!$A$3:$A$24,0),1)*$B248*ef_li_ion_akku/1000/1000/INDEX(Työkonekanta!$K$3:$K$27,MATCH($A248,Työkonekanta!$A$3:$A$24,0)),0)</f>
        <v>0</v>
      </c>
      <c r="W248" s="149">
        <f t="shared" si="84"/>
        <v>0</v>
      </c>
      <c r="X248" s="150">
        <f t="shared" si="85"/>
        <v>0</v>
      </c>
      <c r="Y248" s="151">
        <f t="shared" si="86"/>
        <v>0</v>
      </c>
      <c r="Z248" s="152">
        <f t="shared" si="78"/>
        <v>0</v>
      </c>
      <c r="AA248" s="179">
        <f t="shared" si="79"/>
        <v>0</v>
      </c>
      <c r="AB248" s="179">
        <f t="shared" si="80"/>
        <v>0</v>
      </c>
      <c r="AC248" s="180">
        <f t="shared" si="87"/>
        <v>0</v>
      </c>
      <c r="AD248" s="156">
        <f t="shared" si="81"/>
        <v>0</v>
      </c>
      <c r="AE248" s="146">
        <f>IFERROR(INDEX(Työkonekanta!$L$3:$L$30,MATCH($A248,Työkonekanta!$A$3:$A$30,0),1),0)*AF248</f>
        <v>0</v>
      </c>
      <c r="AF248" s="146">
        <f>IFERROR(INDEX(Työkonekanta!$N$3:$N$32,MATCH($A248,Työkonekanta!$A$3:$A$32,0),1),0)</f>
        <v>0</v>
      </c>
      <c r="AG248" s="332">
        <f>I248*INDEX(Muuttujat!$U$5:$U$21,MATCH($C248,Muuttujat!$N$5:$N$21,0),1)</f>
        <v>0</v>
      </c>
      <c r="AH248" s="332">
        <f>J248*INDEX(Muuttujat!$T$5:$T$21,MATCH($C248,Muuttujat!$N$5:$N$21,0),1)</f>
        <v>0</v>
      </c>
      <c r="AI248" s="332">
        <f t="shared" si="72"/>
        <v>0</v>
      </c>
      <c r="AJ248" s="332">
        <f t="shared" si="73"/>
        <v>0</v>
      </c>
      <c r="AK248" s="332">
        <f t="shared" si="82"/>
        <v>0</v>
      </c>
      <c r="AL248" s="332">
        <f t="shared" si="74"/>
        <v>0</v>
      </c>
    </row>
    <row r="249" spans="1:38">
      <c r="A249" s="139">
        <v>7</v>
      </c>
      <c r="B249" s="139">
        <f>IFERROR(INDEX(Työkonekanta!$F$3:$F$27,MATCH('S0b Baseline kasvu'!$A249,Työkonekanta!$A$3:$A$24,0),1),0)</f>
        <v>1</v>
      </c>
      <c r="C249" s="140">
        <v>2027</v>
      </c>
      <c r="D249" s="141" t="str">
        <f>IFERROR(INDEX(Työkonekanta!$D$3:$D$27,MATCH('S0b Baseline kasvu'!$A249,Työkonekanta!$A$3:$A$24,0),1),"undefined")</f>
        <v>pom</v>
      </c>
      <c r="E249" s="145">
        <f>IFERROR(INDEX(Työkonekanta!$G$3:$G$27,MATCH($A249,Työkonekanta!$A$3:$A$24,0),1)*INDEX(Työkonekanta!$H$3:$H$27,MATCH($A249,Työkonekanta!$A$3:$A$24,0),1)*(1+s0b_kasvu*($C249-2019))*$B249,0)</f>
        <v>10800</v>
      </c>
      <c r="F249" s="145">
        <f t="shared" si="66"/>
        <v>387720</v>
      </c>
      <c r="G249" s="145">
        <f t="shared" si="75"/>
        <v>352825.2</v>
      </c>
      <c r="H249" s="145">
        <f t="shared" si="76"/>
        <v>34894.799999999996</v>
      </c>
      <c r="I249" s="145">
        <f t="shared" si="67"/>
        <v>9828</v>
      </c>
      <c r="J249" s="145">
        <f t="shared" si="68"/>
        <v>1017.3411078717201</v>
      </c>
      <c r="K249" s="142" t="str">
        <f t="shared" si="77"/>
        <v>l</v>
      </c>
      <c r="L249" s="146">
        <f>IFERROR(INDEX(Työkonekanta!$I$3:$I$27,MATCH('S0b Baseline kasvu'!$A249,Työkonekanta!$A$3:$A$24,0),1)*(I249+J249)*f_adblue,0)</f>
        <v>0</v>
      </c>
      <c r="M249" s="146">
        <f t="shared" si="83"/>
        <v>0</v>
      </c>
      <c r="N249" s="143" t="str">
        <f>IF(tuulisähkö_vuosi&lt;='S0b Baseline kasvu'!C249,"tuulisähkö",ostosähkö_nyt)</f>
        <v>jäännössähkö</v>
      </c>
      <c r="O249" s="147">
        <f>INDEX(Muuttujat!$J$5:$J$21,MATCH($C249,Muuttujat!$H$5:$H$21,0),1)</f>
        <v>63.897506909426724</v>
      </c>
      <c r="P249" s="342">
        <f>1-(INDEX(Muuttujat!$O$5:$O$21,MATCH($C249,Muuttujat!$N$5:$N$21,0),1))</f>
        <v>0.91</v>
      </c>
      <c r="Q249" s="342">
        <f>INDEX(Muuttujat!$O$5:$O$21,MATCH($C249,Muuttujat!$N$5:$N$21,0),1)</f>
        <v>0.09</v>
      </c>
      <c r="R249" s="148">
        <f>INDEX(Muuttujat!$P$5:$P$21,MATCH($C249,Muuttujat!$N$5:$N$21,0),1)</f>
        <v>9.3804435869509845E-2</v>
      </c>
      <c r="S249" s="149">
        <f t="shared" si="69"/>
        <v>6.6683962799999987</v>
      </c>
      <c r="T249" s="150">
        <f t="shared" si="70"/>
        <v>2.1774355199999995</v>
      </c>
      <c r="U249" s="150">
        <f t="shared" si="71"/>
        <v>0</v>
      </c>
      <c r="V249" s="150">
        <f>IFERROR(INDEX(Työkonekanta!$J$3:$J$27,MATCH($A249,Työkonekanta!$A$3:$A$24,0),1)*$B249*ef_li_ion_akku/1000/1000/INDEX(Työkonekanta!$K$3:$K$27,MATCH($A249,Työkonekanta!$A$3:$A$24,0)),0)</f>
        <v>0</v>
      </c>
      <c r="W249" s="149">
        <f t="shared" si="84"/>
        <v>26.0414120774808</v>
      </c>
      <c r="X249" s="150">
        <f t="shared" si="85"/>
        <v>0.34316531280000001</v>
      </c>
      <c r="Y249" s="151">
        <f t="shared" si="86"/>
        <v>0</v>
      </c>
      <c r="Z249" s="152">
        <f t="shared" si="78"/>
        <v>8.8458317999999991</v>
      </c>
      <c r="AA249" s="179">
        <f t="shared" si="79"/>
        <v>26.0414120774808</v>
      </c>
      <c r="AB249" s="179">
        <f t="shared" si="80"/>
        <v>26.3845773902808</v>
      </c>
      <c r="AC249" s="180">
        <f t="shared" si="87"/>
        <v>34.887243877480799</v>
      </c>
      <c r="AD249" s="156">
        <f t="shared" si="81"/>
        <v>35.230409190280795</v>
      </c>
      <c r="AE249" s="146">
        <f>IFERROR(INDEX(Työkonekanta!$L$3:$L$30,MATCH($A249,Työkonekanta!$A$3:$A$30,0),1),0)*AF249</f>
        <v>500000</v>
      </c>
      <c r="AF249" s="146">
        <f>IFERROR(INDEX(Työkonekanta!$N$3:$N$32,MATCH($A249,Työkonekanta!$A$3:$A$32,0),1),0)</f>
        <v>1</v>
      </c>
      <c r="AG249" s="332">
        <f>I249*INDEX(Muuttujat!$U$5:$U$21,MATCH($C249,Muuttujat!$N$5:$N$21,0),1)</f>
        <v>10221.120000000001</v>
      </c>
      <c r="AH249" s="332">
        <f>J249*INDEX(Muuttujat!$T$5:$T$21,MATCH($C249,Muuttujat!$N$5:$N$21,0),1)</f>
        <v>1464.9711953352769</v>
      </c>
      <c r="AI249" s="332">
        <f t="shared" si="72"/>
        <v>0</v>
      </c>
      <c r="AJ249" s="332">
        <f t="shared" si="73"/>
        <v>0</v>
      </c>
      <c r="AK249" s="332">
        <f t="shared" si="82"/>
        <v>11686.091195335277</v>
      </c>
      <c r="AL249" s="332">
        <f t="shared" si="74"/>
        <v>11686.091195335277</v>
      </c>
    </row>
    <row r="250" spans="1:38">
      <c r="A250" s="139">
        <v>8</v>
      </c>
      <c r="B250" s="139">
        <f>IFERROR(INDEX(Työkonekanta!$F$3:$F$27,MATCH('S0b Baseline kasvu'!$A250,Työkonekanta!$A$3:$A$24,0),1),0)</f>
        <v>1</v>
      </c>
      <c r="C250" s="140">
        <v>2027</v>
      </c>
      <c r="D250" s="141" t="str">
        <f>IFERROR(INDEX(Työkonekanta!$D$3:$D$27,MATCH('S0b Baseline kasvu'!$A250,Työkonekanta!$A$3:$A$24,0),1),"undefined")</f>
        <v>pom</v>
      </c>
      <c r="E250" s="145">
        <f>IFERROR(INDEX(Työkonekanta!$G$3:$G$27,MATCH($A250,Työkonekanta!$A$3:$A$24,0),1)*INDEX(Työkonekanta!$H$3:$H$27,MATCH($A250,Työkonekanta!$A$3:$A$24,0),1)*(1+s0b_kasvu*($C250-2019))*$B250,0)</f>
        <v>10800</v>
      </c>
      <c r="F250" s="145">
        <f t="shared" si="66"/>
        <v>387720</v>
      </c>
      <c r="G250" s="145">
        <f t="shared" si="75"/>
        <v>352825.2</v>
      </c>
      <c r="H250" s="145">
        <f t="shared" si="76"/>
        <v>34894.799999999996</v>
      </c>
      <c r="I250" s="145">
        <f t="shared" si="67"/>
        <v>9828</v>
      </c>
      <c r="J250" s="145">
        <f t="shared" si="68"/>
        <v>1017.3411078717201</v>
      </c>
      <c r="K250" s="142" t="str">
        <f t="shared" si="77"/>
        <v>l</v>
      </c>
      <c r="L250" s="146">
        <f>IFERROR(INDEX(Työkonekanta!$I$3:$I$27,MATCH('S0b Baseline kasvu'!$A250,Työkonekanta!$A$3:$A$24,0),1)*(I250+J250)*f_adblue,0)</f>
        <v>542.26705539358602</v>
      </c>
      <c r="M250" s="146">
        <f t="shared" si="83"/>
        <v>0</v>
      </c>
      <c r="N250" s="143" t="str">
        <f>IF(tuulisähkö_vuosi&lt;='S0b Baseline kasvu'!C250,"tuulisähkö",ostosähkö_nyt)</f>
        <v>jäännössähkö</v>
      </c>
      <c r="O250" s="147">
        <f>INDEX(Muuttujat!$J$5:$J$21,MATCH($C250,Muuttujat!$H$5:$H$21,0),1)</f>
        <v>63.897506909426724</v>
      </c>
      <c r="P250" s="342">
        <f>1-(INDEX(Muuttujat!$O$5:$O$21,MATCH($C250,Muuttujat!$N$5:$N$21,0),1))</f>
        <v>0.91</v>
      </c>
      <c r="Q250" s="342">
        <f>INDEX(Muuttujat!$O$5:$O$21,MATCH($C250,Muuttujat!$N$5:$N$21,0),1)</f>
        <v>0.09</v>
      </c>
      <c r="R250" s="148">
        <f>INDEX(Muuttujat!$P$5:$P$21,MATCH($C250,Muuttujat!$N$5:$N$21,0),1)</f>
        <v>9.3804435869509845E-2</v>
      </c>
      <c r="S250" s="149">
        <f t="shared" si="69"/>
        <v>6.6683962799999987</v>
      </c>
      <c r="T250" s="150">
        <f t="shared" si="70"/>
        <v>2.1774355199999995</v>
      </c>
      <c r="U250" s="150">
        <f t="shared" si="71"/>
        <v>0</v>
      </c>
      <c r="V250" s="150">
        <f>IFERROR(INDEX(Työkonekanta!$J$3:$J$27,MATCH($A250,Työkonekanta!$A$3:$A$24,0),1)*$B250*ef_li_ion_akku/1000/1000/INDEX(Työkonekanta!$K$3:$K$27,MATCH($A250,Työkonekanta!$A$3:$A$24,0)),0)</f>
        <v>0</v>
      </c>
      <c r="W250" s="149">
        <f t="shared" si="84"/>
        <v>26.0414120774808</v>
      </c>
      <c r="X250" s="150">
        <f t="shared" si="85"/>
        <v>0.34316531280000001</v>
      </c>
      <c r="Y250" s="151">
        <f t="shared" si="86"/>
        <v>0.14098943440233239</v>
      </c>
      <c r="Z250" s="152">
        <f t="shared" si="78"/>
        <v>8.8458317999999991</v>
      </c>
      <c r="AA250" s="179">
        <f t="shared" si="79"/>
        <v>26.182401511883132</v>
      </c>
      <c r="AB250" s="179">
        <f t="shared" si="80"/>
        <v>26.525566824683132</v>
      </c>
      <c r="AC250" s="180">
        <f t="shared" si="87"/>
        <v>35.028233311883127</v>
      </c>
      <c r="AD250" s="156">
        <f t="shared" si="81"/>
        <v>35.371398624683131</v>
      </c>
      <c r="AE250" s="146">
        <f>IFERROR(INDEX(Työkonekanta!$L$3:$L$30,MATCH($A250,Työkonekanta!$A$3:$A$30,0),1),0)*AF250</f>
        <v>500000</v>
      </c>
      <c r="AF250" s="146">
        <f>IFERROR(INDEX(Työkonekanta!$N$3:$N$32,MATCH($A250,Työkonekanta!$A$3:$A$32,0),1),0)</f>
        <v>1</v>
      </c>
      <c r="AG250" s="332">
        <f>I250*INDEX(Muuttujat!$U$5:$U$21,MATCH($C250,Muuttujat!$N$5:$N$21,0),1)</f>
        <v>10221.120000000001</v>
      </c>
      <c r="AH250" s="332">
        <f>J250*INDEX(Muuttujat!$T$5:$T$21,MATCH($C250,Muuttujat!$N$5:$N$21,0),1)</f>
        <v>1464.9711953352769</v>
      </c>
      <c r="AI250" s="332">
        <f t="shared" si="72"/>
        <v>271.13352769679301</v>
      </c>
      <c r="AJ250" s="332">
        <f t="shared" si="73"/>
        <v>0</v>
      </c>
      <c r="AK250" s="332">
        <f t="shared" si="82"/>
        <v>11957.22472303207</v>
      </c>
      <c r="AL250" s="332">
        <f t="shared" si="74"/>
        <v>11957.22472303207</v>
      </c>
    </row>
    <row r="251" spans="1:38">
      <c r="A251" s="139">
        <v>9</v>
      </c>
      <c r="B251" s="139">
        <f>IFERROR(INDEX(Työkonekanta!$F$3:$F$27,MATCH('S0b Baseline kasvu'!$A251,Työkonekanta!$A$3:$A$24,0),1),0)</f>
        <v>0</v>
      </c>
      <c r="C251" s="140">
        <v>2027</v>
      </c>
      <c r="D251" s="141" t="str">
        <f>IFERROR(INDEX(Työkonekanta!$D$3:$D$27,MATCH('S0b Baseline kasvu'!$A251,Työkonekanta!$A$3:$A$24,0),1),"undefined")</f>
        <v>sähkö</v>
      </c>
      <c r="E251" s="145">
        <f>IFERROR(INDEX(Työkonekanta!$G$3:$G$27,MATCH($A251,Työkonekanta!$A$3:$A$24,0),1)*INDEX(Työkonekanta!$H$3:$H$27,MATCH($A251,Työkonekanta!$A$3:$A$24,0),1)*(1+s0b_kasvu*($C251-2019))*$B251,0)</f>
        <v>0</v>
      </c>
      <c r="F251" s="145">
        <f t="shared" si="66"/>
        <v>0</v>
      </c>
      <c r="G251" s="145">
        <f t="shared" si="75"/>
        <v>0</v>
      </c>
      <c r="H251" s="145">
        <f t="shared" si="76"/>
        <v>0</v>
      </c>
      <c r="I251" s="145">
        <f t="shared" si="67"/>
        <v>0</v>
      </c>
      <c r="J251" s="145">
        <f t="shared" si="68"/>
        <v>0</v>
      </c>
      <c r="K251" s="142" t="str">
        <f t="shared" si="77"/>
        <v>kWh</v>
      </c>
      <c r="L251" s="146">
        <f>IFERROR(INDEX(Työkonekanta!$I$3:$I$27,MATCH('S0b Baseline kasvu'!$A251,Työkonekanta!$A$3:$A$24,0),1)*(I251+J251)*f_adblue,0)</f>
        <v>0</v>
      </c>
      <c r="M251" s="146">
        <f t="shared" si="83"/>
        <v>0</v>
      </c>
      <c r="N251" s="143" t="str">
        <f>IF(tuulisähkö_vuosi&lt;='S0b Baseline kasvu'!C251,"tuulisähkö",ostosähkö_nyt)</f>
        <v>jäännössähkö</v>
      </c>
      <c r="O251" s="147">
        <f>INDEX(Muuttujat!$J$5:$J$21,MATCH($C251,Muuttujat!$H$5:$H$21,0),1)</f>
        <v>63.897506909426724</v>
      </c>
      <c r="P251" s="342">
        <f>1-(INDEX(Muuttujat!$O$5:$O$21,MATCH($C251,Muuttujat!$N$5:$N$21,0),1))</f>
        <v>0.91</v>
      </c>
      <c r="Q251" s="342">
        <f>INDEX(Muuttujat!$O$5:$O$21,MATCH($C251,Muuttujat!$N$5:$N$21,0),1)</f>
        <v>0.09</v>
      </c>
      <c r="R251" s="148">
        <f>INDEX(Muuttujat!$P$5:$P$21,MATCH($C251,Muuttujat!$N$5:$N$21,0),1)</f>
        <v>9.3804435869509845E-2</v>
      </c>
      <c r="S251" s="149">
        <f t="shared" si="69"/>
        <v>0</v>
      </c>
      <c r="T251" s="150">
        <f t="shared" si="70"/>
        <v>0</v>
      </c>
      <c r="U251" s="150">
        <f t="shared" si="71"/>
        <v>0</v>
      </c>
      <c r="V251" s="150">
        <f>IFERROR(INDEX(Työkonekanta!$J$3:$J$27,MATCH($A251,Työkonekanta!$A$3:$A$24,0),1)*$B251*ef_li_ion_akku/1000/1000/INDEX(Työkonekanta!$K$3:$K$27,MATCH($A251,Työkonekanta!$A$3:$A$24,0)),0)</f>
        <v>0</v>
      </c>
      <c r="W251" s="149">
        <f t="shared" si="84"/>
        <v>0</v>
      </c>
      <c r="X251" s="150">
        <f t="shared" si="85"/>
        <v>0</v>
      </c>
      <c r="Y251" s="151">
        <f t="shared" si="86"/>
        <v>0</v>
      </c>
      <c r="Z251" s="152">
        <f t="shared" si="78"/>
        <v>0</v>
      </c>
      <c r="AA251" s="179">
        <f t="shared" si="79"/>
        <v>0</v>
      </c>
      <c r="AB251" s="179">
        <f t="shared" si="80"/>
        <v>0</v>
      </c>
      <c r="AC251" s="180">
        <f t="shared" si="87"/>
        <v>0</v>
      </c>
      <c r="AD251" s="156">
        <f t="shared" si="81"/>
        <v>0</v>
      </c>
      <c r="AE251" s="146">
        <f>IFERROR(INDEX(Työkonekanta!$L$3:$L$30,MATCH($A251,Työkonekanta!$A$3:$A$30,0),1),0)*AF251</f>
        <v>0</v>
      </c>
      <c r="AF251" s="146">
        <f>IFERROR(INDEX(Työkonekanta!$N$3:$N$32,MATCH($A251,Työkonekanta!$A$3:$A$32,0),1),0)</f>
        <v>0</v>
      </c>
      <c r="AG251" s="332">
        <f>I251*INDEX(Muuttujat!$U$5:$U$21,MATCH($C251,Muuttujat!$N$5:$N$21,0),1)</f>
        <v>0</v>
      </c>
      <c r="AH251" s="332">
        <f>J251*INDEX(Muuttujat!$T$5:$T$21,MATCH($C251,Muuttujat!$N$5:$N$21,0),1)</f>
        <v>0</v>
      </c>
      <c r="AI251" s="332">
        <f t="shared" si="72"/>
        <v>0</v>
      </c>
      <c r="AJ251" s="332">
        <f t="shared" si="73"/>
        <v>0</v>
      </c>
      <c r="AK251" s="332">
        <f t="shared" si="82"/>
        <v>0</v>
      </c>
      <c r="AL251" s="332">
        <f t="shared" si="74"/>
        <v>0</v>
      </c>
    </row>
    <row r="252" spans="1:38">
      <c r="A252" s="139">
        <v>10</v>
      </c>
      <c r="B252" s="139">
        <f>IFERROR(INDEX(Työkonekanta!$F$3:$F$27,MATCH('S0b Baseline kasvu'!$A252,Työkonekanta!$A$3:$A$24,0),1),0)</f>
        <v>0</v>
      </c>
      <c r="C252" s="140">
        <v>2027</v>
      </c>
      <c r="D252" s="141" t="str">
        <f>IFERROR(INDEX(Työkonekanta!$D$3:$D$27,MATCH('S0b Baseline kasvu'!$A252,Työkonekanta!$A$3:$A$24,0),1),"undefined")</f>
        <v>sähkö</v>
      </c>
      <c r="E252" s="145">
        <f>IFERROR(INDEX(Työkonekanta!$G$3:$G$27,MATCH($A252,Työkonekanta!$A$3:$A$24,0),1)*INDEX(Työkonekanta!$H$3:$H$27,MATCH($A252,Työkonekanta!$A$3:$A$24,0),1)*(1+s0b_kasvu*($C252-2019))*$B252,0)</f>
        <v>0</v>
      </c>
      <c r="F252" s="145">
        <f t="shared" si="66"/>
        <v>0</v>
      </c>
      <c r="G252" s="145">
        <f t="shared" si="75"/>
        <v>0</v>
      </c>
      <c r="H252" s="145">
        <f t="shared" si="76"/>
        <v>0</v>
      </c>
      <c r="I252" s="145">
        <f t="shared" si="67"/>
        <v>0</v>
      </c>
      <c r="J252" s="145">
        <f t="shared" si="68"/>
        <v>0</v>
      </c>
      <c r="K252" s="142" t="str">
        <f t="shared" si="77"/>
        <v>kWh</v>
      </c>
      <c r="L252" s="146">
        <f>IFERROR(INDEX(Työkonekanta!$I$3:$I$27,MATCH('S0b Baseline kasvu'!$A252,Työkonekanta!$A$3:$A$24,0),1)*(I252+J252)*f_adblue,0)</f>
        <v>0</v>
      </c>
      <c r="M252" s="146">
        <f t="shared" si="83"/>
        <v>0</v>
      </c>
      <c r="N252" s="143" t="str">
        <f>IF(tuulisähkö_vuosi&lt;='S0b Baseline kasvu'!C252,"tuulisähkö",ostosähkö_nyt)</f>
        <v>jäännössähkö</v>
      </c>
      <c r="O252" s="147">
        <f>INDEX(Muuttujat!$J$5:$J$21,MATCH($C252,Muuttujat!$H$5:$H$21,0),1)</f>
        <v>63.897506909426724</v>
      </c>
      <c r="P252" s="342">
        <f>1-(INDEX(Muuttujat!$O$5:$O$21,MATCH($C252,Muuttujat!$N$5:$N$21,0),1))</f>
        <v>0.91</v>
      </c>
      <c r="Q252" s="342">
        <f>INDEX(Muuttujat!$O$5:$O$21,MATCH($C252,Muuttujat!$N$5:$N$21,0),1)</f>
        <v>0.09</v>
      </c>
      <c r="R252" s="148">
        <f>INDEX(Muuttujat!$P$5:$P$21,MATCH($C252,Muuttujat!$N$5:$N$21,0),1)</f>
        <v>9.3804435869509845E-2</v>
      </c>
      <c r="S252" s="149">
        <f t="shared" si="69"/>
        <v>0</v>
      </c>
      <c r="T252" s="150">
        <f t="shared" si="70"/>
        <v>0</v>
      </c>
      <c r="U252" s="150">
        <f t="shared" si="71"/>
        <v>0</v>
      </c>
      <c r="V252" s="150">
        <f>IFERROR(INDEX(Työkonekanta!$J$3:$J$27,MATCH($A252,Työkonekanta!$A$3:$A$24,0),1)*$B252*ef_li_ion_akku/1000/1000/INDEX(Työkonekanta!$K$3:$K$27,MATCH($A252,Työkonekanta!$A$3:$A$24,0)),0)</f>
        <v>0</v>
      </c>
      <c r="W252" s="149">
        <f t="shared" si="84"/>
        <v>0</v>
      </c>
      <c r="X252" s="150">
        <f t="shared" si="85"/>
        <v>0</v>
      </c>
      <c r="Y252" s="151">
        <f t="shared" si="86"/>
        <v>0</v>
      </c>
      <c r="Z252" s="152">
        <f t="shared" si="78"/>
        <v>0</v>
      </c>
      <c r="AA252" s="179">
        <f t="shared" si="79"/>
        <v>0</v>
      </c>
      <c r="AB252" s="179">
        <f t="shared" si="80"/>
        <v>0</v>
      </c>
      <c r="AC252" s="180">
        <f t="shared" si="87"/>
        <v>0</v>
      </c>
      <c r="AD252" s="156">
        <f t="shared" si="81"/>
        <v>0</v>
      </c>
      <c r="AE252" s="146">
        <f>IFERROR(INDEX(Työkonekanta!$L$3:$L$30,MATCH($A252,Työkonekanta!$A$3:$A$30,0),1),0)*AF252</f>
        <v>0</v>
      </c>
      <c r="AF252" s="146">
        <f>IFERROR(INDEX(Työkonekanta!$N$3:$N$32,MATCH($A252,Työkonekanta!$A$3:$A$32,0),1),0)</f>
        <v>0</v>
      </c>
      <c r="AG252" s="332">
        <f>I252*INDEX(Muuttujat!$U$5:$U$21,MATCH($C252,Muuttujat!$N$5:$N$21,0),1)</f>
        <v>0</v>
      </c>
      <c r="AH252" s="332">
        <f>J252*INDEX(Muuttujat!$T$5:$T$21,MATCH($C252,Muuttujat!$N$5:$N$21,0),1)</f>
        <v>0</v>
      </c>
      <c r="AI252" s="332">
        <f t="shared" si="72"/>
        <v>0</v>
      </c>
      <c r="AJ252" s="332">
        <f t="shared" si="73"/>
        <v>0</v>
      </c>
      <c r="AK252" s="332">
        <f t="shared" si="82"/>
        <v>0</v>
      </c>
      <c r="AL252" s="332">
        <f t="shared" si="74"/>
        <v>0</v>
      </c>
    </row>
    <row r="253" spans="1:38">
      <c r="A253" s="139">
        <v>11</v>
      </c>
      <c r="B253" s="139">
        <f>IFERROR(INDEX(Työkonekanta!$F$3:$F$27,MATCH('S0b Baseline kasvu'!$A253,Työkonekanta!$A$3:$A$24,0),1),0)</f>
        <v>1</v>
      </c>
      <c r="C253" s="140">
        <v>2027</v>
      </c>
      <c r="D253" s="141" t="str">
        <f>IFERROR(INDEX(Työkonekanta!$D$3:$D$27,MATCH('S0b Baseline kasvu'!$A253,Työkonekanta!$A$3:$A$24,0),1),"undefined")</f>
        <v>pom</v>
      </c>
      <c r="E253" s="145">
        <f>IFERROR(INDEX(Työkonekanta!$G$3:$G$27,MATCH($A253,Työkonekanta!$A$3:$A$24,0),1)*INDEX(Työkonekanta!$H$3:$H$27,MATCH($A253,Työkonekanta!$A$3:$A$24,0),1)*(1+s0b_kasvu*($C253-2019))*$B253,0)</f>
        <v>10800</v>
      </c>
      <c r="F253" s="145">
        <f t="shared" si="66"/>
        <v>387720</v>
      </c>
      <c r="G253" s="145">
        <f t="shared" si="75"/>
        <v>352825.2</v>
      </c>
      <c r="H253" s="145">
        <f t="shared" si="76"/>
        <v>34894.799999999996</v>
      </c>
      <c r="I253" s="145">
        <f t="shared" si="67"/>
        <v>9828</v>
      </c>
      <c r="J253" s="145">
        <f t="shared" si="68"/>
        <v>1017.3411078717201</v>
      </c>
      <c r="K253" s="142" t="str">
        <f t="shared" si="77"/>
        <v>l</v>
      </c>
      <c r="L253" s="146">
        <f>IFERROR(INDEX(Työkonekanta!$I$3:$I$27,MATCH('S0b Baseline kasvu'!$A253,Työkonekanta!$A$3:$A$24,0),1)*(I253+J253)*f_adblue,0)</f>
        <v>542.26705539358602</v>
      </c>
      <c r="M253" s="146">
        <f t="shared" si="83"/>
        <v>0</v>
      </c>
      <c r="N253" s="143" t="str">
        <f>IF(tuulisähkö_vuosi&lt;='S0b Baseline kasvu'!C253,"tuulisähkö",ostosähkö_nyt)</f>
        <v>jäännössähkö</v>
      </c>
      <c r="O253" s="147">
        <f>INDEX(Muuttujat!$J$5:$J$21,MATCH($C253,Muuttujat!$H$5:$H$21,0),1)</f>
        <v>63.897506909426724</v>
      </c>
      <c r="P253" s="342">
        <f>1-(INDEX(Muuttujat!$O$5:$O$21,MATCH($C253,Muuttujat!$N$5:$N$21,0),1))</f>
        <v>0.91</v>
      </c>
      <c r="Q253" s="342">
        <f>INDEX(Muuttujat!$O$5:$O$21,MATCH($C253,Muuttujat!$N$5:$N$21,0),1)</f>
        <v>0.09</v>
      </c>
      <c r="R253" s="148">
        <f>INDEX(Muuttujat!$P$5:$P$21,MATCH($C253,Muuttujat!$N$5:$N$21,0),1)</f>
        <v>9.3804435869509845E-2</v>
      </c>
      <c r="S253" s="149">
        <f t="shared" si="69"/>
        <v>6.6683962799999987</v>
      </c>
      <c r="T253" s="150">
        <f t="shared" si="70"/>
        <v>2.1774355199999995</v>
      </c>
      <c r="U253" s="150">
        <f t="shared" si="71"/>
        <v>0</v>
      </c>
      <c r="V253" s="150">
        <f>IFERROR(INDEX(Työkonekanta!$J$3:$J$27,MATCH($A253,Työkonekanta!$A$3:$A$24,0),1)*$B253*ef_li_ion_akku/1000/1000/INDEX(Työkonekanta!$K$3:$K$27,MATCH($A253,Työkonekanta!$A$3:$A$24,0)),0)</f>
        <v>0</v>
      </c>
      <c r="W253" s="149">
        <f t="shared" si="84"/>
        <v>26.0414120774808</v>
      </c>
      <c r="X253" s="150">
        <f t="shared" si="85"/>
        <v>0.34316531280000001</v>
      </c>
      <c r="Y253" s="151">
        <f t="shared" si="86"/>
        <v>0.14098943440233239</v>
      </c>
      <c r="Z253" s="152">
        <f t="shared" si="78"/>
        <v>8.8458317999999991</v>
      </c>
      <c r="AA253" s="179">
        <f t="shared" si="79"/>
        <v>26.182401511883132</v>
      </c>
      <c r="AB253" s="179">
        <f t="shared" si="80"/>
        <v>26.525566824683132</v>
      </c>
      <c r="AC253" s="180">
        <f t="shared" si="87"/>
        <v>35.028233311883127</v>
      </c>
      <c r="AD253" s="156">
        <f t="shared" si="81"/>
        <v>35.371398624683131</v>
      </c>
      <c r="AE253" s="146">
        <f>IFERROR(INDEX(Työkonekanta!$L$3:$L$30,MATCH($A253,Työkonekanta!$A$3:$A$30,0),1),0)*AF253</f>
        <v>500000</v>
      </c>
      <c r="AF253" s="146">
        <f>IFERROR(INDEX(Työkonekanta!$N$3:$N$32,MATCH($A253,Työkonekanta!$A$3:$A$32,0),1),0)</f>
        <v>1</v>
      </c>
      <c r="AG253" s="332">
        <f>I253*INDEX(Muuttujat!$U$5:$U$21,MATCH($C253,Muuttujat!$N$5:$N$21,0),1)</f>
        <v>10221.120000000001</v>
      </c>
      <c r="AH253" s="332">
        <f>J253*INDEX(Muuttujat!$T$5:$T$21,MATCH($C253,Muuttujat!$N$5:$N$21,0),1)</f>
        <v>1464.9711953352769</v>
      </c>
      <c r="AI253" s="332">
        <f t="shared" si="72"/>
        <v>271.13352769679301</v>
      </c>
      <c r="AJ253" s="332">
        <f t="shared" si="73"/>
        <v>0</v>
      </c>
      <c r="AK253" s="332">
        <f t="shared" si="82"/>
        <v>11957.22472303207</v>
      </c>
      <c r="AL253" s="332">
        <f t="shared" si="74"/>
        <v>11957.22472303207</v>
      </c>
    </row>
    <row r="254" spans="1:38">
      <c r="A254" s="139">
        <v>12</v>
      </c>
      <c r="B254" s="139">
        <f>IFERROR(INDEX(Työkonekanta!$F$3:$F$27,MATCH('S0b Baseline kasvu'!$A254,Työkonekanta!$A$3:$A$24,0),1),0)</f>
        <v>1</v>
      </c>
      <c r="C254" s="140">
        <v>2027</v>
      </c>
      <c r="D254" s="141" t="str">
        <f>IFERROR(INDEX(Työkonekanta!$D$3:$D$27,MATCH('S0b Baseline kasvu'!$A254,Työkonekanta!$A$3:$A$24,0),1),"undefined")</f>
        <v>pom</v>
      </c>
      <c r="E254" s="145">
        <f>IFERROR(INDEX(Työkonekanta!$G$3:$G$27,MATCH($A254,Työkonekanta!$A$3:$A$24,0),1)*INDEX(Työkonekanta!$H$3:$H$27,MATCH($A254,Työkonekanta!$A$3:$A$24,0),1)*(1+s0b_kasvu*($C254-2019))*$B254,0)</f>
        <v>10800</v>
      </c>
      <c r="F254" s="145">
        <f t="shared" si="66"/>
        <v>387720</v>
      </c>
      <c r="G254" s="145">
        <f t="shared" si="75"/>
        <v>352825.2</v>
      </c>
      <c r="H254" s="145">
        <f t="shared" si="76"/>
        <v>34894.799999999996</v>
      </c>
      <c r="I254" s="145">
        <f t="shared" si="67"/>
        <v>9828</v>
      </c>
      <c r="J254" s="145">
        <f t="shared" si="68"/>
        <v>1017.3411078717201</v>
      </c>
      <c r="K254" s="142" t="str">
        <f t="shared" si="77"/>
        <v>l</v>
      </c>
      <c r="L254" s="146">
        <f>IFERROR(INDEX(Työkonekanta!$I$3:$I$27,MATCH('S0b Baseline kasvu'!$A254,Työkonekanta!$A$3:$A$24,0),1)*(I254+J254)*f_adblue,0)</f>
        <v>542.26705539358602</v>
      </c>
      <c r="M254" s="146">
        <f t="shared" si="83"/>
        <v>0</v>
      </c>
      <c r="N254" s="143" t="str">
        <f>IF(tuulisähkö_vuosi&lt;='S0b Baseline kasvu'!C254,"tuulisähkö",ostosähkö_nyt)</f>
        <v>jäännössähkö</v>
      </c>
      <c r="O254" s="147">
        <f>INDEX(Muuttujat!$J$5:$J$21,MATCH($C254,Muuttujat!$H$5:$H$21,0),1)</f>
        <v>63.897506909426724</v>
      </c>
      <c r="P254" s="342">
        <f>1-(INDEX(Muuttujat!$O$5:$O$21,MATCH($C254,Muuttujat!$N$5:$N$21,0),1))</f>
        <v>0.91</v>
      </c>
      <c r="Q254" s="342">
        <f>INDEX(Muuttujat!$O$5:$O$21,MATCH($C254,Muuttujat!$N$5:$N$21,0),1)</f>
        <v>0.09</v>
      </c>
      <c r="R254" s="148">
        <f>INDEX(Muuttujat!$P$5:$P$21,MATCH($C254,Muuttujat!$N$5:$N$21,0),1)</f>
        <v>9.3804435869509845E-2</v>
      </c>
      <c r="S254" s="149">
        <f t="shared" si="69"/>
        <v>6.6683962799999987</v>
      </c>
      <c r="T254" s="150">
        <f t="shared" si="70"/>
        <v>2.1774355199999995</v>
      </c>
      <c r="U254" s="150">
        <f t="shared" si="71"/>
        <v>0</v>
      </c>
      <c r="V254" s="150">
        <f>IFERROR(INDEX(Työkonekanta!$J$3:$J$27,MATCH($A254,Työkonekanta!$A$3:$A$24,0),1)*$B254*ef_li_ion_akku/1000/1000/INDEX(Työkonekanta!$K$3:$K$27,MATCH($A254,Työkonekanta!$A$3:$A$24,0)),0)</f>
        <v>0</v>
      </c>
      <c r="W254" s="149">
        <f t="shared" si="84"/>
        <v>26.0414120774808</v>
      </c>
      <c r="X254" s="150">
        <f t="shared" si="85"/>
        <v>0.34316531280000001</v>
      </c>
      <c r="Y254" s="151">
        <f t="shared" si="86"/>
        <v>0.14098943440233239</v>
      </c>
      <c r="Z254" s="152">
        <f t="shared" si="78"/>
        <v>8.8458317999999991</v>
      </c>
      <c r="AA254" s="179">
        <f t="shared" si="79"/>
        <v>26.182401511883132</v>
      </c>
      <c r="AB254" s="179">
        <f t="shared" si="80"/>
        <v>26.525566824683132</v>
      </c>
      <c r="AC254" s="180">
        <f t="shared" si="87"/>
        <v>35.028233311883127</v>
      </c>
      <c r="AD254" s="156">
        <f t="shared" si="81"/>
        <v>35.371398624683131</v>
      </c>
      <c r="AE254" s="146">
        <f>IFERROR(INDEX(Työkonekanta!$L$3:$L$30,MATCH($A254,Työkonekanta!$A$3:$A$30,0),1),0)*AF254</f>
        <v>500000</v>
      </c>
      <c r="AF254" s="146">
        <f>IFERROR(INDEX(Työkonekanta!$N$3:$N$32,MATCH($A254,Työkonekanta!$A$3:$A$32,0),1),0)</f>
        <v>1</v>
      </c>
      <c r="AG254" s="332">
        <f>I254*INDEX(Muuttujat!$U$5:$U$21,MATCH($C254,Muuttujat!$N$5:$N$21,0),1)</f>
        <v>10221.120000000001</v>
      </c>
      <c r="AH254" s="332">
        <f>J254*INDEX(Muuttujat!$T$5:$T$21,MATCH($C254,Muuttujat!$N$5:$N$21,0),1)</f>
        <v>1464.9711953352769</v>
      </c>
      <c r="AI254" s="332">
        <f t="shared" si="72"/>
        <v>271.13352769679301</v>
      </c>
      <c r="AJ254" s="332">
        <f t="shared" si="73"/>
        <v>0</v>
      </c>
      <c r="AK254" s="332">
        <f t="shared" si="82"/>
        <v>11957.22472303207</v>
      </c>
      <c r="AL254" s="332">
        <f t="shared" si="74"/>
        <v>11957.22472303207</v>
      </c>
    </row>
    <row r="255" spans="1:38">
      <c r="A255" s="139">
        <v>13</v>
      </c>
      <c r="B255" s="139">
        <f>IFERROR(INDEX(Työkonekanta!$F$3:$F$27,MATCH('S0b Baseline kasvu'!$A255,Työkonekanta!$A$3:$A$24,0),1),0)</f>
        <v>0</v>
      </c>
      <c r="C255" s="140">
        <v>2027</v>
      </c>
      <c r="D255" s="141" t="str">
        <f>IFERROR(INDEX(Työkonekanta!$D$3:$D$27,MATCH('S0b Baseline kasvu'!$A255,Työkonekanta!$A$3:$A$24,0),1),"undefined")</f>
        <v>pom</v>
      </c>
      <c r="E255" s="145">
        <f>IFERROR(INDEX(Työkonekanta!$G$3:$G$27,MATCH($A255,Työkonekanta!$A$3:$A$24,0),1)*INDEX(Työkonekanta!$H$3:$H$27,MATCH($A255,Työkonekanta!$A$3:$A$24,0),1)*(1+s0b_kasvu*($C255-2019))*$B255,0)</f>
        <v>0</v>
      </c>
      <c r="F255" s="145">
        <f t="shared" si="66"/>
        <v>0</v>
      </c>
      <c r="G255" s="145">
        <f t="shared" si="75"/>
        <v>0</v>
      </c>
      <c r="H255" s="145">
        <f t="shared" si="76"/>
        <v>0</v>
      </c>
      <c r="I255" s="145">
        <f t="shared" si="67"/>
        <v>0</v>
      </c>
      <c r="J255" s="145">
        <f t="shared" si="68"/>
        <v>0</v>
      </c>
      <c r="K255" s="142" t="str">
        <f t="shared" si="77"/>
        <v>l</v>
      </c>
      <c r="L255" s="146">
        <f>IFERROR(INDEX(Työkonekanta!$I$3:$I$27,MATCH('S0b Baseline kasvu'!$A255,Työkonekanta!$A$3:$A$24,0),1)*(I255+J255)*f_adblue,0)</f>
        <v>0</v>
      </c>
      <c r="M255" s="146">
        <f t="shared" si="83"/>
        <v>0</v>
      </c>
      <c r="N255" s="143" t="str">
        <f>IF(tuulisähkö_vuosi&lt;='S0b Baseline kasvu'!C255,"tuulisähkö",ostosähkö_nyt)</f>
        <v>jäännössähkö</v>
      </c>
      <c r="O255" s="147">
        <f>INDEX(Muuttujat!$J$5:$J$21,MATCH($C255,Muuttujat!$H$5:$H$21,0),1)</f>
        <v>63.897506909426724</v>
      </c>
      <c r="P255" s="342">
        <f>1-(INDEX(Muuttujat!$O$5:$O$21,MATCH($C255,Muuttujat!$N$5:$N$21,0),1))</f>
        <v>0.91</v>
      </c>
      <c r="Q255" s="342">
        <f>INDEX(Muuttujat!$O$5:$O$21,MATCH($C255,Muuttujat!$N$5:$N$21,0),1)</f>
        <v>0.09</v>
      </c>
      <c r="R255" s="148">
        <f>INDEX(Muuttujat!$P$5:$P$21,MATCH($C255,Muuttujat!$N$5:$N$21,0),1)</f>
        <v>9.3804435869509845E-2</v>
      </c>
      <c r="S255" s="149">
        <f t="shared" si="69"/>
        <v>0</v>
      </c>
      <c r="T255" s="150">
        <f t="shared" si="70"/>
        <v>0</v>
      </c>
      <c r="U255" s="150">
        <f t="shared" si="71"/>
        <v>0</v>
      </c>
      <c r="V255" s="150">
        <f>IFERROR(INDEX(Työkonekanta!$J$3:$J$27,MATCH($A255,Työkonekanta!$A$3:$A$24,0),1)*$B255*ef_li_ion_akku/1000/1000/INDEX(Työkonekanta!$K$3:$K$27,MATCH($A255,Työkonekanta!$A$3:$A$24,0)),0)</f>
        <v>0</v>
      </c>
      <c r="W255" s="149">
        <f t="shared" si="84"/>
        <v>0</v>
      </c>
      <c r="X255" s="150">
        <f t="shared" si="85"/>
        <v>0</v>
      </c>
      <c r="Y255" s="151">
        <f t="shared" si="86"/>
        <v>0</v>
      </c>
      <c r="Z255" s="152">
        <f t="shared" si="78"/>
        <v>0</v>
      </c>
      <c r="AA255" s="179">
        <f t="shared" si="79"/>
        <v>0</v>
      </c>
      <c r="AB255" s="179">
        <f t="shared" si="80"/>
        <v>0</v>
      </c>
      <c r="AC255" s="180">
        <f t="shared" si="87"/>
        <v>0</v>
      </c>
      <c r="AD255" s="156">
        <f t="shared" si="81"/>
        <v>0</v>
      </c>
      <c r="AE255" s="146">
        <f>IFERROR(INDEX(Työkonekanta!$L$3:$L$30,MATCH($A255,Työkonekanta!$A$3:$A$30,0),1),0)*AF255</f>
        <v>0</v>
      </c>
      <c r="AF255" s="146">
        <f>IFERROR(INDEX(Työkonekanta!$N$3:$N$32,MATCH($A255,Työkonekanta!$A$3:$A$32,0),1),0)</f>
        <v>0</v>
      </c>
      <c r="AG255" s="332">
        <f>I255*INDEX(Muuttujat!$U$5:$U$21,MATCH($C255,Muuttujat!$N$5:$N$21,0),1)</f>
        <v>0</v>
      </c>
      <c r="AH255" s="332">
        <f>J255*INDEX(Muuttujat!$T$5:$T$21,MATCH($C255,Muuttujat!$N$5:$N$21,0),1)</f>
        <v>0</v>
      </c>
      <c r="AI255" s="332">
        <f t="shared" si="72"/>
        <v>0</v>
      </c>
      <c r="AJ255" s="332">
        <f t="shared" si="73"/>
        <v>0</v>
      </c>
      <c r="AK255" s="332">
        <f t="shared" si="82"/>
        <v>0</v>
      </c>
      <c r="AL255" s="332">
        <f t="shared" si="74"/>
        <v>0</v>
      </c>
    </row>
    <row r="256" spans="1:38">
      <c r="A256" s="139">
        <v>14</v>
      </c>
      <c r="B256" s="139">
        <f>IFERROR(INDEX(Työkonekanta!$F$3:$F$27,MATCH('S0b Baseline kasvu'!$A256,Työkonekanta!$A$3:$A$24,0),1),0)</f>
        <v>0</v>
      </c>
      <c r="C256" s="140">
        <v>2027</v>
      </c>
      <c r="D256" s="141" t="str">
        <f>IFERROR(INDEX(Työkonekanta!$D$3:$D$27,MATCH('S0b Baseline kasvu'!$A256,Työkonekanta!$A$3:$A$24,0),1),"undefined")</f>
        <v>pom</v>
      </c>
      <c r="E256" s="145">
        <f>IFERROR(INDEX(Työkonekanta!$G$3:$G$27,MATCH($A256,Työkonekanta!$A$3:$A$24,0),1)*INDEX(Työkonekanta!$H$3:$H$27,MATCH($A256,Työkonekanta!$A$3:$A$24,0),1)*(1+s0b_kasvu*($C256-2019))*$B256,0)</f>
        <v>0</v>
      </c>
      <c r="F256" s="145">
        <f t="shared" si="66"/>
        <v>0</v>
      </c>
      <c r="G256" s="145">
        <f t="shared" si="75"/>
        <v>0</v>
      </c>
      <c r="H256" s="145">
        <f t="shared" si="76"/>
        <v>0</v>
      </c>
      <c r="I256" s="145">
        <f t="shared" si="67"/>
        <v>0</v>
      </c>
      <c r="J256" s="145">
        <f t="shared" si="68"/>
        <v>0</v>
      </c>
      <c r="K256" s="142" t="str">
        <f t="shared" si="77"/>
        <v>l</v>
      </c>
      <c r="L256" s="146">
        <f>IFERROR(INDEX(Työkonekanta!$I$3:$I$27,MATCH('S0b Baseline kasvu'!$A256,Työkonekanta!$A$3:$A$24,0),1)*(I256+J256)*f_adblue,0)</f>
        <v>0</v>
      </c>
      <c r="M256" s="146">
        <f t="shared" si="83"/>
        <v>0</v>
      </c>
      <c r="N256" s="143" t="str">
        <f>IF(tuulisähkö_vuosi&lt;='S0b Baseline kasvu'!C256,"tuulisähkö",ostosähkö_nyt)</f>
        <v>jäännössähkö</v>
      </c>
      <c r="O256" s="147">
        <f>INDEX(Muuttujat!$J$5:$J$21,MATCH($C256,Muuttujat!$H$5:$H$21,0),1)</f>
        <v>63.897506909426724</v>
      </c>
      <c r="P256" s="342">
        <f>1-(INDEX(Muuttujat!$O$5:$O$21,MATCH($C256,Muuttujat!$N$5:$N$21,0),1))</f>
        <v>0.91</v>
      </c>
      <c r="Q256" s="342">
        <f>INDEX(Muuttujat!$O$5:$O$21,MATCH($C256,Muuttujat!$N$5:$N$21,0),1)</f>
        <v>0.09</v>
      </c>
      <c r="R256" s="148">
        <f>INDEX(Muuttujat!$P$5:$P$21,MATCH($C256,Muuttujat!$N$5:$N$21,0),1)</f>
        <v>9.3804435869509845E-2</v>
      </c>
      <c r="S256" s="149">
        <f t="shared" si="69"/>
        <v>0</v>
      </c>
      <c r="T256" s="150">
        <f t="shared" si="70"/>
        <v>0</v>
      </c>
      <c r="U256" s="150">
        <f t="shared" si="71"/>
        <v>0</v>
      </c>
      <c r="V256" s="150">
        <f>IFERROR(INDEX(Työkonekanta!$J$3:$J$27,MATCH($A256,Työkonekanta!$A$3:$A$24,0),1)*$B256*ef_li_ion_akku/1000/1000/INDEX(Työkonekanta!$K$3:$K$27,MATCH($A256,Työkonekanta!$A$3:$A$24,0)),0)</f>
        <v>0</v>
      </c>
      <c r="W256" s="149">
        <f t="shared" si="84"/>
        <v>0</v>
      </c>
      <c r="X256" s="150">
        <f t="shared" si="85"/>
        <v>0</v>
      </c>
      <c r="Y256" s="151">
        <f t="shared" si="86"/>
        <v>0</v>
      </c>
      <c r="Z256" s="152">
        <f t="shared" si="78"/>
        <v>0</v>
      </c>
      <c r="AA256" s="179">
        <f t="shared" si="79"/>
        <v>0</v>
      </c>
      <c r="AB256" s="179">
        <f t="shared" si="80"/>
        <v>0</v>
      </c>
      <c r="AC256" s="180">
        <f t="shared" si="87"/>
        <v>0</v>
      </c>
      <c r="AD256" s="156">
        <f t="shared" si="81"/>
        <v>0</v>
      </c>
      <c r="AE256" s="146">
        <f>IFERROR(INDEX(Työkonekanta!$L$3:$L$30,MATCH($A256,Työkonekanta!$A$3:$A$30,0),1),0)*AF256</f>
        <v>0</v>
      </c>
      <c r="AF256" s="146">
        <f>IFERROR(INDEX(Työkonekanta!$N$3:$N$32,MATCH($A256,Työkonekanta!$A$3:$A$32,0),1),0)</f>
        <v>0</v>
      </c>
      <c r="AG256" s="332">
        <f>I256*INDEX(Muuttujat!$U$5:$U$21,MATCH($C256,Muuttujat!$N$5:$N$21,0),1)</f>
        <v>0</v>
      </c>
      <c r="AH256" s="332">
        <f>J256*INDEX(Muuttujat!$T$5:$T$21,MATCH($C256,Muuttujat!$N$5:$N$21,0),1)</f>
        <v>0</v>
      </c>
      <c r="AI256" s="332">
        <f t="shared" si="72"/>
        <v>0</v>
      </c>
      <c r="AJ256" s="332">
        <f t="shared" si="73"/>
        <v>0</v>
      </c>
      <c r="AK256" s="332">
        <f t="shared" si="82"/>
        <v>0</v>
      </c>
      <c r="AL256" s="332">
        <f t="shared" si="74"/>
        <v>0</v>
      </c>
    </row>
    <row r="257" spans="1:38">
      <c r="A257" s="139">
        <v>15</v>
      </c>
      <c r="B257" s="139">
        <f>IFERROR(INDEX(Työkonekanta!$F$3:$F$27,MATCH('S0b Baseline kasvu'!$A257,Työkonekanta!$A$3:$A$24,0),1),0)</f>
        <v>0</v>
      </c>
      <c r="C257" s="140">
        <v>2027</v>
      </c>
      <c r="D257" s="141" t="str">
        <f>IFERROR(INDEX(Työkonekanta!$D$3:$D$27,MATCH('S0b Baseline kasvu'!$A257,Työkonekanta!$A$3:$A$24,0),1),"undefined")</f>
        <v>sähkö</v>
      </c>
      <c r="E257" s="145">
        <f>IFERROR(INDEX(Työkonekanta!$G$3:$G$27,MATCH($A257,Työkonekanta!$A$3:$A$24,0),1)*INDEX(Työkonekanta!$H$3:$H$27,MATCH($A257,Työkonekanta!$A$3:$A$24,0),1)*(1+s0b_kasvu*($C257-2019))*$B257,0)</f>
        <v>0</v>
      </c>
      <c r="F257" s="145">
        <f t="shared" si="66"/>
        <v>0</v>
      </c>
      <c r="G257" s="145">
        <f t="shared" si="75"/>
        <v>0</v>
      </c>
      <c r="H257" s="145">
        <f t="shared" si="76"/>
        <v>0</v>
      </c>
      <c r="I257" s="145">
        <f t="shared" si="67"/>
        <v>0</v>
      </c>
      <c r="J257" s="145">
        <f t="shared" si="68"/>
        <v>0</v>
      </c>
      <c r="K257" s="142" t="str">
        <f t="shared" si="77"/>
        <v>kWh</v>
      </c>
      <c r="L257" s="146">
        <f>IFERROR(INDEX(Työkonekanta!$I$3:$I$27,MATCH('S0b Baseline kasvu'!$A257,Työkonekanta!$A$3:$A$24,0),1)*(I257+J257)*f_adblue,0)</f>
        <v>0</v>
      </c>
      <c r="M257" s="146">
        <f t="shared" si="83"/>
        <v>0</v>
      </c>
      <c r="N257" s="143" t="str">
        <f>IF(tuulisähkö_vuosi&lt;='S0b Baseline kasvu'!C257,"tuulisähkö",ostosähkö_nyt)</f>
        <v>jäännössähkö</v>
      </c>
      <c r="O257" s="147">
        <f>INDEX(Muuttujat!$J$5:$J$21,MATCH($C257,Muuttujat!$H$5:$H$21,0),1)</f>
        <v>63.897506909426724</v>
      </c>
      <c r="P257" s="342">
        <f>1-(INDEX(Muuttujat!$O$5:$O$21,MATCH($C257,Muuttujat!$N$5:$N$21,0),1))</f>
        <v>0.91</v>
      </c>
      <c r="Q257" s="342">
        <f>INDEX(Muuttujat!$O$5:$O$21,MATCH($C257,Muuttujat!$N$5:$N$21,0),1)</f>
        <v>0.09</v>
      </c>
      <c r="R257" s="148">
        <f>INDEX(Muuttujat!$P$5:$P$21,MATCH($C257,Muuttujat!$N$5:$N$21,0),1)</f>
        <v>9.3804435869509845E-2</v>
      </c>
      <c r="S257" s="149">
        <f t="shared" si="69"/>
        <v>0</v>
      </c>
      <c r="T257" s="150">
        <f t="shared" si="70"/>
        <v>0</v>
      </c>
      <c r="U257" s="150">
        <f t="shared" si="71"/>
        <v>0</v>
      </c>
      <c r="V257" s="150">
        <f>IFERROR(INDEX(Työkonekanta!$J$3:$J$27,MATCH($A257,Työkonekanta!$A$3:$A$24,0),1)*$B257*ef_li_ion_akku/1000/1000/INDEX(Työkonekanta!$K$3:$K$27,MATCH($A257,Työkonekanta!$A$3:$A$24,0)),0)</f>
        <v>0</v>
      </c>
      <c r="W257" s="149">
        <f t="shared" si="84"/>
        <v>0</v>
      </c>
      <c r="X257" s="150">
        <f t="shared" si="85"/>
        <v>0</v>
      </c>
      <c r="Y257" s="151">
        <f t="shared" si="86"/>
        <v>0</v>
      </c>
      <c r="Z257" s="152">
        <f t="shared" si="78"/>
        <v>0</v>
      </c>
      <c r="AA257" s="179">
        <f t="shared" si="79"/>
        <v>0</v>
      </c>
      <c r="AB257" s="179">
        <f t="shared" si="80"/>
        <v>0</v>
      </c>
      <c r="AC257" s="180">
        <f t="shared" si="87"/>
        <v>0</v>
      </c>
      <c r="AD257" s="156">
        <f t="shared" si="81"/>
        <v>0</v>
      </c>
      <c r="AE257" s="146">
        <f>IFERROR(INDEX(Työkonekanta!$L$3:$L$30,MATCH($A257,Työkonekanta!$A$3:$A$30,0),1),0)*AF257</f>
        <v>0</v>
      </c>
      <c r="AF257" s="146">
        <f>IFERROR(INDEX(Työkonekanta!$N$3:$N$32,MATCH($A257,Työkonekanta!$A$3:$A$32,0),1),0)</f>
        <v>0</v>
      </c>
      <c r="AG257" s="332">
        <f>I257*INDEX(Muuttujat!$U$5:$U$21,MATCH($C257,Muuttujat!$N$5:$N$21,0),1)</f>
        <v>0</v>
      </c>
      <c r="AH257" s="332">
        <f>J257*INDEX(Muuttujat!$T$5:$T$21,MATCH($C257,Muuttujat!$N$5:$N$21,0),1)</f>
        <v>0</v>
      </c>
      <c r="AI257" s="332">
        <f t="shared" si="72"/>
        <v>0</v>
      </c>
      <c r="AJ257" s="332">
        <f t="shared" si="73"/>
        <v>0</v>
      </c>
      <c r="AK257" s="332">
        <f t="shared" si="82"/>
        <v>0</v>
      </c>
      <c r="AL257" s="332">
        <f t="shared" si="74"/>
        <v>0</v>
      </c>
    </row>
    <row r="258" spans="1:38">
      <c r="A258" s="139">
        <v>16</v>
      </c>
      <c r="B258" s="139">
        <f>IFERROR(INDEX(Työkonekanta!$F$3:$F$27,MATCH('S0b Baseline kasvu'!$A258,Työkonekanta!$A$3:$A$24,0),1),0)</f>
        <v>0</v>
      </c>
      <c r="C258" s="140">
        <v>2027</v>
      </c>
      <c r="D258" s="141" t="str">
        <f>IFERROR(INDEX(Työkonekanta!$D$3:$D$27,MATCH('S0b Baseline kasvu'!$A258,Työkonekanta!$A$3:$A$24,0),1),"undefined")</f>
        <v>sähkö</v>
      </c>
      <c r="E258" s="145">
        <f>IFERROR(INDEX(Työkonekanta!$G$3:$G$27,MATCH($A258,Työkonekanta!$A$3:$A$24,0),1)*INDEX(Työkonekanta!$H$3:$H$27,MATCH($A258,Työkonekanta!$A$3:$A$24,0),1)*(1+s0b_kasvu*($C258-2019))*$B258,0)</f>
        <v>0</v>
      </c>
      <c r="F258" s="145">
        <f t="shared" si="66"/>
        <v>0</v>
      </c>
      <c r="G258" s="145">
        <f t="shared" si="75"/>
        <v>0</v>
      </c>
      <c r="H258" s="145">
        <f t="shared" si="76"/>
        <v>0</v>
      </c>
      <c r="I258" s="145">
        <f t="shared" si="67"/>
        <v>0</v>
      </c>
      <c r="J258" s="145">
        <f t="shared" si="68"/>
        <v>0</v>
      </c>
      <c r="K258" s="142" t="str">
        <f t="shared" si="77"/>
        <v>kWh</v>
      </c>
      <c r="L258" s="146">
        <f>IFERROR(INDEX(Työkonekanta!$I$3:$I$27,MATCH('S0b Baseline kasvu'!$A258,Työkonekanta!$A$3:$A$24,0),1)*(I258+J258)*f_adblue,0)</f>
        <v>0</v>
      </c>
      <c r="M258" s="146">
        <f t="shared" si="83"/>
        <v>0</v>
      </c>
      <c r="N258" s="143" t="str">
        <f>IF(tuulisähkö_vuosi&lt;='S0b Baseline kasvu'!C258,"tuulisähkö",ostosähkö_nyt)</f>
        <v>jäännössähkö</v>
      </c>
      <c r="O258" s="147">
        <f>INDEX(Muuttujat!$J$5:$J$21,MATCH($C258,Muuttujat!$H$5:$H$21,0),1)</f>
        <v>63.897506909426724</v>
      </c>
      <c r="P258" s="342">
        <f>1-(INDEX(Muuttujat!$O$5:$O$21,MATCH($C258,Muuttujat!$N$5:$N$21,0),1))</f>
        <v>0.91</v>
      </c>
      <c r="Q258" s="342">
        <f>INDEX(Muuttujat!$O$5:$O$21,MATCH($C258,Muuttujat!$N$5:$N$21,0),1)</f>
        <v>0.09</v>
      </c>
      <c r="R258" s="148">
        <f>INDEX(Muuttujat!$P$5:$P$21,MATCH($C258,Muuttujat!$N$5:$N$21,0),1)</f>
        <v>9.3804435869509845E-2</v>
      </c>
      <c r="S258" s="149">
        <f t="shared" si="69"/>
        <v>0</v>
      </c>
      <c r="T258" s="150">
        <f t="shared" si="70"/>
        <v>0</v>
      </c>
      <c r="U258" s="150">
        <f t="shared" si="71"/>
        <v>0</v>
      </c>
      <c r="V258" s="150">
        <f>IFERROR(INDEX(Työkonekanta!$J$3:$J$27,MATCH($A258,Työkonekanta!$A$3:$A$24,0),1)*$B258*ef_li_ion_akku/1000/1000/INDEX(Työkonekanta!$K$3:$K$27,MATCH($A258,Työkonekanta!$A$3:$A$24,0)),0)</f>
        <v>0</v>
      </c>
      <c r="W258" s="149">
        <f t="shared" si="84"/>
        <v>0</v>
      </c>
      <c r="X258" s="150">
        <f t="shared" si="85"/>
        <v>0</v>
      </c>
      <c r="Y258" s="151">
        <f t="shared" si="86"/>
        <v>0</v>
      </c>
      <c r="Z258" s="152">
        <f t="shared" si="78"/>
        <v>0</v>
      </c>
      <c r="AA258" s="179">
        <f t="shared" si="79"/>
        <v>0</v>
      </c>
      <c r="AB258" s="179">
        <f t="shared" si="80"/>
        <v>0</v>
      </c>
      <c r="AC258" s="180">
        <f t="shared" si="87"/>
        <v>0</v>
      </c>
      <c r="AD258" s="156">
        <f t="shared" si="81"/>
        <v>0</v>
      </c>
      <c r="AE258" s="146">
        <f>IFERROR(INDEX(Työkonekanta!$L$3:$L$30,MATCH($A258,Työkonekanta!$A$3:$A$30,0),1),0)*AF258</f>
        <v>0</v>
      </c>
      <c r="AF258" s="146">
        <f>IFERROR(INDEX(Työkonekanta!$N$3:$N$32,MATCH($A258,Työkonekanta!$A$3:$A$32,0),1),0)</f>
        <v>0</v>
      </c>
      <c r="AG258" s="332">
        <f>I258*INDEX(Muuttujat!$U$5:$U$21,MATCH($C258,Muuttujat!$N$5:$N$21,0),1)</f>
        <v>0</v>
      </c>
      <c r="AH258" s="332">
        <f>J258*INDEX(Muuttujat!$T$5:$T$21,MATCH($C258,Muuttujat!$N$5:$N$21,0),1)</f>
        <v>0</v>
      </c>
      <c r="AI258" s="332">
        <f t="shared" si="72"/>
        <v>0</v>
      </c>
      <c r="AJ258" s="332">
        <f t="shared" si="73"/>
        <v>0</v>
      </c>
      <c r="AK258" s="332">
        <f t="shared" si="82"/>
        <v>0</v>
      </c>
      <c r="AL258" s="332">
        <f t="shared" si="74"/>
        <v>0</v>
      </c>
    </row>
    <row r="259" spans="1:38">
      <c r="A259" s="139">
        <v>17</v>
      </c>
      <c r="B259" s="139">
        <f>IFERROR(INDEX(Työkonekanta!$F$3:$F$27,MATCH('S0b Baseline kasvu'!$A259,Työkonekanta!$A$3:$A$24,0),1),0)</f>
        <v>1</v>
      </c>
      <c r="C259" s="140">
        <v>2027</v>
      </c>
      <c r="D259" s="141" t="str">
        <f>IFERROR(INDEX(Työkonekanta!$D$3:$D$27,MATCH('S0b Baseline kasvu'!$A259,Työkonekanta!$A$3:$A$24,0),1),"undefined")</f>
        <v>pom</v>
      </c>
      <c r="E259" s="145">
        <f>IFERROR(INDEX(Työkonekanta!$G$3:$G$27,MATCH($A259,Työkonekanta!$A$3:$A$24,0),1)*INDEX(Työkonekanta!$H$3:$H$27,MATCH($A259,Työkonekanta!$A$3:$A$24,0),1)*(1+s0b_kasvu*($C259-2019))*$B259,0)</f>
        <v>10800</v>
      </c>
      <c r="F259" s="145">
        <f t="shared" ref="F259:F322" si="88">IF(D259="pom",$E259*hv_pom,0)</f>
        <v>387720</v>
      </c>
      <c r="G259" s="145">
        <f t="shared" si="75"/>
        <v>352825.2</v>
      </c>
      <c r="H259" s="145">
        <f t="shared" si="76"/>
        <v>34894.799999999996</v>
      </c>
      <c r="I259" s="145">
        <f t="shared" ref="I259:I322" si="89">$G259/hv_pom</f>
        <v>9828</v>
      </c>
      <c r="J259" s="145">
        <f t="shared" ref="J259:J322" si="90">$H259/hv_biodies</f>
        <v>1017.3411078717201</v>
      </c>
      <c r="K259" s="142" t="str">
        <f t="shared" si="77"/>
        <v>l</v>
      </c>
      <c r="L259" s="146">
        <f>IFERROR(INDEX(Työkonekanta!$I$3:$I$27,MATCH('S0b Baseline kasvu'!$A259,Työkonekanta!$A$3:$A$24,0),1)*(I259+J259)*f_adblue,0)</f>
        <v>542.26705539358602</v>
      </c>
      <c r="M259" s="146">
        <f t="shared" si="83"/>
        <v>0</v>
      </c>
      <c r="N259" s="143" t="str">
        <f>IF(tuulisähkö_vuosi&lt;='S0b Baseline kasvu'!C259,"tuulisähkö",ostosähkö_nyt)</f>
        <v>jäännössähkö</v>
      </c>
      <c r="O259" s="147">
        <f>INDEX(Muuttujat!$J$5:$J$21,MATCH($C259,Muuttujat!$H$5:$H$21,0),1)</f>
        <v>63.897506909426724</v>
      </c>
      <c r="P259" s="342">
        <f>1-(INDEX(Muuttujat!$O$5:$O$21,MATCH($C259,Muuttujat!$N$5:$N$21,0),1))</f>
        <v>0.91</v>
      </c>
      <c r="Q259" s="342">
        <f>INDEX(Muuttujat!$O$5:$O$21,MATCH($C259,Muuttujat!$N$5:$N$21,0),1)</f>
        <v>0.09</v>
      </c>
      <c r="R259" s="148">
        <f>INDEX(Muuttujat!$P$5:$P$21,MATCH($C259,Muuttujat!$N$5:$N$21,0),1)</f>
        <v>9.3804435869509845E-2</v>
      </c>
      <c r="S259" s="149">
        <f t="shared" ref="S259:S322" si="91">wtt_ef_e_co2_dies*$G259/1000/1000</f>
        <v>6.6683962799999987</v>
      </c>
      <c r="T259" s="150">
        <f t="shared" ref="T259:T322" si="92">wtt_ef_e_co2_biodies*$H259/1000/1000</f>
        <v>2.1774355199999995</v>
      </c>
      <c r="U259" s="150">
        <f t="shared" ref="U259:U322" si="93">IF(N259="jäännössähkö",$O259,IF(N259="tuulisähkö",wtt_ef_e_co2_el_wind,0))*$M259/1000/1000</f>
        <v>0</v>
      </c>
      <c r="V259" s="150">
        <f>IFERROR(INDEX(Työkonekanta!$J$3:$J$27,MATCH($A259,Työkonekanta!$A$3:$A$24,0),1)*$B259*ef_li_ion_akku/1000/1000/INDEX(Työkonekanta!$K$3:$K$27,MATCH($A259,Työkonekanta!$A$3:$A$24,0)),0)</f>
        <v>0</v>
      </c>
      <c r="W259" s="149">
        <f t="shared" si="84"/>
        <v>26.0414120774808</v>
      </c>
      <c r="X259" s="150">
        <f t="shared" si="85"/>
        <v>0.34316531280000001</v>
      </c>
      <c r="Y259" s="151">
        <f t="shared" si="86"/>
        <v>0.14098943440233239</v>
      </c>
      <c r="Z259" s="152">
        <f t="shared" si="78"/>
        <v>8.8458317999999991</v>
      </c>
      <c r="AA259" s="179">
        <f t="shared" si="79"/>
        <v>26.182401511883132</v>
      </c>
      <c r="AB259" s="179">
        <f t="shared" si="80"/>
        <v>26.525566824683132</v>
      </c>
      <c r="AC259" s="180">
        <f t="shared" si="87"/>
        <v>35.028233311883127</v>
      </c>
      <c r="AD259" s="156">
        <f t="shared" si="81"/>
        <v>35.371398624683131</v>
      </c>
      <c r="AE259" s="146">
        <f>IFERROR(INDEX(Työkonekanta!$L$3:$L$30,MATCH($A259,Työkonekanta!$A$3:$A$30,0),1),0)*AF259</f>
        <v>500000</v>
      </c>
      <c r="AF259" s="146">
        <f>IFERROR(INDEX(Työkonekanta!$N$3:$N$32,MATCH($A259,Työkonekanta!$A$3:$A$32,0),1),0)</f>
        <v>1</v>
      </c>
      <c r="AG259" s="332">
        <f>I259*INDEX(Muuttujat!$U$5:$U$21,MATCH($C259,Muuttujat!$N$5:$N$21,0),1)</f>
        <v>10221.120000000001</v>
      </c>
      <c r="AH259" s="332">
        <f>J259*INDEX(Muuttujat!$T$5:$T$21,MATCH($C259,Muuttujat!$N$5:$N$21,0),1)</f>
        <v>1464.9711953352769</v>
      </c>
      <c r="AI259" s="332">
        <f t="shared" ref="AI259:AI322" si="94">L259*hinta_adblue</f>
        <v>271.13352769679301</v>
      </c>
      <c r="AJ259" s="332">
        <f t="shared" ref="AJ259:AJ322" si="95">M259/conv_kwh_mj*hinta_sähkö3</f>
        <v>0</v>
      </c>
      <c r="AK259" s="332">
        <f t="shared" si="82"/>
        <v>11957.22472303207</v>
      </c>
      <c r="AL259" s="332">
        <f t="shared" ref="AL259:AL322" si="96">IFERROR(AK259/B259,0)</f>
        <v>11957.22472303207</v>
      </c>
    </row>
    <row r="260" spans="1:38">
      <c r="A260" s="139">
        <v>18</v>
      </c>
      <c r="B260" s="139">
        <f>IFERROR(INDEX(Työkonekanta!$F$3:$F$27,MATCH('S0b Baseline kasvu'!$A260,Työkonekanta!$A$3:$A$24,0),1),0)</f>
        <v>1</v>
      </c>
      <c r="C260" s="140">
        <v>2027</v>
      </c>
      <c r="D260" s="141" t="str">
        <f>IFERROR(INDEX(Työkonekanta!$D$3:$D$27,MATCH('S0b Baseline kasvu'!$A260,Työkonekanta!$A$3:$A$24,0),1),"undefined")</f>
        <v>pom</v>
      </c>
      <c r="E260" s="145">
        <f>IFERROR(INDEX(Työkonekanta!$G$3:$G$27,MATCH($A260,Työkonekanta!$A$3:$A$24,0),1)*INDEX(Työkonekanta!$H$3:$H$27,MATCH($A260,Työkonekanta!$A$3:$A$24,0),1)*(1+s0b_kasvu*($C260-2019))*$B260,0)</f>
        <v>10800</v>
      </c>
      <c r="F260" s="145">
        <f t="shared" si="88"/>
        <v>387720</v>
      </c>
      <c r="G260" s="145">
        <f t="shared" ref="G260:G323" si="97">$F260*$P260</f>
        <v>352825.2</v>
      </c>
      <c r="H260" s="145">
        <f t="shared" ref="H260:H323" si="98">$F260*$Q260</f>
        <v>34894.799999999996</v>
      </c>
      <c r="I260" s="145">
        <f t="shared" si="89"/>
        <v>9828</v>
      </c>
      <c r="J260" s="145">
        <f t="shared" si="90"/>
        <v>1017.3411078717201</v>
      </c>
      <c r="K260" s="142" t="str">
        <f t="shared" ref="K260:K323" si="99">IF($D260="sähkö","kWh",IF($D260="pom","l","undefined"))</f>
        <v>l</v>
      </c>
      <c r="L260" s="146">
        <f>IFERROR(INDEX(Työkonekanta!$I$3:$I$27,MATCH('S0b Baseline kasvu'!$A260,Työkonekanta!$A$3:$A$24,0),1)*(I260+J260)*f_adblue,0)</f>
        <v>433.81364431486884</v>
      </c>
      <c r="M260" s="146">
        <f t="shared" si="83"/>
        <v>0</v>
      </c>
      <c r="N260" s="143" t="str">
        <f>IF(tuulisähkö_vuosi&lt;='S0b Baseline kasvu'!C260,"tuulisähkö",ostosähkö_nyt)</f>
        <v>jäännössähkö</v>
      </c>
      <c r="O260" s="147">
        <f>INDEX(Muuttujat!$J$5:$J$21,MATCH($C260,Muuttujat!$H$5:$H$21,0),1)</f>
        <v>63.897506909426724</v>
      </c>
      <c r="P260" s="342">
        <f>1-(INDEX(Muuttujat!$O$5:$O$21,MATCH($C260,Muuttujat!$N$5:$N$21,0),1))</f>
        <v>0.91</v>
      </c>
      <c r="Q260" s="342">
        <f>INDEX(Muuttujat!$O$5:$O$21,MATCH($C260,Muuttujat!$N$5:$N$21,0),1)</f>
        <v>0.09</v>
      </c>
      <c r="R260" s="148">
        <f>INDEX(Muuttujat!$P$5:$P$21,MATCH($C260,Muuttujat!$N$5:$N$21,0),1)</f>
        <v>9.3804435869509845E-2</v>
      </c>
      <c r="S260" s="149">
        <f t="shared" si="91"/>
        <v>6.6683962799999987</v>
      </c>
      <c r="T260" s="150">
        <f t="shared" si="92"/>
        <v>2.1774355199999995</v>
      </c>
      <c r="U260" s="150">
        <f t="shared" si="93"/>
        <v>0</v>
      </c>
      <c r="V260" s="150">
        <f>IFERROR(INDEX(Työkonekanta!$J$3:$J$27,MATCH($A260,Työkonekanta!$A$3:$A$24,0),1)*$B260*ef_li_ion_akku/1000/1000/INDEX(Työkonekanta!$K$3:$K$27,MATCH($A260,Työkonekanta!$A$3:$A$24,0)),0)</f>
        <v>0</v>
      </c>
      <c r="W260" s="149">
        <f t="shared" si="84"/>
        <v>26.0414120774808</v>
      </c>
      <c r="X260" s="150">
        <f t="shared" si="85"/>
        <v>0.34316531280000001</v>
      </c>
      <c r="Y260" s="151">
        <f t="shared" si="86"/>
        <v>0.11279154752186589</v>
      </c>
      <c r="Z260" s="152">
        <f t="shared" ref="Z260:Z323" si="100">SUM($S260:$V260)</f>
        <v>8.8458317999999991</v>
      </c>
      <c r="AA260" s="179">
        <f t="shared" ref="AA260:AA323" si="101">$W260+$Y260</f>
        <v>26.154203625002665</v>
      </c>
      <c r="AB260" s="179">
        <f t="shared" ref="AB260:AB323" si="102">SUM($W260:$Y260)</f>
        <v>26.497368937802666</v>
      </c>
      <c r="AC260" s="180">
        <f t="shared" si="87"/>
        <v>35.000035425002665</v>
      </c>
      <c r="AD260" s="156">
        <f t="shared" ref="AD260:AD323" si="103">$Z260+$AB260</f>
        <v>35.343200737802661</v>
      </c>
      <c r="AE260" s="146">
        <f>IFERROR(INDEX(Työkonekanta!$L$3:$L$30,MATCH($A260,Työkonekanta!$A$3:$A$30,0),1),0)*AF260</f>
        <v>500000</v>
      </c>
      <c r="AF260" s="146">
        <f>IFERROR(INDEX(Työkonekanta!$N$3:$N$32,MATCH($A260,Työkonekanta!$A$3:$A$32,0),1),0)</f>
        <v>1</v>
      </c>
      <c r="AG260" s="332">
        <f>I260*INDEX(Muuttujat!$U$5:$U$21,MATCH($C260,Muuttujat!$N$5:$N$21,0),1)</f>
        <v>10221.120000000001</v>
      </c>
      <c r="AH260" s="332">
        <f>J260*INDEX(Muuttujat!$T$5:$T$21,MATCH($C260,Muuttujat!$N$5:$N$21,0),1)</f>
        <v>1464.9711953352769</v>
      </c>
      <c r="AI260" s="332">
        <f t="shared" si="94"/>
        <v>216.90682215743442</v>
      </c>
      <c r="AJ260" s="332">
        <f t="shared" si="95"/>
        <v>0</v>
      </c>
      <c r="AK260" s="332">
        <f t="shared" ref="AK260:AK323" si="104">SUM(AG260:AJ260)</f>
        <v>11902.998017492711</v>
      </c>
      <c r="AL260" s="332">
        <f t="shared" si="96"/>
        <v>11902.998017492711</v>
      </c>
    </row>
    <row r="261" spans="1:38">
      <c r="A261" s="139">
        <v>19</v>
      </c>
      <c r="B261" s="139">
        <f>IFERROR(INDEX(Työkonekanta!$F$3:$F$27,MATCH('S0b Baseline kasvu'!$A261,Työkonekanta!$A$3:$A$24,0),1),0)</f>
        <v>0</v>
      </c>
      <c r="C261" s="140">
        <v>2027</v>
      </c>
      <c r="D261" s="141" t="str">
        <f>IFERROR(INDEX(Työkonekanta!$D$3:$D$27,MATCH('S0b Baseline kasvu'!$A261,Työkonekanta!$A$3:$A$24,0),1),"undefined")</f>
        <v>pom</v>
      </c>
      <c r="E261" s="145">
        <f>IFERROR(INDEX(Työkonekanta!$G$3:$G$27,MATCH($A261,Työkonekanta!$A$3:$A$24,0),1)*INDEX(Työkonekanta!$H$3:$H$27,MATCH($A261,Työkonekanta!$A$3:$A$24,0),1)*(1+s0b_kasvu*($C261-2019))*$B261,0)</f>
        <v>0</v>
      </c>
      <c r="F261" s="145">
        <f t="shared" si="88"/>
        <v>0</v>
      </c>
      <c r="G261" s="145">
        <f t="shared" si="97"/>
        <v>0</v>
      </c>
      <c r="H261" s="145">
        <f t="shared" si="98"/>
        <v>0</v>
      </c>
      <c r="I261" s="145">
        <f t="shared" si="89"/>
        <v>0</v>
      </c>
      <c r="J261" s="145">
        <f t="shared" si="90"/>
        <v>0</v>
      </c>
      <c r="K261" s="142" t="str">
        <f t="shared" si="99"/>
        <v>l</v>
      </c>
      <c r="L261" s="146">
        <f>IFERROR(INDEX(Työkonekanta!$I$3:$I$27,MATCH('S0b Baseline kasvu'!$A261,Työkonekanta!$A$3:$A$24,0),1)*(I261+J261)*f_adblue,0)</f>
        <v>0</v>
      </c>
      <c r="M261" s="146">
        <f t="shared" si="83"/>
        <v>0</v>
      </c>
      <c r="N261" s="143" t="str">
        <f>IF(tuulisähkö_vuosi&lt;='S0b Baseline kasvu'!C261,"tuulisähkö",ostosähkö_nyt)</f>
        <v>jäännössähkö</v>
      </c>
      <c r="O261" s="147">
        <f>INDEX(Muuttujat!$J$5:$J$21,MATCH($C261,Muuttujat!$H$5:$H$21,0),1)</f>
        <v>63.897506909426724</v>
      </c>
      <c r="P261" s="342">
        <f>1-(INDEX(Muuttujat!$O$5:$O$21,MATCH($C261,Muuttujat!$N$5:$N$21,0),1))</f>
        <v>0.91</v>
      </c>
      <c r="Q261" s="342">
        <f>INDEX(Muuttujat!$O$5:$O$21,MATCH($C261,Muuttujat!$N$5:$N$21,0),1)</f>
        <v>0.09</v>
      </c>
      <c r="R261" s="148">
        <f>INDEX(Muuttujat!$P$5:$P$21,MATCH($C261,Muuttujat!$N$5:$N$21,0),1)</f>
        <v>9.3804435869509845E-2</v>
      </c>
      <c r="S261" s="149">
        <f t="shared" si="91"/>
        <v>0</v>
      </c>
      <c r="T261" s="150">
        <f t="shared" si="92"/>
        <v>0</v>
      </c>
      <c r="U261" s="150">
        <f t="shared" si="93"/>
        <v>0</v>
      </c>
      <c r="V261" s="150">
        <f>IFERROR(INDEX(Työkonekanta!$J$3:$J$27,MATCH($A261,Työkonekanta!$A$3:$A$24,0),1)*$B261*ef_li_ion_akku/1000/1000/INDEX(Työkonekanta!$K$3:$K$27,MATCH($A261,Työkonekanta!$A$3:$A$24,0)),0)</f>
        <v>0</v>
      </c>
      <c r="W261" s="149">
        <f t="shared" si="84"/>
        <v>0</v>
      </c>
      <c r="X261" s="150">
        <f t="shared" si="85"/>
        <v>0</v>
      </c>
      <c r="Y261" s="151">
        <f t="shared" si="86"/>
        <v>0</v>
      </c>
      <c r="Z261" s="152">
        <f t="shared" si="100"/>
        <v>0</v>
      </c>
      <c r="AA261" s="179">
        <f t="shared" si="101"/>
        <v>0</v>
      </c>
      <c r="AB261" s="179">
        <f t="shared" si="102"/>
        <v>0</v>
      </c>
      <c r="AC261" s="180">
        <f t="shared" si="87"/>
        <v>0</v>
      </c>
      <c r="AD261" s="156">
        <f t="shared" si="103"/>
        <v>0</v>
      </c>
      <c r="AE261" s="146">
        <f>IFERROR(INDEX(Työkonekanta!$L$3:$L$30,MATCH($A261,Työkonekanta!$A$3:$A$30,0),1),0)*AF261</f>
        <v>0</v>
      </c>
      <c r="AF261" s="146">
        <f>IFERROR(INDEX(Työkonekanta!$N$3:$N$32,MATCH($A261,Työkonekanta!$A$3:$A$32,0),1),0)</f>
        <v>0</v>
      </c>
      <c r="AG261" s="332">
        <f>I261*INDEX(Muuttujat!$U$5:$U$21,MATCH($C261,Muuttujat!$N$5:$N$21,0),1)</f>
        <v>0</v>
      </c>
      <c r="AH261" s="332">
        <f>J261*INDEX(Muuttujat!$T$5:$T$21,MATCH($C261,Muuttujat!$N$5:$N$21,0),1)</f>
        <v>0</v>
      </c>
      <c r="AI261" s="332">
        <f t="shared" si="94"/>
        <v>0</v>
      </c>
      <c r="AJ261" s="332">
        <f t="shared" si="95"/>
        <v>0</v>
      </c>
      <c r="AK261" s="332">
        <f t="shared" si="104"/>
        <v>0</v>
      </c>
      <c r="AL261" s="332">
        <f t="shared" si="96"/>
        <v>0</v>
      </c>
    </row>
    <row r="262" spans="1:38">
      <c r="A262" s="139">
        <v>20</v>
      </c>
      <c r="B262" s="139">
        <f>IFERROR(INDEX(Työkonekanta!$F$3:$F$27,MATCH('S0b Baseline kasvu'!$A262,Työkonekanta!$A$3:$A$24,0),1),0)</f>
        <v>0</v>
      </c>
      <c r="C262" s="140">
        <v>2027</v>
      </c>
      <c r="D262" s="141" t="str">
        <f>IFERROR(INDEX(Työkonekanta!$D$3:$D$27,MATCH('S0b Baseline kasvu'!$A262,Työkonekanta!$A$3:$A$24,0),1),"undefined")</f>
        <v>pom</v>
      </c>
      <c r="E262" s="145">
        <f>IFERROR(INDEX(Työkonekanta!$G$3:$G$27,MATCH($A262,Työkonekanta!$A$3:$A$24,0),1)*INDEX(Työkonekanta!$H$3:$H$27,MATCH($A262,Työkonekanta!$A$3:$A$24,0),1)*(1+s0b_kasvu*($C262-2019))*$B262,0)</f>
        <v>0</v>
      </c>
      <c r="F262" s="145">
        <f t="shared" si="88"/>
        <v>0</v>
      </c>
      <c r="G262" s="145">
        <f t="shared" si="97"/>
        <v>0</v>
      </c>
      <c r="H262" s="145">
        <f t="shared" si="98"/>
        <v>0</v>
      </c>
      <c r="I262" s="145">
        <f t="shared" si="89"/>
        <v>0</v>
      </c>
      <c r="J262" s="145">
        <f t="shared" si="90"/>
        <v>0</v>
      </c>
      <c r="K262" s="142" t="str">
        <f t="shared" si="99"/>
        <v>l</v>
      </c>
      <c r="L262" s="146">
        <f>IFERROR(INDEX(Työkonekanta!$I$3:$I$27,MATCH('S0b Baseline kasvu'!$A262,Työkonekanta!$A$3:$A$24,0),1)*(I262+J262)*f_adblue,0)</f>
        <v>0</v>
      </c>
      <c r="M262" s="146">
        <f t="shared" si="83"/>
        <v>0</v>
      </c>
      <c r="N262" s="143" t="str">
        <f>IF(tuulisähkö_vuosi&lt;='S0b Baseline kasvu'!C262,"tuulisähkö",ostosähkö_nyt)</f>
        <v>jäännössähkö</v>
      </c>
      <c r="O262" s="147">
        <f>INDEX(Muuttujat!$J$5:$J$21,MATCH($C262,Muuttujat!$H$5:$H$21,0),1)</f>
        <v>63.897506909426724</v>
      </c>
      <c r="P262" s="342">
        <f>1-(INDEX(Muuttujat!$O$5:$O$21,MATCH($C262,Muuttujat!$N$5:$N$21,0),1))</f>
        <v>0.91</v>
      </c>
      <c r="Q262" s="342">
        <f>INDEX(Muuttujat!$O$5:$O$21,MATCH($C262,Muuttujat!$N$5:$N$21,0),1)</f>
        <v>0.09</v>
      </c>
      <c r="R262" s="148">
        <f>INDEX(Muuttujat!$P$5:$P$21,MATCH($C262,Muuttujat!$N$5:$N$21,0),1)</f>
        <v>9.3804435869509845E-2</v>
      </c>
      <c r="S262" s="149">
        <f t="shared" si="91"/>
        <v>0</v>
      </c>
      <c r="T262" s="150">
        <f t="shared" si="92"/>
        <v>0</v>
      </c>
      <c r="U262" s="150">
        <f t="shared" si="93"/>
        <v>0</v>
      </c>
      <c r="V262" s="150">
        <f>IFERROR(INDEX(Työkonekanta!$J$3:$J$27,MATCH($A262,Työkonekanta!$A$3:$A$24,0),1)*$B262*ef_li_ion_akku/1000/1000/INDEX(Työkonekanta!$K$3:$K$27,MATCH($A262,Työkonekanta!$A$3:$A$24,0)),0)</f>
        <v>0</v>
      </c>
      <c r="W262" s="149">
        <f t="shared" si="84"/>
        <v>0</v>
      </c>
      <c r="X262" s="150">
        <f t="shared" si="85"/>
        <v>0</v>
      </c>
      <c r="Y262" s="151">
        <f t="shared" si="86"/>
        <v>0</v>
      </c>
      <c r="Z262" s="152">
        <f t="shared" si="100"/>
        <v>0</v>
      </c>
      <c r="AA262" s="179">
        <f t="shared" si="101"/>
        <v>0</v>
      </c>
      <c r="AB262" s="179">
        <f t="shared" si="102"/>
        <v>0</v>
      </c>
      <c r="AC262" s="180">
        <f t="shared" si="87"/>
        <v>0</v>
      </c>
      <c r="AD262" s="156">
        <f t="shared" si="103"/>
        <v>0</v>
      </c>
      <c r="AE262" s="146">
        <f>IFERROR(INDEX(Työkonekanta!$L$3:$L$30,MATCH($A262,Työkonekanta!$A$3:$A$30,0),1),0)*AF262</f>
        <v>0</v>
      </c>
      <c r="AF262" s="146">
        <f>IFERROR(INDEX(Työkonekanta!$N$3:$N$32,MATCH($A262,Työkonekanta!$A$3:$A$32,0),1),0)</f>
        <v>0</v>
      </c>
      <c r="AG262" s="332">
        <f>I262*INDEX(Muuttujat!$U$5:$U$21,MATCH($C262,Muuttujat!$N$5:$N$21,0),1)</f>
        <v>0</v>
      </c>
      <c r="AH262" s="332">
        <f>J262*INDEX(Muuttujat!$T$5:$T$21,MATCH($C262,Muuttujat!$N$5:$N$21,0),1)</f>
        <v>0</v>
      </c>
      <c r="AI262" s="332">
        <f t="shared" si="94"/>
        <v>0</v>
      </c>
      <c r="AJ262" s="332">
        <f t="shared" si="95"/>
        <v>0</v>
      </c>
      <c r="AK262" s="332">
        <f t="shared" si="104"/>
        <v>0</v>
      </c>
      <c r="AL262" s="332">
        <f t="shared" si="96"/>
        <v>0</v>
      </c>
    </row>
    <row r="263" spans="1:38">
      <c r="A263" s="139">
        <v>21</v>
      </c>
      <c r="B263" s="139">
        <f>IFERROR(INDEX(Työkonekanta!$F$3:$F$27,MATCH('S0b Baseline kasvu'!$A263,Työkonekanta!$A$3:$A$24,0),1),0)</f>
        <v>35</v>
      </c>
      <c r="C263" s="140">
        <v>2027</v>
      </c>
      <c r="D263" s="141" t="str">
        <f>IFERROR(INDEX(Työkonekanta!$D$3:$D$27,MATCH('S0b Baseline kasvu'!$A263,Työkonekanta!$A$3:$A$24,0),1),"undefined")</f>
        <v>sähkö</v>
      </c>
      <c r="E263" s="145">
        <f>IFERROR(INDEX(Työkonekanta!$G$3:$G$27,MATCH($A263,Työkonekanta!$A$3:$A$24,0),1)*INDEX(Työkonekanta!$H$3:$H$27,MATCH($A263,Työkonekanta!$A$3:$A$24,0),1)*(1+s0b_kasvu*($C263-2019))*$B263,0)</f>
        <v>439775</v>
      </c>
      <c r="F263" s="145">
        <f t="shared" si="88"/>
        <v>0</v>
      </c>
      <c r="G263" s="145">
        <f t="shared" si="97"/>
        <v>0</v>
      </c>
      <c r="H263" s="145">
        <f t="shared" si="98"/>
        <v>0</v>
      </c>
      <c r="I263" s="145">
        <f t="shared" si="89"/>
        <v>0</v>
      </c>
      <c r="J263" s="145">
        <f t="shared" si="90"/>
        <v>0</v>
      </c>
      <c r="K263" s="142" t="str">
        <f t="shared" si="99"/>
        <v>kWh</v>
      </c>
      <c r="L263" s="146">
        <f>IFERROR(INDEX(Työkonekanta!$I$3:$I$27,MATCH('S0b Baseline kasvu'!$A263,Työkonekanta!$A$3:$A$24,0),1)*(I263+J263)*f_adblue,0)</f>
        <v>0</v>
      </c>
      <c r="M263" s="146">
        <f t="shared" si="83"/>
        <v>1583190</v>
      </c>
      <c r="N263" s="143" t="str">
        <f>IF(tuulisähkö_vuosi&lt;='S0b Baseline kasvu'!C263,"tuulisähkö",ostosähkö_nyt)</f>
        <v>jäännössähkö</v>
      </c>
      <c r="O263" s="147">
        <f>INDEX(Muuttujat!$J$5:$J$21,MATCH($C263,Muuttujat!$H$5:$H$21,0),1)</f>
        <v>63.897506909426724</v>
      </c>
      <c r="P263" s="342">
        <f>1-(INDEX(Muuttujat!$O$5:$O$21,MATCH($C263,Muuttujat!$N$5:$N$21,0),1))</f>
        <v>0.91</v>
      </c>
      <c r="Q263" s="342">
        <f>INDEX(Muuttujat!$O$5:$O$21,MATCH($C263,Muuttujat!$N$5:$N$21,0),1)</f>
        <v>0.09</v>
      </c>
      <c r="R263" s="148">
        <f>INDEX(Muuttujat!$P$5:$P$21,MATCH($C263,Muuttujat!$N$5:$N$21,0),1)</f>
        <v>9.3804435869509845E-2</v>
      </c>
      <c r="S263" s="149">
        <f t="shared" si="91"/>
        <v>0</v>
      </c>
      <c r="T263" s="150">
        <f t="shared" si="92"/>
        <v>0</v>
      </c>
      <c r="U263" s="150">
        <f t="shared" si="93"/>
        <v>101.1618939639353</v>
      </c>
      <c r="V263" s="150">
        <f>IFERROR(INDEX(Työkonekanta!$J$3:$J$27,MATCH($A263,Työkonekanta!$A$3:$A$24,0),1)*$B263*ef_li_ion_akku/1000/1000/INDEX(Työkonekanta!$K$3:$K$27,MATCH($A263,Työkonekanta!$A$3:$A$24,0)),0)</f>
        <v>43.121723076923082</v>
      </c>
      <c r="W263" s="149">
        <f t="shared" si="84"/>
        <v>0</v>
      </c>
      <c r="X263" s="150">
        <f t="shared" si="85"/>
        <v>0</v>
      </c>
      <c r="Y263" s="151">
        <f t="shared" si="86"/>
        <v>0</v>
      </c>
      <c r="Z263" s="152">
        <f t="shared" si="100"/>
        <v>144.28361704085839</v>
      </c>
      <c r="AA263" s="179">
        <f t="shared" si="101"/>
        <v>0</v>
      </c>
      <c r="AB263" s="179">
        <f t="shared" si="102"/>
        <v>0</v>
      </c>
      <c r="AC263" s="180">
        <f t="shared" si="87"/>
        <v>144.28361704085839</v>
      </c>
      <c r="AD263" s="156">
        <f t="shared" si="103"/>
        <v>144.28361704085839</v>
      </c>
      <c r="AE263" s="146">
        <f>IFERROR(INDEX(Työkonekanta!$L$3:$L$30,MATCH($A263,Työkonekanta!$A$3:$A$30,0),1),0)*AF263</f>
        <v>1820000</v>
      </c>
      <c r="AF263" s="146">
        <f>IFERROR(INDEX(Työkonekanta!$N$3:$N$32,MATCH($A263,Työkonekanta!$A$3:$A$32,0),1),0)</f>
        <v>7</v>
      </c>
      <c r="AG263" s="332">
        <f>I263*INDEX(Muuttujat!$U$5:$U$21,MATCH($C263,Muuttujat!$N$5:$N$21,0),1)</f>
        <v>0</v>
      </c>
      <c r="AH263" s="332">
        <f>J263*INDEX(Muuttujat!$T$5:$T$21,MATCH($C263,Muuttujat!$N$5:$N$21,0),1)</f>
        <v>0</v>
      </c>
      <c r="AI263" s="332">
        <f t="shared" si="94"/>
        <v>0</v>
      </c>
      <c r="AJ263" s="332">
        <f t="shared" si="95"/>
        <v>38920.087500000001</v>
      </c>
      <c r="AK263" s="332">
        <f t="shared" si="104"/>
        <v>38920.087500000001</v>
      </c>
      <c r="AL263" s="332">
        <f t="shared" si="96"/>
        <v>1112.0025000000001</v>
      </c>
    </row>
    <row r="264" spans="1:38">
      <c r="A264" s="139">
        <v>22</v>
      </c>
      <c r="B264" s="139">
        <f>IFERROR(INDEX(Työkonekanta!$F$3:$F$27,MATCH('S0b Baseline kasvu'!$A264,Työkonekanta!$A$3:$A$24,0),1),0)</f>
        <v>0</v>
      </c>
      <c r="C264" s="140">
        <v>2027</v>
      </c>
      <c r="D264" s="141" t="str">
        <f>IFERROR(INDEX(Työkonekanta!$D$3:$D$27,MATCH('S0b Baseline kasvu'!$A264,Työkonekanta!$A$3:$A$24,0),1),"undefined")</f>
        <v>sähkö</v>
      </c>
      <c r="E264" s="145">
        <f>IFERROR(INDEX(Työkonekanta!$G$3:$G$27,MATCH($A264,Työkonekanta!$A$3:$A$24,0),1)*INDEX(Työkonekanta!$H$3:$H$27,MATCH($A264,Työkonekanta!$A$3:$A$24,0),1)*(1+s0b_kasvu*($C264-2019))*$B264,0)</f>
        <v>0</v>
      </c>
      <c r="F264" s="145">
        <f t="shared" si="88"/>
        <v>0</v>
      </c>
      <c r="G264" s="145">
        <f t="shared" si="97"/>
        <v>0</v>
      </c>
      <c r="H264" s="145">
        <f t="shared" si="98"/>
        <v>0</v>
      </c>
      <c r="I264" s="145">
        <f t="shared" si="89"/>
        <v>0</v>
      </c>
      <c r="J264" s="145">
        <f t="shared" si="90"/>
        <v>0</v>
      </c>
      <c r="K264" s="142" t="str">
        <f t="shared" si="99"/>
        <v>kWh</v>
      </c>
      <c r="L264" s="146">
        <f>IFERROR(INDEX(Työkonekanta!$I$3:$I$27,MATCH('S0b Baseline kasvu'!$A264,Työkonekanta!$A$3:$A$24,0),1)*(I264+J264)*f_adblue,0)</f>
        <v>0</v>
      </c>
      <c r="M264" s="146">
        <f t="shared" si="83"/>
        <v>0</v>
      </c>
      <c r="N264" s="143" t="str">
        <f>IF(tuulisähkö_vuosi&lt;='S0b Baseline kasvu'!C264,"tuulisähkö",ostosähkö_nyt)</f>
        <v>jäännössähkö</v>
      </c>
      <c r="O264" s="147">
        <f>INDEX(Muuttujat!$J$5:$J$21,MATCH($C264,Muuttujat!$H$5:$H$21,0),1)</f>
        <v>63.897506909426724</v>
      </c>
      <c r="P264" s="342">
        <f>1-(INDEX(Muuttujat!$O$5:$O$21,MATCH($C264,Muuttujat!$N$5:$N$21,0),1))</f>
        <v>0.91</v>
      </c>
      <c r="Q264" s="342">
        <f>INDEX(Muuttujat!$O$5:$O$21,MATCH($C264,Muuttujat!$N$5:$N$21,0),1)</f>
        <v>0.09</v>
      </c>
      <c r="R264" s="148">
        <f>INDEX(Muuttujat!$P$5:$P$21,MATCH($C264,Muuttujat!$N$5:$N$21,0),1)</f>
        <v>9.3804435869509845E-2</v>
      </c>
      <c r="S264" s="149">
        <f t="shared" si="91"/>
        <v>0</v>
      </c>
      <c r="T264" s="150">
        <f t="shared" si="92"/>
        <v>0</v>
      </c>
      <c r="U264" s="150">
        <f t="shared" si="93"/>
        <v>0</v>
      </c>
      <c r="V264" s="150">
        <f>IFERROR(INDEX(Työkonekanta!$J$3:$J$27,MATCH($A264,Työkonekanta!$A$3:$A$24,0),1)*$B264*ef_li_ion_akku/1000/1000/INDEX(Työkonekanta!$K$3:$K$27,MATCH($A264,Työkonekanta!$A$3:$A$24,0)),0)</f>
        <v>0</v>
      </c>
      <c r="W264" s="149">
        <f t="shared" si="84"/>
        <v>0</v>
      </c>
      <c r="X264" s="150">
        <f t="shared" si="85"/>
        <v>0</v>
      </c>
      <c r="Y264" s="151">
        <f t="shared" si="86"/>
        <v>0</v>
      </c>
      <c r="Z264" s="152">
        <f t="shared" si="100"/>
        <v>0</v>
      </c>
      <c r="AA264" s="179">
        <f t="shared" si="101"/>
        <v>0</v>
      </c>
      <c r="AB264" s="179">
        <f t="shared" si="102"/>
        <v>0</v>
      </c>
      <c r="AC264" s="180">
        <f t="shared" si="87"/>
        <v>0</v>
      </c>
      <c r="AD264" s="156">
        <f t="shared" si="103"/>
        <v>0</v>
      </c>
      <c r="AE264" s="146">
        <f>IFERROR(INDEX(Työkonekanta!$L$3:$L$30,MATCH($A264,Työkonekanta!$A$3:$A$30,0),1),0)*AF264</f>
        <v>0</v>
      </c>
      <c r="AF264" s="146">
        <f>IFERROR(INDEX(Työkonekanta!$N$3:$N$32,MATCH($A264,Työkonekanta!$A$3:$A$32,0),1),0)</f>
        <v>0</v>
      </c>
      <c r="AG264" s="332">
        <f>I264*INDEX(Muuttujat!$U$5:$U$21,MATCH($C264,Muuttujat!$N$5:$N$21,0),1)</f>
        <v>0</v>
      </c>
      <c r="AH264" s="332">
        <f>J264*INDEX(Muuttujat!$T$5:$T$21,MATCH($C264,Muuttujat!$N$5:$N$21,0),1)</f>
        <v>0</v>
      </c>
      <c r="AI264" s="332">
        <f t="shared" si="94"/>
        <v>0</v>
      </c>
      <c r="AJ264" s="332">
        <f t="shared" si="95"/>
        <v>0</v>
      </c>
      <c r="AK264" s="332">
        <f t="shared" si="104"/>
        <v>0</v>
      </c>
      <c r="AL264" s="332">
        <f t="shared" si="96"/>
        <v>0</v>
      </c>
    </row>
    <row r="265" spans="1:38">
      <c r="A265" s="139">
        <v>23</v>
      </c>
      <c r="B265" s="139">
        <f>IFERROR(INDEX(Työkonekanta!$F$3:$F$27,MATCH('S0b Baseline kasvu'!$A265,Työkonekanta!$A$3:$A$24,0),1),0)</f>
        <v>0</v>
      </c>
      <c r="C265" s="140">
        <v>2027</v>
      </c>
      <c r="D265" s="141" t="str">
        <f>IFERROR(INDEX(Työkonekanta!$D$3:$D$27,MATCH('S0b Baseline kasvu'!$A265,Työkonekanta!$A$3:$A$24,0),1),"undefined")</f>
        <v>undefined</v>
      </c>
      <c r="E265" s="145">
        <f>IFERROR(INDEX(Työkonekanta!$G$3:$G$27,MATCH($A265,Työkonekanta!$A$3:$A$24,0),1)*INDEX(Työkonekanta!$H$3:$H$27,MATCH($A265,Työkonekanta!$A$3:$A$24,0),1)*(1+s0b_kasvu*($C265-2019))*$B265,0)</f>
        <v>0</v>
      </c>
      <c r="F265" s="145">
        <f t="shared" si="88"/>
        <v>0</v>
      </c>
      <c r="G265" s="145">
        <f t="shared" si="97"/>
        <v>0</v>
      </c>
      <c r="H265" s="145">
        <f t="shared" si="98"/>
        <v>0</v>
      </c>
      <c r="I265" s="145">
        <f t="shared" si="89"/>
        <v>0</v>
      </c>
      <c r="J265" s="145">
        <f t="shared" si="90"/>
        <v>0</v>
      </c>
      <c r="K265" s="142" t="str">
        <f t="shared" si="99"/>
        <v>undefined</v>
      </c>
      <c r="L265" s="146">
        <f>IFERROR(INDEX(Työkonekanta!$I$3:$I$27,MATCH('S0b Baseline kasvu'!$A265,Työkonekanta!$A$3:$A$24,0),1)*(I265+J265)*f_adblue,0)</f>
        <v>0</v>
      </c>
      <c r="M265" s="146">
        <f t="shared" si="83"/>
        <v>0</v>
      </c>
      <c r="N265" s="143" t="str">
        <f>IF(tuulisähkö_vuosi&lt;='S0b Baseline kasvu'!C265,"tuulisähkö",ostosähkö_nyt)</f>
        <v>jäännössähkö</v>
      </c>
      <c r="O265" s="147">
        <f>INDEX(Muuttujat!$J$5:$J$21,MATCH($C265,Muuttujat!$H$5:$H$21,0),1)</f>
        <v>63.897506909426724</v>
      </c>
      <c r="P265" s="342">
        <f>1-(INDEX(Muuttujat!$O$5:$O$21,MATCH($C265,Muuttujat!$N$5:$N$21,0),1))</f>
        <v>0.91</v>
      </c>
      <c r="Q265" s="342">
        <f>INDEX(Muuttujat!$O$5:$O$21,MATCH($C265,Muuttujat!$N$5:$N$21,0),1)</f>
        <v>0.09</v>
      </c>
      <c r="R265" s="148">
        <f>INDEX(Muuttujat!$P$5:$P$21,MATCH($C265,Muuttujat!$N$5:$N$21,0),1)</f>
        <v>9.3804435869509845E-2</v>
      </c>
      <c r="S265" s="149">
        <f t="shared" si="91"/>
        <v>0</v>
      </c>
      <c r="T265" s="150">
        <f t="shared" si="92"/>
        <v>0</v>
      </c>
      <c r="U265" s="150">
        <f t="shared" si="93"/>
        <v>0</v>
      </c>
      <c r="V265" s="150">
        <f>IFERROR(INDEX(Työkonekanta!$J$3:$J$27,MATCH($A265,Työkonekanta!$A$3:$A$24,0),1)*$B265*ef_li_ion_akku/1000/1000/INDEX(Työkonekanta!$K$3:$K$27,MATCH($A265,Työkonekanta!$A$3:$A$24,0)),0)</f>
        <v>0</v>
      </c>
      <c r="W265" s="149">
        <f t="shared" si="84"/>
        <v>0</v>
      </c>
      <c r="X265" s="150">
        <f t="shared" si="85"/>
        <v>0</v>
      </c>
      <c r="Y265" s="151">
        <f t="shared" si="86"/>
        <v>0</v>
      </c>
      <c r="Z265" s="152">
        <f t="shared" si="100"/>
        <v>0</v>
      </c>
      <c r="AA265" s="179">
        <f t="shared" si="101"/>
        <v>0</v>
      </c>
      <c r="AB265" s="179">
        <f t="shared" si="102"/>
        <v>0</v>
      </c>
      <c r="AC265" s="180">
        <f t="shared" si="87"/>
        <v>0</v>
      </c>
      <c r="AD265" s="156">
        <f t="shared" si="103"/>
        <v>0</v>
      </c>
      <c r="AE265" s="146">
        <f>IFERROR(INDEX(Työkonekanta!$L$3:$L$30,MATCH($A265,Työkonekanta!$A$3:$A$30,0),1),0)*AF265</f>
        <v>0</v>
      </c>
      <c r="AF265" s="146">
        <f>IFERROR(INDEX(Työkonekanta!$N$3:$N$32,MATCH($A265,Työkonekanta!$A$3:$A$32,0),1),0)</f>
        <v>0</v>
      </c>
      <c r="AG265" s="332">
        <f>I265*INDEX(Muuttujat!$U$5:$U$21,MATCH($C265,Muuttujat!$N$5:$N$21,0),1)</f>
        <v>0</v>
      </c>
      <c r="AH265" s="332">
        <f>J265*INDEX(Muuttujat!$T$5:$T$21,MATCH($C265,Muuttujat!$N$5:$N$21,0),1)</f>
        <v>0</v>
      </c>
      <c r="AI265" s="332">
        <f t="shared" si="94"/>
        <v>0</v>
      </c>
      <c r="AJ265" s="332">
        <f t="shared" si="95"/>
        <v>0</v>
      </c>
      <c r="AK265" s="332">
        <f t="shared" si="104"/>
        <v>0</v>
      </c>
      <c r="AL265" s="332">
        <f t="shared" si="96"/>
        <v>0</v>
      </c>
    </row>
    <row r="266" spans="1:38">
      <c r="A266" s="139">
        <v>24</v>
      </c>
      <c r="B266" s="139">
        <f>IFERROR(INDEX(Työkonekanta!$F$3:$F$27,MATCH('S0b Baseline kasvu'!$A266,Työkonekanta!$A$3:$A$24,0),1),0)</f>
        <v>0</v>
      </c>
      <c r="C266" s="140">
        <v>2027</v>
      </c>
      <c r="D266" s="141" t="str">
        <f>IFERROR(INDEX(Työkonekanta!$D$3:$D$27,MATCH('S0b Baseline kasvu'!$A266,Työkonekanta!$A$3:$A$24,0),1),"undefined")</f>
        <v>undefined</v>
      </c>
      <c r="E266" s="145">
        <f>IFERROR(INDEX(Työkonekanta!$G$3:$G$27,MATCH($A266,Työkonekanta!$A$3:$A$24,0),1)*INDEX(Työkonekanta!$H$3:$H$27,MATCH($A266,Työkonekanta!$A$3:$A$24,0),1)*(1+s0b_kasvu*($C266-2019))*$B266,0)</f>
        <v>0</v>
      </c>
      <c r="F266" s="145">
        <f t="shared" si="88"/>
        <v>0</v>
      </c>
      <c r="G266" s="145">
        <f t="shared" si="97"/>
        <v>0</v>
      </c>
      <c r="H266" s="145">
        <f t="shared" si="98"/>
        <v>0</v>
      </c>
      <c r="I266" s="145">
        <f t="shared" si="89"/>
        <v>0</v>
      </c>
      <c r="J266" s="145">
        <f t="shared" si="90"/>
        <v>0</v>
      </c>
      <c r="K266" s="142" t="str">
        <f t="shared" si="99"/>
        <v>undefined</v>
      </c>
      <c r="L266" s="146">
        <f>IFERROR(INDEX(Työkonekanta!$I$3:$I$27,MATCH('S0b Baseline kasvu'!$A266,Työkonekanta!$A$3:$A$24,0),1)*(I266+J266)*f_adblue,0)</f>
        <v>0</v>
      </c>
      <c r="M266" s="146">
        <f t="shared" si="83"/>
        <v>0</v>
      </c>
      <c r="N266" s="143" t="str">
        <f>IF(tuulisähkö_vuosi&lt;='S0b Baseline kasvu'!C266,"tuulisähkö",ostosähkö_nyt)</f>
        <v>jäännössähkö</v>
      </c>
      <c r="O266" s="147">
        <f>INDEX(Muuttujat!$J$5:$J$21,MATCH($C266,Muuttujat!$H$5:$H$21,0),1)</f>
        <v>63.897506909426724</v>
      </c>
      <c r="P266" s="342">
        <f>1-(INDEX(Muuttujat!$O$5:$O$21,MATCH($C266,Muuttujat!$N$5:$N$21,0),1))</f>
        <v>0.91</v>
      </c>
      <c r="Q266" s="342">
        <f>INDEX(Muuttujat!$O$5:$O$21,MATCH($C266,Muuttujat!$N$5:$N$21,0),1)</f>
        <v>0.09</v>
      </c>
      <c r="R266" s="148">
        <f>INDEX(Muuttujat!$P$5:$P$21,MATCH($C266,Muuttujat!$N$5:$N$21,0),1)</f>
        <v>9.3804435869509845E-2</v>
      </c>
      <c r="S266" s="149">
        <f t="shared" si="91"/>
        <v>0</v>
      </c>
      <c r="T266" s="150">
        <f t="shared" si="92"/>
        <v>0</v>
      </c>
      <c r="U266" s="150">
        <f t="shared" si="93"/>
        <v>0</v>
      </c>
      <c r="V266" s="150">
        <f>IFERROR(INDEX(Työkonekanta!$J$3:$J$27,MATCH($A266,Työkonekanta!$A$3:$A$24,0),1)*$B266*ef_li_ion_akku/1000/1000/INDEX(Työkonekanta!$K$3:$K$27,MATCH($A266,Työkonekanta!$A$3:$A$24,0)),0)</f>
        <v>0</v>
      </c>
      <c r="W266" s="149">
        <f t="shared" si="84"/>
        <v>0</v>
      </c>
      <c r="X266" s="150">
        <f t="shared" si="85"/>
        <v>0</v>
      </c>
      <c r="Y266" s="151">
        <f t="shared" si="86"/>
        <v>0</v>
      </c>
      <c r="Z266" s="152">
        <f t="shared" si="100"/>
        <v>0</v>
      </c>
      <c r="AA266" s="179">
        <f t="shared" si="101"/>
        <v>0</v>
      </c>
      <c r="AB266" s="179">
        <f t="shared" si="102"/>
        <v>0</v>
      </c>
      <c r="AC266" s="180">
        <f t="shared" si="87"/>
        <v>0</v>
      </c>
      <c r="AD266" s="156">
        <f t="shared" si="103"/>
        <v>0</v>
      </c>
      <c r="AE266" s="146">
        <f>IFERROR(INDEX(Työkonekanta!$L$3:$L$30,MATCH($A266,Työkonekanta!$A$3:$A$30,0),1),0)*AF266</f>
        <v>0</v>
      </c>
      <c r="AF266" s="146">
        <f>IFERROR(INDEX(Työkonekanta!$N$3:$N$32,MATCH($A266,Työkonekanta!$A$3:$A$32,0),1),0)</f>
        <v>0</v>
      </c>
      <c r="AG266" s="332">
        <f>I266*INDEX(Muuttujat!$U$5:$U$21,MATCH($C266,Muuttujat!$N$5:$N$21,0),1)</f>
        <v>0</v>
      </c>
      <c r="AH266" s="332">
        <f>J266*INDEX(Muuttujat!$T$5:$T$21,MATCH($C266,Muuttujat!$N$5:$N$21,0),1)</f>
        <v>0</v>
      </c>
      <c r="AI266" s="332">
        <f t="shared" si="94"/>
        <v>0</v>
      </c>
      <c r="AJ266" s="332">
        <f t="shared" si="95"/>
        <v>0</v>
      </c>
      <c r="AK266" s="332">
        <f t="shared" si="104"/>
        <v>0</v>
      </c>
      <c r="AL266" s="332">
        <f t="shared" si="96"/>
        <v>0</v>
      </c>
    </row>
    <row r="267" spans="1:38">
      <c r="A267" s="139">
        <v>25</v>
      </c>
      <c r="B267" s="139">
        <f>IFERROR(INDEX(Työkonekanta!$F$3:$F$27,MATCH('S0b Baseline kasvu'!$A267,Työkonekanta!$A$3:$A$24,0),1),0)</f>
        <v>0</v>
      </c>
      <c r="C267" s="140">
        <v>2027</v>
      </c>
      <c r="D267" s="141" t="str">
        <f>IFERROR(INDEX(Työkonekanta!$D$3:$D$27,MATCH('S0b Baseline kasvu'!$A267,Työkonekanta!$A$3:$A$24,0),1),"undefined")</f>
        <v>undefined</v>
      </c>
      <c r="E267" s="145">
        <f>IFERROR(INDEX(Työkonekanta!$G$3:$G$27,MATCH($A267,Työkonekanta!$A$3:$A$24,0),1)*INDEX(Työkonekanta!$H$3:$H$27,MATCH($A267,Työkonekanta!$A$3:$A$24,0),1)*(1+s0b_kasvu*($C267-2019))*$B267,0)</f>
        <v>0</v>
      </c>
      <c r="F267" s="145">
        <f t="shared" si="88"/>
        <v>0</v>
      </c>
      <c r="G267" s="145">
        <f t="shared" si="97"/>
        <v>0</v>
      </c>
      <c r="H267" s="145">
        <f t="shared" si="98"/>
        <v>0</v>
      </c>
      <c r="I267" s="145">
        <f t="shared" si="89"/>
        <v>0</v>
      </c>
      <c r="J267" s="145">
        <f t="shared" si="90"/>
        <v>0</v>
      </c>
      <c r="K267" s="142" t="str">
        <f t="shared" si="99"/>
        <v>undefined</v>
      </c>
      <c r="L267" s="146">
        <f>IFERROR(INDEX(Työkonekanta!$I$3:$I$27,MATCH('S0b Baseline kasvu'!$A267,Työkonekanta!$A$3:$A$24,0),1)*(I267+J267)*f_adblue,0)</f>
        <v>0</v>
      </c>
      <c r="M267" s="146">
        <f t="shared" si="83"/>
        <v>0</v>
      </c>
      <c r="N267" s="143" t="str">
        <f>IF(tuulisähkö_vuosi&lt;='S0b Baseline kasvu'!C267,"tuulisähkö",ostosähkö_nyt)</f>
        <v>jäännössähkö</v>
      </c>
      <c r="O267" s="147">
        <f>INDEX(Muuttujat!$J$5:$J$21,MATCH($C267,Muuttujat!$H$5:$H$21,0),1)</f>
        <v>63.897506909426724</v>
      </c>
      <c r="P267" s="342">
        <f>1-(INDEX(Muuttujat!$O$5:$O$21,MATCH($C267,Muuttujat!$N$5:$N$21,0),1))</f>
        <v>0.91</v>
      </c>
      <c r="Q267" s="342">
        <f>INDEX(Muuttujat!$O$5:$O$21,MATCH($C267,Muuttujat!$N$5:$N$21,0),1)</f>
        <v>0.09</v>
      </c>
      <c r="R267" s="148">
        <f>INDEX(Muuttujat!$P$5:$P$21,MATCH($C267,Muuttujat!$N$5:$N$21,0),1)</f>
        <v>9.3804435869509845E-2</v>
      </c>
      <c r="S267" s="149">
        <f t="shared" si="91"/>
        <v>0</v>
      </c>
      <c r="T267" s="150">
        <f t="shared" si="92"/>
        <v>0</v>
      </c>
      <c r="U267" s="150">
        <f t="shared" si="93"/>
        <v>0</v>
      </c>
      <c r="V267" s="150">
        <f>IFERROR(INDEX(Työkonekanta!$J$3:$J$27,MATCH($A267,Työkonekanta!$A$3:$A$24,0),1)*$B267*ef_li_ion_akku/1000/1000/INDEX(Työkonekanta!$K$3:$K$27,MATCH($A267,Työkonekanta!$A$3:$A$24,0)),0)</f>
        <v>0</v>
      </c>
      <c r="W267" s="149">
        <f t="shared" si="84"/>
        <v>0</v>
      </c>
      <c r="X267" s="150">
        <f t="shared" si="85"/>
        <v>0</v>
      </c>
      <c r="Y267" s="151">
        <f t="shared" si="86"/>
        <v>0</v>
      </c>
      <c r="Z267" s="152">
        <f t="shared" si="100"/>
        <v>0</v>
      </c>
      <c r="AA267" s="179">
        <f t="shared" si="101"/>
        <v>0</v>
      </c>
      <c r="AB267" s="179">
        <f t="shared" si="102"/>
        <v>0</v>
      </c>
      <c r="AC267" s="180">
        <f t="shared" si="87"/>
        <v>0</v>
      </c>
      <c r="AD267" s="156">
        <f t="shared" si="103"/>
        <v>0</v>
      </c>
      <c r="AE267" s="146">
        <f>IFERROR(INDEX(Työkonekanta!$L$3:$L$30,MATCH($A267,Työkonekanta!$A$3:$A$30,0),1),0)*AF267</f>
        <v>0</v>
      </c>
      <c r="AF267" s="146">
        <f>IFERROR(INDEX(Työkonekanta!$N$3:$N$32,MATCH($A267,Työkonekanta!$A$3:$A$32,0),1),0)</f>
        <v>0</v>
      </c>
      <c r="AG267" s="332">
        <f>I267*INDEX(Muuttujat!$U$5:$U$21,MATCH($C267,Muuttujat!$N$5:$N$21,0),1)</f>
        <v>0</v>
      </c>
      <c r="AH267" s="332">
        <f>J267*INDEX(Muuttujat!$T$5:$T$21,MATCH($C267,Muuttujat!$N$5:$N$21,0),1)</f>
        <v>0</v>
      </c>
      <c r="AI267" s="332">
        <f t="shared" si="94"/>
        <v>0</v>
      </c>
      <c r="AJ267" s="332">
        <f t="shared" si="95"/>
        <v>0</v>
      </c>
      <c r="AK267" s="332">
        <f t="shared" si="104"/>
        <v>0</v>
      </c>
      <c r="AL267" s="332">
        <f t="shared" si="96"/>
        <v>0</v>
      </c>
    </row>
    <row r="268" spans="1:38">
      <c r="A268" s="139">
        <v>26</v>
      </c>
      <c r="B268" s="139">
        <f>IFERROR(INDEX(Työkonekanta!$F$3:$F$27,MATCH('S0b Baseline kasvu'!$A268,Työkonekanta!$A$3:$A$24,0),1),0)</f>
        <v>0</v>
      </c>
      <c r="C268" s="140">
        <v>2027</v>
      </c>
      <c r="D268" s="141" t="str">
        <f>IFERROR(INDEX(Työkonekanta!$D$3:$D$27,MATCH('S0b Baseline kasvu'!$A268,Työkonekanta!$A$3:$A$24,0),1),"undefined")</f>
        <v>undefined</v>
      </c>
      <c r="E268" s="145">
        <f>IFERROR(INDEX(Työkonekanta!$G$3:$G$27,MATCH($A268,Työkonekanta!$A$3:$A$24,0),1)*INDEX(Työkonekanta!$H$3:$H$27,MATCH($A268,Työkonekanta!$A$3:$A$24,0),1)*(1+s0b_kasvu*($C268-2019))*$B268,0)</f>
        <v>0</v>
      </c>
      <c r="F268" s="145">
        <f t="shared" si="88"/>
        <v>0</v>
      </c>
      <c r="G268" s="145">
        <f t="shared" si="97"/>
        <v>0</v>
      </c>
      <c r="H268" s="145">
        <f t="shared" si="98"/>
        <v>0</v>
      </c>
      <c r="I268" s="145">
        <f t="shared" si="89"/>
        <v>0</v>
      </c>
      <c r="J268" s="145">
        <f t="shared" si="90"/>
        <v>0</v>
      </c>
      <c r="K268" s="142" t="str">
        <f t="shared" si="99"/>
        <v>undefined</v>
      </c>
      <c r="L268" s="146">
        <f>IFERROR(INDEX(Työkonekanta!$I$3:$I$27,MATCH('S0b Baseline kasvu'!$A268,Työkonekanta!$A$3:$A$24,0),1)*(I268+J268)*f_adblue,0)</f>
        <v>0</v>
      </c>
      <c r="M268" s="146">
        <f t="shared" si="83"/>
        <v>0</v>
      </c>
      <c r="N268" s="143" t="str">
        <f>IF(tuulisähkö_vuosi&lt;='S0b Baseline kasvu'!C268,"tuulisähkö",ostosähkö_nyt)</f>
        <v>jäännössähkö</v>
      </c>
      <c r="O268" s="147">
        <f>INDEX(Muuttujat!$J$5:$J$21,MATCH($C268,Muuttujat!$H$5:$H$21,0),1)</f>
        <v>63.897506909426724</v>
      </c>
      <c r="P268" s="342">
        <f>1-(INDEX(Muuttujat!$O$5:$O$21,MATCH($C268,Muuttujat!$N$5:$N$21,0),1))</f>
        <v>0.91</v>
      </c>
      <c r="Q268" s="342">
        <f>INDEX(Muuttujat!$O$5:$O$21,MATCH($C268,Muuttujat!$N$5:$N$21,0),1)</f>
        <v>0.09</v>
      </c>
      <c r="R268" s="148">
        <f>INDEX(Muuttujat!$P$5:$P$21,MATCH($C268,Muuttujat!$N$5:$N$21,0),1)</f>
        <v>9.3804435869509845E-2</v>
      </c>
      <c r="S268" s="149">
        <f t="shared" si="91"/>
        <v>0</v>
      </c>
      <c r="T268" s="150">
        <f t="shared" si="92"/>
        <v>0</v>
      </c>
      <c r="U268" s="150">
        <f t="shared" si="93"/>
        <v>0</v>
      </c>
      <c r="V268" s="150">
        <f>IFERROR(INDEX(Työkonekanta!$J$3:$J$27,MATCH($A268,Työkonekanta!$A$3:$A$24,0),1)*$B268*ef_li_ion_akku/1000/1000/INDEX(Työkonekanta!$K$3:$K$27,MATCH($A268,Työkonekanta!$A$3:$A$24,0)),0)</f>
        <v>0</v>
      </c>
      <c r="W268" s="149">
        <f t="shared" si="84"/>
        <v>0</v>
      </c>
      <c r="X268" s="150">
        <f t="shared" si="85"/>
        <v>0</v>
      </c>
      <c r="Y268" s="151">
        <f t="shared" si="86"/>
        <v>0</v>
      </c>
      <c r="Z268" s="152">
        <f t="shared" si="100"/>
        <v>0</v>
      </c>
      <c r="AA268" s="179">
        <f t="shared" si="101"/>
        <v>0</v>
      </c>
      <c r="AB268" s="179">
        <f t="shared" si="102"/>
        <v>0</v>
      </c>
      <c r="AC268" s="180">
        <f t="shared" si="87"/>
        <v>0</v>
      </c>
      <c r="AD268" s="156">
        <f t="shared" si="103"/>
        <v>0</v>
      </c>
      <c r="AE268" s="146">
        <f>IFERROR(INDEX(Työkonekanta!$L$3:$L$30,MATCH($A268,Työkonekanta!$A$3:$A$30,0),1),0)*AF268</f>
        <v>0</v>
      </c>
      <c r="AF268" s="146">
        <f>IFERROR(INDEX(Työkonekanta!$N$3:$N$32,MATCH($A268,Työkonekanta!$A$3:$A$32,0),1),0)</f>
        <v>0</v>
      </c>
      <c r="AG268" s="332">
        <f>I268*INDEX(Muuttujat!$U$5:$U$21,MATCH($C268,Muuttujat!$N$5:$N$21,0),1)</f>
        <v>0</v>
      </c>
      <c r="AH268" s="332">
        <f>J268*INDEX(Muuttujat!$T$5:$T$21,MATCH($C268,Muuttujat!$N$5:$N$21,0),1)</f>
        <v>0</v>
      </c>
      <c r="AI268" s="332">
        <f t="shared" si="94"/>
        <v>0</v>
      </c>
      <c r="AJ268" s="332">
        <f t="shared" si="95"/>
        <v>0</v>
      </c>
      <c r="AK268" s="332">
        <f t="shared" si="104"/>
        <v>0</v>
      </c>
      <c r="AL268" s="332">
        <f t="shared" si="96"/>
        <v>0</v>
      </c>
    </row>
    <row r="269" spans="1:38">
      <c r="A269" s="139">
        <v>27</v>
      </c>
      <c r="B269" s="139">
        <f>IFERROR(INDEX(Työkonekanta!$F$3:$F$27,MATCH('S0b Baseline kasvu'!$A269,Työkonekanta!$A$3:$A$24,0),1),0)</f>
        <v>0</v>
      </c>
      <c r="C269" s="140">
        <v>2027</v>
      </c>
      <c r="D269" s="141" t="str">
        <f>IFERROR(INDEX(Työkonekanta!$D$3:$D$27,MATCH('S0b Baseline kasvu'!$A269,Työkonekanta!$A$3:$A$24,0),1),"undefined")</f>
        <v>undefined</v>
      </c>
      <c r="E269" s="145">
        <f>IFERROR(INDEX(Työkonekanta!$G$3:$G$27,MATCH($A269,Työkonekanta!$A$3:$A$24,0),1)*INDEX(Työkonekanta!$H$3:$H$27,MATCH($A269,Työkonekanta!$A$3:$A$24,0),1)*(1+s0b_kasvu*($C269-2019))*$B269,0)</f>
        <v>0</v>
      </c>
      <c r="F269" s="145">
        <f t="shared" si="88"/>
        <v>0</v>
      </c>
      <c r="G269" s="145">
        <f t="shared" si="97"/>
        <v>0</v>
      </c>
      <c r="H269" s="145">
        <f t="shared" si="98"/>
        <v>0</v>
      </c>
      <c r="I269" s="145">
        <f t="shared" si="89"/>
        <v>0</v>
      </c>
      <c r="J269" s="145">
        <f t="shared" si="90"/>
        <v>0</v>
      </c>
      <c r="K269" s="142" t="str">
        <f t="shared" si="99"/>
        <v>undefined</v>
      </c>
      <c r="L269" s="146">
        <f>IFERROR(INDEX(Työkonekanta!$I$3:$I$27,MATCH('S0b Baseline kasvu'!$A269,Työkonekanta!$A$3:$A$24,0),1)*(I269+J269)*f_adblue,0)</f>
        <v>0</v>
      </c>
      <c r="M269" s="146">
        <f t="shared" si="83"/>
        <v>0</v>
      </c>
      <c r="N269" s="143" t="str">
        <f>IF(tuulisähkö_vuosi&lt;='S0b Baseline kasvu'!C269,"tuulisähkö",ostosähkö_nyt)</f>
        <v>jäännössähkö</v>
      </c>
      <c r="O269" s="147">
        <f>INDEX(Muuttujat!$J$5:$J$21,MATCH($C269,Muuttujat!$H$5:$H$21,0),1)</f>
        <v>63.897506909426724</v>
      </c>
      <c r="P269" s="342">
        <f>1-(INDEX(Muuttujat!$O$5:$O$21,MATCH($C269,Muuttujat!$N$5:$N$21,0),1))</f>
        <v>0.91</v>
      </c>
      <c r="Q269" s="342">
        <f>INDEX(Muuttujat!$O$5:$O$21,MATCH($C269,Muuttujat!$N$5:$N$21,0),1)</f>
        <v>0.09</v>
      </c>
      <c r="R269" s="148">
        <f>INDEX(Muuttujat!$P$5:$P$21,MATCH($C269,Muuttujat!$N$5:$N$21,0),1)</f>
        <v>9.3804435869509845E-2</v>
      </c>
      <c r="S269" s="149">
        <f t="shared" si="91"/>
        <v>0</v>
      </c>
      <c r="T269" s="150">
        <f t="shared" si="92"/>
        <v>0</v>
      </c>
      <c r="U269" s="150">
        <f t="shared" si="93"/>
        <v>0</v>
      </c>
      <c r="V269" s="150">
        <f>IFERROR(INDEX(Työkonekanta!$J$3:$J$27,MATCH($A269,Työkonekanta!$A$3:$A$24,0),1)*$B269*ef_li_ion_akku/1000/1000/INDEX(Työkonekanta!$K$3:$K$27,MATCH($A269,Työkonekanta!$A$3:$A$24,0)),0)</f>
        <v>0</v>
      </c>
      <c r="W269" s="149">
        <f t="shared" si="84"/>
        <v>0</v>
      </c>
      <c r="X269" s="150">
        <f t="shared" si="85"/>
        <v>0</v>
      </c>
      <c r="Y269" s="151">
        <f t="shared" si="86"/>
        <v>0</v>
      </c>
      <c r="Z269" s="152">
        <f t="shared" si="100"/>
        <v>0</v>
      </c>
      <c r="AA269" s="179">
        <f t="shared" si="101"/>
        <v>0</v>
      </c>
      <c r="AB269" s="179">
        <f t="shared" si="102"/>
        <v>0</v>
      </c>
      <c r="AC269" s="180">
        <f t="shared" si="87"/>
        <v>0</v>
      </c>
      <c r="AD269" s="156">
        <f t="shared" si="103"/>
        <v>0</v>
      </c>
      <c r="AE269" s="146">
        <f>IFERROR(INDEX(Työkonekanta!$L$3:$L$30,MATCH($A269,Työkonekanta!$A$3:$A$30,0),1),0)*AF269</f>
        <v>0</v>
      </c>
      <c r="AF269" s="146">
        <f>IFERROR(INDEX(Työkonekanta!$N$3:$N$32,MATCH($A269,Työkonekanta!$A$3:$A$32,0),1),0)</f>
        <v>0</v>
      </c>
      <c r="AG269" s="332">
        <f>I269*INDEX(Muuttujat!$U$5:$U$21,MATCH($C269,Muuttujat!$N$5:$N$21,0),1)</f>
        <v>0</v>
      </c>
      <c r="AH269" s="332">
        <f>J269*INDEX(Muuttujat!$T$5:$T$21,MATCH($C269,Muuttujat!$N$5:$N$21,0),1)</f>
        <v>0</v>
      </c>
      <c r="AI269" s="332">
        <f t="shared" si="94"/>
        <v>0</v>
      </c>
      <c r="AJ269" s="332">
        <f t="shared" si="95"/>
        <v>0</v>
      </c>
      <c r="AK269" s="332">
        <f t="shared" si="104"/>
        <v>0</v>
      </c>
      <c r="AL269" s="332">
        <f t="shared" si="96"/>
        <v>0</v>
      </c>
    </row>
    <row r="270" spans="1:38">
      <c r="A270" s="139">
        <v>28</v>
      </c>
      <c r="B270" s="139">
        <f>IFERROR(INDEX(Työkonekanta!$F$3:$F$27,MATCH('S0b Baseline kasvu'!$A270,Työkonekanta!$A$3:$A$24,0),1),0)</f>
        <v>0</v>
      </c>
      <c r="C270" s="140">
        <v>2027</v>
      </c>
      <c r="D270" s="141" t="str">
        <f>IFERROR(INDEX(Työkonekanta!$D$3:$D$27,MATCH('S0b Baseline kasvu'!$A270,Työkonekanta!$A$3:$A$24,0),1),"undefined")</f>
        <v>undefined</v>
      </c>
      <c r="E270" s="145">
        <f>IFERROR(INDEX(Työkonekanta!$G$3:$G$27,MATCH($A270,Työkonekanta!$A$3:$A$24,0),1)*INDEX(Työkonekanta!$H$3:$H$27,MATCH($A270,Työkonekanta!$A$3:$A$24,0),1)*(1+s0b_kasvu*($C270-2019))*$B270,0)</f>
        <v>0</v>
      </c>
      <c r="F270" s="145">
        <f t="shared" si="88"/>
        <v>0</v>
      </c>
      <c r="G270" s="145">
        <f t="shared" si="97"/>
        <v>0</v>
      </c>
      <c r="H270" s="145">
        <f t="shared" si="98"/>
        <v>0</v>
      </c>
      <c r="I270" s="145">
        <f t="shared" si="89"/>
        <v>0</v>
      </c>
      <c r="J270" s="145">
        <f t="shared" si="90"/>
        <v>0</v>
      </c>
      <c r="K270" s="142" t="str">
        <f t="shared" si="99"/>
        <v>undefined</v>
      </c>
      <c r="L270" s="146">
        <f>IFERROR(INDEX(Työkonekanta!$I$3:$I$27,MATCH('S0b Baseline kasvu'!$A270,Työkonekanta!$A$3:$A$24,0),1)*(I270+J270)*f_adblue,0)</f>
        <v>0</v>
      </c>
      <c r="M270" s="146">
        <f t="shared" si="83"/>
        <v>0</v>
      </c>
      <c r="N270" s="143" t="str">
        <f>IF(tuulisähkö_vuosi&lt;='S0b Baseline kasvu'!C270,"tuulisähkö",ostosähkö_nyt)</f>
        <v>jäännössähkö</v>
      </c>
      <c r="O270" s="147">
        <f>INDEX(Muuttujat!$J$5:$J$21,MATCH($C270,Muuttujat!$H$5:$H$21,0),1)</f>
        <v>63.897506909426724</v>
      </c>
      <c r="P270" s="342">
        <f>1-(INDEX(Muuttujat!$O$5:$O$21,MATCH($C270,Muuttujat!$N$5:$N$21,0),1))</f>
        <v>0.91</v>
      </c>
      <c r="Q270" s="342">
        <f>INDEX(Muuttujat!$O$5:$O$21,MATCH($C270,Muuttujat!$N$5:$N$21,0),1)</f>
        <v>0.09</v>
      </c>
      <c r="R270" s="148">
        <f>INDEX(Muuttujat!$P$5:$P$21,MATCH($C270,Muuttujat!$N$5:$N$21,0),1)</f>
        <v>9.3804435869509845E-2</v>
      </c>
      <c r="S270" s="149">
        <f t="shared" si="91"/>
        <v>0</v>
      </c>
      <c r="T270" s="150">
        <f t="shared" si="92"/>
        <v>0</v>
      </c>
      <c r="U270" s="150">
        <f t="shared" si="93"/>
        <v>0</v>
      </c>
      <c r="V270" s="150">
        <f>IFERROR(INDEX(Työkonekanta!$J$3:$J$27,MATCH($A270,Työkonekanta!$A$3:$A$24,0),1)*$B270*ef_li_ion_akku/1000/1000/INDEX(Työkonekanta!$K$3:$K$27,MATCH($A270,Työkonekanta!$A$3:$A$24,0)),0)</f>
        <v>0</v>
      </c>
      <c r="W270" s="149">
        <f t="shared" si="84"/>
        <v>0</v>
      </c>
      <c r="X270" s="150">
        <f t="shared" si="85"/>
        <v>0</v>
      </c>
      <c r="Y270" s="151">
        <f t="shared" si="86"/>
        <v>0</v>
      </c>
      <c r="Z270" s="152">
        <f t="shared" si="100"/>
        <v>0</v>
      </c>
      <c r="AA270" s="179">
        <f t="shared" si="101"/>
        <v>0</v>
      </c>
      <c r="AB270" s="179">
        <f t="shared" si="102"/>
        <v>0</v>
      </c>
      <c r="AC270" s="180">
        <f t="shared" si="87"/>
        <v>0</v>
      </c>
      <c r="AD270" s="156">
        <f t="shared" si="103"/>
        <v>0</v>
      </c>
      <c r="AE270" s="146">
        <f>IFERROR(INDEX(Työkonekanta!$L$3:$L$30,MATCH($A270,Työkonekanta!$A$3:$A$30,0),1),0)*AF270</f>
        <v>0</v>
      </c>
      <c r="AF270" s="146">
        <f>IFERROR(INDEX(Työkonekanta!$N$3:$N$32,MATCH($A270,Työkonekanta!$A$3:$A$32,0),1),0)</f>
        <v>0</v>
      </c>
      <c r="AG270" s="332">
        <f>I270*INDEX(Muuttujat!$U$5:$U$21,MATCH($C270,Muuttujat!$N$5:$N$21,0),1)</f>
        <v>0</v>
      </c>
      <c r="AH270" s="332">
        <f>J270*INDEX(Muuttujat!$T$5:$T$21,MATCH($C270,Muuttujat!$N$5:$N$21,0),1)</f>
        <v>0</v>
      </c>
      <c r="AI270" s="332">
        <f t="shared" si="94"/>
        <v>0</v>
      </c>
      <c r="AJ270" s="332">
        <f t="shared" si="95"/>
        <v>0</v>
      </c>
      <c r="AK270" s="332">
        <f t="shared" si="104"/>
        <v>0</v>
      </c>
      <c r="AL270" s="332">
        <f t="shared" si="96"/>
        <v>0</v>
      </c>
    </row>
    <row r="271" spans="1:38">
      <c r="A271" s="139">
        <v>29</v>
      </c>
      <c r="B271" s="139">
        <f>IFERROR(INDEX(Työkonekanta!$F$3:$F$27,MATCH('S0b Baseline kasvu'!$A271,Työkonekanta!$A$3:$A$24,0),1),0)</f>
        <v>0</v>
      </c>
      <c r="C271" s="140">
        <v>2027</v>
      </c>
      <c r="D271" s="141" t="str">
        <f>IFERROR(INDEX(Työkonekanta!$D$3:$D$27,MATCH('S0b Baseline kasvu'!$A271,Työkonekanta!$A$3:$A$24,0),1),"undefined")</f>
        <v>undefined</v>
      </c>
      <c r="E271" s="145">
        <f>IFERROR(INDEX(Työkonekanta!$G$3:$G$27,MATCH($A271,Työkonekanta!$A$3:$A$24,0),1)*INDEX(Työkonekanta!$H$3:$H$27,MATCH($A271,Työkonekanta!$A$3:$A$24,0),1)*(1+s0b_kasvu*($C271-2019))*$B271,0)</f>
        <v>0</v>
      </c>
      <c r="F271" s="145">
        <f t="shared" si="88"/>
        <v>0</v>
      </c>
      <c r="G271" s="145">
        <f t="shared" si="97"/>
        <v>0</v>
      </c>
      <c r="H271" s="145">
        <f t="shared" si="98"/>
        <v>0</v>
      </c>
      <c r="I271" s="145">
        <f t="shared" si="89"/>
        <v>0</v>
      </c>
      <c r="J271" s="145">
        <f t="shared" si="90"/>
        <v>0</v>
      </c>
      <c r="K271" s="142" t="str">
        <f t="shared" si="99"/>
        <v>undefined</v>
      </c>
      <c r="L271" s="146">
        <f>IFERROR(INDEX(Työkonekanta!$I$3:$I$27,MATCH('S0b Baseline kasvu'!$A271,Työkonekanta!$A$3:$A$24,0),1)*(I271+J271)*f_adblue,0)</f>
        <v>0</v>
      </c>
      <c r="M271" s="146">
        <f t="shared" si="83"/>
        <v>0</v>
      </c>
      <c r="N271" s="143" t="str">
        <f>IF(tuulisähkö_vuosi&lt;='S0b Baseline kasvu'!C271,"tuulisähkö",ostosähkö_nyt)</f>
        <v>jäännössähkö</v>
      </c>
      <c r="O271" s="147">
        <f>INDEX(Muuttujat!$J$5:$J$21,MATCH($C271,Muuttujat!$H$5:$H$21,0),1)</f>
        <v>63.897506909426724</v>
      </c>
      <c r="P271" s="342">
        <f>1-(INDEX(Muuttujat!$O$5:$O$21,MATCH($C271,Muuttujat!$N$5:$N$21,0),1))</f>
        <v>0.91</v>
      </c>
      <c r="Q271" s="342">
        <f>INDEX(Muuttujat!$O$5:$O$21,MATCH($C271,Muuttujat!$N$5:$N$21,0),1)</f>
        <v>0.09</v>
      </c>
      <c r="R271" s="148">
        <f>INDEX(Muuttujat!$P$5:$P$21,MATCH($C271,Muuttujat!$N$5:$N$21,0),1)</f>
        <v>9.3804435869509845E-2</v>
      </c>
      <c r="S271" s="149">
        <f t="shared" si="91"/>
        <v>0</v>
      </c>
      <c r="T271" s="150">
        <f t="shared" si="92"/>
        <v>0</v>
      </c>
      <c r="U271" s="150">
        <f t="shared" si="93"/>
        <v>0</v>
      </c>
      <c r="V271" s="150">
        <f>IFERROR(INDEX(Työkonekanta!$J$3:$J$27,MATCH($A271,Työkonekanta!$A$3:$A$24,0),1)*$B271*ef_li_ion_akku/1000/1000/INDEX(Työkonekanta!$K$3:$K$27,MATCH($A271,Työkonekanta!$A$3:$A$24,0)),0)</f>
        <v>0</v>
      </c>
      <c r="W271" s="149">
        <f t="shared" si="84"/>
        <v>0</v>
      </c>
      <c r="X271" s="150">
        <f t="shared" si="85"/>
        <v>0</v>
      </c>
      <c r="Y271" s="151">
        <f t="shared" si="86"/>
        <v>0</v>
      </c>
      <c r="Z271" s="152">
        <f t="shared" si="100"/>
        <v>0</v>
      </c>
      <c r="AA271" s="179">
        <f t="shared" si="101"/>
        <v>0</v>
      </c>
      <c r="AB271" s="179">
        <f t="shared" si="102"/>
        <v>0</v>
      </c>
      <c r="AC271" s="180">
        <f t="shared" si="87"/>
        <v>0</v>
      </c>
      <c r="AD271" s="156">
        <f t="shared" si="103"/>
        <v>0</v>
      </c>
      <c r="AE271" s="146">
        <f>IFERROR(INDEX(Työkonekanta!$L$3:$L$30,MATCH($A271,Työkonekanta!$A$3:$A$30,0),1),0)*AF271</f>
        <v>0</v>
      </c>
      <c r="AF271" s="146">
        <f>IFERROR(INDEX(Työkonekanta!$N$3:$N$32,MATCH($A271,Työkonekanta!$A$3:$A$32,0),1),0)</f>
        <v>0</v>
      </c>
      <c r="AG271" s="332">
        <f>I271*INDEX(Muuttujat!$U$5:$U$21,MATCH($C271,Muuttujat!$N$5:$N$21,0),1)</f>
        <v>0</v>
      </c>
      <c r="AH271" s="332">
        <f>J271*INDEX(Muuttujat!$T$5:$T$21,MATCH($C271,Muuttujat!$N$5:$N$21,0),1)</f>
        <v>0</v>
      </c>
      <c r="AI271" s="332">
        <f t="shared" si="94"/>
        <v>0</v>
      </c>
      <c r="AJ271" s="332">
        <f t="shared" si="95"/>
        <v>0</v>
      </c>
      <c r="AK271" s="332">
        <f t="shared" si="104"/>
        <v>0</v>
      </c>
      <c r="AL271" s="332">
        <f t="shared" si="96"/>
        <v>0</v>
      </c>
    </row>
    <row r="272" spans="1:38">
      <c r="A272" s="139">
        <v>30</v>
      </c>
      <c r="B272" s="139">
        <f>IFERROR(INDEX(Työkonekanta!$F$3:$F$27,MATCH('S0b Baseline kasvu'!$A272,Työkonekanta!$A$3:$A$24,0),1),0)</f>
        <v>0</v>
      </c>
      <c r="C272" s="140">
        <v>2027</v>
      </c>
      <c r="D272" s="141" t="str">
        <f>IFERROR(INDEX(Työkonekanta!$D$3:$D$27,MATCH('S0b Baseline kasvu'!$A272,Työkonekanta!$A$3:$A$24,0),1),"undefined")</f>
        <v>undefined</v>
      </c>
      <c r="E272" s="145">
        <f>IFERROR(INDEX(Työkonekanta!$G$3:$G$27,MATCH($A272,Työkonekanta!$A$3:$A$24,0),1)*INDEX(Työkonekanta!$H$3:$H$27,MATCH($A272,Työkonekanta!$A$3:$A$24,0),1)*(1+s0b_kasvu*($C272-2019))*$B272,0)</f>
        <v>0</v>
      </c>
      <c r="F272" s="145">
        <f t="shared" si="88"/>
        <v>0</v>
      </c>
      <c r="G272" s="145">
        <f t="shared" si="97"/>
        <v>0</v>
      </c>
      <c r="H272" s="145">
        <f t="shared" si="98"/>
        <v>0</v>
      </c>
      <c r="I272" s="145">
        <f t="shared" si="89"/>
        <v>0</v>
      </c>
      <c r="J272" s="145">
        <f t="shared" si="90"/>
        <v>0</v>
      </c>
      <c r="K272" s="142" t="str">
        <f t="shared" si="99"/>
        <v>undefined</v>
      </c>
      <c r="L272" s="146">
        <f>IFERROR(INDEX(Työkonekanta!$I$3:$I$27,MATCH('S0b Baseline kasvu'!$A272,Työkonekanta!$A$3:$A$24,0),1)*(I272+J272)*f_adblue,0)</f>
        <v>0</v>
      </c>
      <c r="M272" s="146">
        <f t="shared" si="83"/>
        <v>0</v>
      </c>
      <c r="N272" s="143" t="str">
        <f>IF(tuulisähkö_vuosi&lt;='S0b Baseline kasvu'!C272,"tuulisähkö",ostosähkö_nyt)</f>
        <v>jäännössähkö</v>
      </c>
      <c r="O272" s="147">
        <f>INDEX(Muuttujat!$J$5:$J$21,MATCH($C272,Muuttujat!$H$5:$H$21,0),1)</f>
        <v>63.897506909426724</v>
      </c>
      <c r="P272" s="342">
        <f>1-(INDEX(Muuttujat!$O$5:$O$21,MATCH($C272,Muuttujat!$N$5:$N$21,0),1))</f>
        <v>0.91</v>
      </c>
      <c r="Q272" s="342">
        <f>INDEX(Muuttujat!$O$5:$O$21,MATCH($C272,Muuttujat!$N$5:$N$21,0),1)</f>
        <v>0.09</v>
      </c>
      <c r="R272" s="148">
        <f>INDEX(Muuttujat!$P$5:$P$21,MATCH($C272,Muuttujat!$N$5:$N$21,0),1)</f>
        <v>9.3804435869509845E-2</v>
      </c>
      <c r="S272" s="149">
        <f t="shared" si="91"/>
        <v>0</v>
      </c>
      <c r="T272" s="150">
        <f t="shared" si="92"/>
        <v>0</v>
      </c>
      <c r="U272" s="150">
        <f t="shared" si="93"/>
        <v>0</v>
      </c>
      <c r="V272" s="150">
        <f>IFERROR(INDEX(Työkonekanta!$J$3:$J$27,MATCH($A272,Työkonekanta!$A$3:$A$24,0),1)*$B272*ef_li_ion_akku/1000/1000/INDEX(Työkonekanta!$K$3:$K$27,MATCH($A272,Työkonekanta!$A$3:$A$24,0)),0)</f>
        <v>0</v>
      </c>
      <c r="W272" s="149">
        <f t="shared" si="84"/>
        <v>0</v>
      </c>
      <c r="X272" s="150">
        <f t="shared" si="85"/>
        <v>0</v>
      </c>
      <c r="Y272" s="151">
        <f t="shared" si="86"/>
        <v>0</v>
      </c>
      <c r="Z272" s="152">
        <f t="shared" si="100"/>
        <v>0</v>
      </c>
      <c r="AA272" s="179">
        <f t="shared" si="101"/>
        <v>0</v>
      </c>
      <c r="AB272" s="179">
        <f t="shared" si="102"/>
        <v>0</v>
      </c>
      <c r="AC272" s="180">
        <f t="shared" si="87"/>
        <v>0</v>
      </c>
      <c r="AD272" s="156">
        <f t="shared" si="103"/>
        <v>0</v>
      </c>
      <c r="AE272" s="146">
        <f>IFERROR(INDEX(Työkonekanta!$L$3:$L$30,MATCH($A272,Työkonekanta!$A$3:$A$30,0),1),0)*AF272</f>
        <v>0</v>
      </c>
      <c r="AF272" s="146">
        <f>IFERROR(INDEX(Työkonekanta!$N$3:$N$32,MATCH($A272,Työkonekanta!$A$3:$A$32,0),1),0)</f>
        <v>0</v>
      </c>
      <c r="AG272" s="332">
        <f>I272*INDEX(Muuttujat!$U$5:$U$21,MATCH($C272,Muuttujat!$N$5:$N$21,0),1)</f>
        <v>0</v>
      </c>
      <c r="AH272" s="332">
        <f>J272*INDEX(Muuttujat!$T$5:$T$21,MATCH($C272,Muuttujat!$N$5:$N$21,0),1)</f>
        <v>0</v>
      </c>
      <c r="AI272" s="332">
        <f t="shared" si="94"/>
        <v>0</v>
      </c>
      <c r="AJ272" s="332">
        <f t="shared" si="95"/>
        <v>0</v>
      </c>
      <c r="AK272" s="332">
        <f t="shared" si="104"/>
        <v>0</v>
      </c>
      <c r="AL272" s="332">
        <f t="shared" si="96"/>
        <v>0</v>
      </c>
    </row>
    <row r="273" spans="1:38">
      <c r="A273" s="139">
        <v>1</v>
      </c>
      <c r="B273" s="139">
        <f>IFERROR(INDEX(Työkonekanta!$F$3:$F$27,MATCH('S0b Baseline kasvu'!$A273,Työkonekanta!$A$3:$A$24,0),1),0)</f>
        <v>1</v>
      </c>
      <c r="C273" s="140">
        <v>2028</v>
      </c>
      <c r="D273" s="141" t="str">
        <f>IFERROR(INDEX(Työkonekanta!$D$3:$D$27,MATCH('S0b Baseline kasvu'!$A273,Työkonekanta!$A$3:$A$24,0),1),"undefined")</f>
        <v>pom</v>
      </c>
      <c r="E273" s="145">
        <f>IFERROR(INDEX(Työkonekanta!$G$3:$G$27,MATCH($A273,Työkonekanta!$A$3:$A$24,0),1)*INDEX(Työkonekanta!$H$3:$H$27,MATCH($A273,Työkonekanta!$A$3:$A$24,0),1)*(1+s0b_kasvu*($C273-2019))*$B273,0)</f>
        <v>10900</v>
      </c>
      <c r="F273" s="145">
        <f t="shared" si="88"/>
        <v>391310</v>
      </c>
      <c r="G273" s="145">
        <f t="shared" si="97"/>
        <v>352179</v>
      </c>
      <c r="H273" s="145">
        <f t="shared" si="98"/>
        <v>39131</v>
      </c>
      <c r="I273" s="145">
        <f t="shared" si="89"/>
        <v>9810</v>
      </c>
      <c r="J273" s="145">
        <f t="shared" si="90"/>
        <v>1140.8454810495627</v>
      </c>
      <c r="K273" s="142" t="str">
        <f t="shared" si="99"/>
        <v>l</v>
      </c>
      <c r="L273" s="146">
        <f>IFERROR(INDEX(Työkonekanta!$I$3:$I$27,MATCH('S0b Baseline kasvu'!$A273,Työkonekanta!$A$3:$A$24,0),1)*(I273+J273)*f_adblue,0)</f>
        <v>547.54227405247809</v>
      </c>
      <c r="M273" s="146">
        <f t="shared" si="83"/>
        <v>0</v>
      </c>
      <c r="N273" s="143" t="str">
        <f>IF(tuulisähkö_vuosi&lt;='S0b Baseline kasvu'!C273,"tuulisähkö",ostosähkö_nyt)</f>
        <v>jäännössähkö</v>
      </c>
      <c r="O273" s="147">
        <f>INDEX(Muuttujat!$J$5:$J$21,MATCH($C273,Muuttujat!$H$5:$H$21,0),1)</f>
        <v>63.258531840332459</v>
      </c>
      <c r="P273" s="342">
        <f>1-(INDEX(Muuttujat!$O$5:$O$21,MATCH($C273,Muuttujat!$N$5:$N$21,0),1))</f>
        <v>0.9</v>
      </c>
      <c r="Q273" s="342">
        <f>INDEX(Muuttujat!$O$5:$O$21,MATCH($C273,Muuttujat!$N$5:$N$21,0),1)</f>
        <v>0.1</v>
      </c>
      <c r="R273" s="148">
        <f>INDEX(Muuttujat!$P$5:$P$21,MATCH($C273,Muuttujat!$N$5:$N$21,0),1)</f>
        <v>0.10417875759940039</v>
      </c>
      <c r="S273" s="149">
        <f t="shared" si="91"/>
        <v>6.6561830999999989</v>
      </c>
      <c r="T273" s="150">
        <f t="shared" si="92"/>
        <v>2.4417743999999999</v>
      </c>
      <c r="U273" s="150">
        <f t="shared" si="93"/>
        <v>0</v>
      </c>
      <c r="V273" s="150">
        <f>IFERROR(INDEX(Työkonekanta!$J$3:$J$27,MATCH($A273,Työkonekanta!$A$3:$A$24,0),1)*$B273*ef_li_ion_akku/1000/1000/INDEX(Työkonekanta!$K$3:$K$27,MATCH($A273,Työkonekanta!$A$3:$A$24,0)),0)</f>
        <v>0</v>
      </c>
      <c r="W273" s="149">
        <f t="shared" si="84"/>
        <v>25.993717183566002</v>
      </c>
      <c r="X273" s="150">
        <f t="shared" si="85"/>
        <v>0.34634276940000003</v>
      </c>
      <c r="Y273" s="151">
        <f t="shared" si="86"/>
        <v>0.14236099125364432</v>
      </c>
      <c r="Z273" s="152">
        <f t="shared" si="100"/>
        <v>9.0979574999999997</v>
      </c>
      <c r="AA273" s="179">
        <f t="shared" si="101"/>
        <v>26.136078174819644</v>
      </c>
      <c r="AB273" s="179">
        <f t="shared" si="102"/>
        <v>26.482420944219644</v>
      </c>
      <c r="AC273" s="180">
        <f t="shared" si="87"/>
        <v>35.234035674819644</v>
      </c>
      <c r="AD273" s="156">
        <f t="shared" si="103"/>
        <v>35.580378444219647</v>
      </c>
      <c r="AE273" s="146">
        <f>IFERROR(INDEX(Työkonekanta!$L$3:$L$30,MATCH($A273,Työkonekanta!$A$3:$A$30,0),1),0)*AF273</f>
        <v>500000</v>
      </c>
      <c r="AF273" s="146">
        <f>IFERROR(INDEX(Työkonekanta!$N$3:$N$32,MATCH($A273,Työkonekanta!$A$3:$A$32,0),1),0)</f>
        <v>1</v>
      </c>
      <c r="AG273" s="332">
        <f>I273*INDEX(Muuttujat!$U$5:$U$21,MATCH($C273,Muuttujat!$N$5:$N$21,0),1)</f>
        <v>10300.5</v>
      </c>
      <c r="AH273" s="332">
        <f>J273*INDEX(Muuttujat!$T$5:$T$21,MATCH($C273,Muuttujat!$N$5:$N$21,0),1)</f>
        <v>1654.2259475218661</v>
      </c>
      <c r="AI273" s="332">
        <f t="shared" si="94"/>
        <v>273.77113702623905</v>
      </c>
      <c r="AJ273" s="332">
        <f t="shared" si="95"/>
        <v>0</v>
      </c>
      <c r="AK273" s="332">
        <f t="shared" si="104"/>
        <v>12228.497084548106</v>
      </c>
      <c r="AL273" s="332">
        <f t="shared" si="96"/>
        <v>12228.497084548106</v>
      </c>
    </row>
    <row r="274" spans="1:38">
      <c r="A274" s="139">
        <v>2</v>
      </c>
      <c r="B274" s="139">
        <f>IFERROR(INDEX(Työkonekanta!$F$3:$F$27,MATCH('S0b Baseline kasvu'!$A274,Työkonekanta!$A$3:$A$24,0),1),0)</f>
        <v>1</v>
      </c>
      <c r="C274" s="140">
        <v>2028</v>
      </c>
      <c r="D274" s="141" t="str">
        <f>IFERROR(INDEX(Työkonekanta!$D$3:$D$27,MATCH('S0b Baseline kasvu'!$A274,Työkonekanta!$A$3:$A$24,0),1),"undefined")</f>
        <v>pom</v>
      </c>
      <c r="E274" s="145">
        <f>IFERROR(INDEX(Työkonekanta!$G$3:$G$27,MATCH($A274,Työkonekanta!$A$3:$A$24,0),1)*INDEX(Työkonekanta!$H$3:$H$27,MATCH($A274,Työkonekanta!$A$3:$A$24,0),1)*(1+s0b_kasvu*($C274-2019))*$B274,0)</f>
        <v>10900</v>
      </c>
      <c r="F274" s="145">
        <f t="shared" si="88"/>
        <v>391310</v>
      </c>
      <c r="G274" s="145">
        <f t="shared" si="97"/>
        <v>352179</v>
      </c>
      <c r="H274" s="145">
        <f t="shared" si="98"/>
        <v>39131</v>
      </c>
      <c r="I274" s="145">
        <f t="shared" si="89"/>
        <v>9810</v>
      </c>
      <c r="J274" s="145">
        <f t="shared" si="90"/>
        <v>1140.8454810495627</v>
      </c>
      <c r="K274" s="142" t="str">
        <f t="shared" si="99"/>
        <v>l</v>
      </c>
      <c r="L274" s="146">
        <f>IFERROR(INDEX(Työkonekanta!$I$3:$I$27,MATCH('S0b Baseline kasvu'!$A274,Työkonekanta!$A$3:$A$24,0),1)*(I274+J274)*f_adblue,0)</f>
        <v>547.54227405247809</v>
      </c>
      <c r="M274" s="146">
        <f t="shared" si="83"/>
        <v>0</v>
      </c>
      <c r="N274" s="143" t="str">
        <f>IF(tuulisähkö_vuosi&lt;='S0b Baseline kasvu'!C274,"tuulisähkö",ostosähkö_nyt)</f>
        <v>jäännössähkö</v>
      </c>
      <c r="O274" s="147">
        <f>INDEX(Muuttujat!$J$5:$J$21,MATCH($C274,Muuttujat!$H$5:$H$21,0),1)</f>
        <v>63.258531840332459</v>
      </c>
      <c r="P274" s="342">
        <f>1-(INDEX(Muuttujat!$O$5:$O$21,MATCH($C274,Muuttujat!$N$5:$N$21,0),1))</f>
        <v>0.9</v>
      </c>
      <c r="Q274" s="342">
        <f>INDEX(Muuttujat!$O$5:$O$21,MATCH($C274,Muuttujat!$N$5:$N$21,0),1)</f>
        <v>0.1</v>
      </c>
      <c r="R274" s="148">
        <f>INDEX(Muuttujat!$P$5:$P$21,MATCH($C274,Muuttujat!$N$5:$N$21,0),1)</f>
        <v>0.10417875759940039</v>
      </c>
      <c r="S274" s="149">
        <f t="shared" si="91"/>
        <v>6.6561830999999989</v>
      </c>
      <c r="T274" s="150">
        <f t="shared" si="92"/>
        <v>2.4417743999999999</v>
      </c>
      <c r="U274" s="150">
        <f t="shared" si="93"/>
        <v>0</v>
      </c>
      <c r="V274" s="150">
        <f>IFERROR(INDEX(Työkonekanta!$J$3:$J$27,MATCH($A274,Työkonekanta!$A$3:$A$24,0),1)*$B274*ef_li_ion_akku/1000/1000/INDEX(Työkonekanta!$K$3:$K$27,MATCH($A274,Työkonekanta!$A$3:$A$24,0)),0)</f>
        <v>0</v>
      </c>
      <c r="W274" s="149">
        <f t="shared" si="84"/>
        <v>25.993717183566002</v>
      </c>
      <c r="X274" s="150">
        <f t="shared" si="85"/>
        <v>0.34634276940000003</v>
      </c>
      <c r="Y274" s="151">
        <f t="shared" si="86"/>
        <v>0.14236099125364432</v>
      </c>
      <c r="Z274" s="152">
        <f t="shared" si="100"/>
        <v>9.0979574999999997</v>
      </c>
      <c r="AA274" s="179">
        <f t="shared" si="101"/>
        <v>26.136078174819644</v>
      </c>
      <c r="AB274" s="179">
        <f t="shared" si="102"/>
        <v>26.482420944219644</v>
      </c>
      <c r="AC274" s="180">
        <f t="shared" si="87"/>
        <v>35.234035674819644</v>
      </c>
      <c r="AD274" s="156">
        <f t="shared" si="103"/>
        <v>35.580378444219647</v>
      </c>
      <c r="AE274" s="146">
        <f>IFERROR(INDEX(Työkonekanta!$L$3:$L$30,MATCH($A274,Työkonekanta!$A$3:$A$30,0),1),0)*AF274</f>
        <v>500000</v>
      </c>
      <c r="AF274" s="146">
        <f>IFERROR(INDEX(Työkonekanta!$N$3:$N$32,MATCH($A274,Työkonekanta!$A$3:$A$32,0),1),0)</f>
        <v>1</v>
      </c>
      <c r="AG274" s="332">
        <f>I274*INDEX(Muuttujat!$U$5:$U$21,MATCH($C274,Muuttujat!$N$5:$N$21,0),1)</f>
        <v>10300.5</v>
      </c>
      <c r="AH274" s="332">
        <f>J274*INDEX(Muuttujat!$T$5:$T$21,MATCH($C274,Muuttujat!$N$5:$N$21,0),1)</f>
        <v>1654.2259475218661</v>
      </c>
      <c r="AI274" s="332">
        <f t="shared" si="94"/>
        <v>273.77113702623905</v>
      </c>
      <c r="AJ274" s="332">
        <f t="shared" si="95"/>
        <v>0</v>
      </c>
      <c r="AK274" s="332">
        <f t="shared" si="104"/>
        <v>12228.497084548106</v>
      </c>
      <c r="AL274" s="332">
        <f t="shared" si="96"/>
        <v>12228.497084548106</v>
      </c>
    </row>
    <row r="275" spans="1:38">
      <c r="A275" s="139">
        <v>3</v>
      </c>
      <c r="B275" s="139">
        <f>IFERROR(INDEX(Työkonekanta!$F$3:$F$27,MATCH('S0b Baseline kasvu'!$A275,Työkonekanta!$A$3:$A$24,0),1),0)</f>
        <v>1</v>
      </c>
      <c r="C275" s="140">
        <v>2028</v>
      </c>
      <c r="D275" s="141" t="str">
        <f>IFERROR(INDEX(Työkonekanta!$D$3:$D$27,MATCH('S0b Baseline kasvu'!$A275,Työkonekanta!$A$3:$A$24,0),1),"undefined")</f>
        <v>pom</v>
      </c>
      <c r="E275" s="145">
        <f>IFERROR(INDEX(Työkonekanta!$G$3:$G$27,MATCH($A275,Työkonekanta!$A$3:$A$24,0),1)*INDEX(Työkonekanta!$H$3:$H$27,MATCH($A275,Työkonekanta!$A$3:$A$24,0),1)*(1+s0b_kasvu*($C275-2019))*$B275,0)</f>
        <v>10900</v>
      </c>
      <c r="F275" s="145">
        <f t="shared" si="88"/>
        <v>391310</v>
      </c>
      <c r="G275" s="145">
        <f t="shared" si="97"/>
        <v>352179</v>
      </c>
      <c r="H275" s="145">
        <f t="shared" si="98"/>
        <v>39131</v>
      </c>
      <c r="I275" s="145">
        <f t="shared" si="89"/>
        <v>9810</v>
      </c>
      <c r="J275" s="145">
        <f t="shared" si="90"/>
        <v>1140.8454810495627</v>
      </c>
      <c r="K275" s="142" t="str">
        <f t="shared" si="99"/>
        <v>l</v>
      </c>
      <c r="L275" s="146">
        <f>IFERROR(INDEX(Työkonekanta!$I$3:$I$27,MATCH('S0b Baseline kasvu'!$A275,Työkonekanta!$A$3:$A$24,0),1)*(I275+J275)*f_adblue,0)</f>
        <v>547.54227405247809</v>
      </c>
      <c r="M275" s="146">
        <f t="shared" ref="M275:M338" si="105">IF($D275="sähkö",conv_kwh_mj*$E275,0)</f>
        <v>0</v>
      </c>
      <c r="N275" s="143" t="str">
        <f>IF(tuulisähkö_vuosi&lt;='S0b Baseline kasvu'!C275,"tuulisähkö",ostosähkö_nyt)</f>
        <v>jäännössähkö</v>
      </c>
      <c r="O275" s="147">
        <f>INDEX(Muuttujat!$J$5:$J$21,MATCH($C275,Muuttujat!$H$5:$H$21,0),1)</f>
        <v>63.258531840332459</v>
      </c>
      <c r="P275" s="342">
        <f>1-(INDEX(Muuttujat!$O$5:$O$21,MATCH($C275,Muuttujat!$N$5:$N$21,0),1))</f>
        <v>0.9</v>
      </c>
      <c r="Q275" s="342">
        <f>INDEX(Muuttujat!$O$5:$O$21,MATCH($C275,Muuttujat!$N$5:$N$21,0),1)</f>
        <v>0.1</v>
      </c>
      <c r="R275" s="148">
        <f>INDEX(Muuttujat!$P$5:$P$21,MATCH($C275,Muuttujat!$N$5:$N$21,0),1)</f>
        <v>0.10417875759940039</v>
      </c>
      <c r="S275" s="149">
        <f t="shared" si="91"/>
        <v>6.6561830999999989</v>
      </c>
      <c r="T275" s="150">
        <f t="shared" si="92"/>
        <v>2.4417743999999999</v>
      </c>
      <c r="U275" s="150">
        <f t="shared" si="93"/>
        <v>0</v>
      </c>
      <c r="V275" s="150">
        <f>IFERROR(INDEX(Työkonekanta!$J$3:$J$27,MATCH($A275,Työkonekanta!$A$3:$A$24,0),1)*$B275*ef_li_ion_akku/1000/1000/INDEX(Työkonekanta!$K$3:$K$27,MATCH($A275,Työkonekanta!$A$3:$A$24,0)),0)</f>
        <v>0</v>
      </c>
      <c r="W275" s="149">
        <f t="shared" ref="W275:W338" si="106">($I275*IF($D275="pom",ef_v_co2_pom,0))/1000/1000</f>
        <v>25.993717183566002</v>
      </c>
      <c r="X275" s="150">
        <f t="shared" ref="X275:X338" si="107">($E275*(IF($D275="pom",ef_v_ch4_pom,0)*gwp100_ch4+IF($D275="pom",ef_v_n2o_pom,0)*gwp100_n2o))/1000/1000</f>
        <v>0.34634276940000003</v>
      </c>
      <c r="Y275" s="151">
        <f t="shared" ref="Y275:Y338" si="108">$L275*ef_v_co2_adblue/1000/1000</f>
        <v>0.14236099125364432</v>
      </c>
      <c r="Z275" s="152">
        <f t="shared" si="100"/>
        <v>9.0979574999999997</v>
      </c>
      <c r="AA275" s="179">
        <f t="shared" si="101"/>
        <v>26.136078174819644</v>
      </c>
      <c r="AB275" s="179">
        <f t="shared" si="102"/>
        <v>26.482420944219644</v>
      </c>
      <c r="AC275" s="180">
        <f t="shared" ref="AC275:AC338" si="109">$Z275+$AA275</f>
        <v>35.234035674819644</v>
      </c>
      <c r="AD275" s="156">
        <f t="shared" si="103"/>
        <v>35.580378444219647</v>
      </c>
      <c r="AE275" s="146">
        <f>IFERROR(INDEX(Työkonekanta!$L$3:$L$30,MATCH($A275,Työkonekanta!$A$3:$A$30,0),1),0)*AF275</f>
        <v>0</v>
      </c>
      <c r="AF275" s="146">
        <f>IFERROR(INDEX(Työkonekanta!$N$3:$N$32,MATCH($A275,Työkonekanta!$A$3:$A$32,0),1),0)</f>
        <v>0</v>
      </c>
      <c r="AG275" s="332">
        <f>I275*INDEX(Muuttujat!$U$5:$U$21,MATCH($C275,Muuttujat!$N$5:$N$21,0),1)</f>
        <v>10300.5</v>
      </c>
      <c r="AH275" s="332">
        <f>J275*INDEX(Muuttujat!$T$5:$T$21,MATCH($C275,Muuttujat!$N$5:$N$21,0),1)</f>
        <v>1654.2259475218661</v>
      </c>
      <c r="AI275" s="332">
        <f t="shared" si="94"/>
        <v>273.77113702623905</v>
      </c>
      <c r="AJ275" s="332">
        <f t="shared" si="95"/>
        <v>0</v>
      </c>
      <c r="AK275" s="332">
        <f t="shared" si="104"/>
        <v>12228.497084548106</v>
      </c>
      <c r="AL275" s="332">
        <f t="shared" si="96"/>
        <v>12228.497084548106</v>
      </c>
    </row>
    <row r="276" spans="1:38">
      <c r="A276" s="139">
        <v>4</v>
      </c>
      <c r="B276" s="139">
        <f>IFERROR(INDEX(Työkonekanta!$F$3:$F$27,MATCH('S0b Baseline kasvu'!$A276,Työkonekanta!$A$3:$A$24,0),1),0)</f>
        <v>1</v>
      </c>
      <c r="C276" s="140">
        <v>2028</v>
      </c>
      <c r="D276" s="141" t="str">
        <f>IFERROR(INDEX(Työkonekanta!$D$3:$D$27,MATCH('S0b Baseline kasvu'!$A276,Työkonekanta!$A$3:$A$24,0),1),"undefined")</f>
        <v>pom</v>
      </c>
      <c r="E276" s="145">
        <f>IFERROR(INDEX(Työkonekanta!$G$3:$G$27,MATCH($A276,Työkonekanta!$A$3:$A$24,0),1)*INDEX(Työkonekanta!$H$3:$H$27,MATCH($A276,Työkonekanta!$A$3:$A$24,0),1)*(1+s0b_kasvu*($C276-2019))*$B276,0)</f>
        <v>10900</v>
      </c>
      <c r="F276" s="145">
        <f t="shared" si="88"/>
        <v>391310</v>
      </c>
      <c r="G276" s="145">
        <f t="shared" si="97"/>
        <v>352179</v>
      </c>
      <c r="H276" s="145">
        <f t="shared" si="98"/>
        <v>39131</v>
      </c>
      <c r="I276" s="145">
        <f t="shared" si="89"/>
        <v>9810</v>
      </c>
      <c r="J276" s="145">
        <f t="shared" si="90"/>
        <v>1140.8454810495627</v>
      </c>
      <c r="K276" s="142" t="str">
        <f t="shared" si="99"/>
        <v>l</v>
      </c>
      <c r="L276" s="146">
        <f>IFERROR(INDEX(Työkonekanta!$I$3:$I$27,MATCH('S0b Baseline kasvu'!$A276,Työkonekanta!$A$3:$A$24,0),1)*(I276+J276)*f_adblue,0)</f>
        <v>547.54227405247809</v>
      </c>
      <c r="M276" s="146">
        <f t="shared" si="105"/>
        <v>0</v>
      </c>
      <c r="N276" s="143" t="str">
        <f>IF(tuulisähkö_vuosi&lt;='S0b Baseline kasvu'!C276,"tuulisähkö",ostosähkö_nyt)</f>
        <v>jäännössähkö</v>
      </c>
      <c r="O276" s="147">
        <f>INDEX(Muuttujat!$J$5:$J$21,MATCH($C276,Muuttujat!$H$5:$H$21,0),1)</f>
        <v>63.258531840332459</v>
      </c>
      <c r="P276" s="342">
        <f>1-(INDEX(Muuttujat!$O$5:$O$21,MATCH($C276,Muuttujat!$N$5:$N$21,0),1))</f>
        <v>0.9</v>
      </c>
      <c r="Q276" s="342">
        <f>INDEX(Muuttujat!$O$5:$O$21,MATCH($C276,Muuttujat!$N$5:$N$21,0),1)</f>
        <v>0.1</v>
      </c>
      <c r="R276" s="148">
        <f>INDEX(Muuttujat!$P$5:$P$21,MATCH($C276,Muuttujat!$N$5:$N$21,0),1)</f>
        <v>0.10417875759940039</v>
      </c>
      <c r="S276" s="149">
        <f t="shared" si="91"/>
        <v>6.6561830999999989</v>
      </c>
      <c r="T276" s="150">
        <f t="shared" si="92"/>
        <v>2.4417743999999999</v>
      </c>
      <c r="U276" s="150">
        <f t="shared" si="93"/>
        <v>0</v>
      </c>
      <c r="V276" s="150">
        <f>IFERROR(INDEX(Työkonekanta!$J$3:$J$27,MATCH($A276,Työkonekanta!$A$3:$A$24,0),1)*$B276*ef_li_ion_akku/1000/1000/INDEX(Työkonekanta!$K$3:$K$27,MATCH($A276,Työkonekanta!$A$3:$A$24,0)),0)</f>
        <v>0</v>
      </c>
      <c r="W276" s="149">
        <f t="shared" si="106"/>
        <v>25.993717183566002</v>
      </c>
      <c r="X276" s="150">
        <f t="shared" si="107"/>
        <v>0.34634276940000003</v>
      </c>
      <c r="Y276" s="151">
        <f t="shared" si="108"/>
        <v>0.14236099125364432</v>
      </c>
      <c r="Z276" s="152">
        <f t="shared" si="100"/>
        <v>9.0979574999999997</v>
      </c>
      <c r="AA276" s="179">
        <f t="shared" si="101"/>
        <v>26.136078174819644</v>
      </c>
      <c r="AB276" s="179">
        <f t="shared" si="102"/>
        <v>26.482420944219644</v>
      </c>
      <c r="AC276" s="180">
        <f t="shared" si="109"/>
        <v>35.234035674819644</v>
      </c>
      <c r="AD276" s="156">
        <f t="shared" si="103"/>
        <v>35.580378444219647</v>
      </c>
      <c r="AE276" s="146">
        <f>IFERROR(INDEX(Työkonekanta!$L$3:$L$30,MATCH($A276,Työkonekanta!$A$3:$A$30,0),1),0)*AF276</f>
        <v>0</v>
      </c>
      <c r="AF276" s="146">
        <f>IFERROR(INDEX(Työkonekanta!$N$3:$N$32,MATCH($A276,Työkonekanta!$A$3:$A$32,0),1),0)</f>
        <v>0</v>
      </c>
      <c r="AG276" s="332">
        <f>I276*INDEX(Muuttujat!$U$5:$U$21,MATCH($C276,Muuttujat!$N$5:$N$21,0),1)</f>
        <v>10300.5</v>
      </c>
      <c r="AH276" s="332">
        <f>J276*INDEX(Muuttujat!$T$5:$T$21,MATCH($C276,Muuttujat!$N$5:$N$21,0),1)</f>
        <v>1654.2259475218661</v>
      </c>
      <c r="AI276" s="332">
        <f t="shared" si="94"/>
        <v>273.77113702623905</v>
      </c>
      <c r="AJ276" s="332">
        <f t="shared" si="95"/>
        <v>0</v>
      </c>
      <c r="AK276" s="332">
        <f t="shared" si="104"/>
        <v>12228.497084548106</v>
      </c>
      <c r="AL276" s="332">
        <f t="shared" si="96"/>
        <v>12228.497084548106</v>
      </c>
    </row>
    <row r="277" spans="1:38">
      <c r="A277" s="139">
        <v>5</v>
      </c>
      <c r="B277" s="139">
        <f>IFERROR(INDEX(Työkonekanta!$F$3:$F$27,MATCH('S0b Baseline kasvu'!$A277,Työkonekanta!$A$3:$A$24,0),1),0)</f>
        <v>0</v>
      </c>
      <c r="C277" s="140">
        <v>2028</v>
      </c>
      <c r="D277" s="141" t="str">
        <f>IFERROR(INDEX(Työkonekanta!$D$3:$D$27,MATCH('S0b Baseline kasvu'!$A277,Työkonekanta!$A$3:$A$24,0),1),"undefined")</f>
        <v>sähkö</v>
      </c>
      <c r="E277" s="145">
        <f>IFERROR(INDEX(Työkonekanta!$G$3:$G$27,MATCH($A277,Työkonekanta!$A$3:$A$24,0),1)*INDEX(Työkonekanta!$H$3:$H$27,MATCH($A277,Työkonekanta!$A$3:$A$24,0),1)*(1+s0b_kasvu*($C277-2019))*$B277,0)</f>
        <v>0</v>
      </c>
      <c r="F277" s="145">
        <f t="shared" si="88"/>
        <v>0</v>
      </c>
      <c r="G277" s="145">
        <f t="shared" si="97"/>
        <v>0</v>
      </c>
      <c r="H277" s="145">
        <f t="shared" si="98"/>
        <v>0</v>
      </c>
      <c r="I277" s="145">
        <f t="shared" si="89"/>
        <v>0</v>
      </c>
      <c r="J277" s="145">
        <f t="shared" si="90"/>
        <v>0</v>
      </c>
      <c r="K277" s="142" t="str">
        <f t="shared" si="99"/>
        <v>kWh</v>
      </c>
      <c r="L277" s="146">
        <f>IFERROR(INDEX(Työkonekanta!$I$3:$I$27,MATCH('S0b Baseline kasvu'!$A277,Työkonekanta!$A$3:$A$24,0),1)*(I277+J277)*f_adblue,0)</f>
        <v>0</v>
      </c>
      <c r="M277" s="146">
        <f t="shared" si="105"/>
        <v>0</v>
      </c>
      <c r="N277" s="143" t="str">
        <f>IF(tuulisähkö_vuosi&lt;='S0b Baseline kasvu'!C277,"tuulisähkö",ostosähkö_nyt)</f>
        <v>jäännössähkö</v>
      </c>
      <c r="O277" s="147">
        <f>INDEX(Muuttujat!$J$5:$J$21,MATCH($C277,Muuttujat!$H$5:$H$21,0),1)</f>
        <v>63.258531840332459</v>
      </c>
      <c r="P277" s="342">
        <f>1-(INDEX(Muuttujat!$O$5:$O$21,MATCH($C277,Muuttujat!$N$5:$N$21,0),1))</f>
        <v>0.9</v>
      </c>
      <c r="Q277" s="342">
        <f>INDEX(Muuttujat!$O$5:$O$21,MATCH($C277,Muuttujat!$N$5:$N$21,0),1)</f>
        <v>0.1</v>
      </c>
      <c r="R277" s="148">
        <f>INDEX(Muuttujat!$P$5:$P$21,MATCH($C277,Muuttujat!$N$5:$N$21,0),1)</f>
        <v>0.10417875759940039</v>
      </c>
      <c r="S277" s="149">
        <f t="shared" si="91"/>
        <v>0</v>
      </c>
      <c r="T277" s="150">
        <f t="shared" si="92"/>
        <v>0</v>
      </c>
      <c r="U277" s="150">
        <f t="shared" si="93"/>
        <v>0</v>
      </c>
      <c r="V277" s="150">
        <f>IFERROR(INDEX(Työkonekanta!$J$3:$J$27,MATCH($A277,Työkonekanta!$A$3:$A$24,0),1)*$B277*ef_li_ion_akku/1000/1000/INDEX(Työkonekanta!$K$3:$K$27,MATCH($A277,Työkonekanta!$A$3:$A$24,0)),0)</f>
        <v>0</v>
      </c>
      <c r="W277" s="149">
        <f t="shared" si="106"/>
        <v>0</v>
      </c>
      <c r="X277" s="150">
        <f t="shared" si="107"/>
        <v>0</v>
      </c>
      <c r="Y277" s="151">
        <f t="shared" si="108"/>
        <v>0</v>
      </c>
      <c r="Z277" s="152">
        <f t="shared" si="100"/>
        <v>0</v>
      </c>
      <c r="AA277" s="179">
        <f t="shared" si="101"/>
        <v>0</v>
      </c>
      <c r="AB277" s="179">
        <f t="shared" si="102"/>
        <v>0</v>
      </c>
      <c r="AC277" s="180">
        <f t="shared" si="109"/>
        <v>0</v>
      </c>
      <c r="AD277" s="156">
        <f t="shared" si="103"/>
        <v>0</v>
      </c>
      <c r="AE277" s="146">
        <f>IFERROR(INDEX(Työkonekanta!$L$3:$L$30,MATCH($A277,Työkonekanta!$A$3:$A$30,0),1),0)*AF277</f>
        <v>0</v>
      </c>
      <c r="AF277" s="146">
        <f>IFERROR(INDEX(Työkonekanta!$N$3:$N$32,MATCH($A277,Työkonekanta!$A$3:$A$32,0),1),0)</f>
        <v>0</v>
      </c>
      <c r="AG277" s="332">
        <f>I277*INDEX(Muuttujat!$U$5:$U$21,MATCH($C277,Muuttujat!$N$5:$N$21,0),1)</f>
        <v>0</v>
      </c>
      <c r="AH277" s="332">
        <f>J277*INDEX(Muuttujat!$T$5:$T$21,MATCH($C277,Muuttujat!$N$5:$N$21,0),1)</f>
        <v>0</v>
      </c>
      <c r="AI277" s="332">
        <f t="shared" si="94"/>
        <v>0</v>
      </c>
      <c r="AJ277" s="332">
        <f t="shared" si="95"/>
        <v>0</v>
      </c>
      <c r="AK277" s="332">
        <f t="shared" si="104"/>
        <v>0</v>
      </c>
      <c r="AL277" s="332">
        <f t="shared" si="96"/>
        <v>0</v>
      </c>
    </row>
    <row r="278" spans="1:38">
      <c r="A278" s="139">
        <v>6</v>
      </c>
      <c r="B278" s="139">
        <f>IFERROR(INDEX(Työkonekanta!$F$3:$F$27,MATCH('S0b Baseline kasvu'!$A278,Työkonekanta!$A$3:$A$24,0),1),0)</f>
        <v>0</v>
      </c>
      <c r="C278" s="140">
        <v>2028</v>
      </c>
      <c r="D278" s="141" t="str">
        <f>IFERROR(INDEX(Työkonekanta!$D$3:$D$27,MATCH('S0b Baseline kasvu'!$A278,Työkonekanta!$A$3:$A$24,0),1),"undefined")</f>
        <v>sähkö</v>
      </c>
      <c r="E278" s="145">
        <f>IFERROR(INDEX(Työkonekanta!$G$3:$G$27,MATCH($A278,Työkonekanta!$A$3:$A$24,0),1)*INDEX(Työkonekanta!$H$3:$H$27,MATCH($A278,Työkonekanta!$A$3:$A$24,0),1)*(1+s0b_kasvu*($C278-2019))*$B278,0)</f>
        <v>0</v>
      </c>
      <c r="F278" s="145">
        <f t="shared" si="88"/>
        <v>0</v>
      </c>
      <c r="G278" s="145">
        <f t="shared" si="97"/>
        <v>0</v>
      </c>
      <c r="H278" s="145">
        <f t="shared" si="98"/>
        <v>0</v>
      </c>
      <c r="I278" s="145">
        <f t="shared" si="89"/>
        <v>0</v>
      </c>
      <c r="J278" s="145">
        <f t="shared" si="90"/>
        <v>0</v>
      </c>
      <c r="K278" s="142" t="str">
        <f t="shared" si="99"/>
        <v>kWh</v>
      </c>
      <c r="L278" s="146">
        <f>IFERROR(INDEX(Työkonekanta!$I$3:$I$27,MATCH('S0b Baseline kasvu'!$A278,Työkonekanta!$A$3:$A$24,0),1)*(I278+J278)*f_adblue,0)</f>
        <v>0</v>
      </c>
      <c r="M278" s="146">
        <f t="shared" si="105"/>
        <v>0</v>
      </c>
      <c r="N278" s="143" t="str">
        <f>IF(tuulisähkö_vuosi&lt;='S0b Baseline kasvu'!C278,"tuulisähkö",ostosähkö_nyt)</f>
        <v>jäännössähkö</v>
      </c>
      <c r="O278" s="147">
        <f>INDEX(Muuttujat!$J$5:$J$21,MATCH($C278,Muuttujat!$H$5:$H$21,0),1)</f>
        <v>63.258531840332459</v>
      </c>
      <c r="P278" s="342">
        <f>1-(INDEX(Muuttujat!$O$5:$O$21,MATCH($C278,Muuttujat!$N$5:$N$21,0),1))</f>
        <v>0.9</v>
      </c>
      <c r="Q278" s="342">
        <f>INDEX(Muuttujat!$O$5:$O$21,MATCH($C278,Muuttujat!$N$5:$N$21,0),1)</f>
        <v>0.1</v>
      </c>
      <c r="R278" s="148">
        <f>INDEX(Muuttujat!$P$5:$P$21,MATCH($C278,Muuttujat!$N$5:$N$21,0),1)</f>
        <v>0.10417875759940039</v>
      </c>
      <c r="S278" s="149">
        <f t="shared" si="91"/>
        <v>0</v>
      </c>
      <c r="T278" s="150">
        <f t="shared" si="92"/>
        <v>0</v>
      </c>
      <c r="U278" s="150">
        <f t="shared" si="93"/>
        <v>0</v>
      </c>
      <c r="V278" s="150">
        <f>IFERROR(INDEX(Työkonekanta!$J$3:$J$27,MATCH($A278,Työkonekanta!$A$3:$A$24,0),1)*$B278*ef_li_ion_akku/1000/1000/INDEX(Työkonekanta!$K$3:$K$27,MATCH($A278,Työkonekanta!$A$3:$A$24,0)),0)</f>
        <v>0</v>
      </c>
      <c r="W278" s="149">
        <f t="shared" si="106"/>
        <v>0</v>
      </c>
      <c r="X278" s="150">
        <f t="shared" si="107"/>
        <v>0</v>
      </c>
      <c r="Y278" s="151">
        <f t="shared" si="108"/>
        <v>0</v>
      </c>
      <c r="Z278" s="152">
        <f t="shared" si="100"/>
        <v>0</v>
      </c>
      <c r="AA278" s="179">
        <f t="shared" si="101"/>
        <v>0</v>
      </c>
      <c r="AB278" s="179">
        <f t="shared" si="102"/>
        <v>0</v>
      </c>
      <c r="AC278" s="180">
        <f t="shared" si="109"/>
        <v>0</v>
      </c>
      <c r="AD278" s="156">
        <f t="shared" si="103"/>
        <v>0</v>
      </c>
      <c r="AE278" s="146">
        <f>IFERROR(INDEX(Työkonekanta!$L$3:$L$30,MATCH($A278,Työkonekanta!$A$3:$A$30,0),1),0)*AF278</f>
        <v>0</v>
      </c>
      <c r="AF278" s="146">
        <f>IFERROR(INDEX(Työkonekanta!$N$3:$N$32,MATCH($A278,Työkonekanta!$A$3:$A$32,0),1),0)</f>
        <v>0</v>
      </c>
      <c r="AG278" s="332">
        <f>I278*INDEX(Muuttujat!$U$5:$U$21,MATCH($C278,Muuttujat!$N$5:$N$21,0),1)</f>
        <v>0</v>
      </c>
      <c r="AH278" s="332">
        <f>J278*INDEX(Muuttujat!$T$5:$T$21,MATCH($C278,Muuttujat!$N$5:$N$21,0),1)</f>
        <v>0</v>
      </c>
      <c r="AI278" s="332">
        <f t="shared" si="94"/>
        <v>0</v>
      </c>
      <c r="AJ278" s="332">
        <f t="shared" si="95"/>
        <v>0</v>
      </c>
      <c r="AK278" s="332">
        <f t="shared" si="104"/>
        <v>0</v>
      </c>
      <c r="AL278" s="332">
        <f t="shared" si="96"/>
        <v>0</v>
      </c>
    </row>
    <row r="279" spans="1:38">
      <c r="A279" s="139">
        <v>7</v>
      </c>
      <c r="B279" s="139">
        <f>IFERROR(INDEX(Työkonekanta!$F$3:$F$27,MATCH('S0b Baseline kasvu'!$A279,Työkonekanta!$A$3:$A$24,0),1),0)</f>
        <v>1</v>
      </c>
      <c r="C279" s="140">
        <v>2028</v>
      </c>
      <c r="D279" s="141" t="str">
        <f>IFERROR(INDEX(Työkonekanta!$D$3:$D$27,MATCH('S0b Baseline kasvu'!$A279,Työkonekanta!$A$3:$A$24,0),1),"undefined")</f>
        <v>pom</v>
      </c>
      <c r="E279" s="145">
        <f>IFERROR(INDEX(Työkonekanta!$G$3:$G$27,MATCH($A279,Työkonekanta!$A$3:$A$24,0),1)*INDEX(Työkonekanta!$H$3:$H$27,MATCH($A279,Työkonekanta!$A$3:$A$24,0),1)*(1+s0b_kasvu*($C279-2019))*$B279,0)</f>
        <v>10900</v>
      </c>
      <c r="F279" s="145">
        <f t="shared" si="88"/>
        <v>391310</v>
      </c>
      <c r="G279" s="145">
        <f t="shared" si="97"/>
        <v>352179</v>
      </c>
      <c r="H279" s="145">
        <f t="shared" si="98"/>
        <v>39131</v>
      </c>
      <c r="I279" s="145">
        <f t="shared" si="89"/>
        <v>9810</v>
      </c>
      <c r="J279" s="145">
        <f t="shared" si="90"/>
        <v>1140.8454810495627</v>
      </c>
      <c r="K279" s="142" t="str">
        <f t="shared" si="99"/>
        <v>l</v>
      </c>
      <c r="L279" s="146">
        <f>IFERROR(INDEX(Työkonekanta!$I$3:$I$27,MATCH('S0b Baseline kasvu'!$A279,Työkonekanta!$A$3:$A$24,0),1)*(I279+J279)*f_adblue,0)</f>
        <v>0</v>
      </c>
      <c r="M279" s="146">
        <f t="shared" si="105"/>
        <v>0</v>
      </c>
      <c r="N279" s="143" t="str">
        <f>IF(tuulisähkö_vuosi&lt;='S0b Baseline kasvu'!C279,"tuulisähkö",ostosähkö_nyt)</f>
        <v>jäännössähkö</v>
      </c>
      <c r="O279" s="147">
        <f>INDEX(Muuttujat!$J$5:$J$21,MATCH($C279,Muuttujat!$H$5:$H$21,0),1)</f>
        <v>63.258531840332459</v>
      </c>
      <c r="P279" s="342">
        <f>1-(INDEX(Muuttujat!$O$5:$O$21,MATCH($C279,Muuttujat!$N$5:$N$21,0),1))</f>
        <v>0.9</v>
      </c>
      <c r="Q279" s="342">
        <f>INDEX(Muuttujat!$O$5:$O$21,MATCH($C279,Muuttujat!$N$5:$N$21,0),1)</f>
        <v>0.1</v>
      </c>
      <c r="R279" s="148">
        <f>INDEX(Muuttujat!$P$5:$P$21,MATCH($C279,Muuttujat!$N$5:$N$21,0),1)</f>
        <v>0.10417875759940039</v>
      </c>
      <c r="S279" s="149">
        <f t="shared" si="91"/>
        <v>6.6561830999999989</v>
      </c>
      <c r="T279" s="150">
        <f t="shared" si="92"/>
        <v>2.4417743999999999</v>
      </c>
      <c r="U279" s="150">
        <f t="shared" si="93"/>
        <v>0</v>
      </c>
      <c r="V279" s="150">
        <f>IFERROR(INDEX(Työkonekanta!$J$3:$J$27,MATCH($A279,Työkonekanta!$A$3:$A$24,0),1)*$B279*ef_li_ion_akku/1000/1000/INDEX(Työkonekanta!$K$3:$K$27,MATCH($A279,Työkonekanta!$A$3:$A$24,0)),0)</f>
        <v>0</v>
      </c>
      <c r="W279" s="149">
        <f t="shared" si="106"/>
        <v>25.993717183566002</v>
      </c>
      <c r="X279" s="150">
        <f t="shared" si="107"/>
        <v>0.34634276940000003</v>
      </c>
      <c r="Y279" s="151">
        <f t="shared" si="108"/>
        <v>0</v>
      </c>
      <c r="Z279" s="152">
        <f t="shared" si="100"/>
        <v>9.0979574999999997</v>
      </c>
      <c r="AA279" s="179">
        <f t="shared" si="101"/>
        <v>25.993717183566002</v>
      </c>
      <c r="AB279" s="179">
        <f t="shared" si="102"/>
        <v>26.340059952966001</v>
      </c>
      <c r="AC279" s="180">
        <f t="shared" si="109"/>
        <v>35.091674683565998</v>
      </c>
      <c r="AD279" s="156">
        <f t="shared" si="103"/>
        <v>35.438017452966001</v>
      </c>
      <c r="AE279" s="146">
        <f>IFERROR(INDEX(Työkonekanta!$L$3:$L$30,MATCH($A279,Työkonekanta!$A$3:$A$30,0),1),0)*AF279</f>
        <v>500000</v>
      </c>
      <c r="AF279" s="146">
        <f>IFERROR(INDEX(Työkonekanta!$N$3:$N$32,MATCH($A279,Työkonekanta!$A$3:$A$32,0),1),0)</f>
        <v>1</v>
      </c>
      <c r="AG279" s="332">
        <f>I279*INDEX(Muuttujat!$U$5:$U$21,MATCH($C279,Muuttujat!$N$5:$N$21,0),1)</f>
        <v>10300.5</v>
      </c>
      <c r="AH279" s="332">
        <f>J279*INDEX(Muuttujat!$T$5:$T$21,MATCH($C279,Muuttujat!$N$5:$N$21,0),1)</f>
        <v>1654.2259475218661</v>
      </c>
      <c r="AI279" s="332">
        <f t="shared" si="94"/>
        <v>0</v>
      </c>
      <c r="AJ279" s="332">
        <f t="shared" si="95"/>
        <v>0</v>
      </c>
      <c r="AK279" s="332">
        <f t="shared" si="104"/>
        <v>11954.725947521867</v>
      </c>
      <c r="AL279" s="332">
        <f t="shared" si="96"/>
        <v>11954.725947521867</v>
      </c>
    </row>
    <row r="280" spans="1:38">
      <c r="A280" s="139">
        <v>8</v>
      </c>
      <c r="B280" s="139">
        <f>IFERROR(INDEX(Työkonekanta!$F$3:$F$27,MATCH('S0b Baseline kasvu'!$A280,Työkonekanta!$A$3:$A$24,0),1),0)</f>
        <v>1</v>
      </c>
      <c r="C280" s="140">
        <v>2028</v>
      </c>
      <c r="D280" s="141" t="str">
        <f>IFERROR(INDEX(Työkonekanta!$D$3:$D$27,MATCH('S0b Baseline kasvu'!$A280,Työkonekanta!$A$3:$A$24,0),1),"undefined")</f>
        <v>pom</v>
      </c>
      <c r="E280" s="145">
        <f>IFERROR(INDEX(Työkonekanta!$G$3:$G$27,MATCH($A280,Työkonekanta!$A$3:$A$24,0),1)*INDEX(Työkonekanta!$H$3:$H$27,MATCH($A280,Työkonekanta!$A$3:$A$24,0),1)*(1+s0b_kasvu*($C280-2019))*$B280,0)</f>
        <v>10900</v>
      </c>
      <c r="F280" s="145">
        <f t="shared" si="88"/>
        <v>391310</v>
      </c>
      <c r="G280" s="145">
        <f t="shared" si="97"/>
        <v>352179</v>
      </c>
      <c r="H280" s="145">
        <f t="shared" si="98"/>
        <v>39131</v>
      </c>
      <c r="I280" s="145">
        <f t="shared" si="89"/>
        <v>9810</v>
      </c>
      <c r="J280" s="145">
        <f t="shared" si="90"/>
        <v>1140.8454810495627</v>
      </c>
      <c r="K280" s="142" t="str">
        <f t="shared" si="99"/>
        <v>l</v>
      </c>
      <c r="L280" s="146">
        <f>IFERROR(INDEX(Työkonekanta!$I$3:$I$27,MATCH('S0b Baseline kasvu'!$A280,Työkonekanta!$A$3:$A$24,0),1)*(I280+J280)*f_adblue,0)</f>
        <v>547.54227405247809</v>
      </c>
      <c r="M280" s="146">
        <f t="shared" si="105"/>
        <v>0</v>
      </c>
      <c r="N280" s="143" t="str">
        <f>IF(tuulisähkö_vuosi&lt;='S0b Baseline kasvu'!C280,"tuulisähkö",ostosähkö_nyt)</f>
        <v>jäännössähkö</v>
      </c>
      <c r="O280" s="147">
        <f>INDEX(Muuttujat!$J$5:$J$21,MATCH($C280,Muuttujat!$H$5:$H$21,0),1)</f>
        <v>63.258531840332459</v>
      </c>
      <c r="P280" s="342">
        <f>1-(INDEX(Muuttujat!$O$5:$O$21,MATCH($C280,Muuttujat!$N$5:$N$21,0),1))</f>
        <v>0.9</v>
      </c>
      <c r="Q280" s="342">
        <f>INDEX(Muuttujat!$O$5:$O$21,MATCH($C280,Muuttujat!$N$5:$N$21,0),1)</f>
        <v>0.1</v>
      </c>
      <c r="R280" s="148">
        <f>INDEX(Muuttujat!$P$5:$P$21,MATCH($C280,Muuttujat!$N$5:$N$21,0),1)</f>
        <v>0.10417875759940039</v>
      </c>
      <c r="S280" s="149">
        <f t="shared" si="91"/>
        <v>6.6561830999999989</v>
      </c>
      <c r="T280" s="150">
        <f t="shared" si="92"/>
        <v>2.4417743999999999</v>
      </c>
      <c r="U280" s="150">
        <f t="shared" si="93"/>
        <v>0</v>
      </c>
      <c r="V280" s="150">
        <f>IFERROR(INDEX(Työkonekanta!$J$3:$J$27,MATCH($A280,Työkonekanta!$A$3:$A$24,0),1)*$B280*ef_li_ion_akku/1000/1000/INDEX(Työkonekanta!$K$3:$K$27,MATCH($A280,Työkonekanta!$A$3:$A$24,0)),0)</f>
        <v>0</v>
      </c>
      <c r="W280" s="149">
        <f t="shared" si="106"/>
        <v>25.993717183566002</v>
      </c>
      <c r="X280" s="150">
        <f t="shared" si="107"/>
        <v>0.34634276940000003</v>
      </c>
      <c r="Y280" s="151">
        <f t="shared" si="108"/>
        <v>0.14236099125364432</v>
      </c>
      <c r="Z280" s="152">
        <f t="shared" si="100"/>
        <v>9.0979574999999997</v>
      </c>
      <c r="AA280" s="179">
        <f t="shared" si="101"/>
        <v>26.136078174819644</v>
      </c>
      <c r="AB280" s="179">
        <f t="shared" si="102"/>
        <v>26.482420944219644</v>
      </c>
      <c r="AC280" s="180">
        <f t="shared" si="109"/>
        <v>35.234035674819644</v>
      </c>
      <c r="AD280" s="156">
        <f t="shared" si="103"/>
        <v>35.580378444219647</v>
      </c>
      <c r="AE280" s="146">
        <f>IFERROR(INDEX(Työkonekanta!$L$3:$L$30,MATCH($A280,Työkonekanta!$A$3:$A$30,0),1),0)*AF280</f>
        <v>500000</v>
      </c>
      <c r="AF280" s="146">
        <f>IFERROR(INDEX(Työkonekanta!$N$3:$N$32,MATCH($A280,Työkonekanta!$A$3:$A$32,0),1),0)</f>
        <v>1</v>
      </c>
      <c r="AG280" s="332">
        <f>I280*INDEX(Muuttujat!$U$5:$U$21,MATCH($C280,Muuttujat!$N$5:$N$21,0),1)</f>
        <v>10300.5</v>
      </c>
      <c r="AH280" s="332">
        <f>J280*INDEX(Muuttujat!$T$5:$T$21,MATCH($C280,Muuttujat!$N$5:$N$21,0),1)</f>
        <v>1654.2259475218661</v>
      </c>
      <c r="AI280" s="332">
        <f t="shared" si="94"/>
        <v>273.77113702623905</v>
      </c>
      <c r="AJ280" s="332">
        <f t="shared" si="95"/>
        <v>0</v>
      </c>
      <c r="AK280" s="332">
        <f t="shared" si="104"/>
        <v>12228.497084548106</v>
      </c>
      <c r="AL280" s="332">
        <f t="shared" si="96"/>
        <v>12228.497084548106</v>
      </c>
    </row>
    <row r="281" spans="1:38">
      <c r="A281" s="139">
        <v>9</v>
      </c>
      <c r="B281" s="139">
        <f>IFERROR(INDEX(Työkonekanta!$F$3:$F$27,MATCH('S0b Baseline kasvu'!$A281,Työkonekanta!$A$3:$A$24,0),1),0)</f>
        <v>0</v>
      </c>
      <c r="C281" s="140">
        <v>2028</v>
      </c>
      <c r="D281" s="141" t="str">
        <f>IFERROR(INDEX(Työkonekanta!$D$3:$D$27,MATCH('S0b Baseline kasvu'!$A281,Työkonekanta!$A$3:$A$24,0),1),"undefined")</f>
        <v>sähkö</v>
      </c>
      <c r="E281" s="145">
        <f>IFERROR(INDEX(Työkonekanta!$G$3:$G$27,MATCH($A281,Työkonekanta!$A$3:$A$24,0),1)*INDEX(Työkonekanta!$H$3:$H$27,MATCH($A281,Työkonekanta!$A$3:$A$24,0),1)*(1+s0b_kasvu*($C281-2019))*$B281,0)</f>
        <v>0</v>
      </c>
      <c r="F281" s="145">
        <f t="shared" si="88"/>
        <v>0</v>
      </c>
      <c r="G281" s="145">
        <f t="shared" si="97"/>
        <v>0</v>
      </c>
      <c r="H281" s="145">
        <f t="shared" si="98"/>
        <v>0</v>
      </c>
      <c r="I281" s="145">
        <f t="shared" si="89"/>
        <v>0</v>
      </c>
      <c r="J281" s="145">
        <f t="shared" si="90"/>
        <v>0</v>
      </c>
      <c r="K281" s="142" t="str">
        <f t="shared" si="99"/>
        <v>kWh</v>
      </c>
      <c r="L281" s="146">
        <f>IFERROR(INDEX(Työkonekanta!$I$3:$I$27,MATCH('S0b Baseline kasvu'!$A281,Työkonekanta!$A$3:$A$24,0),1)*(I281+J281)*f_adblue,0)</f>
        <v>0</v>
      </c>
      <c r="M281" s="146">
        <f t="shared" si="105"/>
        <v>0</v>
      </c>
      <c r="N281" s="143" t="str">
        <f>IF(tuulisähkö_vuosi&lt;='S0b Baseline kasvu'!C281,"tuulisähkö",ostosähkö_nyt)</f>
        <v>jäännössähkö</v>
      </c>
      <c r="O281" s="147">
        <f>INDEX(Muuttujat!$J$5:$J$21,MATCH($C281,Muuttujat!$H$5:$H$21,0),1)</f>
        <v>63.258531840332459</v>
      </c>
      <c r="P281" s="342">
        <f>1-(INDEX(Muuttujat!$O$5:$O$21,MATCH($C281,Muuttujat!$N$5:$N$21,0),1))</f>
        <v>0.9</v>
      </c>
      <c r="Q281" s="342">
        <f>INDEX(Muuttujat!$O$5:$O$21,MATCH($C281,Muuttujat!$N$5:$N$21,0),1)</f>
        <v>0.1</v>
      </c>
      <c r="R281" s="148">
        <f>INDEX(Muuttujat!$P$5:$P$21,MATCH($C281,Muuttujat!$N$5:$N$21,0),1)</f>
        <v>0.10417875759940039</v>
      </c>
      <c r="S281" s="149">
        <f t="shared" si="91"/>
        <v>0</v>
      </c>
      <c r="T281" s="150">
        <f t="shared" si="92"/>
        <v>0</v>
      </c>
      <c r="U281" s="150">
        <f t="shared" si="93"/>
        <v>0</v>
      </c>
      <c r="V281" s="150">
        <f>IFERROR(INDEX(Työkonekanta!$J$3:$J$27,MATCH($A281,Työkonekanta!$A$3:$A$24,0),1)*$B281*ef_li_ion_akku/1000/1000/INDEX(Työkonekanta!$K$3:$K$27,MATCH($A281,Työkonekanta!$A$3:$A$24,0)),0)</f>
        <v>0</v>
      </c>
      <c r="W281" s="149">
        <f t="shared" si="106"/>
        <v>0</v>
      </c>
      <c r="X281" s="150">
        <f t="shared" si="107"/>
        <v>0</v>
      </c>
      <c r="Y281" s="151">
        <f t="shared" si="108"/>
        <v>0</v>
      </c>
      <c r="Z281" s="152">
        <f t="shared" si="100"/>
        <v>0</v>
      </c>
      <c r="AA281" s="179">
        <f t="shared" si="101"/>
        <v>0</v>
      </c>
      <c r="AB281" s="179">
        <f t="shared" si="102"/>
        <v>0</v>
      </c>
      <c r="AC281" s="180">
        <f t="shared" si="109"/>
        <v>0</v>
      </c>
      <c r="AD281" s="156">
        <f t="shared" si="103"/>
        <v>0</v>
      </c>
      <c r="AE281" s="146">
        <f>IFERROR(INDEX(Työkonekanta!$L$3:$L$30,MATCH($A281,Työkonekanta!$A$3:$A$30,0),1),0)*AF281</f>
        <v>0</v>
      </c>
      <c r="AF281" s="146">
        <f>IFERROR(INDEX(Työkonekanta!$N$3:$N$32,MATCH($A281,Työkonekanta!$A$3:$A$32,0),1),0)</f>
        <v>0</v>
      </c>
      <c r="AG281" s="332">
        <f>I281*INDEX(Muuttujat!$U$5:$U$21,MATCH($C281,Muuttujat!$N$5:$N$21,0),1)</f>
        <v>0</v>
      </c>
      <c r="AH281" s="332">
        <f>J281*INDEX(Muuttujat!$T$5:$T$21,MATCH($C281,Muuttujat!$N$5:$N$21,0),1)</f>
        <v>0</v>
      </c>
      <c r="AI281" s="332">
        <f t="shared" si="94"/>
        <v>0</v>
      </c>
      <c r="AJ281" s="332">
        <f t="shared" si="95"/>
        <v>0</v>
      </c>
      <c r="AK281" s="332">
        <f t="shared" si="104"/>
        <v>0</v>
      </c>
      <c r="AL281" s="332">
        <f t="shared" si="96"/>
        <v>0</v>
      </c>
    </row>
    <row r="282" spans="1:38">
      <c r="A282" s="139">
        <v>10</v>
      </c>
      <c r="B282" s="139">
        <f>IFERROR(INDEX(Työkonekanta!$F$3:$F$27,MATCH('S0b Baseline kasvu'!$A282,Työkonekanta!$A$3:$A$24,0),1),0)</f>
        <v>0</v>
      </c>
      <c r="C282" s="140">
        <v>2028</v>
      </c>
      <c r="D282" s="141" t="str">
        <f>IFERROR(INDEX(Työkonekanta!$D$3:$D$27,MATCH('S0b Baseline kasvu'!$A282,Työkonekanta!$A$3:$A$24,0),1),"undefined")</f>
        <v>sähkö</v>
      </c>
      <c r="E282" s="145">
        <f>IFERROR(INDEX(Työkonekanta!$G$3:$G$27,MATCH($A282,Työkonekanta!$A$3:$A$24,0),1)*INDEX(Työkonekanta!$H$3:$H$27,MATCH($A282,Työkonekanta!$A$3:$A$24,0),1)*(1+s0b_kasvu*($C282-2019))*$B282,0)</f>
        <v>0</v>
      </c>
      <c r="F282" s="145">
        <f t="shared" si="88"/>
        <v>0</v>
      </c>
      <c r="G282" s="145">
        <f t="shared" si="97"/>
        <v>0</v>
      </c>
      <c r="H282" s="145">
        <f t="shared" si="98"/>
        <v>0</v>
      </c>
      <c r="I282" s="145">
        <f t="shared" si="89"/>
        <v>0</v>
      </c>
      <c r="J282" s="145">
        <f t="shared" si="90"/>
        <v>0</v>
      </c>
      <c r="K282" s="142" t="str">
        <f t="shared" si="99"/>
        <v>kWh</v>
      </c>
      <c r="L282" s="146">
        <f>IFERROR(INDEX(Työkonekanta!$I$3:$I$27,MATCH('S0b Baseline kasvu'!$A282,Työkonekanta!$A$3:$A$24,0),1)*(I282+J282)*f_adblue,0)</f>
        <v>0</v>
      </c>
      <c r="M282" s="146">
        <f t="shared" si="105"/>
        <v>0</v>
      </c>
      <c r="N282" s="143" t="str">
        <f>IF(tuulisähkö_vuosi&lt;='S0b Baseline kasvu'!C282,"tuulisähkö",ostosähkö_nyt)</f>
        <v>jäännössähkö</v>
      </c>
      <c r="O282" s="147">
        <f>INDEX(Muuttujat!$J$5:$J$21,MATCH($C282,Muuttujat!$H$5:$H$21,0),1)</f>
        <v>63.258531840332459</v>
      </c>
      <c r="P282" s="342">
        <f>1-(INDEX(Muuttujat!$O$5:$O$21,MATCH($C282,Muuttujat!$N$5:$N$21,0),1))</f>
        <v>0.9</v>
      </c>
      <c r="Q282" s="342">
        <f>INDEX(Muuttujat!$O$5:$O$21,MATCH($C282,Muuttujat!$N$5:$N$21,0),1)</f>
        <v>0.1</v>
      </c>
      <c r="R282" s="148">
        <f>INDEX(Muuttujat!$P$5:$P$21,MATCH($C282,Muuttujat!$N$5:$N$21,0),1)</f>
        <v>0.10417875759940039</v>
      </c>
      <c r="S282" s="149">
        <f t="shared" si="91"/>
        <v>0</v>
      </c>
      <c r="T282" s="150">
        <f t="shared" si="92"/>
        <v>0</v>
      </c>
      <c r="U282" s="150">
        <f t="shared" si="93"/>
        <v>0</v>
      </c>
      <c r="V282" s="150">
        <f>IFERROR(INDEX(Työkonekanta!$J$3:$J$27,MATCH($A282,Työkonekanta!$A$3:$A$24,0),1)*$B282*ef_li_ion_akku/1000/1000/INDEX(Työkonekanta!$K$3:$K$27,MATCH($A282,Työkonekanta!$A$3:$A$24,0)),0)</f>
        <v>0</v>
      </c>
      <c r="W282" s="149">
        <f t="shared" si="106"/>
        <v>0</v>
      </c>
      <c r="X282" s="150">
        <f t="shared" si="107"/>
        <v>0</v>
      </c>
      <c r="Y282" s="151">
        <f t="shared" si="108"/>
        <v>0</v>
      </c>
      <c r="Z282" s="152">
        <f t="shared" si="100"/>
        <v>0</v>
      </c>
      <c r="AA282" s="179">
        <f t="shared" si="101"/>
        <v>0</v>
      </c>
      <c r="AB282" s="179">
        <f t="shared" si="102"/>
        <v>0</v>
      </c>
      <c r="AC282" s="180">
        <f t="shared" si="109"/>
        <v>0</v>
      </c>
      <c r="AD282" s="156">
        <f t="shared" si="103"/>
        <v>0</v>
      </c>
      <c r="AE282" s="146">
        <f>IFERROR(INDEX(Työkonekanta!$L$3:$L$30,MATCH($A282,Työkonekanta!$A$3:$A$30,0),1),0)*AF282</f>
        <v>0</v>
      </c>
      <c r="AF282" s="146">
        <f>IFERROR(INDEX(Työkonekanta!$N$3:$N$32,MATCH($A282,Työkonekanta!$A$3:$A$32,0),1),0)</f>
        <v>0</v>
      </c>
      <c r="AG282" s="332">
        <f>I282*INDEX(Muuttujat!$U$5:$U$21,MATCH($C282,Muuttujat!$N$5:$N$21,0),1)</f>
        <v>0</v>
      </c>
      <c r="AH282" s="332">
        <f>J282*INDEX(Muuttujat!$T$5:$T$21,MATCH($C282,Muuttujat!$N$5:$N$21,0),1)</f>
        <v>0</v>
      </c>
      <c r="AI282" s="332">
        <f t="shared" si="94"/>
        <v>0</v>
      </c>
      <c r="AJ282" s="332">
        <f t="shared" si="95"/>
        <v>0</v>
      </c>
      <c r="AK282" s="332">
        <f t="shared" si="104"/>
        <v>0</v>
      </c>
      <c r="AL282" s="332">
        <f t="shared" si="96"/>
        <v>0</v>
      </c>
    </row>
    <row r="283" spans="1:38">
      <c r="A283" s="139">
        <v>11</v>
      </c>
      <c r="B283" s="139">
        <f>IFERROR(INDEX(Työkonekanta!$F$3:$F$27,MATCH('S0b Baseline kasvu'!$A283,Työkonekanta!$A$3:$A$24,0),1),0)</f>
        <v>1</v>
      </c>
      <c r="C283" s="140">
        <v>2028</v>
      </c>
      <c r="D283" s="141" t="str">
        <f>IFERROR(INDEX(Työkonekanta!$D$3:$D$27,MATCH('S0b Baseline kasvu'!$A283,Työkonekanta!$A$3:$A$24,0),1),"undefined")</f>
        <v>pom</v>
      </c>
      <c r="E283" s="145">
        <f>IFERROR(INDEX(Työkonekanta!$G$3:$G$27,MATCH($A283,Työkonekanta!$A$3:$A$24,0),1)*INDEX(Työkonekanta!$H$3:$H$27,MATCH($A283,Työkonekanta!$A$3:$A$24,0),1)*(1+s0b_kasvu*($C283-2019))*$B283,0)</f>
        <v>10900</v>
      </c>
      <c r="F283" s="145">
        <f t="shared" si="88"/>
        <v>391310</v>
      </c>
      <c r="G283" s="145">
        <f t="shared" si="97"/>
        <v>352179</v>
      </c>
      <c r="H283" s="145">
        <f t="shared" si="98"/>
        <v>39131</v>
      </c>
      <c r="I283" s="145">
        <f t="shared" si="89"/>
        <v>9810</v>
      </c>
      <c r="J283" s="145">
        <f t="shared" si="90"/>
        <v>1140.8454810495627</v>
      </c>
      <c r="K283" s="142" t="str">
        <f t="shared" si="99"/>
        <v>l</v>
      </c>
      <c r="L283" s="146">
        <f>IFERROR(INDEX(Työkonekanta!$I$3:$I$27,MATCH('S0b Baseline kasvu'!$A283,Työkonekanta!$A$3:$A$24,0),1)*(I283+J283)*f_adblue,0)</f>
        <v>547.54227405247809</v>
      </c>
      <c r="M283" s="146">
        <f t="shared" si="105"/>
        <v>0</v>
      </c>
      <c r="N283" s="143" t="str">
        <f>IF(tuulisähkö_vuosi&lt;='S0b Baseline kasvu'!C283,"tuulisähkö",ostosähkö_nyt)</f>
        <v>jäännössähkö</v>
      </c>
      <c r="O283" s="147">
        <f>INDEX(Muuttujat!$J$5:$J$21,MATCH($C283,Muuttujat!$H$5:$H$21,0),1)</f>
        <v>63.258531840332459</v>
      </c>
      <c r="P283" s="342">
        <f>1-(INDEX(Muuttujat!$O$5:$O$21,MATCH($C283,Muuttujat!$N$5:$N$21,0),1))</f>
        <v>0.9</v>
      </c>
      <c r="Q283" s="342">
        <f>INDEX(Muuttujat!$O$5:$O$21,MATCH($C283,Muuttujat!$N$5:$N$21,0),1)</f>
        <v>0.1</v>
      </c>
      <c r="R283" s="148">
        <f>INDEX(Muuttujat!$P$5:$P$21,MATCH($C283,Muuttujat!$N$5:$N$21,0),1)</f>
        <v>0.10417875759940039</v>
      </c>
      <c r="S283" s="149">
        <f t="shared" si="91"/>
        <v>6.6561830999999989</v>
      </c>
      <c r="T283" s="150">
        <f t="shared" si="92"/>
        <v>2.4417743999999999</v>
      </c>
      <c r="U283" s="150">
        <f t="shared" si="93"/>
        <v>0</v>
      </c>
      <c r="V283" s="150">
        <f>IFERROR(INDEX(Työkonekanta!$J$3:$J$27,MATCH($A283,Työkonekanta!$A$3:$A$24,0),1)*$B283*ef_li_ion_akku/1000/1000/INDEX(Työkonekanta!$K$3:$K$27,MATCH($A283,Työkonekanta!$A$3:$A$24,0)),0)</f>
        <v>0</v>
      </c>
      <c r="W283" s="149">
        <f t="shared" si="106"/>
        <v>25.993717183566002</v>
      </c>
      <c r="X283" s="150">
        <f t="shared" si="107"/>
        <v>0.34634276940000003</v>
      </c>
      <c r="Y283" s="151">
        <f t="shared" si="108"/>
        <v>0.14236099125364432</v>
      </c>
      <c r="Z283" s="152">
        <f t="shared" si="100"/>
        <v>9.0979574999999997</v>
      </c>
      <c r="AA283" s="179">
        <f t="shared" si="101"/>
        <v>26.136078174819644</v>
      </c>
      <c r="AB283" s="179">
        <f t="shared" si="102"/>
        <v>26.482420944219644</v>
      </c>
      <c r="AC283" s="180">
        <f t="shared" si="109"/>
        <v>35.234035674819644</v>
      </c>
      <c r="AD283" s="156">
        <f t="shared" si="103"/>
        <v>35.580378444219647</v>
      </c>
      <c r="AE283" s="146">
        <f>IFERROR(INDEX(Työkonekanta!$L$3:$L$30,MATCH($A283,Työkonekanta!$A$3:$A$30,0),1),0)*AF283</f>
        <v>500000</v>
      </c>
      <c r="AF283" s="146">
        <f>IFERROR(INDEX(Työkonekanta!$N$3:$N$32,MATCH($A283,Työkonekanta!$A$3:$A$32,0),1),0)</f>
        <v>1</v>
      </c>
      <c r="AG283" s="332">
        <f>I283*INDEX(Muuttujat!$U$5:$U$21,MATCH($C283,Muuttujat!$N$5:$N$21,0),1)</f>
        <v>10300.5</v>
      </c>
      <c r="AH283" s="332">
        <f>J283*INDEX(Muuttujat!$T$5:$T$21,MATCH($C283,Muuttujat!$N$5:$N$21,0),1)</f>
        <v>1654.2259475218661</v>
      </c>
      <c r="AI283" s="332">
        <f t="shared" si="94"/>
        <v>273.77113702623905</v>
      </c>
      <c r="AJ283" s="332">
        <f t="shared" si="95"/>
        <v>0</v>
      </c>
      <c r="AK283" s="332">
        <f t="shared" si="104"/>
        <v>12228.497084548106</v>
      </c>
      <c r="AL283" s="332">
        <f t="shared" si="96"/>
        <v>12228.497084548106</v>
      </c>
    </row>
    <row r="284" spans="1:38">
      <c r="A284" s="139">
        <v>12</v>
      </c>
      <c r="B284" s="139">
        <f>IFERROR(INDEX(Työkonekanta!$F$3:$F$27,MATCH('S0b Baseline kasvu'!$A284,Työkonekanta!$A$3:$A$24,0),1),0)</f>
        <v>1</v>
      </c>
      <c r="C284" s="140">
        <v>2028</v>
      </c>
      <c r="D284" s="141" t="str">
        <f>IFERROR(INDEX(Työkonekanta!$D$3:$D$27,MATCH('S0b Baseline kasvu'!$A284,Työkonekanta!$A$3:$A$24,0),1),"undefined")</f>
        <v>pom</v>
      </c>
      <c r="E284" s="145">
        <f>IFERROR(INDEX(Työkonekanta!$G$3:$G$27,MATCH($A284,Työkonekanta!$A$3:$A$24,0),1)*INDEX(Työkonekanta!$H$3:$H$27,MATCH($A284,Työkonekanta!$A$3:$A$24,0),1)*(1+s0b_kasvu*($C284-2019))*$B284,0)</f>
        <v>10900</v>
      </c>
      <c r="F284" s="145">
        <f t="shared" si="88"/>
        <v>391310</v>
      </c>
      <c r="G284" s="145">
        <f t="shared" si="97"/>
        <v>352179</v>
      </c>
      <c r="H284" s="145">
        <f t="shared" si="98"/>
        <v>39131</v>
      </c>
      <c r="I284" s="145">
        <f t="shared" si="89"/>
        <v>9810</v>
      </c>
      <c r="J284" s="145">
        <f t="shared" si="90"/>
        <v>1140.8454810495627</v>
      </c>
      <c r="K284" s="142" t="str">
        <f t="shared" si="99"/>
        <v>l</v>
      </c>
      <c r="L284" s="146">
        <f>IFERROR(INDEX(Työkonekanta!$I$3:$I$27,MATCH('S0b Baseline kasvu'!$A284,Työkonekanta!$A$3:$A$24,0),1)*(I284+J284)*f_adblue,0)</f>
        <v>547.54227405247809</v>
      </c>
      <c r="M284" s="146">
        <f t="shared" si="105"/>
        <v>0</v>
      </c>
      <c r="N284" s="143" t="str">
        <f>IF(tuulisähkö_vuosi&lt;='S0b Baseline kasvu'!C284,"tuulisähkö",ostosähkö_nyt)</f>
        <v>jäännössähkö</v>
      </c>
      <c r="O284" s="147">
        <f>INDEX(Muuttujat!$J$5:$J$21,MATCH($C284,Muuttujat!$H$5:$H$21,0),1)</f>
        <v>63.258531840332459</v>
      </c>
      <c r="P284" s="342">
        <f>1-(INDEX(Muuttujat!$O$5:$O$21,MATCH($C284,Muuttujat!$N$5:$N$21,0),1))</f>
        <v>0.9</v>
      </c>
      <c r="Q284" s="342">
        <f>INDEX(Muuttujat!$O$5:$O$21,MATCH($C284,Muuttujat!$N$5:$N$21,0),1)</f>
        <v>0.1</v>
      </c>
      <c r="R284" s="148">
        <f>INDEX(Muuttujat!$P$5:$P$21,MATCH($C284,Muuttujat!$N$5:$N$21,0),1)</f>
        <v>0.10417875759940039</v>
      </c>
      <c r="S284" s="149">
        <f t="shared" si="91"/>
        <v>6.6561830999999989</v>
      </c>
      <c r="T284" s="150">
        <f t="shared" si="92"/>
        <v>2.4417743999999999</v>
      </c>
      <c r="U284" s="150">
        <f t="shared" si="93"/>
        <v>0</v>
      </c>
      <c r="V284" s="150">
        <f>IFERROR(INDEX(Työkonekanta!$J$3:$J$27,MATCH($A284,Työkonekanta!$A$3:$A$24,0),1)*$B284*ef_li_ion_akku/1000/1000/INDEX(Työkonekanta!$K$3:$K$27,MATCH($A284,Työkonekanta!$A$3:$A$24,0)),0)</f>
        <v>0</v>
      </c>
      <c r="W284" s="149">
        <f t="shared" si="106"/>
        <v>25.993717183566002</v>
      </c>
      <c r="X284" s="150">
        <f t="shared" si="107"/>
        <v>0.34634276940000003</v>
      </c>
      <c r="Y284" s="151">
        <f t="shared" si="108"/>
        <v>0.14236099125364432</v>
      </c>
      <c r="Z284" s="152">
        <f t="shared" si="100"/>
        <v>9.0979574999999997</v>
      </c>
      <c r="AA284" s="179">
        <f t="shared" si="101"/>
        <v>26.136078174819644</v>
      </c>
      <c r="AB284" s="179">
        <f t="shared" si="102"/>
        <v>26.482420944219644</v>
      </c>
      <c r="AC284" s="180">
        <f t="shared" si="109"/>
        <v>35.234035674819644</v>
      </c>
      <c r="AD284" s="156">
        <f t="shared" si="103"/>
        <v>35.580378444219647</v>
      </c>
      <c r="AE284" s="146">
        <f>IFERROR(INDEX(Työkonekanta!$L$3:$L$30,MATCH($A284,Työkonekanta!$A$3:$A$30,0),1),0)*AF284</f>
        <v>500000</v>
      </c>
      <c r="AF284" s="146">
        <f>IFERROR(INDEX(Työkonekanta!$N$3:$N$32,MATCH($A284,Työkonekanta!$A$3:$A$32,0),1),0)</f>
        <v>1</v>
      </c>
      <c r="AG284" s="332">
        <f>I284*INDEX(Muuttujat!$U$5:$U$21,MATCH($C284,Muuttujat!$N$5:$N$21,0),1)</f>
        <v>10300.5</v>
      </c>
      <c r="AH284" s="332">
        <f>J284*INDEX(Muuttujat!$T$5:$T$21,MATCH($C284,Muuttujat!$N$5:$N$21,0),1)</f>
        <v>1654.2259475218661</v>
      </c>
      <c r="AI284" s="332">
        <f t="shared" si="94"/>
        <v>273.77113702623905</v>
      </c>
      <c r="AJ284" s="332">
        <f t="shared" si="95"/>
        <v>0</v>
      </c>
      <c r="AK284" s="332">
        <f t="shared" si="104"/>
        <v>12228.497084548106</v>
      </c>
      <c r="AL284" s="332">
        <f t="shared" si="96"/>
        <v>12228.497084548106</v>
      </c>
    </row>
    <row r="285" spans="1:38">
      <c r="A285" s="139">
        <v>13</v>
      </c>
      <c r="B285" s="139">
        <f>IFERROR(INDEX(Työkonekanta!$F$3:$F$27,MATCH('S0b Baseline kasvu'!$A285,Työkonekanta!$A$3:$A$24,0),1),0)</f>
        <v>0</v>
      </c>
      <c r="C285" s="140">
        <v>2028</v>
      </c>
      <c r="D285" s="141" t="str">
        <f>IFERROR(INDEX(Työkonekanta!$D$3:$D$27,MATCH('S0b Baseline kasvu'!$A285,Työkonekanta!$A$3:$A$24,0),1),"undefined")</f>
        <v>pom</v>
      </c>
      <c r="E285" s="145">
        <f>IFERROR(INDEX(Työkonekanta!$G$3:$G$27,MATCH($A285,Työkonekanta!$A$3:$A$24,0),1)*INDEX(Työkonekanta!$H$3:$H$27,MATCH($A285,Työkonekanta!$A$3:$A$24,0),1)*(1+s0b_kasvu*($C285-2019))*$B285,0)</f>
        <v>0</v>
      </c>
      <c r="F285" s="145">
        <f t="shared" si="88"/>
        <v>0</v>
      </c>
      <c r="G285" s="145">
        <f t="shared" si="97"/>
        <v>0</v>
      </c>
      <c r="H285" s="145">
        <f t="shared" si="98"/>
        <v>0</v>
      </c>
      <c r="I285" s="145">
        <f t="shared" si="89"/>
        <v>0</v>
      </c>
      <c r="J285" s="145">
        <f t="shared" si="90"/>
        <v>0</v>
      </c>
      <c r="K285" s="142" t="str">
        <f t="shared" si="99"/>
        <v>l</v>
      </c>
      <c r="L285" s="146">
        <f>IFERROR(INDEX(Työkonekanta!$I$3:$I$27,MATCH('S0b Baseline kasvu'!$A285,Työkonekanta!$A$3:$A$24,0),1)*(I285+J285)*f_adblue,0)</f>
        <v>0</v>
      </c>
      <c r="M285" s="146">
        <f t="shared" si="105"/>
        <v>0</v>
      </c>
      <c r="N285" s="143" t="str">
        <f>IF(tuulisähkö_vuosi&lt;='S0b Baseline kasvu'!C285,"tuulisähkö",ostosähkö_nyt)</f>
        <v>jäännössähkö</v>
      </c>
      <c r="O285" s="147">
        <f>INDEX(Muuttujat!$J$5:$J$21,MATCH($C285,Muuttujat!$H$5:$H$21,0),1)</f>
        <v>63.258531840332459</v>
      </c>
      <c r="P285" s="342">
        <f>1-(INDEX(Muuttujat!$O$5:$O$21,MATCH($C285,Muuttujat!$N$5:$N$21,0),1))</f>
        <v>0.9</v>
      </c>
      <c r="Q285" s="342">
        <f>INDEX(Muuttujat!$O$5:$O$21,MATCH($C285,Muuttujat!$N$5:$N$21,0),1)</f>
        <v>0.1</v>
      </c>
      <c r="R285" s="148">
        <f>INDEX(Muuttujat!$P$5:$P$21,MATCH($C285,Muuttujat!$N$5:$N$21,0),1)</f>
        <v>0.10417875759940039</v>
      </c>
      <c r="S285" s="149">
        <f t="shared" si="91"/>
        <v>0</v>
      </c>
      <c r="T285" s="150">
        <f t="shared" si="92"/>
        <v>0</v>
      </c>
      <c r="U285" s="150">
        <f t="shared" si="93"/>
        <v>0</v>
      </c>
      <c r="V285" s="150">
        <f>IFERROR(INDEX(Työkonekanta!$J$3:$J$27,MATCH($A285,Työkonekanta!$A$3:$A$24,0),1)*$B285*ef_li_ion_akku/1000/1000/INDEX(Työkonekanta!$K$3:$K$27,MATCH($A285,Työkonekanta!$A$3:$A$24,0)),0)</f>
        <v>0</v>
      </c>
      <c r="W285" s="149">
        <f t="shared" si="106"/>
        <v>0</v>
      </c>
      <c r="X285" s="150">
        <f t="shared" si="107"/>
        <v>0</v>
      </c>
      <c r="Y285" s="151">
        <f t="shared" si="108"/>
        <v>0</v>
      </c>
      <c r="Z285" s="152">
        <f t="shared" si="100"/>
        <v>0</v>
      </c>
      <c r="AA285" s="179">
        <f t="shared" si="101"/>
        <v>0</v>
      </c>
      <c r="AB285" s="179">
        <f t="shared" si="102"/>
        <v>0</v>
      </c>
      <c r="AC285" s="180">
        <f t="shared" si="109"/>
        <v>0</v>
      </c>
      <c r="AD285" s="156">
        <f t="shared" si="103"/>
        <v>0</v>
      </c>
      <c r="AE285" s="146">
        <f>IFERROR(INDEX(Työkonekanta!$L$3:$L$30,MATCH($A285,Työkonekanta!$A$3:$A$30,0),1),0)*AF285</f>
        <v>0</v>
      </c>
      <c r="AF285" s="146">
        <f>IFERROR(INDEX(Työkonekanta!$N$3:$N$32,MATCH($A285,Työkonekanta!$A$3:$A$32,0),1),0)</f>
        <v>0</v>
      </c>
      <c r="AG285" s="332">
        <f>I285*INDEX(Muuttujat!$U$5:$U$21,MATCH($C285,Muuttujat!$N$5:$N$21,0),1)</f>
        <v>0</v>
      </c>
      <c r="AH285" s="332">
        <f>J285*INDEX(Muuttujat!$T$5:$T$21,MATCH($C285,Muuttujat!$N$5:$N$21,0),1)</f>
        <v>0</v>
      </c>
      <c r="AI285" s="332">
        <f t="shared" si="94"/>
        <v>0</v>
      </c>
      <c r="AJ285" s="332">
        <f t="shared" si="95"/>
        <v>0</v>
      </c>
      <c r="AK285" s="332">
        <f t="shared" si="104"/>
        <v>0</v>
      </c>
      <c r="AL285" s="332">
        <f t="shared" si="96"/>
        <v>0</v>
      </c>
    </row>
    <row r="286" spans="1:38">
      <c r="A286" s="139">
        <v>14</v>
      </c>
      <c r="B286" s="139">
        <f>IFERROR(INDEX(Työkonekanta!$F$3:$F$27,MATCH('S0b Baseline kasvu'!$A286,Työkonekanta!$A$3:$A$24,0),1),0)</f>
        <v>0</v>
      </c>
      <c r="C286" s="140">
        <v>2028</v>
      </c>
      <c r="D286" s="141" t="str">
        <f>IFERROR(INDEX(Työkonekanta!$D$3:$D$27,MATCH('S0b Baseline kasvu'!$A286,Työkonekanta!$A$3:$A$24,0),1),"undefined")</f>
        <v>pom</v>
      </c>
      <c r="E286" s="145">
        <f>IFERROR(INDEX(Työkonekanta!$G$3:$G$27,MATCH($A286,Työkonekanta!$A$3:$A$24,0),1)*INDEX(Työkonekanta!$H$3:$H$27,MATCH($A286,Työkonekanta!$A$3:$A$24,0),1)*(1+s0b_kasvu*($C286-2019))*$B286,0)</f>
        <v>0</v>
      </c>
      <c r="F286" s="145">
        <f t="shared" si="88"/>
        <v>0</v>
      </c>
      <c r="G286" s="145">
        <f t="shared" si="97"/>
        <v>0</v>
      </c>
      <c r="H286" s="145">
        <f t="shared" si="98"/>
        <v>0</v>
      </c>
      <c r="I286" s="145">
        <f t="shared" si="89"/>
        <v>0</v>
      </c>
      <c r="J286" s="145">
        <f t="shared" si="90"/>
        <v>0</v>
      </c>
      <c r="K286" s="142" t="str">
        <f t="shared" si="99"/>
        <v>l</v>
      </c>
      <c r="L286" s="146">
        <f>IFERROR(INDEX(Työkonekanta!$I$3:$I$27,MATCH('S0b Baseline kasvu'!$A286,Työkonekanta!$A$3:$A$24,0),1)*(I286+J286)*f_adblue,0)</f>
        <v>0</v>
      </c>
      <c r="M286" s="146">
        <f t="shared" si="105"/>
        <v>0</v>
      </c>
      <c r="N286" s="143" t="str">
        <f>IF(tuulisähkö_vuosi&lt;='S0b Baseline kasvu'!C286,"tuulisähkö",ostosähkö_nyt)</f>
        <v>jäännössähkö</v>
      </c>
      <c r="O286" s="147">
        <f>INDEX(Muuttujat!$J$5:$J$21,MATCH($C286,Muuttujat!$H$5:$H$21,0),1)</f>
        <v>63.258531840332459</v>
      </c>
      <c r="P286" s="342">
        <f>1-(INDEX(Muuttujat!$O$5:$O$21,MATCH($C286,Muuttujat!$N$5:$N$21,0),1))</f>
        <v>0.9</v>
      </c>
      <c r="Q286" s="342">
        <f>INDEX(Muuttujat!$O$5:$O$21,MATCH($C286,Muuttujat!$N$5:$N$21,0),1)</f>
        <v>0.1</v>
      </c>
      <c r="R286" s="148">
        <f>INDEX(Muuttujat!$P$5:$P$21,MATCH($C286,Muuttujat!$N$5:$N$21,0),1)</f>
        <v>0.10417875759940039</v>
      </c>
      <c r="S286" s="149">
        <f t="shared" si="91"/>
        <v>0</v>
      </c>
      <c r="T286" s="150">
        <f t="shared" si="92"/>
        <v>0</v>
      </c>
      <c r="U286" s="150">
        <f t="shared" si="93"/>
        <v>0</v>
      </c>
      <c r="V286" s="150">
        <f>IFERROR(INDEX(Työkonekanta!$J$3:$J$27,MATCH($A286,Työkonekanta!$A$3:$A$24,0),1)*$B286*ef_li_ion_akku/1000/1000/INDEX(Työkonekanta!$K$3:$K$27,MATCH($A286,Työkonekanta!$A$3:$A$24,0)),0)</f>
        <v>0</v>
      </c>
      <c r="W286" s="149">
        <f t="shared" si="106"/>
        <v>0</v>
      </c>
      <c r="X286" s="150">
        <f t="shared" si="107"/>
        <v>0</v>
      </c>
      <c r="Y286" s="151">
        <f t="shared" si="108"/>
        <v>0</v>
      </c>
      <c r="Z286" s="152">
        <f t="shared" si="100"/>
        <v>0</v>
      </c>
      <c r="AA286" s="179">
        <f t="shared" si="101"/>
        <v>0</v>
      </c>
      <c r="AB286" s="179">
        <f t="shared" si="102"/>
        <v>0</v>
      </c>
      <c r="AC286" s="180">
        <f t="shared" si="109"/>
        <v>0</v>
      </c>
      <c r="AD286" s="156">
        <f t="shared" si="103"/>
        <v>0</v>
      </c>
      <c r="AE286" s="146">
        <f>IFERROR(INDEX(Työkonekanta!$L$3:$L$30,MATCH($A286,Työkonekanta!$A$3:$A$30,0),1),0)*AF286</f>
        <v>0</v>
      </c>
      <c r="AF286" s="146">
        <f>IFERROR(INDEX(Työkonekanta!$N$3:$N$32,MATCH($A286,Työkonekanta!$A$3:$A$32,0),1),0)</f>
        <v>0</v>
      </c>
      <c r="AG286" s="332">
        <f>I286*INDEX(Muuttujat!$U$5:$U$21,MATCH($C286,Muuttujat!$N$5:$N$21,0),1)</f>
        <v>0</v>
      </c>
      <c r="AH286" s="332">
        <f>J286*INDEX(Muuttujat!$T$5:$T$21,MATCH($C286,Muuttujat!$N$5:$N$21,0),1)</f>
        <v>0</v>
      </c>
      <c r="AI286" s="332">
        <f t="shared" si="94"/>
        <v>0</v>
      </c>
      <c r="AJ286" s="332">
        <f t="shared" si="95"/>
        <v>0</v>
      </c>
      <c r="AK286" s="332">
        <f t="shared" si="104"/>
        <v>0</v>
      </c>
      <c r="AL286" s="332">
        <f t="shared" si="96"/>
        <v>0</v>
      </c>
    </row>
    <row r="287" spans="1:38">
      <c r="A287" s="139">
        <v>15</v>
      </c>
      <c r="B287" s="139">
        <f>IFERROR(INDEX(Työkonekanta!$F$3:$F$27,MATCH('S0b Baseline kasvu'!$A287,Työkonekanta!$A$3:$A$24,0),1),0)</f>
        <v>0</v>
      </c>
      <c r="C287" s="140">
        <v>2028</v>
      </c>
      <c r="D287" s="141" t="str">
        <f>IFERROR(INDEX(Työkonekanta!$D$3:$D$27,MATCH('S0b Baseline kasvu'!$A287,Työkonekanta!$A$3:$A$24,0),1),"undefined")</f>
        <v>sähkö</v>
      </c>
      <c r="E287" s="145">
        <f>IFERROR(INDEX(Työkonekanta!$G$3:$G$27,MATCH($A287,Työkonekanta!$A$3:$A$24,0),1)*INDEX(Työkonekanta!$H$3:$H$27,MATCH($A287,Työkonekanta!$A$3:$A$24,0),1)*(1+s0b_kasvu*($C287-2019))*$B287,0)</f>
        <v>0</v>
      </c>
      <c r="F287" s="145">
        <f t="shared" si="88"/>
        <v>0</v>
      </c>
      <c r="G287" s="145">
        <f t="shared" si="97"/>
        <v>0</v>
      </c>
      <c r="H287" s="145">
        <f t="shared" si="98"/>
        <v>0</v>
      </c>
      <c r="I287" s="145">
        <f t="shared" si="89"/>
        <v>0</v>
      </c>
      <c r="J287" s="145">
        <f t="shared" si="90"/>
        <v>0</v>
      </c>
      <c r="K287" s="142" t="str">
        <f t="shared" si="99"/>
        <v>kWh</v>
      </c>
      <c r="L287" s="146">
        <f>IFERROR(INDEX(Työkonekanta!$I$3:$I$27,MATCH('S0b Baseline kasvu'!$A287,Työkonekanta!$A$3:$A$24,0),1)*(I287+J287)*f_adblue,0)</f>
        <v>0</v>
      </c>
      <c r="M287" s="146">
        <f t="shared" si="105"/>
        <v>0</v>
      </c>
      <c r="N287" s="143" t="str">
        <f>IF(tuulisähkö_vuosi&lt;='S0b Baseline kasvu'!C287,"tuulisähkö",ostosähkö_nyt)</f>
        <v>jäännössähkö</v>
      </c>
      <c r="O287" s="147">
        <f>INDEX(Muuttujat!$J$5:$J$21,MATCH($C287,Muuttujat!$H$5:$H$21,0),1)</f>
        <v>63.258531840332459</v>
      </c>
      <c r="P287" s="342">
        <f>1-(INDEX(Muuttujat!$O$5:$O$21,MATCH($C287,Muuttujat!$N$5:$N$21,0),1))</f>
        <v>0.9</v>
      </c>
      <c r="Q287" s="342">
        <f>INDEX(Muuttujat!$O$5:$O$21,MATCH($C287,Muuttujat!$N$5:$N$21,0),1)</f>
        <v>0.1</v>
      </c>
      <c r="R287" s="148">
        <f>INDEX(Muuttujat!$P$5:$P$21,MATCH($C287,Muuttujat!$N$5:$N$21,0),1)</f>
        <v>0.10417875759940039</v>
      </c>
      <c r="S287" s="149">
        <f t="shared" si="91"/>
        <v>0</v>
      </c>
      <c r="T287" s="150">
        <f t="shared" si="92"/>
        <v>0</v>
      </c>
      <c r="U287" s="150">
        <f t="shared" si="93"/>
        <v>0</v>
      </c>
      <c r="V287" s="150">
        <f>IFERROR(INDEX(Työkonekanta!$J$3:$J$27,MATCH($A287,Työkonekanta!$A$3:$A$24,0),1)*$B287*ef_li_ion_akku/1000/1000/INDEX(Työkonekanta!$K$3:$K$27,MATCH($A287,Työkonekanta!$A$3:$A$24,0)),0)</f>
        <v>0</v>
      </c>
      <c r="W287" s="149">
        <f t="shared" si="106"/>
        <v>0</v>
      </c>
      <c r="X287" s="150">
        <f t="shared" si="107"/>
        <v>0</v>
      </c>
      <c r="Y287" s="151">
        <f t="shared" si="108"/>
        <v>0</v>
      </c>
      <c r="Z287" s="152">
        <f t="shared" si="100"/>
        <v>0</v>
      </c>
      <c r="AA287" s="179">
        <f t="shared" si="101"/>
        <v>0</v>
      </c>
      <c r="AB287" s="179">
        <f t="shared" si="102"/>
        <v>0</v>
      </c>
      <c r="AC287" s="180">
        <f t="shared" si="109"/>
        <v>0</v>
      </c>
      <c r="AD287" s="156">
        <f t="shared" si="103"/>
        <v>0</v>
      </c>
      <c r="AE287" s="146">
        <f>IFERROR(INDEX(Työkonekanta!$L$3:$L$30,MATCH($A287,Työkonekanta!$A$3:$A$30,0),1),0)*AF287</f>
        <v>0</v>
      </c>
      <c r="AF287" s="146">
        <f>IFERROR(INDEX(Työkonekanta!$N$3:$N$32,MATCH($A287,Työkonekanta!$A$3:$A$32,0),1),0)</f>
        <v>0</v>
      </c>
      <c r="AG287" s="332">
        <f>I287*INDEX(Muuttujat!$U$5:$U$21,MATCH($C287,Muuttujat!$N$5:$N$21,0),1)</f>
        <v>0</v>
      </c>
      <c r="AH287" s="332">
        <f>J287*INDEX(Muuttujat!$T$5:$T$21,MATCH($C287,Muuttujat!$N$5:$N$21,0),1)</f>
        <v>0</v>
      </c>
      <c r="AI287" s="332">
        <f t="shared" si="94"/>
        <v>0</v>
      </c>
      <c r="AJ287" s="332">
        <f t="shared" si="95"/>
        <v>0</v>
      </c>
      <c r="AK287" s="332">
        <f t="shared" si="104"/>
        <v>0</v>
      </c>
      <c r="AL287" s="332">
        <f t="shared" si="96"/>
        <v>0</v>
      </c>
    </row>
    <row r="288" spans="1:38">
      <c r="A288" s="139">
        <v>16</v>
      </c>
      <c r="B288" s="139">
        <f>IFERROR(INDEX(Työkonekanta!$F$3:$F$27,MATCH('S0b Baseline kasvu'!$A288,Työkonekanta!$A$3:$A$24,0),1),0)</f>
        <v>0</v>
      </c>
      <c r="C288" s="140">
        <v>2028</v>
      </c>
      <c r="D288" s="141" t="str">
        <f>IFERROR(INDEX(Työkonekanta!$D$3:$D$27,MATCH('S0b Baseline kasvu'!$A288,Työkonekanta!$A$3:$A$24,0),1),"undefined")</f>
        <v>sähkö</v>
      </c>
      <c r="E288" s="145">
        <f>IFERROR(INDEX(Työkonekanta!$G$3:$G$27,MATCH($A288,Työkonekanta!$A$3:$A$24,0),1)*INDEX(Työkonekanta!$H$3:$H$27,MATCH($A288,Työkonekanta!$A$3:$A$24,0),1)*(1+s0b_kasvu*($C288-2019))*$B288,0)</f>
        <v>0</v>
      </c>
      <c r="F288" s="145">
        <f t="shared" si="88"/>
        <v>0</v>
      </c>
      <c r="G288" s="145">
        <f t="shared" si="97"/>
        <v>0</v>
      </c>
      <c r="H288" s="145">
        <f t="shared" si="98"/>
        <v>0</v>
      </c>
      <c r="I288" s="145">
        <f t="shared" si="89"/>
        <v>0</v>
      </c>
      <c r="J288" s="145">
        <f t="shared" si="90"/>
        <v>0</v>
      </c>
      <c r="K288" s="142" t="str">
        <f t="shared" si="99"/>
        <v>kWh</v>
      </c>
      <c r="L288" s="146">
        <f>IFERROR(INDEX(Työkonekanta!$I$3:$I$27,MATCH('S0b Baseline kasvu'!$A288,Työkonekanta!$A$3:$A$24,0),1)*(I288+J288)*f_adblue,0)</f>
        <v>0</v>
      </c>
      <c r="M288" s="146">
        <f t="shared" si="105"/>
        <v>0</v>
      </c>
      <c r="N288" s="143" t="str">
        <f>IF(tuulisähkö_vuosi&lt;='S0b Baseline kasvu'!C288,"tuulisähkö",ostosähkö_nyt)</f>
        <v>jäännössähkö</v>
      </c>
      <c r="O288" s="147">
        <f>INDEX(Muuttujat!$J$5:$J$21,MATCH($C288,Muuttujat!$H$5:$H$21,0),1)</f>
        <v>63.258531840332459</v>
      </c>
      <c r="P288" s="342">
        <f>1-(INDEX(Muuttujat!$O$5:$O$21,MATCH($C288,Muuttujat!$N$5:$N$21,0),1))</f>
        <v>0.9</v>
      </c>
      <c r="Q288" s="342">
        <f>INDEX(Muuttujat!$O$5:$O$21,MATCH($C288,Muuttujat!$N$5:$N$21,0),1)</f>
        <v>0.1</v>
      </c>
      <c r="R288" s="148">
        <f>INDEX(Muuttujat!$P$5:$P$21,MATCH($C288,Muuttujat!$N$5:$N$21,0),1)</f>
        <v>0.10417875759940039</v>
      </c>
      <c r="S288" s="149">
        <f t="shared" si="91"/>
        <v>0</v>
      </c>
      <c r="T288" s="150">
        <f t="shared" si="92"/>
        <v>0</v>
      </c>
      <c r="U288" s="150">
        <f t="shared" si="93"/>
        <v>0</v>
      </c>
      <c r="V288" s="150">
        <f>IFERROR(INDEX(Työkonekanta!$J$3:$J$27,MATCH($A288,Työkonekanta!$A$3:$A$24,0),1)*$B288*ef_li_ion_akku/1000/1000/INDEX(Työkonekanta!$K$3:$K$27,MATCH($A288,Työkonekanta!$A$3:$A$24,0)),0)</f>
        <v>0</v>
      </c>
      <c r="W288" s="149">
        <f t="shared" si="106"/>
        <v>0</v>
      </c>
      <c r="X288" s="150">
        <f t="shared" si="107"/>
        <v>0</v>
      </c>
      <c r="Y288" s="151">
        <f t="shared" si="108"/>
        <v>0</v>
      </c>
      <c r="Z288" s="152">
        <f t="shared" si="100"/>
        <v>0</v>
      </c>
      <c r="AA288" s="179">
        <f t="shared" si="101"/>
        <v>0</v>
      </c>
      <c r="AB288" s="179">
        <f t="shared" si="102"/>
        <v>0</v>
      </c>
      <c r="AC288" s="180">
        <f t="shared" si="109"/>
        <v>0</v>
      </c>
      <c r="AD288" s="156">
        <f t="shared" si="103"/>
        <v>0</v>
      </c>
      <c r="AE288" s="146">
        <f>IFERROR(INDEX(Työkonekanta!$L$3:$L$30,MATCH($A288,Työkonekanta!$A$3:$A$30,0),1),0)*AF288</f>
        <v>0</v>
      </c>
      <c r="AF288" s="146">
        <f>IFERROR(INDEX(Työkonekanta!$N$3:$N$32,MATCH($A288,Työkonekanta!$A$3:$A$32,0),1),0)</f>
        <v>0</v>
      </c>
      <c r="AG288" s="332">
        <f>I288*INDEX(Muuttujat!$U$5:$U$21,MATCH($C288,Muuttujat!$N$5:$N$21,0),1)</f>
        <v>0</v>
      </c>
      <c r="AH288" s="332">
        <f>J288*INDEX(Muuttujat!$T$5:$T$21,MATCH($C288,Muuttujat!$N$5:$N$21,0),1)</f>
        <v>0</v>
      </c>
      <c r="AI288" s="332">
        <f t="shared" si="94"/>
        <v>0</v>
      </c>
      <c r="AJ288" s="332">
        <f t="shared" si="95"/>
        <v>0</v>
      </c>
      <c r="AK288" s="332">
        <f t="shared" si="104"/>
        <v>0</v>
      </c>
      <c r="AL288" s="332">
        <f t="shared" si="96"/>
        <v>0</v>
      </c>
    </row>
    <row r="289" spans="1:38">
      <c r="A289" s="139">
        <v>17</v>
      </c>
      <c r="B289" s="139">
        <f>IFERROR(INDEX(Työkonekanta!$F$3:$F$27,MATCH('S0b Baseline kasvu'!$A289,Työkonekanta!$A$3:$A$24,0),1),0)</f>
        <v>1</v>
      </c>
      <c r="C289" s="140">
        <v>2028</v>
      </c>
      <c r="D289" s="141" t="str">
        <f>IFERROR(INDEX(Työkonekanta!$D$3:$D$27,MATCH('S0b Baseline kasvu'!$A289,Työkonekanta!$A$3:$A$24,0),1),"undefined")</f>
        <v>pom</v>
      </c>
      <c r="E289" s="145">
        <f>IFERROR(INDEX(Työkonekanta!$G$3:$G$27,MATCH($A289,Työkonekanta!$A$3:$A$24,0),1)*INDEX(Työkonekanta!$H$3:$H$27,MATCH($A289,Työkonekanta!$A$3:$A$24,0),1)*(1+s0b_kasvu*($C289-2019))*$B289,0)</f>
        <v>10900</v>
      </c>
      <c r="F289" s="145">
        <f t="shared" si="88"/>
        <v>391310</v>
      </c>
      <c r="G289" s="145">
        <f t="shared" si="97"/>
        <v>352179</v>
      </c>
      <c r="H289" s="145">
        <f t="shared" si="98"/>
        <v>39131</v>
      </c>
      <c r="I289" s="145">
        <f t="shared" si="89"/>
        <v>9810</v>
      </c>
      <c r="J289" s="145">
        <f t="shared" si="90"/>
        <v>1140.8454810495627</v>
      </c>
      <c r="K289" s="142" t="str">
        <f t="shared" si="99"/>
        <v>l</v>
      </c>
      <c r="L289" s="146">
        <f>IFERROR(INDEX(Työkonekanta!$I$3:$I$27,MATCH('S0b Baseline kasvu'!$A289,Työkonekanta!$A$3:$A$24,0),1)*(I289+J289)*f_adblue,0)</f>
        <v>547.54227405247809</v>
      </c>
      <c r="M289" s="146">
        <f t="shared" si="105"/>
        <v>0</v>
      </c>
      <c r="N289" s="143" t="str">
        <f>IF(tuulisähkö_vuosi&lt;='S0b Baseline kasvu'!C289,"tuulisähkö",ostosähkö_nyt)</f>
        <v>jäännössähkö</v>
      </c>
      <c r="O289" s="147">
        <f>INDEX(Muuttujat!$J$5:$J$21,MATCH($C289,Muuttujat!$H$5:$H$21,0),1)</f>
        <v>63.258531840332459</v>
      </c>
      <c r="P289" s="342">
        <f>1-(INDEX(Muuttujat!$O$5:$O$21,MATCH($C289,Muuttujat!$N$5:$N$21,0),1))</f>
        <v>0.9</v>
      </c>
      <c r="Q289" s="342">
        <f>INDEX(Muuttujat!$O$5:$O$21,MATCH($C289,Muuttujat!$N$5:$N$21,0),1)</f>
        <v>0.1</v>
      </c>
      <c r="R289" s="148">
        <f>INDEX(Muuttujat!$P$5:$P$21,MATCH($C289,Muuttujat!$N$5:$N$21,0),1)</f>
        <v>0.10417875759940039</v>
      </c>
      <c r="S289" s="149">
        <f t="shared" si="91"/>
        <v>6.6561830999999989</v>
      </c>
      <c r="T289" s="150">
        <f t="shared" si="92"/>
        <v>2.4417743999999999</v>
      </c>
      <c r="U289" s="150">
        <f t="shared" si="93"/>
        <v>0</v>
      </c>
      <c r="V289" s="150">
        <f>IFERROR(INDEX(Työkonekanta!$J$3:$J$27,MATCH($A289,Työkonekanta!$A$3:$A$24,0),1)*$B289*ef_li_ion_akku/1000/1000/INDEX(Työkonekanta!$K$3:$K$27,MATCH($A289,Työkonekanta!$A$3:$A$24,0)),0)</f>
        <v>0</v>
      </c>
      <c r="W289" s="149">
        <f t="shared" si="106"/>
        <v>25.993717183566002</v>
      </c>
      <c r="X289" s="150">
        <f t="shared" si="107"/>
        <v>0.34634276940000003</v>
      </c>
      <c r="Y289" s="151">
        <f t="shared" si="108"/>
        <v>0.14236099125364432</v>
      </c>
      <c r="Z289" s="152">
        <f t="shared" si="100"/>
        <v>9.0979574999999997</v>
      </c>
      <c r="AA289" s="179">
        <f t="shared" si="101"/>
        <v>26.136078174819644</v>
      </c>
      <c r="AB289" s="179">
        <f t="shared" si="102"/>
        <v>26.482420944219644</v>
      </c>
      <c r="AC289" s="180">
        <f t="shared" si="109"/>
        <v>35.234035674819644</v>
      </c>
      <c r="AD289" s="156">
        <f t="shared" si="103"/>
        <v>35.580378444219647</v>
      </c>
      <c r="AE289" s="146">
        <f>IFERROR(INDEX(Työkonekanta!$L$3:$L$30,MATCH($A289,Työkonekanta!$A$3:$A$30,0),1),0)*AF289</f>
        <v>500000</v>
      </c>
      <c r="AF289" s="146">
        <f>IFERROR(INDEX(Työkonekanta!$N$3:$N$32,MATCH($A289,Työkonekanta!$A$3:$A$32,0),1),0)</f>
        <v>1</v>
      </c>
      <c r="AG289" s="332">
        <f>I289*INDEX(Muuttujat!$U$5:$U$21,MATCH($C289,Muuttujat!$N$5:$N$21,0),1)</f>
        <v>10300.5</v>
      </c>
      <c r="AH289" s="332">
        <f>J289*INDEX(Muuttujat!$T$5:$T$21,MATCH($C289,Muuttujat!$N$5:$N$21,0),1)</f>
        <v>1654.2259475218661</v>
      </c>
      <c r="AI289" s="332">
        <f t="shared" si="94"/>
        <v>273.77113702623905</v>
      </c>
      <c r="AJ289" s="332">
        <f t="shared" si="95"/>
        <v>0</v>
      </c>
      <c r="AK289" s="332">
        <f t="shared" si="104"/>
        <v>12228.497084548106</v>
      </c>
      <c r="AL289" s="332">
        <f t="shared" si="96"/>
        <v>12228.497084548106</v>
      </c>
    </row>
    <row r="290" spans="1:38">
      <c r="A290" s="139">
        <v>18</v>
      </c>
      <c r="B290" s="139">
        <f>IFERROR(INDEX(Työkonekanta!$F$3:$F$27,MATCH('S0b Baseline kasvu'!$A290,Työkonekanta!$A$3:$A$24,0),1),0)</f>
        <v>1</v>
      </c>
      <c r="C290" s="140">
        <v>2028</v>
      </c>
      <c r="D290" s="141" t="str">
        <f>IFERROR(INDEX(Työkonekanta!$D$3:$D$27,MATCH('S0b Baseline kasvu'!$A290,Työkonekanta!$A$3:$A$24,0),1),"undefined")</f>
        <v>pom</v>
      </c>
      <c r="E290" s="145">
        <f>IFERROR(INDEX(Työkonekanta!$G$3:$G$27,MATCH($A290,Työkonekanta!$A$3:$A$24,0),1)*INDEX(Työkonekanta!$H$3:$H$27,MATCH($A290,Työkonekanta!$A$3:$A$24,0),1)*(1+s0b_kasvu*($C290-2019))*$B290,0)</f>
        <v>10900</v>
      </c>
      <c r="F290" s="145">
        <f t="shared" si="88"/>
        <v>391310</v>
      </c>
      <c r="G290" s="145">
        <f t="shared" si="97"/>
        <v>352179</v>
      </c>
      <c r="H290" s="145">
        <f t="shared" si="98"/>
        <v>39131</v>
      </c>
      <c r="I290" s="145">
        <f t="shared" si="89"/>
        <v>9810</v>
      </c>
      <c r="J290" s="145">
        <f t="shared" si="90"/>
        <v>1140.8454810495627</v>
      </c>
      <c r="K290" s="142" t="str">
        <f t="shared" si="99"/>
        <v>l</v>
      </c>
      <c r="L290" s="146">
        <f>IFERROR(INDEX(Työkonekanta!$I$3:$I$27,MATCH('S0b Baseline kasvu'!$A290,Työkonekanta!$A$3:$A$24,0),1)*(I290+J290)*f_adblue,0)</f>
        <v>438.03381924198248</v>
      </c>
      <c r="M290" s="146">
        <f t="shared" si="105"/>
        <v>0</v>
      </c>
      <c r="N290" s="143" t="str">
        <f>IF(tuulisähkö_vuosi&lt;='S0b Baseline kasvu'!C290,"tuulisähkö",ostosähkö_nyt)</f>
        <v>jäännössähkö</v>
      </c>
      <c r="O290" s="147">
        <f>INDEX(Muuttujat!$J$5:$J$21,MATCH($C290,Muuttujat!$H$5:$H$21,0),1)</f>
        <v>63.258531840332459</v>
      </c>
      <c r="P290" s="342">
        <f>1-(INDEX(Muuttujat!$O$5:$O$21,MATCH($C290,Muuttujat!$N$5:$N$21,0),1))</f>
        <v>0.9</v>
      </c>
      <c r="Q290" s="342">
        <f>INDEX(Muuttujat!$O$5:$O$21,MATCH($C290,Muuttujat!$N$5:$N$21,0),1)</f>
        <v>0.1</v>
      </c>
      <c r="R290" s="148">
        <f>INDEX(Muuttujat!$P$5:$P$21,MATCH($C290,Muuttujat!$N$5:$N$21,0),1)</f>
        <v>0.10417875759940039</v>
      </c>
      <c r="S290" s="149">
        <f t="shared" si="91"/>
        <v>6.6561830999999989</v>
      </c>
      <c r="T290" s="150">
        <f t="shared" si="92"/>
        <v>2.4417743999999999</v>
      </c>
      <c r="U290" s="150">
        <f t="shared" si="93"/>
        <v>0</v>
      </c>
      <c r="V290" s="150">
        <f>IFERROR(INDEX(Työkonekanta!$J$3:$J$27,MATCH($A290,Työkonekanta!$A$3:$A$24,0),1)*$B290*ef_li_ion_akku/1000/1000/INDEX(Työkonekanta!$K$3:$K$27,MATCH($A290,Työkonekanta!$A$3:$A$24,0)),0)</f>
        <v>0</v>
      </c>
      <c r="W290" s="149">
        <f t="shared" si="106"/>
        <v>25.993717183566002</v>
      </c>
      <c r="X290" s="150">
        <f t="shared" si="107"/>
        <v>0.34634276940000003</v>
      </c>
      <c r="Y290" s="151">
        <f t="shared" si="108"/>
        <v>0.11388879300291545</v>
      </c>
      <c r="Z290" s="152">
        <f t="shared" si="100"/>
        <v>9.0979574999999997</v>
      </c>
      <c r="AA290" s="179">
        <f t="shared" si="101"/>
        <v>26.107605976568916</v>
      </c>
      <c r="AB290" s="179">
        <f t="shared" si="102"/>
        <v>26.453948745968916</v>
      </c>
      <c r="AC290" s="180">
        <f t="shared" si="109"/>
        <v>35.205563476568912</v>
      </c>
      <c r="AD290" s="156">
        <f t="shared" si="103"/>
        <v>35.551906245968915</v>
      </c>
      <c r="AE290" s="146">
        <f>IFERROR(INDEX(Työkonekanta!$L$3:$L$30,MATCH($A290,Työkonekanta!$A$3:$A$30,0),1),0)*AF290</f>
        <v>500000</v>
      </c>
      <c r="AF290" s="146">
        <f>IFERROR(INDEX(Työkonekanta!$N$3:$N$32,MATCH($A290,Työkonekanta!$A$3:$A$32,0),1),0)</f>
        <v>1</v>
      </c>
      <c r="AG290" s="332">
        <f>I290*INDEX(Muuttujat!$U$5:$U$21,MATCH($C290,Muuttujat!$N$5:$N$21,0),1)</f>
        <v>10300.5</v>
      </c>
      <c r="AH290" s="332">
        <f>J290*INDEX(Muuttujat!$T$5:$T$21,MATCH($C290,Muuttujat!$N$5:$N$21,0),1)</f>
        <v>1654.2259475218661</v>
      </c>
      <c r="AI290" s="332">
        <f t="shared" si="94"/>
        <v>219.01690962099124</v>
      </c>
      <c r="AJ290" s="332">
        <f t="shared" si="95"/>
        <v>0</v>
      </c>
      <c r="AK290" s="332">
        <f t="shared" si="104"/>
        <v>12173.742857142859</v>
      </c>
      <c r="AL290" s="332">
        <f t="shared" si="96"/>
        <v>12173.742857142859</v>
      </c>
    </row>
    <row r="291" spans="1:38">
      <c r="A291" s="139">
        <v>19</v>
      </c>
      <c r="B291" s="139">
        <f>IFERROR(INDEX(Työkonekanta!$F$3:$F$27,MATCH('S0b Baseline kasvu'!$A291,Työkonekanta!$A$3:$A$24,0),1),0)</f>
        <v>0</v>
      </c>
      <c r="C291" s="140">
        <v>2028</v>
      </c>
      <c r="D291" s="141" t="str">
        <f>IFERROR(INDEX(Työkonekanta!$D$3:$D$27,MATCH('S0b Baseline kasvu'!$A291,Työkonekanta!$A$3:$A$24,0),1),"undefined")</f>
        <v>pom</v>
      </c>
      <c r="E291" s="145">
        <f>IFERROR(INDEX(Työkonekanta!$G$3:$G$27,MATCH($A291,Työkonekanta!$A$3:$A$24,0),1)*INDEX(Työkonekanta!$H$3:$H$27,MATCH($A291,Työkonekanta!$A$3:$A$24,0),1)*(1+s0b_kasvu*($C291-2019))*$B291,0)</f>
        <v>0</v>
      </c>
      <c r="F291" s="145">
        <f t="shared" si="88"/>
        <v>0</v>
      </c>
      <c r="G291" s="145">
        <f t="shared" si="97"/>
        <v>0</v>
      </c>
      <c r="H291" s="145">
        <f t="shared" si="98"/>
        <v>0</v>
      </c>
      <c r="I291" s="145">
        <f t="shared" si="89"/>
        <v>0</v>
      </c>
      <c r="J291" s="145">
        <f t="shared" si="90"/>
        <v>0</v>
      </c>
      <c r="K291" s="142" t="str">
        <f t="shared" si="99"/>
        <v>l</v>
      </c>
      <c r="L291" s="146">
        <f>IFERROR(INDEX(Työkonekanta!$I$3:$I$27,MATCH('S0b Baseline kasvu'!$A291,Työkonekanta!$A$3:$A$24,0),1)*(I291+J291)*f_adblue,0)</f>
        <v>0</v>
      </c>
      <c r="M291" s="146">
        <f t="shared" si="105"/>
        <v>0</v>
      </c>
      <c r="N291" s="143" t="str">
        <f>IF(tuulisähkö_vuosi&lt;='S0b Baseline kasvu'!C291,"tuulisähkö",ostosähkö_nyt)</f>
        <v>jäännössähkö</v>
      </c>
      <c r="O291" s="147">
        <f>INDEX(Muuttujat!$J$5:$J$21,MATCH($C291,Muuttujat!$H$5:$H$21,0),1)</f>
        <v>63.258531840332459</v>
      </c>
      <c r="P291" s="342">
        <f>1-(INDEX(Muuttujat!$O$5:$O$21,MATCH($C291,Muuttujat!$N$5:$N$21,0),1))</f>
        <v>0.9</v>
      </c>
      <c r="Q291" s="342">
        <f>INDEX(Muuttujat!$O$5:$O$21,MATCH($C291,Muuttujat!$N$5:$N$21,0),1)</f>
        <v>0.1</v>
      </c>
      <c r="R291" s="148">
        <f>INDEX(Muuttujat!$P$5:$P$21,MATCH($C291,Muuttujat!$N$5:$N$21,0),1)</f>
        <v>0.10417875759940039</v>
      </c>
      <c r="S291" s="149">
        <f t="shared" si="91"/>
        <v>0</v>
      </c>
      <c r="T291" s="150">
        <f t="shared" si="92"/>
        <v>0</v>
      </c>
      <c r="U291" s="150">
        <f t="shared" si="93"/>
        <v>0</v>
      </c>
      <c r="V291" s="150">
        <f>IFERROR(INDEX(Työkonekanta!$J$3:$J$27,MATCH($A291,Työkonekanta!$A$3:$A$24,0),1)*$B291*ef_li_ion_akku/1000/1000/INDEX(Työkonekanta!$K$3:$K$27,MATCH($A291,Työkonekanta!$A$3:$A$24,0)),0)</f>
        <v>0</v>
      </c>
      <c r="W291" s="149">
        <f t="shared" si="106"/>
        <v>0</v>
      </c>
      <c r="X291" s="150">
        <f t="shared" si="107"/>
        <v>0</v>
      </c>
      <c r="Y291" s="151">
        <f t="shared" si="108"/>
        <v>0</v>
      </c>
      <c r="Z291" s="152">
        <f t="shared" si="100"/>
        <v>0</v>
      </c>
      <c r="AA291" s="179">
        <f t="shared" si="101"/>
        <v>0</v>
      </c>
      <c r="AB291" s="179">
        <f t="shared" si="102"/>
        <v>0</v>
      </c>
      <c r="AC291" s="180">
        <f t="shared" si="109"/>
        <v>0</v>
      </c>
      <c r="AD291" s="156">
        <f t="shared" si="103"/>
        <v>0</v>
      </c>
      <c r="AE291" s="146">
        <f>IFERROR(INDEX(Työkonekanta!$L$3:$L$30,MATCH($A291,Työkonekanta!$A$3:$A$30,0),1),0)*AF291</f>
        <v>0</v>
      </c>
      <c r="AF291" s="146">
        <f>IFERROR(INDEX(Työkonekanta!$N$3:$N$32,MATCH($A291,Työkonekanta!$A$3:$A$32,0),1),0)</f>
        <v>0</v>
      </c>
      <c r="AG291" s="332">
        <f>I291*INDEX(Muuttujat!$U$5:$U$21,MATCH($C291,Muuttujat!$N$5:$N$21,0),1)</f>
        <v>0</v>
      </c>
      <c r="AH291" s="332">
        <f>J291*INDEX(Muuttujat!$T$5:$T$21,MATCH($C291,Muuttujat!$N$5:$N$21,0),1)</f>
        <v>0</v>
      </c>
      <c r="AI291" s="332">
        <f t="shared" si="94"/>
        <v>0</v>
      </c>
      <c r="AJ291" s="332">
        <f t="shared" si="95"/>
        <v>0</v>
      </c>
      <c r="AK291" s="332">
        <f t="shared" si="104"/>
        <v>0</v>
      </c>
      <c r="AL291" s="332">
        <f t="shared" si="96"/>
        <v>0</v>
      </c>
    </row>
    <row r="292" spans="1:38">
      <c r="A292" s="139">
        <v>20</v>
      </c>
      <c r="B292" s="139">
        <f>IFERROR(INDEX(Työkonekanta!$F$3:$F$27,MATCH('S0b Baseline kasvu'!$A292,Työkonekanta!$A$3:$A$24,0),1),0)</f>
        <v>0</v>
      </c>
      <c r="C292" s="140">
        <v>2028</v>
      </c>
      <c r="D292" s="141" t="str">
        <f>IFERROR(INDEX(Työkonekanta!$D$3:$D$27,MATCH('S0b Baseline kasvu'!$A292,Työkonekanta!$A$3:$A$24,0),1),"undefined")</f>
        <v>pom</v>
      </c>
      <c r="E292" s="145">
        <f>IFERROR(INDEX(Työkonekanta!$G$3:$G$27,MATCH($A292,Työkonekanta!$A$3:$A$24,0),1)*INDEX(Työkonekanta!$H$3:$H$27,MATCH($A292,Työkonekanta!$A$3:$A$24,0),1)*(1+s0b_kasvu*($C292-2019))*$B292,0)</f>
        <v>0</v>
      </c>
      <c r="F292" s="145">
        <f t="shared" si="88"/>
        <v>0</v>
      </c>
      <c r="G292" s="145">
        <f t="shared" si="97"/>
        <v>0</v>
      </c>
      <c r="H292" s="145">
        <f t="shared" si="98"/>
        <v>0</v>
      </c>
      <c r="I292" s="145">
        <f t="shared" si="89"/>
        <v>0</v>
      </c>
      <c r="J292" s="145">
        <f t="shared" si="90"/>
        <v>0</v>
      </c>
      <c r="K292" s="142" t="str">
        <f t="shared" si="99"/>
        <v>l</v>
      </c>
      <c r="L292" s="146">
        <f>IFERROR(INDEX(Työkonekanta!$I$3:$I$27,MATCH('S0b Baseline kasvu'!$A292,Työkonekanta!$A$3:$A$24,0),1)*(I292+J292)*f_adblue,0)</f>
        <v>0</v>
      </c>
      <c r="M292" s="146">
        <f t="shared" si="105"/>
        <v>0</v>
      </c>
      <c r="N292" s="143" t="str">
        <f>IF(tuulisähkö_vuosi&lt;='S0b Baseline kasvu'!C292,"tuulisähkö",ostosähkö_nyt)</f>
        <v>jäännössähkö</v>
      </c>
      <c r="O292" s="147">
        <f>INDEX(Muuttujat!$J$5:$J$21,MATCH($C292,Muuttujat!$H$5:$H$21,0),1)</f>
        <v>63.258531840332459</v>
      </c>
      <c r="P292" s="342">
        <f>1-(INDEX(Muuttujat!$O$5:$O$21,MATCH($C292,Muuttujat!$N$5:$N$21,0),1))</f>
        <v>0.9</v>
      </c>
      <c r="Q292" s="342">
        <f>INDEX(Muuttujat!$O$5:$O$21,MATCH($C292,Muuttujat!$N$5:$N$21,0),1)</f>
        <v>0.1</v>
      </c>
      <c r="R292" s="148">
        <f>INDEX(Muuttujat!$P$5:$P$21,MATCH($C292,Muuttujat!$N$5:$N$21,0),1)</f>
        <v>0.10417875759940039</v>
      </c>
      <c r="S292" s="149">
        <f t="shared" si="91"/>
        <v>0</v>
      </c>
      <c r="T292" s="150">
        <f t="shared" si="92"/>
        <v>0</v>
      </c>
      <c r="U292" s="150">
        <f t="shared" si="93"/>
        <v>0</v>
      </c>
      <c r="V292" s="150">
        <f>IFERROR(INDEX(Työkonekanta!$J$3:$J$27,MATCH($A292,Työkonekanta!$A$3:$A$24,0),1)*$B292*ef_li_ion_akku/1000/1000/INDEX(Työkonekanta!$K$3:$K$27,MATCH($A292,Työkonekanta!$A$3:$A$24,0)),0)</f>
        <v>0</v>
      </c>
      <c r="W292" s="149">
        <f t="shared" si="106"/>
        <v>0</v>
      </c>
      <c r="X292" s="150">
        <f t="shared" si="107"/>
        <v>0</v>
      </c>
      <c r="Y292" s="151">
        <f t="shared" si="108"/>
        <v>0</v>
      </c>
      <c r="Z292" s="152">
        <f t="shared" si="100"/>
        <v>0</v>
      </c>
      <c r="AA292" s="179">
        <f t="shared" si="101"/>
        <v>0</v>
      </c>
      <c r="AB292" s="179">
        <f t="shared" si="102"/>
        <v>0</v>
      </c>
      <c r="AC292" s="180">
        <f t="shared" si="109"/>
        <v>0</v>
      </c>
      <c r="AD292" s="156">
        <f t="shared" si="103"/>
        <v>0</v>
      </c>
      <c r="AE292" s="146">
        <f>IFERROR(INDEX(Työkonekanta!$L$3:$L$30,MATCH($A292,Työkonekanta!$A$3:$A$30,0),1),0)*AF292</f>
        <v>0</v>
      </c>
      <c r="AF292" s="146">
        <f>IFERROR(INDEX(Työkonekanta!$N$3:$N$32,MATCH($A292,Työkonekanta!$A$3:$A$32,0),1),0)</f>
        <v>0</v>
      </c>
      <c r="AG292" s="332">
        <f>I292*INDEX(Muuttujat!$U$5:$U$21,MATCH($C292,Muuttujat!$N$5:$N$21,0),1)</f>
        <v>0</v>
      </c>
      <c r="AH292" s="332">
        <f>J292*INDEX(Muuttujat!$T$5:$T$21,MATCH($C292,Muuttujat!$N$5:$N$21,0),1)</f>
        <v>0</v>
      </c>
      <c r="AI292" s="332">
        <f t="shared" si="94"/>
        <v>0</v>
      </c>
      <c r="AJ292" s="332">
        <f t="shared" si="95"/>
        <v>0</v>
      </c>
      <c r="AK292" s="332">
        <f t="shared" si="104"/>
        <v>0</v>
      </c>
      <c r="AL292" s="332">
        <f t="shared" si="96"/>
        <v>0</v>
      </c>
    </row>
    <row r="293" spans="1:38">
      <c r="A293" s="139">
        <v>21</v>
      </c>
      <c r="B293" s="139">
        <f>IFERROR(INDEX(Työkonekanta!$F$3:$F$27,MATCH('S0b Baseline kasvu'!$A293,Työkonekanta!$A$3:$A$24,0),1),0)</f>
        <v>35</v>
      </c>
      <c r="C293" s="140">
        <v>2028</v>
      </c>
      <c r="D293" s="141" t="str">
        <f>IFERROR(INDEX(Työkonekanta!$D$3:$D$27,MATCH('S0b Baseline kasvu'!$A293,Työkonekanta!$A$3:$A$24,0),1),"undefined")</f>
        <v>sähkö</v>
      </c>
      <c r="E293" s="145">
        <f>IFERROR(INDEX(Työkonekanta!$G$3:$G$27,MATCH($A293,Työkonekanta!$A$3:$A$24,0),1)*INDEX(Työkonekanta!$H$3:$H$27,MATCH($A293,Työkonekanta!$A$3:$A$24,0),1)*(1+s0b_kasvu*($C293-2019))*$B293,0)</f>
        <v>443846.99074074073</v>
      </c>
      <c r="F293" s="145">
        <f t="shared" si="88"/>
        <v>0</v>
      </c>
      <c r="G293" s="145">
        <f t="shared" si="97"/>
        <v>0</v>
      </c>
      <c r="H293" s="145">
        <f t="shared" si="98"/>
        <v>0</v>
      </c>
      <c r="I293" s="145">
        <f t="shared" si="89"/>
        <v>0</v>
      </c>
      <c r="J293" s="145">
        <f t="shared" si="90"/>
        <v>0</v>
      </c>
      <c r="K293" s="142" t="str">
        <f t="shared" si="99"/>
        <v>kWh</v>
      </c>
      <c r="L293" s="146">
        <f>IFERROR(INDEX(Työkonekanta!$I$3:$I$27,MATCH('S0b Baseline kasvu'!$A293,Työkonekanta!$A$3:$A$24,0),1)*(I293+J293)*f_adblue,0)</f>
        <v>0</v>
      </c>
      <c r="M293" s="146">
        <f t="shared" si="105"/>
        <v>1597849.1666666667</v>
      </c>
      <c r="N293" s="143" t="str">
        <f>IF(tuulisähkö_vuosi&lt;='S0b Baseline kasvu'!C293,"tuulisähkö",ostosähkö_nyt)</f>
        <v>jäännössähkö</v>
      </c>
      <c r="O293" s="147">
        <f>INDEX(Muuttujat!$J$5:$J$21,MATCH($C293,Muuttujat!$H$5:$H$21,0),1)</f>
        <v>63.258531840332459</v>
      </c>
      <c r="P293" s="342">
        <f>1-(INDEX(Muuttujat!$O$5:$O$21,MATCH($C293,Muuttujat!$N$5:$N$21,0),1))</f>
        <v>0.9</v>
      </c>
      <c r="Q293" s="342">
        <f>INDEX(Muuttujat!$O$5:$O$21,MATCH($C293,Muuttujat!$N$5:$N$21,0),1)</f>
        <v>0.1</v>
      </c>
      <c r="R293" s="148">
        <f>INDEX(Muuttujat!$P$5:$P$21,MATCH($C293,Muuttujat!$N$5:$N$21,0),1)</f>
        <v>0.10417875759940039</v>
      </c>
      <c r="S293" s="149">
        <f t="shared" si="91"/>
        <v>0</v>
      </c>
      <c r="T293" s="150">
        <f t="shared" si="92"/>
        <v>0</v>
      </c>
      <c r="U293" s="150">
        <f t="shared" si="93"/>
        <v>101.07759238563203</v>
      </c>
      <c r="V293" s="150">
        <f>IFERROR(INDEX(Työkonekanta!$J$3:$J$27,MATCH($A293,Työkonekanta!$A$3:$A$24,0),1)*$B293*ef_li_ion_akku/1000/1000/INDEX(Työkonekanta!$K$3:$K$27,MATCH($A293,Työkonekanta!$A$3:$A$24,0)),0)</f>
        <v>43.121723076923082</v>
      </c>
      <c r="W293" s="149">
        <f t="shared" si="106"/>
        <v>0</v>
      </c>
      <c r="X293" s="150">
        <f t="shared" si="107"/>
        <v>0</v>
      </c>
      <c r="Y293" s="151">
        <f t="shared" si="108"/>
        <v>0</v>
      </c>
      <c r="Z293" s="152">
        <f t="shared" si="100"/>
        <v>144.19931546255512</v>
      </c>
      <c r="AA293" s="179">
        <f t="shared" si="101"/>
        <v>0</v>
      </c>
      <c r="AB293" s="179">
        <f t="shared" si="102"/>
        <v>0</v>
      </c>
      <c r="AC293" s="180">
        <f t="shared" si="109"/>
        <v>144.19931546255512</v>
      </c>
      <c r="AD293" s="156">
        <f t="shared" si="103"/>
        <v>144.19931546255512</v>
      </c>
      <c r="AE293" s="146">
        <f>IFERROR(INDEX(Työkonekanta!$L$3:$L$30,MATCH($A293,Työkonekanta!$A$3:$A$30,0),1),0)*AF293</f>
        <v>1820000</v>
      </c>
      <c r="AF293" s="146">
        <f>IFERROR(INDEX(Työkonekanta!$N$3:$N$32,MATCH($A293,Työkonekanta!$A$3:$A$32,0),1),0)</f>
        <v>7</v>
      </c>
      <c r="AG293" s="332">
        <f>I293*INDEX(Muuttujat!$U$5:$U$21,MATCH($C293,Muuttujat!$N$5:$N$21,0),1)</f>
        <v>0</v>
      </c>
      <c r="AH293" s="332">
        <f>J293*INDEX(Muuttujat!$T$5:$T$21,MATCH($C293,Muuttujat!$N$5:$N$21,0),1)</f>
        <v>0</v>
      </c>
      <c r="AI293" s="332">
        <f t="shared" si="94"/>
        <v>0</v>
      </c>
      <c r="AJ293" s="332">
        <f t="shared" si="95"/>
        <v>39280.458680555559</v>
      </c>
      <c r="AK293" s="332">
        <f t="shared" si="104"/>
        <v>39280.458680555559</v>
      </c>
      <c r="AL293" s="332">
        <f t="shared" si="96"/>
        <v>1122.2988194444445</v>
      </c>
    </row>
    <row r="294" spans="1:38">
      <c r="A294" s="139">
        <v>22</v>
      </c>
      <c r="B294" s="139">
        <f>IFERROR(INDEX(Työkonekanta!$F$3:$F$27,MATCH('S0b Baseline kasvu'!$A294,Työkonekanta!$A$3:$A$24,0),1),0)</f>
        <v>0</v>
      </c>
      <c r="C294" s="140">
        <v>2028</v>
      </c>
      <c r="D294" s="141" t="str">
        <f>IFERROR(INDEX(Työkonekanta!$D$3:$D$27,MATCH('S0b Baseline kasvu'!$A294,Työkonekanta!$A$3:$A$24,0),1),"undefined")</f>
        <v>sähkö</v>
      </c>
      <c r="E294" s="145">
        <f>IFERROR(INDEX(Työkonekanta!$G$3:$G$27,MATCH($A294,Työkonekanta!$A$3:$A$24,0),1)*INDEX(Työkonekanta!$H$3:$H$27,MATCH($A294,Työkonekanta!$A$3:$A$24,0),1)*(1+s0b_kasvu*($C294-2019))*$B294,0)</f>
        <v>0</v>
      </c>
      <c r="F294" s="145">
        <f t="shared" si="88"/>
        <v>0</v>
      </c>
      <c r="G294" s="145">
        <f t="shared" si="97"/>
        <v>0</v>
      </c>
      <c r="H294" s="145">
        <f t="shared" si="98"/>
        <v>0</v>
      </c>
      <c r="I294" s="145">
        <f t="shared" si="89"/>
        <v>0</v>
      </c>
      <c r="J294" s="145">
        <f t="shared" si="90"/>
        <v>0</v>
      </c>
      <c r="K294" s="142" t="str">
        <f t="shared" si="99"/>
        <v>kWh</v>
      </c>
      <c r="L294" s="146">
        <f>IFERROR(INDEX(Työkonekanta!$I$3:$I$27,MATCH('S0b Baseline kasvu'!$A294,Työkonekanta!$A$3:$A$24,0),1)*(I294+J294)*f_adblue,0)</f>
        <v>0</v>
      </c>
      <c r="M294" s="146">
        <f t="shared" si="105"/>
        <v>0</v>
      </c>
      <c r="N294" s="143" t="str">
        <f>IF(tuulisähkö_vuosi&lt;='S0b Baseline kasvu'!C294,"tuulisähkö",ostosähkö_nyt)</f>
        <v>jäännössähkö</v>
      </c>
      <c r="O294" s="147">
        <f>INDEX(Muuttujat!$J$5:$J$21,MATCH($C294,Muuttujat!$H$5:$H$21,0),1)</f>
        <v>63.258531840332459</v>
      </c>
      <c r="P294" s="342">
        <f>1-(INDEX(Muuttujat!$O$5:$O$21,MATCH($C294,Muuttujat!$N$5:$N$21,0),1))</f>
        <v>0.9</v>
      </c>
      <c r="Q294" s="342">
        <f>INDEX(Muuttujat!$O$5:$O$21,MATCH($C294,Muuttujat!$N$5:$N$21,0),1)</f>
        <v>0.1</v>
      </c>
      <c r="R294" s="148">
        <f>INDEX(Muuttujat!$P$5:$P$21,MATCH($C294,Muuttujat!$N$5:$N$21,0),1)</f>
        <v>0.10417875759940039</v>
      </c>
      <c r="S294" s="149">
        <f t="shared" si="91"/>
        <v>0</v>
      </c>
      <c r="T294" s="150">
        <f t="shared" si="92"/>
        <v>0</v>
      </c>
      <c r="U294" s="150">
        <f t="shared" si="93"/>
        <v>0</v>
      </c>
      <c r="V294" s="150">
        <f>IFERROR(INDEX(Työkonekanta!$J$3:$J$27,MATCH($A294,Työkonekanta!$A$3:$A$24,0),1)*$B294*ef_li_ion_akku/1000/1000/INDEX(Työkonekanta!$K$3:$K$27,MATCH($A294,Työkonekanta!$A$3:$A$24,0)),0)</f>
        <v>0</v>
      </c>
      <c r="W294" s="149">
        <f t="shared" si="106"/>
        <v>0</v>
      </c>
      <c r="X294" s="150">
        <f t="shared" si="107"/>
        <v>0</v>
      </c>
      <c r="Y294" s="151">
        <f t="shared" si="108"/>
        <v>0</v>
      </c>
      <c r="Z294" s="152">
        <f t="shared" si="100"/>
        <v>0</v>
      </c>
      <c r="AA294" s="179">
        <f t="shared" si="101"/>
        <v>0</v>
      </c>
      <c r="AB294" s="179">
        <f t="shared" si="102"/>
        <v>0</v>
      </c>
      <c r="AC294" s="180">
        <f t="shared" si="109"/>
        <v>0</v>
      </c>
      <c r="AD294" s="156">
        <f t="shared" si="103"/>
        <v>0</v>
      </c>
      <c r="AE294" s="146">
        <f>IFERROR(INDEX(Työkonekanta!$L$3:$L$30,MATCH($A294,Työkonekanta!$A$3:$A$30,0),1),0)*AF294</f>
        <v>0</v>
      </c>
      <c r="AF294" s="146">
        <f>IFERROR(INDEX(Työkonekanta!$N$3:$N$32,MATCH($A294,Työkonekanta!$A$3:$A$32,0),1),0)</f>
        <v>0</v>
      </c>
      <c r="AG294" s="332">
        <f>I294*INDEX(Muuttujat!$U$5:$U$21,MATCH($C294,Muuttujat!$N$5:$N$21,0),1)</f>
        <v>0</v>
      </c>
      <c r="AH294" s="332">
        <f>J294*INDEX(Muuttujat!$T$5:$T$21,MATCH($C294,Muuttujat!$N$5:$N$21,0),1)</f>
        <v>0</v>
      </c>
      <c r="AI294" s="332">
        <f t="shared" si="94"/>
        <v>0</v>
      </c>
      <c r="AJ294" s="332">
        <f t="shared" si="95"/>
        <v>0</v>
      </c>
      <c r="AK294" s="332">
        <f t="shared" si="104"/>
        <v>0</v>
      </c>
      <c r="AL294" s="332">
        <f t="shared" si="96"/>
        <v>0</v>
      </c>
    </row>
    <row r="295" spans="1:38">
      <c r="A295" s="139">
        <v>23</v>
      </c>
      <c r="B295" s="139">
        <f>IFERROR(INDEX(Työkonekanta!$F$3:$F$27,MATCH('S0b Baseline kasvu'!$A295,Työkonekanta!$A$3:$A$24,0),1),0)</f>
        <v>0</v>
      </c>
      <c r="C295" s="140">
        <v>2028</v>
      </c>
      <c r="D295" s="141" t="str">
        <f>IFERROR(INDEX(Työkonekanta!$D$3:$D$27,MATCH('S0b Baseline kasvu'!$A295,Työkonekanta!$A$3:$A$24,0),1),"undefined")</f>
        <v>undefined</v>
      </c>
      <c r="E295" s="145">
        <f>IFERROR(INDEX(Työkonekanta!$G$3:$G$27,MATCH($A295,Työkonekanta!$A$3:$A$24,0),1)*INDEX(Työkonekanta!$H$3:$H$27,MATCH($A295,Työkonekanta!$A$3:$A$24,0),1)*(1+s0b_kasvu*($C295-2019))*$B295,0)</f>
        <v>0</v>
      </c>
      <c r="F295" s="145">
        <f t="shared" si="88"/>
        <v>0</v>
      </c>
      <c r="G295" s="145">
        <f t="shared" si="97"/>
        <v>0</v>
      </c>
      <c r="H295" s="145">
        <f t="shared" si="98"/>
        <v>0</v>
      </c>
      <c r="I295" s="145">
        <f t="shared" si="89"/>
        <v>0</v>
      </c>
      <c r="J295" s="145">
        <f t="shared" si="90"/>
        <v>0</v>
      </c>
      <c r="K295" s="142" t="str">
        <f t="shared" si="99"/>
        <v>undefined</v>
      </c>
      <c r="L295" s="146">
        <f>IFERROR(INDEX(Työkonekanta!$I$3:$I$27,MATCH('S0b Baseline kasvu'!$A295,Työkonekanta!$A$3:$A$24,0),1)*(I295+J295)*f_adblue,0)</f>
        <v>0</v>
      </c>
      <c r="M295" s="146">
        <f t="shared" si="105"/>
        <v>0</v>
      </c>
      <c r="N295" s="143" t="str">
        <f>IF(tuulisähkö_vuosi&lt;='S0b Baseline kasvu'!C295,"tuulisähkö",ostosähkö_nyt)</f>
        <v>jäännössähkö</v>
      </c>
      <c r="O295" s="147">
        <f>INDEX(Muuttujat!$J$5:$J$21,MATCH($C295,Muuttujat!$H$5:$H$21,0),1)</f>
        <v>63.258531840332459</v>
      </c>
      <c r="P295" s="342">
        <f>1-(INDEX(Muuttujat!$O$5:$O$21,MATCH($C295,Muuttujat!$N$5:$N$21,0),1))</f>
        <v>0.9</v>
      </c>
      <c r="Q295" s="342">
        <f>INDEX(Muuttujat!$O$5:$O$21,MATCH($C295,Muuttujat!$N$5:$N$21,0),1)</f>
        <v>0.1</v>
      </c>
      <c r="R295" s="148">
        <f>INDEX(Muuttujat!$P$5:$P$21,MATCH($C295,Muuttujat!$N$5:$N$21,0),1)</f>
        <v>0.10417875759940039</v>
      </c>
      <c r="S295" s="149">
        <f t="shared" si="91"/>
        <v>0</v>
      </c>
      <c r="T295" s="150">
        <f t="shared" si="92"/>
        <v>0</v>
      </c>
      <c r="U295" s="150">
        <f t="shared" si="93"/>
        <v>0</v>
      </c>
      <c r="V295" s="150">
        <f>IFERROR(INDEX(Työkonekanta!$J$3:$J$27,MATCH($A295,Työkonekanta!$A$3:$A$24,0),1)*$B295*ef_li_ion_akku/1000/1000/INDEX(Työkonekanta!$K$3:$K$27,MATCH($A295,Työkonekanta!$A$3:$A$24,0)),0)</f>
        <v>0</v>
      </c>
      <c r="W295" s="149">
        <f t="shared" si="106"/>
        <v>0</v>
      </c>
      <c r="X295" s="150">
        <f t="shared" si="107"/>
        <v>0</v>
      </c>
      <c r="Y295" s="151">
        <f t="shared" si="108"/>
        <v>0</v>
      </c>
      <c r="Z295" s="152">
        <f t="shared" si="100"/>
        <v>0</v>
      </c>
      <c r="AA295" s="179">
        <f t="shared" si="101"/>
        <v>0</v>
      </c>
      <c r="AB295" s="179">
        <f t="shared" si="102"/>
        <v>0</v>
      </c>
      <c r="AC295" s="180">
        <f t="shared" si="109"/>
        <v>0</v>
      </c>
      <c r="AD295" s="156">
        <f t="shared" si="103"/>
        <v>0</v>
      </c>
      <c r="AE295" s="146">
        <f>IFERROR(INDEX(Työkonekanta!$L$3:$L$30,MATCH($A295,Työkonekanta!$A$3:$A$30,0),1),0)*AF295</f>
        <v>0</v>
      </c>
      <c r="AF295" s="146">
        <f>IFERROR(INDEX(Työkonekanta!$N$3:$N$32,MATCH($A295,Työkonekanta!$A$3:$A$32,0),1),0)</f>
        <v>0</v>
      </c>
      <c r="AG295" s="332">
        <f>I295*INDEX(Muuttujat!$U$5:$U$21,MATCH($C295,Muuttujat!$N$5:$N$21,0),1)</f>
        <v>0</v>
      </c>
      <c r="AH295" s="332">
        <f>J295*INDEX(Muuttujat!$T$5:$T$21,MATCH($C295,Muuttujat!$N$5:$N$21,0),1)</f>
        <v>0</v>
      </c>
      <c r="AI295" s="332">
        <f t="shared" si="94"/>
        <v>0</v>
      </c>
      <c r="AJ295" s="332">
        <f t="shared" si="95"/>
        <v>0</v>
      </c>
      <c r="AK295" s="332">
        <f t="shared" si="104"/>
        <v>0</v>
      </c>
      <c r="AL295" s="332">
        <f t="shared" si="96"/>
        <v>0</v>
      </c>
    </row>
    <row r="296" spans="1:38">
      <c r="A296" s="139">
        <v>24</v>
      </c>
      <c r="B296" s="139">
        <f>IFERROR(INDEX(Työkonekanta!$F$3:$F$27,MATCH('S0b Baseline kasvu'!$A296,Työkonekanta!$A$3:$A$24,0),1),0)</f>
        <v>0</v>
      </c>
      <c r="C296" s="140">
        <v>2028</v>
      </c>
      <c r="D296" s="141" t="str">
        <f>IFERROR(INDEX(Työkonekanta!$D$3:$D$27,MATCH('S0b Baseline kasvu'!$A296,Työkonekanta!$A$3:$A$24,0),1),"undefined")</f>
        <v>undefined</v>
      </c>
      <c r="E296" s="145">
        <f>IFERROR(INDEX(Työkonekanta!$G$3:$G$27,MATCH($A296,Työkonekanta!$A$3:$A$24,0),1)*INDEX(Työkonekanta!$H$3:$H$27,MATCH($A296,Työkonekanta!$A$3:$A$24,0),1)*(1+s0b_kasvu*($C296-2019))*$B296,0)</f>
        <v>0</v>
      </c>
      <c r="F296" s="145">
        <f t="shared" si="88"/>
        <v>0</v>
      </c>
      <c r="G296" s="145">
        <f t="shared" si="97"/>
        <v>0</v>
      </c>
      <c r="H296" s="145">
        <f t="shared" si="98"/>
        <v>0</v>
      </c>
      <c r="I296" s="145">
        <f t="shared" si="89"/>
        <v>0</v>
      </c>
      <c r="J296" s="145">
        <f t="shared" si="90"/>
        <v>0</v>
      </c>
      <c r="K296" s="142" t="str">
        <f t="shared" si="99"/>
        <v>undefined</v>
      </c>
      <c r="L296" s="146">
        <f>IFERROR(INDEX(Työkonekanta!$I$3:$I$27,MATCH('S0b Baseline kasvu'!$A296,Työkonekanta!$A$3:$A$24,0),1)*(I296+J296)*f_adblue,0)</f>
        <v>0</v>
      </c>
      <c r="M296" s="146">
        <f t="shared" si="105"/>
        <v>0</v>
      </c>
      <c r="N296" s="143" t="str">
        <f>IF(tuulisähkö_vuosi&lt;='S0b Baseline kasvu'!C296,"tuulisähkö",ostosähkö_nyt)</f>
        <v>jäännössähkö</v>
      </c>
      <c r="O296" s="147">
        <f>INDEX(Muuttujat!$J$5:$J$21,MATCH($C296,Muuttujat!$H$5:$H$21,0),1)</f>
        <v>63.258531840332459</v>
      </c>
      <c r="P296" s="342">
        <f>1-(INDEX(Muuttujat!$O$5:$O$21,MATCH($C296,Muuttujat!$N$5:$N$21,0),1))</f>
        <v>0.9</v>
      </c>
      <c r="Q296" s="342">
        <f>INDEX(Muuttujat!$O$5:$O$21,MATCH($C296,Muuttujat!$N$5:$N$21,0),1)</f>
        <v>0.1</v>
      </c>
      <c r="R296" s="148">
        <f>INDEX(Muuttujat!$P$5:$P$21,MATCH($C296,Muuttujat!$N$5:$N$21,0),1)</f>
        <v>0.10417875759940039</v>
      </c>
      <c r="S296" s="149">
        <f t="shared" si="91"/>
        <v>0</v>
      </c>
      <c r="T296" s="150">
        <f t="shared" si="92"/>
        <v>0</v>
      </c>
      <c r="U296" s="150">
        <f t="shared" si="93"/>
        <v>0</v>
      </c>
      <c r="V296" s="150">
        <f>IFERROR(INDEX(Työkonekanta!$J$3:$J$27,MATCH($A296,Työkonekanta!$A$3:$A$24,0),1)*$B296*ef_li_ion_akku/1000/1000/INDEX(Työkonekanta!$K$3:$K$27,MATCH($A296,Työkonekanta!$A$3:$A$24,0)),0)</f>
        <v>0</v>
      </c>
      <c r="W296" s="149">
        <f t="shared" si="106"/>
        <v>0</v>
      </c>
      <c r="X296" s="150">
        <f t="shared" si="107"/>
        <v>0</v>
      </c>
      <c r="Y296" s="151">
        <f t="shared" si="108"/>
        <v>0</v>
      </c>
      <c r="Z296" s="152">
        <f t="shared" si="100"/>
        <v>0</v>
      </c>
      <c r="AA296" s="179">
        <f t="shared" si="101"/>
        <v>0</v>
      </c>
      <c r="AB296" s="179">
        <f t="shared" si="102"/>
        <v>0</v>
      </c>
      <c r="AC296" s="180">
        <f t="shared" si="109"/>
        <v>0</v>
      </c>
      <c r="AD296" s="156">
        <f t="shared" si="103"/>
        <v>0</v>
      </c>
      <c r="AE296" s="146">
        <f>IFERROR(INDEX(Työkonekanta!$L$3:$L$30,MATCH($A296,Työkonekanta!$A$3:$A$30,0),1),0)*AF296</f>
        <v>0</v>
      </c>
      <c r="AF296" s="146">
        <f>IFERROR(INDEX(Työkonekanta!$N$3:$N$32,MATCH($A296,Työkonekanta!$A$3:$A$32,0),1),0)</f>
        <v>0</v>
      </c>
      <c r="AG296" s="332">
        <f>I296*INDEX(Muuttujat!$U$5:$U$21,MATCH($C296,Muuttujat!$N$5:$N$21,0),1)</f>
        <v>0</v>
      </c>
      <c r="AH296" s="332">
        <f>J296*INDEX(Muuttujat!$T$5:$T$21,MATCH($C296,Muuttujat!$N$5:$N$21,0),1)</f>
        <v>0</v>
      </c>
      <c r="AI296" s="332">
        <f t="shared" si="94"/>
        <v>0</v>
      </c>
      <c r="AJ296" s="332">
        <f t="shared" si="95"/>
        <v>0</v>
      </c>
      <c r="AK296" s="332">
        <f t="shared" si="104"/>
        <v>0</v>
      </c>
      <c r="AL296" s="332">
        <f t="shared" si="96"/>
        <v>0</v>
      </c>
    </row>
    <row r="297" spans="1:38">
      <c r="A297" s="139">
        <v>25</v>
      </c>
      <c r="B297" s="139">
        <f>IFERROR(INDEX(Työkonekanta!$F$3:$F$27,MATCH('S0b Baseline kasvu'!$A297,Työkonekanta!$A$3:$A$24,0),1),0)</f>
        <v>0</v>
      </c>
      <c r="C297" s="140">
        <v>2028</v>
      </c>
      <c r="D297" s="141" t="str">
        <f>IFERROR(INDEX(Työkonekanta!$D$3:$D$27,MATCH('S0b Baseline kasvu'!$A297,Työkonekanta!$A$3:$A$24,0),1),"undefined")</f>
        <v>undefined</v>
      </c>
      <c r="E297" s="145">
        <f>IFERROR(INDEX(Työkonekanta!$G$3:$G$27,MATCH($A297,Työkonekanta!$A$3:$A$24,0),1)*INDEX(Työkonekanta!$H$3:$H$27,MATCH($A297,Työkonekanta!$A$3:$A$24,0),1)*(1+s0b_kasvu*($C297-2019))*$B297,0)</f>
        <v>0</v>
      </c>
      <c r="F297" s="145">
        <f t="shared" si="88"/>
        <v>0</v>
      </c>
      <c r="G297" s="145">
        <f t="shared" si="97"/>
        <v>0</v>
      </c>
      <c r="H297" s="145">
        <f t="shared" si="98"/>
        <v>0</v>
      </c>
      <c r="I297" s="145">
        <f t="shared" si="89"/>
        <v>0</v>
      </c>
      <c r="J297" s="145">
        <f t="shared" si="90"/>
        <v>0</v>
      </c>
      <c r="K297" s="142" t="str">
        <f t="shared" si="99"/>
        <v>undefined</v>
      </c>
      <c r="L297" s="146">
        <f>IFERROR(INDEX(Työkonekanta!$I$3:$I$27,MATCH('S0b Baseline kasvu'!$A297,Työkonekanta!$A$3:$A$24,0),1)*(I297+J297)*f_adblue,0)</f>
        <v>0</v>
      </c>
      <c r="M297" s="146">
        <f t="shared" si="105"/>
        <v>0</v>
      </c>
      <c r="N297" s="143" t="str">
        <f>IF(tuulisähkö_vuosi&lt;='S0b Baseline kasvu'!C297,"tuulisähkö",ostosähkö_nyt)</f>
        <v>jäännössähkö</v>
      </c>
      <c r="O297" s="147">
        <f>INDEX(Muuttujat!$J$5:$J$21,MATCH($C297,Muuttujat!$H$5:$H$21,0),1)</f>
        <v>63.258531840332459</v>
      </c>
      <c r="P297" s="342">
        <f>1-(INDEX(Muuttujat!$O$5:$O$21,MATCH($C297,Muuttujat!$N$5:$N$21,0),1))</f>
        <v>0.9</v>
      </c>
      <c r="Q297" s="342">
        <f>INDEX(Muuttujat!$O$5:$O$21,MATCH($C297,Muuttujat!$N$5:$N$21,0),1)</f>
        <v>0.1</v>
      </c>
      <c r="R297" s="148">
        <f>INDEX(Muuttujat!$P$5:$P$21,MATCH($C297,Muuttujat!$N$5:$N$21,0),1)</f>
        <v>0.10417875759940039</v>
      </c>
      <c r="S297" s="149">
        <f t="shared" si="91"/>
        <v>0</v>
      </c>
      <c r="T297" s="150">
        <f t="shared" si="92"/>
        <v>0</v>
      </c>
      <c r="U297" s="150">
        <f t="shared" si="93"/>
        <v>0</v>
      </c>
      <c r="V297" s="150">
        <f>IFERROR(INDEX(Työkonekanta!$J$3:$J$27,MATCH($A297,Työkonekanta!$A$3:$A$24,0),1)*$B297*ef_li_ion_akku/1000/1000/INDEX(Työkonekanta!$K$3:$K$27,MATCH($A297,Työkonekanta!$A$3:$A$24,0)),0)</f>
        <v>0</v>
      </c>
      <c r="W297" s="149">
        <f t="shared" si="106"/>
        <v>0</v>
      </c>
      <c r="X297" s="150">
        <f t="shared" si="107"/>
        <v>0</v>
      </c>
      <c r="Y297" s="151">
        <f t="shared" si="108"/>
        <v>0</v>
      </c>
      <c r="Z297" s="152">
        <f t="shared" si="100"/>
        <v>0</v>
      </c>
      <c r="AA297" s="179">
        <f t="shared" si="101"/>
        <v>0</v>
      </c>
      <c r="AB297" s="179">
        <f t="shared" si="102"/>
        <v>0</v>
      </c>
      <c r="AC297" s="180">
        <f t="shared" si="109"/>
        <v>0</v>
      </c>
      <c r="AD297" s="156">
        <f t="shared" si="103"/>
        <v>0</v>
      </c>
      <c r="AE297" s="146">
        <f>IFERROR(INDEX(Työkonekanta!$L$3:$L$30,MATCH($A297,Työkonekanta!$A$3:$A$30,0),1),0)*AF297</f>
        <v>0</v>
      </c>
      <c r="AF297" s="146">
        <f>IFERROR(INDEX(Työkonekanta!$N$3:$N$32,MATCH($A297,Työkonekanta!$A$3:$A$32,0),1),0)</f>
        <v>0</v>
      </c>
      <c r="AG297" s="332">
        <f>I297*INDEX(Muuttujat!$U$5:$U$21,MATCH($C297,Muuttujat!$N$5:$N$21,0),1)</f>
        <v>0</v>
      </c>
      <c r="AH297" s="332">
        <f>J297*INDEX(Muuttujat!$T$5:$T$21,MATCH($C297,Muuttujat!$N$5:$N$21,0),1)</f>
        <v>0</v>
      </c>
      <c r="AI297" s="332">
        <f t="shared" si="94"/>
        <v>0</v>
      </c>
      <c r="AJ297" s="332">
        <f t="shared" si="95"/>
        <v>0</v>
      </c>
      <c r="AK297" s="332">
        <f t="shared" si="104"/>
        <v>0</v>
      </c>
      <c r="AL297" s="332">
        <f t="shared" si="96"/>
        <v>0</v>
      </c>
    </row>
    <row r="298" spans="1:38">
      <c r="A298" s="139">
        <v>26</v>
      </c>
      <c r="B298" s="139">
        <f>IFERROR(INDEX(Työkonekanta!$F$3:$F$27,MATCH('S0b Baseline kasvu'!$A298,Työkonekanta!$A$3:$A$24,0),1),0)</f>
        <v>0</v>
      </c>
      <c r="C298" s="140">
        <v>2028</v>
      </c>
      <c r="D298" s="141" t="str">
        <f>IFERROR(INDEX(Työkonekanta!$D$3:$D$27,MATCH('S0b Baseline kasvu'!$A298,Työkonekanta!$A$3:$A$24,0),1),"undefined")</f>
        <v>undefined</v>
      </c>
      <c r="E298" s="145">
        <f>IFERROR(INDEX(Työkonekanta!$G$3:$G$27,MATCH($A298,Työkonekanta!$A$3:$A$24,0),1)*INDEX(Työkonekanta!$H$3:$H$27,MATCH($A298,Työkonekanta!$A$3:$A$24,0),1)*(1+s0b_kasvu*($C298-2019))*$B298,0)</f>
        <v>0</v>
      </c>
      <c r="F298" s="145">
        <f t="shared" si="88"/>
        <v>0</v>
      </c>
      <c r="G298" s="145">
        <f t="shared" si="97"/>
        <v>0</v>
      </c>
      <c r="H298" s="145">
        <f t="shared" si="98"/>
        <v>0</v>
      </c>
      <c r="I298" s="145">
        <f t="shared" si="89"/>
        <v>0</v>
      </c>
      <c r="J298" s="145">
        <f t="shared" si="90"/>
        <v>0</v>
      </c>
      <c r="K298" s="142" t="str">
        <f t="shared" si="99"/>
        <v>undefined</v>
      </c>
      <c r="L298" s="146">
        <f>IFERROR(INDEX(Työkonekanta!$I$3:$I$27,MATCH('S0b Baseline kasvu'!$A298,Työkonekanta!$A$3:$A$24,0),1)*(I298+J298)*f_adblue,0)</f>
        <v>0</v>
      </c>
      <c r="M298" s="146">
        <f t="shared" si="105"/>
        <v>0</v>
      </c>
      <c r="N298" s="143" t="str">
        <f>IF(tuulisähkö_vuosi&lt;='S0b Baseline kasvu'!C298,"tuulisähkö",ostosähkö_nyt)</f>
        <v>jäännössähkö</v>
      </c>
      <c r="O298" s="147">
        <f>INDEX(Muuttujat!$J$5:$J$21,MATCH($C298,Muuttujat!$H$5:$H$21,0),1)</f>
        <v>63.258531840332459</v>
      </c>
      <c r="P298" s="342">
        <f>1-(INDEX(Muuttujat!$O$5:$O$21,MATCH($C298,Muuttujat!$N$5:$N$21,0),1))</f>
        <v>0.9</v>
      </c>
      <c r="Q298" s="342">
        <f>INDEX(Muuttujat!$O$5:$O$21,MATCH($C298,Muuttujat!$N$5:$N$21,0),1)</f>
        <v>0.1</v>
      </c>
      <c r="R298" s="148">
        <f>INDEX(Muuttujat!$P$5:$P$21,MATCH($C298,Muuttujat!$N$5:$N$21,0),1)</f>
        <v>0.10417875759940039</v>
      </c>
      <c r="S298" s="149">
        <f t="shared" si="91"/>
        <v>0</v>
      </c>
      <c r="T298" s="150">
        <f t="shared" si="92"/>
        <v>0</v>
      </c>
      <c r="U298" s="150">
        <f t="shared" si="93"/>
        <v>0</v>
      </c>
      <c r="V298" s="150">
        <f>IFERROR(INDEX(Työkonekanta!$J$3:$J$27,MATCH($A298,Työkonekanta!$A$3:$A$24,0),1)*$B298*ef_li_ion_akku/1000/1000/INDEX(Työkonekanta!$K$3:$K$27,MATCH($A298,Työkonekanta!$A$3:$A$24,0)),0)</f>
        <v>0</v>
      </c>
      <c r="W298" s="149">
        <f t="shared" si="106"/>
        <v>0</v>
      </c>
      <c r="X298" s="150">
        <f t="shared" si="107"/>
        <v>0</v>
      </c>
      <c r="Y298" s="151">
        <f t="shared" si="108"/>
        <v>0</v>
      </c>
      <c r="Z298" s="152">
        <f t="shared" si="100"/>
        <v>0</v>
      </c>
      <c r="AA298" s="179">
        <f t="shared" si="101"/>
        <v>0</v>
      </c>
      <c r="AB298" s="179">
        <f t="shared" si="102"/>
        <v>0</v>
      </c>
      <c r="AC298" s="180">
        <f t="shared" si="109"/>
        <v>0</v>
      </c>
      <c r="AD298" s="156">
        <f t="shared" si="103"/>
        <v>0</v>
      </c>
      <c r="AE298" s="146">
        <f>IFERROR(INDEX(Työkonekanta!$L$3:$L$30,MATCH($A298,Työkonekanta!$A$3:$A$30,0),1),0)*AF298</f>
        <v>0</v>
      </c>
      <c r="AF298" s="146">
        <f>IFERROR(INDEX(Työkonekanta!$N$3:$N$32,MATCH($A298,Työkonekanta!$A$3:$A$32,0),1),0)</f>
        <v>0</v>
      </c>
      <c r="AG298" s="332">
        <f>I298*INDEX(Muuttujat!$U$5:$U$21,MATCH($C298,Muuttujat!$N$5:$N$21,0),1)</f>
        <v>0</v>
      </c>
      <c r="AH298" s="332">
        <f>J298*INDEX(Muuttujat!$T$5:$T$21,MATCH($C298,Muuttujat!$N$5:$N$21,0),1)</f>
        <v>0</v>
      </c>
      <c r="AI298" s="332">
        <f t="shared" si="94"/>
        <v>0</v>
      </c>
      <c r="AJ298" s="332">
        <f t="shared" si="95"/>
        <v>0</v>
      </c>
      <c r="AK298" s="332">
        <f t="shared" si="104"/>
        <v>0</v>
      </c>
      <c r="AL298" s="332">
        <f t="shared" si="96"/>
        <v>0</v>
      </c>
    </row>
    <row r="299" spans="1:38">
      <c r="A299" s="139">
        <v>27</v>
      </c>
      <c r="B299" s="139">
        <f>IFERROR(INDEX(Työkonekanta!$F$3:$F$27,MATCH('S0b Baseline kasvu'!$A299,Työkonekanta!$A$3:$A$24,0),1),0)</f>
        <v>0</v>
      </c>
      <c r="C299" s="140">
        <v>2028</v>
      </c>
      <c r="D299" s="141" t="str">
        <f>IFERROR(INDEX(Työkonekanta!$D$3:$D$27,MATCH('S0b Baseline kasvu'!$A299,Työkonekanta!$A$3:$A$24,0),1),"undefined")</f>
        <v>undefined</v>
      </c>
      <c r="E299" s="145">
        <f>IFERROR(INDEX(Työkonekanta!$G$3:$G$27,MATCH($A299,Työkonekanta!$A$3:$A$24,0),1)*INDEX(Työkonekanta!$H$3:$H$27,MATCH($A299,Työkonekanta!$A$3:$A$24,0),1)*(1+s0b_kasvu*($C299-2019))*$B299,0)</f>
        <v>0</v>
      </c>
      <c r="F299" s="145">
        <f t="shared" si="88"/>
        <v>0</v>
      </c>
      <c r="G299" s="145">
        <f t="shared" si="97"/>
        <v>0</v>
      </c>
      <c r="H299" s="145">
        <f t="shared" si="98"/>
        <v>0</v>
      </c>
      <c r="I299" s="145">
        <f t="shared" si="89"/>
        <v>0</v>
      </c>
      <c r="J299" s="145">
        <f t="shared" si="90"/>
        <v>0</v>
      </c>
      <c r="K299" s="142" t="str">
        <f t="shared" si="99"/>
        <v>undefined</v>
      </c>
      <c r="L299" s="146">
        <f>IFERROR(INDEX(Työkonekanta!$I$3:$I$27,MATCH('S0b Baseline kasvu'!$A299,Työkonekanta!$A$3:$A$24,0),1)*(I299+J299)*f_adblue,0)</f>
        <v>0</v>
      </c>
      <c r="M299" s="146">
        <f t="shared" si="105"/>
        <v>0</v>
      </c>
      <c r="N299" s="143" t="str">
        <f>IF(tuulisähkö_vuosi&lt;='S0b Baseline kasvu'!C299,"tuulisähkö",ostosähkö_nyt)</f>
        <v>jäännössähkö</v>
      </c>
      <c r="O299" s="147">
        <f>INDEX(Muuttujat!$J$5:$J$21,MATCH($C299,Muuttujat!$H$5:$H$21,0),1)</f>
        <v>63.258531840332459</v>
      </c>
      <c r="P299" s="342">
        <f>1-(INDEX(Muuttujat!$O$5:$O$21,MATCH($C299,Muuttujat!$N$5:$N$21,0),1))</f>
        <v>0.9</v>
      </c>
      <c r="Q299" s="342">
        <f>INDEX(Muuttujat!$O$5:$O$21,MATCH($C299,Muuttujat!$N$5:$N$21,0),1)</f>
        <v>0.1</v>
      </c>
      <c r="R299" s="148">
        <f>INDEX(Muuttujat!$P$5:$P$21,MATCH($C299,Muuttujat!$N$5:$N$21,0),1)</f>
        <v>0.10417875759940039</v>
      </c>
      <c r="S299" s="149">
        <f t="shared" si="91"/>
        <v>0</v>
      </c>
      <c r="T299" s="150">
        <f t="shared" si="92"/>
        <v>0</v>
      </c>
      <c r="U299" s="150">
        <f t="shared" si="93"/>
        <v>0</v>
      </c>
      <c r="V299" s="150">
        <f>IFERROR(INDEX(Työkonekanta!$J$3:$J$27,MATCH($A299,Työkonekanta!$A$3:$A$24,0),1)*$B299*ef_li_ion_akku/1000/1000/INDEX(Työkonekanta!$K$3:$K$27,MATCH($A299,Työkonekanta!$A$3:$A$24,0)),0)</f>
        <v>0</v>
      </c>
      <c r="W299" s="149">
        <f t="shared" si="106"/>
        <v>0</v>
      </c>
      <c r="X299" s="150">
        <f t="shared" si="107"/>
        <v>0</v>
      </c>
      <c r="Y299" s="151">
        <f t="shared" si="108"/>
        <v>0</v>
      </c>
      <c r="Z299" s="152">
        <f t="shared" si="100"/>
        <v>0</v>
      </c>
      <c r="AA299" s="179">
        <f t="shared" si="101"/>
        <v>0</v>
      </c>
      <c r="AB299" s="179">
        <f t="shared" si="102"/>
        <v>0</v>
      </c>
      <c r="AC299" s="180">
        <f t="shared" si="109"/>
        <v>0</v>
      </c>
      <c r="AD299" s="156">
        <f t="shared" si="103"/>
        <v>0</v>
      </c>
      <c r="AE299" s="146">
        <f>IFERROR(INDEX(Työkonekanta!$L$3:$L$30,MATCH($A299,Työkonekanta!$A$3:$A$30,0),1),0)*AF299</f>
        <v>0</v>
      </c>
      <c r="AF299" s="146">
        <f>IFERROR(INDEX(Työkonekanta!$N$3:$N$32,MATCH($A299,Työkonekanta!$A$3:$A$32,0),1),0)</f>
        <v>0</v>
      </c>
      <c r="AG299" s="332">
        <f>I299*INDEX(Muuttujat!$U$5:$U$21,MATCH($C299,Muuttujat!$N$5:$N$21,0),1)</f>
        <v>0</v>
      </c>
      <c r="AH299" s="332">
        <f>J299*INDEX(Muuttujat!$T$5:$T$21,MATCH($C299,Muuttujat!$N$5:$N$21,0),1)</f>
        <v>0</v>
      </c>
      <c r="AI299" s="332">
        <f t="shared" si="94"/>
        <v>0</v>
      </c>
      <c r="AJ299" s="332">
        <f t="shared" si="95"/>
        <v>0</v>
      </c>
      <c r="AK299" s="332">
        <f t="shared" si="104"/>
        <v>0</v>
      </c>
      <c r="AL299" s="332">
        <f t="shared" si="96"/>
        <v>0</v>
      </c>
    </row>
    <row r="300" spans="1:38">
      <c r="A300" s="139">
        <v>28</v>
      </c>
      <c r="B300" s="139">
        <f>IFERROR(INDEX(Työkonekanta!$F$3:$F$27,MATCH('S0b Baseline kasvu'!$A300,Työkonekanta!$A$3:$A$24,0),1),0)</f>
        <v>0</v>
      </c>
      <c r="C300" s="140">
        <v>2028</v>
      </c>
      <c r="D300" s="141" t="str">
        <f>IFERROR(INDEX(Työkonekanta!$D$3:$D$27,MATCH('S0b Baseline kasvu'!$A300,Työkonekanta!$A$3:$A$24,0),1),"undefined")</f>
        <v>undefined</v>
      </c>
      <c r="E300" s="145">
        <f>IFERROR(INDEX(Työkonekanta!$G$3:$G$27,MATCH($A300,Työkonekanta!$A$3:$A$24,0),1)*INDEX(Työkonekanta!$H$3:$H$27,MATCH($A300,Työkonekanta!$A$3:$A$24,0),1)*(1+s0b_kasvu*($C300-2019))*$B300,0)</f>
        <v>0</v>
      </c>
      <c r="F300" s="145">
        <f t="shared" si="88"/>
        <v>0</v>
      </c>
      <c r="G300" s="145">
        <f t="shared" si="97"/>
        <v>0</v>
      </c>
      <c r="H300" s="145">
        <f t="shared" si="98"/>
        <v>0</v>
      </c>
      <c r="I300" s="145">
        <f t="shared" si="89"/>
        <v>0</v>
      </c>
      <c r="J300" s="145">
        <f t="shared" si="90"/>
        <v>0</v>
      </c>
      <c r="K300" s="142" t="str">
        <f t="shared" si="99"/>
        <v>undefined</v>
      </c>
      <c r="L300" s="146">
        <f>IFERROR(INDEX(Työkonekanta!$I$3:$I$27,MATCH('S0b Baseline kasvu'!$A300,Työkonekanta!$A$3:$A$24,0),1)*(I300+J300)*f_adblue,0)</f>
        <v>0</v>
      </c>
      <c r="M300" s="146">
        <f t="shared" si="105"/>
        <v>0</v>
      </c>
      <c r="N300" s="143" t="str">
        <f>IF(tuulisähkö_vuosi&lt;='S0b Baseline kasvu'!C300,"tuulisähkö",ostosähkö_nyt)</f>
        <v>jäännössähkö</v>
      </c>
      <c r="O300" s="147">
        <f>INDEX(Muuttujat!$J$5:$J$21,MATCH($C300,Muuttujat!$H$5:$H$21,0),1)</f>
        <v>63.258531840332459</v>
      </c>
      <c r="P300" s="342">
        <f>1-(INDEX(Muuttujat!$O$5:$O$21,MATCH($C300,Muuttujat!$N$5:$N$21,0),1))</f>
        <v>0.9</v>
      </c>
      <c r="Q300" s="342">
        <f>INDEX(Muuttujat!$O$5:$O$21,MATCH($C300,Muuttujat!$N$5:$N$21,0),1)</f>
        <v>0.1</v>
      </c>
      <c r="R300" s="148">
        <f>INDEX(Muuttujat!$P$5:$P$21,MATCH($C300,Muuttujat!$N$5:$N$21,0),1)</f>
        <v>0.10417875759940039</v>
      </c>
      <c r="S300" s="149">
        <f t="shared" si="91"/>
        <v>0</v>
      </c>
      <c r="T300" s="150">
        <f t="shared" si="92"/>
        <v>0</v>
      </c>
      <c r="U300" s="150">
        <f t="shared" si="93"/>
        <v>0</v>
      </c>
      <c r="V300" s="150">
        <f>IFERROR(INDEX(Työkonekanta!$J$3:$J$27,MATCH($A300,Työkonekanta!$A$3:$A$24,0),1)*$B300*ef_li_ion_akku/1000/1000/INDEX(Työkonekanta!$K$3:$K$27,MATCH($A300,Työkonekanta!$A$3:$A$24,0)),0)</f>
        <v>0</v>
      </c>
      <c r="W300" s="149">
        <f t="shared" si="106"/>
        <v>0</v>
      </c>
      <c r="X300" s="150">
        <f t="shared" si="107"/>
        <v>0</v>
      </c>
      <c r="Y300" s="151">
        <f t="shared" si="108"/>
        <v>0</v>
      </c>
      <c r="Z300" s="152">
        <f t="shared" si="100"/>
        <v>0</v>
      </c>
      <c r="AA300" s="179">
        <f t="shared" si="101"/>
        <v>0</v>
      </c>
      <c r="AB300" s="179">
        <f t="shared" si="102"/>
        <v>0</v>
      </c>
      <c r="AC300" s="180">
        <f t="shared" si="109"/>
        <v>0</v>
      </c>
      <c r="AD300" s="156">
        <f t="shared" si="103"/>
        <v>0</v>
      </c>
      <c r="AE300" s="146">
        <f>IFERROR(INDEX(Työkonekanta!$L$3:$L$30,MATCH($A300,Työkonekanta!$A$3:$A$30,0),1),0)*AF300</f>
        <v>0</v>
      </c>
      <c r="AF300" s="146">
        <f>IFERROR(INDEX(Työkonekanta!$N$3:$N$32,MATCH($A300,Työkonekanta!$A$3:$A$32,0),1),0)</f>
        <v>0</v>
      </c>
      <c r="AG300" s="332">
        <f>I300*INDEX(Muuttujat!$U$5:$U$21,MATCH($C300,Muuttujat!$N$5:$N$21,0),1)</f>
        <v>0</v>
      </c>
      <c r="AH300" s="332">
        <f>J300*INDEX(Muuttujat!$T$5:$T$21,MATCH($C300,Muuttujat!$N$5:$N$21,0),1)</f>
        <v>0</v>
      </c>
      <c r="AI300" s="332">
        <f t="shared" si="94"/>
        <v>0</v>
      </c>
      <c r="AJ300" s="332">
        <f t="shared" si="95"/>
        <v>0</v>
      </c>
      <c r="AK300" s="332">
        <f t="shared" si="104"/>
        <v>0</v>
      </c>
      <c r="AL300" s="332">
        <f t="shared" si="96"/>
        <v>0</v>
      </c>
    </row>
    <row r="301" spans="1:38">
      <c r="A301" s="139">
        <v>29</v>
      </c>
      <c r="B301" s="139">
        <f>IFERROR(INDEX(Työkonekanta!$F$3:$F$27,MATCH('S0b Baseline kasvu'!$A301,Työkonekanta!$A$3:$A$24,0),1),0)</f>
        <v>0</v>
      </c>
      <c r="C301" s="140">
        <v>2028</v>
      </c>
      <c r="D301" s="141" t="str">
        <f>IFERROR(INDEX(Työkonekanta!$D$3:$D$27,MATCH('S0b Baseline kasvu'!$A301,Työkonekanta!$A$3:$A$24,0),1),"undefined")</f>
        <v>undefined</v>
      </c>
      <c r="E301" s="145">
        <f>IFERROR(INDEX(Työkonekanta!$G$3:$G$27,MATCH($A301,Työkonekanta!$A$3:$A$24,0),1)*INDEX(Työkonekanta!$H$3:$H$27,MATCH($A301,Työkonekanta!$A$3:$A$24,0),1)*(1+s0b_kasvu*($C301-2019))*$B301,0)</f>
        <v>0</v>
      </c>
      <c r="F301" s="145">
        <f t="shared" si="88"/>
        <v>0</v>
      </c>
      <c r="G301" s="145">
        <f t="shared" si="97"/>
        <v>0</v>
      </c>
      <c r="H301" s="145">
        <f t="shared" si="98"/>
        <v>0</v>
      </c>
      <c r="I301" s="145">
        <f t="shared" si="89"/>
        <v>0</v>
      </c>
      <c r="J301" s="145">
        <f t="shared" si="90"/>
        <v>0</v>
      </c>
      <c r="K301" s="142" t="str">
        <f t="shared" si="99"/>
        <v>undefined</v>
      </c>
      <c r="L301" s="146">
        <f>IFERROR(INDEX(Työkonekanta!$I$3:$I$27,MATCH('S0b Baseline kasvu'!$A301,Työkonekanta!$A$3:$A$24,0),1)*(I301+J301)*f_adblue,0)</f>
        <v>0</v>
      </c>
      <c r="M301" s="146">
        <f t="shared" si="105"/>
        <v>0</v>
      </c>
      <c r="N301" s="143" t="str">
        <f>IF(tuulisähkö_vuosi&lt;='S0b Baseline kasvu'!C301,"tuulisähkö",ostosähkö_nyt)</f>
        <v>jäännössähkö</v>
      </c>
      <c r="O301" s="147">
        <f>INDEX(Muuttujat!$J$5:$J$21,MATCH($C301,Muuttujat!$H$5:$H$21,0),1)</f>
        <v>63.258531840332459</v>
      </c>
      <c r="P301" s="342">
        <f>1-(INDEX(Muuttujat!$O$5:$O$21,MATCH($C301,Muuttujat!$N$5:$N$21,0),1))</f>
        <v>0.9</v>
      </c>
      <c r="Q301" s="342">
        <f>INDEX(Muuttujat!$O$5:$O$21,MATCH($C301,Muuttujat!$N$5:$N$21,0),1)</f>
        <v>0.1</v>
      </c>
      <c r="R301" s="148">
        <f>INDEX(Muuttujat!$P$5:$P$21,MATCH($C301,Muuttujat!$N$5:$N$21,0),1)</f>
        <v>0.10417875759940039</v>
      </c>
      <c r="S301" s="149">
        <f t="shared" si="91"/>
        <v>0</v>
      </c>
      <c r="T301" s="150">
        <f t="shared" si="92"/>
        <v>0</v>
      </c>
      <c r="U301" s="150">
        <f t="shared" si="93"/>
        <v>0</v>
      </c>
      <c r="V301" s="150">
        <f>IFERROR(INDEX(Työkonekanta!$J$3:$J$27,MATCH($A301,Työkonekanta!$A$3:$A$24,0),1)*$B301*ef_li_ion_akku/1000/1000/INDEX(Työkonekanta!$K$3:$K$27,MATCH($A301,Työkonekanta!$A$3:$A$24,0)),0)</f>
        <v>0</v>
      </c>
      <c r="W301" s="149">
        <f t="shared" si="106"/>
        <v>0</v>
      </c>
      <c r="X301" s="150">
        <f t="shared" si="107"/>
        <v>0</v>
      </c>
      <c r="Y301" s="151">
        <f t="shared" si="108"/>
        <v>0</v>
      </c>
      <c r="Z301" s="152">
        <f t="shared" si="100"/>
        <v>0</v>
      </c>
      <c r="AA301" s="179">
        <f t="shared" si="101"/>
        <v>0</v>
      </c>
      <c r="AB301" s="179">
        <f t="shared" si="102"/>
        <v>0</v>
      </c>
      <c r="AC301" s="180">
        <f t="shared" si="109"/>
        <v>0</v>
      </c>
      <c r="AD301" s="156">
        <f t="shared" si="103"/>
        <v>0</v>
      </c>
      <c r="AE301" s="146">
        <f>IFERROR(INDEX(Työkonekanta!$L$3:$L$30,MATCH($A301,Työkonekanta!$A$3:$A$30,0),1),0)*AF301</f>
        <v>0</v>
      </c>
      <c r="AF301" s="146">
        <f>IFERROR(INDEX(Työkonekanta!$N$3:$N$32,MATCH($A301,Työkonekanta!$A$3:$A$32,0),1),0)</f>
        <v>0</v>
      </c>
      <c r="AG301" s="332">
        <f>I301*INDEX(Muuttujat!$U$5:$U$21,MATCH($C301,Muuttujat!$N$5:$N$21,0),1)</f>
        <v>0</v>
      </c>
      <c r="AH301" s="332">
        <f>J301*INDEX(Muuttujat!$T$5:$T$21,MATCH($C301,Muuttujat!$N$5:$N$21,0),1)</f>
        <v>0</v>
      </c>
      <c r="AI301" s="332">
        <f t="shared" si="94"/>
        <v>0</v>
      </c>
      <c r="AJ301" s="332">
        <f t="shared" si="95"/>
        <v>0</v>
      </c>
      <c r="AK301" s="332">
        <f t="shared" si="104"/>
        <v>0</v>
      </c>
      <c r="AL301" s="332">
        <f t="shared" si="96"/>
        <v>0</v>
      </c>
    </row>
    <row r="302" spans="1:38">
      <c r="A302" s="139">
        <v>30</v>
      </c>
      <c r="B302" s="139">
        <f>IFERROR(INDEX(Työkonekanta!$F$3:$F$27,MATCH('S0b Baseline kasvu'!$A302,Työkonekanta!$A$3:$A$24,0),1),0)</f>
        <v>0</v>
      </c>
      <c r="C302" s="140">
        <v>2028</v>
      </c>
      <c r="D302" s="141" t="str">
        <f>IFERROR(INDEX(Työkonekanta!$D$3:$D$27,MATCH('S0b Baseline kasvu'!$A302,Työkonekanta!$A$3:$A$24,0),1),"undefined")</f>
        <v>undefined</v>
      </c>
      <c r="E302" s="145">
        <f>IFERROR(INDEX(Työkonekanta!$G$3:$G$27,MATCH($A302,Työkonekanta!$A$3:$A$24,0),1)*INDEX(Työkonekanta!$H$3:$H$27,MATCH($A302,Työkonekanta!$A$3:$A$24,0),1)*(1+s0b_kasvu*($C302-2019))*$B302,0)</f>
        <v>0</v>
      </c>
      <c r="F302" s="145">
        <f t="shared" si="88"/>
        <v>0</v>
      </c>
      <c r="G302" s="145">
        <f t="shared" si="97"/>
        <v>0</v>
      </c>
      <c r="H302" s="145">
        <f t="shared" si="98"/>
        <v>0</v>
      </c>
      <c r="I302" s="145">
        <f t="shared" si="89"/>
        <v>0</v>
      </c>
      <c r="J302" s="145">
        <f t="shared" si="90"/>
        <v>0</v>
      </c>
      <c r="K302" s="142" t="str">
        <f t="shared" si="99"/>
        <v>undefined</v>
      </c>
      <c r="L302" s="146">
        <f>IFERROR(INDEX(Työkonekanta!$I$3:$I$27,MATCH('S0b Baseline kasvu'!$A302,Työkonekanta!$A$3:$A$24,0),1)*(I302+J302)*f_adblue,0)</f>
        <v>0</v>
      </c>
      <c r="M302" s="146">
        <f t="shared" si="105"/>
        <v>0</v>
      </c>
      <c r="N302" s="143" t="str">
        <f>IF(tuulisähkö_vuosi&lt;='S0b Baseline kasvu'!C302,"tuulisähkö",ostosähkö_nyt)</f>
        <v>jäännössähkö</v>
      </c>
      <c r="O302" s="147">
        <f>INDEX(Muuttujat!$J$5:$J$21,MATCH($C302,Muuttujat!$H$5:$H$21,0),1)</f>
        <v>63.258531840332459</v>
      </c>
      <c r="P302" s="342">
        <f>1-(INDEX(Muuttujat!$O$5:$O$21,MATCH($C302,Muuttujat!$N$5:$N$21,0),1))</f>
        <v>0.9</v>
      </c>
      <c r="Q302" s="342">
        <f>INDEX(Muuttujat!$O$5:$O$21,MATCH($C302,Muuttujat!$N$5:$N$21,0),1)</f>
        <v>0.1</v>
      </c>
      <c r="R302" s="148">
        <f>INDEX(Muuttujat!$P$5:$P$21,MATCH($C302,Muuttujat!$N$5:$N$21,0),1)</f>
        <v>0.10417875759940039</v>
      </c>
      <c r="S302" s="149">
        <f t="shared" si="91"/>
        <v>0</v>
      </c>
      <c r="T302" s="150">
        <f t="shared" si="92"/>
        <v>0</v>
      </c>
      <c r="U302" s="150">
        <f t="shared" si="93"/>
        <v>0</v>
      </c>
      <c r="V302" s="150">
        <f>IFERROR(INDEX(Työkonekanta!$J$3:$J$27,MATCH($A302,Työkonekanta!$A$3:$A$24,0),1)*$B302*ef_li_ion_akku/1000/1000/INDEX(Työkonekanta!$K$3:$K$27,MATCH($A302,Työkonekanta!$A$3:$A$24,0)),0)</f>
        <v>0</v>
      </c>
      <c r="W302" s="149">
        <f t="shared" si="106"/>
        <v>0</v>
      </c>
      <c r="X302" s="150">
        <f t="shared" si="107"/>
        <v>0</v>
      </c>
      <c r="Y302" s="151">
        <f t="shared" si="108"/>
        <v>0</v>
      </c>
      <c r="Z302" s="152">
        <f t="shared" si="100"/>
        <v>0</v>
      </c>
      <c r="AA302" s="179">
        <f t="shared" si="101"/>
        <v>0</v>
      </c>
      <c r="AB302" s="179">
        <f t="shared" si="102"/>
        <v>0</v>
      </c>
      <c r="AC302" s="180">
        <f t="shared" si="109"/>
        <v>0</v>
      </c>
      <c r="AD302" s="156">
        <f t="shared" si="103"/>
        <v>0</v>
      </c>
      <c r="AE302" s="146">
        <f>IFERROR(INDEX(Työkonekanta!$L$3:$L$30,MATCH($A302,Työkonekanta!$A$3:$A$30,0),1),0)*AF302</f>
        <v>0</v>
      </c>
      <c r="AF302" s="146">
        <f>IFERROR(INDEX(Työkonekanta!$N$3:$N$32,MATCH($A302,Työkonekanta!$A$3:$A$32,0),1),0)</f>
        <v>0</v>
      </c>
      <c r="AG302" s="332">
        <f>I302*INDEX(Muuttujat!$U$5:$U$21,MATCH($C302,Muuttujat!$N$5:$N$21,0),1)</f>
        <v>0</v>
      </c>
      <c r="AH302" s="332">
        <f>J302*INDEX(Muuttujat!$T$5:$T$21,MATCH($C302,Muuttujat!$N$5:$N$21,0),1)</f>
        <v>0</v>
      </c>
      <c r="AI302" s="332">
        <f t="shared" si="94"/>
        <v>0</v>
      </c>
      <c r="AJ302" s="332">
        <f t="shared" si="95"/>
        <v>0</v>
      </c>
      <c r="AK302" s="332">
        <f t="shared" si="104"/>
        <v>0</v>
      </c>
      <c r="AL302" s="332">
        <f t="shared" si="96"/>
        <v>0</v>
      </c>
    </row>
    <row r="303" spans="1:38">
      <c r="A303" s="139">
        <v>1</v>
      </c>
      <c r="B303" s="139">
        <f>IFERROR(INDEX(Työkonekanta!$F$3:$F$27,MATCH('S0b Baseline kasvu'!$A303,Työkonekanta!$A$3:$A$24,0),1),0)</f>
        <v>1</v>
      </c>
      <c r="C303" s="140">
        <v>2029</v>
      </c>
      <c r="D303" s="141" t="str">
        <f>IFERROR(INDEX(Työkonekanta!$D$3:$D$27,MATCH('S0b Baseline kasvu'!$A303,Työkonekanta!$A$3:$A$24,0),1),"undefined")</f>
        <v>pom</v>
      </c>
      <c r="E303" s="145">
        <f>IFERROR(INDEX(Työkonekanta!$G$3:$G$27,MATCH($A303,Työkonekanta!$A$3:$A$24,0),1)*INDEX(Työkonekanta!$H$3:$H$27,MATCH($A303,Työkonekanta!$A$3:$A$24,0),1)*(1+s0b_kasvu*($C303-2019))*$B303,0)</f>
        <v>11000</v>
      </c>
      <c r="F303" s="145">
        <f t="shared" si="88"/>
        <v>394900</v>
      </c>
      <c r="G303" s="145">
        <f t="shared" si="97"/>
        <v>355410</v>
      </c>
      <c r="H303" s="145">
        <f t="shared" si="98"/>
        <v>39490</v>
      </c>
      <c r="I303" s="145">
        <f t="shared" si="89"/>
        <v>9900</v>
      </c>
      <c r="J303" s="145">
        <f t="shared" si="90"/>
        <v>1151.3119533527697</v>
      </c>
      <c r="K303" s="142" t="str">
        <f t="shared" si="99"/>
        <v>l</v>
      </c>
      <c r="L303" s="146">
        <f>IFERROR(INDEX(Työkonekanta!$I$3:$I$27,MATCH('S0b Baseline kasvu'!$A303,Työkonekanta!$A$3:$A$24,0),1)*(I303+J303)*f_adblue,0)</f>
        <v>552.56559766763849</v>
      </c>
      <c r="M303" s="146">
        <f t="shared" si="105"/>
        <v>0</v>
      </c>
      <c r="N303" s="143" t="str">
        <f>IF(tuulisähkö_vuosi&lt;='S0b Baseline kasvu'!C303,"tuulisähkö",ostosähkö_nyt)</f>
        <v>jäännössähkö</v>
      </c>
      <c r="O303" s="147">
        <f>INDEX(Muuttujat!$J$5:$J$21,MATCH($C303,Muuttujat!$H$5:$H$21,0),1)</f>
        <v>62.625946521929137</v>
      </c>
      <c r="P303" s="342">
        <f>1-(INDEX(Muuttujat!$O$5:$O$21,MATCH($C303,Muuttujat!$N$5:$N$21,0),1))</f>
        <v>0.9</v>
      </c>
      <c r="Q303" s="342">
        <f>INDEX(Muuttujat!$O$5:$O$21,MATCH($C303,Muuttujat!$N$5:$N$21,0),1)</f>
        <v>0.1</v>
      </c>
      <c r="R303" s="148">
        <f>INDEX(Muuttujat!$P$5:$P$21,MATCH($C303,Muuttujat!$N$5:$N$21,0),1)</f>
        <v>0.10417875759940039</v>
      </c>
      <c r="S303" s="149">
        <f t="shared" si="91"/>
        <v>6.7172489999999989</v>
      </c>
      <c r="T303" s="150">
        <f t="shared" si="92"/>
        <v>2.4641760000000001</v>
      </c>
      <c r="U303" s="150">
        <f t="shared" si="93"/>
        <v>0</v>
      </c>
      <c r="V303" s="150">
        <f>IFERROR(INDEX(Työkonekanta!$J$3:$J$27,MATCH($A303,Työkonekanta!$A$3:$A$24,0),1)*$B303*ef_li_ion_akku/1000/1000/INDEX(Työkonekanta!$K$3:$K$27,MATCH($A303,Työkonekanta!$A$3:$A$24,0)),0)</f>
        <v>0</v>
      </c>
      <c r="W303" s="149">
        <f t="shared" si="106"/>
        <v>26.232191653140003</v>
      </c>
      <c r="X303" s="150">
        <f t="shared" si="107"/>
        <v>0.34952022600000004</v>
      </c>
      <c r="Y303" s="151">
        <f t="shared" si="108"/>
        <v>0.14366705539358599</v>
      </c>
      <c r="Z303" s="152">
        <f t="shared" si="100"/>
        <v>9.1814249999999991</v>
      </c>
      <c r="AA303" s="179">
        <f t="shared" si="101"/>
        <v>26.375858708533588</v>
      </c>
      <c r="AB303" s="179">
        <f t="shared" si="102"/>
        <v>26.725378934533587</v>
      </c>
      <c r="AC303" s="180">
        <f t="shared" si="109"/>
        <v>35.557283708533589</v>
      </c>
      <c r="AD303" s="156">
        <f t="shared" si="103"/>
        <v>35.906803934533585</v>
      </c>
      <c r="AE303" s="146">
        <f>IFERROR(INDEX(Työkonekanta!$L$3:$L$30,MATCH($A303,Työkonekanta!$A$3:$A$30,0),1),0)*AF303</f>
        <v>500000</v>
      </c>
      <c r="AF303" s="146">
        <f>IFERROR(INDEX(Työkonekanta!$N$3:$N$32,MATCH($A303,Työkonekanta!$A$3:$A$32,0),1),0)</f>
        <v>1</v>
      </c>
      <c r="AG303" s="332">
        <f>I303*INDEX(Muuttujat!$U$5:$U$21,MATCH($C303,Muuttujat!$N$5:$N$21,0),1)</f>
        <v>10395</v>
      </c>
      <c r="AH303" s="332">
        <f>J303*INDEX(Muuttujat!$T$5:$T$21,MATCH($C303,Muuttujat!$N$5:$N$21,0),1)</f>
        <v>1669.4023323615163</v>
      </c>
      <c r="AI303" s="332">
        <f t="shared" si="94"/>
        <v>276.28279883381924</v>
      </c>
      <c r="AJ303" s="332">
        <f t="shared" si="95"/>
        <v>0</v>
      </c>
      <c r="AK303" s="332">
        <f t="shared" si="104"/>
        <v>12340.685131195336</v>
      </c>
      <c r="AL303" s="332">
        <f t="shared" si="96"/>
        <v>12340.685131195336</v>
      </c>
    </row>
    <row r="304" spans="1:38">
      <c r="A304" s="139">
        <v>2</v>
      </c>
      <c r="B304" s="139">
        <f>IFERROR(INDEX(Työkonekanta!$F$3:$F$27,MATCH('S0b Baseline kasvu'!$A304,Työkonekanta!$A$3:$A$24,0),1),0)</f>
        <v>1</v>
      </c>
      <c r="C304" s="140">
        <v>2029</v>
      </c>
      <c r="D304" s="141" t="str">
        <f>IFERROR(INDEX(Työkonekanta!$D$3:$D$27,MATCH('S0b Baseline kasvu'!$A304,Työkonekanta!$A$3:$A$24,0),1),"undefined")</f>
        <v>pom</v>
      </c>
      <c r="E304" s="145">
        <f>IFERROR(INDEX(Työkonekanta!$G$3:$G$27,MATCH($A304,Työkonekanta!$A$3:$A$24,0),1)*INDEX(Työkonekanta!$H$3:$H$27,MATCH($A304,Työkonekanta!$A$3:$A$24,0),1)*(1+s0b_kasvu*($C304-2019))*$B304,0)</f>
        <v>11000</v>
      </c>
      <c r="F304" s="145">
        <f t="shared" si="88"/>
        <v>394900</v>
      </c>
      <c r="G304" s="145">
        <f t="shared" si="97"/>
        <v>355410</v>
      </c>
      <c r="H304" s="145">
        <f t="shared" si="98"/>
        <v>39490</v>
      </c>
      <c r="I304" s="145">
        <f t="shared" si="89"/>
        <v>9900</v>
      </c>
      <c r="J304" s="145">
        <f t="shared" si="90"/>
        <v>1151.3119533527697</v>
      </c>
      <c r="K304" s="142" t="str">
        <f t="shared" si="99"/>
        <v>l</v>
      </c>
      <c r="L304" s="146">
        <f>IFERROR(INDEX(Työkonekanta!$I$3:$I$27,MATCH('S0b Baseline kasvu'!$A304,Työkonekanta!$A$3:$A$24,0),1)*(I304+J304)*f_adblue,0)</f>
        <v>552.56559766763849</v>
      </c>
      <c r="M304" s="146">
        <f t="shared" si="105"/>
        <v>0</v>
      </c>
      <c r="N304" s="143" t="str">
        <f>IF(tuulisähkö_vuosi&lt;='S0b Baseline kasvu'!C304,"tuulisähkö",ostosähkö_nyt)</f>
        <v>jäännössähkö</v>
      </c>
      <c r="O304" s="147">
        <f>INDEX(Muuttujat!$J$5:$J$21,MATCH($C304,Muuttujat!$H$5:$H$21,0),1)</f>
        <v>62.625946521929137</v>
      </c>
      <c r="P304" s="342">
        <f>1-(INDEX(Muuttujat!$O$5:$O$21,MATCH($C304,Muuttujat!$N$5:$N$21,0),1))</f>
        <v>0.9</v>
      </c>
      <c r="Q304" s="342">
        <f>INDEX(Muuttujat!$O$5:$O$21,MATCH($C304,Muuttujat!$N$5:$N$21,0),1)</f>
        <v>0.1</v>
      </c>
      <c r="R304" s="148">
        <f>INDEX(Muuttujat!$P$5:$P$21,MATCH($C304,Muuttujat!$N$5:$N$21,0),1)</f>
        <v>0.10417875759940039</v>
      </c>
      <c r="S304" s="149">
        <f t="shared" si="91"/>
        <v>6.7172489999999989</v>
      </c>
      <c r="T304" s="150">
        <f t="shared" si="92"/>
        <v>2.4641760000000001</v>
      </c>
      <c r="U304" s="150">
        <f t="shared" si="93"/>
        <v>0</v>
      </c>
      <c r="V304" s="150">
        <f>IFERROR(INDEX(Työkonekanta!$J$3:$J$27,MATCH($A304,Työkonekanta!$A$3:$A$24,0),1)*$B304*ef_li_ion_akku/1000/1000/INDEX(Työkonekanta!$K$3:$K$27,MATCH($A304,Työkonekanta!$A$3:$A$24,0)),0)</f>
        <v>0</v>
      </c>
      <c r="W304" s="149">
        <f t="shared" si="106"/>
        <v>26.232191653140003</v>
      </c>
      <c r="X304" s="150">
        <f t="shared" si="107"/>
        <v>0.34952022600000004</v>
      </c>
      <c r="Y304" s="151">
        <f t="shared" si="108"/>
        <v>0.14366705539358599</v>
      </c>
      <c r="Z304" s="152">
        <f t="shared" si="100"/>
        <v>9.1814249999999991</v>
      </c>
      <c r="AA304" s="179">
        <f t="shared" si="101"/>
        <v>26.375858708533588</v>
      </c>
      <c r="AB304" s="179">
        <f t="shared" si="102"/>
        <v>26.725378934533587</v>
      </c>
      <c r="AC304" s="180">
        <f t="shared" si="109"/>
        <v>35.557283708533589</v>
      </c>
      <c r="AD304" s="156">
        <f t="shared" si="103"/>
        <v>35.906803934533585</v>
      </c>
      <c r="AE304" s="146">
        <f>IFERROR(INDEX(Työkonekanta!$L$3:$L$30,MATCH($A304,Työkonekanta!$A$3:$A$30,0),1),0)*AF304</f>
        <v>500000</v>
      </c>
      <c r="AF304" s="146">
        <f>IFERROR(INDEX(Työkonekanta!$N$3:$N$32,MATCH($A304,Työkonekanta!$A$3:$A$32,0),1),0)</f>
        <v>1</v>
      </c>
      <c r="AG304" s="332">
        <f>I304*INDEX(Muuttujat!$U$5:$U$21,MATCH($C304,Muuttujat!$N$5:$N$21,0),1)</f>
        <v>10395</v>
      </c>
      <c r="AH304" s="332">
        <f>J304*INDEX(Muuttujat!$T$5:$T$21,MATCH($C304,Muuttujat!$N$5:$N$21,0),1)</f>
        <v>1669.4023323615163</v>
      </c>
      <c r="AI304" s="332">
        <f t="shared" si="94"/>
        <v>276.28279883381924</v>
      </c>
      <c r="AJ304" s="332">
        <f t="shared" si="95"/>
        <v>0</v>
      </c>
      <c r="AK304" s="332">
        <f t="shared" si="104"/>
        <v>12340.685131195336</v>
      </c>
      <c r="AL304" s="332">
        <f t="shared" si="96"/>
        <v>12340.685131195336</v>
      </c>
    </row>
    <row r="305" spans="1:38">
      <c r="A305" s="139">
        <v>3</v>
      </c>
      <c r="B305" s="139">
        <f>IFERROR(INDEX(Työkonekanta!$F$3:$F$27,MATCH('S0b Baseline kasvu'!$A305,Työkonekanta!$A$3:$A$24,0),1),0)</f>
        <v>1</v>
      </c>
      <c r="C305" s="140">
        <v>2029</v>
      </c>
      <c r="D305" s="141" t="str">
        <f>IFERROR(INDEX(Työkonekanta!$D$3:$D$27,MATCH('S0b Baseline kasvu'!$A305,Työkonekanta!$A$3:$A$24,0),1),"undefined")</f>
        <v>pom</v>
      </c>
      <c r="E305" s="145">
        <f>IFERROR(INDEX(Työkonekanta!$G$3:$G$27,MATCH($A305,Työkonekanta!$A$3:$A$24,0),1)*INDEX(Työkonekanta!$H$3:$H$27,MATCH($A305,Työkonekanta!$A$3:$A$24,0),1)*(1+s0b_kasvu*($C305-2019))*$B305,0)</f>
        <v>11000</v>
      </c>
      <c r="F305" s="145">
        <f t="shared" si="88"/>
        <v>394900</v>
      </c>
      <c r="G305" s="145">
        <f t="shared" si="97"/>
        <v>355410</v>
      </c>
      <c r="H305" s="145">
        <f t="shared" si="98"/>
        <v>39490</v>
      </c>
      <c r="I305" s="145">
        <f t="shared" si="89"/>
        <v>9900</v>
      </c>
      <c r="J305" s="145">
        <f t="shared" si="90"/>
        <v>1151.3119533527697</v>
      </c>
      <c r="K305" s="142" t="str">
        <f t="shared" si="99"/>
        <v>l</v>
      </c>
      <c r="L305" s="146">
        <f>IFERROR(INDEX(Työkonekanta!$I$3:$I$27,MATCH('S0b Baseline kasvu'!$A305,Työkonekanta!$A$3:$A$24,0),1)*(I305+J305)*f_adblue,0)</f>
        <v>552.56559766763849</v>
      </c>
      <c r="M305" s="146">
        <f t="shared" si="105"/>
        <v>0</v>
      </c>
      <c r="N305" s="143" t="str">
        <f>IF(tuulisähkö_vuosi&lt;='S0b Baseline kasvu'!C305,"tuulisähkö",ostosähkö_nyt)</f>
        <v>jäännössähkö</v>
      </c>
      <c r="O305" s="147">
        <f>INDEX(Muuttujat!$J$5:$J$21,MATCH($C305,Muuttujat!$H$5:$H$21,0),1)</f>
        <v>62.625946521929137</v>
      </c>
      <c r="P305" s="342">
        <f>1-(INDEX(Muuttujat!$O$5:$O$21,MATCH($C305,Muuttujat!$N$5:$N$21,0),1))</f>
        <v>0.9</v>
      </c>
      <c r="Q305" s="342">
        <f>INDEX(Muuttujat!$O$5:$O$21,MATCH($C305,Muuttujat!$N$5:$N$21,0),1)</f>
        <v>0.1</v>
      </c>
      <c r="R305" s="148">
        <f>INDEX(Muuttujat!$P$5:$P$21,MATCH($C305,Muuttujat!$N$5:$N$21,0),1)</f>
        <v>0.10417875759940039</v>
      </c>
      <c r="S305" s="149">
        <f t="shared" si="91"/>
        <v>6.7172489999999989</v>
      </c>
      <c r="T305" s="150">
        <f t="shared" si="92"/>
        <v>2.4641760000000001</v>
      </c>
      <c r="U305" s="150">
        <f t="shared" si="93"/>
        <v>0</v>
      </c>
      <c r="V305" s="150">
        <f>IFERROR(INDEX(Työkonekanta!$J$3:$J$27,MATCH($A305,Työkonekanta!$A$3:$A$24,0),1)*$B305*ef_li_ion_akku/1000/1000/INDEX(Työkonekanta!$K$3:$K$27,MATCH($A305,Työkonekanta!$A$3:$A$24,0)),0)</f>
        <v>0</v>
      </c>
      <c r="W305" s="149">
        <f t="shared" si="106"/>
        <v>26.232191653140003</v>
      </c>
      <c r="X305" s="150">
        <f t="shared" si="107"/>
        <v>0.34952022600000004</v>
      </c>
      <c r="Y305" s="151">
        <f t="shared" si="108"/>
        <v>0.14366705539358599</v>
      </c>
      <c r="Z305" s="152">
        <f t="shared" si="100"/>
        <v>9.1814249999999991</v>
      </c>
      <c r="AA305" s="179">
        <f t="shared" si="101"/>
        <v>26.375858708533588</v>
      </c>
      <c r="AB305" s="179">
        <f t="shared" si="102"/>
        <v>26.725378934533587</v>
      </c>
      <c r="AC305" s="180">
        <f t="shared" si="109"/>
        <v>35.557283708533589</v>
      </c>
      <c r="AD305" s="156">
        <f t="shared" si="103"/>
        <v>35.906803934533585</v>
      </c>
      <c r="AE305" s="146">
        <f>IFERROR(INDEX(Työkonekanta!$L$3:$L$30,MATCH($A305,Työkonekanta!$A$3:$A$30,0),1),0)*AF305</f>
        <v>0</v>
      </c>
      <c r="AF305" s="146">
        <f>IFERROR(INDEX(Työkonekanta!$N$3:$N$32,MATCH($A305,Työkonekanta!$A$3:$A$32,0),1),0)</f>
        <v>0</v>
      </c>
      <c r="AG305" s="332">
        <f>I305*INDEX(Muuttujat!$U$5:$U$21,MATCH($C305,Muuttujat!$N$5:$N$21,0),1)</f>
        <v>10395</v>
      </c>
      <c r="AH305" s="332">
        <f>J305*INDEX(Muuttujat!$T$5:$T$21,MATCH($C305,Muuttujat!$N$5:$N$21,0),1)</f>
        <v>1669.4023323615163</v>
      </c>
      <c r="AI305" s="332">
        <f t="shared" si="94"/>
        <v>276.28279883381924</v>
      </c>
      <c r="AJ305" s="332">
        <f t="shared" si="95"/>
        <v>0</v>
      </c>
      <c r="AK305" s="332">
        <f t="shared" si="104"/>
        <v>12340.685131195336</v>
      </c>
      <c r="AL305" s="332">
        <f t="shared" si="96"/>
        <v>12340.685131195336</v>
      </c>
    </row>
    <row r="306" spans="1:38">
      <c r="A306" s="139">
        <v>4</v>
      </c>
      <c r="B306" s="139">
        <f>IFERROR(INDEX(Työkonekanta!$F$3:$F$27,MATCH('S0b Baseline kasvu'!$A306,Työkonekanta!$A$3:$A$24,0),1),0)</f>
        <v>1</v>
      </c>
      <c r="C306" s="140">
        <v>2029</v>
      </c>
      <c r="D306" s="141" t="str">
        <f>IFERROR(INDEX(Työkonekanta!$D$3:$D$27,MATCH('S0b Baseline kasvu'!$A306,Työkonekanta!$A$3:$A$24,0),1),"undefined")</f>
        <v>pom</v>
      </c>
      <c r="E306" s="145">
        <f>IFERROR(INDEX(Työkonekanta!$G$3:$G$27,MATCH($A306,Työkonekanta!$A$3:$A$24,0),1)*INDEX(Työkonekanta!$H$3:$H$27,MATCH($A306,Työkonekanta!$A$3:$A$24,0),1)*(1+s0b_kasvu*($C306-2019))*$B306,0)</f>
        <v>11000</v>
      </c>
      <c r="F306" s="145">
        <f t="shared" si="88"/>
        <v>394900</v>
      </c>
      <c r="G306" s="145">
        <f t="shared" si="97"/>
        <v>355410</v>
      </c>
      <c r="H306" s="145">
        <f t="shared" si="98"/>
        <v>39490</v>
      </c>
      <c r="I306" s="145">
        <f t="shared" si="89"/>
        <v>9900</v>
      </c>
      <c r="J306" s="145">
        <f t="shared" si="90"/>
        <v>1151.3119533527697</v>
      </c>
      <c r="K306" s="142" t="str">
        <f t="shared" si="99"/>
        <v>l</v>
      </c>
      <c r="L306" s="146">
        <f>IFERROR(INDEX(Työkonekanta!$I$3:$I$27,MATCH('S0b Baseline kasvu'!$A306,Työkonekanta!$A$3:$A$24,0),1)*(I306+J306)*f_adblue,0)</f>
        <v>552.56559766763849</v>
      </c>
      <c r="M306" s="146">
        <f t="shared" si="105"/>
        <v>0</v>
      </c>
      <c r="N306" s="143" t="str">
        <f>IF(tuulisähkö_vuosi&lt;='S0b Baseline kasvu'!C306,"tuulisähkö",ostosähkö_nyt)</f>
        <v>jäännössähkö</v>
      </c>
      <c r="O306" s="147">
        <f>INDEX(Muuttujat!$J$5:$J$21,MATCH($C306,Muuttujat!$H$5:$H$21,0),1)</f>
        <v>62.625946521929137</v>
      </c>
      <c r="P306" s="342">
        <f>1-(INDEX(Muuttujat!$O$5:$O$21,MATCH($C306,Muuttujat!$N$5:$N$21,0),1))</f>
        <v>0.9</v>
      </c>
      <c r="Q306" s="342">
        <f>INDEX(Muuttujat!$O$5:$O$21,MATCH($C306,Muuttujat!$N$5:$N$21,0),1)</f>
        <v>0.1</v>
      </c>
      <c r="R306" s="148">
        <f>INDEX(Muuttujat!$P$5:$P$21,MATCH($C306,Muuttujat!$N$5:$N$21,0),1)</f>
        <v>0.10417875759940039</v>
      </c>
      <c r="S306" s="149">
        <f t="shared" si="91"/>
        <v>6.7172489999999989</v>
      </c>
      <c r="T306" s="150">
        <f t="shared" si="92"/>
        <v>2.4641760000000001</v>
      </c>
      <c r="U306" s="150">
        <f t="shared" si="93"/>
        <v>0</v>
      </c>
      <c r="V306" s="150">
        <f>IFERROR(INDEX(Työkonekanta!$J$3:$J$27,MATCH($A306,Työkonekanta!$A$3:$A$24,0),1)*$B306*ef_li_ion_akku/1000/1000/INDEX(Työkonekanta!$K$3:$K$27,MATCH($A306,Työkonekanta!$A$3:$A$24,0)),0)</f>
        <v>0</v>
      </c>
      <c r="W306" s="149">
        <f t="shared" si="106"/>
        <v>26.232191653140003</v>
      </c>
      <c r="X306" s="150">
        <f t="shared" si="107"/>
        <v>0.34952022600000004</v>
      </c>
      <c r="Y306" s="151">
        <f t="shared" si="108"/>
        <v>0.14366705539358599</v>
      </c>
      <c r="Z306" s="152">
        <f t="shared" si="100"/>
        <v>9.1814249999999991</v>
      </c>
      <c r="AA306" s="179">
        <f t="shared" si="101"/>
        <v>26.375858708533588</v>
      </c>
      <c r="AB306" s="179">
        <f t="shared" si="102"/>
        <v>26.725378934533587</v>
      </c>
      <c r="AC306" s="180">
        <f t="shared" si="109"/>
        <v>35.557283708533589</v>
      </c>
      <c r="AD306" s="156">
        <f t="shared" si="103"/>
        <v>35.906803934533585</v>
      </c>
      <c r="AE306" s="146">
        <f>IFERROR(INDEX(Työkonekanta!$L$3:$L$30,MATCH($A306,Työkonekanta!$A$3:$A$30,0),1),0)*AF306</f>
        <v>0</v>
      </c>
      <c r="AF306" s="146">
        <f>IFERROR(INDEX(Työkonekanta!$N$3:$N$32,MATCH($A306,Työkonekanta!$A$3:$A$32,0),1),0)</f>
        <v>0</v>
      </c>
      <c r="AG306" s="332">
        <f>I306*INDEX(Muuttujat!$U$5:$U$21,MATCH($C306,Muuttujat!$N$5:$N$21,0),1)</f>
        <v>10395</v>
      </c>
      <c r="AH306" s="332">
        <f>J306*INDEX(Muuttujat!$T$5:$T$21,MATCH($C306,Muuttujat!$N$5:$N$21,0),1)</f>
        <v>1669.4023323615163</v>
      </c>
      <c r="AI306" s="332">
        <f t="shared" si="94"/>
        <v>276.28279883381924</v>
      </c>
      <c r="AJ306" s="332">
        <f t="shared" si="95"/>
        <v>0</v>
      </c>
      <c r="AK306" s="332">
        <f t="shared" si="104"/>
        <v>12340.685131195336</v>
      </c>
      <c r="AL306" s="332">
        <f t="shared" si="96"/>
        <v>12340.685131195336</v>
      </c>
    </row>
    <row r="307" spans="1:38">
      <c r="A307" s="139">
        <v>5</v>
      </c>
      <c r="B307" s="139">
        <f>IFERROR(INDEX(Työkonekanta!$F$3:$F$27,MATCH('S0b Baseline kasvu'!$A307,Työkonekanta!$A$3:$A$24,0),1),0)</f>
        <v>0</v>
      </c>
      <c r="C307" s="140">
        <v>2029</v>
      </c>
      <c r="D307" s="141" t="str">
        <f>IFERROR(INDEX(Työkonekanta!$D$3:$D$27,MATCH('S0b Baseline kasvu'!$A307,Työkonekanta!$A$3:$A$24,0),1),"undefined")</f>
        <v>sähkö</v>
      </c>
      <c r="E307" s="145">
        <f>IFERROR(INDEX(Työkonekanta!$G$3:$G$27,MATCH($A307,Työkonekanta!$A$3:$A$24,0),1)*INDEX(Työkonekanta!$H$3:$H$27,MATCH($A307,Työkonekanta!$A$3:$A$24,0),1)*(1+s0b_kasvu*($C307-2019))*$B307,0)</f>
        <v>0</v>
      </c>
      <c r="F307" s="145">
        <f t="shared" si="88"/>
        <v>0</v>
      </c>
      <c r="G307" s="145">
        <f t="shared" si="97"/>
        <v>0</v>
      </c>
      <c r="H307" s="145">
        <f t="shared" si="98"/>
        <v>0</v>
      </c>
      <c r="I307" s="145">
        <f t="shared" si="89"/>
        <v>0</v>
      </c>
      <c r="J307" s="145">
        <f t="shared" si="90"/>
        <v>0</v>
      </c>
      <c r="K307" s="142" t="str">
        <f t="shared" si="99"/>
        <v>kWh</v>
      </c>
      <c r="L307" s="146">
        <f>IFERROR(INDEX(Työkonekanta!$I$3:$I$27,MATCH('S0b Baseline kasvu'!$A307,Työkonekanta!$A$3:$A$24,0),1)*(I307+J307)*f_adblue,0)</f>
        <v>0</v>
      </c>
      <c r="M307" s="146">
        <f t="shared" si="105"/>
        <v>0</v>
      </c>
      <c r="N307" s="143" t="str">
        <f>IF(tuulisähkö_vuosi&lt;='S0b Baseline kasvu'!C307,"tuulisähkö",ostosähkö_nyt)</f>
        <v>jäännössähkö</v>
      </c>
      <c r="O307" s="147">
        <f>INDEX(Muuttujat!$J$5:$J$21,MATCH($C307,Muuttujat!$H$5:$H$21,0),1)</f>
        <v>62.625946521929137</v>
      </c>
      <c r="P307" s="342">
        <f>1-(INDEX(Muuttujat!$O$5:$O$21,MATCH($C307,Muuttujat!$N$5:$N$21,0),1))</f>
        <v>0.9</v>
      </c>
      <c r="Q307" s="342">
        <f>INDEX(Muuttujat!$O$5:$O$21,MATCH($C307,Muuttujat!$N$5:$N$21,0),1)</f>
        <v>0.1</v>
      </c>
      <c r="R307" s="148">
        <f>INDEX(Muuttujat!$P$5:$P$21,MATCH($C307,Muuttujat!$N$5:$N$21,0),1)</f>
        <v>0.10417875759940039</v>
      </c>
      <c r="S307" s="149">
        <f t="shared" si="91"/>
        <v>0</v>
      </c>
      <c r="T307" s="150">
        <f t="shared" si="92"/>
        <v>0</v>
      </c>
      <c r="U307" s="150">
        <f t="shared" si="93"/>
        <v>0</v>
      </c>
      <c r="V307" s="150">
        <f>IFERROR(INDEX(Työkonekanta!$J$3:$J$27,MATCH($A307,Työkonekanta!$A$3:$A$24,0),1)*$B307*ef_li_ion_akku/1000/1000/INDEX(Työkonekanta!$K$3:$K$27,MATCH($A307,Työkonekanta!$A$3:$A$24,0)),0)</f>
        <v>0</v>
      </c>
      <c r="W307" s="149">
        <f t="shared" si="106"/>
        <v>0</v>
      </c>
      <c r="X307" s="150">
        <f t="shared" si="107"/>
        <v>0</v>
      </c>
      <c r="Y307" s="151">
        <f t="shared" si="108"/>
        <v>0</v>
      </c>
      <c r="Z307" s="152">
        <f t="shared" si="100"/>
        <v>0</v>
      </c>
      <c r="AA307" s="179">
        <f t="shared" si="101"/>
        <v>0</v>
      </c>
      <c r="AB307" s="179">
        <f t="shared" si="102"/>
        <v>0</v>
      </c>
      <c r="AC307" s="180">
        <f t="shared" si="109"/>
        <v>0</v>
      </c>
      <c r="AD307" s="156">
        <f t="shared" si="103"/>
        <v>0</v>
      </c>
      <c r="AE307" s="146">
        <f>IFERROR(INDEX(Työkonekanta!$L$3:$L$30,MATCH($A307,Työkonekanta!$A$3:$A$30,0),1),0)*AF307</f>
        <v>0</v>
      </c>
      <c r="AF307" s="146">
        <f>IFERROR(INDEX(Työkonekanta!$N$3:$N$32,MATCH($A307,Työkonekanta!$A$3:$A$32,0),1),0)</f>
        <v>0</v>
      </c>
      <c r="AG307" s="332">
        <f>I307*INDEX(Muuttujat!$U$5:$U$21,MATCH($C307,Muuttujat!$N$5:$N$21,0),1)</f>
        <v>0</v>
      </c>
      <c r="AH307" s="332">
        <f>J307*INDEX(Muuttujat!$T$5:$T$21,MATCH($C307,Muuttujat!$N$5:$N$21,0),1)</f>
        <v>0</v>
      </c>
      <c r="AI307" s="332">
        <f t="shared" si="94"/>
        <v>0</v>
      </c>
      <c r="AJ307" s="332">
        <f t="shared" si="95"/>
        <v>0</v>
      </c>
      <c r="AK307" s="332">
        <f t="shared" si="104"/>
        <v>0</v>
      </c>
      <c r="AL307" s="332">
        <f t="shared" si="96"/>
        <v>0</v>
      </c>
    </row>
    <row r="308" spans="1:38">
      <c r="A308" s="139">
        <v>6</v>
      </c>
      <c r="B308" s="139">
        <f>IFERROR(INDEX(Työkonekanta!$F$3:$F$27,MATCH('S0b Baseline kasvu'!$A308,Työkonekanta!$A$3:$A$24,0),1),0)</f>
        <v>0</v>
      </c>
      <c r="C308" s="140">
        <v>2029</v>
      </c>
      <c r="D308" s="141" t="str">
        <f>IFERROR(INDEX(Työkonekanta!$D$3:$D$27,MATCH('S0b Baseline kasvu'!$A308,Työkonekanta!$A$3:$A$24,0),1),"undefined")</f>
        <v>sähkö</v>
      </c>
      <c r="E308" s="145">
        <f>IFERROR(INDEX(Työkonekanta!$G$3:$G$27,MATCH($A308,Työkonekanta!$A$3:$A$24,0),1)*INDEX(Työkonekanta!$H$3:$H$27,MATCH($A308,Työkonekanta!$A$3:$A$24,0),1)*(1+s0b_kasvu*($C308-2019))*$B308,0)</f>
        <v>0</v>
      </c>
      <c r="F308" s="145">
        <f t="shared" si="88"/>
        <v>0</v>
      </c>
      <c r="G308" s="145">
        <f t="shared" si="97"/>
        <v>0</v>
      </c>
      <c r="H308" s="145">
        <f t="shared" si="98"/>
        <v>0</v>
      </c>
      <c r="I308" s="145">
        <f t="shared" si="89"/>
        <v>0</v>
      </c>
      <c r="J308" s="145">
        <f t="shared" si="90"/>
        <v>0</v>
      </c>
      <c r="K308" s="142" t="str">
        <f t="shared" si="99"/>
        <v>kWh</v>
      </c>
      <c r="L308" s="146">
        <f>IFERROR(INDEX(Työkonekanta!$I$3:$I$27,MATCH('S0b Baseline kasvu'!$A308,Työkonekanta!$A$3:$A$24,0),1)*(I308+J308)*f_adblue,0)</f>
        <v>0</v>
      </c>
      <c r="M308" s="146">
        <f t="shared" si="105"/>
        <v>0</v>
      </c>
      <c r="N308" s="143" t="str">
        <f>IF(tuulisähkö_vuosi&lt;='S0b Baseline kasvu'!C308,"tuulisähkö",ostosähkö_nyt)</f>
        <v>jäännössähkö</v>
      </c>
      <c r="O308" s="147">
        <f>INDEX(Muuttujat!$J$5:$J$21,MATCH($C308,Muuttujat!$H$5:$H$21,0),1)</f>
        <v>62.625946521929137</v>
      </c>
      <c r="P308" s="342">
        <f>1-(INDEX(Muuttujat!$O$5:$O$21,MATCH($C308,Muuttujat!$N$5:$N$21,0),1))</f>
        <v>0.9</v>
      </c>
      <c r="Q308" s="342">
        <f>INDEX(Muuttujat!$O$5:$O$21,MATCH($C308,Muuttujat!$N$5:$N$21,0),1)</f>
        <v>0.1</v>
      </c>
      <c r="R308" s="148">
        <f>INDEX(Muuttujat!$P$5:$P$21,MATCH($C308,Muuttujat!$N$5:$N$21,0),1)</f>
        <v>0.10417875759940039</v>
      </c>
      <c r="S308" s="149">
        <f t="shared" si="91"/>
        <v>0</v>
      </c>
      <c r="T308" s="150">
        <f t="shared" si="92"/>
        <v>0</v>
      </c>
      <c r="U308" s="150">
        <f t="shared" si="93"/>
        <v>0</v>
      </c>
      <c r="V308" s="150">
        <f>IFERROR(INDEX(Työkonekanta!$J$3:$J$27,MATCH($A308,Työkonekanta!$A$3:$A$24,0),1)*$B308*ef_li_ion_akku/1000/1000/INDEX(Työkonekanta!$K$3:$K$27,MATCH($A308,Työkonekanta!$A$3:$A$24,0)),0)</f>
        <v>0</v>
      </c>
      <c r="W308" s="149">
        <f t="shared" si="106"/>
        <v>0</v>
      </c>
      <c r="X308" s="150">
        <f t="shared" si="107"/>
        <v>0</v>
      </c>
      <c r="Y308" s="151">
        <f t="shared" si="108"/>
        <v>0</v>
      </c>
      <c r="Z308" s="152">
        <f t="shared" si="100"/>
        <v>0</v>
      </c>
      <c r="AA308" s="179">
        <f t="shared" si="101"/>
        <v>0</v>
      </c>
      <c r="AB308" s="179">
        <f t="shared" si="102"/>
        <v>0</v>
      </c>
      <c r="AC308" s="180">
        <f t="shared" si="109"/>
        <v>0</v>
      </c>
      <c r="AD308" s="156">
        <f t="shared" si="103"/>
        <v>0</v>
      </c>
      <c r="AE308" s="146">
        <f>IFERROR(INDEX(Työkonekanta!$L$3:$L$30,MATCH($A308,Työkonekanta!$A$3:$A$30,0),1),0)*AF308</f>
        <v>0</v>
      </c>
      <c r="AF308" s="146">
        <f>IFERROR(INDEX(Työkonekanta!$N$3:$N$32,MATCH($A308,Työkonekanta!$A$3:$A$32,0),1),0)</f>
        <v>0</v>
      </c>
      <c r="AG308" s="332">
        <f>I308*INDEX(Muuttujat!$U$5:$U$21,MATCH($C308,Muuttujat!$N$5:$N$21,0),1)</f>
        <v>0</v>
      </c>
      <c r="AH308" s="332">
        <f>J308*INDEX(Muuttujat!$T$5:$T$21,MATCH($C308,Muuttujat!$N$5:$N$21,0),1)</f>
        <v>0</v>
      </c>
      <c r="AI308" s="332">
        <f t="shared" si="94"/>
        <v>0</v>
      </c>
      <c r="AJ308" s="332">
        <f t="shared" si="95"/>
        <v>0</v>
      </c>
      <c r="AK308" s="332">
        <f t="shared" si="104"/>
        <v>0</v>
      </c>
      <c r="AL308" s="332">
        <f t="shared" si="96"/>
        <v>0</v>
      </c>
    </row>
    <row r="309" spans="1:38">
      <c r="A309" s="139">
        <v>7</v>
      </c>
      <c r="B309" s="139">
        <f>IFERROR(INDEX(Työkonekanta!$F$3:$F$27,MATCH('S0b Baseline kasvu'!$A309,Työkonekanta!$A$3:$A$24,0),1),0)</f>
        <v>1</v>
      </c>
      <c r="C309" s="140">
        <v>2029</v>
      </c>
      <c r="D309" s="141" t="str">
        <f>IFERROR(INDEX(Työkonekanta!$D$3:$D$27,MATCH('S0b Baseline kasvu'!$A309,Työkonekanta!$A$3:$A$24,0),1),"undefined")</f>
        <v>pom</v>
      </c>
      <c r="E309" s="145">
        <f>IFERROR(INDEX(Työkonekanta!$G$3:$G$27,MATCH($A309,Työkonekanta!$A$3:$A$24,0),1)*INDEX(Työkonekanta!$H$3:$H$27,MATCH($A309,Työkonekanta!$A$3:$A$24,0),1)*(1+s0b_kasvu*($C309-2019))*$B309,0)</f>
        <v>11000</v>
      </c>
      <c r="F309" s="145">
        <f t="shared" si="88"/>
        <v>394900</v>
      </c>
      <c r="G309" s="145">
        <f t="shared" si="97"/>
        <v>355410</v>
      </c>
      <c r="H309" s="145">
        <f t="shared" si="98"/>
        <v>39490</v>
      </c>
      <c r="I309" s="145">
        <f t="shared" si="89"/>
        <v>9900</v>
      </c>
      <c r="J309" s="145">
        <f t="shared" si="90"/>
        <v>1151.3119533527697</v>
      </c>
      <c r="K309" s="142" t="str">
        <f t="shared" si="99"/>
        <v>l</v>
      </c>
      <c r="L309" s="146">
        <f>IFERROR(INDEX(Työkonekanta!$I$3:$I$27,MATCH('S0b Baseline kasvu'!$A309,Työkonekanta!$A$3:$A$24,0),1)*(I309+J309)*f_adblue,0)</f>
        <v>0</v>
      </c>
      <c r="M309" s="146">
        <f t="shared" si="105"/>
        <v>0</v>
      </c>
      <c r="N309" s="143" t="str">
        <f>IF(tuulisähkö_vuosi&lt;='S0b Baseline kasvu'!C309,"tuulisähkö",ostosähkö_nyt)</f>
        <v>jäännössähkö</v>
      </c>
      <c r="O309" s="147">
        <f>INDEX(Muuttujat!$J$5:$J$21,MATCH($C309,Muuttujat!$H$5:$H$21,0),1)</f>
        <v>62.625946521929137</v>
      </c>
      <c r="P309" s="342">
        <f>1-(INDEX(Muuttujat!$O$5:$O$21,MATCH($C309,Muuttujat!$N$5:$N$21,0),1))</f>
        <v>0.9</v>
      </c>
      <c r="Q309" s="342">
        <f>INDEX(Muuttujat!$O$5:$O$21,MATCH($C309,Muuttujat!$N$5:$N$21,0),1)</f>
        <v>0.1</v>
      </c>
      <c r="R309" s="148">
        <f>INDEX(Muuttujat!$P$5:$P$21,MATCH($C309,Muuttujat!$N$5:$N$21,0),1)</f>
        <v>0.10417875759940039</v>
      </c>
      <c r="S309" s="149">
        <f t="shared" si="91"/>
        <v>6.7172489999999989</v>
      </c>
      <c r="T309" s="150">
        <f t="shared" si="92"/>
        <v>2.4641760000000001</v>
      </c>
      <c r="U309" s="150">
        <f t="shared" si="93"/>
        <v>0</v>
      </c>
      <c r="V309" s="150">
        <f>IFERROR(INDEX(Työkonekanta!$J$3:$J$27,MATCH($A309,Työkonekanta!$A$3:$A$24,0),1)*$B309*ef_li_ion_akku/1000/1000/INDEX(Työkonekanta!$K$3:$K$27,MATCH($A309,Työkonekanta!$A$3:$A$24,0)),0)</f>
        <v>0</v>
      </c>
      <c r="W309" s="149">
        <f t="shared" si="106"/>
        <v>26.232191653140003</v>
      </c>
      <c r="X309" s="150">
        <f t="shared" si="107"/>
        <v>0.34952022600000004</v>
      </c>
      <c r="Y309" s="151">
        <f t="shared" si="108"/>
        <v>0</v>
      </c>
      <c r="Z309" s="152">
        <f t="shared" si="100"/>
        <v>9.1814249999999991</v>
      </c>
      <c r="AA309" s="179">
        <f t="shared" si="101"/>
        <v>26.232191653140003</v>
      </c>
      <c r="AB309" s="179">
        <f t="shared" si="102"/>
        <v>26.581711879140002</v>
      </c>
      <c r="AC309" s="180">
        <f t="shared" si="109"/>
        <v>35.413616653140004</v>
      </c>
      <c r="AD309" s="156">
        <f t="shared" si="103"/>
        <v>35.763136879139999</v>
      </c>
      <c r="AE309" s="146">
        <f>IFERROR(INDEX(Työkonekanta!$L$3:$L$30,MATCH($A309,Työkonekanta!$A$3:$A$30,0),1),0)*AF309</f>
        <v>500000</v>
      </c>
      <c r="AF309" s="146">
        <f>IFERROR(INDEX(Työkonekanta!$N$3:$N$32,MATCH($A309,Työkonekanta!$A$3:$A$32,0),1),0)</f>
        <v>1</v>
      </c>
      <c r="AG309" s="332">
        <f>I309*INDEX(Muuttujat!$U$5:$U$21,MATCH($C309,Muuttujat!$N$5:$N$21,0),1)</f>
        <v>10395</v>
      </c>
      <c r="AH309" s="332">
        <f>J309*INDEX(Muuttujat!$T$5:$T$21,MATCH($C309,Muuttujat!$N$5:$N$21,0),1)</f>
        <v>1669.4023323615163</v>
      </c>
      <c r="AI309" s="332">
        <f t="shared" si="94"/>
        <v>0</v>
      </c>
      <c r="AJ309" s="332">
        <f t="shared" si="95"/>
        <v>0</v>
      </c>
      <c r="AK309" s="332">
        <f t="shared" si="104"/>
        <v>12064.402332361517</v>
      </c>
      <c r="AL309" s="332">
        <f t="shared" si="96"/>
        <v>12064.402332361517</v>
      </c>
    </row>
    <row r="310" spans="1:38">
      <c r="A310" s="139">
        <v>8</v>
      </c>
      <c r="B310" s="139">
        <f>IFERROR(INDEX(Työkonekanta!$F$3:$F$27,MATCH('S0b Baseline kasvu'!$A310,Työkonekanta!$A$3:$A$24,0),1),0)</f>
        <v>1</v>
      </c>
      <c r="C310" s="140">
        <v>2029</v>
      </c>
      <c r="D310" s="141" t="str">
        <f>IFERROR(INDEX(Työkonekanta!$D$3:$D$27,MATCH('S0b Baseline kasvu'!$A310,Työkonekanta!$A$3:$A$24,0),1),"undefined")</f>
        <v>pom</v>
      </c>
      <c r="E310" s="145">
        <f>IFERROR(INDEX(Työkonekanta!$G$3:$G$27,MATCH($A310,Työkonekanta!$A$3:$A$24,0),1)*INDEX(Työkonekanta!$H$3:$H$27,MATCH($A310,Työkonekanta!$A$3:$A$24,0),1)*(1+s0b_kasvu*($C310-2019))*$B310,0)</f>
        <v>11000</v>
      </c>
      <c r="F310" s="145">
        <f t="shared" si="88"/>
        <v>394900</v>
      </c>
      <c r="G310" s="145">
        <f t="shared" si="97"/>
        <v>355410</v>
      </c>
      <c r="H310" s="145">
        <f t="shared" si="98"/>
        <v>39490</v>
      </c>
      <c r="I310" s="145">
        <f t="shared" si="89"/>
        <v>9900</v>
      </c>
      <c r="J310" s="145">
        <f t="shared" si="90"/>
        <v>1151.3119533527697</v>
      </c>
      <c r="K310" s="142" t="str">
        <f t="shared" si="99"/>
        <v>l</v>
      </c>
      <c r="L310" s="146">
        <f>IFERROR(INDEX(Työkonekanta!$I$3:$I$27,MATCH('S0b Baseline kasvu'!$A310,Työkonekanta!$A$3:$A$24,0),1)*(I310+J310)*f_adblue,0)</f>
        <v>552.56559766763849</v>
      </c>
      <c r="M310" s="146">
        <f t="shared" si="105"/>
        <v>0</v>
      </c>
      <c r="N310" s="143" t="str">
        <f>IF(tuulisähkö_vuosi&lt;='S0b Baseline kasvu'!C310,"tuulisähkö",ostosähkö_nyt)</f>
        <v>jäännössähkö</v>
      </c>
      <c r="O310" s="147">
        <f>INDEX(Muuttujat!$J$5:$J$21,MATCH($C310,Muuttujat!$H$5:$H$21,0),1)</f>
        <v>62.625946521929137</v>
      </c>
      <c r="P310" s="342">
        <f>1-(INDEX(Muuttujat!$O$5:$O$21,MATCH($C310,Muuttujat!$N$5:$N$21,0),1))</f>
        <v>0.9</v>
      </c>
      <c r="Q310" s="342">
        <f>INDEX(Muuttujat!$O$5:$O$21,MATCH($C310,Muuttujat!$N$5:$N$21,0),1)</f>
        <v>0.1</v>
      </c>
      <c r="R310" s="148">
        <f>INDEX(Muuttujat!$P$5:$P$21,MATCH($C310,Muuttujat!$N$5:$N$21,0),1)</f>
        <v>0.10417875759940039</v>
      </c>
      <c r="S310" s="149">
        <f t="shared" si="91"/>
        <v>6.7172489999999989</v>
      </c>
      <c r="T310" s="150">
        <f t="shared" si="92"/>
        <v>2.4641760000000001</v>
      </c>
      <c r="U310" s="150">
        <f t="shared" si="93"/>
        <v>0</v>
      </c>
      <c r="V310" s="150">
        <f>IFERROR(INDEX(Työkonekanta!$J$3:$J$27,MATCH($A310,Työkonekanta!$A$3:$A$24,0),1)*$B310*ef_li_ion_akku/1000/1000/INDEX(Työkonekanta!$K$3:$K$27,MATCH($A310,Työkonekanta!$A$3:$A$24,0)),0)</f>
        <v>0</v>
      </c>
      <c r="W310" s="149">
        <f t="shared" si="106"/>
        <v>26.232191653140003</v>
      </c>
      <c r="X310" s="150">
        <f t="shared" si="107"/>
        <v>0.34952022600000004</v>
      </c>
      <c r="Y310" s="151">
        <f t="shared" si="108"/>
        <v>0.14366705539358599</v>
      </c>
      <c r="Z310" s="152">
        <f t="shared" si="100"/>
        <v>9.1814249999999991</v>
      </c>
      <c r="AA310" s="179">
        <f t="shared" si="101"/>
        <v>26.375858708533588</v>
      </c>
      <c r="AB310" s="179">
        <f t="shared" si="102"/>
        <v>26.725378934533587</v>
      </c>
      <c r="AC310" s="180">
        <f t="shared" si="109"/>
        <v>35.557283708533589</v>
      </c>
      <c r="AD310" s="156">
        <f t="shared" si="103"/>
        <v>35.906803934533585</v>
      </c>
      <c r="AE310" s="146">
        <f>IFERROR(INDEX(Työkonekanta!$L$3:$L$30,MATCH($A310,Työkonekanta!$A$3:$A$30,0),1),0)*AF310</f>
        <v>500000</v>
      </c>
      <c r="AF310" s="146">
        <f>IFERROR(INDEX(Työkonekanta!$N$3:$N$32,MATCH($A310,Työkonekanta!$A$3:$A$32,0),1),0)</f>
        <v>1</v>
      </c>
      <c r="AG310" s="332">
        <f>I310*INDEX(Muuttujat!$U$5:$U$21,MATCH($C310,Muuttujat!$N$5:$N$21,0),1)</f>
        <v>10395</v>
      </c>
      <c r="AH310" s="332">
        <f>J310*INDEX(Muuttujat!$T$5:$T$21,MATCH($C310,Muuttujat!$N$5:$N$21,0),1)</f>
        <v>1669.4023323615163</v>
      </c>
      <c r="AI310" s="332">
        <f t="shared" si="94"/>
        <v>276.28279883381924</v>
      </c>
      <c r="AJ310" s="332">
        <f t="shared" si="95"/>
        <v>0</v>
      </c>
      <c r="AK310" s="332">
        <f t="shared" si="104"/>
        <v>12340.685131195336</v>
      </c>
      <c r="AL310" s="332">
        <f t="shared" si="96"/>
        <v>12340.685131195336</v>
      </c>
    </row>
    <row r="311" spans="1:38">
      <c r="A311" s="139">
        <v>9</v>
      </c>
      <c r="B311" s="139">
        <f>IFERROR(INDEX(Työkonekanta!$F$3:$F$27,MATCH('S0b Baseline kasvu'!$A311,Työkonekanta!$A$3:$A$24,0),1),0)</f>
        <v>0</v>
      </c>
      <c r="C311" s="140">
        <v>2029</v>
      </c>
      <c r="D311" s="141" t="str">
        <f>IFERROR(INDEX(Työkonekanta!$D$3:$D$27,MATCH('S0b Baseline kasvu'!$A311,Työkonekanta!$A$3:$A$24,0),1),"undefined")</f>
        <v>sähkö</v>
      </c>
      <c r="E311" s="145">
        <f>IFERROR(INDEX(Työkonekanta!$G$3:$G$27,MATCH($A311,Työkonekanta!$A$3:$A$24,0),1)*INDEX(Työkonekanta!$H$3:$H$27,MATCH($A311,Työkonekanta!$A$3:$A$24,0),1)*(1+s0b_kasvu*($C311-2019))*$B311,0)</f>
        <v>0</v>
      </c>
      <c r="F311" s="145">
        <f t="shared" si="88"/>
        <v>0</v>
      </c>
      <c r="G311" s="145">
        <f t="shared" si="97"/>
        <v>0</v>
      </c>
      <c r="H311" s="145">
        <f t="shared" si="98"/>
        <v>0</v>
      </c>
      <c r="I311" s="145">
        <f t="shared" si="89"/>
        <v>0</v>
      </c>
      <c r="J311" s="145">
        <f t="shared" si="90"/>
        <v>0</v>
      </c>
      <c r="K311" s="142" t="str">
        <f t="shared" si="99"/>
        <v>kWh</v>
      </c>
      <c r="L311" s="146">
        <f>IFERROR(INDEX(Työkonekanta!$I$3:$I$27,MATCH('S0b Baseline kasvu'!$A311,Työkonekanta!$A$3:$A$24,0),1)*(I311+J311)*f_adblue,0)</f>
        <v>0</v>
      </c>
      <c r="M311" s="146">
        <f t="shared" si="105"/>
        <v>0</v>
      </c>
      <c r="N311" s="143" t="str">
        <f>IF(tuulisähkö_vuosi&lt;='S0b Baseline kasvu'!C311,"tuulisähkö",ostosähkö_nyt)</f>
        <v>jäännössähkö</v>
      </c>
      <c r="O311" s="147">
        <f>INDEX(Muuttujat!$J$5:$J$21,MATCH($C311,Muuttujat!$H$5:$H$21,0),1)</f>
        <v>62.625946521929137</v>
      </c>
      <c r="P311" s="342">
        <f>1-(INDEX(Muuttujat!$O$5:$O$21,MATCH($C311,Muuttujat!$N$5:$N$21,0),1))</f>
        <v>0.9</v>
      </c>
      <c r="Q311" s="342">
        <f>INDEX(Muuttujat!$O$5:$O$21,MATCH($C311,Muuttujat!$N$5:$N$21,0),1)</f>
        <v>0.1</v>
      </c>
      <c r="R311" s="148">
        <f>INDEX(Muuttujat!$P$5:$P$21,MATCH($C311,Muuttujat!$N$5:$N$21,0),1)</f>
        <v>0.10417875759940039</v>
      </c>
      <c r="S311" s="149">
        <f t="shared" si="91"/>
        <v>0</v>
      </c>
      <c r="T311" s="150">
        <f t="shared" si="92"/>
        <v>0</v>
      </c>
      <c r="U311" s="150">
        <f t="shared" si="93"/>
        <v>0</v>
      </c>
      <c r="V311" s="150">
        <f>IFERROR(INDEX(Työkonekanta!$J$3:$J$27,MATCH($A311,Työkonekanta!$A$3:$A$24,0),1)*$B311*ef_li_ion_akku/1000/1000/INDEX(Työkonekanta!$K$3:$K$27,MATCH($A311,Työkonekanta!$A$3:$A$24,0)),0)</f>
        <v>0</v>
      </c>
      <c r="W311" s="149">
        <f t="shared" si="106"/>
        <v>0</v>
      </c>
      <c r="X311" s="150">
        <f t="shared" si="107"/>
        <v>0</v>
      </c>
      <c r="Y311" s="151">
        <f t="shared" si="108"/>
        <v>0</v>
      </c>
      <c r="Z311" s="152">
        <f t="shared" si="100"/>
        <v>0</v>
      </c>
      <c r="AA311" s="179">
        <f t="shared" si="101"/>
        <v>0</v>
      </c>
      <c r="AB311" s="179">
        <f t="shared" si="102"/>
        <v>0</v>
      </c>
      <c r="AC311" s="180">
        <f t="shared" si="109"/>
        <v>0</v>
      </c>
      <c r="AD311" s="156">
        <f t="shared" si="103"/>
        <v>0</v>
      </c>
      <c r="AE311" s="146">
        <f>IFERROR(INDEX(Työkonekanta!$L$3:$L$30,MATCH($A311,Työkonekanta!$A$3:$A$30,0),1),0)*AF311</f>
        <v>0</v>
      </c>
      <c r="AF311" s="146">
        <f>IFERROR(INDEX(Työkonekanta!$N$3:$N$32,MATCH($A311,Työkonekanta!$A$3:$A$32,0),1),0)</f>
        <v>0</v>
      </c>
      <c r="AG311" s="332">
        <f>I311*INDEX(Muuttujat!$U$5:$U$21,MATCH($C311,Muuttujat!$N$5:$N$21,0),1)</f>
        <v>0</v>
      </c>
      <c r="AH311" s="332">
        <f>J311*INDEX(Muuttujat!$T$5:$T$21,MATCH($C311,Muuttujat!$N$5:$N$21,0),1)</f>
        <v>0</v>
      </c>
      <c r="AI311" s="332">
        <f t="shared" si="94"/>
        <v>0</v>
      </c>
      <c r="AJ311" s="332">
        <f t="shared" si="95"/>
        <v>0</v>
      </c>
      <c r="AK311" s="332">
        <f t="shared" si="104"/>
        <v>0</v>
      </c>
      <c r="AL311" s="332">
        <f t="shared" si="96"/>
        <v>0</v>
      </c>
    </row>
    <row r="312" spans="1:38">
      <c r="A312" s="139">
        <v>10</v>
      </c>
      <c r="B312" s="139">
        <f>IFERROR(INDEX(Työkonekanta!$F$3:$F$27,MATCH('S0b Baseline kasvu'!$A312,Työkonekanta!$A$3:$A$24,0),1),0)</f>
        <v>0</v>
      </c>
      <c r="C312" s="140">
        <v>2029</v>
      </c>
      <c r="D312" s="141" t="str">
        <f>IFERROR(INDEX(Työkonekanta!$D$3:$D$27,MATCH('S0b Baseline kasvu'!$A312,Työkonekanta!$A$3:$A$24,0),1),"undefined")</f>
        <v>sähkö</v>
      </c>
      <c r="E312" s="145">
        <f>IFERROR(INDEX(Työkonekanta!$G$3:$G$27,MATCH($A312,Työkonekanta!$A$3:$A$24,0),1)*INDEX(Työkonekanta!$H$3:$H$27,MATCH($A312,Työkonekanta!$A$3:$A$24,0),1)*(1+s0b_kasvu*($C312-2019))*$B312,0)</f>
        <v>0</v>
      </c>
      <c r="F312" s="145">
        <f t="shared" si="88"/>
        <v>0</v>
      </c>
      <c r="G312" s="145">
        <f t="shared" si="97"/>
        <v>0</v>
      </c>
      <c r="H312" s="145">
        <f t="shared" si="98"/>
        <v>0</v>
      </c>
      <c r="I312" s="145">
        <f t="shared" si="89"/>
        <v>0</v>
      </c>
      <c r="J312" s="145">
        <f t="shared" si="90"/>
        <v>0</v>
      </c>
      <c r="K312" s="142" t="str">
        <f t="shared" si="99"/>
        <v>kWh</v>
      </c>
      <c r="L312" s="146">
        <f>IFERROR(INDEX(Työkonekanta!$I$3:$I$27,MATCH('S0b Baseline kasvu'!$A312,Työkonekanta!$A$3:$A$24,0),1)*(I312+J312)*f_adblue,0)</f>
        <v>0</v>
      </c>
      <c r="M312" s="146">
        <f t="shared" si="105"/>
        <v>0</v>
      </c>
      <c r="N312" s="143" t="str">
        <f>IF(tuulisähkö_vuosi&lt;='S0b Baseline kasvu'!C312,"tuulisähkö",ostosähkö_nyt)</f>
        <v>jäännössähkö</v>
      </c>
      <c r="O312" s="147">
        <f>INDEX(Muuttujat!$J$5:$J$21,MATCH($C312,Muuttujat!$H$5:$H$21,0),1)</f>
        <v>62.625946521929137</v>
      </c>
      <c r="P312" s="342">
        <f>1-(INDEX(Muuttujat!$O$5:$O$21,MATCH($C312,Muuttujat!$N$5:$N$21,0),1))</f>
        <v>0.9</v>
      </c>
      <c r="Q312" s="342">
        <f>INDEX(Muuttujat!$O$5:$O$21,MATCH($C312,Muuttujat!$N$5:$N$21,0),1)</f>
        <v>0.1</v>
      </c>
      <c r="R312" s="148">
        <f>INDEX(Muuttujat!$P$5:$P$21,MATCH($C312,Muuttujat!$N$5:$N$21,0),1)</f>
        <v>0.10417875759940039</v>
      </c>
      <c r="S312" s="149">
        <f t="shared" si="91"/>
        <v>0</v>
      </c>
      <c r="T312" s="150">
        <f t="shared" si="92"/>
        <v>0</v>
      </c>
      <c r="U312" s="150">
        <f t="shared" si="93"/>
        <v>0</v>
      </c>
      <c r="V312" s="150">
        <f>IFERROR(INDEX(Työkonekanta!$J$3:$J$27,MATCH($A312,Työkonekanta!$A$3:$A$24,0),1)*$B312*ef_li_ion_akku/1000/1000/INDEX(Työkonekanta!$K$3:$K$27,MATCH($A312,Työkonekanta!$A$3:$A$24,0)),0)</f>
        <v>0</v>
      </c>
      <c r="W312" s="149">
        <f t="shared" si="106"/>
        <v>0</v>
      </c>
      <c r="X312" s="150">
        <f t="shared" si="107"/>
        <v>0</v>
      </c>
      <c r="Y312" s="151">
        <f t="shared" si="108"/>
        <v>0</v>
      </c>
      <c r="Z312" s="152">
        <f t="shared" si="100"/>
        <v>0</v>
      </c>
      <c r="AA312" s="179">
        <f t="shared" si="101"/>
        <v>0</v>
      </c>
      <c r="AB312" s="179">
        <f t="shared" si="102"/>
        <v>0</v>
      </c>
      <c r="AC312" s="180">
        <f t="shared" si="109"/>
        <v>0</v>
      </c>
      <c r="AD312" s="156">
        <f t="shared" si="103"/>
        <v>0</v>
      </c>
      <c r="AE312" s="146">
        <f>IFERROR(INDEX(Työkonekanta!$L$3:$L$30,MATCH($A312,Työkonekanta!$A$3:$A$30,0),1),0)*AF312</f>
        <v>0</v>
      </c>
      <c r="AF312" s="146">
        <f>IFERROR(INDEX(Työkonekanta!$N$3:$N$32,MATCH($A312,Työkonekanta!$A$3:$A$32,0),1),0)</f>
        <v>0</v>
      </c>
      <c r="AG312" s="332">
        <f>I312*INDEX(Muuttujat!$U$5:$U$21,MATCH($C312,Muuttujat!$N$5:$N$21,0),1)</f>
        <v>0</v>
      </c>
      <c r="AH312" s="332">
        <f>J312*INDEX(Muuttujat!$T$5:$T$21,MATCH($C312,Muuttujat!$N$5:$N$21,0),1)</f>
        <v>0</v>
      </c>
      <c r="AI312" s="332">
        <f t="shared" si="94"/>
        <v>0</v>
      </c>
      <c r="AJ312" s="332">
        <f t="shared" si="95"/>
        <v>0</v>
      </c>
      <c r="AK312" s="332">
        <f t="shared" si="104"/>
        <v>0</v>
      </c>
      <c r="AL312" s="332">
        <f t="shared" si="96"/>
        <v>0</v>
      </c>
    </row>
    <row r="313" spans="1:38">
      <c r="A313" s="139">
        <v>11</v>
      </c>
      <c r="B313" s="139">
        <f>IFERROR(INDEX(Työkonekanta!$F$3:$F$27,MATCH('S0b Baseline kasvu'!$A313,Työkonekanta!$A$3:$A$24,0),1),0)</f>
        <v>1</v>
      </c>
      <c r="C313" s="140">
        <v>2029</v>
      </c>
      <c r="D313" s="141" t="str">
        <f>IFERROR(INDEX(Työkonekanta!$D$3:$D$27,MATCH('S0b Baseline kasvu'!$A313,Työkonekanta!$A$3:$A$24,0),1),"undefined")</f>
        <v>pom</v>
      </c>
      <c r="E313" s="145">
        <f>IFERROR(INDEX(Työkonekanta!$G$3:$G$27,MATCH($A313,Työkonekanta!$A$3:$A$24,0),1)*INDEX(Työkonekanta!$H$3:$H$27,MATCH($A313,Työkonekanta!$A$3:$A$24,0),1)*(1+s0b_kasvu*($C313-2019))*$B313,0)</f>
        <v>11000</v>
      </c>
      <c r="F313" s="145">
        <f t="shared" si="88"/>
        <v>394900</v>
      </c>
      <c r="G313" s="145">
        <f t="shared" si="97"/>
        <v>355410</v>
      </c>
      <c r="H313" s="145">
        <f t="shared" si="98"/>
        <v>39490</v>
      </c>
      <c r="I313" s="145">
        <f t="shared" si="89"/>
        <v>9900</v>
      </c>
      <c r="J313" s="145">
        <f t="shared" si="90"/>
        <v>1151.3119533527697</v>
      </c>
      <c r="K313" s="142" t="str">
        <f t="shared" si="99"/>
        <v>l</v>
      </c>
      <c r="L313" s="146">
        <f>IFERROR(INDEX(Työkonekanta!$I$3:$I$27,MATCH('S0b Baseline kasvu'!$A313,Työkonekanta!$A$3:$A$24,0),1)*(I313+J313)*f_adblue,0)</f>
        <v>552.56559766763849</v>
      </c>
      <c r="M313" s="146">
        <f t="shared" si="105"/>
        <v>0</v>
      </c>
      <c r="N313" s="143" t="str">
        <f>IF(tuulisähkö_vuosi&lt;='S0b Baseline kasvu'!C313,"tuulisähkö",ostosähkö_nyt)</f>
        <v>jäännössähkö</v>
      </c>
      <c r="O313" s="147">
        <f>INDEX(Muuttujat!$J$5:$J$21,MATCH($C313,Muuttujat!$H$5:$H$21,0),1)</f>
        <v>62.625946521929137</v>
      </c>
      <c r="P313" s="342">
        <f>1-(INDEX(Muuttujat!$O$5:$O$21,MATCH($C313,Muuttujat!$N$5:$N$21,0),1))</f>
        <v>0.9</v>
      </c>
      <c r="Q313" s="342">
        <f>INDEX(Muuttujat!$O$5:$O$21,MATCH($C313,Muuttujat!$N$5:$N$21,0),1)</f>
        <v>0.1</v>
      </c>
      <c r="R313" s="148">
        <f>INDEX(Muuttujat!$P$5:$P$21,MATCH($C313,Muuttujat!$N$5:$N$21,0),1)</f>
        <v>0.10417875759940039</v>
      </c>
      <c r="S313" s="149">
        <f t="shared" si="91"/>
        <v>6.7172489999999989</v>
      </c>
      <c r="T313" s="150">
        <f t="shared" si="92"/>
        <v>2.4641760000000001</v>
      </c>
      <c r="U313" s="150">
        <f t="shared" si="93"/>
        <v>0</v>
      </c>
      <c r="V313" s="150">
        <f>IFERROR(INDEX(Työkonekanta!$J$3:$J$27,MATCH($A313,Työkonekanta!$A$3:$A$24,0),1)*$B313*ef_li_ion_akku/1000/1000/INDEX(Työkonekanta!$K$3:$K$27,MATCH($A313,Työkonekanta!$A$3:$A$24,0)),0)</f>
        <v>0</v>
      </c>
      <c r="W313" s="149">
        <f t="shared" si="106"/>
        <v>26.232191653140003</v>
      </c>
      <c r="X313" s="150">
        <f t="shared" si="107"/>
        <v>0.34952022600000004</v>
      </c>
      <c r="Y313" s="151">
        <f t="shared" si="108"/>
        <v>0.14366705539358599</v>
      </c>
      <c r="Z313" s="152">
        <f t="shared" si="100"/>
        <v>9.1814249999999991</v>
      </c>
      <c r="AA313" s="179">
        <f t="shared" si="101"/>
        <v>26.375858708533588</v>
      </c>
      <c r="AB313" s="179">
        <f t="shared" si="102"/>
        <v>26.725378934533587</v>
      </c>
      <c r="AC313" s="180">
        <f t="shared" si="109"/>
        <v>35.557283708533589</v>
      </c>
      <c r="AD313" s="156">
        <f t="shared" si="103"/>
        <v>35.906803934533585</v>
      </c>
      <c r="AE313" s="146">
        <f>IFERROR(INDEX(Työkonekanta!$L$3:$L$30,MATCH($A313,Työkonekanta!$A$3:$A$30,0),1),0)*AF313</f>
        <v>500000</v>
      </c>
      <c r="AF313" s="146">
        <f>IFERROR(INDEX(Työkonekanta!$N$3:$N$32,MATCH($A313,Työkonekanta!$A$3:$A$32,0),1),0)</f>
        <v>1</v>
      </c>
      <c r="AG313" s="332">
        <f>I313*INDEX(Muuttujat!$U$5:$U$21,MATCH($C313,Muuttujat!$N$5:$N$21,0),1)</f>
        <v>10395</v>
      </c>
      <c r="AH313" s="332">
        <f>J313*INDEX(Muuttujat!$T$5:$T$21,MATCH($C313,Muuttujat!$N$5:$N$21,0),1)</f>
        <v>1669.4023323615163</v>
      </c>
      <c r="AI313" s="332">
        <f t="shared" si="94"/>
        <v>276.28279883381924</v>
      </c>
      <c r="AJ313" s="332">
        <f t="shared" si="95"/>
        <v>0</v>
      </c>
      <c r="AK313" s="332">
        <f t="shared" si="104"/>
        <v>12340.685131195336</v>
      </c>
      <c r="AL313" s="332">
        <f t="shared" si="96"/>
        <v>12340.685131195336</v>
      </c>
    </row>
    <row r="314" spans="1:38">
      <c r="A314" s="139">
        <v>12</v>
      </c>
      <c r="B314" s="139">
        <f>IFERROR(INDEX(Työkonekanta!$F$3:$F$27,MATCH('S0b Baseline kasvu'!$A314,Työkonekanta!$A$3:$A$24,0),1),0)</f>
        <v>1</v>
      </c>
      <c r="C314" s="140">
        <v>2029</v>
      </c>
      <c r="D314" s="141" t="str">
        <f>IFERROR(INDEX(Työkonekanta!$D$3:$D$27,MATCH('S0b Baseline kasvu'!$A314,Työkonekanta!$A$3:$A$24,0),1),"undefined")</f>
        <v>pom</v>
      </c>
      <c r="E314" s="145">
        <f>IFERROR(INDEX(Työkonekanta!$G$3:$G$27,MATCH($A314,Työkonekanta!$A$3:$A$24,0),1)*INDEX(Työkonekanta!$H$3:$H$27,MATCH($A314,Työkonekanta!$A$3:$A$24,0),1)*(1+s0b_kasvu*($C314-2019))*$B314,0)</f>
        <v>11000</v>
      </c>
      <c r="F314" s="145">
        <f t="shared" si="88"/>
        <v>394900</v>
      </c>
      <c r="G314" s="145">
        <f t="shared" si="97"/>
        <v>355410</v>
      </c>
      <c r="H314" s="145">
        <f t="shared" si="98"/>
        <v>39490</v>
      </c>
      <c r="I314" s="145">
        <f t="shared" si="89"/>
        <v>9900</v>
      </c>
      <c r="J314" s="145">
        <f t="shared" si="90"/>
        <v>1151.3119533527697</v>
      </c>
      <c r="K314" s="142" t="str">
        <f t="shared" si="99"/>
        <v>l</v>
      </c>
      <c r="L314" s="146">
        <f>IFERROR(INDEX(Työkonekanta!$I$3:$I$27,MATCH('S0b Baseline kasvu'!$A314,Työkonekanta!$A$3:$A$24,0),1)*(I314+J314)*f_adblue,0)</f>
        <v>552.56559766763849</v>
      </c>
      <c r="M314" s="146">
        <f t="shared" si="105"/>
        <v>0</v>
      </c>
      <c r="N314" s="143" t="str">
        <f>IF(tuulisähkö_vuosi&lt;='S0b Baseline kasvu'!C314,"tuulisähkö",ostosähkö_nyt)</f>
        <v>jäännössähkö</v>
      </c>
      <c r="O314" s="147">
        <f>INDEX(Muuttujat!$J$5:$J$21,MATCH($C314,Muuttujat!$H$5:$H$21,0),1)</f>
        <v>62.625946521929137</v>
      </c>
      <c r="P314" s="342">
        <f>1-(INDEX(Muuttujat!$O$5:$O$21,MATCH($C314,Muuttujat!$N$5:$N$21,0),1))</f>
        <v>0.9</v>
      </c>
      <c r="Q314" s="342">
        <f>INDEX(Muuttujat!$O$5:$O$21,MATCH($C314,Muuttujat!$N$5:$N$21,0),1)</f>
        <v>0.1</v>
      </c>
      <c r="R314" s="148">
        <f>INDEX(Muuttujat!$P$5:$P$21,MATCH($C314,Muuttujat!$N$5:$N$21,0),1)</f>
        <v>0.10417875759940039</v>
      </c>
      <c r="S314" s="149">
        <f t="shared" si="91"/>
        <v>6.7172489999999989</v>
      </c>
      <c r="T314" s="150">
        <f t="shared" si="92"/>
        <v>2.4641760000000001</v>
      </c>
      <c r="U314" s="150">
        <f t="shared" si="93"/>
        <v>0</v>
      </c>
      <c r="V314" s="150">
        <f>IFERROR(INDEX(Työkonekanta!$J$3:$J$27,MATCH($A314,Työkonekanta!$A$3:$A$24,0),1)*$B314*ef_li_ion_akku/1000/1000/INDEX(Työkonekanta!$K$3:$K$27,MATCH($A314,Työkonekanta!$A$3:$A$24,0)),0)</f>
        <v>0</v>
      </c>
      <c r="W314" s="149">
        <f t="shared" si="106"/>
        <v>26.232191653140003</v>
      </c>
      <c r="X314" s="150">
        <f t="shared" si="107"/>
        <v>0.34952022600000004</v>
      </c>
      <c r="Y314" s="151">
        <f t="shared" si="108"/>
        <v>0.14366705539358599</v>
      </c>
      <c r="Z314" s="152">
        <f t="shared" si="100"/>
        <v>9.1814249999999991</v>
      </c>
      <c r="AA314" s="179">
        <f t="shared" si="101"/>
        <v>26.375858708533588</v>
      </c>
      <c r="AB314" s="179">
        <f t="shared" si="102"/>
        <v>26.725378934533587</v>
      </c>
      <c r="AC314" s="180">
        <f t="shared" si="109"/>
        <v>35.557283708533589</v>
      </c>
      <c r="AD314" s="156">
        <f t="shared" si="103"/>
        <v>35.906803934533585</v>
      </c>
      <c r="AE314" s="146">
        <f>IFERROR(INDEX(Työkonekanta!$L$3:$L$30,MATCH($A314,Työkonekanta!$A$3:$A$30,0),1),0)*AF314</f>
        <v>500000</v>
      </c>
      <c r="AF314" s="146">
        <f>IFERROR(INDEX(Työkonekanta!$N$3:$N$32,MATCH($A314,Työkonekanta!$A$3:$A$32,0),1),0)</f>
        <v>1</v>
      </c>
      <c r="AG314" s="332">
        <f>I314*INDEX(Muuttujat!$U$5:$U$21,MATCH($C314,Muuttujat!$N$5:$N$21,0),1)</f>
        <v>10395</v>
      </c>
      <c r="AH314" s="332">
        <f>J314*INDEX(Muuttujat!$T$5:$T$21,MATCH($C314,Muuttujat!$N$5:$N$21,0),1)</f>
        <v>1669.4023323615163</v>
      </c>
      <c r="AI314" s="332">
        <f t="shared" si="94"/>
        <v>276.28279883381924</v>
      </c>
      <c r="AJ314" s="332">
        <f t="shared" si="95"/>
        <v>0</v>
      </c>
      <c r="AK314" s="332">
        <f t="shared" si="104"/>
        <v>12340.685131195336</v>
      </c>
      <c r="AL314" s="332">
        <f t="shared" si="96"/>
        <v>12340.685131195336</v>
      </c>
    </row>
    <row r="315" spans="1:38">
      <c r="A315" s="139">
        <v>13</v>
      </c>
      <c r="B315" s="139">
        <f>IFERROR(INDEX(Työkonekanta!$F$3:$F$27,MATCH('S0b Baseline kasvu'!$A315,Työkonekanta!$A$3:$A$24,0),1),0)</f>
        <v>0</v>
      </c>
      <c r="C315" s="140">
        <v>2029</v>
      </c>
      <c r="D315" s="141" t="str">
        <f>IFERROR(INDEX(Työkonekanta!$D$3:$D$27,MATCH('S0b Baseline kasvu'!$A315,Työkonekanta!$A$3:$A$24,0),1),"undefined")</f>
        <v>pom</v>
      </c>
      <c r="E315" s="145">
        <f>IFERROR(INDEX(Työkonekanta!$G$3:$G$27,MATCH($A315,Työkonekanta!$A$3:$A$24,0),1)*INDEX(Työkonekanta!$H$3:$H$27,MATCH($A315,Työkonekanta!$A$3:$A$24,0),1)*(1+s0b_kasvu*($C315-2019))*$B315,0)</f>
        <v>0</v>
      </c>
      <c r="F315" s="145">
        <f t="shared" si="88"/>
        <v>0</v>
      </c>
      <c r="G315" s="145">
        <f t="shared" si="97"/>
        <v>0</v>
      </c>
      <c r="H315" s="145">
        <f t="shared" si="98"/>
        <v>0</v>
      </c>
      <c r="I315" s="145">
        <f t="shared" si="89"/>
        <v>0</v>
      </c>
      <c r="J315" s="145">
        <f t="shared" si="90"/>
        <v>0</v>
      </c>
      <c r="K315" s="142" t="str">
        <f t="shared" si="99"/>
        <v>l</v>
      </c>
      <c r="L315" s="146">
        <f>IFERROR(INDEX(Työkonekanta!$I$3:$I$27,MATCH('S0b Baseline kasvu'!$A315,Työkonekanta!$A$3:$A$24,0),1)*(I315+J315)*f_adblue,0)</f>
        <v>0</v>
      </c>
      <c r="M315" s="146">
        <f t="shared" si="105"/>
        <v>0</v>
      </c>
      <c r="N315" s="143" t="str">
        <f>IF(tuulisähkö_vuosi&lt;='S0b Baseline kasvu'!C315,"tuulisähkö",ostosähkö_nyt)</f>
        <v>jäännössähkö</v>
      </c>
      <c r="O315" s="147">
        <f>INDEX(Muuttujat!$J$5:$J$21,MATCH($C315,Muuttujat!$H$5:$H$21,0),1)</f>
        <v>62.625946521929137</v>
      </c>
      <c r="P315" s="342">
        <f>1-(INDEX(Muuttujat!$O$5:$O$21,MATCH($C315,Muuttujat!$N$5:$N$21,0),1))</f>
        <v>0.9</v>
      </c>
      <c r="Q315" s="342">
        <f>INDEX(Muuttujat!$O$5:$O$21,MATCH($C315,Muuttujat!$N$5:$N$21,0),1)</f>
        <v>0.1</v>
      </c>
      <c r="R315" s="148">
        <f>INDEX(Muuttujat!$P$5:$P$21,MATCH($C315,Muuttujat!$N$5:$N$21,0),1)</f>
        <v>0.10417875759940039</v>
      </c>
      <c r="S315" s="149">
        <f t="shared" si="91"/>
        <v>0</v>
      </c>
      <c r="T315" s="150">
        <f t="shared" si="92"/>
        <v>0</v>
      </c>
      <c r="U315" s="150">
        <f t="shared" si="93"/>
        <v>0</v>
      </c>
      <c r="V315" s="150">
        <f>IFERROR(INDEX(Työkonekanta!$J$3:$J$27,MATCH($A315,Työkonekanta!$A$3:$A$24,0),1)*$B315*ef_li_ion_akku/1000/1000/INDEX(Työkonekanta!$K$3:$K$27,MATCH($A315,Työkonekanta!$A$3:$A$24,0)),0)</f>
        <v>0</v>
      </c>
      <c r="W315" s="149">
        <f t="shared" si="106"/>
        <v>0</v>
      </c>
      <c r="X315" s="150">
        <f t="shared" si="107"/>
        <v>0</v>
      </c>
      <c r="Y315" s="151">
        <f t="shared" si="108"/>
        <v>0</v>
      </c>
      <c r="Z315" s="152">
        <f t="shared" si="100"/>
        <v>0</v>
      </c>
      <c r="AA315" s="179">
        <f t="shared" si="101"/>
        <v>0</v>
      </c>
      <c r="AB315" s="179">
        <f t="shared" si="102"/>
        <v>0</v>
      </c>
      <c r="AC315" s="180">
        <f t="shared" si="109"/>
        <v>0</v>
      </c>
      <c r="AD315" s="156">
        <f t="shared" si="103"/>
        <v>0</v>
      </c>
      <c r="AE315" s="146">
        <f>IFERROR(INDEX(Työkonekanta!$L$3:$L$30,MATCH($A315,Työkonekanta!$A$3:$A$30,0),1),0)*AF315</f>
        <v>0</v>
      </c>
      <c r="AF315" s="146">
        <f>IFERROR(INDEX(Työkonekanta!$N$3:$N$32,MATCH($A315,Työkonekanta!$A$3:$A$32,0),1),0)</f>
        <v>0</v>
      </c>
      <c r="AG315" s="332">
        <f>I315*INDEX(Muuttujat!$U$5:$U$21,MATCH($C315,Muuttujat!$N$5:$N$21,0),1)</f>
        <v>0</v>
      </c>
      <c r="AH315" s="332">
        <f>J315*INDEX(Muuttujat!$T$5:$T$21,MATCH($C315,Muuttujat!$N$5:$N$21,0),1)</f>
        <v>0</v>
      </c>
      <c r="AI315" s="332">
        <f t="shared" si="94"/>
        <v>0</v>
      </c>
      <c r="AJ315" s="332">
        <f t="shared" si="95"/>
        <v>0</v>
      </c>
      <c r="AK315" s="332">
        <f t="shared" si="104"/>
        <v>0</v>
      </c>
      <c r="AL315" s="332">
        <f t="shared" si="96"/>
        <v>0</v>
      </c>
    </row>
    <row r="316" spans="1:38">
      <c r="A316" s="139">
        <v>14</v>
      </c>
      <c r="B316" s="139">
        <f>IFERROR(INDEX(Työkonekanta!$F$3:$F$27,MATCH('S0b Baseline kasvu'!$A316,Työkonekanta!$A$3:$A$24,0),1),0)</f>
        <v>0</v>
      </c>
      <c r="C316" s="140">
        <v>2029</v>
      </c>
      <c r="D316" s="141" t="str">
        <f>IFERROR(INDEX(Työkonekanta!$D$3:$D$27,MATCH('S0b Baseline kasvu'!$A316,Työkonekanta!$A$3:$A$24,0),1),"undefined")</f>
        <v>pom</v>
      </c>
      <c r="E316" s="145">
        <f>IFERROR(INDEX(Työkonekanta!$G$3:$G$27,MATCH($A316,Työkonekanta!$A$3:$A$24,0),1)*INDEX(Työkonekanta!$H$3:$H$27,MATCH($A316,Työkonekanta!$A$3:$A$24,0),1)*(1+s0b_kasvu*($C316-2019))*$B316,0)</f>
        <v>0</v>
      </c>
      <c r="F316" s="145">
        <f t="shared" si="88"/>
        <v>0</v>
      </c>
      <c r="G316" s="145">
        <f t="shared" si="97"/>
        <v>0</v>
      </c>
      <c r="H316" s="145">
        <f t="shared" si="98"/>
        <v>0</v>
      </c>
      <c r="I316" s="145">
        <f t="shared" si="89"/>
        <v>0</v>
      </c>
      <c r="J316" s="145">
        <f t="shared" si="90"/>
        <v>0</v>
      </c>
      <c r="K316" s="142" t="str">
        <f t="shared" si="99"/>
        <v>l</v>
      </c>
      <c r="L316" s="146">
        <f>IFERROR(INDEX(Työkonekanta!$I$3:$I$27,MATCH('S0b Baseline kasvu'!$A316,Työkonekanta!$A$3:$A$24,0),1)*(I316+J316)*f_adblue,0)</f>
        <v>0</v>
      </c>
      <c r="M316" s="146">
        <f t="shared" si="105"/>
        <v>0</v>
      </c>
      <c r="N316" s="143" t="str">
        <f>IF(tuulisähkö_vuosi&lt;='S0b Baseline kasvu'!C316,"tuulisähkö",ostosähkö_nyt)</f>
        <v>jäännössähkö</v>
      </c>
      <c r="O316" s="147">
        <f>INDEX(Muuttujat!$J$5:$J$21,MATCH($C316,Muuttujat!$H$5:$H$21,0),1)</f>
        <v>62.625946521929137</v>
      </c>
      <c r="P316" s="342">
        <f>1-(INDEX(Muuttujat!$O$5:$O$21,MATCH($C316,Muuttujat!$N$5:$N$21,0),1))</f>
        <v>0.9</v>
      </c>
      <c r="Q316" s="342">
        <f>INDEX(Muuttujat!$O$5:$O$21,MATCH($C316,Muuttujat!$N$5:$N$21,0),1)</f>
        <v>0.1</v>
      </c>
      <c r="R316" s="148">
        <f>INDEX(Muuttujat!$P$5:$P$21,MATCH($C316,Muuttujat!$N$5:$N$21,0),1)</f>
        <v>0.10417875759940039</v>
      </c>
      <c r="S316" s="149">
        <f t="shared" si="91"/>
        <v>0</v>
      </c>
      <c r="T316" s="150">
        <f t="shared" si="92"/>
        <v>0</v>
      </c>
      <c r="U316" s="150">
        <f t="shared" si="93"/>
        <v>0</v>
      </c>
      <c r="V316" s="150">
        <f>IFERROR(INDEX(Työkonekanta!$J$3:$J$27,MATCH($A316,Työkonekanta!$A$3:$A$24,0),1)*$B316*ef_li_ion_akku/1000/1000/INDEX(Työkonekanta!$K$3:$K$27,MATCH($A316,Työkonekanta!$A$3:$A$24,0)),0)</f>
        <v>0</v>
      </c>
      <c r="W316" s="149">
        <f t="shared" si="106"/>
        <v>0</v>
      </c>
      <c r="X316" s="150">
        <f t="shared" si="107"/>
        <v>0</v>
      </c>
      <c r="Y316" s="151">
        <f t="shared" si="108"/>
        <v>0</v>
      </c>
      <c r="Z316" s="152">
        <f t="shared" si="100"/>
        <v>0</v>
      </c>
      <c r="AA316" s="179">
        <f t="shared" si="101"/>
        <v>0</v>
      </c>
      <c r="AB316" s="179">
        <f t="shared" si="102"/>
        <v>0</v>
      </c>
      <c r="AC316" s="180">
        <f t="shared" si="109"/>
        <v>0</v>
      </c>
      <c r="AD316" s="156">
        <f t="shared" si="103"/>
        <v>0</v>
      </c>
      <c r="AE316" s="146">
        <f>IFERROR(INDEX(Työkonekanta!$L$3:$L$30,MATCH($A316,Työkonekanta!$A$3:$A$30,0),1),0)*AF316</f>
        <v>0</v>
      </c>
      <c r="AF316" s="146">
        <f>IFERROR(INDEX(Työkonekanta!$N$3:$N$32,MATCH($A316,Työkonekanta!$A$3:$A$32,0),1),0)</f>
        <v>0</v>
      </c>
      <c r="AG316" s="332">
        <f>I316*INDEX(Muuttujat!$U$5:$U$21,MATCH($C316,Muuttujat!$N$5:$N$21,0),1)</f>
        <v>0</v>
      </c>
      <c r="AH316" s="332">
        <f>J316*INDEX(Muuttujat!$T$5:$T$21,MATCH($C316,Muuttujat!$N$5:$N$21,0),1)</f>
        <v>0</v>
      </c>
      <c r="AI316" s="332">
        <f t="shared" si="94"/>
        <v>0</v>
      </c>
      <c r="AJ316" s="332">
        <f t="shared" si="95"/>
        <v>0</v>
      </c>
      <c r="AK316" s="332">
        <f t="shared" si="104"/>
        <v>0</v>
      </c>
      <c r="AL316" s="332">
        <f t="shared" si="96"/>
        <v>0</v>
      </c>
    </row>
    <row r="317" spans="1:38">
      <c r="A317" s="139">
        <v>15</v>
      </c>
      <c r="B317" s="139">
        <f>IFERROR(INDEX(Työkonekanta!$F$3:$F$27,MATCH('S0b Baseline kasvu'!$A317,Työkonekanta!$A$3:$A$24,0),1),0)</f>
        <v>0</v>
      </c>
      <c r="C317" s="140">
        <v>2029</v>
      </c>
      <c r="D317" s="141" t="str">
        <f>IFERROR(INDEX(Työkonekanta!$D$3:$D$27,MATCH('S0b Baseline kasvu'!$A317,Työkonekanta!$A$3:$A$24,0),1),"undefined")</f>
        <v>sähkö</v>
      </c>
      <c r="E317" s="145">
        <f>IFERROR(INDEX(Työkonekanta!$G$3:$G$27,MATCH($A317,Työkonekanta!$A$3:$A$24,0),1)*INDEX(Työkonekanta!$H$3:$H$27,MATCH($A317,Työkonekanta!$A$3:$A$24,0),1)*(1+s0b_kasvu*($C317-2019))*$B317,0)</f>
        <v>0</v>
      </c>
      <c r="F317" s="145">
        <f t="shared" si="88"/>
        <v>0</v>
      </c>
      <c r="G317" s="145">
        <f t="shared" si="97"/>
        <v>0</v>
      </c>
      <c r="H317" s="145">
        <f t="shared" si="98"/>
        <v>0</v>
      </c>
      <c r="I317" s="145">
        <f t="shared" si="89"/>
        <v>0</v>
      </c>
      <c r="J317" s="145">
        <f t="shared" si="90"/>
        <v>0</v>
      </c>
      <c r="K317" s="142" t="str">
        <f t="shared" si="99"/>
        <v>kWh</v>
      </c>
      <c r="L317" s="146">
        <f>IFERROR(INDEX(Työkonekanta!$I$3:$I$27,MATCH('S0b Baseline kasvu'!$A317,Työkonekanta!$A$3:$A$24,0),1)*(I317+J317)*f_adblue,0)</f>
        <v>0</v>
      </c>
      <c r="M317" s="146">
        <f t="shared" si="105"/>
        <v>0</v>
      </c>
      <c r="N317" s="143" t="str">
        <f>IF(tuulisähkö_vuosi&lt;='S0b Baseline kasvu'!C317,"tuulisähkö",ostosähkö_nyt)</f>
        <v>jäännössähkö</v>
      </c>
      <c r="O317" s="147">
        <f>INDEX(Muuttujat!$J$5:$J$21,MATCH($C317,Muuttujat!$H$5:$H$21,0),1)</f>
        <v>62.625946521929137</v>
      </c>
      <c r="P317" s="342">
        <f>1-(INDEX(Muuttujat!$O$5:$O$21,MATCH($C317,Muuttujat!$N$5:$N$21,0),1))</f>
        <v>0.9</v>
      </c>
      <c r="Q317" s="342">
        <f>INDEX(Muuttujat!$O$5:$O$21,MATCH($C317,Muuttujat!$N$5:$N$21,0),1)</f>
        <v>0.1</v>
      </c>
      <c r="R317" s="148">
        <f>INDEX(Muuttujat!$P$5:$P$21,MATCH($C317,Muuttujat!$N$5:$N$21,0),1)</f>
        <v>0.10417875759940039</v>
      </c>
      <c r="S317" s="149">
        <f t="shared" si="91"/>
        <v>0</v>
      </c>
      <c r="T317" s="150">
        <f t="shared" si="92"/>
        <v>0</v>
      </c>
      <c r="U317" s="150">
        <f t="shared" si="93"/>
        <v>0</v>
      </c>
      <c r="V317" s="150">
        <f>IFERROR(INDEX(Työkonekanta!$J$3:$J$27,MATCH($A317,Työkonekanta!$A$3:$A$24,0),1)*$B317*ef_li_ion_akku/1000/1000/INDEX(Työkonekanta!$K$3:$K$27,MATCH($A317,Työkonekanta!$A$3:$A$24,0)),0)</f>
        <v>0</v>
      </c>
      <c r="W317" s="149">
        <f t="shared" si="106"/>
        <v>0</v>
      </c>
      <c r="X317" s="150">
        <f t="shared" si="107"/>
        <v>0</v>
      </c>
      <c r="Y317" s="151">
        <f t="shared" si="108"/>
        <v>0</v>
      </c>
      <c r="Z317" s="152">
        <f t="shared" si="100"/>
        <v>0</v>
      </c>
      <c r="AA317" s="179">
        <f t="shared" si="101"/>
        <v>0</v>
      </c>
      <c r="AB317" s="179">
        <f t="shared" si="102"/>
        <v>0</v>
      </c>
      <c r="AC317" s="180">
        <f t="shared" si="109"/>
        <v>0</v>
      </c>
      <c r="AD317" s="156">
        <f t="shared" si="103"/>
        <v>0</v>
      </c>
      <c r="AE317" s="146">
        <f>IFERROR(INDEX(Työkonekanta!$L$3:$L$30,MATCH($A317,Työkonekanta!$A$3:$A$30,0),1),0)*AF317</f>
        <v>0</v>
      </c>
      <c r="AF317" s="146">
        <f>IFERROR(INDEX(Työkonekanta!$N$3:$N$32,MATCH($A317,Työkonekanta!$A$3:$A$32,0),1),0)</f>
        <v>0</v>
      </c>
      <c r="AG317" s="332">
        <f>I317*INDEX(Muuttujat!$U$5:$U$21,MATCH($C317,Muuttujat!$N$5:$N$21,0),1)</f>
        <v>0</v>
      </c>
      <c r="AH317" s="332">
        <f>J317*INDEX(Muuttujat!$T$5:$T$21,MATCH($C317,Muuttujat!$N$5:$N$21,0),1)</f>
        <v>0</v>
      </c>
      <c r="AI317" s="332">
        <f t="shared" si="94"/>
        <v>0</v>
      </c>
      <c r="AJ317" s="332">
        <f t="shared" si="95"/>
        <v>0</v>
      </c>
      <c r="AK317" s="332">
        <f t="shared" si="104"/>
        <v>0</v>
      </c>
      <c r="AL317" s="332">
        <f t="shared" si="96"/>
        <v>0</v>
      </c>
    </row>
    <row r="318" spans="1:38">
      <c r="A318" s="139">
        <v>16</v>
      </c>
      <c r="B318" s="139">
        <f>IFERROR(INDEX(Työkonekanta!$F$3:$F$27,MATCH('S0b Baseline kasvu'!$A318,Työkonekanta!$A$3:$A$24,0),1),0)</f>
        <v>0</v>
      </c>
      <c r="C318" s="140">
        <v>2029</v>
      </c>
      <c r="D318" s="141" t="str">
        <f>IFERROR(INDEX(Työkonekanta!$D$3:$D$27,MATCH('S0b Baseline kasvu'!$A318,Työkonekanta!$A$3:$A$24,0),1),"undefined")</f>
        <v>sähkö</v>
      </c>
      <c r="E318" s="145">
        <f>IFERROR(INDEX(Työkonekanta!$G$3:$G$27,MATCH($A318,Työkonekanta!$A$3:$A$24,0),1)*INDEX(Työkonekanta!$H$3:$H$27,MATCH($A318,Työkonekanta!$A$3:$A$24,0),1)*(1+s0b_kasvu*($C318-2019))*$B318,0)</f>
        <v>0</v>
      </c>
      <c r="F318" s="145">
        <f t="shared" si="88"/>
        <v>0</v>
      </c>
      <c r="G318" s="145">
        <f t="shared" si="97"/>
        <v>0</v>
      </c>
      <c r="H318" s="145">
        <f t="shared" si="98"/>
        <v>0</v>
      </c>
      <c r="I318" s="145">
        <f t="shared" si="89"/>
        <v>0</v>
      </c>
      <c r="J318" s="145">
        <f t="shared" si="90"/>
        <v>0</v>
      </c>
      <c r="K318" s="142" t="str">
        <f t="shared" si="99"/>
        <v>kWh</v>
      </c>
      <c r="L318" s="146">
        <f>IFERROR(INDEX(Työkonekanta!$I$3:$I$27,MATCH('S0b Baseline kasvu'!$A318,Työkonekanta!$A$3:$A$24,0),1)*(I318+J318)*f_adblue,0)</f>
        <v>0</v>
      </c>
      <c r="M318" s="146">
        <f t="shared" si="105"/>
        <v>0</v>
      </c>
      <c r="N318" s="143" t="str">
        <f>IF(tuulisähkö_vuosi&lt;='S0b Baseline kasvu'!C318,"tuulisähkö",ostosähkö_nyt)</f>
        <v>jäännössähkö</v>
      </c>
      <c r="O318" s="147">
        <f>INDEX(Muuttujat!$J$5:$J$21,MATCH($C318,Muuttujat!$H$5:$H$21,0),1)</f>
        <v>62.625946521929137</v>
      </c>
      <c r="P318" s="342">
        <f>1-(INDEX(Muuttujat!$O$5:$O$21,MATCH($C318,Muuttujat!$N$5:$N$21,0),1))</f>
        <v>0.9</v>
      </c>
      <c r="Q318" s="342">
        <f>INDEX(Muuttujat!$O$5:$O$21,MATCH($C318,Muuttujat!$N$5:$N$21,0),1)</f>
        <v>0.1</v>
      </c>
      <c r="R318" s="148">
        <f>INDEX(Muuttujat!$P$5:$P$21,MATCH($C318,Muuttujat!$N$5:$N$21,0),1)</f>
        <v>0.10417875759940039</v>
      </c>
      <c r="S318" s="149">
        <f t="shared" si="91"/>
        <v>0</v>
      </c>
      <c r="T318" s="150">
        <f t="shared" si="92"/>
        <v>0</v>
      </c>
      <c r="U318" s="150">
        <f t="shared" si="93"/>
        <v>0</v>
      </c>
      <c r="V318" s="150">
        <f>IFERROR(INDEX(Työkonekanta!$J$3:$J$27,MATCH($A318,Työkonekanta!$A$3:$A$24,0),1)*$B318*ef_li_ion_akku/1000/1000/INDEX(Työkonekanta!$K$3:$K$27,MATCH($A318,Työkonekanta!$A$3:$A$24,0)),0)</f>
        <v>0</v>
      </c>
      <c r="W318" s="149">
        <f t="shared" si="106"/>
        <v>0</v>
      </c>
      <c r="X318" s="150">
        <f t="shared" si="107"/>
        <v>0</v>
      </c>
      <c r="Y318" s="151">
        <f t="shared" si="108"/>
        <v>0</v>
      </c>
      <c r="Z318" s="152">
        <f t="shared" si="100"/>
        <v>0</v>
      </c>
      <c r="AA318" s="179">
        <f t="shared" si="101"/>
        <v>0</v>
      </c>
      <c r="AB318" s="179">
        <f t="shared" si="102"/>
        <v>0</v>
      </c>
      <c r="AC318" s="180">
        <f t="shared" si="109"/>
        <v>0</v>
      </c>
      <c r="AD318" s="156">
        <f t="shared" si="103"/>
        <v>0</v>
      </c>
      <c r="AE318" s="146">
        <f>IFERROR(INDEX(Työkonekanta!$L$3:$L$30,MATCH($A318,Työkonekanta!$A$3:$A$30,0),1),0)*AF318</f>
        <v>0</v>
      </c>
      <c r="AF318" s="146">
        <f>IFERROR(INDEX(Työkonekanta!$N$3:$N$32,MATCH($A318,Työkonekanta!$A$3:$A$32,0),1),0)</f>
        <v>0</v>
      </c>
      <c r="AG318" s="332">
        <f>I318*INDEX(Muuttujat!$U$5:$U$21,MATCH($C318,Muuttujat!$N$5:$N$21,0),1)</f>
        <v>0</v>
      </c>
      <c r="AH318" s="332">
        <f>J318*INDEX(Muuttujat!$T$5:$T$21,MATCH($C318,Muuttujat!$N$5:$N$21,0),1)</f>
        <v>0</v>
      </c>
      <c r="AI318" s="332">
        <f t="shared" si="94"/>
        <v>0</v>
      </c>
      <c r="AJ318" s="332">
        <f t="shared" si="95"/>
        <v>0</v>
      </c>
      <c r="AK318" s="332">
        <f t="shared" si="104"/>
        <v>0</v>
      </c>
      <c r="AL318" s="332">
        <f t="shared" si="96"/>
        <v>0</v>
      </c>
    </row>
    <row r="319" spans="1:38">
      <c r="A319" s="139">
        <v>17</v>
      </c>
      <c r="B319" s="139">
        <f>IFERROR(INDEX(Työkonekanta!$F$3:$F$27,MATCH('S0b Baseline kasvu'!$A319,Työkonekanta!$A$3:$A$24,0),1),0)</f>
        <v>1</v>
      </c>
      <c r="C319" s="140">
        <v>2029</v>
      </c>
      <c r="D319" s="141" t="str">
        <f>IFERROR(INDEX(Työkonekanta!$D$3:$D$27,MATCH('S0b Baseline kasvu'!$A319,Työkonekanta!$A$3:$A$24,0),1),"undefined")</f>
        <v>pom</v>
      </c>
      <c r="E319" s="145">
        <f>IFERROR(INDEX(Työkonekanta!$G$3:$G$27,MATCH($A319,Työkonekanta!$A$3:$A$24,0),1)*INDEX(Työkonekanta!$H$3:$H$27,MATCH($A319,Työkonekanta!$A$3:$A$24,0),1)*(1+s0b_kasvu*($C319-2019))*$B319,0)</f>
        <v>11000</v>
      </c>
      <c r="F319" s="145">
        <f t="shared" si="88"/>
        <v>394900</v>
      </c>
      <c r="G319" s="145">
        <f t="shared" si="97"/>
        <v>355410</v>
      </c>
      <c r="H319" s="145">
        <f t="shared" si="98"/>
        <v>39490</v>
      </c>
      <c r="I319" s="145">
        <f t="shared" si="89"/>
        <v>9900</v>
      </c>
      <c r="J319" s="145">
        <f t="shared" si="90"/>
        <v>1151.3119533527697</v>
      </c>
      <c r="K319" s="142" t="str">
        <f t="shared" si="99"/>
        <v>l</v>
      </c>
      <c r="L319" s="146">
        <f>IFERROR(INDEX(Työkonekanta!$I$3:$I$27,MATCH('S0b Baseline kasvu'!$A319,Työkonekanta!$A$3:$A$24,0),1)*(I319+J319)*f_adblue,0)</f>
        <v>552.56559766763849</v>
      </c>
      <c r="M319" s="146">
        <f t="shared" si="105"/>
        <v>0</v>
      </c>
      <c r="N319" s="143" t="str">
        <f>IF(tuulisähkö_vuosi&lt;='S0b Baseline kasvu'!C319,"tuulisähkö",ostosähkö_nyt)</f>
        <v>jäännössähkö</v>
      </c>
      <c r="O319" s="147">
        <f>INDEX(Muuttujat!$J$5:$J$21,MATCH($C319,Muuttujat!$H$5:$H$21,0),1)</f>
        <v>62.625946521929137</v>
      </c>
      <c r="P319" s="342">
        <f>1-(INDEX(Muuttujat!$O$5:$O$21,MATCH($C319,Muuttujat!$N$5:$N$21,0),1))</f>
        <v>0.9</v>
      </c>
      <c r="Q319" s="342">
        <f>INDEX(Muuttujat!$O$5:$O$21,MATCH($C319,Muuttujat!$N$5:$N$21,0),1)</f>
        <v>0.1</v>
      </c>
      <c r="R319" s="148">
        <f>INDEX(Muuttujat!$P$5:$P$21,MATCH($C319,Muuttujat!$N$5:$N$21,0),1)</f>
        <v>0.10417875759940039</v>
      </c>
      <c r="S319" s="149">
        <f t="shared" si="91"/>
        <v>6.7172489999999989</v>
      </c>
      <c r="T319" s="150">
        <f t="shared" si="92"/>
        <v>2.4641760000000001</v>
      </c>
      <c r="U319" s="150">
        <f t="shared" si="93"/>
        <v>0</v>
      </c>
      <c r="V319" s="150">
        <f>IFERROR(INDEX(Työkonekanta!$J$3:$J$27,MATCH($A319,Työkonekanta!$A$3:$A$24,0),1)*$B319*ef_li_ion_akku/1000/1000/INDEX(Työkonekanta!$K$3:$K$27,MATCH($A319,Työkonekanta!$A$3:$A$24,0)),0)</f>
        <v>0</v>
      </c>
      <c r="W319" s="149">
        <f t="shared" si="106"/>
        <v>26.232191653140003</v>
      </c>
      <c r="X319" s="150">
        <f t="shared" si="107"/>
        <v>0.34952022600000004</v>
      </c>
      <c r="Y319" s="151">
        <f t="shared" si="108"/>
        <v>0.14366705539358599</v>
      </c>
      <c r="Z319" s="152">
        <f t="shared" si="100"/>
        <v>9.1814249999999991</v>
      </c>
      <c r="AA319" s="179">
        <f t="shared" si="101"/>
        <v>26.375858708533588</v>
      </c>
      <c r="AB319" s="179">
        <f t="shared" si="102"/>
        <v>26.725378934533587</v>
      </c>
      <c r="AC319" s="180">
        <f t="shared" si="109"/>
        <v>35.557283708533589</v>
      </c>
      <c r="AD319" s="156">
        <f t="shared" si="103"/>
        <v>35.906803934533585</v>
      </c>
      <c r="AE319" s="146">
        <f>IFERROR(INDEX(Työkonekanta!$L$3:$L$30,MATCH($A319,Työkonekanta!$A$3:$A$30,0),1),0)*AF319</f>
        <v>500000</v>
      </c>
      <c r="AF319" s="146">
        <f>IFERROR(INDEX(Työkonekanta!$N$3:$N$32,MATCH($A319,Työkonekanta!$A$3:$A$32,0),1),0)</f>
        <v>1</v>
      </c>
      <c r="AG319" s="332">
        <f>I319*INDEX(Muuttujat!$U$5:$U$21,MATCH($C319,Muuttujat!$N$5:$N$21,0),1)</f>
        <v>10395</v>
      </c>
      <c r="AH319" s="332">
        <f>J319*INDEX(Muuttujat!$T$5:$T$21,MATCH($C319,Muuttujat!$N$5:$N$21,0),1)</f>
        <v>1669.4023323615163</v>
      </c>
      <c r="AI319" s="332">
        <f t="shared" si="94"/>
        <v>276.28279883381924</v>
      </c>
      <c r="AJ319" s="332">
        <f t="shared" si="95"/>
        <v>0</v>
      </c>
      <c r="AK319" s="332">
        <f t="shared" si="104"/>
        <v>12340.685131195336</v>
      </c>
      <c r="AL319" s="332">
        <f t="shared" si="96"/>
        <v>12340.685131195336</v>
      </c>
    </row>
    <row r="320" spans="1:38">
      <c r="A320" s="139">
        <v>18</v>
      </c>
      <c r="B320" s="139">
        <f>IFERROR(INDEX(Työkonekanta!$F$3:$F$27,MATCH('S0b Baseline kasvu'!$A320,Työkonekanta!$A$3:$A$24,0),1),0)</f>
        <v>1</v>
      </c>
      <c r="C320" s="140">
        <v>2029</v>
      </c>
      <c r="D320" s="141" t="str">
        <f>IFERROR(INDEX(Työkonekanta!$D$3:$D$27,MATCH('S0b Baseline kasvu'!$A320,Työkonekanta!$A$3:$A$24,0),1),"undefined")</f>
        <v>pom</v>
      </c>
      <c r="E320" s="145">
        <f>IFERROR(INDEX(Työkonekanta!$G$3:$G$27,MATCH($A320,Työkonekanta!$A$3:$A$24,0),1)*INDEX(Työkonekanta!$H$3:$H$27,MATCH($A320,Työkonekanta!$A$3:$A$24,0),1)*(1+s0b_kasvu*($C320-2019))*$B320,0)</f>
        <v>11000</v>
      </c>
      <c r="F320" s="145">
        <f t="shared" si="88"/>
        <v>394900</v>
      </c>
      <c r="G320" s="145">
        <f t="shared" si="97"/>
        <v>355410</v>
      </c>
      <c r="H320" s="145">
        <f t="shared" si="98"/>
        <v>39490</v>
      </c>
      <c r="I320" s="145">
        <f t="shared" si="89"/>
        <v>9900</v>
      </c>
      <c r="J320" s="145">
        <f t="shared" si="90"/>
        <v>1151.3119533527697</v>
      </c>
      <c r="K320" s="142" t="str">
        <f t="shared" si="99"/>
        <v>l</v>
      </c>
      <c r="L320" s="146">
        <f>IFERROR(INDEX(Työkonekanta!$I$3:$I$27,MATCH('S0b Baseline kasvu'!$A320,Työkonekanta!$A$3:$A$24,0),1)*(I320+J320)*f_adblue,0)</f>
        <v>442.0524781341108</v>
      </c>
      <c r="M320" s="146">
        <f t="shared" si="105"/>
        <v>0</v>
      </c>
      <c r="N320" s="143" t="str">
        <f>IF(tuulisähkö_vuosi&lt;='S0b Baseline kasvu'!C320,"tuulisähkö",ostosähkö_nyt)</f>
        <v>jäännössähkö</v>
      </c>
      <c r="O320" s="147">
        <f>INDEX(Muuttujat!$J$5:$J$21,MATCH($C320,Muuttujat!$H$5:$H$21,0),1)</f>
        <v>62.625946521929137</v>
      </c>
      <c r="P320" s="342">
        <f>1-(INDEX(Muuttujat!$O$5:$O$21,MATCH($C320,Muuttujat!$N$5:$N$21,0),1))</f>
        <v>0.9</v>
      </c>
      <c r="Q320" s="342">
        <f>INDEX(Muuttujat!$O$5:$O$21,MATCH($C320,Muuttujat!$N$5:$N$21,0),1)</f>
        <v>0.1</v>
      </c>
      <c r="R320" s="148">
        <f>INDEX(Muuttujat!$P$5:$P$21,MATCH($C320,Muuttujat!$N$5:$N$21,0),1)</f>
        <v>0.10417875759940039</v>
      </c>
      <c r="S320" s="149">
        <f t="shared" si="91"/>
        <v>6.7172489999999989</v>
      </c>
      <c r="T320" s="150">
        <f t="shared" si="92"/>
        <v>2.4641760000000001</v>
      </c>
      <c r="U320" s="150">
        <f t="shared" si="93"/>
        <v>0</v>
      </c>
      <c r="V320" s="150">
        <f>IFERROR(INDEX(Työkonekanta!$J$3:$J$27,MATCH($A320,Työkonekanta!$A$3:$A$24,0),1)*$B320*ef_li_ion_akku/1000/1000/INDEX(Työkonekanta!$K$3:$K$27,MATCH($A320,Työkonekanta!$A$3:$A$24,0)),0)</f>
        <v>0</v>
      </c>
      <c r="W320" s="149">
        <f t="shared" si="106"/>
        <v>26.232191653140003</v>
      </c>
      <c r="X320" s="150">
        <f t="shared" si="107"/>
        <v>0.34952022600000004</v>
      </c>
      <c r="Y320" s="151">
        <f t="shared" si="108"/>
        <v>0.11493364431486881</v>
      </c>
      <c r="Z320" s="152">
        <f t="shared" si="100"/>
        <v>9.1814249999999991</v>
      </c>
      <c r="AA320" s="179">
        <f t="shared" si="101"/>
        <v>26.347125297454873</v>
      </c>
      <c r="AB320" s="179">
        <f t="shared" si="102"/>
        <v>26.696645523454873</v>
      </c>
      <c r="AC320" s="180">
        <f t="shared" si="109"/>
        <v>35.528550297454871</v>
      </c>
      <c r="AD320" s="156">
        <f t="shared" si="103"/>
        <v>35.878070523454873</v>
      </c>
      <c r="AE320" s="146">
        <f>IFERROR(INDEX(Työkonekanta!$L$3:$L$30,MATCH($A320,Työkonekanta!$A$3:$A$30,0),1),0)*AF320</f>
        <v>500000</v>
      </c>
      <c r="AF320" s="146">
        <f>IFERROR(INDEX(Työkonekanta!$N$3:$N$32,MATCH($A320,Työkonekanta!$A$3:$A$32,0),1),0)</f>
        <v>1</v>
      </c>
      <c r="AG320" s="332">
        <f>I320*INDEX(Muuttujat!$U$5:$U$21,MATCH($C320,Muuttujat!$N$5:$N$21,0),1)</f>
        <v>10395</v>
      </c>
      <c r="AH320" s="332">
        <f>J320*INDEX(Muuttujat!$T$5:$T$21,MATCH($C320,Muuttujat!$N$5:$N$21,0),1)</f>
        <v>1669.4023323615163</v>
      </c>
      <c r="AI320" s="332">
        <f t="shared" si="94"/>
        <v>221.0262390670554</v>
      </c>
      <c r="AJ320" s="332">
        <f t="shared" si="95"/>
        <v>0</v>
      </c>
      <c r="AK320" s="332">
        <f t="shared" si="104"/>
        <v>12285.428571428572</v>
      </c>
      <c r="AL320" s="332">
        <f t="shared" si="96"/>
        <v>12285.428571428572</v>
      </c>
    </row>
    <row r="321" spans="1:38">
      <c r="A321" s="139">
        <v>19</v>
      </c>
      <c r="B321" s="139">
        <f>IFERROR(INDEX(Työkonekanta!$F$3:$F$27,MATCH('S0b Baseline kasvu'!$A321,Työkonekanta!$A$3:$A$24,0),1),0)</f>
        <v>0</v>
      </c>
      <c r="C321" s="140">
        <v>2029</v>
      </c>
      <c r="D321" s="141" t="str">
        <f>IFERROR(INDEX(Työkonekanta!$D$3:$D$27,MATCH('S0b Baseline kasvu'!$A321,Työkonekanta!$A$3:$A$24,0),1),"undefined")</f>
        <v>pom</v>
      </c>
      <c r="E321" s="145">
        <f>IFERROR(INDEX(Työkonekanta!$G$3:$G$27,MATCH($A321,Työkonekanta!$A$3:$A$24,0),1)*INDEX(Työkonekanta!$H$3:$H$27,MATCH($A321,Työkonekanta!$A$3:$A$24,0),1)*(1+s0b_kasvu*($C321-2019))*$B321,0)</f>
        <v>0</v>
      </c>
      <c r="F321" s="145">
        <f t="shared" si="88"/>
        <v>0</v>
      </c>
      <c r="G321" s="145">
        <f t="shared" si="97"/>
        <v>0</v>
      </c>
      <c r="H321" s="145">
        <f t="shared" si="98"/>
        <v>0</v>
      </c>
      <c r="I321" s="145">
        <f t="shared" si="89"/>
        <v>0</v>
      </c>
      <c r="J321" s="145">
        <f t="shared" si="90"/>
        <v>0</v>
      </c>
      <c r="K321" s="142" t="str">
        <f t="shared" si="99"/>
        <v>l</v>
      </c>
      <c r="L321" s="146">
        <f>IFERROR(INDEX(Työkonekanta!$I$3:$I$27,MATCH('S0b Baseline kasvu'!$A321,Työkonekanta!$A$3:$A$24,0),1)*(I321+J321)*f_adblue,0)</f>
        <v>0</v>
      </c>
      <c r="M321" s="146">
        <f t="shared" si="105"/>
        <v>0</v>
      </c>
      <c r="N321" s="143" t="str">
        <f>IF(tuulisähkö_vuosi&lt;='S0b Baseline kasvu'!C321,"tuulisähkö",ostosähkö_nyt)</f>
        <v>jäännössähkö</v>
      </c>
      <c r="O321" s="147">
        <f>INDEX(Muuttujat!$J$5:$J$21,MATCH($C321,Muuttujat!$H$5:$H$21,0),1)</f>
        <v>62.625946521929137</v>
      </c>
      <c r="P321" s="342">
        <f>1-(INDEX(Muuttujat!$O$5:$O$21,MATCH($C321,Muuttujat!$N$5:$N$21,0),1))</f>
        <v>0.9</v>
      </c>
      <c r="Q321" s="342">
        <f>INDEX(Muuttujat!$O$5:$O$21,MATCH($C321,Muuttujat!$N$5:$N$21,0),1)</f>
        <v>0.1</v>
      </c>
      <c r="R321" s="148">
        <f>INDEX(Muuttujat!$P$5:$P$21,MATCH($C321,Muuttujat!$N$5:$N$21,0),1)</f>
        <v>0.10417875759940039</v>
      </c>
      <c r="S321" s="149">
        <f t="shared" si="91"/>
        <v>0</v>
      </c>
      <c r="T321" s="150">
        <f t="shared" si="92"/>
        <v>0</v>
      </c>
      <c r="U321" s="150">
        <f t="shared" si="93"/>
        <v>0</v>
      </c>
      <c r="V321" s="150">
        <f>IFERROR(INDEX(Työkonekanta!$J$3:$J$27,MATCH($A321,Työkonekanta!$A$3:$A$24,0),1)*$B321*ef_li_ion_akku/1000/1000/INDEX(Työkonekanta!$K$3:$K$27,MATCH($A321,Työkonekanta!$A$3:$A$24,0)),0)</f>
        <v>0</v>
      </c>
      <c r="W321" s="149">
        <f t="shared" si="106"/>
        <v>0</v>
      </c>
      <c r="X321" s="150">
        <f t="shared" si="107"/>
        <v>0</v>
      </c>
      <c r="Y321" s="151">
        <f t="shared" si="108"/>
        <v>0</v>
      </c>
      <c r="Z321" s="152">
        <f t="shared" si="100"/>
        <v>0</v>
      </c>
      <c r="AA321" s="179">
        <f t="shared" si="101"/>
        <v>0</v>
      </c>
      <c r="AB321" s="179">
        <f t="shared" si="102"/>
        <v>0</v>
      </c>
      <c r="AC321" s="180">
        <f t="shared" si="109"/>
        <v>0</v>
      </c>
      <c r="AD321" s="156">
        <f t="shared" si="103"/>
        <v>0</v>
      </c>
      <c r="AE321" s="146">
        <f>IFERROR(INDEX(Työkonekanta!$L$3:$L$30,MATCH($A321,Työkonekanta!$A$3:$A$30,0),1),0)*AF321</f>
        <v>0</v>
      </c>
      <c r="AF321" s="146">
        <f>IFERROR(INDEX(Työkonekanta!$N$3:$N$32,MATCH($A321,Työkonekanta!$A$3:$A$32,0),1),0)</f>
        <v>0</v>
      </c>
      <c r="AG321" s="332">
        <f>I321*INDEX(Muuttujat!$U$5:$U$21,MATCH($C321,Muuttujat!$N$5:$N$21,0),1)</f>
        <v>0</v>
      </c>
      <c r="AH321" s="332">
        <f>J321*INDEX(Muuttujat!$T$5:$T$21,MATCH($C321,Muuttujat!$N$5:$N$21,0),1)</f>
        <v>0</v>
      </c>
      <c r="AI321" s="332">
        <f t="shared" si="94"/>
        <v>0</v>
      </c>
      <c r="AJ321" s="332">
        <f t="shared" si="95"/>
        <v>0</v>
      </c>
      <c r="AK321" s="332">
        <f t="shared" si="104"/>
        <v>0</v>
      </c>
      <c r="AL321" s="332">
        <f t="shared" si="96"/>
        <v>0</v>
      </c>
    </row>
    <row r="322" spans="1:38">
      <c r="A322" s="139">
        <v>20</v>
      </c>
      <c r="B322" s="139">
        <f>IFERROR(INDEX(Työkonekanta!$F$3:$F$27,MATCH('S0b Baseline kasvu'!$A322,Työkonekanta!$A$3:$A$24,0),1),0)</f>
        <v>0</v>
      </c>
      <c r="C322" s="140">
        <v>2029</v>
      </c>
      <c r="D322" s="141" t="str">
        <f>IFERROR(INDEX(Työkonekanta!$D$3:$D$27,MATCH('S0b Baseline kasvu'!$A322,Työkonekanta!$A$3:$A$24,0),1),"undefined")</f>
        <v>pom</v>
      </c>
      <c r="E322" s="145">
        <f>IFERROR(INDEX(Työkonekanta!$G$3:$G$27,MATCH($A322,Työkonekanta!$A$3:$A$24,0),1)*INDEX(Työkonekanta!$H$3:$H$27,MATCH($A322,Työkonekanta!$A$3:$A$24,0),1)*(1+s0b_kasvu*($C322-2019))*$B322,0)</f>
        <v>0</v>
      </c>
      <c r="F322" s="145">
        <f t="shared" si="88"/>
        <v>0</v>
      </c>
      <c r="G322" s="145">
        <f t="shared" si="97"/>
        <v>0</v>
      </c>
      <c r="H322" s="145">
        <f t="shared" si="98"/>
        <v>0</v>
      </c>
      <c r="I322" s="145">
        <f t="shared" si="89"/>
        <v>0</v>
      </c>
      <c r="J322" s="145">
        <f t="shared" si="90"/>
        <v>0</v>
      </c>
      <c r="K322" s="142" t="str">
        <f t="shared" si="99"/>
        <v>l</v>
      </c>
      <c r="L322" s="146">
        <f>IFERROR(INDEX(Työkonekanta!$I$3:$I$27,MATCH('S0b Baseline kasvu'!$A322,Työkonekanta!$A$3:$A$24,0),1)*(I322+J322)*f_adblue,0)</f>
        <v>0</v>
      </c>
      <c r="M322" s="146">
        <f t="shared" si="105"/>
        <v>0</v>
      </c>
      <c r="N322" s="143" t="str">
        <f>IF(tuulisähkö_vuosi&lt;='S0b Baseline kasvu'!C322,"tuulisähkö",ostosähkö_nyt)</f>
        <v>jäännössähkö</v>
      </c>
      <c r="O322" s="147">
        <f>INDEX(Muuttujat!$J$5:$J$21,MATCH($C322,Muuttujat!$H$5:$H$21,0),1)</f>
        <v>62.625946521929137</v>
      </c>
      <c r="P322" s="342">
        <f>1-(INDEX(Muuttujat!$O$5:$O$21,MATCH($C322,Muuttujat!$N$5:$N$21,0),1))</f>
        <v>0.9</v>
      </c>
      <c r="Q322" s="342">
        <f>INDEX(Muuttujat!$O$5:$O$21,MATCH($C322,Muuttujat!$N$5:$N$21,0),1)</f>
        <v>0.1</v>
      </c>
      <c r="R322" s="148">
        <f>INDEX(Muuttujat!$P$5:$P$21,MATCH($C322,Muuttujat!$N$5:$N$21,0),1)</f>
        <v>0.10417875759940039</v>
      </c>
      <c r="S322" s="149">
        <f t="shared" si="91"/>
        <v>0</v>
      </c>
      <c r="T322" s="150">
        <f t="shared" si="92"/>
        <v>0</v>
      </c>
      <c r="U322" s="150">
        <f t="shared" si="93"/>
        <v>0</v>
      </c>
      <c r="V322" s="150">
        <f>IFERROR(INDEX(Työkonekanta!$J$3:$J$27,MATCH($A322,Työkonekanta!$A$3:$A$24,0),1)*$B322*ef_li_ion_akku/1000/1000/INDEX(Työkonekanta!$K$3:$K$27,MATCH($A322,Työkonekanta!$A$3:$A$24,0)),0)</f>
        <v>0</v>
      </c>
      <c r="W322" s="149">
        <f t="shared" si="106"/>
        <v>0</v>
      </c>
      <c r="X322" s="150">
        <f t="shared" si="107"/>
        <v>0</v>
      </c>
      <c r="Y322" s="151">
        <f t="shared" si="108"/>
        <v>0</v>
      </c>
      <c r="Z322" s="152">
        <f t="shared" si="100"/>
        <v>0</v>
      </c>
      <c r="AA322" s="179">
        <f t="shared" si="101"/>
        <v>0</v>
      </c>
      <c r="AB322" s="179">
        <f t="shared" si="102"/>
        <v>0</v>
      </c>
      <c r="AC322" s="180">
        <f t="shared" si="109"/>
        <v>0</v>
      </c>
      <c r="AD322" s="156">
        <f t="shared" si="103"/>
        <v>0</v>
      </c>
      <c r="AE322" s="146">
        <f>IFERROR(INDEX(Työkonekanta!$L$3:$L$30,MATCH($A322,Työkonekanta!$A$3:$A$30,0),1),0)*AF322</f>
        <v>0</v>
      </c>
      <c r="AF322" s="146">
        <f>IFERROR(INDEX(Työkonekanta!$N$3:$N$32,MATCH($A322,Työkonekanta!$A$3:$A$32,0),1),0)</f>
        <v>0</v>
      </c>
      <c r="AG322" s="332">
        <f>I322*INDEX(Muuttujat!$U$5:$U$21,MATCH($C322,Muuttujat!$N$5:$N$21,0),1)</f>
        <v>0</v>
      </c>
      <c r="AH322" s="332">
        <f>J322*INDEX(Muuttujat!$T$5:$T$21,MATCH($C322,Muuttujat!$N$5:$N$21,0),1)</f>
        <v>0</v>
      </c>
      <c r="AI322" s="332">
        <f t="shared" si="94"/>
        <v>0</v>
      </c>
      <c r="AJ322" s="332">
        <f t="shared" si="95"/>
        <v>0</v>
      </c>
      <c r="AK322" s="332">
        <f t="shared" si="104"/>
        <v>0</v>
      </c>
      <c r="AL322" s="332">
        <f t="shared" si="96"/>
        <v>0</v>
      </c>
    </row>
    <row r="323" spans="1:38">
      <c r="A323" s="139">
        <v>21</v>
      </c>
      <c r="B323" s="139">
        <f>IFERROR(INDEX(Työkonekanta!$F$3:$F$27,MATCH('S0b Baseline kasvu'!$A323,Työkonekanta!$A$3:$A$24,0),1),0)</f>
        <v>35</v>
      </c>
      <c r="C323" s="140">
        <v>2029</v>
      </c>
      <c r="D323" s="141" t="str">
        <f>IFERROR(INDEX(Työkonekanta!$D$3:$D$27,MATCH('S0b Baseline kasvu'!$A323,Työkonekanta!$A$3:$A$24,0),1),"undefined")</f>
        <v>sähkö</v>
      </c>
      <c r="E323" s="145">
        <f>IFERROR(INDEX(Työkonekanta!$G$3:$G$27,MATCH($A323,Työkonekanta!$A$3:$A$24,0),1)*INDEX(Työkonekanta!$H$3:$H$27,MATCH($A323,Työkonekanta!$A$3:$A$24,0),1)*(1+s0b_kasvu*($C323-2019))*$B323,0)</f>
        <v>447918.98148148152</v>
      </c>
      <c r="F323" s="145">
        <f t="shared" ref="F323:F386" si="110">IF(D323="pom",$E323*hv_pom,0)</f>
        <v>0</v>
      </c>
      <c r="G323" s="145">
        <f t="shared" si="97"/>
        <v>0</v>
      </c>
      <c r="H323" s="145">
        <f t="shared" si="98"/>
        <v>0</v>
      </c>
      <c r="I323" s="145">
        <f t="shared" ref="I323:I386" si="111">$G323/hv_pom</f>
        <v>0</v>
      </c>
      <c r="J323" s="145">
        <f t="shared" ref="J323:J386" si="112">$H323/hv_biodies</f>
        <v>0</v>
      </c>
      <c r="K323" s="142" t="str">
        <f t="shared" si="99"/>
        <v>kWh</v>
      </c>
      <c r="L323" s="146">
        <f>IFERROR(INDEX(Työkonekanta!$I$3:$I$27,MATCH('S0b Baseline kasvu'!$A323,Työkonekanta!$A$3:$A$24,0),1)*(I323+J323)*f_adblue,0)</f>
        <v>0</v>
      </c>
      <c r="M323" s="146">
        <f t="shared" si="105"/>
        <v>1612508.3333333335</v>
      </c>
      <c r="N323" s="143" t="str">
        <f>IF(tuulisähkö_vuosi&lt;='S0b Baseline kasvu'!C323,"tuulisähkö",ostosähkö_nyt)</f>
        <v>jäännössähkö</v>
      </c>
      <c r="O323" s="147">
        <f>INDEX(Muuttujat!$J$5:$J$21,MATCH($C323,Muuttujat!$H$5:$H$21,0),1)</f>
        <v>62.625946521929137</v>
      </c>
      <c r="P323" s="342">
        <f>1-(INDEX(Muuttujat!$O$5:$O$21,MATCH($C323,Muuttujat!$N$5:$N$21,0),1))</f>
        <v>0.9</v>
      </c>
      <c r="Q323" s="342">
        <f>INDEX(Muuttujat!$O$5:$O$21,MATCH($C323,Muuttujat!$N$5:$N$21,0),1)</f>
        <v>0.1</v>
      </c>
      <c r="R323" s="148">
        <f>INDEX(Muuttujat!$P$5:$P$21,MATCH($C323,Muuttujat!$N$5:$N$21,0),1)</f>
        <v>0.10417875759940039</v>
      </c>
      <c r="S323" s="149">
        <f t="shared" ref="S323:S386" si="113">wtt_ef_e_co2_dies*$G323/1000/1000</f>
        <v>0</v>
      </c>
      <c r="T323" s="150">
        <f t="shared" ref="T323:T386" si="114">wtt_ef_e_co2_biodies*$H323/1000/1000</f>
        <v>0</v>
      </c>
      <c r="U323" s="150">
        <f t="shared" ref="U323:U386" si="115">IF(N323="jäännössähkö",$O323,IF(N323="tuulisähkö",wtt_ef_e_co2_el_wind,0))*$M323/1000/1000</f>
        <v>100.98486064949843</v>
      </c>
      <c r="V323" s="150">
        <f>IFERROR(INDEX(Työkonekanta!$J$3:$J$27,MATCH($A323,Työkonekanta!$A$3:$A$24,0),1)*$B323*ef_li_ion_akku/1000/1000/INDEX(Työkonekanta!$K$3:$K$27,MATCH($A323,Työkonekanta!$A$3:$A$24,0)),0)</f>
        <v>43.121723076923082</v>
      </c>
      <c r="W323" s="149">
        <f t="shared" si="106"/>
        <v>0</v>
      </c>
      <c r="X323" s="150">
        <f t="shared" si="107"/>
        <v>0</v>
      </c>
      <c r="Y323" s="151">
        <f t="shared" si="108"/>
        <v>0</v>
      </c>
      <c r="Z323" s="152">
        <f t="shared" si="100"/>
        <v>144.10658372642152</v>
      </c>
      <c r="AA323" s="179">
        <f t="shared" si="101"/>
        <v>0</v>
      </c>
      <c r="AB323" s="179">
        <f t="shared" si="102"/>
        <v>0</v>
      </c>
      <c r="AC323" s="180">
        <f t="shared" si="109"/>
        <v>144.10658372642152</v>
      </c>
      <c r="AD323" s="156">
        <f t="shared" si="103"/>
        <v>144.10658372642152</v>
      </c>
      <c r="AE323" s="146">
        <f>IFERROR(INDEX(Työkonekanta!$L$3:$L$30,MATCH($A323,Työkonekanta!$A$3:$A$30,0),1),0)*AF323</f>
        <v>1820000</v>
      </c>
      <c r="AF323" s="146">
        <f>IFERROR(INDEX(Työkonekanta!$N$3:$N$32,MATCH($A323,Työkonekanta!$A$3:$A$32,0),1),0)</f>
        <v>7</v>
      </c>
      <c r="AG323" s="332">
        <f>I323*INDEX(Muuttujat!$U$5:$U$21,MATCH($C323,Muuttujat!$N$5:$N$21,0),1)</f>
        <v>0</v>
      </c>
      <c r="AH323" s="332">
        <f>J323*INDEX(Muuttujat!$T$5:$T$21,MATCH($C323,Muuttujat!$N$5:$N$21,0),1)</f>
        <v>0</v>
      </c>
      <c r="AI323" s="332">
        <f t="shared" ref="AI323:AI386" si="116">L323*hinta_adblue</f>
        <v>0</v>
      </c>
      <c r="AJ323" s="332">
        <f t="shared" ref="AJ323:AJ386" si="117">M323/conv_kwh_mj*hinta_sähkö3</f>
        <v>39640.829861111117</v>
      </c>
      <c r="AK323" s="332">
        <f t="shared" si="104"/>
        <v>39640.829861111117</v>
      </c>
      <c r="AL323" s="332">
        <f t="shared" ref="AL323:AL386" si="118">IFERROR(AK323/B323,0)</f>
        <v>1132.5951388888891</v>
      </c>
    </row>
    <row r="324" spans="1:38">
      <c r="A324" s="139">
        <v>22</v>
      </c>
      <c r="B324" s="139">
        <f>IFERROR(INDEX(Työkonekanta!$F$3:$F$27,MATCH('S0b Baseline kasvu'!$A324,Työkonekanta!$A$3:$A$24,0),1),0)</f>
        <v>0</v>
      </c>
      <c r="C324" s="140">
        <v>2029</v>
      </c>
      <c r="D324" s="141" t="str">
        <f>IFERROR(INDEX(Työkonekanta!$D$3:$D$27,MATCH('S0b Baseline kasvu'!$A324,Työkonekanta!$A$3:$A$24,0),1),"undefined")</f>
        <v>sähkö</v>
      </c>
      <c r="E324" s="145">
        <f>IFERROR(INDEX(Työkonekanta!$G$3:$G$27,MATCH($A324,Työkonekanta!$A$3:$A$24,0),1)*INDEX(Työkonekanta!$H$3:$H$27,MATCH($A324,Työkonekanta!$A$3:$A$24,0),1)*(1+s0b_kasvu*($C324-2019))*$B324,0)</f>
        <v>0</v>
      </c>
      <c r="F324" s="145">
        <f t="shared" si="110"/>
        <v>0</v>
      </c>
      <c r="G324" s="145">
        <f t="shared" ref="G324:G387" si="119">$F324*$P324</f>
        <v>0</v>
      </c>
      <c r="H324" s="145">
        <f t="shared" ref="H324:H387" si="120">$F324*$Q324</f>
        <v>0</v>
      </c>
      <c r="I324" s="145">
        <f t="shared" si="111"/>
        <v>0</v>
      </c>
      <c r="J324" s="145">
        <f t="shared" si="112"/>
        <v>0</v>
      </c>
      <c r="K324" s="142" t="str">
        <f t="shared" ref="K324:K387" si="121">IF($D324="sähkö","kWh",IF($D324="pom","l","undefined"))</f>
        <v>kWh</v>
      </c>
      <c r="L324" s="146">
        <f>IFERROR(INDEX(Työkonekanta!$I$3:$I$27,MATCH('S0b Baseline kasvu'!$A324,Työkonekanta!$A$3:$A$24,0),1)*(I324+J324)*f_adblue,0)</f>
        <v>0</v>
      </c>
      <c r="M324" s="146">
        <f t="shared" si="105"/>
        <v>0</v>
      </c>
      <c r="N324" s="143" t="str">
        <f>IF(tuulisähkö_vuosi&lt;='S0b Baseline kasvu'!C324,"tuulisähkö",ostosähkö_nyt)</f>
        <v>jäännössähkö</v>
      </c>
      <c r="O324" s="147">
        <f>INDEX(Muuttujat!$J$5:$J$21,MATCH($C324,Muuttujat!$H$5:$H$21,0),1)</f>
        <v>62.625946521929137</v>
      </c>
      <c r="P324" s="342">
        <f>1-(INDEX(Muuttujat!$O$5:$O$21,MATCH($C324,Muuttujat!$N$5:$N$21,0),1))</f>
        <v>0.9</v>
      </c>
      <c r="Q324" s="342">
        <f>INDEX(Muuttujat!$O$5:$O$21,MATCH($C324,Muuttujat!$N$5:$N$21,0),1)</f>
        <v>0.1</v>
      </c>
      <c r="R324" s="148">
        <f>INDEX(Muuttujat!$P$5:$P$21,MATCH($C324,Muuttujat!$N$5:$N$21,0),1)</f>
        <v>0.10417875759940039</v>
      </c>
      <c r="S324" s="149">
        <f t="shared" si="113"/>
        <v>0</v>
      </c>
      <c r="T324" s="150">
        <f t="shared" si="114"/>
        <v>0</v>
      </c>
      <c r="U324" s="150">
        <f t="shared" si="115"/>
        <v>0</v>
      </c>
      <c r="V324" s="150">
        <f>IFERROR(INDEX(Työkonekanta!$J$3:$J$27,MATCH($A324,Työkonekanta!$A$3:$A$24,0),1)*$B324*ef_li_ion_akku/1000/1000/INDEX(Työkonekanta!$K$3:$K$27,MATCH($A324,Työkonekanta!$A$3:$A$24,0)),0)</f>
        <v>0</v>
      </c>
      <c r="W324" s="149">
        <f t="shared" si="106"/>
        <v>0</v>
      </c>
      <c r="X324" s="150">
        <f t="shared" si="107"/>
        <v>0</v>
      </c>
      <c r="Y324" s="151">
        <f t="shared" si="108"/>
        <v>0</v>
      </c>
      <c r="Z324" s="152">
        <f t="shared" ref="Z324:Z387" si="122">SUM($S324:$V324)</f>
        <v>0</v>
      </c>
      <c r="AA324" s="179">
        <f t="shared" ref="AA324:AA387" si="123">$W324+$Y324</f>
        <v>0</v>
      </c>
      <c r="AB324" s="179">
        <f t="shared" ref="AB324:AB387" si="124">SUM($W324:$Y324)</f>
        <v>0</v>
      </c>
      <c r="AC324" s="180">
        <f t="shared" si="109"/>
        <v>0</v>
      </c>
      <c r="AD324" s="156">
        <f t="shared" ref="AD324:AD387" si="125">$Z324+$AB324</f>
        <v>0</v>
      </c>
      <c r="AE324" s="146">
        <f>IFERROR(INDEX(Työkonekanta!$L$3:$L$30,MATCH($A324,Työkonekanta!$A$3:$A$30,0),1),0)*AF324</f>
        <v>0</v>
      </c>
      <c r="AF324" s="146">
        <f>IFERROR(INDEX(Työkonekanta!$N$3:$N$32,MATCH($A324,Työkonekanta!$A$3:$A$32,0),1),0)</f>
        <v>0</v>
      </c>
      <c r="AG324" s="332">
        <f>I324*INDEX(Muuttujat!$U$5:$U$21,MATCH($C324,Muuttujat!$N$5:$N$21,0),1)</f>
        <v>0</v>
      </c>
      <c r="AH324" s="332">
        <f>J324*INDEX(Muuttujat!$T$5:$T$21,MATCH($C324,Muuttujat!$N$5:$N$21,0),1)</f>
        <v>0</v>
      </c>
      <c r="AI324" s="332">
        <f t="shared" si="116"/>
        <v>0</v>
      </c>
      <c r="AJ324" s="332">
        <f t="shared" si="117"/>
        <v>0</v>
      </c>
      <c r="AK324" s="332">
        <f t="shared" ref="AK324:AK387" si="126">SUM(AG324:AJ324)</f>
        <v>0</v>
      </c>
      <c r="AL324" s="332">
        <f t="shared" si="118"/>
        <v>0</v>
      </c>
    </row>
    <row r="325" spans="1:38">
      <c r="A325" s="139">
        <v>23</v>
      </c>
      <c r="B325" s="139">
        <f>IFERROR(INDEX(Työkonekanta!$F$3:$F$27,MATCH('S0b Baseline kasvu'!$A325,Työkonekanta!$A$3:$A$24,0),1),0)</f>
        <v>0</v>
      </c>
      <c r="C325" s="140">
        <v>2029</v>
      </c>
      <c r="D325" s="141" t="str">
        <f>IFERROR(INDEX(Työkonekanta!$D$3:$D$27,MATCH('S0b Baseline kasvu'!$A325,Työkonekanta!$A$3:$A$24,0),1),"undefined")</f>
        <v>undefined</v>
      </c>
      <c r="E325" s="145">
        <f>IFERROR(INDEX(Työkonekanta!$G$3:$G$27,MATCH($A325,Työkonekanta!$A$3:$A$24,0),1)*INDEX(Työkonekanta!$H$3:$H$27,MATCH($A325,Työkonekanta!$A$3:$A$24,0),1)*(1+s0b_kasvu*($C325-2019))*$B325,0)</f>
        <v>0</v>
      </c>
      <c r="F325" s="145">
        <f t="shared" si="110"/>
        <v>0</v>
      </c>
      <c r="G325" s="145">
        <f t="shared" si="119"/>
        <v>0</v>
      </c>
      <c r="H325" s="145">
        <f t="shared" si="120"/>
        <v>0</v>
      </c>
      <c r="I325" s="145">
        <f t="shared" si="111"/>
        <v>0</v>
      </c>
      <c r="J325" s="145">
        <f t="shared" si="112"/>
        <v>0</v>
      </c>
      <c r="K325" s="142" t="str">
        <f t="shared" si="121"/>
        <v>undefined</v>
      </c>
      <c r="L325" s="146">
        <f>IFERROR(INDEX(Työkonekanta!$I$3:$I$27,MATCH('S0b Baseline kasvu'!$A325,Työkonekanta!$A$3:$A$24,0),1)*(I325+J325)*f_adblue,0)</f>
        <v>0</v>
      </c>
      <c r="M325" s="146">
        <f t="shared" si="105"/>
        <v>0</v>
      </c>
      <c r="N325" s="143" t="str">
        <f>IF(tuulisähkö_vuosi&lt;='S0b Baseline kasvu'!C325,"tuulisähkö",ostosähkö_nyt)</f>
        <v>jäännössähkö</v>
      </c>
      <c r="O325" s="147">
        <f>INDEX(Muuttujat!$J$5:$J$21,MATCH($C325,Muuttujat!$H$5:$H$21,0),1)</f>
        <v>62.625946521929137</v>
      </c>
      <c r="P325" s="342">
        <f>1-(INDEX(Muuttujat!$O$5:$O$21,MATCH($C325,Muuttujat!$N$5:$N$21,0),1))</f>
        <v>0.9</v>
      </c>
      <c r="Q325" s="342">
        <f>INDEX(Muuttujat!$O$5:$O$21,MATCH($C325,Muuttujat!$N$5:$N$21,0),1)</f>
        <v>0.1</v>
      </c>
      <c r="R325" s="148">
        <f>INDEX(Muuttujat!$P$5:$P$21,MATCH($C325,Muuttujat!$N$5:$N$21,0),1)</f>
        <v>0.10417875759940039</v>
      </c>
      <c r="S325" s="149">
        <f t="shared" si="113"/>
        <v>0</v>
      </c>
      <c r="T325" s="150">
        <f t="shared" si="114"/>
        <v>0</v>
      </c>
      <c r="U325" s="150">
        <f t="shared" si="115"/>
        <v>0</v>
      </c>
      <c r="V325" s="150">
        <f>IFERROR(INDEX(Työkonekanta!$J$3:$J$27,MATCH($A325,Työkonekanta!$A$3:$A$24,0),1)*$B325*ef_li_ion_akku/1000/1000/INDEX(Työkonekanta!$K$3:$K$27,MATCH($A325,Työkonekanta!$A$3:$A$24,0)),0)</f>
        <v>0</v>
      </c>
      <c r="W325" s="149">
        <f t="shared" si="106"/>
        <v>0</v>
      </c>
      <c r="X325" s="150">
        <f t="shared" si="107"/>
        <v>0</v>
      </c>
      <c r="Y325" s="151">
        <f t="shared" si="108"/>
        <v>0</v>
      </c>
      <c r="Z325" s="152">
        <f t="shared" si="122"/>
        <v>0</v>
      </c>
      <c r="AA325" s="179">
        <f t="shared" si="123"/>
        <v>0</v>
      </c>
      <c r="AB325" s="179">
        <f t="shared" si="124"/>
        <v>0</v>
      </c>
      <c r="AC325" s="180">
        <f t="shared" si="109"/>
        <v>0</v>
      </c>
      <c r="AD325" s="156">
        <f t="shared" si="125"/>
        <v>0</v>
      </c>
      <c r="AE325" s="146">
        <f>IFERROR(INDEX(Työkonekanta!$L$3:$L$30,MATCH($A325,Työkonekanta!$A$3:$A$30,0),1),0)*AF325</f>
        <v>0</v>
      </c>
      <c r="AF325" s="146">
        <f>IFERROR(INDEX(Työkonekanta!$N$3:$N$32,MATCH($A325,Työkonekanta!$A$3:$A$32,0),1),0)</f>
        <v>0</v>
      </c>
      <c r="AG325" s="332">
        <f>I325*INDEX(Muuttujat!$U$5:$U$21,MATCH($C325,Muuttujat!$N$5:$N$21,0),1)</f>
        <v>0</v>
      </c>
      <c r="AH325" s="332">
        <f>J325*INDEX(Muuttujat!$T$5:$T$21,MATCH($C325,Muuttujat!$N$5:$N$21,0),1)</f>
        <v>0</v>
      </c>
      <c r="AI325" s="332">
        <f t="shared" si="116"/>
        <v>0</v>
      </c>
      <c r="AJ325" s="332">
        <f t="shared" si="117"/>
        <v>0</v>
      </c>
      <c r="AK325" s="332">
        <f t="shared" si="126"/>
        <v>0</v>
      </c>
      <c r="AL325" s="332">
        <f t="shared" si="118"/>
        <v>0</v>
      </c>
    </row>
    <row r="326" spans="1:38">
      <c r="A326" s="139">
        <v>24</v>
      </c>
      <c r="B326" s="139">
        <f>IFERROR(INDEX(Työkonekanta!$F$3:$F$27,MATCH('S0b Baseline kasvu'!$A326,Työkonekanta!$A$3:$A$24,0),1),0)</f>
        <v>0</v>
      </c>
      <c r="C326" s="140">
        <v>2029</v>
      </c>
      <c r="D326" s="141" t="str">
        <f>IFERROR(INDEX(Työkonekanta!$D$3:$D$27,MATCH('S0b Baseline kasvu'!$A326,Työkonekanta!$A$3:$A$24,0),1),"undefined")</f>
        <v>undefined</v>
      </c>
      <c r="E326" s="145">
        <f>IFERROR(INDEX(Työkonekanta!$G$3:$G$27,MATCH($A326,Työkonekanta!$A$3:$A$24,0),1)*INDEX(Työkonekanta!$H$3:$H$27,MATCH($A326,Työkonekanta!$A$3:$A$24,0),1)*(1+s0b_kasvu*($C326-2019))*$B326,0)</f>
        <v>0</v>
      </c>
      <c r="F326" s="145">
        <f t="shared" si="110"/>
        <v>0</v>
      </c>
      <c r="G326" s="145">
        <f t="shared" si="119"/>
        <v>0</v>
      </c>
      <c r="H326" s="145">
        <f t="shared" si="120"/>
        <v>0</v>
      </c>
      <c r="I326" s="145">
        <f t="shared" si="111"/>
        <v>0</v>
      </c>
      <c r="J326" s="145">
        <f t="shared" si="112"/>
        <v>0</v>
      </c>
      <c r="K326" s="142" t="str">
        <f t="shared" si="121"/>
        <v>undefined</v>
      </c>
      <c r="L326" s="146">
        <f>IFERROR(INDEX(Työkonekanta!$I$3:$I$27,MATCH('S0b Baseline kasvu'!$A326,Työkonekanta!$A$3:$A$24,0),1)*(I326+J326)*f_adblue,0)</f>
        <v>0</v>
      </c>
      <c r="M326" s="146">
        <f t="shared" si="105"/>
        <v>0</v>
      </c>
      <c r="N326" s="143" t="str">
        <f>IF(tuulisähkö_vuosi&lt;='S0b Baseline kasvu'!C326,"tuulisähkö",ostosähkö_nyt)</f>
        <v>jäännössähkö</v>
      </c>
      <c r="O326" s="147">
        <f>INDEX(Muuttujat!$J$5:$J$21,MATCH($C326,Muuttujat!$H$5:$H$21,0),1)</f>
        <v>62.625946521929137</v>
      </c>
      <c r="P326" s="342">
        <f>1-(INDEX(Muuttujat!$O$5:$O$21,MATCH($C326,Muuttujat!$N$5:$N$21,0),1))</f>
        <v>0.9</v>
      </c>
      <c r="Q326" s="342">
        <f>INDEX(Muuttujat!$O$5:$O$21,MATCH($C326,Muuttujat!$N$5:$N$21,0),1)</f>
        <v>0.1</v>
      </c>
      <c r="R326" s="148">
        <f>INDEX(Muuttujat!$P$5:$P$21,MATCH($C326,Muuttujat!$N$5:$N$21,0),1)</f>
        <v>0.10417875759940039</v>
      </c>
      <c r="S326" s="149">
        <f t="shared" si="113"/>
        <v>0</v>
      </c>
      <c r="T326" s="150">
        <f t="shared" si="114"/>
        <v>0</v>
      </c>
      <c r="U326" s="150">
        <f t="shared" si="115"/>
        <v>0</v>
      </c>
      <c r="V326" s="150">
        <f>IFERROR(INDEX(Työkonekanta!$J$3:$J$27,MATCH($A326,Työkonekanta!$A$3:$A$24,0),1)*$B326*ef_li_ion_akku/1000/1000/INDEX(Työkonekanta!$K$3:$K$27,MATCH($A326,Työkonekanta!$A$3:$A$24,0)),0)</f>
        <v>0</v>
      </c>
      <c r="W326" s="149">
        <f t="shared" si="106"/>
        <v>0</v>
      </c>
      <c r="X326" s="150">
        <f t="shared" si="107"/>
        <v>0</v>
      </c>
      <c r="Y326" s="151">
        <f t="shared" si="108"/>
        <v>0</v>
      </c>
      <c r="Z326" s="152">
        <f t="shared" si="122"/>
        <v>0</v>
      </c>
      <c r="AA326" s="179">
        <f t="shared" si="123"/>
        <v>0</v>
      </c>
      <c r="AB326" s="179">
        <f t="shared" si="124"/>
        <v>0</v>
      </c>
      <c r="AC326" s="180">
        <f t="shared" si="109"/>
        <v>0</v>
      </c>
      <c r="AD326" s="156">
        <f t="shared" si="125"/>
        <v>0</v>
      </c>
      <c r="AE326" s="146">
        <f>IFERROR(INDEX(Työkonekanta!$L$3:$L$30,MATCH($A326,Työkonekanta!$A$3:$A$30,0),1),0)*AF326</f>
        <v>0</v>
      </c>
      <c r="AF326" s="146">
        <f>IFERROR(INDEX(Työkonekanta!$N$3:$N$32,MATCH($A326,Työkonekanta!$A$3:$A$32,0),1),0)</f>
        <v>0</v>
      </c>
      <c r="AG326" s="332">
        <f>I326*INDEX(Muuttujat!$U$5:$U$21,MATCH($C326,Muuttujat!$N$5:$N$21,0),1)</f>
        <v>0</v>
      </c>
      <c r="AH326" s="332">
        <f>J326*INDEX(Muuttujat!$T$5:$T$21,MATCH($C326,Muuttujat!$N$5:$N$21,0),1)</f>
        <v>0</v>
      </c>
      <c r="AI326" s="332">
        <f t="shared" si="116"/>
        <v>0</v>
      </c>
      <c r="AJ326" s="332">
        <f t="shared" si="117"/>
        <v>0</v>
      </c>
      <c r="AK326" s="332">
        <f t="shared" si="126"/>
        <v>0</v>
      </c>
      <c r="AL326" s="332">
        <f t="shared" si="118"/>
        <v>0</v>
      </c>
    </row>
    <row r="327" spans="1:38">
      <c r="A327" s="139">
        <v>25</v>
      </c>
      <c r="B327" s="139">
        <f>IFERROR(INDEX(Työkonekanta!$F$3:$F$27,MATCH('S0b Baseline kasvu'!$A327,Työkonekanta!$A$3:$A$24,0),1),0)</f>
        <v>0</v>
      </c>
      <c r="C327" s="140">
        <v>2029</v>
      </c>
      <c r="D327" s="141" t="str">
        <f>IFERROR(INDEX(Työkonekanta!$D$3:$D$27,MATCH('S0b Baseline kasvu'!$A327,Työkonekanta!$A$3:$A$24,0),1),"undefined")</f>
        <v>undefined</v>
      </c>
      <c r="E327" s="145">
        <f>IFERROR(INDEX(Työkonekanta!$G$3:$G$27,MATCH($A327,Työkonekanta!$A$3:$A$24,0),1)*INDEX(Työkonekanta!$H$3:$H$27,MATCH($A327,Työkonekanta!$A$3:$A$24,0),1)*(1+s0b_kasvu*($C327-2019))*$B327,0)</f>
        <v>0</v>
      </c>
      <c r="F327" s="145">
        <f t="shared" si="110"/>
        <v>0</v>
      </c>
      <c r="G327" s="145">
        <f t="shared" si="119"/>
        <v>0</v>
      </c>
      <c r="H327" s="145">
        <f t="shared" si="120"/>
        <v>0</v>
      </c>
      <c r="I327" s="145">
        <f t="shared" si="111"/>
        <v>0</v>
      </c>
      <c r="J327" s="145">
        <f t="shared" si="112"/>
        <v>0</v>
      </c>
      <c r="K327" s="142" t="str">
        <f t="shared" si="121"/>
        <v>undefined</v>
      </c>
      <c r="L327" s="146">
        <f>IFERROR(INDEX(Työkonekanta!$I$3:$I$27,MATCH('S0b Baseline kasvu'!$A327,Työkonekanta!$A$3:$A$24,0),1)*(I327+J327)*f_adblue,0)</f>
        <v>0</v>
      </c>
      <c r="M327" s="146">
        <f t="shared" si="105"/>
        <v>0</v>
      </c>
      <c r="N327" s="143" t="str">
        <f>IF(tuulisähkö_vuosi&lt;='S0b Baseline kasvu'!C327,"tuulisähkö",ostosähkö_nyt)</f>
        <v>jäännössähkö</v>
      </c>
      <c r="O327" s="147">
        <f>INDEX(Muuttujat!$J$5:$J$21,MATCH($C327,Muuttujat!$H$5:$H$21,0),1)</f>
        <v>62.625946521929137</v>
      </c>
      <c r="P327" s="342">
        <f>1-(INDEX(Muuttujat!$O$5:$O$21,MATCH($C327,Muuttujat!$N$5:$N$21,0),1))</f>
        <v>0.9</v>
      </c>
      <c r="Q327" s="342">
        <f>INDEX(Muuttujat!$O$5:$O$21,MATCH($C327,Muuttujat!$N$5:$N$21,0),1)</f>
        <v>0.1</v>
      </c>
      <c r="R327" s="148">
        <f>INDEX(Muuttujat!$P$5:$P$21,MATCH($C327,Muuttujat!$N$5:$N$21,0),1)</f>
        <v>0.10417875759940039</v>
      </c>
      <c r="S327" s="149">
        <f t="shared" si="113"/>
        <v>0</v>
      </c>
      <c r="T327" s="150">
        <f t="shared" si="114"/>
        <v>0</v>
      </c>
      <c r="U327" s="150">
        <f t="shared" si="115"/>
        <v>0</v>
      </c>
      <c r="V327" s="150">
        <f>IFERROR(INDEX(Työkonekanta!$J$3:$J$27,MATCH($A327,Työkonekanta!$A$3:$A$24,0),1)*$B327*ef_li_ion_akku/1000/1000/INDEX(Työkonekanta!$K$3:$K$27,MATCH($A327,Työkonekanta!$A$3:$A$24,0)),0)</f>
        <v>0</v>
      </c>
      <c r="W327" s="149">
        <f t="shared" si="106"/>
        <v>0</v>
      </c>
      <c r="X327" s="150">
        <f t="shared" si="107"/>
        <v>0</v>
      </c>
      <c r="Y327" s="151">
        <f t="shared" si="108"/>
        <v>0</v>
      </c>
      <c r="Z327" s="152">
        <f t="shared" si="122"/>
        <v>0</v>
      </c>
      <c r="AA327" s="179">
        <f t="shared" si="123"/>
        <v>0</v>
      </c>
      <c r="AB327" s="179">
        <f t="shared" si="124"/>
        <v>0</v>
      </c>
      <c r="AC327" s="180">
        <f t="shared" si="109"/>
        <v>0</v>
      </c>
      <c r="AD327" s="156">
        <f t="shared" si="125"/>
        <v>0</v>
      </c>
      <c r="AE327" s="146">
        <f>IFERROR(INDEX(Työkonekanta!$L$3:$L$30,MATCH($A327,Työkonekanta!$A$3:$A$30,0),1),0)*AF327</f>
        <v>0</v>
      </c>
      <c r="AF327" s="146">
        <f>IFERROR(INDEX(Työkonekanta!$N$3:$N$32,MATCH($A327,Työkonekanta!$A$3:$A$32,0),1),0)</f>
        <v>0</v>
      </c>
      <c r="AG327" s="332">
        <f>I327*INDEX(Muuttujat!$U$5:$U$21,MATCH($C327,Muuttujat!$N$5:$N$21,0),1)</f>
        <v>0</v>
      </c>
      <c r="AH327" s="332">
        <f>J327*INDEX(Muuttujat!$T$5:$T$21,MATCH($C327,Muuttujat!$N$5:$N$21,0),1)</f>
        <v>0</v>
      </c>
      <c r="AI327" s="332">
        <f t="shared" si="116"/>
        <v>0</v>
      </c>
      <c r="AJ327" s="332">
        <f t="shared" si="117"/>
        <v>0</v>
      </c>
      <c r="AK327" s="332">
        <f t="shared" si="126"/>
        <v>0</v>
      </c>
      <c r="AL327" s="332">
        <f t="shared" si="118"/>
        <v>0</v>
      </c>
    </row>
    <row r="328" spans="1:38">
      <c r="A328" s="139">
        <v>26</v>
      </c>
      <c r="B328" s="139">
        <f>IFERROR(INDEX(Työkonekanta!$F$3:$F$27,MATCH('S0b Baseline kasvu'!$A328,Työkonekanta!$A$3:$A$24,0),1),0)</f>
        <v>0</v>
      </c>
      <c r="C328" s="140">
        <v>2029</v>
      </c>
      <c r="D328" s="141" t="str">
        <f>IFERROR(INDEX(Työkonekanta!$D$3:$D$27,MATCH('S0b Baseline kasvu'!$A328,Työkonekanta!$A$3:$A$24,0),1),"undefined")</f>
        <v>undefined</v>
      </c>
      <c r="E328" s="145">
        <f>IFERROR(INDEX(Työkonekanta!$G$3:$G$27,MATCH($A328,Työkonekanta!$A$3:$A$24,0),1)*INDEX(Työkonekanta!$H$3:$H$27,MATCH($A328,Työkonekanta!$A$3:$A$24,0),1)*(1+s0b_kasvu*($C328-2019))*$B328,0)</f>
        <v>0</v>
      </c>
      <c r="F328" s="145">
        <f t="shared" si="110"/>
        <v>0</v>
      </c>
      <c r="G328" s="145">
        <f t="shared" si="119"/>
        <v>0</v>
      </c>
      <c r="H328" s="145">
        <f t="shared" si="120"/>
        <v>0</v>
      </c>
      <c r="I328" s="145">
        <f t="shared" si="111"/>
        <v>0</v>
      </c>
      <c r="J328" s="145">
        <f t="shared" si="112"/>
        <v>0</v>
      </c>
      <c r="K328" s="142" t="str">
        <f t="shared" si="121"/>
        <v>undefined</v>
      </c>
      <c r="L328" s="146">
        <f>IFERROR(INDEX(Työkonekanta!$I$3:$I$27,MATCH('S0b Baseline kasvu'!$A328,Työkonekanta!$A$3:$A$24,0),1)*(I328+J328)*f_adblue,0)</f>
        <v>0</v>
      </c>
      <c r="M328" s="146">
        <f t="shared" si="105"/>
        <v>0</v>
      </c>
      <c r="N328" s="143" t="str">
        <f>IF(tuulisähkö_vuosi&lt;='S0b Baseline kasvu'!C328,"tuulisähkö",ostosähkö_nyt)</f>
        <v>jäännössähkö</v>
      </c>
      <c r="O328" s="147">
        <f>INDEX(Muuttujat!$J$5:$J$21,MATCH($C328,Muuttujat!$H$5:$H$21,0),1)</f>
        <v>62.625946521929137</v>
      </c>
      <c r="P328" s="342">
        <f>1-(INDEX(Muuttujat!$O$5:$O$21,MATCH($C328,Muuttujat!$N$5:$N$21,0),1))</f>
        <v>0.9</v>
      </c>
      <c r="Q328" s="342">
        <f>INDEX(Muuttujat!$O$5:$O$21,MATCH($C328,Muuttujat!$N$5:$N$21,0),1)</f>
        <v>0.1</v>
      </c>
      <c r="R328" s="148">
        <f>INDEX(Muuttujat!$P$5:$P$21,MATCH($C328,Muuttujat!$N$5:$N$21,0),1)</f>
        <v>0.10417875759940039</v>
      </c>
      <c r="S328" s="149">
        <f t="shared" si="113"/>
        <v>0</v>
      </c>
      <c r="T328" s="150">
        <f t="shared" si="114"/>
        <v>0</v>
      </c>
      <c r="U328" s="150">
        <f t="shared" si="115"/>
        <v>0</v>
      </c>
      <c r="V328" s="150">
        <f>IFERROR(INDEX(Työkonekanta!$J$3:$J$27,MATCH($A328,Työkonekanta!$A$3:$A$24,0),1)*$B328*ef_li_ion_akku/1000/1000/INDEX(Työkonekanta!$K$3:$K$27,MATCH($A328,Työkonekanta!$A$3:$A$24,0)),0)</f>
        <v>0</v>
      </c>
      <c r="W328" s="149">
        <f t="shared" si="106"/>
        <v>0</v>
      </c>
      <c r="X328" s="150">
        <f t="shared" si="107"/>
        <v>0</v>
      </c>
      <c r="Y328" s="151">
        <f t="shared" si="108"/>
        <v>0</v>
      </c>
      <c r="Z328" s="152">
        <f t="shared" si="122"/>
        <v>0</v>
      </c>
      <c r="AA328" s="179">
        <f t="shared" si="123"/>
        <v>0</v>
      </c>
      <c r="AB328" s="179">
        <f t="shared" si="124"/>
        <v>0</v>
      </c>
      <c r="AC328" s="180">
        <f t="shared" si="109"/>
        <v>0</v>
      </c>
      <c r="AD328" s="156">
        <f t="shared" si="125"/>
        <v>0</v>
      </c>
      <c r="AE328" s="146">
        <f>IFERROR(INDEX(Työkonekanta!$L$3:$L$30,MATCH($A328,Työkonekanta!$A$3:$A$30,0),1),0)*AF328</f>
        <v>0</v>
      </c>
      <c r="AF328" s="146">
        <f>IFERROR(INDEX(Työkonekanta!$N$3:$N$32,MATCH($A328,Työkonekanta!$A$3:$A$32,0),1),0)</f>
        <v>0</v>
      </c>
      <c r="AG328" s="332">
        <f>I328*INDEX(Muuttujat!$U$5:$U$21,MATCH($C328,Muuttujat!$N$5:$N$21,0),1)</f>
        <v>0</v>
      </c>
      <c r="AH328" s="332">
        <f>J328*INDEX(Muuttujat!$T$5:$T$21,MATCH($C328,Muuttujat!$N$5:$N$21,0),1)</f>
        <v>0</v>
      </c>
      <c r="AI328" s="332">
        <f t="shared" si="116"/>
        <v>0</v>
      </c>
      <c r="AJ328" s="332">
        <f t="shared" si="117"/>
        <v>0</v>
      </c>
      <c r="AK328" s="332">
        <f t="shared" si="126"/>
        <v>0</v>
      </c>
      <c r="AL328" s="332">
        <f t="shared" si="118"/>
        <v>0</v>
      </c>
    </row>
    <row r="329" spans="1:38">
      <c r="A329" s="139">
        <v>27</v>
      </c>
      <c r="B329" s="139">
        <f>IFERROR(INDEX(Työkonekanta!$F$3:$F$27,MATCH('S0b Baseline kasvu'!$A329,Työkonekanta!$A$3:$A$24,0),1),0)</f>
        <v>0</v>
      </c>
      <c r="C329" s="140">
        <v>2029</v>
      </c>
      <c r="D329" s="141" t="str">
        <f>IFERROR(INDEX(Työkonekanta!$D$3:$D$27,MATCH('S0b Baseline kasvu'!$A329,Työkonekanta!$A$3:$A$24,0),1),"undefined")</f>
        <v>undefined</v>
      </c>
      <c r="E329" s="145">
        <f>IFERROR(INDEX(Työkonekanta!$G$3:$G$27,MATCH($A329,Työkonekanta!$A$3:$A$24,0),1)*INDEX(Työkonekanta!$H$3:$H$27,MATCH($A329,Työkonekanta!$A$3:$A$24,0),1)*(1+s0b_kasvu*($C329-2019))*$B329,0)</f>
        <v>0</v>
      </c>
      <c r="F329" s="145">
        <f t="shared" si="110"/>
        <v>0</v>
      </c>
      <c r="G329" s="145">
        <f t="shared" si="119"/>
        <v>0</v>
      </c>
      <c r="H329" s="145">
        <f t="shared" si="120"/>
        <v>0</v>
      </c>
      <c r="I329" s="145">
        <f t="shared" si="111"/>
        <v>0</v>
      </c>
      <c r="J329" s="145">
        <f t="shared" si="112"/>
        <v>0</v>
      </c>
      <c r="K329" s="142" t="str">
        <f t="shared" si="121"/>
        <v>undefined</v>
      </c>
      <c r="L329" s="146">
        <f>IFERROR(INDEX(Työkonekanta!$I$3:$I$27,MATCH('S0b Baseline kasvu'!$A329,Työkonekanta!$A$3:$A$24,0),1)*(I329+J329)*f_adblue,0)</f>
        <v>0</v>
      </c>
      <c r="M329" s="146">
        <f t="shared" si="105"/>
        <v>0</v>
      </c>
      <c r="N329" s="143" t="str">
        <f>IF(tuulisähkö_vuosi&lt;='S0b Baseline kasvu'!C329,"tuulisähkö",ostosähkö_nyt)</f>
        <v>jäännössähkö</v>
      </c>
      <c r="O329" s="147">
        <f>INDEX(Muuttujat!$J$5:$J$21,MATCH($C329,Muuttujat!$H$5:$H$21,0),1)</f>
        <v>62.625946521929137</v>
      </c>
      <c r="P329" s="342">
        <f>1-(INDEX(Muuttujat!$O$5:$O$21,MATCH($C329,Muuttujat!$N$5:$N$21,0),1))</f>
        <v>0.9</v>
      </c>
      <c r="Q329" s="342">
        <f>INDEX(Muuttujat!$O$5:$O$21,MATCH($C329,Muuttujat!$N$5:$N$21,0),1)</f>
        <v>0.1</v>
      </c>
      <c r="R329" s="148">
        <f>INDEX(Muuttujat!$P$5:$P$21,MATCH($C329,Muuttujat!$N$5:$N$21,0),1)</f>
        <v>0.10417875759940039</v>
      </c>
      <c r="S329" s="149">
        <f t="shared" si="113"/>
        <v>0</v>
      </c>
      <c r="T329" s="150">
        <f t="shared" si="114"/>
        <v>0</v>
      </c>
      <c r="U329" s="150">
        <f t="shared" si="115"/>
        <v>0</v>
      </c>
      <c r="V329" s="150">
        <f>IFERROR(INDEX(Työkonekanta!$J$3:$J$27,MATCH($A329,Työkonekanta!$A$3:$A$24,0),1)*$B329*ef_li_ion_akku/1000/1000/INDEX(Työkonekanta!$K$3:$K$27,MATCH($A329,Työkonekanta!$A$3:$A$24,0)),0)</f>
        <v>0</v>
      </c>
      <c r="W329" s="149">
        <f t="shared" si="106"/>
        <v>0</v>
      </c>
      <c r="X329" s="150">
        <f t="shared" si="107"/>
        <v>0</v>
      </c>
      <c r="Y329" s="151">
        <f t="shared" si="108"/>
        <v>0</v>
      </c>
      <c r="Z329" s="152">
        <f t="shared" si="122"/>
        <v>0</v>
      </c>
      <c r="AA329" s="179">
        <f t="shared" si="123"/>
        <v>0</v>
      </c>
      <c r="AB329" s="179">
        <f t="shared" si="124"/>
        <v>0</v>
      </c>
      <c r="AC329" s="180">
        <f t="shared" si="109"/>
        <v>0</v>
      </c>
      <c r="AD329" s="156">
        <f t="shared" si="125"/>
        <v>0</v>
      </c>
      <c r="AE329" s="146">
        <f>IFERROR(INDEX(Työkonekanta!$L$3:$L$30,MATCH($A329,Työkonekanta!$A$3:$A$30,0),1),0)*AF329</f>
        <v>0</v>
      </c>
      <c r="AF329" s="146">
        <f>IFERROR(INDEX(Työkonekanta!$N$3:$N$32,MATCH($A329,Työkonekanta!$A$3:$A$32,0),1),0)</f>
        <v>0</v>
      </c>
      <c r="AG329" s="332">
        <f>I329*INDEX(Muuttujat!$U$5:$U$21,MATCH($C329,Muuttujat!$N$5:$N$21,0),1)</f>
        <v>0</v>
      </c>
      <c r="AH329" s="332">
        <f>J329*INDEX(Muuttujat!$T$5:$T$21,MATCH($C329,Muuttujat!$N$5:$N$21,0),1)</f>
        <v>0</v>
      </c>
      <c r="AI329" s="332">
        <f t="shared" si="116"/>
        <v>0</v>
      </c>
      <c r="AJ329" s="332">
        <f t="shared" si="117"/>
        <v>0</v>
      </c>
      <c r="AK329" s="332">
        <f t="shared" si="126"/>
        <v>0</v>
      </c>
      <c r="AL329" s="332">
        <f t="shared" si="118"/>
        <v>0</v>
      </c>
    </row>
    <row r="330" spans="1:38">
      <c r="A330" s="139">
        <v>28</v>
      </c>
      <c r="B330" s="139">
        <f>IFERROR(INDEX(Työkonekanta!$F$3:$F$27,MATCH('S0b Baseline kasvu'!$A330,Työkonekanta!$A$3:$A$24,0),1),0)</f>
        <v>0</v>
      </c>
      <c r="C330" s="140">
        <v>2029</v>
      </c>
      <c r="D330" s="141" t="str">
        <f>IFERROR(INDEX(Työkonekanta!$D$3:$D$27,MATCH('S0b Baseline kasvu'!$A330,Työkonekanta!$A$3:$A$24,0),1),"undefined")</f>
        <v>undefined</v>
      </c>
      <c r="E330" s="145">
        <f>IFERROR(INDEX(Työkonekanta!$G$3:$G$27,MATCH($A330,Työkonekanta!$A$3:$A$24,0),1)*INDEX(Työkonekanta!$H$3:$H$27,MATCH($A330,Työkonekanta!$A$3:$A$24,0),1)*(1+s0b_kasvu*($C330-2019))*$B330,0)</f>
        <v>0</v>
      </c>
      <c r="F330" s="145">
        <f t="shared" si="110"/>
        <v>0</v>
      </c>
      <c r="G330" s="145">
        <f t="shared" si="119"/>
        <v>0</v>
      </c>
      <c r="H330" s="145">
        <f t="shared" si="120"/>
        <v>0</v>
      </c>
      <c r="I330" s="145">
        <f t="shared" si="111"/>
        <v>0</v>
      </c>
      <c r="J330" s="145">
        <f t="shared" si="112"/>
        <v>0</v>
      </c>
      <c r="K330" s="142" t="str">
        <f t="shared" si="121"/>
        <v>undefined</v>
      </c>
      <c r="L330" s="146">
        <f>IFERROR(INDEX(Työkonekanta!$I$3:$I$27,MATCH('S0b Baseline kasvu'!$A330,Työkonekanta!$A$3:$A$24,0),1)*(I330+J330)*f_adblue,0)</f>
        <v>0</v>
      </c>
      <c r="M330" s="146">
        <f t="shared" si="105"/>
        <v>0</v>
      </c>
      <c r="N330" s="143" t="str">
        <f>IF(tuulisähkö_vuosi&lt;='S0b Baseline kasvu'!C330,"tuulisähkö",ostosähkö_nyt)</f>
        <v>jäännössähkö</v>
      </c>
      <c r="O330" s="147">
        <f>INDEX(Muuttujat!$J$5:$J$21,MATCH($C330,Muuttujat!$H$5:$H$21,0),1)</f>
        <v>62.625946521929137</v>
      </c>
      <c r="P330" s="342">
        <f>1-(INDEX(Muuttujat!$O$5:$O$21,MATCH($C330,Muuttujat!$N$5:$N$21,0),1))</f>
        <v>0.9</v>
      </c>
      <c r="Q330" s="342">
        <f>INDEX(Muuttujat!$O$5:$O$21,MATCH($C330,Muuttujat!$N$5:$N$21,0),1)</f>
        <v>0.1</v>
      </c>
      <c r="R330" s="148">
        <f>INDEX(Muuttujat!$P$5:$P$21,MATCH($C330,Muuttujat!$N$5:$N$21,0),1)</f>
        <v>0.10417875759940039</v>
      </c>
      <c r="S330" s="149">
        <f t="shared" si="113"/>
        <v>0</v>
      </c>
      <c r="T330" s="150">
        <f t="shared" si="114"/>
        <v>0</v>
      </c>
      <c r="U330" s="150">
        <f t="shared" si="115"/>
        <v>0</v>
      </c>
      <c r="V330" s="150">
        <f>IFERROR(INDEX(Työkonekanta!$J$3:$J$27,MATCH($A330,Työkonekanta!$A$3:$A$24,0),1)*$B330*ef_li_ion_akku/1000/1000/INDEX(Työkonekanta!$K$3:$K$27,MATCH($A330,Työkonekanta!$A$3:$A$24,0)),0)</f>
        <v>0</v>
      </c>
      <c r="W330" s="149">
        <f t="shared" si="106"/>
        <v>0</v>
      </c>
      <c r="X330" s="150">
        <f t="shared" si="107"/>
        <v>0</v>
      </c>
      <c r="Y330" s="151">
        <f t="shared" si="108"/>
        <v>0</v>
      </c>
      <c r="Z330" s="152">
        <f t="shared" si="122"/>
        <v>0</v>
      </c>
      <c r="AA330" s="179">
        <f t="shared" si="123"/>
        <v>0</v>
      </c>
      <c r="AB330" s="179">
        <f t="shared" si="124"/>
        <v>0</v>
      </c>
      <c r="AC330" s="180">
        <f t="shared" si="109"/>
        <v>0</v>
      </c>
      <c r="AD330" s="156">
        <f t="shared" si="125"/>
        <v>0</v>
      </c>
      <c r="AE330" s="146">
        <f>IFERROR(INDEX(Työkonekanta!$L$3:$L$30,MATCH($A330,Työkonekanta!$A$3:$A$30,0),1),0)*AF330</f>
        <v>0</v>
      </c>
      <c r="AF330" s="146">
        <f>IFERROR(INDEX(Työkonekanta!$N$3:$N$32,MATCH($A330,Työkonekanta!$A$3:$A$32,0),1),0)</f>
        <v>0</v>
      </c>
      <c r="AG330" s="332">
        <f>I330*INDEX(Muuttujat!$U$5:$U$21,MATCH($C330,Muuttujat!$N$5:$N$21,0),1)</f>
        <v>0</v>
      </c>
      <c r="AH330" s="332">
        <f>J330*INDEX(Muuttujat!$T$5:$T$21,MATCH($C330,Muuttujat!$N$5:$N$21,0),1)</f>
        <v>0</v>
      </c>
      <c r="AI330" s="332">
        <f t="shared" si="116"/>
        <v>0</v>
      </c>
      <c r="AJ330" s="332">
        <f t="shared" si="117"/>
        <v>0</v>
      </c>
      <c r="AK330" s="332">
        <f t="shared" si="126"/>
        <v>0</v>
      </c>
      <c r="AL330" s="332">
        <f t="shared" si="118"/>
        <v>0</v>
      </c>
    </row>
    <row r="331" spans="1:38">
      <c r="A331" s="139">
        <v>29</v>
      </c>
      <c r="B331" s="139">
        <f>IFERROR(INDEX(Työkonekanta!$F$3:$F$27,MATCH('S0b Baseline kasvu'!$A331,Työkonekanta!$A$3:$A$24,0),1),0)</f>
        <v>0</v>
      </c>
      <c r="C331" s="140">
        <v>2029</v>
      </c>
      <c r="D331" s="141" t="str">
        <f>IFERROR(INDEX(Työkonekanta!$D$3:$D$27,MATCH('S0b Baseline kasvu'!$A331,Työkonekanta!$A$3:$A$24,0),1),"undefined")</f>
        <v>undefined</v>
      </c>
      <c r="E331" s="145">
        <f>IFERROR(INDEX(Työkonekanta!$G$3:$G$27,MATCH($A331,Työkonekanta!$A$3:$A$24,0),1)*INDEX(Työkonekanta!$H$3:$H$27,MATCH($A331,Työkonekanta!$A$3:$A$24,0),1)*(1+s0b_kasvu*($C331-2019))*$B331,0)</f>
        <v>0</v>
      </c>
      <c r="F331" s="145">
        <f t="shared" si="110"/>
        <v>0</v>
      </c>
      <c r="G331" s="145">
        <f t="shared" si="119"/>
        <v>0</v>
      </c>
      <c r="H331" s="145">
        <f t="shared" si="120"/>
        <v>0</v>
      </c>
      <c r="I331" s="145">
        <f t="shared" si="111"/>
        <v>0</v>
      </c>
      <c r="J331" s="145">
        <f t="shared" si="112"/>
        <v>0</v>
      </c>
      <c r="K331" s="142" t="str">
        <f t="shared" si="121"/>
        <v>undefined</v>
      </c>
      <c r="L331" s="146">
        <f>IFERROR(INDEX(Työkonekanta!$I$3:$I$27,MATCH('S0b Baseline kasvu'!$A331,Työkonekanta!$A$3:$A$24,0),1)*(I331+J331)*f_adblue,0)</f>
        <v>0</v>
      </c>
      <c r="M331" s="146">
        <f t="shared" si="105"/>
        <v>0</v>
      </c>
      <c r="N331" s="143" t="str">
        <f>IF(tuulisähkö_vuosi&lt;='S0b Baseline kasvu'!C331,"tuulisähkö",ostosähkö_nyt)</f>
        <v>jäännössähkö</v>
      </c>
      <c r="O331" s="147">
        <f>INDEX(Muuttujat!$J$5:$J$21,MATCH($C331,Muuttujat!$H$5:$H$21,0),1)</f>
        <v>62.625946521929137</v>
      </c>
      <c r="P331" s="342">
        <f>1-(INDEX(Muuttujat!$O$5:$O$21,MATCH($C331,Muuttujat!$N$5:$N$21,0),1))</f>
        <v>0.9</v>
      </c>
      <c r="Q331" s="342">
        <f>INDEX(Muuttujat!$O$5:$O$21,MATCH($C331,Muuttujat!$N$5:$N$21,0),1)</f>
        <v>0.1</v>
      </c>
      <c r="R331" s="148">
        <f>INDEX(Muuttujat!$P$5:$P$21,MATCH($C331,Muuttujat!$N$5:$N$21,0),1)</f>
        <v>0.10417875759940039</v>
      </c>
      <c r="S331" s="149">
        <f t="shared" si="113"/>
        <v>0</v>
      </c>
      <c r="T331" s="150">
        <f t="shared" si="114"/>
        <v>0</v>
      </c>
      <c r="U331" s="150">
        <f t="shared" si="115"/>
        <v>0</v>
      </c>
      <c r="V331" s="150">
        <f>IFERROR(INDEX(Työkonekanta!$J$3:$J$27,MATCH($A331,Työkonekanta!$A$3:$A$24,0),1)*$B331*ef_li_ion_akku/1000/1000/INDEX(Työkonekanta!$K$3:$K$27,MATCH($A331,Työkonekanta!$A$3:$A$24,0)),0)</f>
        <v>0</v>
      </c>
      <c r="W331" s="149">
        <f t="shared" si="106"/>
        <v>0</v>
      </c>
      <c r="X331" s="150">
        <f t="shared" si="107"/>
        <v>0</v>
      </c>
      <c r="Y331" s="151">
        <f t="shared" si="108"/>
        <v>0</v>
      </c>
      <c r="Z331" s="152">
        <f t="shared" si="122"/>
        <v>0</v>
      </c>
      <c r="AA331" s="179">
        <f t="shared" si="123"/>
        <v>0</v>
      </c>
      <c r="AB331" s="179">
        <f t="shared" si="124"/>
        <v>0</v>
      </c>
      <c r="AC331" s="180">
        <f t="shared" si="109"/>
        <v>0</v>
      </c>
      <c r="AD331" s="156">
        <f t="shared" si="125"/>
        <v>0</v>
      </c>
      <c r="AE331" s="146">
        <f>IFERROR(INDEX(Työkonekanta!$L$3:$L$30,MATCH($A331,Työkonekanta!$A$3:$A$30,0),1),0)*AF331</f>
        <v>0</v>
      </c>
      <c r="AF331" s="146">
        <f>IFERROR(INDEX(Työkonekanta!$N$3:$N$32,MATCH($A331,Työkonekanta!$A$3:$A$32,0),1),0)</f>
        <v>0</v>
      </c>
      <c r="AG331" s="332">
        <f>I331*INDEX(Muuttujat!$U$5:$U$21,MATCH($C331,Muuttujat!$N$5:$N$21,0),1)</f>
        <v>0</v>
      </c>
      <c r="AH331" s="332">
        <f>J331*INDEX(Muuttujat!$T$5:$T$21,MATCH($C331,Muuttujat!$N$5:$N$21,0),1)</f>
        <v>0</v>
      </c>
      <c r="AI331" s="332">
        <f t="shared" si="116"/>
        <v>0</v>
      </c>
      <c r="AJ331" s="332">
        <f t="shared" si="117"/>
        <v>0</v>
      </c>
      <c r="AK331" s="332">
        <f t="shared" si="126"/>
        <v>0</v>
      </c>
      <c r="AL331" s="332">
        <f t="shared" si="118"/>
        <v>0</v>
      </c>
    </row>
    <row r="332" spans="1:38">
      <c r="A332" s="139">
        <v>30</v>
      </c>
      <c r="B332" s="139">
        <f>IFERROR(INDEX(Työkonekanta!$F$3:$F$27,MATCH('S0b Baseline kasvu'!$A332,Työkonekanta!$A$3:$A$24,0),1),0)</f>
        <v>0</v>
      </c>
      <c r="C332" s="140">
        <v>2029</v>
      </c>
      <c r="D332" s="141" t="str">
        <f>IFERROR(INDEX(Työkonekanta!$D$3:$D$27,MATCH('S0b Baseline kasvu'!$A332,Työkonekanta!$A$3:$A$24,0),1),"undefined")</f>
        <v>undefined</v>
      </c>
      <c r="E332" s="145">
        <f>IFERROR(INDEX(Työkonekanta!$G$3:$G$27,MATCH($A332,Työkonekanta!$A$3:$A$24,0),1)*INDEX(Työkonekanta!$H$3:$H$27,MATCH($A332,Työkonekanta!$A$3:$A$24,0),1)*(1+s0b_kasvu*($C332-2019))*$B332,0)</f>
        <v>0</v>
      </c>
      <c r="F332" s="145">
        <f t="shared" si="110"/>
        <v>0</v>
      </c>
      <c r="G332" s="145">
        <f t="shared" si="119"/>
        <v>0</v>
      </c>
      <c r="H332" s="145">
        <f t="shared" si="120"/>
        <v>0</v>
      </c>
      <c r="I332" s="145">
        <f t="shared" si="111"/>
        <v>0</v>
      </c>
      <c r="J332" s="145">
        <f t="shared" si="112"/>
        <v>0</v>
      </c>
      <c r="K332" s="142" t="str">
        <f t="shared" si="121"/>
        <v>undefined</v>
      </c>
      <c r="L332" s="146">
        <f>IFERROR(INDEX(Työkonekanta!$I$3:$I$27,MATCH('S0b Baseline kasvu'!$A332,Työkonekanta!$A$3:$A$24,0),1)*(I332+J332)*f_adblue,0)</f>
        <v>0</v>
      </c>
      <c r="M332" s="146">
        <f t="shared" si="105"/>
        <v>0</v>
      </c>
      <c r="N332" s="143" t="str">
        <f>IF(tuulisähkö_vuosi&lt;='S0b Baseline kasvu'!C332,"tuulisähkö",ostosähkö_nyt)</f>
        <v>jäännössähkö</v>
      </c>
      <c r="O332" s="147">
        <f>INDEX(Muuttujat!$J$5:$J$21,MATCH($C332,Muuttujat!$H$5:$H$21,0),1)</f>
        <v>62.625946521929137</v>
      </c>
      <c r="P332" s="342">
        <f>1-(INDEX(Muuttujat!$O$5:$O$21,MATCH($C332,Muuttujat!$N$5:$N$21,0),1))</f>
        <v>0.9</v>
      </c>
      <c r="Q332" s="342">
        <f>INDEX(Muuttujat!$O$5:$O$21,MATCH($C332,Muuttujat!$N$5:$N$21,0),1)</f>
        <v>0.1</v>
      </c>
      <c r="R332" s="148">
        <f>INDEX(Muuttujat!$P$5:$P$21,MATCH($C332,Muuttujat!$N$5:$N$21,0),1)</f>
        <v>0.10417875759940039</v>
      </c>
      <c r="S332" s="149">
        <f t="shared" si="113"/>
        <v>0</v>
      </c>
      <c r="T332" s="150">
        <f t="shared" si="114"/>
        <v>0</v>
      </c>
      <c r="U332" s="150">
        <f t="shared" si="115"/>
        <v>0</v>
      </c>
      <c r="V332" s="150">
        <f>IFERROR(INDEX(Työkonekanta!$J$3:$J$27,MATCH($A332,Työkonekanta!$A$3:$A$24,0),1)*$B332*ef_li_ion_akku/1000/1000/INDEX(Työkonekanta!$K$3:$K$27,MATCH($A332,Työkonekanta!$A$3:$A$24,0)),0)</f>
        <v>0</v>
      </c>
      <c r="W332" s="149">
        <f t="shared" si="106"/>
        <v>0</v>
      </c>
      <c r="X332" s="150">
        <f t="shared" si="107"/>
        <v>0</v>
      </c>
      <c r="Y332" s="151">
        <f t="shared" si="108"/>
        <v>0</v>
      </c>
      <c r="Z332" s="152">
        <f t="shared" si="122"/>
        <v>0</v>
      </c>
      <c r="AA332" s="179">
        <f t="shared" si="123"/>
        <v>0</v>
      </c>
      <c r="AB332" s="179">
        <f t="shared" si="124"/>
        <v>0</v>
      </c>
      <c r="AC332" s="180">
        <f t="shared" si="109"/>
        <v>0</v>
      </c>
      <c r="AD332" s="156">
        <f t="shared" si="125"/>
        <v>0</v>
      </c>
      <c r="AE332" s="146">
        <f>IFERROR(INDEX(Työkonekanta!$L$3:$L$30,MATCH($A332,Työkonekanta!$A$3:$A$30,0),1),0)*AF332</f>
        <v>0</v>
      </c>
      <c r="AF332" s="146">
        <f>IFERROR(INDEX(Työkonekanta!$N$3:$N$32,MATCH($A332,Työkonekanta!$A$3:$A$32,0),1),0)</f>
        <v>0</v>
      </c>
      <c r="AG332" s="332">
        <f>I332*INDEX(Muuttujat!$U$5:$U$21,MATCH($C332,Muuttujat!$N$5:$N$21,0),1)</f>
        <v>0</v>
      </c>
      <c r="AH332" s="332">
        <f>J332*INDEX(Muuttujat!$T$5:$T$21,MATCH($C332,Muuttujat!$N$5:$N$21,0),1)</f>
        <v>0</v>
      </c>
      <c r="AI332" s="332">
        <f t="shared" si="116"/>
        <v>0</v>
      </c>
      <c r="AJ332" s="332">
        <f t="shared" si="117"/>
        <v>0</v>
      </c>
      <c r="AK332" s="332">
        <f t="shared" si="126"/>
        <v>0</v>
      </c>
      <c r="AL332" s="332">
        <f t="shared" si="118"/>
        <v>0</v>
      </c>
    </row>
    <row r="333" spans="1:38">
      <c r="A333" s="139">
        <v>1</v>
      </c>
      <c r="B333" s="139">
        <f>IFERROR(INDEX(Työkonekanta!$F$3:$F$27,MATCH('S0b Baseline kasvu'!$A333,Työkonekanta!$A$3:$A$24,0),1),0)</f>
        <v>1</v>
      </c>
      <c r="C333" s="140">
        <v>2030</v>
      </c>
      <c r="D333" s="141" t="str">
        <f>IFERROR(INDEX(Työkonekanta!$D$3:$D$27,MATCH('S0b Baseline kasvu'!$A333,Työkonekanta!$A$3:$A$24,0),1),"undefined")</f>
        <v>pom</v>
      </c>
      <c r="E333" s="145">
        <f>IFERROR(INDEX(Työkonekanta!$G$3:$G$27,MATCH($A333,Työkonekanta!$A$3:$A$24,0),1)*INDEX(Työkonekanta!$H$3:$H$27,MATCH($A333,Työkonekanta!$A$3:$A$24,0),1)*(1+s0b_kasvu*($C333-2019))*$B333,0)</f>
        <v>11100.000000000002</v>
      </c>
      <c r="F333" s="145">
        <f t="shared" si="110"/>
        <v>398490.00000000006</v>
      </c>
      <c r="G333" s="145">
        <f t="shared" si="119"/>
        <v>358641.00000000006</v>
      </c>
      <c r="H333" s="145">
        <f t="shared" si="120"/>
        <v>39849.000000000007</v>
      </c>
      <c r="I333" s="145">
        <f t="shared" si="111"/>
        <v>9990.0000000000018</v>
      </c>
      <c r="J333" s="145">
        <f t="shared" si="112"/>
        <v>1161.7784256559769</v>
      </c>
      <c r="K333" s="142" t="str">
        <f t="shared" si="121"/>
        <v>l</v>
      </c>
      <c r="L333" s="146">
        <f>IFERROR(INDEX(Työkonekanta!$I$3:$I$27,MATCH('S0b Baseline kasvu'!$A333,Työkonekanta!$A$3:$A$24,0),1)*(I333+J333)*f_adblue,0)</f>
        <v>557.58892128279899</v>
      </c>
      <c r="M333" s="146">
        <f t="shared" si="105"/>
        <v>0</v>
      </c>
      <c r="N333" s="143" t="str">
        <f>IF(tuulisähkö_vuosi&lt;='S0b Baseline kasvu'!C333,"tuulisähkö",ostosähkö_nyt)</f>
        <v>jäännössähkö</v>
      </c>
      <c r="O333" s="147">
        <f>INDEX(Muuttujat!$J$5:$J$21,MATCH($C333,Muuttujat!$H$5:$H$21,0),1)</f>
        <v>61.999687056709845</v>
      </c>
      <c r="P333" s="342">
        <f>1-(INDEX(Muuttujat!$O$5:$O$21,MATCH($C333,Muuttujat!$N$5:$N$21,0),1))</f>
        <v>0.9</v>
      </c>
      <c r="Q333" s="342">
        <f>INDEX(Muuttujat!$O$5:$O$21,MATCH($C333,Muuttujat!$N$5:$N$21,0),1)</f>
        <v>0.1</v>
      </c>
      <c r="R333" s="148">
        <f>INDEX(Muuttujat!$P$5:$P$21,MATCH($C333,Muuttujat!$N$5:$N$21,0),1)</f>
        <v>0.10417875759940039</v>
      </c>
      <c r="S333" s="149">
        <f t="shared" si="113"/>
        <v>6.7783149000000007</v>
      </c>
      <c r="T333" s="150">
        <f t="shared" si="114"/>
        <v>2.4865776000000004</v>
      </c>
      <c r="U333" s="150">
        <f t="shared" si="115"/>
        <v>0</v>
      </c>
      <c r="V333" s="150">
        <f>IFERROR(INDEX(Työkonekanta!$J$3:$J$27,MATCH($A333,Työkonekanta!$A$3:$A$24,0),1)*$B333*ef_li_ion_akku/1000/1000/INDEX(Työkonekanta!$K$3:$K$27,MATCH($A333,Työkonekanta!$A$3:$A$24,0)),0)</f>
        <v>0</v>
      </c>
      <c r="W333" s="149">
        <f t="shared" si="106"/>
        <v>26.470666122714007</v>
      </c>
      <c r="X333" s="150">
        <f t="shared" si="107"/>
        <v>0.35269768260000006</v>
      </c>
      <c r="Y333" s="151">
        <f t="shared" si="108"/>
        <v>0.14497311953352773</v>
      </c>
      <c r="Z333" s="152">
        <f t="shared" si="122"/>
        <v>9.264892500000002</v>
      </c>
      <c r="AA333" s="179">
        <f t="shared" si="123"/>
        <v>26.615639242247536</v>
      </c>
      <c r="AB333" s="179">
        <f t="shared" si="124"/>
        <v>26.968336924847534</v>
      </c>
      <c r="AC333" s="180">
        <f t="shared" si="109"/>
        <v>35.880531742247541</v>
      </c>
      <c r="AD333" s="156">
        <f t="shared" si="125"/>
        <v>36.233229424847536</v>
      </c>
      <c r="AE333" s="146">
        <f>IFERROR(INDEX(Työkonekanta!$L$3:$L$30,MATCH($A333,Työkonekanta!$A$3:$A$30,0),1),0)*AF333</f>
        <v>500000</v>
      </c>
      <c r="AF333" s="146">
        <f>IFERROR(INDEX(Työkonekanta!$N$3:$N$32,MATCH($A333,Työkonekanta!$A$3:$A$32,0),1),0)</f>
        <v>1</v>
      </c>
      <c r="AG333" s="332">
        <f>I333*INDEX(Muuttujat!$U$5:$U$21,MATCH($C333,Muuttujat!$N$5:$N$21,0),1)</f>
        <v>10489.500000000002</v>
      </c>
      <c r="AH333" s="332">
        <f>J333*INDEX(Muuttujat!$T$5:$T$21,MATCH($C333,Muuttujat!$N$5:$N$21,0),1)</f>
        <v>1684.5787172011667</v>
      </c>
      <c r="AI333" s="332">
        <f t="shared" si="116"/>
        <v>278.7944606413995</v>
      </c>
      <c r="AJ333" s="332">
        <f t="shared" si="117"/>
        <v>0</v>
      </c>
      <c r="AK333" s="332">
        <f t="shared" si="126"/>
        <v>12452.873177842568</v>
      </c>
      <c r="AL333" s="332">
        <f t="shared" si="118"/>
        <v>12452.873177842568</v>
      </c>
    </row>
    <row r="334" spans="1:38">
      <c r="A334" s="139">
        <v>2</v>
      </c>
      <c r="B334" s="139">
        <f>IFERROR(INDEX(Työkonekanta!$F$3:$F$27,MATCH('S0b Baseline kasvu'!$A334,Työkonekanta!$A$3:$A$24,0),1),0)</f>
        <v>1</v>
      </c>
      <c r="C334" s="140">
        <v>2030</v>
      </c>
      <c r="D334" s="141" t="str">
        <f>IFERROR(INDEX(Työkonekanta!$D$3:$D$27,MATCH('S0b Baseline kasvu'!$A334,Työkonekanta!$A$3:$A$24,0),1),"undefined")</f>
        <v>pom</v>
      </c>
      <c r="E334" s="145">
        <f>IFERROR(INDEX(Työkonekanta!$G$3:$G$27,MATCH($A334,Työkonekanta!$A$3:$A$24,0),1)*INDEX(Työkonekanta!$H$3:$H$27,MATCH($A334,Työkonekanta!$A$3:$A$24,0),1)*(1+s0b_kasvu*($C334-2019))*$B334,0)</f>
        <v>11100.000000000002</v>
      </c>
      <c r="F334" s="145">
        <f t="shared" si="110"/>
        <v>398490.00000000006</v>
      </c>
      <c r="G334" s="145">
        <f t="shared" si="119"/>
        <v>358641.00000000006</v>
      </c>
      <c r="H334" s="145">
        <f t="shared" si="120"/>
        <v>39849.000000000007</v>
      </c>
      <c r="I334" s="145">
        <f t="shared" si="111"/>
        <v>9990.0000000000018</v>
      </c>
      <c r="J334" s="145">
        <f t="shared" si="112"/>
        <v>1161.7784256559769</v>
      </c>
      <c r="K334" s="142" t="str">
        <f t="shared" si="121"/>
        <v>l</v>
      </c>
      <c r="L334" s="146">
        <f>IFERROR(INDEX(Työkonekanta!$I$3:$I$27,MATCH('S0b Baseline kasvu'!$A334,Työkonekanta!$A$3:$A$24,0),1)*(I334+J334)*f_adblue,0)</f>
        <v>557.58892128279899</v>
      </c>
      <c r="M334" s="146">
        <f t="shared" si="105"/>
        <v>0</v>
      </c>
      <c r="N334" s="143" t="str">
        <f>IF(tuulisähkö_vuosi&lt;='S0b Baseline kasvu'!C334,"tuulisähkö",ostosähkö_nyt)</f>
        <v>jäännössähkö</v>
      </c>
      <c r="O334" s="147">
        <f>INDEX(Muuttujat!$J$5:$J$21,MATCH($C334,Muuttujat!$H$5:$H$21,0),1)</f>
        <v>61.999687056709845</v>
      </c>
      <c r="P334" s="342">
        <f>1-(INDEX(Muuttujat!$O$5:$O$21,MATCH($C334,Muuttujat!$N$5:$N$21,0),1))</f>
        <v>0.9</v>
      </c>
      <c r="Q334" s="342">
        <f>INDEX(Muuttujat!$O$5:$O$21,MATCH($C334,Muuttujat!$N$5:$N$21,0),1)</f>
        <v>0.1</v>
      </c>
      <c r="R334" s="148">
        <f>INDEX(Muuttujat!$P$5:$P$21,MATCH($C334,Muuttujat!$N$5:$N$21,0),1)</f>
        <v>0.10417875759940039</v>
      </c>
      <c r="S334" s="149">
        <f t="shared" si="113"/>
        <v>6.7783149000000007</v>
      </c>
      <c r="T334" s="150">
        <f t="shared" si="114"/>
        <v>2.4865776000000004</v>
      </c>
      <c r="U334" s="150">
        <f t="shared" si="115"/>
        <v>0</v>
      </c>
      <c r="V334" s="150">
        <f>IFERROR(INDEX(Työkonekanta!$J$3:$J$27,MATCH($A334,Työkonekanta!$A$3:$A$24,0),1)*$B334*ef_li_ion_akku/1000/1000/INDEX(Työkonekanta!$K$3:$K$27,MATCH($A334,Työkonekanta!$A$3:$A$24,0)),0)</f>
        <v>0</v>
      </c>
      <c r="W334" s="149">
        <f t="shared" si="106"/>
        <v>26.470666122714007</v>
      </c>
      <c r="X334" s="150">
        <f t="shared" si="107"/>
        <v>0.35269768260000006</v>
      </c>
      <c r="Y334" s="151">
        <f t="shared" si="108"/>
        <v>0.14497311953352773</v>
      </c>
      <c r="Z334" s="152">
        <f t="shared" si="122"/>
        <v>9.264892500000002</v>
      </c>
      <c r="AA334" s="179">
        <f t="shared" si="123"/>
        <v>26.615639242247536</v>
      </c>
      <c r="AB334" s="179">
        <f t="shared" si="124"/>
        <v>26.968336924847534</v>
      </c>
      <c r="AC334" s="180">
        <f t="shared" si="109"/>
        <v>35.880531742247541</v>
      </c>
      <c r="AD334" s="156">
        <f t="shared" si="125"/>
        <v>36.233229424847536</v>
      </c>
      <c r="AE334" s="146">
        <f>IFERROR(INDEX(Työkonekanta!$L$3:$L$30,MATCH($A334,Työkonekanta!$A$3:$A$30,0),1),0)*AF334</f>
        <v>500000</v>
      </c>
      <c r="AF334" s="146">
        <f>IFERROR(INDEX(Työkonekanta!$N$3:$N$32,MATCH($A334,Työkonekanta!$A$3:$A$32,0),1),0)</f>
        <v>1</v>
      </c>
      <c r="AG334" s="332">
        <f>I334*INDEX(Muuttujat!$U$5:$U$21,MATCH($C334,Muuttujat!$N$5:$N$21,0),1)</f>
        <v>10489.500000000002</v>
      </c>
      <c r="AH334" s="332">
        <f>J334*INDEX(Muuttujat!$T$5:$T$21,MATCH($C334,Muuttujat!$N$5:$N$21,0),1)</f>
        <v>1684.5787172011667</v>
      </c>
      <c r="AI334" s="332">
        <f t="shared" si="116"/>
        <v>278.7944606413995</v>
      </c>
      <c r="AJ334" s="332">
        <f t="shared" si="117"/>
        <v>0</v>
      </c>
      <c r="AK334" s="332">
        <f t="shared" si="126"/>
        <v>12452.873177842568</v>
      </c>
      <c r="AL334" s="332">
        <f t="shared" si="118"/>
        <v>12452.873177842568</v>
      </c>
    </row>
    <row r="335" spans="1:38">
      <c r="A335" s="139">
        <v>3</v>
      </c>
      <c r="B335" s="139">
        <f>IFERROR(INDEX(Työkonekanta!$F$3:$F$27,MATCH('S0b Baseline kasvu'!$A335,Työkonekanta!$A$3:$A$24,0),1),0)</f>
        <v>1</v>
      </c>
      <c r="C335" s="140">
        <v>2030</v>
      </c>
      <c r="D335" s="141" t="str">
        <f>IFERROR(INDEX(Työkonekanta!$D$3:$D$27,MATCH('S0b Baseline kasvu'!$A335,Työkonekanta!$A$3:$A$24,0),1),"undefined")</f>
        <v>pom</v>
      </c>
      <c r="E335" s="145">
        <f>IFERROR(INDEX(Työkonekanta!$G$3:$G$27,MATCH($A335,Työkonekanta!$A$3:$A$24,0),1)*INDEX(Työkonekanta!$H$3:$H$27,MATCH($A335,Työkonekanta!$A$3:$A$24,0),1)*(1+s0b_kasvu*($C335-2019))*$B335,0)</f>
        <v>11100.000000000002</v>
      </c>
      <c r="F335" s="145">
        <f t="shared" si="110"/>
        <v>398490.00000000006</v>
      </c>
      <c r="G335" s="145">
        <f t="shared" si="119"/>
        <v>358641.00000000006</v>
      </c>
      <c r="H335" s="145">
        <f t="shared" si="120"/>
        <v>39849.000000000007</v>
      </c>
      <c r="I335" s="145">
        <f t="shared" si="111"/>
        <v>9990.0000000000018</v>
      </c>
      <c r="J335" s="145">
        <f t="shared" si="112"/>
        <v>1161.7784256559769</v>
      </c>
      <c r="K335" s="142" t="str">
        <f t="shared" si="121"/>
        <v>l</v>
      </c>
      <c r="L335" s="146">
        <f>IFERROR(INDEX(Työkonekanta!$I$3:$I$27,MATCH('S0b Baseline kasvu'!$A335,Työkonekanta!$A$3:$A$24,0),1)*(I335+J335)*f_adblue,0)</f>
        <v>557.58892128279899</v>
      </c>
      <c r="M335" s="146">
        <f t="shared" si="105"/>
        <v>0</v>
      </c>
      <c r="N335" s="143" t="str">
        <f>IF(tuulisähkö_vuosi&lt;='S0b Baseline kasvu'!C335,"tuulisähkö",ostosähkö_nyt)</f>
        <v>jäännössähkö</v>
      </c>
      <c r="O335" s="147">
        <f>INDEX(Muuttujat!$J$5:$J$21,MATCH($C335,Muuttujat!$H$5:$H$21,0),1)</f>
        <v>61.999687056709845</v>
      </c>
      <c r="P335" s="342">
        <f>1-(INDEX(Muuttujat!$O$5:$O$21,MATCH($C335,Muuttujat!$N$5:$N$21,0),1))</f>
        <v>0.9</v>
      </c>
      <c r="Q335" s="342">
        <f>INDEX(Muuttujat!$O$5:$O$21,MATCH($C335,Muuttujat!$N$5:$N$21,0),1)</f>
        <v>0.1</v>
      </c>
      <c r="R335" s="148">
        <f>INDEX(Muuttujat!$P$5:$P$21,MATCH($C335,Muuttujat!$N$5:$N$21,0),1)</f>
        <v>0.10417875759940039</v>
      </c>
      <c r="S335" s="149">
        <f t="shared" si="113"/>
        <v>6.7783149000000007</v>
      </c>
      <c r="T335" s="150">
        <f t="shared" si="114"/>
        <v>2.4865776000000004</v>
      </c>
      <c r="U335" s="150">
        <f t="shared" si="115"/>
        <v>0</v>
      </c>
      <c r="V335" s="150">
        <f>IFERROR(INDEX(Työkonekanta!$J$3:$J$27,MATCH($A335,Työkonekanta!$A$3:$A$24,0),1)*$B335*ef_li_ion_akku/1000/1000/INDEX(Työkonekanta!$K$3:$K$27,MATCH($A335,Työkonekanta!$A$3:$A$24,0)),0)</f>
        <v>0</v>
      </c>
      <c r="W335" s="149">
        <f t="shared" si="106"/>
        <v>26.470666122714007</v>
      </c>
      <c r="X335" s="150">
        <f t="shared" si="107"/>
        <v>0.35269768260000006</v>
      </c>
      <c r="Y335" s="151">
        <f t="shared" si="108"/>
        <v>0.14497311953352773</v>
      </c>
      <c r="Z335" s="152">
        <f t="shared" si="122"/>
        <v>9.264892500000002</v>
      </c>
      <c r="AA335" s="179">
        <f t="shared" si="123"/>
        <v>26.615639242247536</v>
      </c>
      <c r="AB335" s="179">
        <f t="shared" si="124"/>
        <v>26.968336924847534</v>
      </c>
      <c r="AC335" s="180">
        <f t="shared" si="109"/>
        <v>35.880531742247541</v>
      </c>
      <c r="AD335" s="156">
        <f t="shared" si="125"/>
        <v>36.233229424847536</v>
      </c>
      <c r="AE335" s="146">
        <f>IFERROR(INDEX(Työkonekanta!$L$3:$L$30,MATCH($A335,Työkonekanta!$A$3:$A$30,0),1),0)*AF335</f>
        <v>0</v>
      </c>
      <c r="AF335" s="146">
        <f>IFERROR(INDEX(Työkonekanta!$N$3:$N$32,MATCH($A335,Työkonekanta!$A$3:$A$32,0),1),0)</f>
        <v>0</v>
      </c>
      <c r="AG335" s="332">
        <f>I335*INDEX(Muuttujat!$U$5:$U$21,MATCH($C335,Muuttujat!$N$5:$N$21,0),1)</f>
        <v>10489.500000000002</v>
      </c>
      <c r="AH335" s="332">
        <f>J335*INDEX(Muuttujat!$T$5:$T$21,MATCH($C335,Muuttujat!$N$5:$N$21,0),1)</f>
        <v>1684.5787172011667</v>
      </c>
      <c r="AI335" s="332">
        <f t="shared" si="116"/>
        <v>278.7944606413995</v>
      </c>
      <c r="AJ335" s="332">
        <f t="shared" si="117"/>
        <v>0</v>
      </c>
      <c r="AK335" s="332">
        <f t="shared" si="126"/>
        <v>12452.873177842568</v>
      </c>
      <c r="AL335" s="332">
        <f t="shared" si="118"/>
        <v>12452.873177842568</v>
      </c>
    </row>
    <row r="336" spans="1:38">
      <c r="A336" s="139">
        <v>4</v>
      </c>
      <c r="B336" s="139">
        <f>IFERROR(INDEX(Työkonekanta!$F$3:$F$27,MATCH('S0b Baseline kasvu'!$A336,Työkonekanta!$A$3:$A$24,0),1),0)</f>
        <v>1</v>
      </c>
      <c r="C336" s="140">
        <v>2030</v>
      </c>
      <c r="D336" s="141" t="str">
        <f>IFERROR(INDEX(Työkonekanta!$D$3:$D$27,MATCH('S0b Baseline kasvu'!$A336,Työkonekanta!$A$3:$A$24,0),1),"undefined")</f>
        <v>pom</v>
      </c>
      <c r="E336" s="145">
        <f>IFERROR(INDEX(Työkonekanta!$G$3:$G$27,MATCH($A336,Työkonekanta!$A$3:$A$24,0),1)*INDEX(Työkonekanta!$H$3:$H$27,MATCH($A336,Työkonekanta!$A$3:$A$24,0),1)*(1+s0b_kasvu*($C336-2019))*$B336,0)</f>
        <v>11100.000000000002</v>
      </c>
      <c r="F336" s="145">
        <f t="shared" si="110"/>
        <v>398490.00000000006</v>
      </c>
      <c r="G336" s="145">
        <f t="shared" si="119"/>
        <v>358641.00000000006</v>
      </c>
      <c r="H336" s="145">
        <f t="shared" si="120"/>
        <v>39849.000000000007</v>
      </c>
      <c r="I336" s="145">
        <f t="shared" si="111"/>
        <v>9990.0000000000018</v>
      </c>
      <c r="J336" s="145">
        <f t="shared" si="112"/>
        <v>1161.7784256559769</v>
      </c>
      <c r="K336" s="142" t="str">
        <f t="shared" si="121"/>
        <v>l</v>
      </c>
      <c r="L336" s="146">
        <f>IFERROR(INDEX(Työkonekanta!$I$3:$I$27,MATCH('S0b Baseline kasvu'!$A336,Työkonekanta!$A$3:$A$24,0),1)*(I336+J336)*f_adblue,0)</f>
        <v>557.58892128279899</v>
      </c>
      <c r="M336" s="146">
        <f t="shared" si="105"/>
        <v>0</v>
      </c>
      <c r="N336" s="143" t="str">
        <f>IF(tuulisähkö_vuosi&lt;='S0b Baseline kasvu'!C336,"tuulisähkö",ostosähkö_nyt)</f>
        <v>jäännössähkö</v>
      </c>
      <c r="O336" s="147">
        <f>INDEX(Muuttujat!$J$5:$J$21,MATCH($C336,Muuttujat!$H$5:$H$21,0),1)</f>
        <v>61.999687056709845</v>
      </c>
      <c r="P336" s="342">
        <f>1-(INDEX(Muuttujat!$O$5:$O$21,MATCH($C336,Muuttujat!$N$5:$N$21,0),1))</f>
        <v>0.9</v>
      </c>
      <c r="Q336" s="342">
        <f>INDEX(Muuttujat!$O$5:$O$21,MATCH($C336,Muuttujat!$N$5:$N$21,0),1)</f>
        <v>0.1</v>
      </c>
      <c r="R336" s="148">
        <f>INDEX(Muuttujat!$P$5:$P$21,MATCH($C336,Muuttujat!$N$5:$N$21,0),1)</f>
        <v>0.10417875759940039</v>
      </c>
      <c r="S336" s="149">
        <f t="shared" si="113"/>
        <v>6.7783149000000007</v>
      </c>
      <c r="T336" s="150">
        <f t="shared" si="114"/>
        <v>2.4865776000000004</v>
      </c>
      <c r="U336" s="150">
        <f t="shared" si="115"/>
        <v>0</v>
      </c>
      <c r="V336" s="150">
        <f>IFERROR(INDEX(Työkonekanta!$J$3:$J$27,MATCH($A336,Työkonekanta!$A$3:$A$24,0),1)*$B336*ef_li_ion_akku/1000/1000/INDEX(Työkonekanta!$K$3:$K$27,MATCH($A336,Työkonekanta!$A$3:$A$24,0)),0)</f>
        <v>0</v>
      </c>
      <c r="W336" s="149">
        <f t="shared" si="106"/>
        <v>26.470666122714007</v>
      </c>
      <c r="X336" s="150">
        <f t="shared" si="107"/>
        <v>0.35269768260000006</v>
      </c>
      <c r="Y336" s="151">
        <f t="shared" si="108"/>
        <v>0.14497311953352773</v>
      </c>
      <c r="Z336" s="152">
        <f t="shared" si="122"/>
        <v>9.264892500000002</v>
      </c>
      <c r="AA336" s="179">
        <f t="shared" si="123"/>
        <v>26.615639242247536</v>
      </c>
      <c r="AB336" s="179">
        <f t="shared" si="124"/>
        <v>26.968336924847534</v>
      </c>
      <c r="AC336" s="180">
        <f t="shared" si="109"/>
        <v>35.880531742247541</v>
      </c>
      <c r="AD336" s="156">
        <f t="shared" si="125"/>
        <v>36.233229424847536</v>
      </c>
      <c r="AE336" s="146">
        <f>IFERROR(INDEX(Työkonekanta!$L$3:$L$30,MATCH($A336,Työkonekanta!$A$3:$A$30,0),1),0)*AF336</f>
        <v>0</v>
      </c>
      <c r="AF336" s="146">
        <f>IFERROR(INDEX(Työkonekanta!$N$3:$N$32,MATCH($A336,Työkonekanta!$A$3:$A$32,0),1),0)</f>
        <v>0</v>
      </c>
      <c r="AG336" s="332">
        <f>I336*INDEX(Muuttujat!$U$5:$U$21,MATCH($C336,Muuttujat!$N$5:$N$21,0),1)</f>
        <v>10489.500000000002</v>
      </c>
      <c r="AH336" s="332">
        <f>J336*INDEX(Muuttujat!$T$5:$T$21,MATCH($C336,Muuttujat!$N$5:$N$21,0),1)</f>
        <v>1684.5787172011667</v>
      </c>
      <c r="AI336" s="332">
        <f t="shared" si="116"/>
        <v>278.7944606413995</v>
      </c>
      <c r="AJ336" s="332">
        <f t="shared" si="117"/>
        <v>0</v>
      </c>
      <c r="AK336" s="332">
        <f t="shared" si="126"/>
        <v>12452.873177842568</v>
      </c>
      <c r="AL336" s="332">
        <f t="shared" si="118"/>
        <v>12452.873177842568</v>
      </c>
    </row>
    <row r="337" spans="1:38">
      <c r="A337" s="139">
        <v>5</v>
      </c>
      <c r="B337" s="139">
        <f>IFERROR(INDEX(Työkonekanta!$F$3:$F$27,MATCH('S0b Baseline kasvu'!$A337,Työkonekanta!$A$3:$A$24,0),1),0)</f>
        <v>0</v>
      </c>
      <c r="C337" s="140">
        <v>2030</v>
      </c>
      <c r="D337" s="141" t="str">
        <f>IFERROR(INDEX(Työkonekanta!$D$3:$D$27,MATCH('S0b Baseline kasvu'!$A337,Työkonekanta!$A$3:$A$24,0),1),"undefined")</f>
        <v>sähkö</v>
      </c>
      <c r="E337" s="145">
        <f>IFERROR(INDEX(Työkonekanta!$G$3:$G$27,MATCH($A337,Työkonekanta!$A$3:$A$24,0),1)*INDEX(Työkonekanta!$H$3:$H$27,MATCH($A337,Työkonekanta!$A$3:$A$24,0),1)*(1+s0b_kasvu*($C337-2019))*$B337,0)</f>
        <v>0</v>
      </c>
      <c r="F337" s="145">
        <f t="shared" si="110"/>
        <v>0</v>
      </c>
      <c r="G337" s="145">
        <f t="shared" si="119"/>
        <v>0</v>
      </c>
      <c r="H337" s="145">
        <f t="shared" si="120"/>
        <v>0</v>
      </c>
      <c r="I337" s="145">
        <f t="shared" si="111"/>
        <v>0</v>
      </c>
      <c r="J337" s="145">
        <f t="shared" si="112"/>
        <v>0</v>
      </c>
      <c r="K337" s="142" t="str">
        <f t="shared" si="121"/>
        <v>kWh</v>
      </c>
      <c r="L337" s="146">
        <f>IFERROR(INDEX(Työkonekanta!$I$3:$I$27,MATCH('S0b Baseline kasvu'!$A337,Työkonekanta!$A$3:$A$24,0),1)*(I337+J337)*f_adblue,0)</f>
        <v>0</v>
      </c>
      <c r="M337" s="146">
        <f t="shared" si="105"/>
        <v>0</v>
      </c>
      <c r="N337" s="143" t="str">
        <f>IF(tuulisähkö_vuosi&lt;='S0b Baseline kasvu'!C337,"tuulisähkö",ostosähkö_nyt)</f>
        <v>jäännössähkö</v>
      </c>
      <c r="O337" s="147">
        <f>INDEX(Muuttujat!$J$5:$J$21,MATCH($C337,Muuttujat!$H$5:$H$21,0),1)</f>
        <v>61.999687056709845</v>
      </c>
      <c r="P337" s="342">
        <f>1-(INDEX(Muuttujat!$O$5:$O$21,MATCH($C337,Muuttujat!$N$5:$N$21,0),1))</f>
        <v>0.9</v>
      </c>
      <c r="Q337" s="342">
        <f>INDEX(Muuttujat!$O$5:$O$21,MATCH($C337,Muuttujat!$N$5:$N$21,0),1)</f>
        <v>0.1</v>
      </c>
      <c r="R337" s="148">
        <f>INDEX(Muuttujat!$P$5:$P$21,MATCH($C337,Muuttujat!$N$5:$N$21,0),1)</f>
        <v>0.10417875759940039</v>
      </c>
      <c r="S337" s="149">
        <f t="shared" si="113"/>
        <v>0</v>
      </c>
      <c r="T337" s="150">
        <f t="shared" si="114"/>
        <v>0</v>
      </c>
      <c r="U337" s="150">
        <f t="shared" si="115"/>
        <v>0</v>
      </c>
      <c r="V337" s="150">
        <f>IFERROR(INDEX(Työkonekanta!$J$3:$J$27,MATCH($A337,Työkonekanta!$A$3:$A$24,0),1)*$B337*ef_li_ion_akku/1000/1000/INDEX(Työkonekanta!$K$3:$K$27,MATCH($A337,Työkonekanta!$A$3:$A$24,0)),0)</f>
        <v>0</v>
      </c>
      <c r="W337" s="149">
        <f t="shared" si="106"/>
        <v>0</v>
      </c>
      <c r="X337" s="150">
        <f t="shared" si="107"/>
        <v>0</v>
      </c>
      <c r="Y337" s="151">
        <f t="shared" si="108"/>
        <v>0</v>
      </c>
      <c r="Z337" s="152">
        <f t="shared" si="122"/>
        <v>0</v>
      </c>
      <c r="AA337" s="179">
        <f t="shared" si="123"/>
        <v>0</v>
      </c>
      <c r="AB337" s="179">
        <f t="shared" si="124"/>
        <v>0</v>
      </c>
      <c r="AC337" s="180">
        <f t="shared" si="109"/>
        <v>0</v>
      </c>
      <c r="AD337" s="156">
        <f t="shared" si="125"/>
        <v>0</v>
      </c>
      <c r="AE337" s="146">
        <f>IFERROR(INDEX(Työkonekanta!$L$3:$L$30,MATCH($A337,Työkonekanta!$A$3:$A$30,0),1),0)*AF337</f>
        <v>0</v>
      </c>
      <c r="AF337" s="146">
        <f>IFERROR(INDEX(Työkonekanta!$N$3:$N$32,MATCH($A337,Työkonekanta!$A$3:$A$32,0),1),0)</f>
        <v>0</v>
      </c>
      <c r="AG337" s="332">
        <f>I337*INDEX(Muuttujat!$U$5:$U$21,MATCH($C337,Muuttujat!$N$5:$N$21,0),1)</f>
        <v>0</v>
      </c>
      <c r="AH337" s="332">
        <f>J337*INDEX(Muuttujat!$T$5:$T$21,MATCH($C337,Muuttujat!$N$5:$N$21,0),1)</f>
        <v>0</v>
      </c>
      <c r="AI337" s="332">
        <f t="shared" si="116"/>
        <v>0</v>
      </c>
      <c r="AJ337" s="332">
        <f t="shared" si="117"/>
        <v>0</v>
      </c>
      <c r="AK337" s="332">
        <f t="shared" si="126"/>
        <v>0</v>
      </c>
      <c r="AL337" s="332">
        <f t="shared" si="118"/>
        <v>0</v>
      </c>
    </row>
    <row r="338" spans="1:38">
      <c r="A338" s="139">
        <v>6</v>
      </c>
      <c r="B338" s="139">
        <f>IFERROR(INDEX(Työkonekanta!$F$3:$F$27,MATCH('S0b Baseline kasvu'!$A338,Työkonekanta!$A$3:$A$24,0),1),0)</f>
        <v>0</v>
      </c>
      <c r="C338" s="140">
        <v>2030</v>
      </c>
      <c r="D338" s="141" t="str">
        <f>IFERROR(INDEX(Työkonekanta!$D$3:$D$27,MATCH('S0b Baseline kasvu'!$A338,Työkonekanta!$A$3:$A$24,0),1),"undefined")</f>
        <v>sähkö</v>
      </c>
      <c r="E338" s="145">
        <f>IFERROR(INDEX(Työkonekanta!$G$3:$G$27,MATCH($A338,Työkonekanta!$A$3:$A$24,0),1)*INDEX(Työkonekanta!$H$3:$H$27,MATCH($A338,Työkonekanta!$A$3:$A$24,0),1)*(1+s0b_kasvu*($C338-2019))*$B338,0)</f>
        <v>0</v>
      </c>
      <c r="F338" s="145">
        <f t="shared" si="110"/>
        <v>0</v>
      </c>
      <c r="G338" s="145">
        <f t="shared" si="119"/>
        <v>0</v>
      </c>
      <c r="H338" s="145">
        <f t="shared" si="120"/>
        <v>0</v>
      </c>
      <c r="I338" s="145">
        <f t="shared" si="111"/>
        <v>0</v>
      </c>
      <c r="J338" s="145">
        <f t="shared" si="112"/>
        <v>0</v>
      </c>
      <c r="K338" s="142" t="str">
        <f t="shared" si="121"/>
        <v>kWh</v>
      </c>
      <c r="L338" s="146">
        <f>IFERROR(INDEX(Työkonekanta!$I$3:$I$27,MATCH('S0b Baseline kasvu'!$A338,Työkonekanta!$A$3:$A$24,0),1)*(I338+J338)*f_adblue,0)</f>
        <v>0</v>
      </c>
      <c r="M338" s="146">
        <f t="shared" si="105"/>
        <v>0</v>
      </c>
      <c r="N338" s="143" t="str">
        <f>IF(tuulisähkö_vuosi&lt;='S0b Baseline kasvu'!C338,"tuulisähkö",ostosähkö_nyt)</f>
        <v>jäännössähkö</v>
      </c>
      <c r="O338" s="147">
        <f>INDEX(Muuttujat!$J$5:$J$21,MATCH($C338,Muuttujat!$H$5:$H$21,0),1)</f>
        <v>61.999687056709845</v>
      </c>
      <c r="P338" s="342">
        <f>1-(INDEX(Muuttujat!$O$5:$O$21,MATCH($C338,Muuttujat!$N$5:$N$21,0),1))</f>
        <v>0.9</v>
      </c>
      <c r="Q338" s="342">
        <f>INDEX(Muuttujat!$O$5:$O$21,MATCH($C338,Muuttujat!$N$5:$N$21,0),1)</f>
        <v>0.1</v>
      </c>
      <c r="R338" s="148">
        <f>INDEX(Muuttujat!$P$5:$P$21,MATCH($C338,Muuttujat!$N$5:$N$21,0),1)</f>
        <v>0.10417875759940039</v>
      </c>
      <c r="S338" s="149">
        <f t="shared" si="113"/>
        <v>0</v>
      </c>
      <c r="T338" s="150">
        <f t="shared" si="114"/>
        <v>0</v>
      </c>
      <c r="U338" s="150">
        <f t="shared" si="115"/>
        <v>0</v>
      </c>
      <c r="V338" s="150">
        <f>IFERROR(INDEX(Työkonekanta!$J$3:$J$27,MATCH($A338,Työkonekanta!$A$3:$A$24,0),1)*$B338*ef_li_ion_akku/1000/1000/INDEX(Työkonekanta!$K$3:$K$27,MATCH($A338,Työkonekanta!$A$3:$A$24,0)),0)</f>
        <v>0</v>
      </c>
      <c r="W338" s="149">
        <f t="shared" si="106"/>
        <v>0</v>
      </c>
      <c r="X338" s="150">
        <f t="shared" si="107"/>
        <v>0</v>
      </c>
      <c r="Y338" s="151">
        <f t="shared" si="108"/>
        <v>0</v>
      </c>
      <c r="Z338" s="152">
        <f t="shared" si="122"/>
        <v>0</v>
      </c>
      <c r="AA338" s="179">
        <f t="shared" si="123"/>
        <v>0</v>
      </c>
      <c r="AB338" s="179">
        <f t="shared" si="124"/>
        <v>0</v>
      </c>
      <c r="AC338" s="180">
        <f t="shared" si="109"/>
        <v>0</v>
      </c>
      <c r="AD338" s="156">
        <f t="shared" si="125"/>
        <v>0</v>
      </c>
      <c r="AE338" s="146">
        <f>IFERROR(INDEX(Työkonekanta!$L$3:$L$30,MATCH($A338,Työkonekanta!$A$3:$A$30,0),1),0)*AF338</f>
        <v>0</v>
      </c>
      <c r="AF338" s="146">
        <f>IFERROR(INDEX(Työkonekanta!$N$3:$N$32,MATCH($A338,Työkonekanta!$A$3:$A$32,0),1),0)</f>
        <v>0</v>
      </c>
      <c r="AG338" s="332">
        <f>I338*INDEX(Muuttujat!$U$5:$U$21,MATCH($C338,Muuttujat!$N$5:$N$21,0),1)</f>
        <v>0</v>
      </c>
      <c r="AH338" s="332">
        <f>J338*INDEX(Muuttujat!$T$5:$T$21,MATCH($C338,Muuttujat!$N$5:$N$21,0),1)</f>
        <v>0</v>
      </c>
      <c r="AI338" s="332">
        <f t="shared" si="116"/>
        <v>0</v>
      </c>
      <c r="AJ338" s="332">
        <f t="shared" si="117"/>
        <v>0</v>
      </c>
      <c r="AK338" s="332">
        <f t="shared" si="126"/>
        <v>0</v>
      </c>
      <c r="AL338" s="332">
        <f t="shared" si="118"/>
        <v>0</v>
      </c>
    </row>
    <row r="339" spans="1:38">
      <c r="A339" s="139">
        <v>7</v>
      </c>
      <c r="B339" s="139">
        <f>IFERROR(INDEX(Työkonekanta!$F$3:$F$27,MATCH('S0b Baseline kasvu'!$A339,Työkonekanta!$A$3:$A$24,0),1),0)</f>
        <v>1</v>
      </c>
      <c r="C339" s="140">
        <v>2030</v>
      </c>
      <c r="D339" s="141" t="str">
        <f>IFERROR(INDEX(Työkonekanta!$D$3:$D$27,MATCH('S0b Baseline kasvu'!$A339,Työkonekanta!$A$3:$A$24,0),1),"undefined")</f>
        <v>pom</v>
      </c>
      <c r="E339" s="145">
        <f>IFERROR(INDEX(Työkonekanta!$G$3:$G$27,MATCH($A339,Työkonekanta!$A$3:$A$24,0),1)*INDEX(Työkonekanta!$H$3:$H$27,MATCH($A339,Työkonekanta!$A$3:$A$24,0),1)*(1+s0b_kasvu*($C339-2019))*$B339,0)</f>
        <v>11100.000000000002</v>
      </c>
      <c r="F339" s="145">
        <f t="shared" si="110"/>
        <v>398490.00000000006</v>
      </c>
      <c r="G339" s="145">
        <f t="shared" si="119"/>
        <v>358641.00000000006</v>
      </c>
      <c r="H339" s="145">
        <f t="shared" si="120"/>
        <v>39849.000000000007</v>
      </c>
      <c r="I339" s="145">
        <f t="shared" si="111"/>
        <v>9990.0000000000018</v>
      </c>
      <c r="J339" s="145">
        <f t="shared" si="112"/>
        <v>1161.7784256559769</v>
      </c>
      <c r="K339" s="142" t="str">
        <f t="shared" si="121"/>
        <v>l</v>
      </c>
      <c r="L339" s="146">
        <f>IFERROR(INDEX(Työkonekanta!$I$3:$I$27,MATCH('S0b Baseline kasvu'!$A339,Työkonekanta!$A$3:$A$24,0),1)*(I339+J339)*f_adblue,0)</f>
        <v>0</v>
      </c>
      <c r="M339" s="146">
        <f t="shared" ref="M339:M402" si="127">IF($D339="sähkö",conv_kwh_mj*$E339,0)</f>
        <v>0</v>
      </c>
      <c r="N339" s="143" t="str">
        <f>IF(tuulisähkö_vuosi&lt;='S0b Baseline kasvu'!C339,"tuulisähkö",ostosähkö_nyt)</f>
        <v>jäännössähkö</v>
      </c>
      <c r="O339" s="147">
        <f>INDEX(Muuttujat!$J$5:$J$21,MATCH($C339,Muuttujat!$H$5:$H$21,0),1)</f>
        <v>61.999687056709845</v>
      </c>
      <c r="P339" s="342">
        <f>1-(INDEX(Muuttujat!$O$5:$O$21,MATCH($C339,Muuttujat!$N$5:$N$21,0),1))</f>
        <v>0.9</v>
      </c>
      <c r="Q339" s="342">
        <f>INDEX(Muuttujat!$O$5:$O$21,MATCH($C339,Muuttujat!$N$5:$N$21,0),1)</f>
        <v>0.1</v>
      </c>
      <c r="R339" s="148">
        <f>INDEX(Muuttujat!$P$5:$P$21,MATCH($C339,Muuttujat!$N$5:$N$21,0),1)</f>
        <v>0.10417875759940039</v>
      </c>
      <c r="S339" s="149">
        <f t="shared" si="113"/>
        <v>6.7783149000000007</v>
      </c>
      <c r="T339" s="150">
        <f t="shared" si="114"/>
        <v>2.4865776000000004</v>
      </c>
      <c r="U339" s="150">
        <f t="shared" si="115"/>
        <v>0</v>
      </c>
      <c r="V339" s="150">
        <f>IFERROR(INDEX(Työkonekanta!$J$3:$J$27,MATCH($A339,Työkonekanta!$A$3:$A$24,0),1)*$B339*ef_li_ion_akku/1000/1000/INDEX(Työkonekanta!$K$3:$K$27,MATCH($A339,Työkonekanta!$A$3:$A$24,0)),0)</f>
        <v>0</v>
      </c>
      <c r="W339" s="149">
        <f t="shared" ref="W339:W402" si="128">($I339*IF($D339="pom",ef_v_co2_pom,0))/1000/1000</f>
        <v>26.470666122714007</v>
      </c>
      <c r="X339" s="150">
        <f t="shared" ref="X339:X402" si="129">($E339*(IF($D339="pom",ef_v_ch4_pom,0)*gwp100_ch4+IF($D339="pom",ef_v_n2o_pom,0)*gwp100_n2o))/1000/1000</f>
        <v>0.35269768260000006</v>
      </c>
      <c r="Y339" s="151">
        <f t="shared" ref="Y339:Y402" si="130">$L339*ef_v_co2_adblue/1000/1000</f>
        <v>0</v>
      </c>
      <c r="Z339" s="152">
        <f t="shared" si="122"/>
        <v>9.264892500000002</v>
      </c>
      <c r="AA339" s="179">
        <f t="shared" si="123"/>
        <v>26.470666122714007</v>
      </c>
      <c r="AB339" s="179">
        <f t="shared" si="124"/>
        <v>26.823363805314006</v>
      </c>
      <c r="AC339" s="180">
        <f t="shared" ref="AC339:AC402" si="131">$Z339+$AA339</f>
        <v>35.735558622714009</v>
      </c>
      <c r="AD339" s="156">
        <f t="shared" si="125"/>
        <v>36.088256305314005</v>
      </c>
      <c r="AE339" s="146">
        <f>IFERROR(INDEX(Työkonekanta!$L$3:$L$30,MATCH($A339,Työkonekanta!$A$3:$A$30,0),1),0)*AF339</f>
        <v>500000</v>
      </c>
      <c r="AF339" s="146">
        <f>IFERROR(INDEX(Työkonekanta!$N$3:$N$32,MATCH($A339,Työkonekanta!$A$3:$A$32,0),1),0)</f>
        <v>1</v>
      </c>
      <c r="AG339" s="332">
        <f>I339*INDEX(Muuttujat!$U$5:$U$21,MATCH($C339,Muuttujat!$N$5:$N$21,0),1)</f>
        <v>10489.500000000002</v>
      </c>
      <c r="AH339" s="332">
        <f>J339*INDEX(Muuttujat!$T$5:$T$21,MATCH($C339,Muuttujat!$N$5:$N$21,0),1)</f>
        <v>1684.5787172011667</v>
      </c>
      <c r="AI339" s="332">
        <f t="shared" si="116"/>
        <v>0</v>
      </c>
      <c r="AJ339" s="332">
        <f t="shared" si="117"/>
        <v>0</v>
      </c>
      <c r="AK339" s="332">
        <f t="shared" si="126"/>
        <v>12174.078717201168</v>
      </c>
      <c r="AL339" s="332">
        <f t="shared" si="118"/>
        <v>12174.078717201168</v>
      </c>
    </row>
    <row r="340" spans="1:38">
      <c r="A340" s="139">
        <v>8</v>
      </c>
      <c r="B340" s="139">
        <f>IFERROR(INDEX(Työkonekanta!$F$3:$F$27,MATCH('S0b Baseline kasvu'!$A340,Työkonekanta!$A$3:$A$24,0),1),0)</f>
        <v>1</v>
      </c>
      <c r="C340" s="140">
        <v>2030</v>
      </c>
      <c r="D340" s="141" t="str">
        <f>IFERROR(INDEX(Työkonekanta!$D$3:$D$27,MATCH('S0b Baseline kasvu'!$A340,Työkonekanta!$A$3:$A$24,0),1),"undefined")</f>
        <v>pom</v>
      </c>
      <c r="E340" s="145">
        <f>IFERROR(INDEX(Työkonekanta!$G$3:$G$27,MATCH($A340,Työkonekanta!$A$3:$A$24,0),1)*INDEX(Työkonekanta!$H$3:$H$27,MATCH($A340,Työkonekanta!$A$3:$A$24,0),1)*(1+s0b_kasvu*($C340-2019))*$B340,0)</f>
        <v>11100.000000000002</v>
      </c>
      <c r="F340" s="145">
        <f t="shared" si="110"/>
        <v>398490.00000000006</v>
      </c>
      <c r="G340" s="145">
        <f t="shared" si="119"/>
        <v>358641.00000000006</v>
      </c>
      <c r="H340" s="145">
        <f t="shared" si="120"/>
        <v>39849.000000000007</v>
      </c>
      <c r="I340" s="145">
        <f t="shared" si="111"/>
        <v>9990.0000000000018</v>
      </c>
      <c r="J340" s="145">
        <f t="shared" si="112"/>
        <v>1161.7784256559769</v>
      </c>
      <c r="K340" s="142" t="str">
        <f t="shared" si="121"/>
        <v>l</v>
      </c>
      <c r="L340" s="146">
        <f>IFERROR(INDEX(Työkonekanta!$I$3:$I$27,MATCH('S0b Baseline kasvu'!$A340,Työkonekanta!$A$3:$A$24,0),1)*(I340+J340)*f_adblue,0)</f>
        <v>557.58892128279899</v>
      </c>
      <c r="M340" s="146">
        <f t="shared" si="127"/>
        <v>0</v>
      </c>
      <c r="N340" s="143" t="str">
        <f>IF(tuulisähkö_vuosi&lt;='S0b Baseline kasvu'!C340,"tuulisähkö",ostosähkö_nyt)</f>
        <v>jäännössähkö</v>
      </c>
      <c r="O340" s="147">
        <f>INDEX(Muuttujat!$J$5:$J$21,MATCH($C340,Muuttujat!$H$5:$H$21,0),1)</f>
        <v>61.999687056709845</v>
      </c>
      <c r="P340" s="342">
        <f>1-(INDEX(Muuttujat!$O$5:$O$21,MATCH($C340,Muuttujat!$N$5:$N$21,0),1))</f>
        <v>0.9</v>
      </c>
      <c r="Q340" s="342">
        <f>INDEX(Muuttujat!$O$5:$O$21,MATCH($C340,Muuttujat!$N$5:$N$21,0),1)</f>
        <v>0.1</v>
      </c>
      <c r="R340" s="148">
        <f>INDEX(Muuttujat!$P$5:$P$21,MATCH($C340,Muuttujat!$N$5:$N$21,0),1)</f>
        <v>0.10417875759940039</v>
      </c>
      <c r="S340" s="149">
        <f t="shared" si="113"/>
        <v>6.7783149000000007</v>
      </c>
      <c r="T340" s="150">
        <f t="shared" si="114"/>
        <v>2.4865776000000004</v>
      </c>
      <c r="U340" s="150">
        <f t="shared" si="115"/>
        <v>0</v>
      </c>
      <c r="V340" s="150">
        <f>IFERROR(INDEX(Työkonekanta!$J$3:$J$27,MATCH($A340,Työkonekanta!$A$3:$A$24,0),1)*$B340*ef_li_ion_akku/1000/1000/INDEX(Työkonekanta!$K$3:$K$27,MATCH($A340,Työkonekanta!$A$3:$A$24,0)),0)</f>
        <v>0</v>
      </c>
      <c r="W340" s="149">
        <f t="shared" si="128"/>
        <v>26.470666122714007</v>
      </c>
      <c r="X340" s="150">
        <f t="shared" si="129"/>
        <v>0.35269768260000006</v>
      </c>
      <c r="Y340" s="151">
        <f t="shared" si="130"/>
        <v>0.14497311953352773</v>
      </c>
      <c r="Z340" s="152">
        <f t="shared" si="122"/>
        <v>9.264892500000002</v>
      </c>
      <c r="AA340" s="179">
        <f t="shared" si="123"/>
        <v>26.615639242247536</v>
      </c>
      <c r="AB340" s="179">
        <f t="shared" si="124"/>
        <v>26.968336924847534</v>
      </c>
      <c r="AC340" s="180">
        <f t="shared" si="131"/>
        <v>35.880531742247541</v>
      </c>
      <c r="AD340" s="156">
        <f t="shared" si="125"/>
        <v>36.233229424847536</v>
      </c>
      <c r="AE340" s="146">
        <f>IFERROR(INDEX(Työkonekanta!$L$3:$L$30,MATCH($A340,Työkonekanta!$A$3:$A$30,0),1),0)*AF340</f>
        <v>500000</v>
      </c>
      <c r="AF340" s="146">
        <f>IFERROR(INDEX(Työkonekanta!$N$3:$N$32,MATCH($A340,Työkonekanta!$A$3:$A$32,0),1),0)</f>
        <v>1</v>
      </c>
      <c r="AG340" s="332">
        <f>I340*INDEX(Muuttujat!$U$5:$U$21,MATCH($C340,Muuttujat!$N$5:$N$21,0),1)</f>
        <v>10489.500000000002</v>
      </c>
      <c r="AH340" s="332">
        <f>J340*INDEX(Muuttujat!$T$5:$T$21,MATCH($C340,Muuttujat!$N$5:$N$21,0),1)</f>
        <v>1684.5787172011667</v>
      </c>
      <c r="AI340" s="332">
        <f t="shared" si="116"/>
        <v>278.7944606413995</v>
      </c>
      <c r="AJ340" s="332">
        <f t="shared" si="117"/>
        <v>0</v>
      </c>
      <c r="AK340" s="332">
        <f t="shared" si="126"/>
        <v>12452.873177842568</v>
      </c>
      <c r="AL340" s="332">
        <f t="shared" si="118"/>
        <v>12452.873177842568</v>
      </c>
    </row>
    <row r="341" spans="1:38">
      <c r="A341" s="139">
        <v>9</v>
      </c>
      <c r="B341" s="139">
        <f>IFERROR(INDEX(Työkonekanta!$F$3:$F$27,MATCH('S0b Baseline kasvu'!$A341,Työkonekanta!$A$3:$A$24,0),1),0)</f>
        <v>0</v>
      </c>
      <c r="C341" s="140">
        <v>2030</v>
      </c>
      <c r="D341" s="141" t="str">
        <f>IFERROR(INDEX(Työkonekanta!$D$3:$D$27,MATCH('S0b Baseline kasvu'!$A341,Työkonekanta!$A$3:$A$24,0),1),"undefined")</f>
        <v>sähkö</v>
      </c>
      <c r="E341" s="145">
        <f>IFERROR(INDEX(Työkonekanta!$G$3:$G$27,MATCH($A341,Työkonekanta!$A$3:$A$24,0),1)*INDEX(Työkonekanta!$H$3:$H$27,MATCH($A341,Työkonekanta!$A$3:$A$24,0),1)*(1+s0b_kasvu*($C341-2019))*$B341,0)</f>
        <v>0</v>
      </c>
      <c r="F341" s="145">
        <f t="shared" si="110"/>
        <v>0</v>
      </c>
      <c r="G341" s="145">
        <f t="shared" si="119"/>
        <v>0</v>
      </c>
      <c r="H341" s="145">
        <f t="shared" si="120"/>
        <v>0</v>
      </c>
      <c r="I341" s="145">
        <f t="shared" si="111"/>
        <v>0</v>
      </c>
      <c r="J341" s="145">
        <f t="shared" si="112"/>
        <v>0</v>
      </c>
      <c r="K341" s="142" t="str">
        <f t="shared" si="121"/>
        <v>kWh</v>
      </c>
      <c r="L341" s="146">
        <f>IFERROR(INDEX(Työkonekanta!$I$3:$I$27,MATCH('S0b Baseline kasvu'!$A341,Työkonekanta!$A$3:$A$24,0),1)*(I341+J341)*f_adblue,0)</f>
        <v>0</v>
      </c>
      <c r="M341" s="146">
        <f t="shared" si="127"/>
        <v>0</v>
      </c>
      <c r="N341" s="143" t="str">
        <f>IF(tuulisähkö_vuosi&lt;='S0b Baseline kasvu'!C341,"tuulisähkö",ostosähkö_nyt)</f>
        <v>jäännössähkö</v>
      </c>
      <c r="O341" s="147">
        <f>INDEX(Muuttujat!$J$5:$J$21,MATCH($C341,Muuttujat!$H$5:$H$21,0),1)</f>
        <v>61.999687056709845</v>
      </c>
      <c r="P341" s="342">
        <f>1-(INDEX(Muuttujat!$O$5:$O$21,MATCH($C341,Muuttujat!$N$5:$N$21,0),1))</f>
        <v>0.9</v>
      </c>
      <c r="Q341" s="342">
        <f>INDEX(Muuttujat!$O$5:$O$21,MATCH($C341,Muuttujat!$N$5:$N$21,0),1)</f>
        <v>0.1</v>
      </c>
      <c r="R341" s="148">
        <f>INDEX(Muuttujat!$P$5:$P$21,MATCH($C341,Muuttujat!$N$5:$N$21,0),1)</f>
        <v>0.10417875759940039</v>
      </c>
      <c r="S341" s="149">
        <f t="shared" si="113"/>
        <v>0</v>
      </c>
      <c r="T341" s="150">
        <f t="shared" si="114"/>
        <v>0</v>
      </c>
      <c r="U341" s="150">
        <f t="shared" si="115"/>
        <v>0</v>
      </c>
      <c r="V341" s="150">
        <f>IFERROR(INDEX(Työkonekanta!$J$3:$J$27,MATCH($A341,Työkonekanta!$A$3:$A$24,0),1)*$B341*ef_li_ion_akku/1000/1000/INDEX(Työkonekanta!$K$3:$K$27,MATCH($A341,Työkonekanta!$A$3:$A$24,0)),0)</f>
        <v>0</v>
      </c>
      <c r="W341" s="149">
        <f t="shared" si="128"/>
        <v>0</v>
      </c>
      <c r="X341" s="150">
        <f t="shared" si="129"/>
        <v>0</v>
      </c>
      <c r="Y341" s="151">
        <f t="shared" si="130"/>
        <v>0</v>
      </c>
      <c r="Z341" s="152">
        <f t="shared" si="122"/>
        <v>0</v>
      </c>
      <c r="AA341" s="179">
        <f t="shared" si="123"/>
        <v>0</v>
      </c>
      <c r="AB341" s="179">
        <f t="shared" si="124"/>
        <v>0</v>
      </c>
      <c r="AC341" s="180">
        <f t="shared" si="131"/>
        <v>0</v>
      </c>
      <c r="AD341" s="156">
        <f t="shared" si="125"/>
        <v>0</v>
      </c>
      <c r="AE341" s="146">
        <f>IFERROR(INDEX(Työkonekanta!$L$3:$L$30,MATCH($A341,Työkonekanta!$A$3:$A$30,0),1),0)*AF341</f>
        <v>0</v>
      </c>
      <c r="AF341" s="146">
        <f>IFERROR(INDEX(Työkonekanta!$N$3:$N$32,MATCH($A341,Työkonekanta!$A$3:$A$32,0),1),0)</f>
        <v>0</v>
      </c>
      <c r="AG341" s="332">
        <f>I341*INDEX(Muuttujat!$U$5:$U$21,MATCH($C341,Muuttujat!$N$5:$N$21,0),1)</f>
        <v>0</v>
      </c>
      <c r="AH341" s="332">
        <f>J341*INDEX(Muuttujat!$T$5:$T$21,MATCH($C341,Muuttujat!$N$5:$N$21,0),1)</f>
        <v>0</v>
      </c>
      <c r="AI341" s="332">
        <f t="shared" si="116"/>
        <v>0</v>
      </c>
      <c r="AJ341" s="332">
        <f t="shared" si="117"/>
        <v>0</v>
      </c>
      <c r="AK341" s="332">
        <f t="shared" si="126"/>
        <v>0</v>
      </c>
      <c r="AL341" s="332">
        <f t="shared" si="118"/>
        <v>0</v>
      </c>
    </row>
    <row r="342" spans="1:38">
      <c r="A342" s="139">
        <v>10</v>
      </c>
      <c r="B342" s="139">
        <f>IFERROR(INDEX(Työkonekanta!$F$3:$F$27,MATCH('S0b Baseline kasvu'!$A342,Työkonekanta!$A$3:$A$24,0),1),0)</f>
        <v>0</v>
      </c>
      <c r="C342" s="140">
        <v>2030</v>
      </c>
      <c r="D342" s="141" t="str">
        <f>IFERROR(INDEX(Työkonekanta!$D$3:$D$27,MATCH('S0b Baseline kasvu'!$A342,Työkonekanta!$A$3:$A$24,0),1),"undefined")</f>
        <v>sähkö</v>
      </c>
      <c r="E342" s="145">
        <f>IFERROR(INDEX(Työkonekanta!$G$3:$G$27,MATCH($A342,Työkonekanta!$A$3:$A$24,0),1)*INDEX(Työkonekanta!$H$3:$H$27,MATCH($A342,Työkonekanta!$A$3:$A$24,0),1)*(1+s0b_kasvu*($C342-2019))*$B342,0)</f>
        <v>0</v>
      </c>
      <c r="F342" s="145">
        <f t="shared" si="110"/>
        <v>0</v>
      </c>
      <c r="G342" s="145">
        <f t="shared" si="119"/>
        <v>0</v>
      </c>
      <c r="H342" s="145">
        <f t="shared" si="120"/>
        <v>0</v>
      </c>
      <c r="I342" s="145">
        <f t="shared" si="111"/>
        <v>0</v>
      </c>
      <c r="J342" s="145">
        <f t="shared" si="112"/>
        <v>0</v>
      </c>
      <c r="K342" s="142" t="str">
        <f t="shared" si="121"/>
        <v>kWh</v>
      </c>
      <c r="L342" s="146">
        <f>IFERROR(INDEX(Työkonekanta!$I$3:$I$27,MATCH('S0b Baseline kasvu'!$A342,Työkonekanta!$A$3:$A$24,0),1)*(I342+J342)*f_adblue,0)</f>
        <v>0</v>
      </c>
      <c r="M342" s="146">
        <f t="shared" si="127"/>
        <v>0</v>
      </c>
      <c r="N342" s="143" t="str">
        <f>IF(tuulisähkö_vuosi&lt;='S0b Baseline kasvu'!C342,"tuulisähkö",ostosähkö_nyt)</f>
        <v>jäännössähkö</v>
      </c>
      <c r="O342" s="147">
        <f>INDEX(Muuttujat!$J$5:$J$21,MATCH($C342,Muuttujat!$H$5:$H$21,0),1)</f>
        <v>61.999687056709845</v>
      </c>
      <c r="P342" s="342">
        <f>1-(INDEX(Muuttujat!$O$5:$O$21,MATCH($C342,Muuttujat!$N$5:$N$21,0),1))</f>
        <v>0.9</v>
      </c>
      <c r="Q342" s="342">
        <f>INDEX(Muuttujat!$O$5:$O$21,MATCH($C342,Muuttujat!$N$5:$N$21,0),1)</f>
        <v>0.1</v>
      </c>
      <c r="R342" s="148">
        <f>INDEX(Muuttujat!$P$5:$P$21,MATCH($C342,Muuttujat!$N$5:$N$21,0),1)</f>
        <v>0.10417875759940039</v>
      </c>
      <c r="S342" s="149">
        <f t="shared" si="113"/>
        <v>0</v>
      </c>
      <c r="T342" s="150">
        <f t="shared" si="114"/>
        <v>0</v>
      </c>
      <c r="U342" s="150">
        <f t="shared" si="115"/>
        <v>0</v>
      </c>
      <c r="V342" s="150">
        <f>IFERROR(INDEX(Työkonekanta!$J$3:$J$27,MATCH($A342,Työkonekanta!$A$3:$A$24,0),1)*$B342*ef_li_ion_akku/1000/1000/INDEX(Työkonekanta!$K$3:$K$27,MATCH($A342,Työkonekanta!$A$3:$A$24,0)),0)</f>
        <v>0</v>
      </c>
      <c r="W342" s="149">
        <f t="shared" si="128"/>
        <v>0</v>
      </c>
      <c r="X342" s="150">
        <f t="shared" si="129"/>
        <v>0</v>
      </c>
      <c r="Y342" s="151">
        <f t="shared" si="130"/>
        <v>0</v>
      </c>
      <c r="Z342" s="152">
        <f t="shared" si="122"/>
        <v>0</v>
      </c>
      <c r="AA342" s="179">
        <f t="shared" si="123"/>
        <v>0</v>
      </c>
      <c r="AB342" s="179">
        <f t="shared" si="124"/>
        <v>0</v>
      </c>
      <c r="AC342" s="180">
        <f t="shared" si="131"/>
        <v>0</v>
      </c>
      <c r="AD342" s="156">
        <f t="shared" si="125"/>
        <v>0</v>
      </c>
      <c r="AE342" s="146">
        <f>IFERROR(INDEX(Työkonekanta!$L$3:$L$30,MATCH($A342,Työkonekanta!$A$3:$A$30,0),1),0)*AF342</f>
        <v>0</v>
      </c>
      <c r="AF342" s="146">
        <f>IFERROR(INDEX(Työkonekanta!$N$3:$N$32,MATCH($A342,Työkonekanta!$A$3:$A$32,0),1),0)</f>
        <v>0</v>
      </c>
      <c r="AG342" s="332">
        <f>I342*INDEX(Muuttujat!$U$5:$U$21,MATCH($C342,Muuttujat!$N$5:$N$21,0),1)</f>
        <v>0</v>
      </c>
      <c r="AH342" s="332">
        <f>J342*INDEX(Muuttujat!$T$5:$T$21,MATCH($C342,Muuttujat!$N$5:$N$21,0),1)</f>
        <v>0</v>
      </c>
      <c r="AI342" s="332">
        <f t="shared" si="116"/>
        <v>0</v>
      </c>
      <c r="AJ342" s="332">
        <f t="shared" si="117"/>
        <v>0</v>
      </c>
      <c r="AK342" s="332">
        <f t="shared" si="126"/>
        <v>0</v>
      </c>
      <c r="AL342" s="332">
        <f t="shared" si="118"/>
        <v>0</v>
      </c>
    </row>
    <row r="343" spans="1:38">
      <c r="A343" s="139">
        <v>11</v>
      </c>
      <c r="B343" s="139">
        <f>IFERROR(INDEX(Työkonekanta!$F$3:$F$27,MATCH('S0b Baseline kasvu'!$A343,Työkonekanta!$A$3:$A$24,0),1),0)</f>
        <v>1</v>
      </c>
      <c r="C343" s="140">
        <v>2030</v>
      </c>
      <c r="D343" s="141" t="str">
        <f>IFERROR(INDEX(Työkonekanta!$D$3:$D$27,MATCH('S0b Baseline kasvu'!$A343,Työkonekanta!$A$3:$A$24,0),1),"undefined")</f>
        <v>pom</v>
      </c>
      <c r="E343" s="145">
        <f>IFERROR(INDEX(Työkonekanta!$G$3:$G$27,MATCH($A343,Työkonekanta!$A$3:$A$24,0),1)*INDEX(Työkonekanta!$H$3:$H$27,MATCH($A343,Työkonekanta!$A$3:$A$24,0),1)*(1+s0b_kasvu*($C343-2019))*$B343,0)</f>
        <v>11100.000000000002</v>
      </c>
      <c r="F343" s="145">
        <f t="shared" si="110"/>
        <v>398490.00000000006</v>
      </c>
      <c r="G343" s="145">
        <f t="shared" si="119"/>
        <v>358641.00000000006</v>
      </c>
      <c r="H343" s="145">
        <f t="shared" si="120"/>
        <v>39849.000000000007</v>
      </c>
      <c r="I343" s="145">
        <f t="shared" si="111"/>
        <v>9990.0000000000018</v>
      </c>
      <c r="J343" s="145">
        <f t="shared" si="112"/>
        <v>1161.7784256559769</v>
      </c>
      <c r="K343" s="142" t="str">
        <f t="shared" si="121"/>
        <v>l</v>
      </c>
      <c r="L343" s="146">
        <f>IFERROR(INDEX(Työkonekanta!$I$3:$I$27,MATCH('S0b Baseline kasvu'!$A343,Työkonekanta!$A$3:$A$24,0),1)*(I343+J343)*f_adblue,0)</f>
        <v>557.58892128279899</v>
      </c>
      <c r="M343" s="146">
        <f t="shared" si="127"/>
        <v>0</v>
      </c>
      <c r="N343" s="143" t="str">
        <f>IF(tuulisähkö_vuosi&lt;='S0b Baseline kasvu'!C343,"tuulisähkö",ostosähkö_nyt)</f>
        <v>jäännössähkö</v>
      </c>
      <c r="O343" s="147">
        <f>INDEX(Muuttujat!$J$5:$J$21,MATCH($C343,Muuttujat!$H$5:$H$21,0),1)</f>
        <v>61.999687056709845</v>
      </c>
      <c r="P343" s="342">
        <f>1-(INDEX(Muuttujat!$O$5:$O$21,MATCH($C343,Muuttujat!$N$5:$N$21,0),1))</f>
        <v>0.9</v>
      </c>
      <c r="Q343" s="342">
        <f>INDEX(Muuttujat!$O$5:$O$21,MATCH($C343,Muuttujat!$N$5:$N$21,0),1)</f>
        <v>0.1</v>
      </c>
      <c r="R343" s="148">
        <f>INDEX(Muuttujat!$P$5:$P$21,MATCH($C343,Muuttujat!$N$5:$N$21,0),1)</f>
        <v>0.10417875759940039</v>
      </c>
      <c r="S343" s="149">
        <f t="shared" si="113"/>
        <v>6.7783149000000007</v>
      </c>
      <c r="T343" s="150">
        <f t="shared" si="114"/>
        <v>2.4865776000000004</v>
      </c>
      <c r="U343" s="150">
        <f t="shared" si="115"/>
        <v>0</v>
      </c>
      <c r="V343" s="150">
        <f>IFERROR(INDEX(Työkonekanta!$J$3:$J$27,MATCH($A343,Työkonekanta!$A$3:$A$24,0),1)*$B343*ef_li_ion_akku/1000/1000/INDEX(Työkonekanta!$K$3:$K$27,MATCH($A343,Työkonekanta!$A$3:$A$24,0)),0)</f>
        <v>0</v>
      </c>
      <c r="W343" s="149">
        <f t="shared" si="128"/>
        <v>26.470666122714007</v>
      </c>
      <c r="X343" s="150">
        <f t="shared" si="129"/>
        <v>0.35269768260000006</v>
      </c>
      <c r="Y343" s="151">
        <f t="shared" si="130"/>
        <v>0.14497311953352773</v>
      </c>
      <c r="Z343" s="152">
        <f t="shared" si="122"/>
        <v>9.264892500000002</v>
      </c>
      <c r="AA343" s="179">
        <f t="shared" si="123"/>
        <v>26.615639242247536</v>
      </c>
      <c r="AB343" s="179">
        <f t="shared" si="124"/>
        <v>26.968336924847534</v>
      </c>
      <c r="AC343" s="180">
        <f t="shared" si="131"/>
        <v>35.880531742247541</v>
      </c>
      <c r="AD343" s="156">
        <f t="shared" si="125"/>
        <v>36.233229424847536</v>
      </c>
      <c r="AE343" s="146">
        <f>IFERROR(INDEX(Työkonekanta!$L$3:$L$30,MATCH($A343,Työkonekanta!$A$3:$A$30,0),1),0)*AF343</f>
        <v>500000</v>
      </c>
      <c r="AF343" s="146">
        <f>IFERROR(INDEX(Työkonekanta!$N$3:$N$32,MATCH($A343,Työkonekanta!$A$3:$A$32,0),1),0)</f>
        <v>1</v>
      </c>
      <c r="AG343" s="332">
        <f>I343*INDEX(Muuttujat!$U$5:$U$21,MATCH($C343,Muuttujat!$N$5:$N$21,0),1)</f>
        <v>10489.500000000002</v>
      </c>
      <c r="AH343" s="332">
        <f>J343*INDEX(Muuttujat!$T$5:$T$21,MATCH($C343,Muuttujat!$N$5:$N$21,0),1)</f>
        <v>1684.5787172011667</v>
      </c>
      <c r="AI343" s="332">
        <f t="shared" si="116"/>
        <v>278.7944606413995</v>
      </c>
      <c r="AJ343" s="332">
        <f t="shared" si="117"/>
        <v>0</v>
      </c>
      <c r="AK343" s="332">
        <f t="shared" si="126"/>
        <v>12452.873177842568</v>
      </c>
      <c r="AL343" s="332">
        <f t="shared" si="118"/>
        <v>12452.873177842568</v>
      </c>
    </row>
    <row r="344" spans="1:38">
      <c r="A344" s="139">
        <v>12</v>
      </c>
      <c r="B344" s="139">
        <f>IFERROR(INDEX(Työkonekanta!$F$3:$F$27,MATCH('S0b Baseline kasvu'!$A344,Työkonekanta!$A$3:$A$24,0),1),0)</f>
        <v>1</v>
      </c>
      <c r="C344" s="140">
        <v>2030</v>
      </c>
      <c r="D344" s="141" t="str">
        <f>IFERROR(INDEX(Työkonekanta!$D$3:$D$27,MATCH('S0b Baseline kasvu'!$A344,Työkonekanta!$A$3:$A$24,0),1),"undefined")</f>
        <v>pom</v>
      </c>
      <c r="E344" s="145">
        <f>IFERROR(INDEX(Työkonekanta!$G$3:$G$27,MATCH($A344,Työkonekanta!$A$3:$A$24,0),1)*INDEX(Työkonekanta!$H$3:$H$27,MATCH($A344,Työkonekanta!$A$3:$A$24,0),1)*(1+s0b_kasvu*($C344-2019))*$B344,0)</f>
        <v>11100.000000000002</v>
      </c>
      <c r="F344" s="145">
        <f t="shared" si="110"/>
        <v>398490.00000000006</v>
      </c>
      <c r="G344" s="145">
        <f t="shared" si="119"/>
        <v>358641.00000000006</v>
      </c>
      <c r="H344" s="145">
        <f t="shared" si="120"/>
        <v>39849.000000000007</v>
      </c>
      <c r="I344" s="145">
        <f t="shared" si="111"/>
        <v>9990.0000000000018</v>
      </c>
      <c r="J344" s="145">
        <f t="shared" si="112"/>
        <v>1161.7784256559769</v>
      </c>
      <c r="K344" s="142" t="str">
        <f t="shared" si="121"/>
        <v>l</v>
      </c>
      <c r="L344" s="146">
        <f>IFERROR(INDEX(Työkonekanta!$I$3:$I$27,MATCH('S0b Baseline kasvu'!$A344,Työkonekanta!$A$3:$A$24,0),1)*(I344+J344)*f_adblue,0)</f>
        <v>557.58892128279899</v>
      </c>
      <c r="M344" s="146">
        <f t="shared" si="127"/>
        <v>0</v>
      </c>
      <c r="N344" s="143" t="str">
        <f>IF(tuulisähkö_vuosi&lt;='S0b Baseline kasvu'!C344,"tuulisähkö",ostosähkö_nyt)</f>
        <v>jäännössähkö</v>
      </c>
      <c r="O344" s="147">
        <f>INDEX(Muuttujat!$J$5:$J$21,MATCH($C344,Muuttujat!$H$5:$H$21,0),1)</f>
        <v>61.999687056709845</v>
      </c>
      <c r="P344" s="342">
        <f>1-(INDEX(Muuttujat!$O$5:$O$21,MATCH($C344,Muuttujat!$N$5:$N$21,0),1))</f>
        <v>0.9</v>
      </c>
      <c r="Q344" s="342">
        <f>INDEX(Muuttujat!$O$5:$O$21,MATCH($C344,Muuttujat!$N$5:$N$21,0),1)</f>
        <v>0.1</v>
      </c>
      <c r="R344" s="148">
        <f>INDEX(Muuttujat!$P$5:$P$21,MATCH($C344,Muuttujat!$N$5:$N$21,0),1)</f>
        <v>0.10417875759940039</v>
      </c>
      <c r="S344" s="149">
        <f t="shared" si="113"/>
        <v>6.7783149000000007</v>
      </c>
      <c r="T344" s="150">
        <f t="shared" si="114"/>
        <v>2.4865776000000004</v>
      </c>
      <c r="U344" s="150">
        <f t="shared" si="115"/>
        <v>0</v>
      </c>
      <c r="V344" s="150">
        <f>IFERROR(INDEX(Työkonekanta!$J$3:$J$27,MATCH($A344,Työkonekanta!$A$3:$A$24,0),1)*$B344*ef_li_ion_akku/1000/1000/INDEX(Työkonekanta!$K$3:$K$27,MATCH($A344,Työkonekanta!$A$3:$A$24,0)),0)</f>
        <v>0</v>
      </c>
      <c r="W344" s="149">
        <f t="shared" si="128"/>
        <v>26.470666122714007</v>
      </c>
      <c r="X344" s="150">
        <f t="shared" si="129"/>
        <v>0.35269768260000006</v>
      </c>
      <c r="Y344" s="151">
        <f t="shared" si="130"/>
        <v>0.14497311953352773</v>
      </c>
      <c r="Z344" s="152">
        <f t="shared" si="122"/>
        <v>9.264892500000002</v>
      </c>
      <c r="AA344" s="179">
        <f t="shared" si="123"/>
        <v>26.615639242247536</v>
      </c>
      <c r="AB344" s="179">
        <f t="shared" si="124"/>
        <v>26.968336924847534</v>
      </c>
      <c r="AC344" s="180">
        <f t="shared" si="131"/>
        <v>35.880531742247541</v>
      </c>
      <c r="AD344" s="156">
        <f t="shared" si="125"/>
        <v>36.233229424847536</v>
      </c>
      <c r="AE344" s="146">
        <f>IFERROR(INDEX(Työkonekanta!$L$3:$L$30,MATCH($A344,Työkonekanta!$A$3:$A$30,0),1),0)*AF344</f>
        <v>500000</v>
      </c>
      <c r="AF344" s="146">
        <f>IFERROR(INDEX(Työkonekanta!$N$3:$N$32,MATCH($A344,Työkonekanta!$A$3:$A$32,0),1),0)</f>
        <v>1</v>
      </c>
      <c r="AG344" s="332">
        <f>I344*INDEX(Muuttujat!$U$5:$U$21,MATCH($C344,Muuttujat!$N$5:$N$21,0),1)</f>
        <v>10489.500000000002</v>
      </c>
      <c r="AH344" s="332">
        <f>J344*INDEX(Muuttujat!$T$5:$T$21,MATCH($C344,Muuttujat!$N$5:$N$21,0),1)</f>
        <v>1684.5787172011667</v>
      </c>
      <c r="AI344" s="332">
        <f t="shared" si="116"/>
        <v>278.7944606413995</v>
      </c>
      <c r="AJ344" s="332">
        <f t="shared" si="117"/>
        <v>0</v>
      </c>
      <c r="AK344" s="332">
        <f t="shared" si="126"/>
        <v>12452.873177842568</v>
      </c>
      <c r="AL344" s="332">
        <f t="shared" si="118"/>
        <v>12452.873177842568</v>
      </c>
    </row>
    <row r="345" spans="1:38">
      <c r="A345" s="139">
        <v>13</v>
      </c>
      <c r="B345" s="139">
        <f>IFERROR(INDEX(Työkonekanta!$F$3:$F$27,MATCH('S0b Baseline kasvu'!$A345,Työkonekanta!$A$3:$A$24,0),1),0)</f>
        <v>0</v>
      </c>
      <c r="C345" s="140">
        <v>2030</v>
      </c>
      <c r="D345" s="141" t="str">
        <f>IFERROR(INDEX(Työkonekanta!$D$3:$D$27,MATCH('S0b Baseline kasvu'!$A345,Työkonekanta!$A$3:$A$24,0),1),"undefined")</f>
        <v>pom</v>
      </c>
      <c r="E345" s="145">
        <f>IFERROR(INDEX(Työkonekanta!$G$3:$G$27,MATCH($A345,Työkonekanta!$A$3:$A$24,0),1)*INDEX(Työkonekanta!$H$3:$H$27,MATCH($A345,Työkonekanta!$A$3:$A$24,0),1)*(1+s0b_kasvu*($C345-2019))*$B345,0)</f>
        <v>0</v>
      </c>
      <c r="F345" s="145">
        <f t="shared" si="110"/>
        <v>0</v>
      </c>
      <c r="G345" s="145">
        <f t="shared" si="119"/>
        <v>0</v>
      </c>
      <c r="H345" s="145">
        <f t="shared" si="120"/>
        <v>0</v>
      </c>
      <c r="I345" s="145">
        <f t="shared" si="111"/>
        <v>0</v>
      </c>
      <c r="J345" s="145">
        <f t="shared" si="112"/>
        <v>0</v>
      </c>
      <c r="K345" s="142" t="str">
        <f t="shared" si="121"/>
        <v>l</v>
      </c>
      <c r="L345" s="146">
        <f>IFERROR(INDEX(Työkonekanta!$I$3:$I$27,MATCH('S0b Baseline kasvu'!$A345,Työkonekanta!$A$3:$A$24,0),1)*(I345+J345)*f_adblue,0)</f>
        <v>0</v>
      </c>
      <c r="M345" s="146">
        <f t="shared" si="127"/>
        <v>0</v>
      </c>
      <c r="N345" s="143" t="str">
        <f>IF(tuulisähkö_vuosi&lt;='S0b Baseline kasvu'!C345,"tuulisähkö",ostosähkö_nyt)</f>
        <v>jäännössähkö</v>
      </c>
      <c r="O345" s="147">
        <f>INDEX(Muuttujat!$J$5:$J$21,MATCH($C345,Muuttujat!$H$5:$H$21,0),1)</f>
        <v>61.999687056709845</v>
      </c>
      <c r="P345" s="342">
        <f>1-(INDEX(Muuttujat!$O$5:$O$21,MATCH($C345,Muuttujat!$N$5:$N$21,0),1))</f>
        <v>0.9</v>
      </c>
      <c r="Q345" s="342">
        <f>INDEX(Muuttujat!$O$5:$O$21,MATCH($C345,Muuttujat!$N$5:$N$21,0),1)</f>
        <v>0.1</v>
      </c>
      <c r="R345" s="148">
        <f>INDEX(Muuttujat!$P$5:$P$21,MATCH($C345,Muuttujat!$N$5:$N$21,0),1)</f>
        <v>0.10417875759940039</v>
      </c>
      <c r="S345" s="149">
        <f t="shared" si="113"/>
        <v>0</v>
      </c>
      <c r="T345" s="150">
        <f t="shared" si="114"/>
        <v>0</v>
      </c>
      <c r="U345" s="150">
        <f t="shared" si="115"/>
        <v>0</v>
      </c>
      <c r="V345" s="150">
        <f>IFERROR(INDEX(Työkonekanta!$J$3:$J$27,MATCH($A345,Työkonekanta!$A$3:$A$24,0),1)*$B345*ef_li_ion_akku/1000/1000/INDEX(Työkonekanta!$K$3:$K$27,MATCH($A345,Työkonekanta!$A$3:$A$24,0)),0)</f>
        <v>0</v>
      </c>
      <c r="W345" s="149">
        <f t="shared" si="128"/>
        <v>0</v>
      </c>
      <c r="X345" s="150">
        <f t="shared" si="129"/>
        <v>0</v>
      </c>
      <c r="Y345" s="151">
        <f t="shared" si="130"/>
        <v>0</v>
      </c>
      <c r="Z345" s="152">
        <f t="shared" si="122"/>
        <v>0</v>
      </c>
      <c r="AA345" s="179">
        <f t="shared" si="123"/>
        <v>0</v>
      </c>
      <c r="AB345" s="179">
        <f t="shared" si="124"/>
        <v>0</v>
      </c>
      <c r="AC345" s="180">
        <f t="shared" si="131"/>
        <v>0</v>
      </c>
      <c r="AD345" s="156">
        <f t="shared" si="125"/>
        <v>0</v>
      </c>
      <c r="AE345" s="146">
        <f>IFERROR(INDEX(Työkonekanta!$L$3:$L$30,MATCH($A345,Työkonekanta!$A$3:$A$30,0),1),0)*AF345</f>
        <v>0</v>
      </c>
      <c r="AF345" s="146">
        <f>IFERROR(INDEX(Työkonekanta!$N$3:$N$32,MATCH($A345,Työkonekanta!$A$3:$A$32,0),1),0)</f>
        <v>0</v>
      </c>
      <c r="AG345" s="332">
        <f>I345*INDEX(Muuttujat!$U$5:$U$21,MATCH($C345,Muuttujat!$N$5:$N$21,0),1)</f>
        <v>0</v>
      </c>
      <c r="AH345" s="332">
        <f>J345*INDEX(Muuttujat!$T$5:$T$21,MATCH($C345,Muuttujat!$N$5:$N$21,0),1)</f>
        <v>0</v>
      </c>
      <c r="AI345" s="332">
        <f t="shared" si="116"/>
        <v>0</v>
      </c>
      <c r="AJ345" s="332">
        <f t="shared" si="117"/>
        <v>0</v>
      </c>
      <c r="AK345" s="332">
        <f t="shared" si="126"/>
        <v>0</v>
      </c>
      <c r="AL345" s="332">
        <f t="shared" si="118"/>
        <v>0</v>
      </c>
    </row>
    <row r="346" spans="1:38">
      <c r="A346" s="139">
        <v>14</v>
      </c>
      <c r="B346" s="139">
        <f>IFERROR(INDEX(Työkonekanta!$F$3:$F$27,MATCH('S0b Baseline kasvu'!$A346,Työkonekanta!$A$3:$A$24,0),1),0)</f>
        <v>0</v>
      </c>
      <c r="C346" s="140">
        <v>2030</v>
      </c>
      <c r="D346" s="141" t="str">
        <f>IFERROR(INDEX(Työkonekanta!$D$3:$D$27,MATCH('S0b Baseline kasvu'!$A346,Työkonekanta!$A$3:$A$24,0),1),"undefined")</f>
        <v>pom</v>
      </c>
      <c r="E346" s="145">
        <f>IFERROR(INDEX(Työkonekanta!$G$3:$G$27,MATCH($A346,Työkonekanta!$A$3:$A$24,0),1)*INDEX(Työkonekanta!$H$3:$H$27,MATCH($A346,Työkonekanta!$A$3:$A$24,0),1)*(1+s0b_kasvu*($C346-2019))*$B346,0)</f>
        <v>0</v>
      </c>
      <c r="F346" s="145">
        <f t="shared" si="110"/>
        <v>0</v>
      </c>
      <c r="G346" s="145">
        <f t="shared" si="119"/>
        <v>0</v>
      </c>
      <c r="H346" s="145">
        <f t="shared" si="120"/>
        <v>0</v>
      </c>
      <c r="I346" s="145">
        <f t="shared" si="111"/>
        <v>0</v>
      </c>
      <c r="J346" s="145">
        <f t="shared" si="112"/>
        <v>0</v>
      </c>
      <c r="K346" s="142" t="str">
        <f t="shared" si="121"/>
        <v>l</v>
      </c>
      <c r="L346" s="146">
        <f>IFERROR(INDEX(Työkonekanta!$I$3:$I$27,MATCH('S0b Baseline kasvu'!$A346,Työkonekanta!$A$3:$A$24,0),1)*(I346+J346)*f_adblue,0)</f>
        <v>0</v>
      </c>
      <c r="M346" s="146">
        <f t="shared" si="127"/>
        <v>0</v>
      </c>
      <c r="N346" s="143" t="str">
        <f>IF(tuulisähkö_vuosi&lt;='S0b Baseline kasvu'!C346,"tuulisähkö",ostosähkö_nyt)</f>
        <v>jäännössähkö</v>
      </c>
      <c r="O346" s="147">
        <f>INDEX(Muuttujat!$J$5:$J$21,MATCH($C346,Muuttujat!$H$5:$H$21,0),1)</f>
        <v>61.999687056709845</v>
      </c>
      <c r="P346" s="342">
        <f>1-(INDEX(Muuttujat!$O$5:$O$21,MATCH($C346,Muuttujat!$N$5:$N$21,0),1))</f>
        <v>0.9</v>
      </c>
      <c r="Q346" s="342">
        <f>INDEX(Muuttujat!$O$5:$O$21,MATCH($C346,Muuttujat!$N$5:$N$21,0),1)</f>
        <v>0.1</v>
      </c>
      <c r="R346" s="148">
        <f>INDEX(Muuttujat!$P$5:$P$21,MATCH($C346,Muuttujat!$N$5:$N$21,0),1)</f>
        <v>0.10417875759940039</v>
      </c>
      <c r="S346" s="149">
        <f t="shared" si="113"/>
        <v>0</v>
      </c>
      <c r="T346" s="150">
        <f t="shared" si="114"/>
        <v>0</v>
      </c>
      <c r="U346" s="150">
        <f t="shared" si="115"/>
        <v>0</v>
      </c>
      <c r="V346" s="150">
        <f>IFERROR(INDEX(Työkonekanta!$J$3:$J$27,MATCH($A346,Työkonekanta!$A$3:$A$24,0),1)*$B346*ef_li_ion_akku/1000/1000/INDEX(Työkonekanta!$K$3:$K$27,MATCH($A346,Työkonekanta!$A$3:$A$24,0)),0)</f>
        <v>0</v>
      </c>
      <c r="W346" s="149">
        <f t="shared" si="128"/>
        <v>0</v>
      </c>
      <c r="X346" s="150">
        <f t="shared" si="129"/>
        <v>0</v>
      </c>
      <c r="Y346" s="151">
        <f t="shared" si="130"/>
        <v>0</v>
      </c>
      <c r="Z346" s="152">
        <f t="shared" si="122"/>
        <v>0</v>
      </c>
      <c r="AA346" s="179">
        <f t="shared" si="123"/>
        <v>0</v>
      </c>
      <c r="AB346" s="179">
        <f t="shared" si="124"/>
        <v>0</v>
      </c>
      <c r="AC346" s="180">
        <f t="shared" si="131"/>
        <v>0</v>
      </c>
      <c r="AD346" s="156">
        <f t="shared" si="125"/>
        <v>0</v>
      </c>
      <c r="AE346" s="146">
        <f>IFERROR(INDEX(Työkonekanta!$L$3:$L$30,MATCH($A346,Työkonekanta!$A$3:$A$30,0),1),0)*AF346</f>
        <v>0</v>
      </c>
      <c r="AF346" s="146">
        <f>IFERROR(INDEX(Työkonekanta!$N$3:$N$32,MATCH($A346,Työkonekanta!$A$3:$A$32,0),1),0)</f>
        <v>0</v>
      </c>
      <c r="AG346" s="332">
        <f>I346*INDEX(Muuttujat!$U$5:$U$21,MATCH($C346,Muuttujat!$N$5:$N$21,0),1)</f>
        <v>0</v>
      </c>
      <c r="AH346" s="332">
        <f>J346*INDEX(Muuttujat!$T$5:$T$21,MATCH($C346,Muuttujat!$N$5:$N$21,0),1)</f>
        <v>0</v>
      </c>
      <c r="AI346" s="332">
        <f t="shared" si="116"/>
        <v>0</v>
      </c>
      <c r="AJ346" s="332">
        <f t="shared" si="117"/>
        <v>0</v>
      </c>
      <c r="AK346" s="332">
        <f t="shared" si="126"/>
        <v>0</v>
      </c>
      <c r="AL346" s="332">
        <f t="shared" si="118"/>
        <v>0</v>
      </c>
    </row>
    <row r="347" spans="1:38">
      <c r="A347" s="139">
        <v>15</v>
      </c>
      <c r="B347" s="139">
        <f>IFERROR(INDEX(Työkonekanta!$F$3:$F$27,MATCH('S0b Baseline kasvu'!$A347,Työkonekanta!$A$3:$A$24,0),1),0)</f>
        <v>0</v>
      </c>
      <c r="C347" s="140">
        <v>2030</v>
      </c>
      <c r="D347" s="141" t="str">
        <f>IFERROR(INDEX(Työkonekanta!$D$3:$D$27,MATCH('S0b Baseline kasvu'!$A347,Työkonekanta!$A$3:$A$24,0),1),"undefined")</f>
        <v>sähkö</v>
      </c>
      <c r="E347" s="145">
        <f>IFERROR(INDEX(Työkonekanta!$G$3:$G$27,MATCH($A347,Työkonekanta!$A$3:$A$24,0),1)*INDEX(Työkonekanta!$H$3:$H$27,MATCH($A347,Työkonekanta!$A$3:$A$24,0),1)*(1+s0b_kasvu*($C347-2019))*$B347,0)</f>
        <v>0</v>
      </c>
      <c r="F347" s="145">
        <f t="shared" si="110"/>
        <v>0</v>
      </c>
      <c r="G347" s="145">
        <f t="shared" si="119"/>
        <v>0</v>
      </c>
      <c r="H347" s="145">
        <f t="shared" si="120"/>
        <v>0</v>
      </c>
      <c r="I347" s="145">
        <f t="shared" si="111"/>
        <v>0</v>
      </c>
      <c r="J347" s="145">
        <f t="shared" si="112"/>
        <v>0</v>
      </c>
      <c r="K347" s="142" t="str">
        <f t="shared" si="121"/>
        <v>kWh</v>
      </c>
      <c r="L347" s="146">
        <f>IFERROR(INDEX(Työkonekanta!$I$3:$I$27,MATCH('S0b Baseline kasvu'!$A347,Työkonekanta!$A$3:$A$24,0),1)*(I347+J347)*f_adblue,0)</f>
        <v>0</v>
      </c>
      <c r="M347" s="146">
        <f t="shared" si="127"/>
        <v>0</v>
      </c>
      <c r="N347" s="143" t="str">
        <f>IF(tuulisähkö_vuosi&lt;='S0b Baseline kasvu'!C347,"tuulisähkö",ostosähkö_nyt)</f>
        <v>jäännössähkö</v>
      </c>
      <c r="O347" s="147">
        <f>INDEX(Muuttujat!$J$5:$J$21,MATCH($C347,Muuttujat!$H$5:$H$21,0),1)</f>
        <v>61.999687056709845</v>
      </c>
      <c r="P347" s="342">
        <f>1-(INDEX(Muuttujat!$O$5:$O$21,MATCH($C347,Muuttujat!$N$5:$N$21,0),1))</f>
        <v>0.9</v>
      </c>
      <c r="Q347" s="342">
        <f>INDEX(Muuttujat!$O$5:$O$21,MATCH($C347,Muuttujat!$N$5:$N$21,0),1)</f>
        <v>0.1</v>
      </c>
      <c r="R347" s="148">
        <f>INDEX(Muuttujat!$P$5:$P$21,MATCH($C347,Muuttujat!$N$5:$N$21,0),1)</f>
        <v>0.10417875759940039</v>
      </c>
      <c r="S347" s="149">
        <f t="shared" si="113"/>
        <v>0</v>
      </c>
      <c r="T347" s="150">
        <f t="shared" si="114"/>
        <v>0</v>
      </c>
      <c r="U347" s="150">
        <f t="shared" si="115"/>
        <v>0</v>
      </c>
      <c r="V347" s="150">
        <f>IFERROR(INDEX(Työkonekanta!$J$3:$J$27,MATCH($A347,Työkonekanta!$A$3:$A$24,0),1)*$B347*ef_li_ion_akku/1000/1000/INDEX(Työkonekanta!$K$3:$K$27,MATCH($A347,Työkonekanta!$A$3:$A$24,0)),0)</f>
        <v>0</v>
      </c>
      <c r="W347" s="149">
        <f t="shared" si="128"/>
        <v>0</v>
      </c>
      <c r="X347" s="150">
        <f t="shared" si="129"/>
        <v>0</v>
      </c>
      <c r="Y347" s="151">
        <f t="shared" si="130"/>
        <v>0</v>
      </c>
      <c r="Z347" s="152">
        <f t="shared" si="122"/>
        <v>0</v>
      </c>
      <c r="AA347" s="179">
        <f t="shared" si="123"/>
        <v>0</v>
      </c>
      <c r="AB347" s="179">
        <f t="shared" si="124"/>
        <v>0</v>
      </c>
      <c r="AC347" s="180">
        <f t="shared" si="131"/>
        <v>0</v>
      </c>
      <c r="AD347" s="156">
        <f t="shared" si="125"/>
        <v>0</v>
      </c>
      <c r="AE347" s="146">
        <f>IFERROR(INDEX(Työkonekanta!$L$3:$L$30,MATCH($A347,Työkonekanta!$A$3:$A$30,0),1),0)*AF347</f>
        <v>0</v>
      </c>
      <c r="AF347" s="146">
        <f>IFERROR(INDEX(Työkonekanta!$N$3:$N$32,MATCH($A347,Työkonekanta!$A$3:$A$32,0),1),0)</f>
        <v>0</v>
      </c>
      <c r="AG347" s="332">
        <f>I347*INDEX(Muuttujat!$U$5:$U$21,MATCH($C347,Muuttujat!$N$5:$N$21,0),1)</f>
        <v>0</v>
      </c>
      <c r="AH347" s="332">
        <f>J347*INDEX(Muuttujat!$T$5:$T$21,MATCH($C347,Muuttujat!$N$5:$N$21,0),1)</f>
        <v>0</v>
      </c>
      <c r="AI347" s="332">
        <f t="shared" si="116"/>
        <v>0</v>
      </c>
      <c r="AJ347" s="332">
        <f t="shared" si="117"/>
        <v>0</v>
      </c>
      <c r="AK347" s="332">
        <f t="shared" si="126"/>
        <v>0</v>
      </c>
      <c r="AL347" s="332">
        <f t="shared" si="118"/>
        <v>0</v>
      </c>
    </row>
    <row r="348" spans="1:38">
      <c r="A348" s="139">
        <v>16</v>
      </c>
      <c r="B348" s="139">
        <f>IFERROR(INDEX(Työkonekanta!$F$3:$F$27,MATCH('S0b Baseline kasvu'!$A348,Työkonekanta!$A$3:$A$24,0),1),0)</f>
        <v>0</v>
      </c>
      <c r="C348" s="140">
        <v>2030</v>
      </c>
      <c r="D348" s="141" t="str">
        <f>IFERROR(INDEX(Työkonekanta!$D$3:$D$27,MATCH('S0b Baseline kasvu'!$A348,Työkonekanta!$A$3:$A$24,0),1),"undefined")</f>
        <v>sähkö</v>
      </c>
      <c r="E348" s="145">
        <f>IFERROR(INDEX(Työkonekanta!$G$3:$G$27,MATCH($A348,Työkonekanta!$A$3:$A$24,0),1)*INDEX(Työkonekanta!$H$3:$H$27,MATCH($A348,Työkonekanta!$A$3:$A$24,0),1)*(1+s0b_kasvu*($C348-2019))*$B348,0)</f>
        <v>0</v>
      </c>
      <c r="F348" s="145">
        <f t="shared" si="110"/>
        <v>0</v>
      </c>
      <c r="G348" s="145">
        <f t="shared" si="119"/>
        <v>0</v>
      </c>
      <c r="H348" s="145">
        <f t="shared" si="120"/>
        <v>0</v>
      </c>
      <c r="I348" s="145">
        <f t="shared" si="111"/>
        <v>0</v>
      </c>
      <c r="J348" s="145">
        <f t="shared" si="112"/>
        <v>0</v>
      </c>
      <c r="K348" s="142" t="str">
        <f t="shared" si="121"/>
        <v>kWh</v>
      </c>
      <c r="L348" s="146">
        <f>IFERROR(INDEX(Työkonekanta!$I$3:$I$27,MATCH('S0b Baseline kasvu'!$A348,Työkonekanta!$A$3:$A$24,0),1)*(I348+J348)*f_adblue,0)</f>
        <v>0</v>
      </c>
      <c r="M348" s="146">
        <f t="shared" si="127"/>
        <v>0</v>
      </c>
      <c r="N348" s="143" t="str">
        <f>IF(tuulisähkö_vuosi&lt;='S0b Baseline kasvu'!C348,"tuulisähkö",ostosähkö_nyt)</f>
        <v>jäännössähkö</v>
      </c>
      <c r="O348" s="147">
        <f>INDEX(Muuttujat!$J$5:$J$21,MATCH($C348,Muuttujat!$H$5:$H$21,0),1)</f>
        <v>61.999687056709845</v>
      </c>
      <c r="P348" s="342">
        <f>1-(INDEX(Muuttujat!$O$5:$O$21,MATCH($C348,Muuttujat!$N$5:$N$21,0),1))</f>
        <v>0.9</v>
      </c>
      <c r="Q348" s="342">
        <f>INDEX(Muuttujat!$O$5:$O$21,MATCH($C348,Muuttujat!$N$5:$N$21,0),1)</f>
        <v>0.1</v>
      </c>
      <c r="R348" s="148">
        <f>INDEX(Muuttujat!$P$5:$P$21,MATCH($C348,Muuttujat!$N$5:$N$21,0),1)</f>
        <v>0.10417875759940039</v>
      </c>
      <c r="S348" s="149">
        <f t="shared" si="113"/>
        <v>0</v>
      </c>
      <c r="T348" s="150">
        <f t="shared" si="114"/>
        <v>0</v>
      </c>
      <c r="U348" s="150">
        <f t="shared" si="115"/>
        <v>0</v>
      </c>
      <c r="V348" s="150">
        <f>IFERROR(INDEX(Työkonekanta!$J$3:$J$27,MATCH($A348,Työkonekanta!$A$3:$A$24,0),1)*$B348*ef_li_ion_akku/1000/1000/INDEX(Työkonekanta!$K$3:$K$27,MATCH($A348,Työkonekanta!$A$3:$A$24,0)),0)</f>
        <v>0</v>
      </c>
      <c r="W348" s="149">
        <f t="shared" si="128"/>
        <v>0</v>
      </c>
      <c r="X348" s="150">
        <f t="shared" si="129"/>
        <v>0</v>
      </c>
      <c r="Y348" s="151">
        <f t="shared" si="130"/>
        <v>0</v>
      </c>
      <c r="Z348" s="152">
        <f t="shared" si="122"/>
        <v>0</v>
      </c>
      <c r="AA348" s="179">
        <f t="shared" si="123"/>
        <v>0</v>
      </c>
      <c r="AB348" s="179">
        <f t="shared" si="124"/>
        <v>0</v>
      </c>
      <c r="AC348" s="180">
        <f t="shared" si="131"/>
        <v>0</v>
      </c>
      <c r="AD348" s="156">
        <f t="shared" si="125"/>
        <v>0</v>
      </c>
      <c r="AE348" s="146">
        <f>IFERROR(INDEX(Työkonekanta!$L$3:$L$30,MATCH($A348,Työkonekanta!$A$3:$A$30,0),1),0)*AF348</f>
        <v>0</v>
      </c>
      <c r="AF348" s="146">
        <f>IFERROR(INDEX(Työkonekanta!$N$3:$N$32,MATCH($A348,Työkonekanta!$A$3:$A$32,0),1),0)</f>
        <v>0</v>
      </c>
      <c r="AG348" s="332">
        <f>I348*INDEX(Muuttujat!$U$5:$U$21,MATCH($C348,Muuttujat!$N$5:$N$21,0),1)</f>
        <v>0</v>
      </c>
      <c r="AH348" s="332">
        <f>J348*INDEX(Muuttujat!$T$5:$T$21,MATCH($C348,Muuttujat!$N$5:$N$21,0),1)</f>
        <v>0</v>
      </c>
      <c r="AI348" s="332">
        <f t="shared" si="116"/>
        <v>0</v>
      </c>
      <c r="AJ348" s="332">
        <f t="shared" si="117"/>
        <v>0</v>
      </c>
      <c r="AK348" s="332">
        <f t="shared" si="126"/>
        <v>0</v>
      </c>
      <c r="AL348" s="332">
        <f t="shared" si="118"/>
        <v>0</v>
      </c>
    </row>
    <row r="349" spans="1:38">
      <c r="A349" s="139">
        <v>17</v>
      </c>
      <c r="B349" s="139">
        <f>IFERROR(INDEX(Työkonekanta!$F$3:$F$27,MATCH('S0b Baseline kasvu'!$A349,Työkonekanta!$A$3:$A$24,0),1),0)</f>
        <v>1</v>
      </c>
      <c r="C349" s="140">
        <v>2030</v>
      </c>
      <c r="D349" s="141" t="str">
        <f>IFERROR(INDEX(Työkonekanta!$D$3:$D$27,MATCH('S0b Baseline kasvu'!$A349,Työkonekanta!$A$3:$A$24,0),1),"undefined")</f>
        <v>pom</v>
      </c>
      <c r="E349" s="145">
        <f>IFERROR(INDEX(Työkonekanta!$G$3:$G$27,MATCH($A349,Työkonekanta!$A$3:$A$24,0),1)*INDEX(Työkonekanta!$H$3:$H$27,MATCH($A349,Työkonekanta!$A$3:$A$24,0),1)*(1+s0b_kasvu*($C349-2019))*$B349,0)</f>
        <v>11100.000000000002</v>
      </c>
      <c r="F349" s="145">
        <f t="shared" si="110"/>
        <v>398490.00000000006</v>
      </c>
      <c r="G349" s="145">
        <f t="shared" si="119"/>
        <v>358641.00000000006</v>
      </c>
      <c r="H349" s="145">
        <f t="shared" si="120"/>
        <v>39849.000000000007</v>
      </c>
      <c r="I349" s="145">
        <f t="shared" si="111"/>
        <v>9990.0000000000018</v>
      </c>
      <c r="J349" s="145">
        <f t="shared" si="112"/>
        <v>1161.7784256559769</v>
      </c>
      <c r="K349" s="142" t="str">
        <f t="shared" si="121"/>
        <v>l</v>
      </c>
      <c r="L349" s="146">
        <f>IFERROR(INDEX(Työkonekanta!$I$3:$I$27,MATCH('S0b Baseline kasvu'!$A349,Työkonekanta!$A$3:$A$24,0),1)*(I349+J349)*f_adblue,0)</f>
        <v>557.58892128279899</v>
      </c>
      <c r="M349" s="146">
        <f t="shared" si="127"/>
        <v>0</v>
      </c>
      <c r="N349" s="143" t="str">
        <f>IF(tuulisähkö_vuosi&lt;='S0b Baseline kasvu'!C349,"tuulisähkö",ostosähkö_nyt)</f>
        <v>jäännössähkö</v>
      </c>
      <c r="O349" s="147">
        <f>INDEX(Muuttujat!$J$5:$J$21,MATCH($C349,Muuttujat!$H$5:$H$21,0),1)</f>
        <v>61.999687056709845</v>
      </c>
      <c r="P349" s="342">
        <f>1-(INDEX(Muuttujat!$O$5:$O$21,MATCH($C349,Muuttujat!$N$5:$N$21,0),1))</f>
        <v>0.9</v>
      </c>
      <c r="Q349" s="342">
        <f>INDEX(Muuttujat!$O$5:$O$21,MATCH($C349,Muuttujat!$N$5:$N$21,0),1)</f>
        <v>0.1</v>
      </c>
      <c r="R349" s="148">
        <f>INDEX(Muuttujat!$P$5:$P$21,MATCH($C349,Muuttujat!$N$5:$N$21,0),1)</f>
        <v>0.10417875759940039</v>
      </c>
      <c r="S349" s="149">
        <f t="shared" si="113"/>
        <v>6.7783149000000007</v>
      </c>
      <c r="T349" s="150">
        <f t="shared" si="114"/>
        <v>2.4865776000000004</v>
      </c>
      <c r="U349" s="150">
        <f t="shared" si="115"/>
        <v>0</v>
      </c>
      <c r="V349" s="150">
        <f>IFERROR(INDEX(Työkonekanta!$J$3:$J$27,MATCH($A349,Työkonekanta!$A$3:$A$24,0),1)*$B349*ef_li_ion_akku/1000/1000/INDEX(Työkonekanta!$K$3:$K$27,MATCH($A349,Työkonekanta!$A$3:$A$24,0)),0)</f>
        <v>0</v>
      </c>
      <c r="W349" s="149">
        <f t="shared" si="128"/>
        <v>26.470666122714007</v>
      </c>
      <c r="X349" s="150">
        <f t="shared" si="129"/>
        <v>0.35269768260000006</v>
      </c>
      <c r="Y349" s="151">
        <f t="shared" si="130"/>
        <v>0.14497311953352773</v>
      </c>
      <c r="Z349" s="152">
        <f t="shared" si="122"/>
        <v>9.264892500000002</v>
      </c>
      <c r="AA349" s="179">
        <f t="shared" si="123"/>
        <v>26.615639242247536</v>
      </c>
      <c r="AB349" s="179">
        <f t="shared" si="124"/>
        <v>26.968336924847534</v>
      </c>
      <c r="AC349" s="180">
        <f t="shared" si="131"/>
        <v>35.880531742247541</v>
      </c>
      <c r="AD349" s="156">
        <f t="shared" si="125"/>
        <v>36.233229424847536</v>
      </c>
      <c r="AE349" s="146">
        <f>IFERROR(INDEX(Työkonekanta!$L$3:$L$30,MATCH($A349,Työkonekanta!$A$3:$A$30,0),1),0)*AF349</f>
        <v>500000</v>
      </c>
      <c r="AF349" s="146">
        <f>IFERROR(INDEX(Työkonekanta!$N$3:$N$32,MATCH($A349,Työkonekanta!$A$3:$A$32,0),1),0)</f>
        <v>1</v>
      </c>
      <c r="AG349" s="332">
        <f>I349*INDEX(Muuttujat!$U$5:$U$21,MATCH($C349,Muuttujat!$N$5:$N$21,0),1)</f>
        <v>10489.500000000002</v>
      </c>
      <c r="AH349" s="332">
        <f>J349*INDEX(Muuttujat!$T$5:$T$21,MATCH($C349,Muuttujat!$N$5:$N$21,0),1)</f>
        <v>1684.5787172011667</v>
      </c>
      <c r="AI349" s="332">
        <f t="shared" si="116"/>
        <v>278.7944606413995</v>
      </c>
      <c r="AJ349" s="332">
        <f t="shared" si="117"/>
        <v>0</v>
      </c>
      <c r="AK349" s="332">
        <f t="shared" si="126"/>
        <v>12452.873177842568</v>
      </c>
      <c r="AL349" s="332">
        <f t="shared" si="118"/>
        <v>12452.873177842568</v>
      </c>
    </row>
    <row r="350" spans="1:38">
      <c r="A350" s="139">
        <v>18</v>
      </c>
      <c r="B350" s="139">
        <f>IFERROR(INDEX(Työkonekanta!$F$3:$F$27,MATCH('S0b Baseline kasvu'!$A350,Työkonekanta!$A$3:$A$24,0),1),0)</f>
        <v>1</v>
      </c>
      <c r="C350" s="140">
        <v>2030</v>
      </c>
      <c r="D350" s="141" t="str">
        <f>IFERROR(INDEX(Työkonekanta!$D$3:$D$27,MATCH('S0b Baseline kasvu'!$A350,Työkonekanta!$A$3:$A$24,0),1),"undefined")</f>
        <v>pom</v>
      </c>
      <c r="E350" s="145">
        <f>IFERROR(INDEX(Työkonekanta!$G$3:$G$27,MATCH($A350,Työkonekanta!$A$3:$A$24,0),1)*INDEX(Työkonekanta!$H$3:$H$27,MATCH($A350,Työkonekanta!$A$3:$A$24,0),1)*(1+s0b_kasvu*($C350-2019))*$B350,0)</f>
        <v>11100.000000000002</v>
      </c>
      <c r="F350" s="145">
        <f t="shared" si="110"/>
        <v>398490.00000000006</v>
      </c>
      <c r="G350" s="145">
        <f t="shared" si="119"/>
        <v>358641.00000000006</v>
      </c>
      <c r="H350" s="145">
        <f t="shared" si="120"/>
        <v>39849.000000000007</v>
      </c>
      <c r="I350" s="145">
        <f t="shared" si="111"/>
        <v>9990.0000000000018</v>
      </c>
      <c r="J350" s="145">
        <f t="shared" si="112"/>
        <v>1161.7784256559769</v>
      </c>
      <c r="K350" s="142" t="str">
        <f t="shared" si="121"/>
        <v>l</v>
      </c>
      <c r="L350" s="146">
        <f>IFERROR(INDEX(Työkonekanta!$I$3:$I$27,MATCH('S0b Baseline kasvu'!$A350,Työkonekanta!$A$3:$A$24,0),1)*(I350+J350)*f_adblue,0)</f>
        <v>446.07113702623923</v>
      </c>
      <c r="M350" s="146">
        <f t="shared" si="127"/>
        <v>0</v>
      </c>
      <c r="N350" s="143" t="str">
        <f>IF(tuulisähkö_vuosi&lt;='S0b Baseline kasvu'!C350,"tuulisähkö",ostosähkö_nyt)</f>
        <v>jäännössähkö</v>
      </c>
      <c r="O350" s="147">
        <f>INDEX(Muuttujat!$J$5:$J$21,MATCH($C350,Muuttujat!$H$5:$H$21,0),1)</f>
        <v>61.999687056709845</v>
      </c>
      <c r="P350" s="342">
        <f>1-(INDEX(Muuttujat!$O$5:$O$21,MATCH($C350,Muuttujat!$N$5:$N$21,0),1))</f>
        <v>0.9</v>
      </c>
      <c r="Q350" s="342">
        <f>INDEX(Muuttujat!$O$5:$O$21,MATCH($C350,Muuttujat!$N$5:$N$21,0),1)</f>
        <v>0.1</v>
      </c>
      <c r="R350" s="148">
        <f>INDEX(Muuttujat!$P$5:$P$21,MATCH($C350,Muuttujat!$N$5:$N$21,0),1)</f>
        <v>0.10417875759940039</v>
      </c>
      <c r="S350" s="149">
        <f t="shared" si="113"/>
        <v>6.7783149000000007</v>
      </c>
      <c r="T350" s="150">
        <f t="shared" si="114"/>
        <v>2.4865776000000004</v>
      </c>
      <c r="U350" s="150">
        <f t="shared" si="115"/>
        <v>0</v>
      </c>
      <c r="V350" s="150">
        <f>IFERROR(INDEX(Työkonekanta!$J$3:$J$27,MATCH($A350,Työkonekanta!$A$3:$A$24,0),1)*$B350*ef_li_ion_akku/1000/1000/INDEX(Työkonekanta!$K$3:$K$27,MATCH($A350,Työkonekanta!$A$3:$A$24,0)),0)</f>
        <v>0</v>
      </c>
      <c r="W350" s="149">
        <f t="shared" si="128"/>
        <v>26.470666122714007</v>
      </c>
      <c r="X350" s="150">
        <f t="shared" si="129"/>
        <v>0.35269768260000006</v>
      </c>
      <c r="Y350" s="151">
        <f t="shared" si="130"/>
        <v>0.11597849562682219</v>
      </c>
      <c r="Z350" s="152">
        <f t="shared" si="122"/>
        <v>9.264892500000002</v>
      </c>
      <c r="AA350" s="179">
        <f t="shared" si="123"/>
        <v>26.586644618340831</v>
      </c>
      <c r="AB350" s="179">
        <f t="shared" si="124"/>
        <v>26.939342300940829</v>
      </c>
      <c r="AC350" s="180">
        <f t="shared" si="131"/>
        <v>35.851537118340829</v>
      </c>
      <c r="AD350" s="156">
        <f t="shared" si="125"/>
        <v>36.204234800940831</v>
      </c>
      <c r="AE350" s="146">
        <f>IFERROR(INDEX(Työkonekanta!$L$3:$L$30,MATCH($A350,Työkonekanta!$A$3:$A$30,0),1),0)*AF350</f>
        <v>500000</v>
      </c>
      <c r="AF350" s="146">
        <f>IFERROR(INDEX(Työkonekanta!$N$3:$N$32,MATCH($A350,Työkonekanta!$A$3:$A$32,0),1),0)</f>
        <v>1</v>
      </c>
      <c r="AG350" s="332">
        <f>I350*INDEX(Muuttujat!$U$5:$U$21,MATCH($C350,Muuttujat!$N$5:$N$21,0),1)</f>
        <v>10489.500000000002</v>
      </c>
      <c r="AH350" s="332">
        <f>J350*INDEX(Muuttujat!$T$5:$T$21,MATCH($C350,Muuttujat!$N$5:$N$21,0),1)</f>
        <v>1684.5787172011667</v>
      </c>
      <c r="AI350" s="332">
        <f t="shared" si="116"/>
        <v>223.03556851311961</v>
      </c>
      <c r="AJ350" s="332">
        <f t="shared" si="117"/>
        <v>0</v>
      </c>
      <c r="AK350" s="332">
        <f t="shared" si="126"/>
        <v>12397.114285714288</v>
      </c>
      <c r="AL350" s="332">
        <f t="shared" si="118"/>
        <v>12397.114285714288</v>
      </c>
    </row>
    <row r="351" spans="1:38">
      <c r="A351" s="139">
        <v>19</v>
      </c>
      <c r="B351" s="139">
        <f>IFERROR(INDEX(Työkonekanta!$F$3:$F$27,MATCH('S0b Baseline kasvu'!$A351,Työkonekanta!$A$3:$A$24,0),1),0)</f>
        <v>0</v>
      </c>
      <c r="C351" s="140">
        <v>2030</v>
      </c>
      <c r="D351" s="141" t="str">
        <f>IFERROR(INDEX(Työkonekanta!$D$3:$D$27,MATCH('S0b Baseline kasvu'!$A351,Työkonekanta!$A$3:$A$24,0),1),"undefined")</f>
        <v>pom</v>
      </c>
      <c r="E351" s="145">
        <f>IFERROR(INDEX(Työkonekanta!$G$3:$G$27,MATCH($A351,Työkonekanta!$A$3:$A$24,0),1)*INDEX(Työkonekanta!$H$3:$H$27,MATCH($A351,Työkonekanta!$A$3:$A$24,0),1)*(1+s0b_kasvu*($C351-2019))*$B351,0)</f>
        <v>0</v>
      </c>
      <c r="F351" s="145">
        <f t="shared" si="110"/>
        <v>0</v>
      </c>
      <c r="G351" s="145">
        <f t="shared" si="119"/>
        <v>0</v>
      </c>
      <c r="H351" s="145">
        <f t="shared" si="120"/>
        <v>0</v>
      </c>
      <c r="I351" s="145">
        <f t="shared" si="111"/>
        <v>0</v>
      </c>
      <c r="J351" s="145">
        <f t="shared" si="112"/>
        <v>0</v>
      </c>
      <c r="K351" s="142" t="str">
        <f t="shared" si="121"/>
        <v>l</v>
      </c>
      <c r="L351" s="146">
        <f>IFERROR(INDEX(Työkonekanta!$I$3:$I$27,MATCH('S0b Baseline kasvu'!$A351,Työkonekanta!$A$3:$A$24,0),1)*(I351+J351)*f_adblue,0)</f>
        <v>0</v>
      </c>
      <c r="M351" s="146">
        <f t="shared" si="127"/>
        <v>0</v>
      </c>
      <c r="N351" s="143" t="str">
        <f>IF(tuulisähkö_vuosi&lt;='S0b Baseline kasvu'!C351,"tuulisähkö",ostosähkö_nyt)</f>
        <v>jäännössähkö</v>
      </c>
      <c r="O351" s="147">
        <f>INDEX(Muuttujat!$J$5:$J$21,MATCH($C351,Muuttujat!$H$5:$H$21,0),1)</f>
        <v>61.999687056709845</v>
      </c>
      <c r="P351" s="342">
        <f>1-(INDEX(Muuttujat!$O$5:$O$21,MATCH($C351,Muuttujat!$N$5:$N$21,0),1))</f>
        <v>0.9</v>
      </c>
      <c r="Q351" s="342">
        <f>INDEX(Muuttujat!$O$5:$O$21,MATCH($C351,Muuttujat!$N$5:$N$21,0),1)</f>
        <v>0.1</v>
      </c>
      <c r="R351" s="148">
        <f>INDEX(Muuttujat!$P$5:$P$21,MATCH($C351,Muuttujat!$N$5:$N$21,0),1)</f>
        <v>0.10417875759940039</v>
      </c>
      <c r="S351" s="149">
        <f t="shared" si="113"/>
        <v>0</v>
      </c>
      <c r="T351" s="150">
        <f t="shared" si="114"/>
        <v>0</v>
      </c>
      <c r="U351" s="150">
        <f t="shared" si="115"/>
        <v>0</v>
      </c>
      <c r="V351" s="150">
        <f>IFERROR(INDEX(Työkonekanta!$J$3:$J$27,MATCH($A351,Työkonekanta!$A$3:$A$24,0),1)*$B351*ef_li_ion_akku/1000/1000/INDEX(Työkonekanta!$K$3:$K$27,MATCH($A351,Työkonekanta!$A$3:$A$24,0)),0)</f>
        <v>0</v>
      </c>
      <c r="W351" s="149">
        <f t="shared" si="128"/>
        <v>0</v>
      </c>
      <c r="X351" s="150">
        <f t="shared" si="129"/>
        <v>0</v>
      </c>
      <c r="Y351" s="151">
        <f t="shared" si="130"/>
        <v>0</v>
      </c>
      <c r="Z351" s="152">
        <f t="shared" si="122"/>
        <v>0</v>
      </c>
      <c r="AA351" s="179">
        <f t="shared" si="123"/>
        <v>0</v>
      </c>
      <c r="AB351" s="179">
        <f t="shared" si="124"/>
        <v>0</v>
      </c>
      <c r="AC351" s="180">
        <f t="shared" si="131"/>
        <v>0</v>
      </c>
      <c r="AD351" s="156">
        <f t="shared" si="125"/>
        <v>0</v>
      </c>
      <c r="AE351" s="146">
        <f>IFERROR(INDEX(Työkonekanta!$L$3:$L$30,MATCH($A351,Työkonekanta!$A$3:$A$30,0),1),0)*AF351</f>
        <v>0</v>
      </c>
      <c r="AF351" s="146">
        <f>IFERROR(INDEX(Työkonekanta!$N$3:$N$32,MATCH($A351,Työkonekanta!$A$3:$A$32,0),1),0)</f>
        <v>0</v>
      </c>
      <c r="AG351" s="332">
        <f>I351*INDEX(Muuttujat!$U$5:$U$21,MATCH($C351,Muuttujat!$N$5:$N$21,0),1)</f>
        <v>0</v>
      </c>
      <c r="AH351" s="332">
        <f>J351*INDEX(Muuttujat!$T$5:$T$21,MATCH($C351,Muuttujat!$N$5:$N$21,0),1)</f>
        <v>0</v>
      </c>
      <c r="AI351" s="332">
        <f t="shared" si="116"/>
        <v>0</v>
      </c>
      <c r="AJ351" s="332">
        <f t="shared" si="117"/>
        <v>0</v>
      </c>
      <c r="AK351" s="332">
        <f t="shared" si="126"/>
        <v>0</v>
      </c>
      <c r="AL351" s="332">
        <f t="shared" si="118"/>
        <v>0</v>
      </c>
    </row>
    <row r="352" spans="1:38">
      <c r="A352" s="139">
        <v>20</v>
      </c>
      <c r="B352" s="139">
        <f>IFERROR(INDEX(Työkonekanta!$F$3:$F$27,MATCH('S0b Baseline kasvu'!$A352,Työkonekanta!$A$3:$A$24,0),1),0)</f>
        <v>0</v>
      </c>
      <c r="C352" s="140">
        <v>2030</v>
      </c>
      <c r="D352" s="141" t="str">
        <f>IFERROR(INDEX(Työkonekanta!$D$3:$D$27,MATCH('S0b Baseline kasvu'!$A352,Työkonekanta!$A$3:$A$24,0),1),"undefined")</f>
        <v>pom</v>
      </c>
      <c r="E352" s="145">
        <f>IFERROR(INDEX(Työkonekanta!$G$3:$G$27,MATCH($A352,Työkonekanta!$A$3:$A$24,0),1)*INDEX(Työkonekanta!$H$3:$H$27,MATCH($A352,Työkonekanta!$A$3:$A$24,0),1)*(1+s0b_kasvu*($C352-2019))*$B352,0)</f>
        <v>0</v>
      </c>
      <c r="F352" s="145">
        <f t="shared" si="110"/>
        <v>0</v>
      </c>
      <c r="G352" s="145">
        <f t="shared" si="119"/>
        <v>0</v>
      </c>
      <c r="H352" s="145">
        <f t="shared" si="120"/>
        <v>0</v>
      </c>
      <c r="I352" s="145">
        <f t="shared" si="111"/>
        <v>0</v>
      </c>
      <c r="J352" s="145">
        <f t="shared" si="112"/>
        <v>0</v>
      </c>
      <c r="K352" s="142" t="str">
        <f t="shared" si="121"/>
        <v>l</v>
      </c>
      <c r="L352" s="146">
        <f>IFERROR(INDEX(Työkonekanta!$I$3:$I$27,MATCH('S0b Baseline kasvu'!$A352,Työkonekanta!$A$3:$A$24,0),1)*(I352+J352)*f_adblue,0)</f>
        <v>0</v>
      </c>
      <c r="M352" s="146">
        <f t="shared" si="127"/>
        <v>0</v>
      </c>
      <c r="N352" s="143" t="str">
        <f>IF(tuulisähkö_vuosi&lt;='S0b Baseline kasvu'!C352,"tuulisähkö",ostosähkö_nyt)</f>
        <v>jäännössähkö</v>
      </c>
      <c r="O352" s="147">
        <f>INDEX(Muuttujat!$J$5:$J$21,MATCH($C352,Muuttujat!$H$5:$H$21,0),1)</f>
        <v>61.999687056709845</v>
      </c>
      <c r="P352" s="342">
        <f>1-(INDEX(Muuttujat!$O$5:$O$21,MATCH($C352,Muuttujat!$N$5:$N$21,0),1))</f>
        <v>0.9</v>
      </c>
      <c r="Q352" s="342">
        <f>INDEX(Muuttujat!$O$5:$O$21,MATCH($C352,Muuttujat!$N$5:$N$21,0),1)</f>
        <v>0.1</v>
      </c>
      <c r="R352" s="148">
        <f>INDEX(Muuttujat!$P$5:$P$21,MATCH($C352,Muuttujat!$N$5:$N$21,0),1)</f>
        <v>0.10417875759940039</v>
      </c>
      <c r="S352" s="149">
        <f t="shared" si="113"/>
        <v>0</v>
      </c>
      <c r="T352" s="150">
        <f t="shared" si="114"/>
        <v>0</v>
      </c>
      <c r="U352" s="150">
        <f t="shared" si="115"/>
        <v>0</v>
      </c>
      <c r="V352" s="150">
        <f>IFERROR(INDEX(Työkonekanta!$J$3:$J$27,MATCH($A352,Työkonekanta!$A$3:$A$24,0),1)*$B352*ef_li_ion_akku/1000/1000/INDEX(Työkonekanta!$K$3:$K$27,MATCH($A352,Työkonekanta!$A$3:$A$24,0)),0)</f>
        <v>0</v>
      </c>
      <c r="W352" s="149">
        <f t="shared" si="128"/>
        <v>0</v>
      </c>
      <c r="X352" s="150">
        <f t="shared" si="129"/>
        <v>0</v>
      </c>
      <c r="Y352" s="151">
        <f t="shared" si="130"/>
        <v>0</v>
      </c>
      <c r="Z352" s="152">
        <f t="shared" si="122"/>
        <v>0</v>
      </c>
      <c r="AA352" s="179">
        <f t="shared" si="123"/>
        <v>0</v>
      </c>
      <c r="AB352" s="179">
        <f t="shared" si="124"/>
        <v>0</v>
      </c>
      <c r="AC352" s="180">
        <f t="shared" si="131"/>
        <v>0</v>
      </c>
      <c r="AD352" s="156">
        <f t="shared" si="125"/>
        <v>0</v>
      </c>
      <c r="AE352" s="146">
        <f>IFERROR(INDEX(Työkonekanta!$L$3:$L$30,MATCH($A352,Työkonekanta!$A$3:$A$30,0),1),0)*AF352</f>
        <v>0</v>
      </c>
      <c r="AF352" s="146">
        <f>IFERROR(INDEX(Työkonekanta!$N$3:$N$32,MATCH($A352,Työkonekanta!$A$3:$A$32,0),1),0)</f>
        <v>0</v>
      </c>
      <c r="AG352" s="332">
        <f>I352*INDEX(Muuttujat!$U$5:$U$21,MATCH($C352,Muuttujat!$N$5:$N$21,0),1)</f>
        <v>0</v>
      </c>
      <c r="AH352" s="332">
        <f>J352*INDEX(Muuttujat!$T$5:$T$21,MATCH($C352,Muuttujat!$N$5:$N$21,0),1)</f>
        <v>0</v>
      </c>
      <c r="AI352" s="332">
        <f t="shared" si="116"/>
        <v>0</v>
      </c>
      <c r="AJ352" s="332">
        <f t="shared" si="117"/>
        <v>0</v>
      </c>
      <c r="AK352" s="332">
        <f t="shared" si="126"/>
        <v>0</v>
      </c>
      <c r="AL352" s="332">
        <f t="shared" si="118"/>
        <v>0</v>
      </c>
    </row>
    <row r="353" spans="1:38">
      <c r="A353" s="139">
        <v>21</v>
      </c>
      <c r="B353" s="139">
        <f>IFERROR(INDEX(Työkonekanta!$F$3:$F$27,MATCH('S0b Baseline kasvu'!$A353,Työkonekanta!$A$3:$A$24,0),1),0)</f>
        <v>35</v>
      </c>
      <c r="C353" s="140">
        <v>2030</v>
      </c>
      <c r="D353" s="141" t="str">
        <f>IFERROR(INDEX(Työkonekanta!$D$3:$D$27,MATCH('S0b Baseline kasvu'!$A353,Työkonekanta!$A$3:$A$24,0),1),"undefined")</f>
        <v>sähkö</v>
      </c>
      <c r="E353" s="145">
        <f>IFERROR(INDEX(Työkonekanta!$G$3:$G$27,MATCH($A353,Työkonekanta!$A$3:$A$24,0),1)*INDEX(Työkonekanta!$H$3:$H$27,MATCH($A353,Työkonekanta!$A$3:$A$24,0),1)*(1+s0b_kasvu*($C353-2019))*$B353,0)</f>
        <v>451990.97222222225</v>
      </c>
      <c r="F353" s="145">
        <f t="shared" si="110"/>
        <v>0</v>
      </c>
      <c r="G353" s="145">
        <f t="shared" si="119"/>
        <v>0</v>
      </c>
      <c r="H353" s="145">
        <f t="shared" si="120"/>
        <v>0</v>
      </c>
      <c r="I353" s="145">
        <f t="shared" si="111"/>
        <v>0</v>
      </c>
      <c r="J353" s="145">
        <f t="shared" si="112"/>
        <v>0</v>
      </c>
      <c r="K353" s="142" t="str">
        <f t="shared" si="121"/>
        <v>kWh</v>
      </c>
      <c r="L353" s="146">
        <f>IFERROR(INDEX(Työkonekanta!$I$3:$I$27,MATCH('S0b Baseline kasvu'!$A353,Työkonekanta!$A$3:$A$24,0),1)*(I353+J353)*f_adblue,0)</f>
        <v>0</v>
      </c>
      <c r="M353" s="146">
        <f t="shared" si="127"/>
        <v>1627167.5000000002</v>
      </c>
      <c r="N353" s="143" t="str">
        <f>IF(tuulisähkö_vuosi&lt;='S0b Baseline kasvu'!C353,"tuulisähkö",ostosähkö_nyt)</f>
        <v>jäännössähkö</v>
      </c>
      <c r="O353" s="147">
        <f>INDEX(Muuttujat!$J$5:$J$21,MATCH($C353,Muuttujat!$H$5:$H$21,0),1)</f>
        <v>61.999687056709845</v>
      </c>
      <c r="P353" s="342">
        <f>1-(INDEX(Muuttujat!$O$5:$O$21,MATCH($C353,Muuttujat!$N$5:$N$21,0),1))</f>
        <v>0.9</v>
      </c>
      <c r="Q353" s="342">
        <f>INDEX(Muuttujat!$O$5:$O$21,MATCH($C353,Muuttujat!$N$5:$N$21,0),1)</f>
        <v>0.1</v>
      </c>
      <c r="R353" s="148">
        <f>INDEX(Muuttujat!$P$5:$P$21,MATCH($C353,Muuttujat!$N$5:$N$21,0),1)</f>
        <v>0.10417875759940039</v>
      </c>
      <c r="S353" s="149">
        <f t="shared" si="113"/>
        <v>0</v>
      </c>
      <c r="T353" s="150">
        <f t="shared" si="114"/>
        <v>0</v>
      </c>
      <c r="U353" s="150">
        <f t="shared" si="115"/>
        <v>100.88387578884894</v>
      </c>
      <c r="V353" s="150">
        <f>IFERROR(INDEX(Työkonekanta!$J$3:$J$27,MATCH($A353,Työkonekanta!$A$3:$A$24,0),1)*$B353*ef_li_ion_akku/1000/1000/INDEX(Työkonekanta!$K$3:$K$27,MATCH($A353,Työkonekanta!$A$3:$A$24,0)),0)</f>
        <v>43.121723076923082</v>
      </c>
      <c r="W353" s="149">
        <f t="shared" si="128"/>
        <v>0</v>
      </c>
      <c r="X353" s="150">
        <f t="shared" si="129"/>
        <v>0</v>
      </c>
      <c r="Y353" s="151">
        <f t="shared" si="130"/>
        <v>0</v>
      </c>
      <c r="Z353" s="152">
        <f t="shared" si="122"/>
        <v>144.00559886577201</v>
      </c>
      <c r="AA353" s="179">
        <f t="shared" si="123"/>
        <v>0</v>
      </c>
      <c r="AB353" s="179">
        <f t="shared" si="124"/>
        <v>0</v>
      </c>
      <c r="AC353" s="180">
        <f t="shared" si="131"/>
        <v>144.00559886577201</v>
      </c>
      <c r="AD353" s="156">
        <f t="shared" si="125"/>
        <v>144.00559886577201</v>
      </c>
      <c r="AE353" s="146">
        <f>IFERROR(INDEX(Työkonekanta!$L$3:$L$30,MATCH($A353,Työkonekanta!$A$3:$A$30,0),1),0)*AF353</f>
        <v>1820000</v>
      </c>
      <c r="AF353" s="146">
        <f>IFERROR(INDEX(Työkonekanta!$N$3:$N$32,MATCH($A353,Työkonekanta!$A$3:$A$32,0),1),0)</f>
        <v>7</v>
      </c>
      <c r="AG353" s="332">
        <f>I353*INDEX(Muuttujat!$U$5:$U$21,MATCH($C353,Muuttujat!$N$5:$N$21,0),1)</f>
        <v>0</v>
      </c>
      <c r="AH353" s="332">
        <f>J353*INDEX(Muuttujat!$T$5:$T$21,MATCH($C353,Muuttujat!$N$5:$N$21,0),1)</f>
        <v>0</v>
      </c>
      <c r="AI353" s="332">
        <f t="shared" si="116"/>
        <v>0</v>
      </c>
      <c r="AJ353" s="332">
        <f t="shared" si="117"/>
        <v>40001.201041666674</v>
      </c>
      <c r="AK353" s="332">
        <f t="shared" si="126"/>
        <v>40001.201041666674</v>
      </c>
      <c r="AL353" s="332">
        <f t="shared" si="118"/>
        <v>1142.8914583333335</v>
      </c>
    </row>
    <row r="354" spans="1:38">
      <c r="A354" s="139">
        <v>22</v>
      </c>
      <c r="B354" s="139">
        <f>IFERROR(INDEX(Työkonekanta!$F$3:$F$27,MATCH('S0b Baseline kasvu'!$A354,Työkonekanta!$A$3:$A$24,0),1),0)</f>
        <v>0</v>
      </c>
      <c r="C354" s="140">
        <v>2030</v>
      </c>
      <c r="D354" s="141" t="str">
        <f>IFERROR(INDEX(Työkonekanta!$D$3:$D$27,MATCH('S0b Baseline kasvu'!$A354,Työkonekanta!$A$3:$A$24,0),1),"undefined")</f>
        <v>sähkö</v>
      </c>
      <c r="E354" s="145">
        <f>IFERROR(INDEX(Työkonekanta!$G$3:$G$27,MATCH($A354,Työkonekanta!$A$3:$A$24,0),1)*INDEX(Työkonekanta!$H$3:$H$27,MATCH($A354,Työkonekanta!$A$3:$A$24,0),1)*(1+s0b_kasvu*($C354-2019))*$B354,0)</f>
        <v>0</v>
      </c>
      <c r="F354" s="145">
        <f t="shared" si="110"/>
        <v>0</v>
      </c>
      <c r="G354" s="145">
        <f t="shared" si="119"/>
        <v>0</v>
      </c>
      <c r="H354" s="145">
        <f t="shared" si="120"/>
        <v>0</v>
      </c>
      <c r="I354" s="145">
        <f t="shared" si="111"/>
        <v>0</v>
      </c>
      <c r="J354" s="145">
        <f t="shared" si="112"/>
        <v>0</v>
      </c>
      <c r="K354" s="142" t="str">
        <f t="shared" si="121"/>
        <v>kWh</v>
      </c>
      <c r="L354" s="146">
        <f>IFERROR(INDEX(Työkonekanta!$I$3:$I$27,MATCH('S0b Baseline kasvu'!$A354,Työkonekanta!$A$3:$A$24,0),1)*(I354+J354)*f_adblue,0)</f>
        <v>0</v>
      </c>
      <c r="M354" s="146">
        <f t="shared" si="127"/>
        <v>0</v>
      </c>
      <c r="N354" s="143" t="str">
        <f>IF(tuulisähkö_vuosi&lt;='S0b Baseline kasvu'!C354,"tuulisähkö",ostosähkö_nyt)</f>
        <v>jäännössähkö</v>
      </c>
      <c r="O354" s="147">
        <f>INDEX(Muuttujat!$J$5:$J$21,MATCH($C354,Muuttujat!$H$5:$H$21,0),1)</f>
        <v>61.999687056709845</v>
      </c>
      <c r="P354" s="342">
        <f>1-(INDEX(Muuttujat!$O$5:$O$21,MATCH($C354,Muuttujat!$N$5:$N$21,0),1))</f>
        <v>0.9</v>
      </c>
      <c r="Q354" s="342">
        <f>INDEX(Muuttujat!$O$5:$O$21,MATCH($C354,Muuttujat!$N$5:$N$21,0),1)</f>
        <v>0.1</v>
      </c>
      <c r="R354" s="148">
        <f>INDEX(Muuttujat!$P$5:$P$21,MATCH($C354,Muuttujat!$N$5:$N$21,0),1)</f>
        <v>0.10417875759940039</v>
      </c>
      <c r="S354" s="149">
        <f t="shared" si="113"/>
        <v>0</v>
      </c>
      <c r="T354" s="150">
        <f t="shared" si="114"/>
        <v>0</v>
      </c>
      <c r="U354" s="150">
        <f t="shared" si="115"/>
        <v>0</v>
      </c>
      <c r="V354" s="150">
        <f>IFERROR(INDEX(Työkonekanta!$J$3:$J$27,MATCH($A354,Työkonekanta!$A$3:$A$24,0),1)*$B354*ef_li_ion_akku/1000/1000/INDEX(Työkonekanta!$K$3:$K$27,MATCH($A354,Työkonekanta!$A$3:$A$24,0)),0)</f>
        <v>0</v>
      </c>
      <c r="W354" s="149">
        <f t="shared" si="128"/>
        <v>0</v>
      </c>
      <c r="X354" s="150">
        <f t="shared" si="129"/>
        <v>0</v>
      </c>
      <c r="Y354" s="151">
        <f t="shared" si="130"/>
        <v>0</v>
      </c>
      <c r="Z354" s="152">
        <f t="shared" si="122"/>
        <v>0</v>
      </c>
      <c r="AA354" s="179">
        <f t="shared" si="123"/>
        <v>0</v>
      </c>
      <c r="AB354" s="179">
        <f t="shared" si="124"/>
        <v>0</v>
      </c>
      <c r="AC354" s="180">
        <f t="shared" si="131"/>
        <v>0</v>
      </c>
      <c r="AD354" s="156">
        <f t="shared" si="125"/>
        <v>0</v>
      </c>
      <c r="AE354" s="146">
        <f>IFERROR(INDEX(Työkonekanta!$L$3:$L$30,MATCH($A354,Työkonekanta!$A$3:$A$30,0),1),0)*AF354</f>
        <v>0</v>
      </c>
      <c r="AF354" s="146">
        <f>IFERROR(INDEX(Työkonekanta!$N$3:$N$32,MATCH($A354,Työkonekanta!$A$3:$A$32,0),1),0)</f>
        <v>0</v>
      </c>
      <c r="AG354" s="332">
        <f>I354*INDEX(Muuttujat!$U$5:$U$21,MATCH($C354,Muuttujat!$N$5:$N$21,0),1)</f>
        <v>0</v>
      </c>
      <c r="AH354" s="332">
        <f>J354*INDEX(Muuttujat!$T$5:$T$21,MATCH($C354,Muuttujat!$N$5:$N$21,0),1)</f>
        <v>0</v>
      </c>
      <c r="AI354" s="332">
        <f t="shared" si="116"/>
        <v>0</v>
      </c>
      <c r="AJ354" s="332">
        <f t="shared" si="117"/>
        <v>0</v>
      </c>
      <c r="AK354" s="332">
        <f t="shared" si="126"/>
        <v>0</v>
      </c>
      <c r="AL354" s="332">
        <f t="shared" si="118"/>
        <v>0</v>
      </c>
    </row>
    <row r="355" spans="1:38">
      <c r="A355" s="139">
        <v>23</v>
      </c>
      <c r="B355" s="139">
        <f>IFERROR(INDEX(Työkonekanta!$F$3:$F$27,MATCH('S0b Baseline kasvu'!$A355,Työkonekanta!$A$3:$A$24,0),1),0)</f>
        <v>0</v>
      </c>
      <c r="C355" s="140">
        <v>2030</v>
      </c>
      <c r="D355" s="141" t="str">
        <f>IFERROR(INDEX(Työkonekanta!$D$3:$D$27,MATCH('S0b Baseline kasvu'!$A355,Työkonekanta!$A$3:$A$24,0),1),"undefined")</f>
        <v>undefined</v>
      </c>
      <c r="E355" s="145">
        <f>IFERROR(INDEX(Työkonekanta!$G$3:$G$27,MATCH($A355,Työkonekanta!$A$3:$A$24,0),1)*INDEX(Työkonekanta!$H$3:$H$27,MATCH($A355,Työkonekanta!$A$3:$A$24,0),1)*(1+s0b_kasvu*($C355-2019))*$B355,0)</f>
        <v>0</v>
      </c>
      <c r="F355" s="145">
        <f t="shared" si="110"/>
        <v>0</v>
      </c>
      <c r="G355" s="145">
        <f t="shared" si="119"/>
        <v>0</v>
      </c>
      <c r="H355" s="145">
        <f t="shared" si="120"/>
        <v>0</v>
      </c>
      <c r="I355" s="145">
        <f t="shared" si="111"/>
        <v>0</v>
      </c>
      <c r="J355" s="145">
        <f t="shared" si="112"/>
        <v>0</v>
      </c>
      <c r="K355" s="142" t="str">
        <f t="shared" si="121"/>
        <v>undefined</v>
      </c>
      <c r="L355" s="146">
        <f>IFERROR(INDEX(Työkonekanta!$I$3:$I$27,MATCH('S0b Baseline kasvu'!$A355,Työkonekanta!$A$3:$A$24,0),1)*(I355+J355)*f_adblue,0)</f>
        <v>0</v>
      </c>
      <c r="M355" s="146">
        <f t="shared" si="127"/>
        <v>0</v>
      </c>
      <c r="N355" s="143" t="str">
        <f>IF(tuulisähkö_vuosi&lt;='S0b Baseline kasvu'!C355,"tuulisähkö",ostosähkö_nyt)</f>
        <v>jäännössähkö</v>
      </c>
      <c r="O355" s="147">
        <f>INDEX(Muuttujat!$J$5:$J$21,MATCH($C355,Muuttujat!$H$5:$H$21,0),1)</f>
        <v>61.999687056709845</v>
      </c>
      <c r="P355" s="342">
        <f>1-(INDEX(Muuttujat!$O$5:$O$21,MATCH($C355,Muuttujat!$N$5:$N$21,0),1))</f>
        <v>0.9</v>
      </c>
      <c r="Q355" s="342">
        <f>INDEX(Muuttujat!$O$5:$O$21,MATCH($C355,Muuttujat!$N$5:$N$21,0),1)</f>
        <v>0.1</v>
      </c>
      <c r="R355" s="148">
        <f>INDEX(Muuttujat!$P$5:$P$21,MATCH($C355,Muuttujat!$N$5:$N$21,0),1)</f>
        <v>0.10417875759940039</v>
      </c>
      <c r="S355" s="149">
        <f t="shared" si="113"/>
        <v>0</v>
      </c>
      <c r="T355" s="150">
        <f t="shared" si="114"/>
        <v>0</v>
      </c>
      <c r="U355" s="150">
        <f t="shared" si="115"/>
        <v>0</v>
      </c>
      <c r="V355" s="150">
        <f>IFERROR(INDEX(Työkonekanta!$J$3:$J$27,MATCH($A355,Työkonekanta!$A$3:$A$24,0),1)*$B355*ef_li_ion_akku/1000/1000/INDEX(Työkonekanta!$K$3:$K$27,MATCH($A355,Työkonekanta!$A$3:$A$24,0)),0)</f>
        <v>0</v>
      </c>
      <c r="W355" s="149">
        <f t="shared" si="128"/>
        <v>0</v>
      </c>
      <c r="X355" s="150">
        <f t="shared" si="129"/>
        <v>0</v>
      </c>
      <c r="Y355" s="151">
        <f t="shared" si="130"/>
        <v>0</v>
      </c>
      <c r="Z355" s="152">
        <f t="shared" si="122"/>
        <v>0</v>
      </c>
      <c r="AA355" s="179">
        <f t="shared" si="123"/>
        <v>0</v>
      </c>
      <c r="AB355" s="179">
        <f t="shared" si="124"/>
        <v>0</v>
      </c>
      <c r="AC355" s="180">
        <f t="shared" si="131"/>
        <v>0</v>
      </c>
      <c r="AD355" s="156">
        <f t="shared" si="125"/>
        <v>0</v>
      </c>
      <c r="AE355" s="146">
        <f>IFERROR(INDEX(Työkonekanta!$L$3:$L$30,MATCH($A355,Työkonekanta!$A$3:$A$30,0),1),0)*AF355</f>
        <v>0</v>
      </c>
      <c r="AF355" s="146">
        <f>IFERROR(INDEX(Työkonekanta!$N$3:$N$32,MATCH($A355,Työkonekanta!$A$3:$A$32,0),1),0)</f>
        <v>0</v>
      </c>
      <c r="AG355" s="332">
        <f>I355*INDEX(Muuttujat!$U$5:$U$21,MATCH($C355,Muuttujat!$N$5:$N$21,0),1)</f>
        <v>0</v>
      </c>
      <c r="AH355" s="332">
        <f>J355*INDEX(Muuttujat!$T$5:$T$21,MATCH($C355,Muuttujat!$N$5:$N$21,0),1)</f>
        <v>0</v>
      </c>
      <c r="AI355" s="332">
        <f t="shared" si="116"/>
        <v>0</v>
      </c>
      <c r="AJ355" s="332">
        <f t="shared" si="117"/>
        <v>0</v>
      </c>
      <c r="AK355" s="332">
        <f t="shared" si="126"/>
        <v>0</v>
      </c>
      <c r="AL355" s="332">
        <f t="shared" si="118"/>
        <v>0</v>
      </c>
    </row>
    <row r="356" spans="1:38">
      <c r="A356" s="139">
        <v>24</v>
      </c>
      <c r="B356" s="139">
        <f>IFERROR(INDEX(Työkonekanta!$F$3:$F$27,MATCH('S0b Baseline kasvu'!$A356,Työkonekanta!$A$3:$A$24,0),1),0)</f>
        <v>0</v>
      </c>
      <c r="C356" s="140">
        <v>2030</v>
      </c>
      <c r="D356" s="141" t="str">
        <f>IFERROR(INDEX(Työkonekanta!$D$3:$D$27,MATCH('S0b Baseline kasvu'!$A356,Työkonekanta!$A$3:$A$24,0),1),"undefined")</f>
        <v>undefined</v>
      </c>
      <c r="E356" s="145">
        <f>IFERROR(INDEX(Työkonekanta!$G$3:$G$27,MATCH($A356,Työkonekanta!$A$3:$A$24,0),1)*INDEX(Työkonekanta!$H$3:$H$27,MATCH($A356,Työkonekanta!$A$3:$A$24,0),1)*(1+s0b_kasvu*($C356-2019))*$B356,0)</f>
        <v>0</v>
      </c>
      <c r="F356" s="145">
        <f t="shared" si="110"/>
        <v>0</v>
      </c>
      <c r="G356" s="145">
        <f t="shared" si="119"/>
        <v>0</v>
      </c>
      <c r="H356" s="145">
        <f t="shared" si="120"/>
        <v>0</v>
      </c>
      <c r="I356" s="145">
        <f t="shared" si="111"/>
        <v>0</v>
      </c>
      <c r="J356" s="145">
        <f t="shared" si="112"/>
        <v>0</v>
      </c>
      <c r="K356" s="142" t="str">
        <f t="shared" si="121"/>
        <v>undefined</v>
      </c>
      <c r="L356" s="146">
        <f>IFERROR(INDEX(Työkonekanta!$I$3:$I$27,MATCH('S0b Baseline kasvu'!$A356,Työkonekanta!$A$3:$A$24,0),1)*(I356+J356)*f_adblue,0)</f>
        <v>0</v>
      </c>
      <c r="M356" s="146">
        <f t="shared" si="127"/>
        <v>0</v>
      </c>
      <c r="N356" s="143" t="str">
        <f>IF(tuulisähkö_vuosi&lt;='S0b Baseline kasvu'!C356,"tuulisähkö",ostosähkö_nyt)</f>
        <v>jäännössähkö</v>
      </c>
      <c r="O356" s="147">
        <f>INDEX(Muuttujat!$J$5:$J$21,MATCH($C356,Muuttujat!$H$5:$H$21,0),1)</f>
        <v>61.999687056709845</v>
      </c>
      <c r="P356" s="342">
        <f>1-(INDEX(Muuttujat!$O$5:$O$21,MATCH($C356,Muuttujat!$N$5:$N$21,0),1))</f>
        <v>0.9</v>
      </c>
      <c r="Q356" s="342">
        <f>INDEX(Muuttujat!$O$5:$O$21,MATCH($C356,Muuttujat!$N$5:$N$21,0),1)</f>
        <v>0.1</v>
      </c>
      <c r="R356" s="148">
        <f>INDEX(Muuttujat!$P$5:$P$21,MATCH($C356,Muuttujat!$N$5:$N$21,0),1)</f>
        <v>0.10417875759940039</v>
      </c>
      <c r="S356" s="149">
        <f t="shared" si="113"/>
        <v>0</v>
      </c>
      <c r="T356" s="150">
        <f t="shared" si="114"/>
        <v>0</v>
      </c>
      <c r="U356" s="150">
        <f t="shared" si="115"/>
        <v>0</v>
      </c>
      <c r="V356" s="150">
        <f>IFERROR(INDEX(Työkonekanta!$J$3:$J$27,MATCH($A356,Työkonekanta!$A$3:$A$24,0),1)*$B356*ef_li_ion_akku/1000/1000/INDEX(Työkonekanta!$K$3:$K$27,MATCH($A356,Työkonekanta!$A$3:$A$24,0)),0)</f>
        <v>0</v>
      </c>
      <c r="W356" s="149">
        <f t="shared" si="128"/>
        <v>0</v>
      </c>
      <c r="X356" s="150">
        <f t="shared" si="129"/>
        <v>0</v>
      </c>
      <c r="Y356" s="151">
        <f t="shared" si="130"/>
        <v>0</v>
      </c>
      <c r="Z356" s="152">
        <f t="shared" si="122"/>
        <v>0</v>
      </c>
      <c r="AA356" s="179">
        <f t="shared" si="123"/>
        <v>0</v>
      </c>
      <c r="AB356" s="179">
        <f t="shared" si="124"/>
        <v>0</v>
      </c>
      <c r="AC356" s="180">
        <f t="shared" si="131"/>
        <v>0</v>
      </c>
      <c r="AD356" s="156">
        <f t="shared" si="125"/>
        <v>0</v>
      </c>
      <c r="AE356" s="146">
        <f>IFERROR(INDEX(Työkonekanta!$L$3:$L$30,MATCH($A356,Työkonekanta!$A$3:$A$30,0),1),0)*AF356</f>
        <v>0</v>
      </c>
      <c r="AF356" s="146">
        <f>IFERROR(INDEX(Työkonekanta!$N$3:$N$32,MATCH($A356,Työkonekanta!$A$3:$A$32,0),1),0)</f>
        <v>0</v>
      </c>
      <c r="AG356" s="332">
        <f>I356*INDEX(Muuttujat!$U$5:$U$21,MATCH($C356,Muuttujat!$N$5:$N$21,0),1)</f>
        <v>0</v>
      </c>
      <c r="AH356" s="332">
        <f>J356*INDEX(Muuttujat!$T$5:$T$21,MATCH($C356,Muuttujat!$N$5:$N$21,0),1)</f>
        <v>0</v>
      </c>
      <c r="AI356" s="332">
        <f t="shared" si="116"/>
        <v>0</v>
      </c>
      <c r="AJ356" s="332">
        <f t="shared" si="117"/>
        <v>0</v>
      </c>
      <c r="AK356" s="332">
        <f t="shared" si="126"/>
        <v>0</v>
      </c>
      <c r="AL356" s="332">
        <f t="shared" si="118"/>
        <v>0</v>
      </c>
    </row>
    <row r="357" spans="1:38">
      <c r="A357" s="139">
        <v>25</v>
      </c>
      <c r="B357" s="139">
        <f>IFERROR(INDEX(Työkonekanta!$F$3:$F$27,MATCH('S0b Baseline kasvu'!$A357,Työkonekanta!$A$3:$A$24,0),1),0)</f>
        <v>0</v>
      </c>
      <c r="C357" s="140">
        <v>2030</v>
      </c>
      <c r="D357" s="141" t="str">
        <f>IFERROR(INDEX(Työkonekanta!$D$3:$D$27,MATCH('S0b Baseline kasvu'!$A357,Työkonekanta!$A$3:$A$24,0),1),"undefined")</f>
        <v>undefined</v>
      </c>
      <c r="E357" s="145">
        <f>IFERROR(INDEX(Työkonekanta!$G$3:$G$27,MATCH($A357,Työkonekanta!$A$3:$A$24,0),1)*INDEX(Työkonekanta!$H$3:$H$27,MATCH($A357,Työkonekanta!$A$3:$A$24,0),1)*(1+s0b_kasvu*($C357-2019))*$B357,0)</f>
        <v>0</v>
      </c>
      <c r="F357" s="145">
        <f t="shared" si="110"/>
        <v>0</v>
      </c>
      <c r="G357" s="145">
        <f t="shared" si="119"/>
        <v>0</v>
      </c>
      <c r="H357" s="145">
        <f t="shared" si="120"/>
        <v>0</v>
      </c>
      <c r="I357" s="145">
        <f t="shared" si="111"/>
        <v>0</v>
      </c>
      <c r="J357" s="145">
        <f t="shared" si="112"/>
        <v>0</v>
      </c>
      <c r="K357" s="142" t="str">
        <f t="shared" si="121"/>
        <v>undefined</v>
      </c>
      <c r="L357" s="146">
        <f>IFERROR(INDEX(Työkonekanta!$I$3:$I$27,MATCH('S0b Baseline kasvu'!$A357,Työkonekanta!$A$3:$A$24,0),1)*(I357+J357)*f_adblue,0)</f>
        <v>0</v>
      </c>
      <c r="M357" s="146">
        <f t="shared" si="127"/>
        <v>0</v>
      </c>
      <c r="N357" s="143" t="str">
        <f>IF(tuulisähkö_vuosi&lt;='S0b Baseline kasvu'!C357,"tuulisähkö",ostosähkö_nyt)</f>
        <v>jäännössähkö</v>
      </c>
      <c r="O357" s="147">
        <f>INDEX(Muuttujat!$J$5:$J$21,MATCH($C357,Muuttujat!$H$5:$H$21,0),1)</f>
        <v>61.999687056709845</v>
      </c>
      <c r="P357" s="342">
        <f>1-(INDEX(Muuttujat!$O$5:$O$21,MATCH($C357,Muuttujat!$N$5:$N$21,0),1))</f>
        <v>0.9</v>
      </c>
      <c r="Q357" s="342">
        <f>INDEX(Muuttujat!$O$5:$O$21,MATCH($C357,Muuttujat!$N$5:$N$21,0),1)</f>
        <v>0.1</v>
      </c>
      <c r="R357" s="148">
        <f>INDEX(Muuttujat!$P$5:$P$21,MATCH($C357,Muuttujat!$N$5:$N$21,0),1)</f>
        <v>0.10417875759940039</v>
      </c>
      <c r="S357" s="149">
        <f t="shared" si="113"/>
        <v>0</v>
      </c>
      <c r="T357" s="150">
        <f t="shared" si="114"/>
        <v>0</v>
      </c>
      <c r="U357" s="150">
        <f t="shared" si="115"/>
        <v>0</v>
      </c>
      <c r="V357" s="150">
        <f>IFERROR(INDEX(Työkonekanta!$J$3:$J$27,MATCH($A357,Työkonekanta!$A$3:$A$24,0),1)*$B357*ef_li_ion_akku/1000/1000/INDEX(Työkonekanta!$K$3:$K$27,MATCH($A357,Työkonekanta!$A$3:$A$24,0)),0)</f>
        <v>0</v>
      </c>
      <c r="W357" s="149">
        <f t="shared" si="128"/>
        <v>0</v>
      </c>
      <c r="X357" s="150">
        <f t="shared" si="129"/>
        <v>0</v>
      </c>
      <c r="Y357" s="151">
        <f t="shared" si="130"/>
        <v>0</v>
      </c>
      <c r="Z357" s="152">
        <f t="shared" si="122"/>
        <v>0</v>
      </c>
      <c r="AA357" s="179">
        <f t="shared" si="123"/>
        <v>0</v>
      </c>
      <c r="AB357" s="179">
        <f t="shared" si="124"/>
        <v>0</v>
      </c>
      <c r="AC357" s="180">
        <f t="shared" si="131"/>
        <v>0</v>
      </c>
      <c r="AD357" s="156">
        <f t="shared" si="125"/>
        <v>0</v>
      </c>
      <c r="AE357" s="146">
        <f>IFERROR(INDEX(Työkonekanta!$L$3:$L$30,MATCH($A357,Työkonekanta!$A$3:$A$30,0),1),0)*AF357</f>
        <v>0</v>
      </c>
      <c r="AF357" s="146">
        <f>IFERROR(INDEX(Työkonekanta!$N$3:$N$32,MATCH($A357,Työkonekanta!$A$3:$A$32,0),1),0)</f>
        <v>0</v>
      </c>
      <c r="AG357" s="332">
        <f>I357*INDEX(Muuttujat!$U$5:$U$21,MATCH($C357,Muuttujat!$N$5:$N$21,0),1)</f>
        <v>0</v>
      </c>
      <c r="AH357" s="332">
        <f>J357*INDEX(Muuttujat!$T$5:$T$21,MATCH($C357,Muuttujat!$N$5:$N$21,0),1)</f>
        <v>0</v>
      </c>
      <c r="AI357" s="332">
        <f t="shared" si="116"/>
        <v>0</v>
      </c>
      <c r="AJ357" s="332">
        <f t="shared" si="117"/>
        <v>0</v>
      </c>
      <c r="AK357" s="332">
        <f t="shared" si="126"/>
        <v>0</v>
      </c>
      <c r="AL357" s="332">
        <f t="shared" si="118"/>
        <v>0</v>
      </c>
    </row>
    <row r="358" spans="1:38">
      <c r="A358" s="139">
        <v>26</v>
      </c>
      <c r="B358" s="139">
        <f>IFERROR(INDEX(Työkonekanta!$F$3:$F$27,MATCH('S0b Baseline kasvu'!$A358,Työkonekanta!$A$3:$A$24,0),1),0)</f>
        <v>0</v>
      </c>
      <c r="C358" s="140">
        <v>2030</v>
      </c>
      <c r="D358" s="141" t="str">
        <f>IFERROR(INDEX(Työkonekanta!$D$3:$D$27,MATCH('S0b Baseline kasvu'!$A358,Työkonekanta!$A$3:$A$24,0),1),"undefined")</f>
        <v>undefined</v>
      </c>
      <c r="E358" s="145">
        <f>IFERROR(INDEX(Työkonekanta!$G$3:$G$27,MATCH($A358,Työkonekanta!$A$3:$A$24,0),1)*INDEX(Työkonekanta!$H$3:$H$27,MATCH($A358,Työkonekanta!$A$3:$A$24,0),1)*(1+s0b_kasvu*($C358-2019))*$B358,0)</f>
        <v>0</v>
      </c>
      <c r="F358" s="145">
        <f t="shared" si="110"/>
        <v>0</v>
      </c>
      <c r="G358" s="145">
        <f t="shared" si="119"/>
        <v>0</v>
      </c>
      <c r="H358" s="145">
        <f t="shared" si="120"/>
        <v>0</v>
      </c>
      <c r="I358" s="145">
        <f t="shared" si="111"/>
        <v>0</v>
      </c>
      <c r="J358" s="145">
        <f t="shared" si="112"/>
        <v>0</v>
      </c>
      <c r="K358" s="142" t="str">
        <f t="shared" si="121"/>
        <v>undefined</v>
      </c>
      <c r="L358" s="146">
        <f>IFERROR(INDEX(Työkonekanta!$I$3:$I$27,MATCH('S0b Baseline kasvu'!$A358,Työkonekanta!$A$3:$A$24,0),1)*(I358+J358)*f_adblue,0)</f>
        <v>0</v>
      </c>
      <c r="M358" s="146">
        <f t="shared" si="127"/>
        <v>0</v>
      </c>
      <c r="N358" s="143" t="str">
        <f>IF(tuulisähkö_vuosi&lt;='S0b Baseline kasvu'!C358,"tuulisähkö",ostosähkö_nyt)</f>
        <v>jäännössähkö</v>
      </c>
      <c r="O358" s="147">
        <f>INDEX(Muuttujat!$J$5:$J$21,MATCH($C358,Muuttujat!$H$5:$H$21,0),1)</f>
        <v>61.999687056709845</v>
      </c>
      <c r="P358" s="342">
        <f>1-(INDEX(Muuttujat!$O$5:$O$21,MATCH($C358,Muuttujat!$N$5:$N$21,0),1))</f>
        <v>0.9</v>
      </c>
      <c r="Q358" s="342">
        <f>INDEX(Muuttujat!$O$5:$O$21,MATCH($C358,Muuttujat!$N$5:$N$21,0),1)</f>
        <v>0.1</v>
      </c>
      <c r="R358" s="148">
        <f>INDEX(Muuttujat!$P$5:$P$21,MATCH($C358,Muuttujat!$N$5:$N$21,0),1)</f>
        <v>0.10417875759940039</v>
      </c>
      <c r="S358" s="149">
        <f t="shared" si="113"/>
        <v>0</v>
      </c>
      <c r="T358" s="150">
        <f t="shared" si="114"/>
        <v>0</v>
      </c>
      <c r="U358" s="150">
        <f t="shared" si="115"/>
        <v>0</v>
      </c>
      <c r="V358" s="150">
        <f>IFERROR(INDEX(Työkonekanta!$J$3:$J$27,MATCH($A358,Työkonekanta!$A$3:$A$24,0),1)*$B358*ef_li_ion_akku/1000/1000/INDEX(Työkonekanta!$K$3:$K$27,MATCH($A358,Työkonekanta!$A$3:$A$24,0)),0)</f>
        <v>0</v>
      </c>
      <c r="W358" s="149">
        <f t="shared" si="128"/>
        <v>0</v>
      </c>
      <c r="X358" s="150">
        <f t="shared" si="129"/>
        <v>0</v>
      </c>
      <c r="Y358" s="151">
        <f t="shared" si="130"/>
        <v>0</v>
      </c>
      <c r="Z358" s="152">
        <f t="shared" si="122"/>
        <v>0</v>
      </c>
      <c r="AA358" s="179">
        <f t="shared" si="123"/>
        <v>0</v>
      </c>
      <c r="AB358" s="179">
        <f t="shared" si="124"/>
        <v>0</v>
      </c>
      <c r="AC358" s="180">
        <f t="shared" si="131"/>
        <v>0</v>
      </c>
      <c r="AD358" s="156">
        <f t="shared" si="125"/>
        <v>0</v>
      </c>
      <c r="AE358" s="146">
        <f>IFERROR(INDEX(Työkonekanta!$L$3:$L$30,MATCH($A358,Työkonekanta!$A$3:$A$30,0),1),0)*AF358</f>
        <v>0</v>
      </c>
      <c r="AF358" s="146">
        <f>IFERROR(INDEX(Työkonekanta!$N$3:$N$32,MATCH($A358,Työkonekanta!$A$3:$A$32,0),1),0)</f>
        <v>0</v>
      </c>
      <c r="AG358" s="332">
        <f>I358*INDEX(Muuttujat!$U$5:$U$21,MATCH($C358,Muuttujat!$N$5:$N$21,0),1)</f>
        <v>0</v>
      </c>
      <c r="AH358" s="332">
        <f>J358*INDEX(Muuttujat!$T$5:$T$21,MATCH($C358,Muuttujat!$N$5:$N$21,0),1)</f>
        <v>0</v>
      </c>
      <c r="AI358" s="332">
        <f t="shared" si="116"/>
        <v>0</v>
      </c>
      <c r="AJ358" s="332">
        <f t="shared" si="117"/>
        <v>0</v>
      </c>
      <c r="AK358" s="332">
        <f t="shared" si="126"/>
        <v>0</v>
      </c>
      <c r="AL358" s="332">
        <f t="shared" si="118"/>
        <v>0</v>
      </c>
    </row>
    <row r="359" spans="1:38">
      <c r="A359" s="139">
        <v>27</v>
      </c>
      <c r="B359" s="139">
        <f>IFERROR(INDEX(Työkonekanta!$F$3:$F$27,MATCH('S0b Baseline kasvu'!$A359,Työkonekanta!$A$3:$A$24,0),1),0)</f>
        <v>0</v>
      </c>
      <c r="C359" s="140">
        <v>2030</v>
      </c>
      <c r="D359" s="141" t="str">
        <f>IFERROR(INDEX(Työkonekanta!$D$3:$D$27,MATCH('S0b Baseline kasvu'!$A359,Työkonekanta!$A$3:$A$24,0),1),"undefined")</f>
        <v>undefined</v>
      </c>
      <c r="E359" s="145">
        <f>IFERROR(INDEX(Työkonekanta!$G$3:$G$27,MATCH($A359,Työkonekanta!$A$3:$A$24,0),1)*INDEX(Työkonekanta!$H$3:$H$27,MATCH($A359,Työkonekanta!$A$3:$A$24,0),1)*(1+s0b_kasvu*($C359-2019))*$B359,0)</f>
        <v>0</v>
      </c>
      <c r="F359" s="145">
        <f t="shared" si="110"/>
        <v>0</v>
      </c>
      <c r="G359" s="145">
        <f t="shared" si="119"/>
        <v>0</v>
      </c>
      <c r="H359" s="145">
        <f t="shared" si="120"/>
        <v>0</v>
      </c>
      <c r="I359" s="145">
        <f t="shared" si="111"/>
        <v>0</v>
      </c>
      <c r="J359" s="145">
        <f t="shared" si="112"/>
        <v>0</v>
      </c>
      <c r="K359" s="142" t="str">
        <f t="shared" si="121"/>
        <v>undefined</v>
      </c>
      <c r="L359" s="146">
        <f>IFERROR(INDEX(Työkonekanta!$I$3:$I$27,MATCH('S0b Baseline kasvu'!$A359,Työkonekanta!$A$3:$A$24,0),1)*(I359+J359)*f_adblue,0)</f>
        <v>0</v>
      </c>
      <c r="M359" s="146">
        <f t="shared" si="127"/>
        <v>0</v>
      </c>
      <c r="N359" s="143" t="str">
        <f>IF(tuulisähkö_vuosi&lt;='S0b Baseline kasvu'!C359,"tuulisähkö",ostosähkö_nyt)</f>
        <v>jäännössähkö</v>
      </c>
      <c r="O359" s="147">
        <f>INDEX(Muuttujat!$J$5:$J$21,MATCH($C359,Muuttujat!$H$5:$H$21,0),1)</f>
        <v>61.999687056709845</v>
      </c>
      <c r="P359" s="342">
        <f>1-(INDEX(Muuttujat!$O$5:$O$21,MATCH($C359,Muuttujat!$N$5:$N$21,0),1))</f>
        <v>0.9</v>
      </c>
      <c r="Q359" s="342">
        <f>INDEX(Muuttujat!$O$5:$O$21,MATCH($C359,Muuttujat!$N$5:$N$21,0),1)</f>
        <v>0.1</v>
      </c>
      <c r="R359" s="148">
        <f>INDEX(Muuttujat!$P$5:$P$21,MATCH($C359,Muuttujat!$N$5:$N$21,0),1)</f>
        <v>0.10417875759940039</v>
      </c>
      <c r="S359" s="149">
        <f t="shared" si="113"/>
        <v>0</v>
      </c>
      <c r="T359" s="150">
        <f t="shared" si="114"/>
        <v>0</v>
      </c>
      <c r="U359" s="150">
        <f t="shared" si="115"/>
        <v>0</v>
      </c>
      <c r="V359" s="150">
        <f>IFERROR(INDEX(Työkonekanta!$J$3:$J$27,MATCH($A359,Työkonekanta!$A$3:$A$24,0),1)*$B359*ef_li_ion_akku/1000/1000/INDEX(Työkonekanta!$K$3:$K$27,MATCH($A359,Työkonekanta!$A$3:$A$24,0)),0)</f>
        <v>0</v>
      </c>
      <c r="W359" s="149">
        <f t="shared" si="128"/>
        <v>0</v>
      </c>
      <c r="X359" s="150">
        <f t="shared" si="129"/>
        <v>0</v>
      </c>
      <c r="Y359" s="151">
        <f t="shared" si="130"/>
        <v>0</v>
      </c>
      <c r="Z359" s="152">
        <f t="shared" si="122"/>
        <v>0</v>
      </c>
      <c r="AA359" s="179">
        <f t="shared" si="123"/>
        <v>0</v>
      </c>
      <c r="AB359" s="179">
        <f t="shared" si="124"/>
        <v>0</v>
      </c>
      <c r="AC359" s="180">
        <f t="shared" si="131"/>
        <v>0</v>
      </c>
      <c r="AD359" s="156">
        <f t="shared" si="125"/>
        <v>0</v>
      </c>
      <c r="AE359" s="146">
        <f>IFERROR(INDEX(Työkonekanta!$L$3:$L$30,MATCH($A359,Työkonekanta!$A$3:$A$30,0),1),0)*AF359</f>
        <v>0</v>
      </c>
      <c r="AF359" s="146">
        <f>IFERROR(INDEX(Työkonekanta!$N$3:$N$32,MATCH($A359,Työkonekanta!$A$3:$A$32,0),1),0)</f>
        <v>0</v>
      </c>
      <c r="AG359" s="332">
        <f>I359*INDEX(Muuttujat!$U$5:$U$21,MATCH($C359,Muuttujat!$N$5:$N$21,0),1)</f>
        <v>0</v>
      </c>
      <c r="AH359" s="332">
        <f>J359*INDEX(Muuttujat!$T$5:$T$21,MATCH($C359,Muuttujat!$N$5:$N$21,0),1)</f>
        <v>0</v>
      </c>
      <c r="AI359" s="332">
        <f t="shared" si="116"/>
        <v>0</v>
      </c>
      <c r="AJ359" s="332">
        <f t="shared" si="117"/>
        <v>0</v>
      </c>
      <c r="AK359" s="332">
        <f t="shared" si="126"/>
        <v>0</v>
      </c>
      <c r="AL359" s="332">
        <f t="shared" si="118"/>
        <v>0</v>
      </c>
    </row>
    <row r="360" spans="1:38">
      <c r="A360" s="139">
        <v>28</v>
      </c>
      <c r="B360" s="139">
        <f>IFERROR(INDEX(Työkonekanta!$F$3:$F$27,MATCH('S0b Baseline kasvu'!$A360,Työkonekanta!$A$3:$A$24,0),1),0)</f>
        <v>0</v>
      </c>
      <c r="C360" s="140">
        <v>2030</v>
      </c>
      <c r="D360" s="141" t="str">
        <f>IFERROR(INDEX(Työkonekanta!$D$3:$D$27,MATCH('S0b Baseline kasvu'!$A360,Työkonekanta!$A$3:$A$24,0),1),"undefined")</f>
        <v>undefined</v>
      </c>
      <c r="E360" s="145">
        <f>IFERROR(INDEX(Työkonekanta!$G$3:$G$27,MATCH($A360,Työkonekanta!$A$3:$A$24,0),1)*INDEX(Työkonekanta!$H$3:$H$27,MATCH($A360,Työkonekanta!$A$3:$A$24,0),1)*(1+s0b_kasvu*($C360-2019))*$B360,0)</f>
        <v>0</v>
      </c>
      <c r="F360" s="145">
        <f t="shared" si="110"/>
        <v>0</v>
      </c>
      <c r="G360" s="145">
        <f t="shared" si="119"/>
        <v>0</v>
      </c>
      <c r="H360" s="145">
        <f t="shared" si="120"/>
        <v>0</v>
      </c>
      <c r="I360" s="145">
        <f t="shared" si="111"/>
        <v>0</v>
      </c>
      <c r="J360" s="145">
        <f t="shared" si="112"/>
        <v>0</v>
      </c>
      <c r="K360" s="142" t="str">
        <f t="shared" si="121"/>
        <v>undefined</v>
      </c>
      <c r="L360" s="146">
        <f>IFERROR(INDEX(Työkonekanta!$I$3:$I$27,MATCH('S0b Baseline kasvu'!$A360,Työkonekanta!$A$3:$A$24,0),1)*(I360+J360)*f_adblue,0)</f>
        <v>0</v>
      </c>
      <c r="M360" s="146">
        <f t="shared" si="127"/>
        <v>0</v>
      </c>
      <c r="N360" s="143" t="str">
        <f>IF(tuulisähkö_vuosi&lt;='S0b Baseline kasvu'!C360,"tuulisähkö",ostosähkö_nyt)</f>
        <v>jäännössähkö</v>
      </c>
      <c r="O360" s="147">
        <f>INDEX(Muuttujat!$J$5:$J$21,MATCH($C360,Muuttujat!$H$5:$H$21,0),1)</f>
        <v>61.999687056709845</v>
      </c>
      <c r="P360" s="342">
        <f>1-(INDEX(Muuttujat!$O$5:$O$21,MATCH($C360,Muuttujat!$N$5:$N$21,0),1))</f>
        <v>0.9</v>
      </c>
      <c r="Q360" s="342">
        <f>INDEX(Muuttujat!$O$5:$O$21,MATCH($C360,Muuttujat!$N$5:$N$21,0),1)</f>
        <v>0.1</v>
      </c>
      <c r="R360" s="148">
        <f>INDEX(Muuttujat!$P$5:$P$21,MATCH($C360,Muuttujat!$N$5:$N$21,0),1)</f>
        <v>0.10417875759940039</v>
      </c>
      <c r="S360" s="149">
        <f t="shared" si="113"/>
        <v>0</v>
      </c>
      <c r="T360" s="150">
        <f t="shared" si="114"/>
        <v>0</v>
      </c>
      <c r="U360" s="150">
        <f t="shared" si="115"/>
        <v>0</v>
      </c>
      <c r="V360" s="150">
        <f>IFERROR(INDEX(Työkonekanta!$J$3:$J$27,MATCH($A360,Työkonekanta!$A$3:$A$24,0),1)*$B360*ef_li_ion_akku/1000/1000/INDEX(Työkonekanta!$K$3:$K$27,MATCH($A360,Työkonekanta!$A$3:$A$24,0)),0)</f>
        <v>0</v>
      </c>
      <c r="W360" s="149">
        <f t="shared" si="128"/>
        <v>0</v>
      </c>
      <c r="X360" s="150">
        <f t="shared" si="129"/>
        <v>0</v>
      </c>
      <c r="Y360" s="151">
        <f t="shared" si="130"/>
        <v>0</v>
      </c>
      <c r="Z360" s="152">
        <f t="shared" si="122"/>
        <v>0</v>
      </c>
      <c r="AA360" s="179">
        <f t="shared" si="123"/>
        <v>0</v>
      </c>
      <c r="AB360" s="179">
        <f t="shared" si="124"/>
        <v>0</v>
      </c>
      <c r="AC360" s="180">
        <f t="shared" si="131"/>
        <v>0</v>
      </c>
      <c r="AD360" s="156">
        <f t="shared" si="125"/>
        <v>0</v>
      </c>
      <c r="AE360" s="146">
        <f>IFERROR(INDEX(Työkonekanta!$L$3:$L$30,MATCH($A360,Työkonekanta!$A$3:$A$30,0),1),0)*AF360</f>
        <v>0</v>
      </c>
      <c r="AF360" s="146">
        <f>IFERROR(INDEX(Työkonekanta!$N$3:$N$32,MATCH($A360,Työkonekanta!$A$3:$A$32,0),1),0)</f>
        <v>0</v>
      </c>
      <c r="AG360" s="332">
        <f>I360*INDEX(Muuttujat!$U$5:$U$21,MATCH($C360,Muuttujat!$N$5:$N$21,0),1)</f>
        <v>0</v>
      </c>
      <c r="AH360" s="332">
        <f>J360*INDEX(Muuttujat!$T$5:$T$21,MATCH($C360,Muuttujat!$N$5:$N$21,0),1)</f>
        <v>0</v>
      </c>
      <c r="AI360" s="332">
        <f t="shared" si="116"/>
        <v>0</v>
      </c>
      <c r="AJ360" s="332">
        <f t="shared" si="117"/>
        <v>0</v>
      </c>
      <c r="AK360" s="332">
        <f t="shared" si="126"/>
        <v>0</v>
      </c>
      <c r="AL360" s="332">
        <f t="shared" si="118"/>
        <v>0</v>
      </c>
    </row>
    <row r="361" spans="1:38">
      <c r="A361" s="139">
        <v>29</v>
      </c>
      <c r="B361" s="139">
        <f>IFERROR(INDEX(Työkonekanta!$F$3:$F$27,MATCH('S0b Baseline kasvu'!$A361,Työkonekanta!$A$3:$A$24,0),1),0)</f>
        <v>0</v>
      </c>
      <c r="C361" s="140">
        <v>2030</v>
      </c>
      <c r="D361" s="141" t="str">
        <f>IFERROR(INDEX(Työkonekanta!$D$3:$D$27,MATCH('S0b Baseline kasvu'!$A361,Työkonekanta!$A$3:$A$24,0),1),"undefined")</f>
        <v>undefined</v>
      </c>
      <c r="E361" s="145">
        <f>IFERROR(INDEX(Työkonekanta!$G$3:$G$27,MATCH($A361,Työkonekanta!$A$3:$A$24,0),1)*INDEX(Työkonekanta!$H$3:$H$27,MATCH($A361,Työkonekanta!$A$3:$A$24,0),1)*(1+s0b_kasvu*($C361-2019))*$B361,0)</f>
        <v>0</v>
      </c>
      <c r="F361" s="145">
        <f t="shared" si="110"/>
        <v>0</v>
      </c>
      <c r="G361" s="145">
        <f t="shared" si="119"/>
        <v>0</v>
      </c>
      <c r="H361" s="145">
        <f t="shared" si="120"/>
        <v>0</v>
      </c>
      <c r="I361" s="145">
        <f t="shared" si="111"/>
        <v>0</v>
      </c>
      <c r="J361" s="145">
        <f t="shared" si="112"/>
        <v>0</v>
      </c>
      <c r="K361" s="142" t="str">
        <f t="shared" si="121"/>
        <v>undefined</v>
      </c>
      <c r="L361" s="146">
        <f>IFERROR(INDEX(Työkonekanta!$I$3:$I$27,MATCH('S0b Baseline kasvu'!$A361,Työkonekanta!$A$3:$A$24,0),1)*(I361+J361)*f_adblue,0)</f>
        <v>0</v>
      </c>
      <c r="M361" s="146">
        <f t="shared" si="127"/>
        <v>0</v>
      </c>
      <c r="N361" s="143" t="str">
        <f>IF(tuulisähkö_vuosi&lt;='S0b Baseline kasvu'!C361,"tuulisähkö",ostosähkö_nyt)</f>
        <v>jäännössähkö</v>
      </c>
      <c r="O361" s="147">
        <f>INDEX(Muuttujat!$J$5:$J$21,MATCH($C361,Muuttujat!$H$5:$H$21,0),1)</f>
        <v>61.999687056709845</v>
      </c>
      <c r="P361" s="342">
        <f>1-(INDEX(Muuttujat!$O$5:$O$21,MATCH($C361,Muuttujat!$N$5:$N$21,0),1))</f>
        <v>0.9</v>
      </c>
      <c r="Q361" s="342">
        <f>INDEX(Muuttujat!$O$5:$O$21,MATCH($C361,Muuttujat!$N$5:$N$21,0),1)</f>
        <v>0.1</v>
      </c>
      <c r="R361" s="148">
        <f>INDEX(Muuttujat!$P$5:$P$21,MATCH($C361,Muuttujat!$N$5:$N$21,0),1)</f>
        <v>0.10417875759940039</v>
      </c>
      <c r="S361" s="149">
        <f t="shared" si="113"/>
        <v>0</v>
      </c>
      <c r="T361" s="150">
        <f t="shared" si="114"/>
        <v>0</v>
      </c>
      <c r="U361" s="150">
        <f t="shared" si="115"/>
        <v>0</v>
      </c>
      <c r="V361" s="150">
        <f>IFERROR(INDEX(Työkonekanta!$J$3:$J$27,MATCH($A361,Työkonekanta!$A$3:$A$24,0),1)*$B361*ef_li_ion_akku/1000/1000/INDEX(Työkonekanta!$K$3:$K$27,MATCH($A361,Työkonekanta!$A$3:$A$24,0)),0)</f>
        <v>0</v>
      </c>
      <c r="W361" s="149">
        <f t="shared" si="128"/>
        <v>0</v>
      </c>
      <c r="X361" s="150">
        <f t="shared" si="129"/>
        <v>0</v>
      </c>
      <c r="Y361" s="151">
        <f t="shared" si="130"/>
        <v>0</v>
      </c>
      <c r="Z361" s="152">
        <f t="shared" si="122"/>
        <v>0</v>
      </c>
      <c r="AA361" s="179">
        <f t="shared" si="123"/>
        <v>0</v>
      </c>
      <c r="AB361" s="179">
        <f t="shared" si="124"/>
        <v>0</v>
      </c>
      <c r="AC361" s="180">
        <f t="shared" si="131"/>
        <v>0</v>
      </c>
      <c r="AD361" s="156">
        <f t="shared" si="125"/>
        <v>0</v>
      </c>
      <c r="AE361" s="146">
        <f>IFERROR(INDEX(Työkonekanta!$L$3:$L$30,MATCH($A361,Työkonekanta!$A$3:$A$30,0),1),0)*AF361</f>
        <v>0</v>
      </c>
      <c r="AF361" s="146">
        <f>IFERROR(INDEX(Työkonekanta!$N$3:$N$32,MATCH($A361,Työkonekanta!$A$3:$A$32,0),1),0)</f>
        <v>0</v>
      </c>
      <c r="AG361" s="332">
        <f>I361*INDEX(Muuttujat!$U$5:$U$21,MATCH($C361,Muuttujat!$N$5:$N$21,0),1)</f>
        <v>0</v>
      </c>
      <c r="AH361" s="332">
        <f>J361*INDEX(Muuttujat!$T$5:$T$21,MATCH($C361,Muuttujat!$N$5:$N$21,0),1)</f>
        <v>0</v>
      </c>
      <c r="AI361" s="332">
        <f t="shared" si="116"/>
        <v>0</v>
      </c>
      <c r="AJ361" s="332">
        <f t="shared" si="117"/>
        <v>0</v>
      </c>
      <c r="AK361" s="332">
        <f t="shared" si="126"/>
        <v>0</v>
      </c>
      <c r="AL361" s="332">
        <f t="shared" si="118"/>
        <v>0</v>
      </c>
    </row>
    <row r="362" spans="1:38">
      <c r="A362" s="139">
        <v>30</v>
      </c>
      <c r="B362" s="139">
        <f>IFERROR(INDEX(Työkonekanta!$F$3:$F$27,MATCH('S0b Baseline kasvu'!$A362,Työkonekanta!$A$3:$A$24,0),1),0)</f>
        <v>0</v>
      </c>
      <c r="C362" s="140">
        <v>2030</v>
      </c>
      <c r="D362" s="141" t="str">
        <f>IFERROR(INDEX(Työkonekanta!$D$3:$D$27,MATCH('S0b Baseline kasvu'!$A362,Työkonekanta!$A$3:$A$24,0),1),"undefined")</f>
        <v>undefined</v>
      </c>
      <c r="E362" s="145">
        <f>IFERROR(INDEX(Työkonekanta!$G$3:$G$27,MATCH($A362,Työkonekanta!$A$3:$A$24,0),1)*INDEX(Työkonekanta!$H$3:$H$27,MATCH($A362,Työkonekanta!$A$3:$A$24,0),1)*(1+s0b_kasvu*($C362-2019))*$B362,0)</f>
        <v>0</v>
      </c>
      <c r="F362" s="145">
        <f t="shared" si="110"/>
        <v>0</v>
      </c>
      <c r="G362" s="145">
        <f t="shared" si="119"/>
        <v>0</v>
      </c>
      <c r="H362" s="145">
        <f t="shared" si="120"/>
        <v>0</v>
      </c>
      <c r="I362" s="145">
        <f t="shared" si="111"/>
        <v>0</v>
      </c>
      <c r="J362" s="145">
        <f t="shared" si="112"/>
        <v>0</v>
      </c>
      <c r="K362" s="142" t="str">
        <f t="shared" si="121"/>
        <v>undefined</v>
      </c>
      <c r="L362" s="146">
        <f>IFERROR(INDEX(Työkonekanta!$I$3:$I$27,MATCH('S0b Baseline kasvu'!$A362,Työkonekanta!$A$3:$A$24,0),1)*(I362+J362)*f_adblue,0)</f>
        <v>0</v>
      </c>
      <c r="M362" s="146">
        <f t="shared" si="127"/>
        <v>0</v>
      </c>
      <c r="N362" s="143" t="str">
        <f>IF(tuulisähkö_vuosi&lt;='S0b Baseline kasvu'!C362,"tuulisähkö",ostosähkö_nyt)</f>
        <v>jäännössähkö</v>
      </c>
      <c r="O362" s="147">
        <f>INDEX(Muuttujat!$J$5:$J$21,MATCH($C362,Muuttujat!$H$5:$H$21,0),1)</f>
        <v>61.999687056709845</v>
      </c>
      <c r="P362" s="342">
        <f>1-(INDEX(Muuttujat!$O$5:$O$21,MATCH($C362,Muuttujat!$N$5:$N$21,0),1))</f>
        <v>0.9</v>
      </c>
      <c r="Q362" s="342">
        <f>INDEX(Muuttujat!$O$5:$O$21,MATCH($C362,Muuttujat!$N$5:$N$21,0),1)</f>
        <v>0.1</v>
      </c>
      <c r="R362" s="148">
        <f>INDEX(Muuttujat!$P$5:$P$21,MATCH($C362,Muuttujat!$N$5:$N$21,0),1)</f>
        <v>0.10417875759940039</v>
      </c>
      <c r="S362" s="149">
        <f t="shared" si="113"/>
        <v>0</v>
      </c>
      <c r="T362" s="150">
        <f t="shared" si="114"/>
        <v>0</v>
      </c>
      <c r="U362" s="150">
        <f t="shared" si="115"/>
        <v>0</v>
      </c>
      <c r="V362" s="150">
        <f>IFERROR(INDEX(Työkonekanta!$J$3:$J$27,MATCH($A362,Työkonekanta!$A$3:$A$24,0),1)*$B362*ef_li_ion_akku/1000/1000/INDEX(Työkonekanta!$K$3:$K$27,MATCH($A362,Työkonekanta!$A$3:$A$24,0)),0)</f>
        <v>0</v>
      </c>
      <c r="W362" s="149">
        <f t="shared" si="128"/>
        <v>0</v>
      </c>
      <c r="X362" s="150">
        <f t="shared" si="129"/>
        <v>0</v>
      </c>
      <c r="Y362" s="151">
        <f t="shared" si="130"/>
        <v>0</v>
      </c>
      <c r="Z362" s="152">
        <f t="shared" si="122"/>
        <v>0</v>
      </c>
      <c r="AA362" s="179">
        <f t="shared" si="123"/>
        <v>0</v>
      </c>
      <c r="AB362" s="179">
        <f t="shared" si="124"/>
        <v>0</v>
      </c>
      <c r="AC362" s="180">
        <f t="shared" si="131"/>
        <v>0</v>
      </c>
      <c r="AD362" s="156">
        <f t="shared" si="125"/>
        <v>0</v>
      </c>
      <c r="AE362" s="146">
        <f>IFERROR(INDEX(Työkonekanta!$L$3:$L$30,MATCH($A362,Työkonekanta!$A$3:$A$30,0),1),0)*AF362</f>
        <v>0</v>
      </c>
      <c r="AF362" s="146">
        <f>IFERROR(INDEX(Työkonekanta!$N$3:$N$32,MATCH($A362,Työkonekanta!$A$3:$A$32,0),1),0)</f>
        <v>0</v>
      </c>
      <c r="AG362" s="332">
        <f>I362*INDEX(Muuttujat!$U$5:$U$21,MATCH($C362,Muuttujat!$N$5:$N$21,0),1)</f>
        <v>0</v>
      </c>
      <c r="AH362" s="332">
        <f>J362*INDEX(Muuttujat!$T$5:$T$21,MATCH($C362,Muuttujat!$N$5:$N$21,0),1)</f>
        <v>0</v>
      </c>
      <c r="AI362" s="332">
        <f t="shared" si="116"/>
        <v>0</v>
      </c>
      <c r="AJ362" s="332">
        <f t="shared" si="117"/>
        <v>0</v>
      </c>
      <c r="AK362" s="332">
        <f t="shared" si="126"/>
        <v>0</v>
      </c>
      <c r="AL362" s="332">
        <f t="shared" si="118"/>
        <v>0</v>
      </c>
    </row>
    <row r="363" spans="1:38">
      <c r="A363" s="139">
        <v>1</v>
      </c>
      <c r="B363" s="139">
        <f>IFERROR(INDEX(Työkonekanta!$F$3:$F$27,MATCH('S0b Baseline kasvu'!$A363,Työkonekanta!$A$3:$A$24,0),1),0)</f>
        <v>1</v>
      </c>
      <c r="C363" s="140">
        <v>2031</v>
      </c>
      <c r="D363" s="141" t="str">
        <f>IFERROR(INDEX(Työkonekanta!$D$3:$D$27,MATCH('S0b Baseline kasvu'!$A363,Työkonekanta!$A$3:$A$24,0),1),"undefined")</f>
        <v>pom</v>
      </c>
      <c r="E363" s="145">
        <f>IFERROR(INDEX(Työkonekanta!$G$3:$G$27,MATCH($A363,Työkonekanta!$A$3:$A$24,0),1)*INDEX(Työkonekanta!$H$3:$H$27,MATCH($A363,Työkonekanta!$A$3:$A$24,0),1)*(1+s0b_kasvu*($C363-2019))*$B363,0)</f>
        <v>11200.000000000002</v>
      </c>
      <c r="F363" s="145">
        <f t="shared" si="110"/>
        <v>402080.00000000006</v>
      </c>
      <c r="G363" s="145">
        <f t="shared" si="119"/>
        <v>361872.00000000006</v>
      </c>
      <c r="H363" s="145">
        <f t="shared" si="120"/>
        <v>40208.000000000007</v>
      </c>
      <c r="I363" s="145">
        <f t="shared" si="111"/>
        <v>10080.000000000002</v>
      </c>
      <c r="J363" s="145">
        <f t="shared" si="112"/>
        <v>1172.2448979591841</v>
      </c>
      <c r="K363" s="142" t="str">
        <f t="shared" si="121"/>
        <v>l</v>
      </c>
      <c r="L363" s="146">
        <f>IFERROR(INDEX(Työkonekanta!$I$3:$I$27,MATCH('S0b Baseline kasvu'!$A363,Työkonekanta!$A$3:$A$24,0),1)*(I363+J363)*f_adblue,0)</f>
        <v>562.61224489795939</v>
      </c>
      <c r="M363" s="146">
        <f t="shared" si="127"/>
        <v>0</v>
      </c>
      <c r="N363" s="143" t="str">
        <f>IF(tuulisähkö_vuosi&lt;='S0b Baseline kasvu'!C363,"tuulisähkö",ostosähkö_nyt)</f>
        <v>jäännössähkö</v>
      </c>
      <c r="O363" s="147">
        <f>INDEX(Muuttujat!$J$5:$J$21,MATCH($C363,Muuttujat!$H$5:$H$21,0),1)</f>
        <v>61.379690186142746</v>
      </c>
      <c r="P363" s="342">
        <f>1-(INDEX(Muuttujat!$O$5:$O$21,MATCH($C363,Muuttujat!$N$5:$N$21,0),1))</f>
        <v>0.9</v>
      </c>
      <c r="Q363" s="342">
        <f>INDEX(Muuttujat!$O$5:$O$21,MATCH($C363,Muuttujat!$N$5:$N$21,0),1)</f>
        <v>0.1</v>
      </c>
      <c r="R363" s="148">
        <f>INDEX(Muuttujat!$P$5:$P$21,MATCH($C363,Muuttujat!$N$5:$N$21,0),1)</f>
        <v>0.10417875759940039</v>
      </c>
      <c r="S363" s="149">
        <f t="shared" si="113"/>
        <v>6.8393808000000007</v>
      </c>
      <c r="T363" s="150">
        <f t="shared" si="114"/>
        <v>2.5089792000000002</v>
      </c>
      <c r="U363" s="150">
        <f t="shared" si="115"/>
        <v>0</v>
      </c>
      <c r="V363" s="150">
        <f>IFERROR(INDEX(Työkonekanta!$J$3:$J$27,MATCH($A363,Työkonekanta!$A$3:$A$24,0),1)*$B363*ef_li_ion_akku/1000/1000/INDEX(Työkonekanta!$K$3:$K$27,MATCH($A363,Työkonekanta!$A$3:$A$24,0)),0)</f>
        <v>0</v>
      </c>
      <c r="W363" s="149">
        <f t="shared" si="128"/>
        <v>26.709140592288009</v>
      </c>
      <c r="X363" s="150">
        <f t="shared" si="129"/>
        <v>0.35587513920000002</v>
      </c>
      <c r="Y363" s="151">
        <f t="shared" si="130"/>
        <v>0.14627918367346945</v>
      </c>
      <c r="Z363" s="152">
        <f t="shared" si="122"/>
        <v>9.3483600000000013</v>
      </c>
      <c r="AA363" s="179">
        <f t="shared" si="123"/>
        <v>26.855419775961479</v>
      </c>
      <c r="AB363" s="179">
        <f t="shared" si="124"/>
        <v>27.211294915161478</v>
      </c>
      <c r="AC363" s="180">
        <f t="shared" si="131"/>
        <v>36.203779775961479</v>
      </c>
      <c r="AD363" s="156">
        <f t="shared" si="125"/>
        <v>36.559654915161481</v>
      </c>
      <c r="AE363" s="146">
        <f>IFERROR(INDEX(Työkonekanta!$L$3:$L$30,MATCH($A363,Työkonekanta!$A$3:$A$30,0),1),0)*AF363</f>
        <v>500000</v>
      </c>
      <c r="AF363" s="146">
        <f>IFERROR(INDEX(Työkonekanta!$N$3:$N$32,MATCH($A363,Työkonekanta!$A$3:$A$32,0),1),0)</f>
        <v>1</v>
      </c>
      <c r="AG363" s="332">
        <f>I363*INDEX(Muuttujat!$U$5:$U$21,MATCH($C363,Muuttujat!$N$5:$N$21,0),1)</f>
        <v>10584.000000000002</v>
      </c>
      <c r="AH363" s="332">
        <f>J363*INDEX(Muuttujat!$T$5:$T$21,MATCH($C363,Muuttujat!$N$5:$N$21,0),1)</f>
        <v>1699.7551020408171</v>
      </c>
      <c r="AI363" s="332">
        <f t="shared" si="116"/>
        <v>281.30612244897969</v>
      </c>
      <c r="AJ363" s="332">
        <f t="shared" si="117"/>
        <v>0</v>
      </c>
      <c r="AK363" s="332">
        <f t="shared" si="126"/>
        <v>12565.061224489798</v>
      </c>
      <c r="AL363" s="332">
        <f t="shared" si="118"/>
        <v>12565.061224489798</v>
      </c>
    </row>
    <row r="364" spans="1:38">
      <c r="A364" s="139">
        <v>2</v>
      </c>
      <c r="B364" s="139">
        <f>IFERROR(INDEX(Työkonekanta!$F$3:$F$27,MATCH('S0b Baseline kasvu'!$A364,Työkonekanta!$A$3:$A$24,0),1),0)</f>
        <v>1</v>
      </c>
      <c r="C364" s="140">
        <v>2031</v>
      </c>
      <c r="D364" s="141" t="str">
        <f>IFERROR(INDEX(Työkonekanta!$D$3:$D$27,MATCH('S0b Baseline kasvu'!$A364,Työkonekanta!$A$3:$A$24,0),1),"undefined")</f>
        <v>pom</v>
      </c>
      <c r="E364" s="145">
        <f>IFERROR(INDEX(Työkonekanta!$G$3:$G$27,MATCH($A364,Työkonekanta!$A$3:$A$24,0),1)*INDEX(Työkonekanta!$H$3:$H$27,MATCH($A364,Työkonekanta!$A$3:$A$24,0),1)*(1+s0b_kasvu*($C364-2019))*$B364,0)</f>
        <v>11200.000000000002</v>
      </c>
      <c r="F364" s="145">
        <f t="shared" si="110"/>
        <v>402080.00000000006</v>
      </c>
      <c r="G364" s="145">
        <f t="shared" si="119"/>
        <v>361872.00000000006</v>
      </c>
      <c r="H364" s="145">
        <f t="shared" si="120"/>
        <v>40208.000000000007</v>
      </c>
      <c r="I364" s="145">
        <f t="shared" si="111"/>
        <v>10080.000000000002</v>
      </c>
      <c r="J364" s="145">
        <f t="shared" si="112"/>
        <v>1172.2448979591841</v>
      </c>
      <c r="K364" s="142" t="str">
        <f t="shared" si="121"/>
        <v>l</v>
      </c>
      <c r="L364" s="146">
        <f>IFERROR(INDEX(Työkonekanta!$I$3:$I$27,MATCH('S0b Baseline kasvu'!$A364,Työkonekanta!$A$3:$A$24,0),1)*(I364+J364)*f_adblue,0)</f>
        <v>562.61224489795939</v>
      </c>
      <c r="M364" s="146">
        <f t="shared" si="127"/>
        <v>0</v>
      </c>
      <c r="N364" s="143" t="str">
        <f>IF(tuulisähkö_vuosi&lt;='S0b Baseline kasvu'!C364,"tuulisähkö",ostosähkö_nyt)</f>
        <v>jäännössähkö</v>
      </c>
      <c r="O364" s="147">
        <f>INDEX(Muuttujat!$J$5:$J$21,MATCH($C364,Muuttujat!$H$5:$H$21,0),1)</f>
        <v>61.379690186142746</v>
      </c>
      <c r="P364" s="342">
        <f>1-(INDEX(Muuttujat!$O$5:$O$21,MATCH($C364,Muuttujat!$N$5:$N$21,0),1))</f>
        <v>0.9</v>
      </c>
      <c r="Q364" s="342">
        <f>INDEX(Muuttujat!$O$5:$O$21,MATCH($C364,Muuttujat!$N$5:$N$21,0),1)</f>
        <v>0.1</v>
      </c>
      <c r="R364" s="148">
        <f>INDEX(Muuttujat!$P$5:$P$21,MATCH($C364,Muuttujat!$N$5:$N$21,0),1)</f>
        <v>0.10417875759940039</v>
      </c>
      <c r="S364" s="149">
        <f t="shared" si="113"/>
        <v>6.8393808000000007</v>
      </c>
      <c r="T364" s="150">
        <f t="shared" si="114"/>
        <v>2.5089792000000002</v>
      </c>
      <c r="U364" s="150">
        <f t="shared" si="115"/>
        <v>0</v>
      </c>
      <c r="V364" s="150">
        <f>IFERROR(INDEX(Työkonekanta!$J$3:$J$27,MATCH($A364,Työkonekanta!$A$3:$A$24,0),1)*$B364*ef_li_ion_akku/1000/1000/INDEX(Työkonekanta!$K$3:$K$27,MATCH($A364,Työkonekanta!$A$3:$A$24,0)),0)</f>
        <v>0</v>
      </c>
      <c r="W364" s="149">
        <f t="shared" si="128"/>
        <v>26.709140592288009</v>
      </c>
      <c r="X364" s="150">
        <f t="shared" si="129"/>
        <v>0.35587513920000002</v>
      </c>
      <c r="Y364" s="151">
        <f t="shared" si="130"/>
        <v>0.14627918367346945</v>
      </c>
      <c r="Z364" s="152">
        <f t="shared" si="122"/>
        <v>9.3483600000000013</v>
      </c>
      <c r="AA364" s="179">
        <f t="shared" si="123"/>
        <v>26.855419775961479</v>
      </c>
      <c r="AB364" s="179">
        <f t="shared" si="124"/>
        <v>27.211294915161478</v>
      </c>
      <c r="AC364" s="180">
        <f t="shared" si="131"/>
        <v>36.203779775961479</v>
      </c>
      <c r="AD364" s="156">
        <f t="shared" si="125"/>
        <v>36.559654915161481</v>
      </c>
      <c r="AE364" s="146">
        <f>IFERROR(INDEX(Työkonekanta!$L$3:$L$30,MATCH($A364,Työkonekanta!$A$3:$A$30,0),1),0)*AF364</f>
        <v>500000</v>
      </c>
      <c r="AF364" s="146">
        <f>IFERROR(INDEX(Työkonekanta!$N$3:$N$32,MATCH($A364,Työkonekanta!$A$3:$A$32,0),1),0)</f>
        <v>1</v>
      </c>
      <c r="AG364" s="332">
        <f>I364*INDEX(Muuttujat!$U$5:$U$21,MATCH($C364,Muuttujat!$N$5:$N$21,0),1)</f>
        <v>10584.000000000002</v>
      </c>
      <c r="AH364" s="332">
        <f>J364*INDEX(Muuttujat!$T$5:$T$21,MATCH($C364,Muuttujat!$N$5:$N$21,0),1)</f>
        <v>1699.7551020408171</v>
      </c>
      <c r="AI364" s="332">
        <f t="shared" si="116"/>
        <v>281.30612244897969</v>
      </c>
      <c r="AJ364" s="332">
        <f t="shared" si="117"/>
        <v>0</v>
      </c>
      <c r="AK364" s="332">
        <f t="shared" si="126"/>
        <v>12565.061224489798</v>
      </c>
      <c r="AL364" s="332">
        <f t="shared" si="118"/>
        <v>12565.061224489798</v>
      </c>
    </row>
    <row r="365" spans="1:38">
      <c r="A365" s="139">
        <v>3</v>
      </c>
      <c r="B365" s="139">
        <f>IFERROR(INDEX(Työkonekanta!$F$3:$F$27,MATCH('S0b Baseline kasvu'!$A365,Työkonekanta!$A$3:$A$24,0),1),0)</f>
        <v>1</v>
      </c>
      <c r="C365" s="140">
        <v>2031</v>
      </c>
      <c r="D365" s="141" t="str">
        <f>IFERROR(INDEX(Työkonekanta!$D$3:$D$27,MATCH('S0b Baseline kasvu'!$A365,Työkonekanta!$A$3:$A$24,0),1),"undefined")</f>
        <v>pom</v>
      </c>
      <c r="E365" s="145">
        <f>IFERROR(INDEX(Työkonekanta!$G$3:$G$27,MATCH($A365,Työkonekanta!$A$3:$A$24,0),1)*INDEX(Työkonekanta!$H$3:$H$27,MATCH($A365,Työkonekanta!$A$3:$A$24,0),1)*(1+s0b_kasvu*($C365-2019))*$B365,0)</f>
        <v>11200.000000000002</v>
      </c>
      <c r="F365" s="145">
        <f t="shared" si="110"/>
        <v>402080.00000000006</v>
      </c>
      <c r="G365" s="145">
        <f t="shared" si="119"/>
        <v>361872.00000000006</v>
      </c>
      <c r="H365" s="145">
        <f t="shared" si="120"/>
        <v>40208.000000000007</v>
      </c>
      <c r="I365" s="145">
        <f t="shared" si="111"/>
        <v>10080.000000000002</v>
      </c>
      <c r="J365" s="145">
        <f t="shared" si="112"/>
        <v>1172.2448979591841</v>
      </c>
      <c r="K365" s="142" t="str">
        <f t="shared" si="121"/>
        <v>l</v>
      </c>
      <c r="L365" s="146">
        <f>IFERROR(INDEX(Työkonekanta!$I$3:$I$27,MATCH('S0b Baseline kasvu'!$A365,Työkonekanta!$A$3:$A$24,0),1)*(I365+J365)*f_adblue,0)</f>
        <v>562.61224489795939</v>
      </c>
      <c r="M365" s="146">
        <f t="shared" si="127"/>
        <v>0</v>
      </c>
      <c r="N365" s="143" t="str">
        <f>IF(tuulisähkö_vuosi&lt;='S0b Baseline kasvu'!C365,"tuulisähkö",ostosähkö_nyt)</f>
        <v>jäännössähkö</v>
      </c>
      <c r="O365" s="147">
        <f>INDEX(Muuttujat!$J$5:$J$21,MATCH($C365,Muuttujat!$H$5:$H$21,0),1)</f>
        <v>61.379690186142746</v>
      </c>
      <c r="P365" s="342">
        <f>1-(INDEX(Muuttujat!$O$5:$O$21,MATCH($C365,Muuttujat!$N$5:$N$21,0),1))</f>
        <v>0.9</v>
      </c>
      <c r="Q365" s="342">
        <f>INDEX(Muuttujat!$O$5:$O$21,MATCH($C365,Muuttujat!$N$5:$N$21,0),1)</f>
        <v>0.1</v>
      </c>
      <c r="R365" s="148">
        <f>INDEX(Muuttujat!$P$5:$P$21,MATCH($C365,Muuttujat!$N$5:$N$21,0),1)</f>
        <v>0.10417875759940039</v>
      </c>
      <c r="S365" s="149">
        <f t="shared" si="113"/>
        <v>6.8393808000000007</v>
      </c>
      <c r="T365" s="150">
        <f t="shared" si="114"/>
        <v>2.5089792000000002</v>
      </c>
      <c r="U365" s="150">
        <f t="shared" si="115"/>
        <v>0</v>
      </c>
      <c r="V365" s="150">
        <f>IFERROR(INDEX(Työkonekanta!$J$3:$J$27,MATCH($A365,Työkonekanta!$A$3:$A$24,0),1)*$B365*ef_li_ion_akku/1000/1000/INDEX(Työkonekanta!$K$3:$K$27,MATCH($A365,Työkonekanta!$A$3:$A$24,0)),0)</f>
        <v>0</v>
      </c>
      <c r="W365" s="149">
        <f t="shared" si="128"/>
        <v>26.709140592288009</v>
      </c>
      <c r="X365" s="150">
        <f t="shared" si="129"/>
        <v>0.35587513920000002</v>
      </c>
      <c r="Y365" s="151">
        <f t="shared" si="130"/>
        <v>0.14627918367346945</v>
      </c>
      <c r="Z365" s="152">
        <f t="shared" si="122"/>
        <v>9.3483600000000013</v>
      </c>
      <c r="AA365" s="179">
        <f t="shared" si="123"/>
        <v>26.855419775961479</v>
      </c>
      <c r="AB365" s="179">
        <f t="shared" si="124"/>
        <v>27.211294915161478</v>
      </c>
      <c r="AC365" s="180">
        <f t="shared" si="131"/>
        <v>36.203779775961479</v>
      </c>
      <c r="AD365" s="156">
        <f t="shared" si="125"/>
        <v>36.559654915161481</v>
      </c>
      <c r="AE365" s="146">
        <f>IFERROR(INDEX(Työkonekanta!$L$3:$L$30,MATCH($A365,Työkonekanta!$A$3:$A$30,0),1),0)*AF365</f>
        <v>0</v>
      </c>
      <c r="AF365" s="146">
        <f>IFERROR(INDEX(Työkonekanta!$N$3:$N$32,MATCH($A365,Työkonekanta!$A$3:$A$32,0),1),0)</f>
        <v>0</v>
      </c>
      <c r="AG365" s="332">
        <f>I365*INDEX(Muuttujat!$U$5:$U$21,MATCH($C365,Muuttujat!$N$5:$N$21,0),1)</f>
        <v>10584.000000000002</v>
      </c>
      <c r="AH365" s="332">
        <f>J365*INDEX(Muuttujat!$T$5:$T$21,MATCH($C365,Muuttujat!$N$5:$N$21,0),1)</f>
        <v>1699.7551020408171</v>
      </c>
      <c r="AI365" s="332">
        <f t="shared" si="116"/>
        <v>281.30612244897969</v>
      </c>
      <c r="AJ365" s="332">
        <f t="shared" si="117"/>
        <v>0</v>
      </c>
      <c r="AK365" s="332">
        <f t="shared" si="126"/>
        <v>12565.061224489798</v>
      </c>
      <c r="AL365" s="332">
        <f t="shared" si="118"/>
        <v>12565.061224489798</v>
      </c>
    </row>
    <row r="366" spans="1:38">
      <c r="A366" s="139">
        <v>4</v>
      </c>
      <c r="B366" s="139">
        <f>IFERROR(INDEX(Työkonekanta!$F$3:$F$27,MATCH('S0b Baseline kasvu'!$A366,Työkonekanta!$A$3:$A$24,0),1),0)</f>
        <v>1</v>
      </c>
      <c r="C366" s="140">
        <v>2031</v>
      </c>
      <c r="D366" s="141" t="str">
        <f>IFERROR(INDEX(Työkonekanta!$D$3:$D$27,MATCH('S0b Baseline kasvu'!$A366,Työkonekanta!$A$3:$A$24,0),1),"undefined")</f>
        <v>pom</v>
      </c>
      <c r="E366" s="145">
        <f>IFERROR(INDEX(Työkonekanta!$G$3:$G$27,MATCH($A366,Työkonekanta!$A$3:$A$24,0),1)*INDEX(Työkonekanta!$H$3:$H$27,MATCH($A366,Työkonekanta!$A$3:$A$24,0),1)*(1+s0b_kasvu*($C366-2019))*$B366,0)</f>
        <v>11200.000000000002</v>
      </c>
      <c r="F366" s="145">
        <f t="shared" si="110"/>
        <v>402080.00000000006</v>
      </c>
      <c r="G366" s="145">
        <f t="shared" si="119"/>
        <v>361872.00000000006</v>
      </c>
      <c r="H366" s="145">
        <f t="shared" si="120"/>
        <v>40208.000000000007</v>
      </c>
      <c r="I366" s="145">
        <f t="shared" si="111"/>
        <v>10080.000000000002</v>
      </c>
      <c r="J366" s="145">
        <f t="shared" si="112"/>
        <v>1172.2448979591841</v>
      </c>
      <c r="K366" s="142" t="str">
        <f t="shared" si="121"/>
        <v>l</v>
      </c>
      <c r="L366" s="146">
        <f>IFERROR(INDEX(Työkonekanta!$I$3:$I$27,MATCH('S0b Baseline kasvu'!$A366,Työkonekanta!$A$3:$A$24,0),1)*(I366+J366)*f_adblue,0)</f>
        <v>562.61224489795939</v>
      </c>
      <c r="M366" s="146">
        <f t="shared" si="127"/>
        <v>0</v>
      </c>
      <c r="N366" s="143" t="str">
        <f>IF(tuulisähkö_vuosi&lt;='S0b Baseline kasvu'!C366,"tuulisähkö",ostosähkö_nyt)</f>
        <v>jäännössähkö</v>
      </c>
      <c r="O366" s="147">
        <f>INDEX(Muuttujat!$J$5:$J$21,MATCH($C366,Muuttujat!$H$5:$H$21,0),1)</f>
        <v>61.379690186142746</v>
      </c>
      <c r="P366" s="342">
        <f>1-(INDEX(Muuttujat!$O$5:$O$21,MATCH($C366,Muuttujat!$N$5:$N$21,0),1))</f>
        <v>0.9</v>
      </c>
      <c r="Q366" s="342">
        <f>INDEX(Muuttujat!$O$5:$O$21,MATCH($C366,Muuttujat!$N$5:$N$21,0),1)</f>
        <v>0.1</v>
      </c>
      <c r="R366" s="148">
        <f>INDEX(Muuttujat!$P$5:$P$21,MATCH($C366,Muuttujat!$N$5:$N$21,0),1)</f>
        <v>0.10417875759940039</v>
      </c>
      <c r="S366" s="149">
        <f t="shared" si="113"/>
        <v>6.8393808000000007</v>
      </c>
      <c r="T366" s="150">
        <f t="shared" si="114"/>
        <v>2.5089792000000002</v>
      </c>
      <c r="U366" s="150">
        <f t="shared" si="115"/>
        <v>0</v>
      </c>
      <c r="V366" s="150">
        <f>IFERROR(INDEX(Työkonekanta!$J$3:$J$27,MATCH($A366,Työkonekanta!$A$3:$A$24,0),1)*$B366*ef_li_ion_akku/1000/1000/INDEX(Työkonekanta!$K$3:$K$27,MATCH($A366,Työkonekanta!$A$3:$A$24,0)),0)</f>
        <v>0</v>
      </c>
      <c r="W366" s="149">
        <f t="shared" si="128"/>
        <v>26.709140592288009</v>
      </c>
      <c r="X366" s="150">
        <f t="shared" si="129"/>
        <v>0.35587513920000002</v>
      </c>
      <c r="Y366" s="151">
        <f t="shared" si="130"/>
        <v>0.14627918367346945</v>
      </c>
      <c r="Z366" s="152">
        <f t="shared" si="122"/>
        <v>9.3483600000000013</v>
      </c>
      <c r="AA366" s="179">
        <f t="shared" si="123"/>
        <v>26.855419775961479</v>
      </c>
      <c r="AB366" s="179">
        <f t="shared" si="124"/>
        <v>27.211294915161478</v>
      </c>
      <c r="AC366" s="180">
        <f t="shared" si="131"/>
        <v>36.203779775961479</v>
      </c>
      <c r="AD366" s="156">
        <f t="shared" si="125"/>
        <v>36.559654915161481</v>
      </c>
      <c r="AE366" s="146">
        <f>IFERROR(INDEX(Työkonekanta!$L$3:$L$30,MATCH($A366,Työkonekanta!$A$3:$A$30,0),1),0)*AF366</f>
        <v>0</v>
      </c>
      <c r="AF366" s="146">
        <f>IFERROR(INDEX(Työkonekanta!$N$3:$N$32,MATCH($A366,Työkonekanta!$A$3:$A$32,0),1),0)</f>
        <v>0</v>
      </c>
      <c r="AG366" s="332">
        <f>I366*INDEX(Muuttujat!$U$5:$U$21,MATCH($C366,Muuttujat!$N$5:$N$21,0),1)</f>
        <v>10584.000000000002</v>
      </c>
      <c r="AH366" s="332">
        <f>J366*INDEX(Muuttujat!$T$5:$T$21,MATCH($C366,Muuttujat!$N$5:$N$21,0),1)</f>
        <v>1699.7551020408171</v>
      </c>
      <c r="AI366" s="332">
        <f t="shared" si="116"/>
        <v>281.30612244897969</v>
      </c>
      <c r="AJ366" s="332">
        <f t="shared" si="117"/>
        <v>0</v>
      </c>
      <c r="AK366" s="332">
        <f t="shared" si="126"/>
        <v>12565.061224489798</v>
      </c>
      <c r="AL366" s="332">
        <f t="shared" si="118"/>
        <v>12565.061224489798</v>
      </c>
    </row>
    <row r="367" spans="1:38">
      <c r="A367" s="139">
        <v>5</v>
      </c>
      <c r="B367" s="139">
        <f>IFERROR(INDEX(Työkonekanta!$F$3:$F$27,MATCH('S0b Baseline kasvu'!$A367,Työkonekanta!$A$3:$A$24,0),1),0)</f>
        <v>0</v>
      </c>
      <c r="C367" s="140">
        <v>2031</v>
      </c>
      <c r="D367" s="141" t="str">
        <f>IFERROR(INDEX(Työkonekanta!$D$3:$D$27,MATCH('S0b Baseline kasvu'!$A367,Työkonekanta!$A$3:$A$24,0),1),"undefined")</f>
        <v>sähkö</v>
      </c>
      <c r="E367" s="145">
        <f>IFERROR(INDEX(Työkonekanta!$G$3:$G$27,MATCH($A367,Työkonekanta!$A$3:$A$24,0),1)*INDEX(Työkonekanta!$H$3:$H$27,MATCH($A367,Työkonekanta!$A$3:$A$24,0),1)*(1+s0b_kasvu*($C367-2019))*$B367,0)</f>
        <v>0</v>
      </c>
      <c r="F367" s="145">
        <f t="shared" si="110"/>
        <v>0</v>
      </c>
      <c r="G367" s="145">
        <f t="shared" si="119"/>
        <v>0</v>
      </c>
      <c r="H367" s="145">
        <f t="shared" si="120"/>
        <v>0</v>
      </c>
      <c r="I367" s="145">
        <f t="shared" si="111"/>
        <v>0</v>
      </c>
      <c r="J367" s="145">
        <f t="shared" si="112"/>
        <v>0</v>
      </c>
      <c r="K367" s="142" t="str">
        <f t="shared" si="121"/>
        <v>kWh</v>
      </c>
      <c r="L367" s="146">
        <f>IFERROR(INDEX(Työkonekanta!$I$3:$I$27,MATCH('S0b Baseline kasvu'!$A367,Työkonekanta!$A$3:$A$24,0),1)*(I367+J367)*f_adblue,0)</f>
        <v>0</v>
      </c>
      <c r="M367" s="146">
        <f t="shared" si="127"/>
        <v>0</v>
      </c>
      <c r="N367" s="143" t="str">
        <f>IF(tuulisähkö_vuosi&lt;='S0b Baseline kasvu'!C367,"tuulisähkö",ostosähkö_nyt)</f>
        <v>jäännössähkö</v>
      </c>
      <c r="O367" s="147">
        <f>INDEX(Muuttujat!$J$5:$J$21,MATCH($C367,Muuttujat!$H$5:$H$21,0),1)</f>
        <v>61.379690186142746</v>
      </c>
      <c r="P367" s="342">
        <f>1-(INDEX(Muuttujat!$O$5:$O$21,MATCH($C367,Muuttujat!$N$5:$N$21,0),1))</f>
        <v>0.9</v>
      </c>
      <c r="Q367" s="342">
        <f>INDEX(Muuttujat!$O$5:$O$21,MATCH($C367,Muuttujat!$N$5:$N$21,0),1)</f>
        <v>0.1</v>
      </c>
      <c r="R367" s="148">
        <f>INDEX(Muuttujat!$P$5:$P$21,MATCH($C367,Muuttujat!$N$5:$N$21,0),1)</f>
        <v>0.10417875759940039</v>
      </c>
      <c r="S367" s="149">
        <f t="shared" si="113"/>
        <v>0</v>
      </c>
      <c r="T367" s="150">
        <f t="shared" si="114"/>
        <v>0</v>
      </c>
      <c r="U367" s="150">
        <f t="shared" si="115"/>
        <v>0</v>
      </c>
      <c r="V367" s="150">
        <f>IFERROR(INDEX(Työkonekanta!$J$3:$J$27,MATCH($A367,Työkonekanta!$A$3:$A$24,0),1)*$B367*ef_li_ion_akku/1000/1000/INDEX(Työkonekanta!$K$3:$K$27,MATCH($A367,Työkonekanta!$A$3:$A$24,0)),0)</f>
        <v>0</v>
      </c>
      <c r="W367" s="149">
        <f t="shared" si="128"/>
        <v>0</v>
      </c>
      <c r="X367" s="150">
        <f t="shared" si="129"/>
        <v>0</v>
      </c>
      <c r="Y367" s="151">
        <f t="shared" si="130"/>
        <v>0</v>
      </c>
      <c r="Z367" s="152">
        <f t="shared" si="122"/>
        <v>0</v>
      </c>
      <c r="AA367" s="179">
        <f t="shared" si="123"/>
        <v>0</v>
      </c>
      <c r="AB367" s="179">
        <f t="shared" si="124"/>
        <v>0</v>
      </c>
      <c r="AC367" s="180">
        <f t="shared" si="131"/>
        <v>0</v>
      </c>
      <c r="AD367" s="156">
        <f t="shared" si="125"/>
        <v>0</v>
      </c>
      <c r="AE367" s="146">
        <f>IFERROR(INDEX(Työkonekanta!$L$3:$L$30,MATCH($A367,Työkonekanta!$A$3:$A$30,0),1),0)*AF367</f>
        <v>0</v>
      </c>
      <c r="AF367" s="146">
        <f>IFERROR(INDEX(Työkonekanta!$N$3:$N$32,MATCH($A367,Työkonekanta!$A$3:$A$32,0),1),0)</f>
        <v>0</v>
      </c>
      <c r="AG367" s="332">
        <f>I367*INDEX(Muuttujat!$U$5:$U$21,MATCH($C367,Muuttujat!$N$5:$N$21,0),1)</f>
        <v>0</v>
      </c>
      <c r="AH367" s="332">
        <f>J367*INDEX(Muuttujat!$T$5:$T$21,MATCH($C367,Muuttujat!$N$5:$N$21,0),1)</f>
        <v>0</v>
      </c>
      <c r="AI367" s="332">
        <f t="shared" si="116"/>
        <v>0</v>
      </c>
      <c r="AJ367" s="332">
        <f t="shared" si="117"/>
        <v>0</v>
      </c>
      <c r="AK367" s="332">
        <f t="shared" si="126"/>
        <v>0</v>
      </c>
      <c r="AL367" s="332">
        <f t="shared" si="118"/>
        <v>0</v>
      </c>
    </row>
    <row r="368" spans="1:38">
      <c r="A368" s="139">
        <v>6</v>
      </c>
      <c r="B368" s="139">
        <f>IFERROR(INDEX(Työkonekanta!$F$3:$F$27,MATCH('S0b Baseline kasvu'!$A368,Työkonekanta!$A$3:$A$24,0),1),0)</f>
        <v>0</v>
      </c>
      <c r="C368" s="140">
        <v>2031</v>
      </c>
      <c r="D368" s="141" t="str">
        <f>IFERROR(INDEX(Työkonekanta!$D$3:$D$27,MATCH('S0b Baseline kasvu'!$A368,Työkonekanta!$A$3:$A$24,0),1),"undefined")</f>
        <v>sähkö</v>
      </c>
      <c r="E368" s="145">
        <f>IFERROR(INDEX(Työkonekanta!$G$3:$G$27,MATCH($A368,Työkonekanta!$A$3:$A$24,0),1)*INDEX(Työkonekanta!$H$3:$H$27,MATCH($A368,Työkonekanta!$A$3:$A$24,0),1)*(1+s0b_kasvu*($C368-2019))*$B368,0)</f>
        <v>0</v>
      </c>
      <c r="F368" s="145">
        <f t="shared" si="110"/>
        <v>0</v>
      </c>
      <c r="G368" s="145">
        <f t="shared" si="119"/>
        <v>0</v>
      </c>
      <c r="H368" s="145">
        <f t="shared" si="120"/>
        <v>0</v>
      </c>
      <c r="I368" s="145">
        <f t="shared" si="111"/>
        <v>0</v>
      </c>
      <c r="J368" s="145">
        <f t="shared" si="112"/>
        <v>0</v>
      </c>
      <c r="K368" s="142" t="str">
        <f t="shared" si="121"/>
        <v>kWh</v>
      </c>
      <c r="L368" s="146">
        <f>IFERROR(INDEX(Työkonekanta!$I$3:$I$27,MATCH('S0b Baseline kasvu'!$A368,Työkonekanta!$A$3:$A$24,0),1)*(I368+J368)*f_adblue,0)</f>
        <v>0</v>
      </c>
      <c r="M368" s="146">
        <f t="shared" si="127"/>
        <v>0</v>
      </c>
      <c r="N368" s="143" t="str">
        <f>IF(tuulisähkö_vuosi&lt;='S0b Baseline kasvu'!C368,"tuulisähkö",ostosähkö_nyt)</f>
        <v>jäännössähkö</v>
      </c>
      <c r="O368" s="147">
        <f>INDEX(Muuttujat!$J$5:$J$21,MATCH($C368,Muuttujat!$H$5:$H$21,0),1)</f>
        <v>61.379690186142746</v>
      </c>
      <c r="P368" s="342">
        <f>1-(INDEX(Muuttujat!$O$5:$O$21,MATCH($C368,Muuttujat!$N$5:$N$21,0),1))</f>
        <v>0.9</v>
      </c>
      <c r="Q368" s="342">
        <f>INDEX(Muuttujat!$O$5:$O$21,MATCH($C368,Muuttujat!$N$5:$N$21,0),1)</f>
        <v>0.1</v>
      </c>
      <c r="R368" s="148">
        <f>INDEX(Muuttujat!$P$5:$P$21,MATCH($C368,Muuttujat!$N$5:$N$21,0),1)</f>
        <v>0.10417875759940039</v>
      </c>
      <c r="S368" s="149">
        <f t="shared" si="113"/>
        <v>0</v>
      </c>
      <c r="T368" s="150">
        <f t="shared" si="114"/>
        <v>0</v>
      </c>
      <c r="U368" s="150">
        <f t="shared" si="115"/>
        <v>0</v>
      </c>
      <c r="V368" s="150">
        <f>IFERROR(INDEX(Työkonekanta!$J$3:$J$27,MATCH($A368,Työkonekanta!$A$3:$A$24,0),1)*$B368*ef_li_ion_akku/1000/1000/INDEX(Työkonekanta!$K$3:$K$27,MATCH($A368,Työkonekanta!$A$3:$A$24,0)),0)</f>
        <v>0</v>
      </c>
      <c r="W368" s="149">
        <f t="shared" si="128"/>
        <v>0</v>
      </c>
      <c r="X368" s="150">
        <f t="shared" si="129"/>
        <v>0</v>
      </c>
      <c r="Y368" s="151">
        <f t="shared" si="130"/>
        <v>0</v>
      </c>
      <c r="Z368" s="152">
        <f t="shared" si="122"/>
        <v>0</v>
      </c>
      <c r="AA368" s="179">
        <f t="shared" si="123"/>
        <v>0</v>
      </c>
      <c r="AB368" s="179">
        <f t="shared" si="124"/>
        <v>0</v>
      </c>
      <c r="AC368" s="180">
        <f t="shared" si="131"/>
        <v>0</v>
      </c>
      <c r="AD368" s="156">
        <f t="shared" si="125"/>
        <v>0</v>
      </c>
      <c r="AE368" s="146">
        <f>IFERROR(INDEX(Työkonekanta!$L$3:$L$30,MATCH($A368,Työkonekanta!$A$3:$A$30,0),1),0)*AF368</f>
        <v>0</v>
      </c>
      <c r="AF368" s="146">
        <f>IFERROR(INDEX(Työkonekanta!$N$3:$N$32,MATCH($A368,Työkonekanta!$A$3:$A$32,0),1),0)</f>
        <v>0</v>
      </c>
      <c r="AG368" s="332">
        <f>I368*INDEX(Muuttujat!$U$5:$U$21,MATCH($C368,Muuttujat!$N$5:$N$21,0),1)</f>
        <v>0</v>
      </c>
      <c r="AH368" s="332">
        <f>J368*INDEX(Muuttujat!$T$5:$T$21,MATCH($C368,Muuttujat!$N$5:$N$21,0),1)</f>
        <v>0</v>
      </c>
      <c r="AI368" s="332">
        <f t="shared" si="116"/>
        <v>0</v>
      </c>
      <c r="AJ368" s="332">
        <f t="shared" si="117"/>
        <v>0</v>
      </c>
      <c r="AK368" s="332">
        <f t="shared" si="126"/>
        <v>0</v>
      </c>
      <c r="AL368" s="332">
        <f t="shared" si="118"/>
        <v>0</v>
      </c>
    </row>
    <row r="369" spans="1:38">
      <c r="A369" s="139">
        <v>7</v>
      </c>
      <c r="B369" s="139">
        <f>IFERROR(INDEX(Työkonekanta!$F$3:$F$27,MATCH('S0b Baseline kasvu'!$A369,Työkonekanta!$A$3:$A$24,0),1),0)</f>
        <v>1</v>
      </c>
      <c r="C369" s="140">
        <v>2031</v>
      </c>
      <c r="D369" s="141" t="str">
        <f>IFERROR(INDEX(Työkonekanta!$D$3:$D$27,MATCH('S0b Baseline kasvu'!$A369,Työkonekanta!$A$3:$A$24,0),1),"undefined")</f>
        <v>pom</v>
      </c>
      <c r="E369" s="145">
        <f>IFERROR(INDEX(Työkonekanta!$G$3:$G$27,MATCH($A369,Työkonekanta!$A$3:$A$24,0),1)*INDEX(Työkonekanta!$H$3:$H$27,MATCH($A369,Työkonekanta!$A$3:$A$24,0),1)*(1+s0b_kasvu*($C369-2019))*$B369,0)</f>
        <v>11200.000000000002</v>
      </c>
      <c r="F369" s="145">
        <f t="shared" si="110"/>
        <v>402080.00000000006</v>
      </c>
      <c r="G369" s="145">
        <f t="shared" si="119"/>
        <v>361872.00000000006</v>
      </c>
      <c r="H369" s="145">
        <f t="shared" si="120"/>
        <v>40208.000000000007</v>
      </c>
      <c r="I369" s="145">
        <f t="shared" si="111"/>
        <v>10080.000000000002</v>
      </c>
      <c r="J369" s="145">
        <f t="shared" si="112"/>
        <v>1172.2448979591841</v>
      </c>
      <c r="K369" s="142" t="str">
        <f t="shared" si="121"/>
        <v>l</v>
      </c>
      <c r="L369" s="146">
        <f>IFERROR(INDEX(Työkonekanta!$I$3:$I$27,MATCH('S0b Baseline kasvu'!$A369,Työkonekanta!$A$3:$A$24,0),1)*(I369+J369)*f_adblue,0)</f>
        <v>0</v>
      </c>
      <c r="M369" s="146">
        <f t="shared" si="127"/>
        <v>0</v>
      </c>
      <c r="N369" s="143" t="str">
        <f>IF(tuulisähkö_vuosi&lt;='S0b Baseline kasvu'!C369,"tuulisähkö",ostosähkö_nyt)</f>
        <v>jäännössähkö</v>
      </c>
      <c r="O369" s="147">
        <f>INDEX(Muuttujat!$J$5:$J$21,MATCH($C369,Muuttujat!$H$5:$H$21,0),1)</f>
        <v>61.379690186142746</v>
      </c>
      <c r="P369" s="342">
        <f>1-(INDEX(Muuttujat!$O$5:$O$21,MATCH($C369,Muuttujat!$N$5:$N$21,0),1))</f>
        <v>0.9</v>
      </c>
      <c r="Q369" s="342">
        <f>INDEX(Muuttujat!$O$5:$O$21,MATCH($C369,Muuttujat!$N$5:$N$21,0),1)</f>
        <v>0.1</v>
      </c>
      <c r="R369" s="148">
        <f>INDEX(Muuttujat!$P$5:$P$21,MATCH($C369,Muuttujat!$N$5:$N$21,0),1)</f>
        <v>0.10417875759940039</v>
      </c>
      <c r="S369" s="149">
        <f t="shared" si="113"/>
        <v>6.8393808000000007</v>
      </c>
      <c r="T369" s="150">
        <f t="shared" si="114"/>
        <v>2.5089792000000002</v>
      </c>
      <c r="U369" s="150">
        <f t="shared" si="115"/>
        <v>0</v>
      </c>
      <c r="V369" s="150">
        <f>IFERROR(INDEX(Työkonekanta!$J$3:$J$27,MATCH($A369,Työkonekanta!$A$3:$A$24,0),1)*$B369*ef_li_ion_akku/1000/1000/INDEX(Työkonekanta!$K$3:$K$27,MATCH($A369,Työkonekanta!$A$3:$A$24,0)),0)</f>
        <v>0</v>
      </c>
      <c r="W369" s="149">
        <f t="shared" si="128"/>
        <v>26.709140592288009</v>
      </c>
      <c r="X369" s="150">
        <f t="shared" si="129"/>
        <v>0.35587513920000002</v>
      </c>
      <c r="Y369" s="151">
        <f t="shared" si="130"/>
        <v>0</v>
      </c>
      <c r="Z369" s="152">
        <f t="shared" si="122"/>
        <v>9.3483600000000013</v>
      </c>
      <c r="AA369" s="179">
        <f t="shared" si="123"/>
        <v>26.709140592288009</v>
      </c>
      <c r="AB369" s="179">
        <f t="shared" si="124"/>
        <v>27.065015731488007</v>
      </c>
      <c r="AC369" s="180">
        <f t="shared" si="131"/>
        <v>36.057500592288008</v>
      </c>
      <c r="AD369" s="156">
        <f t="shared" si="125"/>
        <v>36.41337573148801</v>
      </c>
      <c r="AE369" s="146">
        <f>IFERROR(INDEX(Työkonekanta!$L$3:$L$30,MATCH($A369,Työkonekanta!$A$3:$A$30,0),1),0)*AF369</f>
        <v>500000</v>
      </c>
      <c r="AF369" s="146">
        <f>IFERROR(INDEX(Työkonekanta!$N$3:$N$32,MATCH($A369,Työkonekanta!$A$3:$A$32,0),1),0)</f>
        <v>1</v>
      </c>
      <c r="AG369" s="332">
        <f>I369*INDEX(Muuttujat!$U$5:$U$21,MATCH($C369,Muuttujat!$N$5:$N$21,0),1)</f>
        <v>10584.000000000002</v>
      </c>
      <c r="AH369" s="332">
        <f>J369*INDEX(Muuttujat!$T$5:$T$21,MATCH($C369,Muuttujat!$N$5:$N$21,0),1)</f>
        <v>1699.7551020408171</v>
      </c>
      <c r="AI369" s="332">
        <f t="shared" si="116"/>
        <v>0</v>
      </c>
      <c r="AJ369" s="332">
        <f t="shared" si="117"/>
        <v>0</v>
      </c>
      <c r="AK369" s="332">
        <f t="shared" si="126"/>
        <v>12283.755102040819</v>
      </c>
      <c r="AL369" s="332">
        <f t="shared" si="118"/>
        <v>12283.755102040819</v>
      </c>
    </row>
    <row r="370" spans="1:38">
      <c r="A370" s="139">
        <v>8</v>
      </c>
      <c r="B370" s="139">
        <f>IFERROR(INDEX(Työkonekanta!$F$3:$F$27,MATCH('S0b Baseline kasvu'!$A370,Työkonekanta!$A$3:$A$24,0),1),0)</f>
        <v>1</v>
      </c>
      <c r="C370" s="140">
        <v>2031</v>
      </c>
      <c r="D370" s="141" t="str">
        <f>IFERROR(INDEX(Työkonekanta!$D$3:$D$27,MATCH('S0b Baseline kasvu'!$A370,Työkonekanta!$A$3:$A$24,0),1),"undefined")</f>
        <v>pom</v>
      </c>
      <c r="E370" s="145">
        <f>IFERROR(INDEX(Työkonekanta!$G$3:$G$27,MATCH($A370,Työkonekanta!$A$3:$A$24,0),1)*INDEX(Työkonekanta!$H$3:$H$27,MATCH($A370,Työkonekanta!$A$3:$A$24,0),1)*(1+s0b_kasvu*($C370-2019))*$B370,0)</f>
        <v>11200.000000000002</v>
      </c>
      <c r="F370" s="145">
        <f t="shared" si="110"/>
        <v>402080.00000000006</v>
      </c>
      <c r="G370" s="145">
        <f t="shared" si="119"/>
        <v>361872.00000000006</v>
      </c>
      <c r="H370" s="145">
        <f t="shared" si="120"/>
        <v>40208.000000000007</v>
      </c>
      <c r="I370" s="145">
        <f t="shared" si="111"/>
        <v>10080.000000000002</v>
      </c>
      <c r="J370" s="145">
        <f t="shared" si="112"/>
        <v>1172.2448979591841</v>
      </c>
      <c r="K370" s="142" t="str">
        <f t="shared" si="121"/>
        <v>l</v>
      </c>
      <c r="L370" s="146">
        <f>IFERROR(INDEX(Työkonekanta!$I$3:$I$27,MATCH('S0b Baseline kasvu'!$A370,Työkonekanta!$A$3:$A$24,0),1)*(I370+J370)*f_adblue,0)</f>
        <v>562.61224489795939</v>
      </c>
      <c r="M370" s="146">
        <f t="shared" si="127"/>
        <v>0</v>
      </c>
      <c r="N370" s="143" t="str">
        <f>IF(tuulisähkö_vuosi&lt;='S0b Baseline kasvu'!C370,"tuulisähkö",ostosähkö_nyt)</f>
        <v>jäännössähkö</v>
      </c>
      <c r="O370" s="147">
        <f>INDEX(Muuttujat!$J$5:$J$21,MATCH($C370,Muuttujat!$H$5:$H$21,0),1)</f>
        <v>61.379690186142746</v>
      </c>
      <c r="P370" s="342">
        <f>1-(INDEX(Muuttujat!$O$5:$O$21,MATCH($C370,Muuttujat!$N$5:$N$21,0),1))</f>
        <v>0.9</v>
      </c>
      <c r="Q370" s="342">
        <f>INDEX(Muuttujat!$O$5:$O$21,MATCH($C370,Muuttujat!$N$5:$N$21,0),1)</f>
        <v>0.1</v>
      </c>
      <c r="R370" s="148">
        <f>INDEX(Muuttujat!$P$5:$P$21,MATCH($C370,Muuttujat!$N$5:$N$21,0),1)</f>
        <v>0.10417875759940039</v>
      </c>
      <c r="S370" s="149">
        <f t="shared" si="113"/>
        <v>6.8393808000000007</v>
      </c>
      <c r="T370" s="150">
        <f t="shared" si="114"/>
        <v>2.5089792000000002</v>
      </c>
      <c r="U370" s="150">
        <f t="shared" si="115"/>
        <v>0</v>
      </c>
      <c r="V370" s="150">
        <f>IFERROR(INDEX(Työkonekanta!$J$3:$J$27,MATCH($A370,Työkonekanta!$A$3:$A$24,0),1)*$B370*ef_li_ion_akku/1000/1000/INDEX(Työkonekanta!$K$3:$K$27,MATCH($A370,Työkonekanta!$A$3:$A$24,0)),0)</f>
        <v>0</v>
      </c>
      <c r="W370" s="149">
        <f t="shared" si="128"/>
        <v>26.709140592288009</v>
      </c>
      <c r="X370" s="150">
        <f t="shared" si="129"/>
        <v>0.35587513920000002</v>
      </c>
      <c r="Y370" s="151">
        <f t="shared" si="130"/>
        <v>0.14627918367346945</v>
      </c>
      <c r="Z370" s="152">
        <f t="shared" si="122"/>
        <v>9.3483600000000013</v>
      </c>
      <c r="AA370" s="179">
        <f t="shared" si="123"/>
        <v>26.855419775961479</v>
      </c>
      <c r="AB370" s="179">
        <f t="shared" si="124"/>
        <v>27.211294915161478</v>
      </c>
      <c r="AC370" s="180">
        <f t="shared" si="131"/>
        <v>36.203779775961479</v>
      </c>
      <c r="AD370" s="156">
        <f t="shared" si="125"/>
        <v>36.559654915161481</v>
      </c>
      <c r="AE370" s="146">
        <f>IFERROR(INDEX(Työkonekanta!$L$3:$L$30,MATCH($A370,Työkonekanta!$A$3:$A$30,0),1),0)*AF370</f>
        <v>500000</v>
      </c>
      <c r="AF370" s="146">
        <f>IFERROR(INDEX(Työkonekanta!$N$3:$N$32,MATCH($A370,Työkonekanta!$A$3:$A$32,0),1),0)</f>
        <v>1</v>
      </c>
      <c r="AG370" s="332">
        <f>I370*INDEX(Muuttujat!$U$5:$U$21,MATCH($C370,Muuttujat!$N$5:$N$21,0),1)</f>
        <v>10584.000000000002</v>
      </c>
      <c r="AH370" s="332">
        <f>J370*INDEX(Muuttujat!$T$5:$T$21,MATCH($C370,Muuttujat!$N$5:$N$21,0),1)</f>
        <v>1699.7551020408171</v>
      </c>
      <c r="AI370" s="332">
        <f t="shared" si="116"/>
        <v>281.30612244897969</v>
      </c>
      <c r="AJ370" s="332">
        <f t="shared" si="117"/>
        <v>0</v>
      </c>
      <c r="AK370" s="332">
        <f t="shared" si="126"/>
        <v>12565.061224489798</v>
      </c>
      <c r="AL370" s="332">
        <f t="shared" si="118"/>
        <v>12565.061224489798</v>
      </c>
    </row>
    <row r="371" spans="1:38">
      <c r="A371" s="139">
        <v>9</v>
      </c>
      <c r="B371" s="139">
        <f>IFERROR(INDEX(Työkonekanta!$F$3:$F$27,MATCH('S0b Baseline kasvu'!$A371,Työkonekanta!$A$3:$A$24,0),1),0)</f>
        <v>0</v>
      </c>
      <c r="C371" s="140">
        <v>2031</v>
      </c>
      <c r="D371" s="141" t="str">
        <f>IFERROR(INDEX(Työkonekanta!$D$3:$D$27,MATCH('S0b Baseline kasvu'!$A371,Työkonekanta!$A$3:$A$24,0),1),"undefined")</f>
        <v>sähkö</v>
      </c>
      <c r="E371" s="145">
        <f>IFERROR(INDEX(Työkonekanta!$G$3:$G$27,MATCH($A371,Työkonekanta!$A$3:$A$24,0),1)*INDEX(Työkonekanta!$H$3:$H$27,MATCH($A371,Työkonekanta!$A$3:$A$24,0),1)*(1+s0b_kasvu*($C371-2019))*$B371,0)</f>
        <v>0</v>
      </c>
      <c r="F371" s="145">
        <f t="shared" si="110"/>
        <v>0</v>
      </c>
      <c r="G371" s="145">
        <f t="shared" si="119"/>
        <v>0</v>
      </c>
      <c r="H371" s="145">
        <f t="shared" si="120"/>
        <v>0</v>
      </c>
      <c r="I371" s="145">
        <f t="shared" si="111"/>
        <v>0</v>
      </c>
      <c r="J371" s="145">
        <f t="shared" si="112"/>
        <v>0</v>
      </c>
      <c r="K371" s="142" t="str">
        <f t="shared" si="121"/>
        <v>kWh</v>
      </c>
      <c r="L371" s="146">
        <f>IFERROR(INDEX(Työkonekanta!$I$3:$I$27,MATCH('S0b Baseline kasvu'!$A371,Työkonekanta!$A$3:$A$24,0),1)*(I371+J371)*f_adblue,0)</f>
        <v>0</v>
      </c>
      <c r="M371" s="146">
        <f t="shared" si="127"/>
        <v>0</v>
      </c>
      <c r="N371" s="143" t="str">
        <f>IF(tuulisähkö_vuosi&lt;='S0b Baseline kasvu'!C371,"tuulisähkö",ostosähkö_nyt)</f>
        <v>jäännössähkö</v>
      </c>
      <c r="O371" s="147">
        <f>INDEX(Muuttujat!$J$5:$J$21,MATCH($C371,Muuttujat!$H$5:$H$21,0),1)</f>
        <v>61.379690186142746</v>
      </c>
      <c r="P371" s="342">
        <f>1-(INDEX(Muuttujat!$O$5:$O$21,MATCH($C371,Muuttujat!$N$5:$N$21,0),1))</f>
        <v>0.9</v>
      </c>
      <c r="Q371" s="342">
        <f>INDEX(Muuttujat!$O$5:$O$21,MATCH($C371,Muuttujat!$N$5:$N$21,0),1)</f>
        <v>0.1</v>
      </c>
      <c r="R371" s="148">
        <f>INDEX(Muuttujat!$P$5:$P$21,MATCH($C371,Muuttujat!$N$5:$N$21,0),1)</f>
        <v>0.10417875759940039</v>
      </c>
      <c r="S371" s="149">
        <f t="shared" si="113"/>
        <v>0</v>
      </c>
      <c r="T371" s="150">
        <f t="shared" si="114"/>
        <v>0</v>
      </c>
      <c r="U371" s="150">
        <f t="shared" si="115"/>
        <v>0</v>
      </c>
      <c r="V371" s="150">
        <f>IFERROR(INDEX(Työkonekanta!$J$3:$J$27,MATCH($A371,Työkonekanta!$A$3:$A$24,0),1)*$B371*ef_li_ion_akku/1000/1000/INDEX(Työkonekanta!$K$3:$K$27,MATCH($A371,Työkonekanta!$A$3:$A$24,0)),0)</f>
        <v>0</v>
      </c>
      <c r="W371" s="149">
        <f t="shared" si="128"/>
        <v>0</v>
      </c>
      <c r="X371" s="150">
        <f t="shared" si="129"/>
        <v>0</v>
      </c>
      <c r="Y371" s="151">
        <f t="shared" si="130"/>
        <v>0</v>
      </c>
      <c r="Z371" s="152">
        <f t="shared" si="122"/>
        <v>0</v>
      </c>
      <c r="AA371" s="179">
        <f t="shared" si="123"/>
        <v>0</v>
      </c>
      <c r="AB371" s="179">
        <f t="shared" si="124"/>
        <v>0</v>
      </c>
      <c r="AC371" s="180">
        <f t="shared" si="131"/>
        <v>0</v>
      </c>
      <c r="AD371" s="156">
        <f t="shared" si="125"/>
        <v>0</v>
      </c>
      <c r="AE371" s="146">
        <f>IFERROR(INDEX(Työkonekanta!$L$3:$L$30,MATCH($A371,Työkonekanta!$A$3:$A$30,0),1),0)*AF371</f>
        <v>0</v>
      </c>
      <c r="AF371" s="146">
        <f>IFERROR(INDEX(Työkonekanta!$N$3:$N$32,MATCH($A371,Työkonekanta!$A$3:$A$32,0),1),0)</f>
        <v>0</v>
      </c>
      <c r="AG371" s="332">
        <f>I371*INDEX(Muuttujat!$U$5:$U$21,MATCH($C371,Muuttujat!$N$5:$N$21,0),1)</f>
        <v>0</v>
      </c>
      <c r="AH371" s="332">
        <f>J371*INDEX(Muuttujat!$T$5:$T$21,MATCH($C371,Muuttujat!$N$5:$N$21,0),1)</f>
        <v>0</v>
      </c>
      <c r="AI371" s="332">
        <f t="shared" si="116"/>
        <v>0</v>
      </c>
      <c r="AJ371" s="332">
        <f t="shared" si="117"/>
        <v>0</v>
      </c>
      <c r="AK371" s="332">
        <f t="shared" si="126"/>
        <v>0</v>
      </c>
      <c r="AL371" s="332">
        <f t="shared" si="118"/>
        <v>0</v>
      </c>
    </row>
    <row r="372" spans="1:38">
      <c r="A372" s="139">
        <v>10</v>
      </c>
      <c r="B372" s="139">
        <f>IFERROR(INDEX(Työkonekanta!$F$3:$F$27,MATCH('S0b Baseline kasvu'!$A372,Työkonekanta!$A$3:$A$24,0),1),0)</f>
        <v>0</v>
      </c>
      <c r="C372" s="140">
        <v>2031</v>
      </c>
      <c r="D372" s="141" t="str">
        <f>IFERROR(INDEX(Työkonekanta!$D$3:$D$27,MATCH('S0b Baseline kasvu'!$A372,Työkonekanta!$A$3:$A$24,0),1),"undefined")</f>
        <v>sähkö</v>
      </c>
      <c r="E372" s="145">
        <f>IFERROR(INDEX(Työkonekanta!$G$3:$G$27,MATCH($A372,Työkonekanta!$A$3:$A$24,0),1)*INDEX(Työkonekanta!$H$3:$H$27,MATCH($A372,Työkonekanta!$A$3:$A$24,0),1)*(1+s0b_kasvu*($C372-2019))*$B372,0)</f>
        <v>0</v>
      </c>
      <c r="F372" s="145">
        <f t="shared" si="110"/>
        <v>0</v>
      </c>
      <c r="G372" s="145">
        <f t="shared" si="119"/>
        <v>0</v>
      </c>
      <c r="H372" s="145">
        <f t="shared" si="120"/>
        <v>0</v>
      </c>
      <c r="I372" s="145">
        <f t="shared" si="111"/>
        <v>0</v>
      </c>
      <c r="J372" s="145">
        <f t="shared" si="112"/>
        <v>0</v>
      </c>
      <c r="K372" s="142" t="str">
        <f t="shared" si="121"/>
        <v>kWh</v>
      </c>
      <c r="L372" s="146">
        <f>IFERROR(INDEX(Työkonekanta!$I$3:$I$27,MATCH('S0b Baseline kasvu'!$A372,Työkonekanta!$A$3:$A$24,0),1)*(I372+J372)*f_adblue,0)</f>
        <v>0</v>
      </c>
      <c r="M372" s="146">
        <f t="shared" si="127"/>
        <v>0</v>
      </c>
      <c r="N372" s="143" t="str">
        <f>IF(tuulisähkö_vuosi&lt;='S0b Baseline kasvu'!C372,"tuulisähkö",ostosähkö_nyt)</f>
        <v>jäännössähkö</v>
      </c>
      <c r="O372" s="147">
        <f>INDEX(Muuttujat!$J$5:$J$21,MATCH($C372,Muuttujat!$H$5:$H$21,0),1)</f>
        <v>61.379690186142746</v>
      </c>
      <c r="P372" s="342">
        <f>1-(INDEX(Muuttujat!$O$5:$O$21,MATCH($C372,Muuttujat!$N$5:$N$21,0),1))</f>
        <v>0.9</v>
      </c>
      <c r="Q372" s="342">
        <f>INDEX(Muuttujat!$O$5:$O$21,MATCH($C372,Muuttujat!$N$5:$N$21,0),1)</f>
        <v>0.1</v>
      </c>
      <c r="R372" s="148">
        <f>INDEX(Muuttujat!$P$5:$P$21,MATCH($C372,Muuttujat!$N$5:$N$21,0),1)</f>
        <v>0.10417875759940039</v>
      </c>
      <c r="S372" s="149">
        <f t="shared" si="113"/>
        <v>0</v>
      </c>
      <c r="T372" s="150">
        <f t="shared" si="114"/>
        <v>0</v>
      </c>
      <c r="U372" s="150">
        <f t="shared" si="115"/>
        <v>0</v>
      </c>
      <c r="V372" s="150">
        <f>IFERROR(INDEX(Työkonekanta!$J$3:$J$27,MATCH($A372,Työkonekanta!$A$3:$A$24,0),1)*$B372*ef_li_ion_akku/1000/1000/INDEX(Työkonekanta!$K$3:$K$27,MATCH($A372,Työkonekanta!$A$3:$A$24,0)),0)</f>
        <v>0</v>
      </c>
      <c r="W372" s="149">
        <f t="shared" si="128"/>
        <v>0</v>
      </c>
      <c r="X372" s="150">
        <f t="shared" si="129"/>
        <v>0</v>
      </c>
      <c r="Y372" s="151">
        <f t="shared" si="130"/>
        <v>0</v>
      </c>
      <c r="Z372" s="152">
        <f t="shared" si="122"/>
        <v>0</v>
      </c>
      <c r="AA372" s="179">
        <f t="shared" si="123"/>
        <v>0</v>
      </c>
      <c r="AB372" s="179">
        <f t="shared" si="124"/>
        <v>0</v>
      </c>
      <c r="AC372" s="180">
        <f t="shared" si="131"/>
        <v>0</v>
      </c>
      <c r="AD372" s="156">
        <f t="shared" si="125"/>
        <v>0</v>
      </c>
      <c r="AE372" s="146">
        <f>IFERROR(INDEX(Työkonekanta!$L$3:$L$30,MATCH($A372,Työkonekanta!$A$3:$A$30,0),1),0)*AF372</f>
        <v>0</v>
      </c>
      <c r="AF372" s="146">
        <f>IFERROR(INDEX(Työkonekanta!$N$3:$N$32,MATCH($A372,Työkonekanta!$A$3:$A$32,0),1),0)</f>
        <v>0</v>
      </c>
      <c r="AG372" s="332">
        <f>I372*INDEX(Muuttujat!$U$5:$U$21,MATCH($C372,Muuttujat!$N$5:$N$21,0),1)</f>
        <v>0</v>
      </c>
      <c r="AH372" s="332">
        <f>J372*INDEX(Muuttujat!$T$5:$T$21,MATCH($C372,Muuttujat!$N$5:$N$21,0),1)</f>
        <v>0</v>
      </c>
      <c r="AI372" s="332">
        <f t="shared" si="116"/>
        <v>0</v>
      </c>
      <c r="AJ372" s="332">
        <f t="shared" si="117"/>
        <v>0</v>
      </c>
      <c r="AK372" s="332">
        <f t="shared" si="126"/>
        <v>0</v>
      </c>
      <c r="AL372" s="332">
        <f t="shared" si="118"/>
        <v>0</v>
      </c>
    </row>
    <row r="373" spans="1:38">
      <c r="A373" s="139">
        <v>11</v>
      </c>
      <c r="B373" s="139">
        <f>IFERROR(INDEX(Työkonekanta!$F$3:$F$27,MATCH('S0b Baseline kasvu'!$A373,Työkonekanta!$A$3:$A$24,0),1),0)</f>
        <v>1</v>
      </c>
      <c r="C373" s="140">
        <v>2031</v>
      </c>
      <c r="D373" s="141" t="str">
        <f>IFERROR(INDEX(Työkonekanta!$D$3:$D$27,MATCH('S0b Baseline kasvu'!$A373,Työkonekanta!$A$3:$A$24,0),1),"undefined")</f>
        <v>pom</v>
      </c>
      <c r="E373" s="145">
        <f>IFERROR(INDEX(Työkonekanta!$G$3:$G$27,MATCH($A373,Työkonekanta!$A$3:$A$24,0),1)*INDEX(Työkonekanta!$H$3:$H$27,MATCH($A373,Työkonekanta!$A$3:$A$24,0),1)*(1+s0b_kasvu*($C373-2019))*$B373,0)</f>
        <v>11200.000000000002</v>
      </c>
      <c r="F373" s="145">
        <f t="shared" si="110"/>
        <v>402080.00000000006</v>
      </c>
      <c r="G373" s="145">
        <f t="shared" si="119"/>
        <v>361872.00000000006</v>
      </c>
      <c r="H373" s="145">
        <f t="shared" si="120"/>
        <v>40208.000000000007</v>
      </c>
      <c r="I373" s="145">
        <f t="shared" si="111"/>
        <v>10080.000000000002</v>
      </c>
      <c r="J373" s="145">
        <f t="shared" si="112"/>
        <v>1172.2448979591841</v>
      </c>
      <c r="K373" s="142" t="str">
        <f t="shared" si="121"/>
        <v>l</v>
      </c>
      <c r="L373" s="146">
        <f>IFERROR(INDEX(Työkonekanta!$I$3:$I$27,MATCH('S0b Baseline kasvu'!$A373,Työkonekanta!$A$3:$A$24,0),1)*(I373+J373)*f_adblue,0)</f>
        <v>562.61224489795939</v>
      </c>
      <c r="M373" s="146">
        <f t="shared" si="127"/>
        <v>0</v>
      </c>
      <c r="N373" s="143" t="str">
        <f>IF(tuulisähkö_vuosi&lt;='S0b Baseline kasvu'!C373,"tuulisähkö",ostosähkö_nyt)</f>
        <v>jäännössähkö</v>
      </c>
      <c r="O373" s="147">
        <f>INDEX(Muuttujat!$J$5:$J$21,MATCH($C373,Muuttujat!$H$5:$H$21,0),1)</f>
        <v>61.379690186142746</v>
      </c>
      <c r="P373" s="342">
        <f>1-(INDEX(Muuttujat!$O$5:$O$21,MATCH($C373,Muuttujat!$N$5:$N$21,0),1))</f>
        <v>0.9</v>
      </c>
      <c r="Q373" s="342">
        <f>INDEX(Muuttujat!$O$5:$O$21,MATCH($C373,Muuttujat!$N$5:$N$21,0),1)</f>
        <v>0.1</v>
      </c>
      <c r="R373" s="148">
        <f>INDEX(Muuttujat!$P$5:$P$21,MATCH($C373,Muuttujat!$N$5:$N$21,0),1)</f>
        <v>0.10417875759940039</v>
      </c>
      <c r="S373" s="149">
        <f t="shared" si="113"/>
        <v>6.8393808000000007</v>
      </c>
      <c r="T373" s="150">
        <f t="shared" si="114"/>
        <v>2.5089792000000002</v>
      </c>
      <c r="U373" s="150">
        <f t="shared" si="115"/>
        <v>0</v>
      </c>
      <c r="V373" s="150">
        <f>IFERROR(INDEX(Työkonekanta!$J$3:$J$27,MATCH($A373,Työkonekanta!$A$3:$A$24,0),1)*$B373*ef_li_ion_akku/1000/1000/INDEX(Työkonekanta!$K$3:$K$27,MATCH($A373,Työkonekanta!$A$3:$A$24,0)),0)</f>
        <v>0</v>
      </c>
      <c r="W373" s="149">
        <f t="shared" si="128"/>
        <v>26.709140592288009</v>
      </c>
      <c r="X373" s="150">
        <f t="shared" si="129"/>
        <v>0.35587513920000002</v>
      </c>
      <c r="Y373" s="151">
        <f t="shared" si="130"/>
        <v>0.14627918367346945</v>
      </c>
      <c r="Z373" s="152">
        <f t="shared" si="122"/>
        <v>9.3483600000000013</v>
      </c>
      <c r="AA373" s="179">
        <f t="shared" si="123"/>
        <v>26.855419775961479</v>
      </c>
      <c r="AB373" s="179">
        <f t="shared" si="124"/>
        <v>27.211294915161478</v>
      </c>
      <c r="AC373" s="180">
        <f t="shared" si="131"/>
        <v>36.203779775961479</v>
      </c>
      <c r="AD373" s="156">
        <f t="shared" si="125"/>
        <v>36.559654915161481</v>
      </c>
      <c r="AE373" s="146">
        <f>IFERROR(INDEX(Työkonekanta!$L$3:$L$30,MATCH($A373,Työkonekanta!$A$3:$A$30,0),1),0)*AF373</f>
        <v>500000</v>
      </c>
      <c r="AF373" s="146">
        <f>IFERROR(INDEX(Työkonekanta!$N$3:$N$32,MATCH($A373,Työkonekanta!$A$3:$A$32,0),1),0)</f>
        <v>1</v>
      </c>
      <c r="AG373" s="332">
        <f>I373*INDEX(Muuttujat!$U$5:$U$21,MATCH($C373,Muuttujat!$N$5:$N$21,0),1)</f>
        <v>10584.000000000002</v>
      </c>
      <c r="AH373" s="332">
        <f>J373*INDEX(Muuttujat!$T$5:$T$21,MATCH($C373,Muuttujat!$N$5:$N$21,0),1)</f>
        <v>1699.7551020408171</v>
      </c>
      <c r="AI373" s="332">
        <f t="shared" si="116"/>
        <v>281.30612244897969</v>
      </c>
      <c r="AJ373" s="332">
        <f t="shared" si="117"/>
        <v>0</v>
      </c>
      <c r="AK373" s="332">
        <f t="shared" si="126"/>
        <v>12565.061224489798</v>
      </c>
      <c r="AL373" s="332">
        <f t="shared" si="118"/>
        <v>12565.061224489798</v>
      </c>
    </row>
    <row r="374" spans="1:38">
      <c r="A374" s="139">
        <v>12</v>
      </c>
      <c r="B374" s="139">
        <f>IFERROR(INDEX(Työkonekanta!$F$3:$F$27,MATCH('S0b Baseline kasvu'!$A374,Työkonekanta!$A$3:$A$24,0),1),0)</f>
        <v>1</v>
      </c>
      <c r="C374" s="140">
        <v>2031</v>
      </c>
      <c r="D374" s="141" t="str">
        <f>IFERROR(INDEX(Työkonekanta!$D$3:$D$27,MATCH('S0b Baseline kasvu'!$A374,Työkonekanta!$A$3:$A$24,0),1),"undefined")</f>
        <v>pom</v>
      </c>
      <c r="E374" s="145">
        <f>IFERROR(INDEX(Työkonekanta!$G$3:$G$27,MATCH($A374,Työkonekanta!$A$3:$A$24,0),1)*INDEX(Työkonekanta!$H$3:$H$27,MATCH($A374,Työkonekanta!$A$3:$A$24,0),1)*(1+s0b_kasvu*($C374-2019))*$B374,0)</f>
        <v>11200.000000000002</v>
      </c>
      <c r="F374" s="145">
        <f t="shared" si="110"/>
        <v>402080.00000000006</v>
      </c>
      <c r="G374" s="145">
        <f t="shared" si="119"/>
        <v>361872.00000000006</v>
      </c>
      <c r="H374" s="145">
        <f t="shared" si="120"/>
        <v>40208.000000000007</v>
      </c>
      <c r="I374" s="145">
        <f t="shared" si="111"/>
        <v>10080.000000000002</v>
      </c>
      <c r="J374" s="145">
        <f t="shared" si="112"/>
        <v>1172.2448979591841</v>
      </c>
      <c r="K374" s="142" t="str">
        <f t="shared" si="121"/>
        <v>l</v>
      </c>
      <c r="L374" s="146">
        <f>IFERROR(INDEX(Työkonekanta!$I$3:$I$27,MATCH('S0b Baseline kasvu'!$A374,Työkonekanta!$A$3:$A$24,0),1)*(I374+J374)*f_adblue,0)</f>
        <v>562.61224489795939</v>
      </c>
      <c r="M374" s="146">
        <f t="shared" si="127"/>
        <v>0</v>
      </c>
      <c r="N374" s="143" t="str">
        <f>IF(tuulisähkö_vuosi&lt;='S0b Baseline kasvu'!C374,"tuulisähkö",ostosähkö_nyt)</f>
        <v>jäännössähkö</v>
      </c>
      <c r="O374" s="147">
        <f>INDEX(Muuttujat!$J$5:$J$21,MATCH($C374,Muuttujat!$H$5:$H$21,0),1)</f>
        <v>61.379690186142746</v>
      </c>
      <c r="P374" s="342">
        <f>1-(INDEX(Muuttujat!$O$5:$O$21,MATCH($C374,Muuttujat!$N$5:$N$21,0),1))</f>
        <v>0.9</v>
      </c>
      <c r="Q374" s="342">
        <f>INDEX(Muuttujat!$O$5:$O$21,MATCH($C374,Muuttujat!$N$5:$N$21,0),1)</f>
        <v>0.1</v>
      </c>
      <c r="R374" s="148">
        <f>INDEX(Muuttujat!$P$5:$P$21,MATCH($C374,Muuttujat!$N$5:$N$21,0),1)</f>
        <v>0.10417875759940039</v>
      </c>
      <c r="S374" s="149">
        <f t="shared" si="113"/>
        <v>6.8393808000000007</v>
      </c>
      <c r="T374" s="150">
        <f t="shared" si="114"/>
        <v>2.5089792000000002</v>
      </c>
      <c r="U374" s="150">
        <f t="shared" si="115"/>
        <v>0</v>
      </c>
      <c r="V374" s="150">
        <f>IFERROR(INDEX(Työkonekanta!$J$3:$J$27,MATCH($A374,Työkonekanta!$A$3:$A$24,0),1)*$B374*ef_li_ion_akku/1000/1000/INDEX(Työkonekanta!$K$3:$K$27,MATCH($A374,Työkonekanta!$A$3:$A$24,0)),0)</f>
        <v>0</v>
      </c>
      <c r="W374" s="149">
        <f t="shared" si="128"/>
        <v>26.709140592288009</v>
      </c>
      <c r="X374" s="150">
        <f t="shared" si="129"/>
        <v>0.35587513920000002</v>
      </c>
      <c r="Y374" s="151">
        <f t="shared" si="130"/>
        <v>0.14627918367346945</v>
      </c>
      <c r="Z374" s="152">
        <f t="shared" si="122"/>
        <v>9.3483600000000013</v>
      </c>
      <c r="AA374" s="179">
        <f t="shared" si="123"/>
        <v>26.855419775961479</v>
      </c>
      <c r="AB374" s="179">
        <f t="shared" si="124"/>
        <v>27.211294915161478</v>
      </c>
      <c r="AC374" s="180">
        <f t="shared" si="131"/>
        <v>36.203779775961479</v>
      </c>
      <c r="AD374" s="156">
        <f t="shared" si="125"/>
        <v>36.559654915161481</v>
      </c>
      <c r="AE374" s="146">
        <f>IFERROR(INDEX(Työkonekanta!$L$3:$L$30,MATCH($A374,Työkonekanta!$A$3:$A$30,0),1),0)*AF374</f>
        <v>500000</v>
      </c>
      <c r="AF374" s="146">
        <f>IFERROR(INDEX(Työkonekanta!$N$3:$N$32,MATCH($A374,Työkonekanta!$A$3:$A$32,0),1),0)</f>
        <v>1</v>
      </c>
      <c r="AG374" s="332">
        <f>I374*INDEX(Muuttujat!$U$5:$U$21,MATCH($C374,Muuttujat!$N$5:$N$21,0),1)</f>
        <v>10584.000000000002</v>
      </c>
      <c r="AH374" s="332">
        <f>J374*INDEX(Muuttujat!$T$5:$T$21,MATCH($C374,Muuttujat!$N$5:$N$21,0),1)</f>
        <v>1699.7551020408171</v>
      </c>
      <c r="AI374" s="332">
        <f t="shared" si="116"/>
        <v>281.30612244897969</v>
      </c>
      <c r="AJ374" s="332">
        <f t="shared" si="117"/>
        <v>0</v>
      </c>
      <c r="AK374" s="332">
        <f t="shared" si="126"/>
        <v>12565.061224489798</v>
      </c>
      <c r="AL374" s="332">
        <f t="shared" si="118"/>
        <v>12565.061224489798</v>
      </c>
    </row>
    <row r="375" spans="1:38">
      <c r="A375" s="139">
        <v>13</v>
      </c>
      <c r="B375" s="139">
        <f>IFERROR(INDEX(Työkonekanta!$F$3:$F$27,MATCH('S0b Baseline kasvu'!$A375,Työkonekanta!$A$3:$A$24,0),1),0)</f>
        <v>0</v>
      </c>
      <c r="C375" s="140">
        <v>2031</v>
      </c>
      <c r="D375" s="141" t="str">
        <f>IFERROR(INDEX(Työkonekanta!$D$3:$D$27,MATCH('S0b Baseline kasvu'!$A375,Työkonekanta!$A$3:$A$24,0),1),"undefined")</f>
        <v>pom</v>
      </c>
      <c r="E375" s="145">
        <f>IFERROR(INDEX(Työkonekanta!$G$3:$G$27,MATCH($A375,Työkonekanta!$A$3:$A$24,0),1)*INDEX(Työkonekanta!$H$3:$H$27,MATCH($A375,Työkonekanta!$A$3:$A$24,0),1)*(1+s0b_kasvu*($C375-2019))*$B375,0)</f>
        <v>0</v>
      </c>
      <c r="F375" s="145">
        <f t="shared" si="110"/>
        <v>0</v>
      </c>
      <c r="G375" s="145">
        <f t="shared" si="119"/>
        <v>0</v>
      </c>
      <c r="H375" s="145">
        <f t="shared" si="120"/>
        <v>0</v>
      </c>
      <c r="I375" s="145">
        <f t="shared" si="111"/>
        <v>0</v>
      </c>
      <c r="J375" s="145">
        <f t="shared" si="112"/>
        <v>0</v>
      </c>
      <c r="K375" s="142" t="str">
        <f t="shared" si="121"/>
        <v>l</v>
      </c>
      <c r="L375" s="146">
        <f>IFERROR(INDEX(Työkonekanta!$I$3:$I$27,MATCH('S0b Baseline kasvu'!$A375,Työkonekanta!$A$3:$A$24,0),1)*(I375+J375)*f_adblue,0)</f>
        <v>0</v>
      </c>
      <c r="M375" s="146">
        <f t="shared" si="127"/>
        <v>0</v>
      </c>
      <c r="N375" s="143" t="str">
        <f>IF(tuulisähkö_vuosi&lt;='S0b Baseline kasvu'!C375,"tuulisähkö",ostosähkö_nyt)</f>
        <v>jäännössähkö</v>
      </c>
      <c r="O375" s="147">
        <f>INDEX(Muuttujat!$J$5:$J$21,MATCH($C375,Muuttujat!$H$5:$H$21,0),1)</f>
        <v>61.379690186142746</v>
      </c>
      <c r="P375" s="342">
        <f>1-(INDEX(Muuttujat!$O$5:$O$21,MATCH($C375,Muuttujat!$N$5:$N$21,0),1))</f>
        <v>0.9</v>
      </c>
      <c r="Q375" s="342">
        <f>INDEX(Muuttujat!$O$5:$O$21,MATCH($C375,Muuttujat!$N$5:$N$21,0),1)</f>
        <v>0.1</v>
      </c>
      <c r="R375" s="148">
        <f>INDEX(Muuttujat!$P$5:$P$21,MATCH($C375,Muuttujat!$N$5:$N$21,0),1)</f>
        <v>0.10417875759940039</v>
      </c>
      <c r="S375" s="149">
        <f t="shared" si="113"/>
        <v>0</v>
      </c>
      <c r="T375" s="150">
        <f t="shared" si="114"/>
        <v>0</v>
      </c>
      <c r="U375" s="150">
        <f t="shared" si="115"/>
        <v>0</v>
      </c>
      <c r="V375" s="150">
        <f>IFERROR(INDEX(Työkonekanta!$J$3:$J$27,MATCH($A375,Työkonekanta!$A$3:$A$24,0),1)*$B375*ef_li_ion_akku/1000/1000/INDEX(Työkonekanta!$K$3:$K$27,MATCH($A375,Työkonekanta!$A$3:$A$24,0)),0)</f>
        <v>0</v>
      </c>
      <c r="W375" s="149">
        <f t="shared" si="128"/>
        <v>0</v>
      </c>
      <c r="X375" s="150">
        <f t="shared" si="129"/>
        <v>0</v>
      </c>
      <c r="Y375" s="151">
        <f t="shared" si="130"/>
        <v>0</v>
      </c>
      <c r="Z375" s="152">
        <f t="shared" si="122"/>
        <v>0</v>
      </c>
      <c r="AA375" s="179">
        <f t="shared" si="123"/>
        <v>0</v>
      </c>
      <c r="AB375" s="179">
        <f t="shared" si="124"/>
        <v>0</v>
      </c>
      <c r="AC375" s="180">
        <f t="shared" si="131"/>
        <v>0</v>
      </c>
      <c r="AD375" s="156">
        <f t="shared" si="125"/>
        <v>0</v>
      </c>
      <c r="AE375" s="146">
        <f>IFERROR(INDEX(Työkonekanta!$L$3:$L$30,MATCH($A375,Työkonekanta!$A$3:$A$30,0),1),0)*AF375</f>
        <v>0</v>
      </c>
      <c r="AF375" s="146">
        <f>IFERROR(INDEX(Työkonekanta!$N$3:$N$32,MATCH($A375,Työkonekanta!$A$3:$A$32,0),1),0)</f>
        <v>0</v>
      </c>
      <c r="AG375" s="332">
        <f>I375*INDEX(Muuttujat!$U$5:$U$21,MATCH($C375,Muuttujat!$N$5:$N$21,0),1)</f>
        <v>0</v>
      </c>
      <c r="AH375" s="332">
        <f>J375*INDEX(Muuttujat!$T$5:$T$21,MATCH($C375,Muuttujat!$N$5:$N$21,0),1)</f>
        <v>0</v>
      </c>
      <c r="AI375" s="332">
        <f t="shared" si="116"/>
        <v>0</v>
      </c>
      <c r="AJ375" s="332">
        <f t="shared" si="117"/>
        <v>0</v>
      </c>
      <c r="AK375" s="332">
        <f t="shared" si="126"/>
        <v>0</v>
      </c>
      <c r="AL375" s="332">
        <f t="shared" si="118"/>
        <v>0</v>
      </c>
    </row>
    <row r="376" spans="1:38">
      <c r="A376" s="139">
        <v>14</v>
      </c>
      <c r="B376" s="139">
        <f>IFERROR(INDEX(Työkonekanta!$F$3:$F$27,MATCH('S0b Baseline kasvu'!$A376,Työkonekanta!$A$3:$A$24,0),1),0)</f>
        <v>0</v>
      </c>
      <c r="C376" s="140">
        <v>2031</v>
      </c>
      <c r="D376" s="141" t="str">
        <f>IFERROR(INDEX(Työkonekanta!$D$3:$D$27,MATCH('S0b Baseline kasvu'!$A376,Työkonekanta!$A$3:$A$24,0),1),"undefined")</f>
        <v>pom</v>
      </c>
      <c r="E376" s="145">
        <f>IFERROR(INDEX(Työkonekanta!$G$3:$G$27,MATCH($A376,Työkonekanta!$A$3:$A$24,0),1)*INDEX(Työkonekanta!$H$3:$H$27,MATCH($A376,Työkonekanta!$A$3:$A$24,0),1)*(1+s0b_kasvu*($C376-2019))*$B376,0)</f>
        <v>0</v>
      </c>
      <c r="F376" s="145">
        <f t="shared" si="110"/>
        <v>0</v>
      </c>
      <c r="G376" s="145">
        <f t="shared" si="119"/>
        <v>0</v>
      </c>
      <c r="H376" s="145">
        <f t="shared" si="120"/>
        <v>0</v>
      </c>
      <c r="I376" s="145">
        <f t="shared" si="111"/>
        <v>0</v>
      </c>
      <c r="J376" s="145">
        <f t="shared" si="112"/>
        <v>0</v>
      </c>
      <c r="K376" s="142" t="str">
        <f t="shared" si="121"/>
        <v>l</v>
      </c>
      <c r="L376" s="146">
        <f>IFERROR(INDEX(Työkonekanta!$I$3:$I$27,MATCH('S0b Baseline kasvu'!$A376,Työkonekanta!$A$3:$A$24,0),1)*(I376+J376)*f_adblue,0)</f>
        <v>0</v>
      </c>
      <c r="M376" s="146">
        <f t="shared" si="127"/>
        <v>0</v>
      </c>
      <c r="N376" s="143" t="str">
        <f>IF(tuulisähkö_vuosi&lt;='S0b Baseline kasvu'!C376,"tuulisähkö",ostosähkö_nyt)</f>
        <v>jäännössähkö</v>
      </c>
      <c r="O376" s="147">
        <f>INDEX(Muuttujat!$J$5:$J$21,MATCH($C376,Muuttujat!$H$5:$H$21,0),1)</f>
        <v>61.379690186142746</v>
      </c>
      <c r="P376" s="342">
        <f>1-(INDEX(Muuttujat!$O$5:$O$21,MATCH($C376,Muuttujat!$N$5:$N$21,0),1))</f>
        <v>0.9</v>
      </c>
      <c r="Q376" s="342">
        <f>INDEX(Muuttujat!$O$5:$O$21,MATCH($C376,Muuttujat!$N$5:$N$21,0),1)</f>
        <v>0.1</v>
      </c>
      <c r="R376" s="148">
        <f>INDEX(Muuttujat!$P$5:$P$21,MATCH($C376,Muuttujat!$N$5:$N$21,0),1)</f>
        <v>0.10417875759940039</v>
      </c>
      <c r="S376" s="149">
        <f t="shared" si="113"/>
        <v>0</v>
      </c>
      <c r="T376" s="150">
        <f t="shared" si="114"/>
        <v>0</v>
      </c>
      <c r="U376" s="150">
        <f t="shared" si="115"/>
        <v>0</v>
      </c>
      <c r="V376" s="150">
        <f>IFERROR(INDEX(Työkonekanta!$J$3:$J$27,MATCH($A376,Työkonekanta!$A$3:$A$24,0),1)*$B376*ef_li_ion_akku/1000/1000/INDEX(Työkonekanta!$K$3:$K$27,MATCH($A376,Työkonekanta!$A$3:$A$24,0)),0)</f>
        <v>0</v>
      </c>
      <c r="W376" s="149">
        <f t="shared" si="128"/>
        <v>0</v>
      </c>
      <c r="X376" s="150">
        <f t="shared" si="129"/>
        <v>0</v>
      </c>
      <c r="Y376" s="151">
        <f t="shared" si="130"/>
        <v>0</v>
      </c>
      <c r="Z376" s="152">
        <f t="shared" si="122"/>
        <v>0</v>
      </c>
      <c r="AA376" s="179">
        <f t="shared" si="123"/>
        <v>0</v>
      </c>
      <c r="AB376" s="179">
        <f t="shared" si="124"/>
        <v>0</v>
      </c>
      <c r="AC376" s="180">
        <f t="shared" si="131"/>
        <v>0</v>
      </c>
      <c r="AD376" s="156">
        <f t="shared" si="125"/>
        <v>0</v>
      </c>
      <c r="AE376" s="146">
        <f>IFERROR(INDEX(Työkonekanta!$L$3:$L$30,MATCH($A376,Työkonekanta!$A$3:$A$30,0),1),0)*AF376</f>
        <v>0</v>
      </c>
      <c r="AF376" s="146">
        <f>IFERROR(INDEX(Työkonekanta!$N$3:$N$32,MATCH($A376,Työkonekanta!$A$3:$A$32,0),1),0)</f>
        <v>0</v>
      </c>
      <c r="AG376" s="332">
        <f>I376*INDEX(Muuttujat!$U$5:$U$21,MATCH($C376,Muuttujat!$N$5:$N$21,0),1)</f>
        <v>0</v>
      </c>
      <c r="AH376" s="332">
        <f>J376*INDEX(Muuttujat!$T$5:$T$21,MATCH($C376,Muuttujat!$N$5:$N$21,0),1)</f>
        <v>0</v>
      </c>
      <c r="AI376" s="332">
        <f t="shared" si="116"/>
        <v>0</v>
      </c>
      <c r="AJ376" s="332">
        <f t="shared" si="117"/>
        <v>0</v>
      </c>
      <c r="AK376" s="332">
        <f t="shared" si="126"/>
        <v>0</v>
      </c>
      <c r="AL376" s="332">
        <f t="shared" si="118"/>
        <v>0</v>
      </c>
    </row>
    <row r="377" spans="1:38">
      <c r="A377" s="139">
        <v>15</v>
      </c>
      <c r="B377" s="139">
        <f>IFERROR(INDEX(Työkonekanta!$F$3:$F$27,MATCH('S0b Baseline kasvu'!$A377,Työkonekanta!$A$3:$A$24,0),1),0)</f>
        <v>0</v>
      </c>
      <c r="C377" s="140">
        <v>2031</v>
      </c>
      <c r="D377" s="141" t="str">
        <f>IFERROR(INDEX(Työkonekanta!$D$3:$D$27,MATCH('S0b Baseline kasvu'!$A377,Työkonekanta!$A$3:$A$24,0),1),"undefined")</f>
        <v>sähkö</v>
      </c>
      <c r="E377" s="145">
        <f>IFERROR(INDEX(Työkonekanta!$G$3:$G$27,MATCH($A377,Työkonekanta!$A$3:$A$24,0),1)*INDEX(Työkonekanta!$H$3:$H$27,MATCH($A377,Työkonekanta!$A$3:$A$24,0),1)*(1+s0b_kasvu*($C377-2019))*$B377,0)</f>
        <v>0</v>
      </c>
      <c r="F377" s="145">
        <f t="shared" si="110"/>
        <v>0</v>
      </c>
      <c r="G377" s="145">
        <f t="shared" si="119"/>
        <v>0</v>
      </c>
      <c r="H377" s="145">
        <f t="shared" si="120"/>
        <v>0</v>
      </c>
      <c r="I377" s="145">
        <f t="shared" si="111"/>
        <v>0</v>
      </c>
      <c r="J377" s="145">
        <f t="shared" si="112"/>
        <v>0</v>
      </c>
      <c r="K377" s="142" t="str">
        <f t="shared" si="121"/>
        <v>kWh</v>
      </c>
      <c r="L377" s="146">
        <f>IFERROR(INDEX(Työkonekanta!$I$3:$I$27,MATCH('S0b Baseline kasvu'!$A377,Työkonekanta!$A$3:$A$24,0),1)*(I377+J377)*f_adblue,0)</f>
        <v>0</v>
      </c>
      <c r="M377" s="146">
        <f t="shared" si="127"/>
        <v>0</v>
      </c>
      <c r="N377" s="143" t="str">
        <f>IF(tuulisähkö_vuosi&lt;='S0b Baseline kasvu'!C377,"tuulisähkö",ostosähkö_nyt)</f>
        <v>jäännössähkö</v>
      </c>
      <c r="O377" s="147">
        <f>INDEX(Muuttujat!$J$5:$J$21,MATCH($C377,Muuttujat!$H$5:$H$21,0),1)</f>
        <v>61.379690186142746</v>
      </c>
      <c r="P377" s="342">
        <f>1-(INDEX(Muuttujat!$O$5:$O$21,MATCH($C377,Muuttujat!$N$5:$N$21,0),1))</f>
        <v>0.9</v>
      </c>
      <c r="Q377" s="342">
        <f>INDEX(Muuttujat!$O$5:$O$21,MATCH($C377,Muuttujat!$N$5:$N$21,0),1)</f>
        <v>0.1</v>
      </c>
      <c r="R377" s="148">
        <f>INDEX(Muuttujat!$P$5:$P$21,MATCH($C377,Muuttujat!$N$5:$N$21,0),1)</f>
        <v>0.10417875759940039</v>
      </c>
      <c r="S377" s="149">
        <f t="shared" si="113"/>
        <v>0</v>
      </c>
      <c r="T377" s="150">
        <f t="shared" si="114"/>
        <v>0</v>
      </c>
      <c r="U377" s="150">
        <f t="shared" si="115"/>
        <v>0</v>
      </c>
      <c r="V377" s="150">
        <f>IFERROR(INDEX(Työkonekanta!$J$3:$J$27,MATCH($A377,Työkonekanta!$A$3:$A$24,0),1)*$B377*ef_li_ion_akku/1000/1000/INDEX(Työkonekanta!$K$3:$K$27,MATCH($A377,Työkonekanta!$A$3:$A$24,0)),0)</f>
        <v>0</v>
      </c>
      <c r="W377" s="149">
        <f t="shared" si="128"/>
        <v>0</v>
      </c>
      <c r="X377" s="150">
        <f t="shared" si="129"/>
        <v>0</v>
      </c>
      <c r="Y377" s="151">
        <f t="shared" si="130"/>
        <v>0</v>
      </c>
      <c r="Z377" s="152">
        <f t="shared" si="122"/>
        <v>0</v>
      </c>
      <c r="AA377" s="179">
        <f t="shared" si="123"/>
        <v>0</v>
      </c>
      <c r="AB377" s="179">
        <f t="shared" si="124"/>
        <v>0</v>
      </c>
      <c r="AC377" s="180">
        <f t="shared" si="131"/>
        <v>0</v>
      </c>
      <c r="AD377" s="156">
        <f t="shared" si="125"/>
        <v>0</v>
      </c>
      <c r="AE377" s="146">
        <f>IFERROR(INDEX(Työkonekanta!$L$3:$L$30,MATCH($A377,Työkonekanta!$A$3:$A$30,0),1),0)*AF377</f>
        <v>0</v>
      </c>
      <c r="AF377" s="146">
        <f>IFERROR(INDEX(Työkonekanta!$N$3:$N$32,MATCH($A377,Työkonekanta!$A$3:$A$32,0),1),0)</f>
        <v>0</v>
      </c>
      <c r="AG377" s="332">
        <f>I377*INDEX(Muuttujat!$U$5:$U$21,MATCH($C377,Muuttujat!$N$5:$N$21,0),1)</f>
        <v>0</v>
      </c>
      <c r="AH377" s="332">
        <f>J377*INDEX(Muuttujat!$T$5:$T$21,MATCH($C377,Muuttujat!$N$5:$N$21,0),1)</f>
        <v>0</v>
      </c>
      <c r="AI377" s="332">
        <f t="shared" si="116"/>
        <v>0</v>
      </c>
      <c r="AJ377" s="332">
        <f t="shared" si="117"/>
        <v>0</v>
      </c>
      <c r="AK377" s="332">
        <f t="shared" si="126"/>
        <v>0</v>
      </c>
      <c r="AL377" s="332">
        <f t="shared" si="118"/>
        <v>0</v>
      </c>
    </row>
    <row r="378" spans="1:38">
      <c r="A378" s="139">
        <v>16</v>
      </c>
      <c r="B378" s="139">
        <f>IFERROR(INDEX(Työkonekanta!$F$3:$F$27,MATCH('S0b Baseline kasvu'!$A378,Työkonekanta!$A$3:$A$24,0),1),0)</f>
        <v>0</v>
      </c>
      <c r="C378" s="140">
        <v>2031</v>
      </c>
      <c r="D378" s="141" t="str">
        <f>IFERROR(INDEX(Työkonekanta!$D$3:$D$27,MATCH('S0b Baseline kasvu'!$A378,Työkonekanta!$A$3:$A$24,0),1),"undefined")</f>
        <v>sähkö</v>
      </c>
      <c r="E378" s="145">
        <f>IFERROR(INDEX(Työkonekanta!$G$3:$G$27,MATCH($A378,Työkonekanta!$A$3:$A$24,0),1)*INDEX(Työkonekanta!$H$3:$H$27,MATCH($A378,Työkonekanta!$A$3:$A$24,0),1)*(1+s0b_kasvu*($C378-2019))*$B378,0)</f>
        <v>0</v>
      </c>
      <c r="F378" s="145">
        <f t="shared" si="110"/>
        <v>0</v>
      </c>
      <c r="G378" s="145">
        <f t="shared" si="119"/>
        <v>0</v>
      </c>
      <c r="H378" s="145">
        <f t="shared" si="120"/>
        <v>0</v>
      </c>
      <c r="I378" s="145">
        <f t="shared" si="111"/>
        <v>0</v>
      </c>
      <c r="J378" s="145">
        <f t="shared" si="112"/>
        <v>0</v>
      </c>
      <c r="K378" s="142" t="str">
        <f t="shared" si="121"/>
        <v>kWh</v>
      </c>
      <c r="L378" s="146">
        <f>IFERROR(INDEX(Työkonekanta!$I$3:$I$27,MATCH('S0b Baseline kasvu'!$A378,Työkonekanta!$A$3:$A$24,0),1)*(I378+J378)*f_adblue,0)</f>
        <v>0</v>
      </c>
      <c r="M378" s="146">
        <f t="shared" si="127"/>
        <v>0</v>
      </c>
      <c r="N378" s="143" t="str">
        <f>IF(tuulisähkö_vuosi&lt;='S0b Baseline kasvu'!C378,"tuulisähkö",ostosähkö_nyt)</f>
        <v>jäännössähkö</v>
      </c>
      <c r="O378" s="147">
        <f>INDEX(Muuttujat!$J$5:$J$21,MATCH($C378,Muuttujat!$H$5:$H$21,0),1)</f>
        <v>61.379690186142746</v>
      </c>
      <c r="P378" s="342">
        <f>1-(INDEX(Muuttujat!$O$5:$O$21,MATCH($C378,Muuttujat!$N$5:$N$21,0),1))</f>
        <v>0.9</v>
      </c>
      <c r="Q378" s="342">
        <f>INDEX(Muuttujat!$O$5:$O$21,MATCH($C378,Muuttujat!$N$5:$N$21,0),1)</f>
        <v>0.1</v>
      </c>
      <c r="R378" s="148">
        <f>INDEX(Muuttujat!$P$5:$P$21,MATCH($C378,Muuttujat!$N$5:$N$21,0),1)</f>
        <v>0.10417875759940039</v>
      </c>
      <c r="S378" s="149">
        <f t="shared" si="113"/>
        <v>0</v>
      </c>
      <c r="T378" s="150">
        <f t="shared" si="114"/>
        <v>0</v>
      </c>
      <c r="U378" s="150">
        <f t="shared" si="115"/>
        <v>0</v>
      </c>
      <c r="V378" s="150">
        <f>IFERROR(INDEX(Työkonekanta!$J$3:$J$27,MATCH($A378,Työkonekanta!$A$3:$A$24,0),1)*$B378*ef_li_ion_akku/1000/1000/INDEX(Työkonekanta!$K$3:$K$27,MATCH($A378,Työkonekanta!$A$3:$A$24,0)),0)</f>
        <v>0</v>
      </c>
      <c r="W378" s="149">
        <f t="shared" si="128"/>
        <v>0</v>
      </c>
      <c r="X378" s="150">
        <f t="shared" si="129"/>
        <v>0</v>
      </c>
      <c r="Y378" s="151">
        <f t="shared" si="130"/>
        <v>0</v>
      </c>
      <c r="Z378" s="152">
        <f t="shared" si="122"/>
        <v>0</v>
      </c>
      <c r="AA378" s="179">
        <f t="shared" si="123"/>
        <v>0</v>
      </c>
      <c r="AB378" s="179">
        <f t="shared" si="124"/>
        <v>0</v>
      </c>
      <c r="AC378" s="180">
        <f t="shared" si="131"/>
        <v>0</v>
      </c>
      <c r="AD378" s="156">
        <f t="shared" si="125"/>
        <v>0</v>
      </c>
      <c r="AE378" s="146">
        <f>IFERROR(INDEX(Työkonekanta!$L$3:$L$30,MATCH($A378,Työkonekanta!$A$3:$A$30,0),1),0)*AF378</f>
        <v>0</v>
      </c>
      <c r="AF378" s="146">
        <f>IFERROR(INDEX(Työkonekanta!$N$3:$N$32,MATCH($A378,Työkonekanta!$A$3:$A$32,0),1),0)</f>
        <v>0</v>
      </c>
      <c r="AG378" s="332">
        <f>I378*INDEX(Muuttujat!$U$5:$U$21,MATCH($C378,Muuttujat!$N$5:$N$21,0),1)</f>
        <v>0</v>
      </c>
      <c r="AH378" s="332">
        <f>J378*INDEX(Muuttujat!$T$5:$T$21,MATCH($C378,Muuttujat!$N$5:$N$21,0),1)</f>
        <v>0</v>
      </c>
      <c r="AI378" s="332">
        <f t="shared" si="116"/>
        <v>0</v>
      </c>
      <c r="AJ378" s="332">
        <f t="shared" si="117"/>
        <v>0</v>
      </c>
      <c r="AK378" s="332">
        <f t="shared" si="126"/>
        <v>0</v>
      </c>
      <c r="AL378" s="332">
        <f t="shared" si="118"/>
        <v>0</v>
      </c>
    </row>
    <row r="379" spans="1:38">
      <c r="A379" s="139">
        <v>17</v>
      </c>
      <c r="B379" s="139">
        <f>IFERROR(INDEX(Työkonekanta!$F$3:$F$27,MATCH('S0b Baseline kasvu'!$A379,Työkonekanta!$A$3:$A$24,0),1),0)</f>
        <v>1</v>
      </c>
      <c r="C379" s="140">
        <v>2031</v>
      </c>
      <c r="D379" s="141" t="str">
        <f>IFERROR(INDEX(Työkonekanta!$D$3:$D$27,MATCH('S0b Baseline kasvu'!$A379,Työkonekanta!$A$3:$A$24,0),1),"undefined")</f>
        <v>pom</v>
      </c>
      <c r="E379" s="145">
        <f>IFERROR(INDEX(Työkonekanta!$G$3:$G$27,MATCH($A379,Työkonekanta!$A$3:$A$24,0),1)*INDEX(Työkonekanta!$H$3:$H$27,MATCH($A379,Työkonekanta!$A$3:$A$24,0),1)*(1+s0b_kasvu*($C379-2019))*$B379,0)</f>
        <v>11200.000000000002</v>
      </c>
      <c r="F379" s="145">
        <f t="shared" si="110"/>
        <v>402080.00000000006</v>
      </c>
      <c r="G379" s="145">
        <f t="shared" si="119"/>
        <v>361872.00000000006</v>
      </c>
      <c r="H379" s="145">
        <f t="shared" si="120"/>
        <v>40208.000000000007</v>
      </c>
      <c r="I379" s="145">
        <f t="shared" si="111"/>
        <v>10080.000000000002</v>
      </c>
      <c r="J379" s="145">
        <f t="shared" si="112"/>
        <v>1172.2448979591841</v>
      </c>
      <c r="K379" s="142" t="str">
        <f t="shared" si="121"/>
        <v>l</v>
      </c>
      <c r="L379" s="146">
        <f>IFERROR(INDEX(Työkonekanta!$I$3:$I$27,MATCH('S0b Baseline kasvu'!$A379,Työkonekanta!$A$3:$A$24,0),1)*(I379+J379)*f_adblue,0)</f>
        <v>562.61224489795939</v>
      </c>
      <c r="M379" s="146">
        <f t="shared" si="127"/>
        <v>0</v>
      </c>
      <c r="N379" s="143" t="str">
        <f>IF(tuulisähkö_vuosi&lt;='S0b Baseline kasvu'!C379,"tuulisähkö",ostosähkö_nyt)</f>
        <v>jäännössähkö</v>
      </c>
      <c r="O379" s="147">
        <f>INDEX(Muuttujat!$J$5:$J$21,MATCH($C379,Muuttujat!$H$5:$H$21,0),1)</f>
        <v>61.379690186142746</v>
      </c>
      <c r="P379" s="342">
        <f>1-(INDEX(Muuttujat!$O$5:$O$21,MATCH($C379,Muuttujat!$N$5:$N$21,0),1))</f>
        <v>0.9</v>
      </c>
      <c r="Q379" s="342">
        <f>INDEX(Muuttujat!$O$5:$O$21,MATCH($C379,Muuttujat!$N$5:$N$21,0),1)</f>
        <v>0.1</v>
      </c>
      <c r="R379" s="148">
        <f>INDEX(Muuttujat!$P$5:$P$21,MATCH($C379,Muuttujat!$N$5:$N$21,0),1)</f>
        <v>0.10417875759940039</v>
      </c>
      <c r="S379" s="149">
        <f t="shared" si="113"/>
        <v>6.8393808000000007</v>
      </c>
      <c r="T379" s="150">
        <f t="shared" si="114"/>
        <v>2.5089792000000002</v>
      </c>
      <c r="U379" s="150">
        <f t="shared" si="115"/>
        <v>0</v>
      </c>
      <c r="V379" s="150">
        <f>IFERROR(INDEX(Työkonekanta!$J$3:$J$27,MATCH($A379,Työkonekanta!$A$3:$A$24,0),1)*$B379*ef_li_ion_akku/1000/1000/INDEX(Työkonekanta!$K$3:$K$27,MATCH($A379,Työkonekanta!$A$3:$A$24,0)),0)</f>
        <v>0</v>
      </c>
      <c r="W379" s="149">
        <f t="shared" si="128"/>
        <v>26.709140592288009</v>
      </c>
      <c r="X379" s="150">
        <f t="shared" si="129"/>
        <v>0.35587513920000002</v>
      </c>
      <c r="Y379" s="151">
        <f t="shared" si="130"/>
        <v>0.14627918367346945</v>
      </c>
      <c r="Z379" s="152">
        <f t="shared" si="122"/>
        <v>9.3483600000000013</v>
      </c>
      <c r="AA379" s="179">
        <f t="shared" si="123"/>
        <v>26.855419775961479</v>
      </c>
      <c r="AB379" s="179">
        <f t="shared" si="124"/>
        <v>27.211294915161478</v>
      </c>
      <c r="AC379" s="180">
        <f t="shared" si="131"/>
        <v>36.203779775961479</v>
      </c>
      <c r="AD379" s="156">
        <f t="shared" si="125"/>
        <v>36.559654915161481</v>
      </c>
      <c r="AE379" s="146">
        <f>IFERROR(INDEX(Työkonekanta!$L$3:$L$30,MATCH($A379,Työkonekanta!$A$3:$A$30,0),1),0)*AF379</f>
        <v>500000</v>
      </c>
      <c r="AF379" s="146">
        <f>IFERROR(INDEX(Työkonekanta!$N$3:$N$32,MATCH($A379,Työkonekanta!$A$3:$A$32,0),1),0)</f>
        <v>1</v>
      </c>
      <c r="AG379" s="332">
        <f>I379*INDEX(Muuttujat!$U$5:$U$21,MATCH($C379,Muuttujat!$N$5:$N$21,0),1)</f>
        <v>10584.000000000002</v>
      </c>
      <c r="AH379" s="332">
        <f>J379*INDEX(Muuttujat!$T$5:$T$21,MATCH($C379,Muuttujat!$N$5:$N$21,0),1)</f>
        <v>1699.7551020408171</v>
      </c>
      <c r="AI379" s="332">
        <f t="shared" si="116"/>
        <v>281.30612244897969</v>
      </c>
      <c r="AJ379" s="332">
        <f t="shared" si="117"/>
        <v>0</v>
      </c>
      <c r="AK379" s="332">
        <f t="shared" si="126"/>
        <v>12565.061224489798</v>
      </c>
      <c r="AL379" s="332">
        <f t="shared" si="118"/>
        <v>12565.061224489798</v>
      </c>
    </row>
    <row r="380" spans="1:38">
      <c r="A380" s="139">
        <v>18</v>
      </c>
      <c r="B380" s="139">
        <f>IFERROR(INDEX(Työkonekanta!$F$3:$F$27,MATCH('S0b Baseline kasvu'!$A380,Työkonekanta!$A$3:$A$24,0),1),0)</f>
        <v>1</v>
      </c>
      <c r="C380" s="140">
        <v>2031</v>
      </c>
      <c r="D380" s="141" t="str">
        <f>IFERROR(INDEX(Työkonekanta!$D$3:$D$27,MATCH('S0b Baseline kasvu'!$A380,Työkonekanta!$A$3:$A$24,0),1),"undefined")</f>
        <v>pom</v>
      </c>
      <c r="E380" s="145">
        <f>IFERROR(INDEX(Työkonekanta!$G$3:$G$27,MATCH($A380,Työkonekanta!$A$3:$A$24,0),1)*INDEX(Työkonekanta!$H$3:$H$27,MATCH($A380,Työkonekanta!$A$3:$A$24,0),1)*(1+s0b_kasvu*($C380-2019))*$B380,0)</f>
        <v>11200.000000000002</v>
      </c>
      <c r="F380" s="145">
        <f t="shared" si="110"/>
        <v>402080.00000000006</v>
      </c>
      <c r="G380" s="145">
        <f t="shared" si="119"/>
        <v>361872.00000000006</v>
      </c>
      <c r="H380" s="145">
        <f t="shared" si="120"/>
        <v>40208.000000000007</v>
      </c>
      <c r="I380" s="145">
        <f t="shared" si="111"/>
        <v>10080.000000000002</v>
      </c>
      <c r="J380" s="145">
        <f t="shared" si="112"/>
        <v>1172.2448979591841</v>
      </c>
      <c r="K380" s="142" t="str">
        <f t="shared" si="121"/>
        <v>l</v>
      </c>
      <c r="L380" s="146">
        <f>IFERROR(INDEX(Työkonekanta!$I$3:$I$27,MATCH('S0b Baseline kasvu'!$A380,Työkonekanta!$A$3:$A$24,0),1)*(I380+J380)*f_adblue,0)</f>
        <v>450.08979591836754</v>
      </c>
      <c r="M380" s="146">
        <f t="shared" si="127"/>
        <v>0</v>
      </c>
      <c r="N380" s="143" t="str">
        <f>IF(tuulisähkö_vuosi&lt;='S0b Baseline kasvu'!C380,"tuulisähkö",ostosähkö_nyt)</f>
        <v>jäännössähkö</v>
      </c>
      <c r="O380" s="147">
        <f>INDEX(Muuttujat!$J$5:$J$21,MATCH($C380,Muuttujat!$H$5:$H$21,0),1)</f>
        <v>61.379690186142746</v>
      </c>
      <c r="P380" s="342">
        <f>1-(INDEX(Muuttujat!$O$5:$O$21,MATCH($C380,Muuttujat!$N$5:$N$21,0),1))</f>
        <v>0.9</v>
      </c>
      <c r="Q380" s="342">
        <f>INDEX(Muuttujat!$O$5:$O$21,MATCH($C380,Muuttujat!$N$5:$N$21,0),1)</f>
        <v>0.1</v>
      </c>
      <c r="R380" s="148">
        <f>INDEX(Muuttujat!$P$5:$P$21,MATCH($C380,Muuttujat!$N$5:$N$21,0),1)</f>
        <v>0.10417875759940039</v>
      </c>
      <c r="S380" s="149">
        <f t="shared" si="113"/>
        <v>6.8393808000000007</v>
      </c>
      <c r="T380" s="150">
        <f t="shared" si="114"/>
        <v>2.5089792000000002</v>
      </c>
      <c r="U380" s="150">
        <f t="shared" si="115"/>
        <v>0</v>
      </c>
      <c r="V380" s="150">
        <f>IFERROR(INDEX(Työkonekanta!$J$3:$J$27,MATCH($A380,Työkonekanta!$A$3:$A$24,0),1)*$B380*ef_li_ion_akku/1000/1000/INDEX(Työkonekanta!$K$3:$K$27,MATCH($A380,Työkonekanta!$A$3:$A$24,0)),0)</f>
        <v>0</v>
      </c>
      <c r="W380" s="149">
        <f t="shared" si="128"/>
        <v>26.709140592288009</v>
      </c>
      <c r="X380" s="150">
        <f t="shared" si="129"/>
        <v>0.35587513920000002</v>
      </c>
      <c r="Y380" s="151">
        <f t="shared" si="130"/>
        <v>0.11702334693877556</v>
      </c>
      <c r="Z380" s="152">
        <f t="shared" si="122"/>
        <v>9.3483600000000013</v>
      </c>
      <c r="AA380" s="179">
        <f t="shared" si="123"/>
        <v>26.826163939226785</v>
      </c>
      <c r="AB380" s="179">
        <f t="shared" si="124"/>
        <v>27.182039078426783</v>
      </c>
      <c r="AC380" s="180">
        <f t="shared" si="131"/>
        <v>36.174523939226788</v>
      </c>
      <c r="AD380" s="156">
        <f t="shared" si="125"/>
        <v>36.530399078426782</v>
      </c>
      <c r="AE380" s="146">
        <f>IFERROR(INDEX(Työkonekanta!$L$3:$L$30,MATCH($A380,Työkonekanta!$A$3:$A$30,0),1),0)*AF380</f>
        <v>500000</v>
      </c>
      <c r="AF380" s="146">
        <f>IFERROR(INDEX(Työkonekanta!$N$3:$N$32,MATCH($A380,Työkonekanta!$A$3:$A$32,0),1),0)</f>
        <v>1</v>
      </c>
      <c r="AG380" s="332">
        <f>I380*INDEX(Muuttujat!$U$5:$U$21,MATCH($C380,Muuttujat!$N$5:$N$21,0),1)</f>
        <v>10584.000000000002</v>
      </c>
      <c r="AH380" s="332">
        <f>J380*INDEX(Muuttujat!$T$5:$T$21,MATCH($C380,Muuttujat!$N$5:$N$21,0),1)</f>
        <v>1699.7551020408171</v>
      </c>
      <c r="AI380" s="332">
        <f t="shared" si="116"/>
        <v>225.04489795918377</v>
      </c>
      <c r="AJ380" s="332">
        <f t="shared" si="117"/>
        <v>0</v>
      </c>
      <c r="AK380" s="332">
        <f t="shared" si="126"/>
        <v>12508.800000000003</v>
      </c>
      <c r="AL380" s="332">
        <f t="shared" si="118"/>
        <v>12508.800000000003</v>
      </c>
    </row>
    <row r="381" spans="1:38">
      <c r="A381" s="139">
        <v>19</v>
      </c>
      <c r="B381" s="139">
        <f>IFERROR(INDEX(Työkonekanta!$F$3:$F$27,MATCH('S0b Baseline kasvu'!$A381,Työkonekanta!$A$3:$A$24,0),1),0)</f>
        <v>0</v>
      </c>
      <c r="C381" s="140">
        <v>2031</v>
      </c>
      <c r="D381" s="141" t="str">
        <f>IFERROR(INDEX(Työkonekanta!$D$3:$D$27,MATCH('S0b Baseline kasvu'!$A381,Työkonekanta!$A$3:$A$24,0),1),"undefined")</f>
        <v>pom</v>
      </c>
      <c r="E381" s="145">
        <f>IFERROR(INDEX(Työkonekanta!$G$3:$G$27,MATCH($A381,Työkonekanta!$A$3:$A$24,0),1)*INDEX(Työkonekanta!$H$3:$H$27,MATCH($A381,Työkonekanta!$A$3:$A$24,0),1)*(1+s0b_kasvu*($C381-2019))*$B381,0)</f>
        <v>0</v>
      </c>
      <c r="F381" s="145">
        <f t="shared" si="110"/>
        <v>0</v>
      </c>
      <c r="G381" s="145">
        <f t="shared" si="119"/>
        <v>0</v>
      </c>
      <c r="H381" s="145">
        <f t="shared" si="120"/>
        <v>0</v>
      </c>
      <c r="I381" s="145">
        <f t="shared" si="111"/>
        <v>0</v>
      </c>
      <c r="J381" s="145">
        <f t="shared" si="112"/>
        <v>0</v>
      </c>
      <c r="K381" s="142" t="str">
        <f t="shared" si="121"/>
        <v>l</v>
      </c>
      <c r="L381" s="146">
        <f>IFERROR(INDEX(Työkonekanta!$I$3:$I$27,MATCH('S0b Baseline kasvu'!$A381,Työkonekanta!$A$3:$A$24,0),1)*(I381+J381)*f_adblue,0)</f>
        <v>0</v>
      </c>
      <c r="M381" s="146">
        <f t="shared" si="127"/>
        <v>0</v>
      </c>
      <c r="N381" s="143" t="str">
        <f>IF(tuulisähkö_vuosi&lt;='S0b Baseline kasvu'!C381,"tuulisähkö",ostosähkö_nyt)</f>
        <v>jäännössähkö</v>
      </c>
      <c r="O381" s="147">
        <f>INDEX(Muuttujat!$J$5:$J$21,MATCH($C381,Muuttujat!$H$5:$H$21,0),1)</f>
        <v>61.379690186142746</v>
      </c>
      <c r="P381" s="342">
        <f>1-(INDEX(Muuttujat!$O$5:$O$21,MATCH($C381,Muuttujat!$N$5:$N$21,0),1))</f>
        <v>0.9</v>
      </c>
      <c r="Q381" s="342">
        <f>INDEX(Muuttujat!$O$5:$O$21,MATCH($C381,Muuttujat!$N$5:$N$21,0),1)</f>
        <v>0.1</v>
      </c>
      <c r="R381" s="148">
        <f>INDEX(Muuttujat!$P$5:$P$21,MATCH($C381,Muuttujat!$N$5:$N$21,0),1)</f>
        <v>0.10417875759940039</v>
      </c>
      <c r="S381" s="149">
        <f t="shared" si="113"/>
        <v>0</v>
      </c>
      <c r="T381" s="150">
        <f t="shared" si="114"/>
        <v>0</v>
      </c>
      <c r="U381" s="150">
        <f t="shared" si="115"/>
        <v>0</v>
      </c>
      <c r="V381" s="150">
        <f>IFERROR(INDEX(Työkonekanta!$J$3:$J$27,MATCH($A381,Työkonekanta!$A$3:$A$24,0),1)*$B381*ef_li_ion_akku/1000/1000/INDEX(Työkonekanta!$K$3:$K$27,MATCH($A381,Työkonekanta!$A$3:$A$24,0)),0)</f>
        <v>0</v>
      </c>
      <c r="W381" s="149">
        <f t="shared" si="128"/>
        <v>0</v>
      </c>
      <c r="X381" s="150">
        <f t="shared" si="129"/>
        <v>0</v>
      </c>
      <c r="Y381" s="151">
        <f t="shared" si="130"/>
        <v>0</v>
      </c>
      <c r="Z381" s="152">
        <f t="shared" si="122"/>
        <v>0</v>
      </c>
      <c r="AA381" s="179">
        <f t="shared" si="123"/>
        <v>0</v>
      </c>
      <c r="AB381" s="179">
        <f t="shared" si="124"/>
        <v>0</v>
      </c>
      <c r="AC381" s="180">
        <f t="shared" si="131"/>
        <v>0</v>
      </c>
      <c r="AD381" s="156">
        <f t="shared" si="125"/>
        <v>0</v>
      </c>
      <c r="AE381" s="146">
        <f>IFERROR(INDEX(Työkonekanta!$L$3:$L$30,MATCH($A381,Työkonekanta!$A$3:$A$30,0),1),0)*AF381</f>
        <v>0</v>
      </c>
      <c r="AF381" s="146">
        <f>IFERROR(INDEX(Työkonekanta!$N$3:$N$32,MATCH($A381,Työkonekanta!$A$3:$A$32,0),1),0)</f>
        <v>0</v>
      </c>
      <c r="AG381" s="332">
        <f>I381*INDEX(Muuttujat!$U$5:$U$21,MATCH($C381,Muuttujat!$N$5:$N$21,0),1)</f>
        <v>0</v>
      </c>
      <c r="AH381" s="332">
        <f>J381*INDEX(Muuttujat!$T$5:$T$21,MATCH($C381,Muuttujat!$N$5:$N$21,0),1)</f>
        <v>0</v>
      </c>
      <c r="AI381" s="332">
        <f t="shared" si="116"/>
        <v>0</v>
      </c>
      <c r="AJ381" s="332">
        <f t="shared" si="117"/>
        <v>0</v>
      </c>
      <c r="AK381" s="332">
        <f t="shared" si="126"/>
        <v>0</v>
      </c>
      <c r="AL381" s="332">
        <f t="shared" si="118"/>
        <v>0</v>
      </c>
    </row>
    <row r="382" spans="1:38">
      <c r="A382" s="139">
        <v>20</v>
      </c>
      <c r="B382" s="139">
        <f>IFERROR(INDEX(Työkonekanta!$F$3:$F$27,MATCH('S0b Baseline kasvu'!$A382,Työkonekanta!$A$3:$A$24,0),1),0)</f>
        <v>0</v>
      </c>
      <c r="C382" s="140">
        <v>2031</v>
      </c>
      <c r="D382" s="141" t="str">
        <f>IFERROR(INDEX(Työkonekanta!$D$3:$D$27,MATCH('S0b Baseline kasvu'!$A382,Työkonekanta!$A$3:$A$24,0),1),"undefined")</f>
        <v>pom</v>
      </c>
      <c r="E382" s="145">
        <f>IFERROR(INDEX(Työkonekanta!$G$3:$G$27,MATCH($A382,Työkonekanta!$A$3:$A$24,0),1)*INDEX(Työkonekanta!$H$3:$H$27,MATCH($A382,Työkonekanta!$A$3:$A$24,0),1)*(1+s0b_kasvu*($C382-2019))*$B382,0)</f>
        <v>0</v>
      </c>
      <c r="F382" s="145">
        <f t="shared" si="110"/>
        <v>0</v>
      </c>
      <c r="G382" s="145">
        <f t="shared" si="119"/>
        <v>0</v>
      </c>
      <c r="H382" s="145">
        <f t="shared" si="120"/>
        <v>0</v>
      </c>
      <c r="I382" s="145">
        <f t="shared" si="111"/>
        <v>0</v>
      </c>
      <c r="J382" s="145">
        <f t="shared" si="112"/>
        <v>0</v>
      </c>
      <c r="K382" s="142" t="str">
        <f t="shared" si="121"/>
        <v>l</v>
      </c>
      <c r="L382" s="146">
        <f>IFERROR(INDEX(Työkonekanta!$I$3:$I$27,MATCH('S0b Baseline kasvu'!$A382,Työkonekanta!$A$3:$A$24,0),1)*(I382+J382)*f_adblue,0)</f>
        <v>0</v>
      </c>
      <c r="M382" s="146">
        <f t="shared" si="127"/>
        <v>0</v>
      </c>
      <c r="N382" s="143" t="str">
        <f>IF(tuulisähkö_vuosi&lt;='S0b Baseline kasvu'!C382,"tuulisähkö",ostosähkö_nyt)</f>
        <v>jäännössähkö</v>
      </c>
      <c r="O382" s="147">
        <f>INDEX(Muuttujat!$J$5:$J$21,MATCH($C382,Muuttujat!$H$5:$H$21,0),1)</f>
        <v>61.379690186142746</v>
      </c>
      <c r="P382" s="342">
        <f>1-(INDEX(Muuttujat!$O$5:$O$21,MATCH($C382,Muuttujat!$N$5:$N$21,0),1))</f>
        <v>0.9</v>
      </c>
      <c r="Q382" s="342">
        <f>INDEX(Muuttujat!$O$5:$O$21,MATCH($C382,Muuttujat!$N$5:$N$21,0),1)</f>
        <v>0.1</v>
      </c>
      <c r="R382" s="148">
        <f>INDEX(Muuttujat!$P$5:$P$21,MATCH($C382,Muuttujat!$N$5:$N$21,0),1)</f>
        <v>0.10417875759940039</v>
      </c>
      <c r="S382" s="149">
        <f t="shared" si="113"/>
        <v>0</v>
      </c>
      <c r="T382" s="150">
        <f t="shared" si="114"/>
        <v>0</v>
      </c>
      <c r="U382" s="150">
        <f t="shared" si="115"/>
        <v>0</v>
      </c>
      <c r="V382" s="150">
        <f>IFERROR(INDEX(Työkonekanta!$J$3:$J$27,MATCH($A382,Työkonekanta!$A$3:$A$24,0),1)*$B382*ef_li_ion_akku/1000/1000/INDEX(Työkonekanta!$K$3:$K$27,MATCH($A382,Työkonekanta!$A$3:$A$24,0)),0)</f>
        <v>0</v>
      </c>
      <c r="W382" s="149">
        <f t="shared" si="128"/>
        <v>0</v>
      </c>
      <c r="X382" s="150">
        <f t="shared" si="129"/>
        <v>0</v>
      </c>
      <c r="Y382" s="151">
        <f t="shared" si="130"/>
        <v>0</v>
      </c>
      <c r="Z382" s="152">
        <f t="shared" si="122"/>
        <v>0</v>
      </c>
      <c r="AA382" s="179">
        <f t="shared" si="123"/>
        <v>0</v>
      </c>
      <c r="AB382" s="179">
        <f t="shared" si="124"/>
        <v>0</v>
      </c>
      <c r="AC382" s="180">
        <f t="shared" si="131"/>
        <v>0</v>
      </c>
      <c r="AD382" s="156">
        <f t="shared" si="125"/>
        <v>0</v>
      </c>
      <c r="AE382" s="146">
        <f>IFERROR(INDEX(Työkonekanta!$L$3:$L$30,MATCH($A382,Työkonekanta!$A$3:$A$30,0),1),0)*AF382</f>
        <v>0</v>
      </c>
      <c r="AF382" s="146">
        <f>IFERROR(INDEX(Työkonekanta!$N$3:$N$32,MATCH($A382,Työkonekanta!$A$3:$A$32,0),1),0)</f>
        <v>0</v>
      </c>
      <c r="AG382" s="332">
        <f>I382*INDEX(Muuttujat!$U$5:$U$21,MATCH($C382,Muuttujat!$N$5:$N$21,0),1)</f>
        <v>0</v>
      </c>
      <c r="AH382" s="332">
        <f>J382*INDEX(Muuttujat!$T$5:$T$21,MATCH($C382,Muuttujat!$N$5:$N$21,0),1)</f>
        <v>0</v>
      </c>
      <c r="AI382" s="332">
        <f t="shared" si="116"/>
        <v>0</v>
      </c>
      <c r="AJ382" s="332">
        <f t="shared" si="117"/>
        <v>0</v>
      </c>
      <c r="AK382" s="332">
        <f t="shared" si="126"/>
        <v>0</v>
      </c>
      <c r="AL382" s="332">
        <f t="shared" si="118"/>
        <v>0</v>
      </c>
    </row>
    <row r="383" spans="1:38">
      <c r="A383" s="139">
        <v>21</v>
      </c>
      <c r="B383" s="139">
        <f>IFERROR(INDEX(Työkonekanta!$F$3:$F$27,MATCH('S0b Baseline kasvu'!$A383,Työkonekanta!$A$3:$A$24,0),1),0)</f>
        <v>35</v>
      </c>
      <c r="C383" s="140">
        <v>2031</v>
      </c>
      <c r="D383" s="141" t="str">
        <f>IFERROR(INDEX(Työkonekanta!$D$3:$D$27,MATCH('S0b Baseline kasvu'!$A383,Työkonekanta!$A$3:$A$24,0),1),"undefined")</f>
        <v>sähkö</v>
      </c>
      <c r="E383" s="145">
        <f>IFERROR(INDEX(Työkonekanta!$G$3:$G$27,MATCH($A383,Työkonekanta!$A$3:$A$24,0),1)*INDEX(Työkonekanta!$H$3:$H$27,MATCH($A383,Työkonekanta!$A$3:$A$24,0),1)*(1+s0b_kasvu*($C383-2019))*$B383,0)</f>
        <v>456062.96296296304</v>
      </c>
      <c r="F383" s="145">
        <f t="shared" si="110"/>
        <v>0</v>
      </c>
      <c r="G383" s="145">
        <f t="shared" si="119"/>
        <v>0</v>
      </c>
      <c r="H383" s="145">
        <f t="shared" si="120"/>
        <v>0</v>
      </c>
      <c r="I383" s="145">
        <f t="shared" si="111"/>
        <v>0</v>
      </c>
      <c r="J383" s="145">
        <f t="shared" si="112"/>
        <v>0</v>
      </c>
      <c r="K383" s="142" t="str">
        <f t="shared" si="121"/>
        <v>kWh</v>
      </c>
      <c r="L383" s="146">
        <f>IFERROR(INDEX(Työkonekanta!$I$3:$I$27,MATCH('S0b Baseline kasvu'!$A383,Työkonekanta!$A$3:$A$24,0),1)*(I383+J383)*f_adblue,0)</f>
        <v>0</v>
      </c>
      <c r="M383" s="146">
        <f t="shared" si="127"/>
        <v>1641826.666666667</v>
      </c>
      <c r="N383" s="143" t="str">
        <f>IF(tuulisähkö_vuosi&lt;='S0b Baseline kasvu'!C383,"tuulisähkö",ostosähkö_nyt)</f>
        <v>jäännössähkö</v>
      </c>
      <c r="O383" s="147">
        <f>INDEX(Muuttujat!$J$5:$J$21,MATCH($C383,Muuttujat!$H$5:$H$21,0),1)</f>
        <v>61.379690186142746</v>
      </c>
      <c r="P383" s="342">
        <f>1-(INDEX(Muuttujat!$O$5:$O$21,MATCH($C383,Muuttujat!$N$5:$N$21,0),1))</f>
        <v>0.9</v>
      </c>
      <c r="Q383" s="342">
        <f>INDEX(Muuttujat!$O$5:$O$21,MATCH($C383,Muuttujat!$N$5:$N$21,0),1)</f>
        <v>0.1</v>
      </c>
      <c r="R383" s="148">
        <f>INDEX(Muuttujat!$P$5:$P$21,MATCH($C383,Muuttujat!$N$5:$N$21,0),1)</f>
        <v>0.10417875759940039</v>
      </c>
      <c r="S383" s="149">
        <f t="shared" si="113"/>
        <v>0</v>
      </c>
      <c r="T383" s="150">
        <f t="shared" si="114"/>
        <v>0</v>
      </c>
      <c r="U383" s="150">
        <f t="shared" si="115"/>
        <v>100.77481213934747</v>
      </c>
      <c r="V383" s="150">
        <f>IFERROR(INDEX(Työkonekanta!$J$3:$J$27,MATCH($A383,Työkonekanta!$A$3:$A$24,0),1)*$B383*ef_li_ion_akku/1000/1000/INDEX(Työkonekanta!$K$3:$K$27,MATCH($A383,Työkonekanta!$A$3:$A$24,0)),0)</f>
        <v>43.121723076923082</v>
      </c>
      <c r="W383" s="149">
        <f t="shared" si="128"/>
        <v>0</v>
      </c>
      <c r="X383" s="150">
        <f t="shared" si="129"/>
        <v>0</v>
      </c>
      <c r="Y383" s="151">
        <f t="shared" si="130"/>
        <v>0</v>
      </c>
      <c r="Z383" s="152">
        <f t="shared" si="122"/>
        <v>143.89653521627056</v>
      </c>
      <c r="AA383" s="179">
        <f t="shared" si="123"/>
        <v>0</v>
      </c>
      <c r="AB383" s="179">
        <f t="shared" si="124"/>
        <v>0</v>
      </c>
      <c r="AC383" s="180">
        <f t="shared" si="131"/>
        <v>143.89653521627056</v>
      </c>
      <c r="AD383" s="156">
        <f t="shared" si="125"/>
        <v>143.89653521627056</v>
      </c>
      <c r="AE383" s="146">
        <f>IFERROR(INDEX(Työkonekanta!$L$3:$L$30,MATCH($A383,Työkonekanta!$A$3:$A$30,0),1),0)*AF383</f>
        <v>1820000</v>
      </c>
      <c r="AF383" s="146">
        <f>IFERROR(INDEX(Työkonekanta!$N$3:$N$32,MATCH($A383,Työkonekanta!$A$3:$A$32,0),1),0)</f>
        <v>7</v>
      </c>
      <c r="AG383" s="332">
        <f>I383*INDEX(Muuttujat!$U$5:$U$21,MATCH($C383,Muuttujat!$N$5:$N$21,0),1)</f>
        <v>0</v>
      </c>
      <c r="AH383" s="332">
        <f>J383*INDEX(Muuttujat!$T$5:$T$21,MATCH($C383,Muuttujat!$N$5:$N$21,0),1)</f>
        <v>0</v>
      </c>
      <c r="AI383" s="332">
        <f t="shared" si="116"/>
        <v>0</v>
      </c>
      <c r="AJ383" s="332">
        <f t="shared" si="117"/>
        <v>40361.572222222232</v>
      </c>
      <c r="AK383" s="332">
        <f t="shared" si="126"/>
        <v>40361.572222222232</v>
      </c>
      <c r="AL383" s="332">
        <f t="shared" si="118"/>
        <v>1153.1877777777781</v>
      </c>
    </row>
    <row r="384" spans="1:38">
      <c r="A384" s="139">
        <v>22</v>
      </c>
      <c r="B384" s="139">
        <f>IFERROR(INDEX(Työkonekanta!$F$3:$F$27,MATCH('S0b Baseline kasvu'!$A384,Työkonekanta!$A$3:$A$24,0),1),0)</f>
        <v>0</v>
      </c>
      <c r="C384" s="140">
        <v>2031</v>
      </c>
      <c r="D384" s="141" t="str">
        <f>IFERROR(INDEX(Työkonekanta!$D$3:$D$27,MATCH('S0b Baseline kasvu'!$A384,Työkonekanta!$A$3:$A$24,0),1),"undefined")</f>
        <v>sähkö</v>
      </c>
      <c r="E384" s="145">
        <f>IFERROR(INDEX(Työkonekanta!$G$3:$G$27,MATCH($A384,Työkonekanta!$A$3:$A$24,0),1)*INDEX(Työkonekanta!$H$3:$H$27,MATCH($A384,Työkonekanta!$A$3:$A$24,0),1)*(1+s0b_kasvu*($C384-2019))*$B384,0)</f>
        <v>0</v>
      </c>
      <c r="F384" s="145">
        <f t="shared" si="110"/>
        <v>0</v>
      </c>
      <c r="G384" s="145">
        <f t="shared" si="119"/>
        <v>0</v>
      </c>
      <c r="H384" s="145">
        <f t="shared" si="120"/>
        <v>0</v>
      </c>
      <c r="I384" s="145">
        <f t="shared" si="111"/>
        <v>0</v>
      </c>
      <c r="J384" s="145">
        <f t="shared" si="112"/>
        <v>0</v>
      </c>
      <c r="K384" s="142" t="str">
        <f t="shared" si="121"/>
        <v>kWh</v>
      </c>
      <c r="L384" s="146">
        <f>IFERROR(INDEX(Työkonekanta!$I$3:$I$27,MATCH('S0b Baseline kasvu'!$A384,Työkonekanta!$A$3:$A$24,0),1)*(I384+J384)*f_adblue,0)</f>
        <v>0</v>
      </c>
      <c r="M384" s="146">
        <f t="shared" si="127"/>
        <v>0</v>
      </c>
      <c r="N384" s="143" t="str">
        <f>IF(tuulisähkö_vuosi&lt;='S0b Baseline kasvu'!C384,"tuulisähkö",ostosähkö_nyt)</f>
        <v>jäännössähkö</v>
      </c>
      <c r="O384" s="147">
        <f>INDEX(Muuttujat!$J$5:$J$21,MATCH($C384,Muuttujat!$H$5:$H$21,0),1)</f>
        <v>61.379690186142746</v>
      </c>
      <c r="P384" s="342">
        <f>1-(INDEX(Muuttujat!$O$5:$O$21,MATCH($C384,Muuttujat!$N$5:$N$21,0),1))</f>
        <v>0.9</v>
      </c>
      <c r="Q384" s="342">
        <f>INDEX(Muuttujat!$O$5:$O$21,MATCH($C384,Muuttujat!$N$5:$N$21,0),1)</f>
        <v>0.1</v>
      </c>
      <c r="R384" s="148">
        <f>INDEX(Muuttujat!$P$5:$P$21,MATCH($C384,Muuttujat!$N$5:$N$21,0),1)</f>
        <v>0.10417875759940039</v>
      </c>
      <c r="S384" s="149">
        <f t="shared" si="113"/>
        <v>0</v>
      </c>
      <c r="T384" s="150">
        <f t="shared" si="114"/>
        <v>0</v>
      </c>
      <c r="U384" s="150">
        <f t="shared" si="115"/>
        <v>0</v>
      </c>
      <c r="V384" s="150">
        <f>IFERROR(INDEX(Työkonekanta!$J$3:$J$27,MATCH($A384,Työkonekanta!$A$3:$A$24,0),1)*$B384*ef_li_ion_akku/1000/1000/INDEX(Työkonekanta!$K$3:$K$27,MATCH($A384,Työkonekanta!$A$3:$A$24,0)),0)</f>
        <v>0</v>
      </c>
      <c r="W384" s="149">
        <f t="shared" si="128"/>
        <v>0</v>
      </c>
      <c r="X384" s="150">
        <f t="shared" si="129"/>
        <v>0</v>
      </c>
      <c r="Y384" s="151">
        <f t="shared" si="130"/>
        <v>0</v>
      </c>
      <c r="Z384" s="152">
        <f t="shared" si="122"/>
        <v>0</v>
      </c>
      <c r="AA384" s="179">
        <f t="shared" si="123"/>
        <v>0</v>
      </c>
      <c r="AB384" s="179">
        <f t="shared" si="124"/>
        <v>0</v>
      </c>
      <c r="AC384" s="180">
        <f t="shared" si="131"/>
        <v>0</v>
      </c>
      <c r="AD384" s="156">
        <f t="shared" si="125"/>
        <v>0</v>
      </c>
      <c r="AE384" s="146">
        <f>IFERROR(INDEX(Työkonekanta!$L$3:$L$30,MATCH($A384,Työkonekanta!$A$3:$A$30,0),1),0)*AF384</f>
        <v>0</v>
      </c>
      <c r="AF384" s="146">
        <f>IFERROR(INDEX(Työkonekanta!$N$3:$N$32,MATCH($A384,Työkonekanta!$A$3:$A$32,0),1),0)</f>
        <v>0</v>
      </c>
      <c r="AG384" s="332">
        <f>I384*INDEX(Muuttujat!$U$5:$U$21,MATCH($C384,Muuttujat!$N$5:$N$21,0),1)</f>
        <v>0</v>
      </c>
      <c r="AH384" s="332">
        <f>J384*INDEX(Muuttujat!$T$5:$T$21,MATCH($C384,Muuttujat!$N$5:$N$21,0),1)</f>
        <v>0</v>
      </c>
      <c r="AI384" s="332">
        <f t="shared" si="116"/>
        <v>0</v>
      </c>
      <c r="AJ384" s="332">
        <f t="shared" si="117"/>
        <v>0</v>
      </c>
      <c r="AK384" s="332">
        <f t="shared" si="126"/>
        <v>0</v>
      </c>
      <c r="AL384" s="332">
        <f t="shared" si="118"/>
        <v>0</v>
      </c>
    </row>
    <row r="385" spans="1:38">
      <c r="A385" s="139">
        <v>23</v>
      </c>
      <c r="B385" s="139">
        <f>IFERROR(INDEX(Työkonekanta!$F$3:$F$27,MATCH('S0b Baseline kasvu'!$A385,Työkonekanta!$A$3:$A$24,0),1),0)</f>
        <v>0</v>
      </c>
      <c r="C385" s="140">
        <v>2031</v>
      </c>
      <c r="D385" s="141" t="str">
        <f>IFERROR(INDEX(Työkonekanta!$D$3:$D$27,MATCH('S0b Baseline kasvu'!$A385,Työkonekanta!$A$3:$A$24,0),1),"undefined")</f>
        <v>undefined</v>
      </c>
      <c r="E385" s="145">
        <f>IFERROR(INDEX(Työkonekanta!$G$3:$G$27,MATCH($A385,Työkonekanta!$A$3:$A$24,0),1)*INDEX(Työkonekanta!$H$3:$H$27,MATCH($A385,Työkonekanta!$A$3:$A$24,0),1)*(1+s0b_kasvu*($C385-2019))*$B385,0)</f>
        <v>0</v>
      </c>
      <c r="F385" s="145">
        <f t="shared" si="110"/>
        <v>0</v>
      </c>
      <c r="G385" s="145">
        <f t="shared" si="119"/>
        <v>0</v>
      </c>
      <c r="H385" s="145">
        <f t="shared" si="120"/>
        <v>0</v>
      </c>
      <c r="I385" s="145">
        <f t="shared" si="111"/>
        <v>0</v>
      </c>
      <c r="J385" s="145">
        <f t="shared" si="112"/>
        <v>0</v>
      </c>
      <c r="K385" s="142" t="str">
        <f t="shared" si="121"/>
        <v>undefined</v>
      </c>
      <c r="L385" s="146">
        <f>IFERROR(INDEX(Työkonekanta!$I$3:$I$27,MATCH('S0b Baseline kasvu'!$A385,Työkonekanta!$A$3:$A$24,0),1)*(I385+J385)*f_adblue,0)</f>
        <v>0</v>
      </c>
      <c r="M385" s="146">
        <f t="shared" si="127"/>
        <v>0</v>
      </c>
      <c r="N385" s="143" t="str">
        <f>IF(tuulisähkö_vuosi&lt;='S0b Baseline kasvu'!C385,"tuulisähkö",ostosähkö_nyt)</f>
        <v>jäännössähkö</v>
      </c>
      <c r="O385" s="147">
        <f>INDEX(Muuttujat!$J$5:$J$21,MATCH($C385,Muuttujat!$H$5:$H$21,0),1)</f>
        <v>61.379690186142746</v>
      </c>
      <c r="P385" s="342">
        <f>1-(INDEX(Muuttujat!$O$5:$O$21,MATCH($C385,Muuttujat!$N$5:$N$21,0),1))</f>
        <v>0.9</v>
      </c>
      <c r="Q385" s="342">
        <f>INDEX(Muuttujat!$O$5:$O$21,MATCH($C385,Muuttujat!$N$5:$N$21,0),1)</f>
        <v>0.1</v>
      </c>
      <c r="R385" s="148">
        <f>INDEX(Muuttujat!$P$5:$P$21,MATCH($C385,Muuttujat!$N$5:$N$21,0),1)</f>
        <v>0.10417875759940039</v>
      </c>
      <c r="S385" s="149">
        <f t="shared" si="113"/>
        <v>0</v>
      </c>
      <c r="T385" s="150">
        <f t="shared" si="114"/>
        <v>0</v>
      </c>
      <c r="U385" s="150">
        <f t="shared" si="115"/>
        <v>0</v>
      </c>
      <c r="V385" s="150">
        <f>IFERROR(INDEX(Työkonekanta!$J$3:$J$27,MATCH($A385,Työkonekanta!$A$3:$A$24,0),1)*$B385*ef_li_ion_akku/1000/1000/INDEX(Työkonekanta!$K$3:$K$27,MATCH($A385,Työkonekanta!$A$3:$A$24,0)),0)</f>
        <v>0</v>
      </c>
      <c r="W385" s="149">
        <f t="shared" si="128"/>
        <v>0</v>
      </c>
      <c r="X385" s="150">
        <f t="shared" si="129"/>
        <v>0</v>
      </c>
      <c r="Y385" s="151">
        <f t="shared" si="130"/>
        <v>0</v>
      </c>
      <c r="Z385" s="152">
        <f t="shared" si="122"/>
        <v>0</v>
      </c>
      <c r="AA385" s="179">
        <f t="shared" si="123"/>
        <v>0</v>
      </c>
      <c r="AB385" s="179">
        <f t="shared" si="124"/>
        <v>0</v>
      </c>
      <c r="AC385" s="180">
        <f t="shared" si="131"/>
        <v>0</v>
      </c>
      <c r="AD385" s="156">
        <f t="shared" si="125"/>
        <v>0</v>
      </c>
      <c r="AE385" s="146">
        <f>IFERROR(INDEX(Työkonekanta!$L$3:$L$30,MATCH($A385,Työkonekanta!$A$3:$A$30,0),1),0)*AF385</f>
        <v>0</v>
      </c>
      <c r="AF385" s="146">
        <f>IFERROR(INDEX(Työkonekanta!$N$3:$N$32,MATCH($A385,Työkonekanta!$A$3:$A$32,0),1),0)</f>
        <v>0</v>
      </c>
      <c r="AG385" s="332">
        <f>I385*INDEX(Muuttujat!$U$5:$U$21,MATCH($C385,Muuttujat!$N$5:$N$21,0),1)</f>
        <v>0</v>
      </c>
      <c r="AH385" s="332">
        <f>J385*INDEX(Muuttujat!$T$5:$T$21,MATCH($C385,Muuttujat!$N$5:$N$21,0),1)</f>
        <v>0</v>
      </c>
      <c r="AI385" s="332">
        <f t="shared" si="116"/>
        <v>0</v>
      </c>
      <c r="AJ385" s="332">
        <f t="shared" si="117"/>
        <v>0</v>
      </c>
      <c r="AK385" s="332">
        <f t="shared" si="126"/>
        <v>0</v>
      </c>
      <c r="AL385" s="332">
        <f t="shared" si="118"/>
        <v>0</v>
      </c>
    </row>
    <row r="386" spans="1:38">
      <c r="A386" s="139">
        <v>24</v>
      </c>
      <c r="B386" s="139">
        <f>IFERROR(INDEX(Työkonekanta!$F$3:$F$27,MATCH('S0b Baseline kasvu'!$A386,Työkonekanta!$A$3:$A$24,0),1),0)</f>
        <v>0</v>
      </c>
      <c r="C386" s="140">
        <v>2031</v>
      </c>
      <c r="D386" s="141" t="str">
        <f>IFERROR(INDEX(Työkonekanta!$D$3:$D$27,MATCH('S0b Baseline kasvu'!$A386,Työkonekanta!$A$3:$A$24,0),1),"undefined")</f>
        <v>undefined</v>
      </c>
      <c r="E386" s="145">
        <f>IFERROR(INDEX(Työkonekanta!$G$3:$G$27,MATCH($A386,Työkonekanta!$A$3:$A$24,0),1)*INDEX(Työkonekanta!$H$3:$H$27,MATCH($A386,Työkonekanta!$A$3:$A$24,0),1)*(1+s0b_kasvu*($C386-2019))*$B386,0)</f>
        <v>0</v>
      </c>
      <c r="F386" s="145">
        <f t="shared" si="110"/>
        <v>0</v>
      </c>
      <c r="G386" s="145">
        <f t="shared" si="119"/>
        <v>0</v>
      </c>
      <c r="H386" s="145">
        <f t="shared" si="120"/>
        <v>0</v>
      </c>
      <c r="I386" s="145">
        <f t="shared" si="111"/>
        <v>0</v>
      </c>
      <c r="J386" s="145">
        <f t="shared" si="112"/>
        <v>0</v>
      </c>
      <c r="K386" s="142" t="str">
        <f t="shared" si="121"/>
        <v>undefined</v>
      </c>
      <c r="L386" s="146">
        <f>IFERROR(INDEX(Työkonekanta!$I$3:$I$27,MATCH('S0b Baseline kasvu'!$A386,Työkonekanta!$A$3:$A$24,0),1)*(I386+J386)*f_adblue,0)</f>
        <v>0</v>
      </c>
      <c r="M386" s="146">
        <f t="shared" si="127"/>
        <v>0</v>
      </c>
      <c r="N386" s="143" t="str">
        <f>IF(tuulisähkö_vuosi&lt;='S0b Baseline kasvu'!C386,"tuulisähkö",ostosähkö_nyt)</f>
        <v>jäännössähkö</v>
      </c>
      <c r="O386" s="147">
        <f>INDEX(Muuttujat!$J$5:$J$21,MATCH($C386,Muuttujat!$H$5:$H$21,0),1)</f>
        <v>61.379690186142746</v>
      </c>
      <c r="P386" s="342">
        <f>1-(INDEX(Muuttujat!$O$5:$O$21,MATCH($C386,Muuttujat!$N$5:$N$21,0),1))</f>
        <v>0.9</v>
      </c>
      <c r="Q386" s="342">
        <f>INDEX(Muuttujat!$O$5:$O$21,MATCH($C386,Muuttujat!$N$5:$N$21,0),1)</f>
        <v>0.1</v>
      </c>
      <c r="R386" s="148">
        <f>INDEX(Muuttujat!$P$5:$P$21,MATCH($C386,Muuttujat!$N$5:$N$21,0),1)</f>
        <v>0.10417875759940039</v>
      </c>
      <c r="S386" s="149">
        <f t="shared" si="113"/>
        <v>0</v>
      </c>
      <c r="T386" s="150">
        <f t="shared" si="114"/>
        <v>0</v>
      </c>
      <c r="U386" s="150">
        <f t="shared" si="115"/>
        <v>0</v>
      </c>
      <c r="V386" s="150">
        <f>IFERROR(INDEX(Työkonekanta!$J$3:$J$27,MATCH($A386,Työkonekanta!$A$3:$A$24,0),1)*$B386*ef_li_ion_akku/1000/1000/INDEX(Työkonekanta!$K$3:$K$27,MATCH($A386,Työkonekanta!$A$3:$A$24,0)),0)</f>
        <v>0</v>
      </c>
      <c r="W386" s="149">
        <f t="shared" si="128"/>
        <v>0</v>
      </c>
      <c r="X386" s="150">
        <f t="shared" si="129"/>
        <v>0</v>
      </c>
      <c r="Y386" s="151">
        <f t="shared" si="130"/>
        <v>0</v>
      </c>
      <c r="Z386" s="152">
        <f t="shared" si="122"/>
        <v>0</v>
      </c>
      <c r="AA386" s="179">
        <f t="shared" si="123"/>
        <v>0</v>
      </c>
      <c r="AB386" s="179">
        <f t="shared" si="124"/>
        <v>0</v>
      </c>
      <c r="AC386" s="180">
        <f t="shared" si="131"/>
        <v>0</v>
      </c>
      <c r="AD386" s="156">
        <f t="shared" si="125"/>
        <v>0</v>
      </c>
      <c r="AE386" s="146">
        <f>IFERROR(INDEX(Työkonekanta!$L$3:$L$30,MATCH($A386,Työkonekanta!$A$3:$A$30,0),1),0)*AF386</f>
        <v>0</v>
      </c>
      <c r="AF386" s="146">
        <f>IFERROR(INDEX(Työkonekanta!$N$3:$N$32,MATCH($A386,Työkonekanta!$A$3:$A$32,0),1),0)</f>
        <v>0</v>
      </c>
      <c r="AG386" s="332">
        <f>I386*INDEX(Muuttujat!$U$5:$U$21,MATCH($C386,Muuttujat!$N$5:$N$21,0),1)</f>
        <v>0</v>
      </c>
      <c r="AH386" s="332">
        <f>J386*INDEX(Muuttujat!$T$5:$T$21,MATCH($C386,Muuttujat!$N$5:$N$21,0),1)</f>
        <v>0</v>
      </c>
      <c r="AI386" s="332">
        <f t="shared" si="116"/>
        <v>0</v>
      </c>
      <c r="AJ386" s="332">
        <f t="shared" si="117"/>
        <v>0</v>
      </c>
      <c r="AK386" s="332">
        <f t="shared" si="126"/>
        <v>0</v>
      </c>
      <c r="AL386" s="332">
        <f t="shared" si="118"/>
        <v>0</v>
      </c>
    </row>
    <row r="387" spans="1:38">
      <c r="A387" s="139">
        <v>25</v>
      </c>
      <c r="B387" s="139">
        <f>IFERROR(INDEX(Työkonekanta!$F$3:$F$27,MATCH('S0b Baseline kasvu'!$A387,Työkonekanta!$A$3:$A$24,0),1),0)</f>
        <v>0</v>
      </c>
      <c r="C387" s="140">
        <v>2031</v>
      </c>
      <c r="D387" s="141" t="str">
        <f>IFERROR(INDEX(Työkonekanta!$D$3:$D$27,MATCH('S0b Baseline kasvu'!$A387,Työkonekanta!$A$3:$A$24,0),1),"undefined")</f>
        <v>undefined</v>
      </c>
      <c r="E387" s="145">
        <f>IFERROR(INDEX(Työkonekanta!$G$3:$G$27,MATCH($A387,Työkonekanta!$A$3:$A$24,0),1)*INDEX(Työkonekanta!$H$3:$H$27,MATCH($A387,Työkonekanta!$A$3:$A$24,0),1)*(1+s0b_kasvu*($C387-2019))*$B387,0)</f>
        <v>0</v>
      </c>
      <c r="F387" s="145">
        <f t="shared" ref="F387:F450" si="132">IF(D387="pom",$E387*hv_pom,0)</f>
        <v>0</v>
      </c>
      <c r="G387" s="145">
        <f t="shared" si="119"/>
        <v>0</v>
      </c>
      <c r="H387" s="145">
        <f t="shared" si="120"/>
        <v>0</v>
      </c>
      <c r="I387" s="145">
        <f t="shared" ref="I387:I450" si="133">$G387/hv_pom</f>
        <v>0</v>
      </c>
      <c r="J387" s="145">
        <f t="shared" ref="J387:J450" si="134">$H387/hv_biodies</f>
        <v>0</v>
      </c>
      <c r="K387" s="142" t="str">
        <f t="shared" si="121"/>
        <v>undefined</v>
      </c>
      <c r="L387" s="146">
        <f>IFERROR(INDEX(Työkonekanta!$I$3:$I$27,MATCH('S0b Baseline kasvu'!$A387,Työkonekanta!$A$3:$A$24,0),1)*(I387+J387)*f_adblue,0)</f>
        <v>0</v>
      </c>
      <c r="M387" s="146">
        <f t="shared" si="127"/>
        <v>0</v>
      </c>
      <c r="N387" s="143" t="str">
        <f>IF(tuulisähkö_vuosi&lt;='S0b Baseline kasvu'!C387,"tuulisähkö",ostosähkö_nyt)</f>
        <v>jäännössähkö</v>
      </c>
      <c r="O387" s="147">
        <f>INDEX(Muuttujat!$J$5:$J$21,MATCH($C387,Muuttujat!$H$5:$H$21,0),1)</f>
        <v>61.379690186142746</v>
      </c>
      <c r="P387" s="342">
        <f>1-(INDEX(Muuttujat!$O$5:$O$21,MATCH($C387,Muuttujat!$N$5:$N$21,0),1))</f>
        <v>0.9</v>
      </c>
      <c r="Q387" s="342">
        <f>INDEX(Muuttujat!$O$5:$O$21,MATCH($C387,Muuttujat!$N$5:$N$21,0),1)</f>
        <v>0.1</v>
      </c>
      <c r="R387" s="148">
        <f>INDEX(Muuttujat!$P$5:$P$21,MATCH($C387,Muuttujat!$N$5:$N$21,0),1)</f>
        <v>0.10417875759940039</v>
      </c>
      <c r="S387" s="149">
        <f t="shared" ref="S387:S450" si="135">wtt_ef_e_co2_dies*$G387/1000/1000</f>
        <v>0</v>
      </c>
      <c r="T387" s="150">
        <f t="shared" ref="T387:T450" si="136">wtt_ef_e_co2_biodies*$H387/1000/1000</f>
        <v>0</v>
      </c>
      <c r="U387" s="150">
        <f t="shared" ref="U387:U450" si="137">IF(N387="jäännössähkö",$O387,IF(N387="tuulisähkö",wtt_ef_e_co2_el_wind,0))*$M387/1000/1000</f>
        <v>0</v>
      </c>
      <c r="V387" s="150">
        <f>IFERROR(INDEX(Työkonekanta!$J$3:$J$27,MATCH($A387,Työkonekanta!$A$3:$A$24,0),1)*$B387*ef_li_ion_akku/1000/1000/INDEX(Työkonekanta!$K$3:$K$27,MATCH($A387,Työkonekanta!$A$3:$A$24,0)),0)</f>
        <v>0</v>
      </c>
      <c r="W387" s="149">
        <f t="shared" si="128"/>
        <v>0</v>
      </c>
      <c r="X387" s="150">
        <f t="shared" si="129"/>
        <v>0</v>
      </c>
      <c r="Y387" s="151">
        <f t="shared" si="130"/>
        <v>0</v>
      </c>
      <c r="Z387" s="152">
        <f t="shared" si="122"/>
        <v>0</v>
      </c>
      <c r="AA387" s="179">
        <f t="shared" si="123"/>
        <v>0</v>
      </c>
      <c r="AB387" s="179">
        <f t="shared" si="124"/>
        <v>0</v>
      </c>
      <c r="AC387" s="180">
        <f t="shared" si="131"/>
        <v>0</v>
      </c>
      <c r="AD387" s="156">
        <f t="shared" si="125"/>
        <v>0</v>
      </c>
      <c r="AE387" s="146">
        <f>IFERROR(INDEX(Työkonekanta!$L$3:$L$30,MATCH($A387,Työkonekanta!$A$3:$A$30,0),1),0)*AF387</f>
        <v>0</v>
      </c>
      <c r="AF387" s="146">
        <f>IFERROR(INDEX(Työkonekanta!$N$3:$N$32,MATCH($A387,Työkonekanta!$A$3:$A$32,0),1),0)</f>
        <v>0</v>
      </c>
      <c r="AG387" s="332">
        <f>I387*INDEX(Muuttujat!$U$5:$U$21,MATCH($C387,Muuttujat!$N$5:$N$21,0),1)</f>
        <v>0</v>
      </c>
      <c r="AH387" s="332">
        <f>J387*INDEX(Muuttujat!$T$5:$T$21,MATCH($C387,Muuttujat!$N$5:$N$21,0),1)</f>
        <v>0</v>
      </c>
      <c r="AI387" s="332">
        <f t="shared" ref="AI387:AI450" si="138">L387*hinta_adblue</f>
        <v>0</v>
      </c>
      <c r="AJ387" s="332">
        <f t="shared" ref="AJ387:AJ450" si="139">M387/conv_kwh_mj*hinta_sähkö3</f>
        <v>0</v>
      </c>
      <c r="AK387" s="332">
        <f t="shared" si="126"/>
        <v>0</v>
      </c>
      <c r="AL387" s="332">
        <f t="shared" ref="AL387:AL450" si="140">IFERROR(AK387/B387,0)</f>
        <v>0</v>
      </c>
    </row>
    <row r="388" spans="1:38">
      <c r="A388" s="139">
        <v>26</v>
      </c>
      <c r="B388" s="139">
        <f>IFERROR(INDEX(Työkonekanta!$F$3:$F$27,MATCH('S0b Baseline kasvu'!$A388,Työkonekanta!$A$3:$A$24,0),1),0)</f>
        <v>0</v>
      </c>
      <c r="C388" s="140">
        <v>2031</v>
      </c>
      <c r="D388" s="141" t="str">
        <f>IFERROR(INDEX(Työkonekanta!$D$3:$D$27,MATCH('S0b Baseline kasvu'!$A388,Työkonekanta!$A$3:$A$24,0),1),"undefined")</f>
        <v>undefined</v>
      </c>
      <c r="E388" s="145">
        <f>IFERROR(INDEX(Työkonekanta!$G$3:$G$27,MATCH($A388,Työkonekanta!$A$3:$A$24,0),1)*INDEX(Työkonekanta!$H$3:$H$27,MATCH($A388,Työkonekanta!$A$3:$A$24,0),1)*(1+s0b_kasvu*($C388-2019))*$B388,0)</f>
        <v>0</v>
      </c>
      <c r="F388" s="145">
        <f t="shared" si="132"/>
        <v>0</v>
      </c>
      <c r="G388" s="145">
        <f t="shared" ref="G388:G451" si="141">$F388*$P388</f>
        <v>0</v>
      </c>
      <c r="H388" s="145">
        <f t="shared" ref="H388:H451" si="142">$F388*$Q388</f>
        <v>0</v>
      </c>
      <c r="I388" s="145">
        <f t="shared" si="133"/>
        <v>0</v>
      </c>
      <c r="J388" s="145">
        <f t="shared" si="134"/>
        <v>0</v>
      </c>
      <c r="K388" s="142" t="str">
        <f t="shared" ref="K388:K451" si="143">IF($D388="sähkö","kWh",IF($D388="pom","l","undefined"))</f>
        <v>undefined</v>
      </c>
      <c r="L388" s="146">
        <f>IFERROR(INDEX(Työkonekanta!$I$3:$I$27,MATCH('S0b Baseline kasvu'!$A388,Työkonekanta!$A$3:$A$24,0),1)*(I388+J388)*f_adblue,0)</f>
        <v>0</v>
      </c>
      <c r="M388" s="146">
        <f t="shared" si="127"/>
        <v>0</v>
      </c>
      <c r="N388" s="143" t="str">
        <f>IF(tuulisähkö_vuosi&lt;='S0b Baseline kasvu'!C388,"tuulisähkö",ostosähkö_nyt)</f>
        <v>jäännössähkö</v>
      </c>
      <c r="O388" s="147">
        <f>INDEX(Muuttujat!$J$5:$J$21,MATCH($C388,Muuttujat!$H$5:$H$21,0),1)</f>
        <v>61.379690186142746</v>
      </c>
      <c r="P388" s="342">
        <f>1-(INDEX(Muuttujat!$O$5:$O$21,MATCH($C388,Muuttujat!$N$5:$N$21,0),1))</f>
        <v>0.9</v>
      </c>
      <c r="Q388" s="342">
        <f>INDEX(Muuttujat!$O$5:$O$21,MATCH($C388,Muuttujat!$N$5:$N$21,0),1)</f>
        <v>0.1</v>
      </c>
      <c r="R388" s="148">
        <f>INDEX(Muuttujat!$P$5:$P$21,MATCH($C388,Muuttujat!$N$5:$N$21,0),1)</f>
        <v>0.10417875759940039</v>
      </c>
      <c r="S388" s="149">
        <f t="shared" si="135"/>
        <v>0</v>
      </c>
      <c r="T388" s="150">
        <f t="shared" si="136"/>
        <v>0</v>
      </c>
      <c r="U388" s="150">
        <f t="shared" si="137"/>
        <v>0</v>
      </c>
      <c r="V388" s="150">
        <f>IFERROR(INDEX(Työkonekanta!$J$3:$J$27,MATCH($A388,Työkonekanta!$A$3:$A$24,0),1)*$B388*ef_li_ion_akku/1000/1000/INDEX(Työkonekanta!$K$3:$K$27,MATCH($A388,Työkonekanta!$A$3:$A$24,0)),0)</f>
        <v>0</v>
      </c>
      <c r="W388" s="149">
        <f t="shared" si="128"/>
        <v>0</v>
      </c>
      <c r="X388" s="150">
        <f t="shared" si="129"/>
        <v>0</v>
      </c>
      <c r="Y388" s="151">
        <f t="shared" si="130"/>
        <v>0</v>
      </c>
      <c r="Z388" s="152">
        <f t="shared" ref="Z388:Z451" si="144">SUM($S388:$V388)</f>
        <v>0</v>
      </c>
      <c r="AA388" s="179">
        <f t="shared" ref="AA388:AA451" si="145">$W388+$Y388</f>
        <v>0</v>
      </c>
      <c r="AB388" s="179">
        <f t="shared" ref="AB388:AB451" si="146">SUM($W388:$Y388)</f>
        <v>0</v>
      </c>
      <c r="AC388" s="180">
        <f t="shared" si="131"/>
        <v>0</v>
      </c>
      <c r="AD388" s="156">
        <f t="shared" ref="AD388:AD451" si="147">$Z388+$AB388</f>
        <v>0</v>
      </c>
      <c r="AE388" s="146">
        <f>IFERROR(INDEX(Työkonekanta!$L$3:$L$30,MATCH($A388,Työkonekanta!$A$3:$A$30,0),1),0)*AF388</f>
        <v>0</v>
      </c>
      <c r="AF388" s="146">
        <f>IFERROR(INDEX(Työkonekanta!$N$3:$N$32,MATCH($A388,Työkonekanta!$A$3:$A$32,0),1),0)</f>
        <v>0</v>
      </c>
      <c r="AG388" s="332">
        <f>I388*INDEX(Muuttujat!$U$5:$U$21,MATCH($C388,Muuttujat!$N$5:$N$21,0),1)</f>
        <v>0</v>
      </c>
      <c r="AH388" s="332">
        <f>J388*INDEX(Muuttujat!$T$5:$T$21,MATCH($C388,Muuttujat!$N$5:$N$21,0),1)</f>
        <v>0</v>
      </c>
      <c r="AI388" s="332">
        <f t="shared" si="138"/>
        <v>0</v>
      </c>
      <c r="AJ388" s="332">
        <f t="shared" si="139"/>
        <v>0</v>
      </c>
      <c r="AK388" s="332">
        <f t="shared" ref="AK388:AK451" si="148">SUM(AG388:AJ388)</f>
        <v>0</v>
      </c>
      <c r="AL388" s="332">
        <f t="shared" si="140"/>
        <v>0</v>
      </c>
    </row>
    <row r="389" spans="1:38">
      <c r="A389" s="139">
        <v>27</v>
      </c>
      <c r="B389" s="139">
        <f>IFERROR(INDEX(Työkonekanta!$F$3:$F$27,MATCH('S0b Baseline kasvu'!$A389,Työkonekanta!$A$3:$A$24,0),1),0)</f>
        <v>0</v>
      </c>
      <c r="C389" s="140">
        <v>2031</v>
      </c>
      <c r="D389" s="141" t="str">
        <f>IFERROR(INDEX(Työkonekanta!$D$3:$D$27,MATCH('S0b Baseline kasvu'!$A389,Työkonekanta!$A$3:$A$24,0),1),"undefined")</f>
        <v>undefined</v>
      </c>
      <c r="E389" s="145">
        <f>IFERROR(INDEX(Työkonekanta!$G$3:$G$27,MATCH($A389,Työkonekanta!$A$3:$A$24,0),1)*INDEX(Työkonekanta!$H$3:$H$27,MATCH($A389,Työkonekanta!$A$3:$A$24,0),1)*(1+s0b_kasvu*($C389-2019))*$B389,0)</f>
        <v>0</v>
      </c>
      <c r="F389" s="145">
        <f t="shared" si="132"/>
        <v>0</v>
      </c>
      <c r="G389" s="145">
        <f t="shared" si="141"/>
        <v>0</v>
      </c>
      <c r="H389" s="145">
        <f t="shared" si="142"/>
        <v>0</v>
      </c>
      <c r="I389" s="145">
        <f t="shared" si="133"/>
        <v>0</v>
      </c>
      <c r="J389" s="145">
        <f t="shared" si="134"/>
        <v>0</v>
      </c>
      <c r="K389" s="142" t="str">
        <f t="shared" si="143"/>
        <v>undefined</v>
      </c>
      <c r="L389" s="146">
        <f>IFERROR(INDEX(Työkonekanta!$I$3:$I$27,MATCH('S0b Baseline kasvu'!$A389,Työkonekanta!$A$3:$A$24,0),1)*(I389+J389)*f_adblue,0)</f>
        <v>0</v>
      </c>
      <c r="M389" s="146">
        <f t="shared" si="127"/>
        <v>0</v>
      </c>
      <c r="N389" s="143" t="str">
        <f>IF(tuulisähkö_vuosi&lt;='S0b Baseline kasvu'!C389,"tuulisähkö",ostosähkö_nyt)</f>
        <v>jäännössähkö</v>
      </c>
      <c r="O389" s="147">
        <f>INDEX(Muuttujat!$J$5:$J$21,MATCH($C389,Muuttujat!$H$5:$H$21,0),1)</f>
        <v>61.379690186142746</v>
      </c>
      <c r="P389" s="342">
        <f>1-(INDEX(Muuttujat!$O$5:$O$21,MATCH($C389,Muuttujat!$N$5:$N$21,0),1))</f>
        <v>0.9</v>
      </c>
      <c r="Q389" s="342">
        <f>INDEX(Muuttujat!$O$5:$O$21,MATCH($C389,Muuttujat!$N$5:$N$21,0),1)</f>
        <v>0.1</v>
      </c>
      <c r="R389" s="148">
        <f>INDEX(Muuttujat!$P$5:$P$21,MATCH($C389,Muuttujat!$N$5:$N$21,0),1)</f>
        <v>0.10417875759940039</v>
      </c>
      <c r="S389" s="149">
        <f t="shared" si="135"/>
        <v>0</v>
      </c>
      <c r="T389" s="150">
        <f t="shared" si="136"/>
        <v>0</v>
      </c>
      <c r="U389" s="150">
        <f t="shared" si="137"/>
        <v>0</v>
      </c>
      <c r="V389" s="150">
        <f>IFERROR(INDEX(Työkonekanta!$J$3:$J$27,MATCH($A389,Työkonekanta!$A$3:$A$24,0),1)*$B389*ef_li_ion_akku/1000/1000/INDEX(Työkonekanta!$K$3:$K$27,MATCH($A389,Työkonekanta!$A$3:$A$24,0)),0)</f>
        <v>0</v>
      </c>
      <c r="W389" s="149">
        <f t="shared" si="128"/>
        <v>0</v>
      </c>
      <c r="X389" s="150">
        <f t="shared" si="129"/>
        <v>0</v>
      </c>
      <c r="Y389" s="151">
        <f t="shared" si="130"/>
        <v>0</v>
      </c>
      <c r="Z389" s="152">
        <f t="shared" si="144"/>
        <v>0</v>
      </c>
      <c r="AA389" s="179">
        <f t="shared" si="145"/>
        <v>0</v>
      </c>
      <c r="AB389" s="179">
        <f t="shared" si="146"/>
        <v>0</v>
      </c>
      <c r="AC389" s="180">
        <f t="shared" si="131"/>
        <v>0</v>
      </c>
      <c r="AD389" s="156">
        <f t="shared" si="147"/>
        <v>0</v>
      </c>
      <c r="AE389" s="146">
        <f>IFERROR(INDEX(Työkonekanta!$L$3:$L$30,MATCH($A389,Työkonekanta!$A$3:$A$30,0),1),0)*AF389</f>
        <v>0</v>
      </c>
      <c r="AF389" s="146">
        <f>IFERROR(INDEX(Työkonekanta!$N$3:$N$32,MATCH($A389,Työkonekanta!$A$3:$A$32,0),1),0)</f>
        <v>0</v>
      </c>
      <c r="AG389" s="332">
        <f>I389*INDEX(Muuttujat!$U$5:$U$21,MATCH($C389,Muuttujat!$N$5:$N$21,0),1)</f>
        <v>0</v>
      </c>
      <c r="AH389" s="332">
        <f>J389*INDEX(Muuttujat!$T$5:$T$21,MATCH($C389,Muuttujat!$N$5:$N$21,0),1)</f>
        <v>0</v>
      </c>
      <c r="AI389" s="332">
        <f t="shared" si="138"/>
        <v>0</v>
      </c>
      <c r="AJ389" s="332">
        <f t="shared" si="139"/>
        <v>0</v>
      </c>
      <c r="AK389" s="332">
        <f t="shared" si="148"/>
        <v>0</v>
      </c>
      <c r="AL389" s="332">
        <f t="shared" si="140"/>
        <v>0</v>
      </c>
    </row>
    <row r="390" spans="1:38">
      <c r="A390" s="139">
        <v>28</v>
      </c>
      <c r="B390" s="139">
        <f>IFERROR(INDEX(Työkonekanta!$F$3:$F$27,MATCH('S0b Baseline kasvu'!$A390,Työkonekanta!$A$3:$A$24,0),1),0)</f>
        <v>0</v>
      </c>
      <c r="C390" s="140">
        <v>2031</v>
      </c>
      <c r="D390" s="141" t="str">
        <f>IFERROR(INDEX(Työkonekanta!$D$3:$D$27,MATCH('S0b Baseline kasvu'!$A390,Työkonekanta!$A$3:$A$24,0),1),"undefined")</f>
        <v>undefined</v>
      </c>
      <c r="E390" s="145">
        <f>IFERROR(INDEX(Työkonekanta!$G$3:$G$27,MATCH($A390,Työkonekanta!$A$3:$A$24,0),1)*INDEX(Työkonekanta!$H$3:$H$27,MATCH($A390,Työkonekanta!$A$3:$A$24,0),1)*(1+s0b_kasvu*($C390-2019))*$B390,0)</f>
        <v>0</v>
      </c>
      <c r="F390" s="145">
        <f t="shared" si="132"/>
        <v>0</v>
      </c>
      <c r="G390" s="145">
        <f t="shared" si="141"/>
        <v>0</v>
      </c>
      <c r="H390" s="145">
        <f t="shared" si="142"/>
        <v>0</v>
      </c>
      <c r="I390" s="145">
        <f t="shared" si="133"/>
        <v>0</v>
      </c>
      <c r="J390" s="145">
        <f t="shared" si="134"/>
        <v>0</v>
      </c>
      <c r="K390" s="142" t="str">
        <f t="shared" si="143"/>
        <v>undefined</v>
      </c>
      <c r="L390" s="146">
        <f>IFERROR(INDEX(Työkonekanta!$I$3:$I$27,MATCH('S0b Baseline kasvu'!$A390,Työkonekanta!$A$3:$A$24,0),1)*(I390+J390)*f_adblue,0)</f>
        <v>0</v>
      </c>
      <c r="M390" s="146">
        <f t="shared" si="127"/>
        <v>0</v>
      </c>
      <c r="N390" s="143" t="str">
        <f>IF(tuulisähkö_vuosi&lt;='S0b Baseline kasvu'!C390,"tuulisähkö",ostosähkö_nyt)</f>
        <v>jäännössähkö</v>
      </c>
      <c r="O390" s="147">
        <f>INDEX(Muuttujat!$J$5:$J$21,MATCH($C390,Muuttujat!$H$5:$H$21,0),1)</f>
        <v>61.379690186142746</v>
      </c>
      <c r="P390" s="342">
        <f>1-(INDEX(Muuttujat!$O$5:$O$21,MATCH($C390,Muuttujat!$N$5:$N$21,0),1))</f>
        <v>0.9</v>
      </c>
      <c r="Q390" s="342">
        <f>INDEX(Muuttujat!$O$5:$O$21,MATCH($C390,Muuttujat!$N$5:$N$21,0),1)</f>
        <v>0.1</v>
      </c>
      <c r="R390" s="148">
        <f>INDEX(Muuttujat!$P$5:$P$21,MATCH($C390,Muuttujat!$N$5:$N$21,0),1)</f>
        <v>0.10417875759940039</v>
      </c>
      <c r="S390" s="149">
        <f t="shared" si="135"/>
        <v>0</v>
      </c>
      <c r="T390" s="150">
        <f t="shared" si="136"/>
        <v>0</v>
      </c>
      <c r="U390" s="150">
        <f t="shared" si="137"/>
        <v>0</v>
      </c>
      <c r="V390" s="150">
        <f>IFERROR(INDEX(Työkonekanta!$J$3:$J$27,MATCH($A390,Työkonekanta!$A$3:$A$24,0),1)*$B390*ef_li_ion_akku/1000/1000/INDEX(Työkonekanta!$K$3:$K$27,MATCH($A390,Työkonekanta!$A$3:$A$24,0)),0)</f>
        <v>0</v>
      </c>
      <c r="W390" s="149">
        <f t="shared" si="128"/>
        <v>0</v>
      </c>
      <c r="X390" s="150">
        <f t="shared" si="129"/>
        <v>0</v>
      </c>
      <c r="Y390" s="151">
        <f t="shared" si="130"/>
        <v>0</v>
      </c>
      <c r="Z390" s="152">
        <f t="shared" si="144"/>
        <v>0</v>
      </c>
      <c r="AA390" s="179">
        <f t="shared" si="145"/>
        <v>0</v>
      </c>
      <c r="AB390" s="179">
        <f t="shared" si="146"/>
        <v>0</v>
      </c>
      <c r="AC390" s="180">
        <f t="shared" si="131"/>
        <v>0</v>
      </c>
      <c r="AD390" s="156">
        <f t="shared" si="147"/>
        <v>0</v>
      </c>
      <c r="AE390" s="146">
        <f>IFERROR(INDEX(Työkonekanta!$L$3:$L$30,MATCH($A390,Työkonekanta!$A$3:$A$30,0),1),0)*AF390</f>
        <v>0</v>
      </c>
      <c r="AF390" s="146">
        <f>IFERROR(INDEX(Työkonekanta!$N$3:$N$32,MATCH($A390,Työkonekanta!$A$3:$A$32,0),1),0)</f>
        <v>0</v>
      </c>
      <c r="AG390" s="332">
        <f>I390*INDEX(Muuttujat!$U$5:$U$21,MATCH($C390,Muuttujat!$N$5:$N$21,0),1)</f>
        <v>0</v>
      </c>
      <c r="AH390" s="332">
        <f>J390*INDEX(Muuttujat!$T$5:$T$21,MATCH($C390,Muuttujat!$N$5:$N$21,0),1)</f>
        <v>0</v>
      </c>
      <c r="AI390" s="332">
        <f t="shared" si="138"/>
        <v>0</v>
      </c>
      <c r="AJ390" s="332">
        <f t="shared" si="139"/>
        <v>0</v>
      </c>
      <c r="AK390" s="332">
        <f t="shared" si="148"/>
        <v>0</v>
      </c>
      <c r="AL390" s="332">
        <f t="shared" si="140"/>
        <v>0</v>
      </c>
    </row>
    <row r="391" spans="1:38">
      <c r="A391" s="139">
        <v>29</v>
      </c>
      <c r="B391" s="139">
        <f>IFERROR(INDEX(Työkonekanta!$F$3:$F$27,MATCH('S0b Baseline kasvu'!$A391,Työkonekanta!$A$3:$A$24,0),1),0)</f>
        <v>0</v>
      </c>
      <c r="C391" s="140">
        <v>2031</v>
      </c>
      <c r="D391" s="141" t="str">
        <f>IFERROR(INDEX(Työkonekanta!$D$3:$D$27,MATCH('S0b Baseline kasvu'!$A391,Työkonekanta!$A$3:$A$24,0),1),"undefined")</f>
        <v>undefined</v>
      </c>
      <c r="E391" s="145">
        <f>IFERROR(INDEX(Työkonekanta!$G$3:$G$27,MATCH($A391,Työkonekanta!$A$3:$A$24,0),1)*INDEX(Työkonekanta!$H$3:$H$27,MATCH($A391,Työkonekanta!$A$3:$A$24,0),1)*(1+s0b_kasvu*($C391-2019))*$B391,0)</f>
        <v>0</v>
      </c>
      <c r="F391" s="145">
        <f t="shared" si="132"/>
        <v>0</v>
      </c>
      <c r="G391" s="145">
        <f t="shared" si="141"/>
        <v>0</v>
      </c>
      <c r="H391" s="145">
        <f t="shared" si="142"/>
        <v>0</v>
      </c>
      <c r="I391" s="145">
        <f t="shared" si="133"/>
        <v>0</v>
      </c>
      <c r="J391" s="145">
        <f t="shared" si="134"/>
        <v>0</v>
      </c>
      <c r="K391" s="142" t="str">
        <f t="shared" si="143"/>
        <v>undefined</v>
      </c>
      <c r="L391" s="146">
        <f>IFERROR(INDEX(Työkonekanta!$I$3:$I$27,MATCH('S0b Baseline kasvu'!$A391,Työkonekanta!$A$3:$A$24,0),1)*(I391+J391)*f_adblue,0)</f>
        <v>0</v>
      </c>
      <c r="M391" s="146">
        <f t="shared" si="127"/>
        <v>0</v>
      </c>
      <c r="N391" s="143" t="str">
        <f>IF(tuulisähkö_vuosi&lt;='S0b Baseline kasvu'!C391,"tuulisähkö",ostosähkö_nyt)</f>
        <v>jäännössähkö</v>
      </c>
      <c r="O391" s="147">
        <f>INDEX(Muuttujat!$J$5:$J$21,MATCH($C391,Muuttujat!$H$5:$H$21,0),1)</f>
        <v>61.379690186142746</v>
      </c>
      <c r="P391" s="342">
        <f>1-(INDEX(Muuttujat!$O$5:$O$21,MATCH($C391,Muuttujat!$N$5:$N$21,0),1))</f>
        <v>0.9</v>
      </c>
      <c r="Q391" s="342">
        <f>INDEX(Muuttujat!$O$5:$O$21,MATCH($C391,Muuttujat!$N$5:$N$21,0),1)</f>
        <v>0.1</v>
      </c>
      <c r="R391" s="148">
        <f>INDEX(Muuttujat!$P$5:$P$21,MATCH($C391,Muuttujat!$N$5:$N$21,0),1)</f>
        <v>0.10417875759940039</v>
      </c>
      <c r="S391" s="149">
        <f t="shared" si="135"/>
        <v>0</v>
      </c>
      <c r="T391" s="150">
        <f t="shared" si="136"/>
        <v>0</v>
      </c>
      <c r="U391" s="150">
        <f t="shared" si="137"/>
        <v>0</v>
      </c>
      <c r="V391" s="150">
        <f>IFERROR(INDEX(Työkonekanta!$J$3:$J$27,MATCH($A391,Työkonekanta!$A$3:$A$24,0),1)*$B391*ef_li_ion_akku/1000/1000/INDEX(Työkonekanta!$K$3:$K$27,MATCH($A391,Työkonekanta!$A$3:$A$24,0)),0)</f>
        <v>0</v>
      </c>
      <c r="W391" s="149">
        <f t="shared" si="128"/>
        <v>0</v>
      </c>
      <c r="X391" s="150">
        <f t="shared" si="129"/>
        <v>0</v>
      </c>
      <c r="Y391" s="151">
        <f t="shared" si="130"/>
        <v>0</v>
      </c>
      <c r="Z391" s="152">
        <f t="shared" si="144"/>
        <v>0</v>
      </c>
      <c r="AA391" s="179">
        <f t="shared" si="145"/>
        <v>0</v>
      </c>
      <c r="AB391" s="179">
        <f t="shared" si="146"/>
        <v>0</v>
      </c>
      <c r="AC391" s="180">
        <f t="shared" si="131"/>
        <v>0</v>
      </c>
      <c r="AD391" s="156">
        <f t="shared" si="147"/>
        <v>0</v>
      </c>
      <c r="AE391" s="146">
        <f>IFERROR(INDEX(Työkonekanta!$L$3:$L$30,MATCH($A391,Työkonekanta!$A$3:$A$30,0),1),0)*AF391</f>
        <v>0</v>
      </c>
      <c r="AF391" s="146">
        <f>IFERROR(INDEX(Työkonekanta!$N$3:$N$32,MATCH($A391,Työkonekanta!$A$3:$A$32,0),1),0)</f>
        <v>0</v>
      </c>
      <c r="AG391" s="332">
        <f>I391*INDEX(Muuttujat!$U$5:$U$21,MATCH($C391,Muuttujat!$N$5:$N$21,0),1)</f>
        <v>0</v>
      </c>
      <c r="AH391" s="332">
        <f>J391*INDEX(Muuttujat!$T$5:$T$21,MATCH($C391,Muuttujat!$N$5:$N$21,0),1)</f>
        <v>0</v>
      </c>
      <c r="AI391" s="332">
        <f t="shared" si="138"/>
        <v>0</v>
      </c>
      <c r="AJ391" s="332">
        <f t="shared" si="139"/>
        <v>0</v>
      </c>
      <c r="AK391" s="332">
        <f t="shared" si="148"/>
        <v>0</v>
      </c>
      <c r="AL391" s="332">
        <f t="shared" si="140"/>
        <v>0</v>
      </c>
    </row>
    <row r="392" spans="1:38">
      <c r="A392" s="139">
        <v>30</v>
      </c>
      <c r="B392" s="139">
        <f>IFERROR(INDEX(Työkonekanta!$F$3:$F$27,MATCH('S0b Baseline kasvu'!$A392,Työkonekanta!$A$3:$A$24,0),1),0)</f>
        <v>0</v>
      </c>
      <c r="C392" s="140">
        <v>2031</v>
      </c>
      <c r="D392" s="141" t="str">
        <f>IFERROR(INDEX(Työkonekanta!$D$3:$D$27,MATCH('S0b Baseline kasvu'!$A392,Työkonekanta!$A$3:$A$24,0),1),"undefined")</f>
        <v>undefined</v>
      </c>
      <c r="E392" s="145">
        <f>IFERROR(INDEX(Työkonekanta!$G$3:$G$27,MATCH($A392,Työkonekanta!$A$3:$A$24,0),1)*INDEX(Työkonekanta!$H$3:$H$27,MATCH($A392,Työkonekanta!$A$3:$A$24,0),1)*(1+s0b_kasvu*($C392-2019))*$B392,0)</f>
        <v>0</v>
      </c>
      <c r="F392" s="145">
        <f t="shared" si="132"/>
        <v>0</v>
      </c>
      <c r="G392" s="145">
        <f t="shared" si="141"/>
        <v>0</v>
      </c>
      <c r="H392" s="145">
        <f t="shared" si="142"/>
        <v>0</v>
      </c>
      <c r="I392" s="145">
        <f t="shared" si="133"/>
        <v>0</v>
      </c>
      <c r="J392" s="145">
        <f t="shared" si="134"/>
        <v>0</v>
      </c>
      <c r="K392" s="142" t="str">
        <f t="shared" si="143"/>
        <v>undefined</v>
      </c>
      <c r="L392" s="146">
        <f>IFERROR(INDEX(Työkonekanta!$I$3:$I$27,MATCH('S0b Baseline kasvu'!$A392,Työkonekanta!$A$3:$A$24,0),1)*(I392+J392)*f_adblue,0)</f>
        <v>0</v>
      </c>
      <c r="M392" s="146">
        <f t="shared" si="127"/>
        <v>0</v>
      </c>
      <c r="N392" s="143" t="str">
        <f>IF(tuulisähkö_vuosi&lt;='S0b Baseline kasvu'!C392,"tuulisähkö",ostosähkö_nyt)</f>
        <v>jäännössähkö</v>
      </c>
      <c r="O392" s="147">
        <f>INDEX(Muuttujat!$J$5:$J$21,MATCH($C392,Muuttujat!$H$5:$H$21,0),1)</f>
        <v>61.379690186142746</v>
      </c>
      <c r="P392" s="342">
        <f>1-(INDEX(Muuttujat!$O$5:$O$21,MATCH($C392,Muuttujat!$N$5:$N$21,0),1))</f>
        <v>0.9</v>
      </c>
      <c r="Q392" s="342">
        <f>INDEX(Muuttujat!$O$5:$O$21,MATCH($C392,Muuttujat!$N$5:$N$21,0),1)</f>
        <v>0.1</v>
      </c>
      <c r="R392" s="148">
        <f>INDEX(Muuttujat!$P$5:$P$21,MATCH($C392,Muuttujat!$N$5:$N$21,0),1)</f>
        <v>0.10417875759940039</v>
      </c>
      <c r="S392" s="149">
        <f t="shared" si="135"/>
        <v>0</v>
      </c>
      <c r="T392" s="150">
        <f t="shared" si="136"/>
        <v>0</v>
      </c>
      <c r="U392" s="150">
        <f t="shared" si="137"/>
        <v>0</v>
      </c>
      <c r="V392" s="150">
        <f>IFERROR(INDEX(Työkonekanta!$J$3:$J$27,MATCH($A392,Työkonekanta!$A$3:$A$24,0),1)*$B392*ef_li_ion_akku/1000/1000/INDEX(Työkonekanta!$K$3:$K$27,MATCH($A392,Työkonekanta!$A$3:$A$24,0)),0)</f>
        <v>0</v>
      </c>
      <c r="W392" s="149">
        <f t="shared" si="128"/>
        <v>0</v>
      </c>
      <c r="X392" s="150">
        <f t="shared" si="129"/>
        <v>0</v>
      </c>
      <c r="Y392" s="151">
        <f t="shared" si="130"/>
        <v>0</v>
      </c>
      <c r="Z392" s="152">
        <f t="shared" si="144"/>
        <v>0</v>
      </c>
      <c r="AA392" s="179">
        <f t="shared" si="145"/>
        <v>0</v>
      </c>
      <c r="AB392" s="179">
        <f t="shared" si="146"/>
        <v>0</v>
      </c>
      <c r="AC392" s="180">
        <f t="shared" si="131"/>
        <v>0</v>
      </c>
      <c r="AD392" s="156">
        <f t="shared" si="147"/>
        <v>0</v>
      </c>
      <c r="AE392" s="146">
        <f>IFERROR(INDEX(Työkonekanta!$L$3:$L$30,MATCH($A392,Työkonekanta!$A$3:$A$30,0),1),0)*AF392</f>
        <v>0</v>
      </c>
      <c r="AF392" s="146">
        <f>IFERROR(INDEX(Työkonekanta!$N$3:$N$32,MATCH($A392,Työkonekanta!$A$3:$A$32,0),1),0)</f>
        <v>0</v>
      </c>
      <c r="AG392" s="332">
        <f>I392*INDEX(Muuttujat!$U$5:$U$21,MATCH($C392,Muuttujat!$N$5:$N$21,0),1)</f>
        <v>0</v>
      </c>
      <c r="AH392" s="332">
        <f>J392*INDEX(Muuttujat!$T$5:$T$21,MATCH($C392,Muuttujat!$N$5:$N$21,0),1)</f>
        <v>0</v>
      </c>
      <c r="AI392" s="332">
        <f t="shared" si="138"/>
        <v>0</v>
      </c>
      <c r="AJ392" s="332">
        <f t="shared" si="139"/>
        <v>0</v>
      </c>
      <c r="AK392" s="332">
        <f t="shared" si="148"/>
        <v>0</v>
      </c>
      <c r="AL392" s="332">
        <f t="shared" si="140"/>
        <v>0</v>
      </c>
    </row>
    <row r="393" spans="1:38">
      <c r="A393" s="139">
        <v>1</v>
      </c>
      <c r="B393" s="139">
        <f>IFERROR(INDEX(Työkonekanta!$F$3:$F$27,MATCH('S0b Baseline kasvu'!$A393,Työkonekanta!$A$3:$A$24,0),1),0)</f>
        <v>1</v>
      </c>
      <c r="C393" s="140">
        <v>2032</v>
      </c>
      <c r="D393" s="141" t="str">
        <f>IFERROR(INDEX(Työkonekanta!$D$3:$D$27,MATCH('S0b Baseline kasvu'!$A393,Työkonekanta!$A$3:$A$24,0),1),"undefined")</f>
        <v>pom</v>
      </c>
      <c r="E393" s="145">
        <f>IFERROR(INDEX(Työkonekanta!$G$3:$G$27,MATCH($A393,Työkonekanta!$A$3:$A$24,0),1)*INDEX(Työkonekanta!$H$3:$H$27,MATCH($A393,Työkonekanta!$A$3:$A$24,0),1)*(1+s0b_kasvu*($C393-2019))*$B393,0)</f>
        <v>11299.999999999998</v>
      </c>
      <c r="F393" s="145">
        <f t="shared" si="132"/>
        <v>405669.99999999994</v>
      </c>
      <c r="G393" s="145">
        <f t="shared" si="141"/>
        <v>365102.99999999994</v>
      </c>
      <c r="H393" s="145">
        <f t="shared" si="142"/>
        <v>40567</v>
      </c>
      <c r="I393" s="145">
        <f t="shared" si="133"/>
        <v>10169.999999999998</v>
      </c>
      <c r="J393" s="145">
        <f t="shared" si="134"/>
        <v>1182.7113702623908</v>
      </c>
      <c r="K393" s="142" t="str">
        <f t="shared" si="143"/>
        <v>l</v>
      </c>
      <c r="L393" s="146">
        <f>IFERROR(INDEX(Työkonekanta!$I$3:$I$27,MATCH('S0b Baseline kasvu'!$A393,Työkonekanta!$A$3:$A$24,0),1)*(I393+J393)*f_adblue,0)</f>
        <v>567.63556851311944</v>
      </c>
      <c r="M393" s="146">
        <f t="shared" si="127"/>
        <v>0</v>
      </c>
      <c r="N393" s="143" t="str">
        <f>IF(tuulisähkö_vuosi&lt;='S0b Baseline kasvu'!C393,"tuulisähkö",ostosähkö_nyt)</f>
        <v>jäännössähkö</v>
      </c>
      <c r="O393" s="147">
        <f>INDEX(Muuttujat!$J$5:$J$21,MATCH($C393,Muuttujat!$H$5:$H$21,0),1)</f>
        <v>60.765893284281319</v>
      </c>
      <c r="P393" s="342">
        <f>1-(INDEX(Muuttujat!$O$5:$O$21,MATCH($C393,Muuttujat!$N$5:$N$21,0),1))</f>
        <v>0.9</v>
      </c>
      <c r="Q393" s="342">
        <f>INDEX(Muuttujat!$O$5:$O$21,MATCH($C393,Muuttujat!$N$5:$N$21,0),1)</f>
        <v>0.1</v>
      </c>
      <c r="R393" s="148">
        <f>INDEX(Muuttujat!$P$5:$P$21,MATCH($C393,Muuttujat!$N$5:$N$21,0),1)</f>
        <v>0.10417875759940039</v>
      </c>
      <c r="S393" s="149">
        <f t="shared" si="135"/>
        <v>6.9004466999999989</v>
      </c>
      <c r="T393" s="150">
        <f t="shared" si="136"/>
        <v>2.5313808</v>
      </c>
      <c r="U393" s="150">
        <f t="shared" si="137"/>
        <v>0</v>
      </c>
      <c r="V393" s="150">
        <f>IFERROR(INDEX(Työkonekanta!$J$3:$J$27,MATCH($A393,Työkonekanta!$A$3:$A$24,0),1)*$B393*ef_li_ion_akku/1000/1000/INDEX(Työkonekanta!$K$3:$K$27,MATCH($A393,Työkonekanta!$A$3:$A$24,0)),0)</f>
        <v>0</v>
      </c>
      <c r="W393" s="149">
        <f t="shared" si="128"/>
        <v>26.947615061861995</v>
      </c>
      <c r="X393" s="150">
        <f t="shared" si="129"/>
        <v>0.35905259579999993</v>
      </c>
      <c r="Y393" s="151">
        <f t="shared" si="130"/>
        <v>0.14758524781341106</v>
      </c>
      <c r="Z393" s="152">
        <f t="shared" si="144"/>
        <v>9.4318274999999989</v>
      </c>
      <c r="AA393" s="179">
        <f t="shared" si="145"/>
        <v>27.095200309675405</v>
      </c>
      <c r="AB393" s="179">
        <f t="shared" si="146"/>
        <v>27.454252905475407</v>
      </c>
      <c r="AC393" s="180">
        <f t="shared" si="131"/>
        <v>36.527027809675403</v>
      </c>
      <c r="AD393" s="156">
        <f t="shared" si="147"/>
        <v>36.886080405475404</v>
      </c>
      <c r="AE393" s="146">
        <f>IFERROR(INDEX(Työkonekanta!$L$3:$L$30,MATCH($A393,Työkonekanta!$A$3:$A$30,0),1),0)*AF393</f>
        <v>500000</v>
      </c>
      <c r="AF393" s="146">
        <f>IFERROR(INDEX(Työkonekanta!$N$3:$N$32,MATCH($A393,Työkonekanta!$A$3:$A$32,0),1),0)</f>
        <v>1</v>
      </c>
      <c r="AG393" s="332">
        <f>I393*INDEX(Muuttujat!$U$5:$U$21,MATCH($C393,Muuttujat!$N$5:$N$21,0),1)</f>
        <v>10678.499999999998</v>
      </c>
      <c r="AH393" s="332">
        <f>J393*INDEX(Muuttujat!$T$5:$T$21,MATCH($C393,Muuttujat!$N$5:$N$21,0),1)</f>
        <v>1714.9314868804668</v>
      </c>
      <c r="AI393" s="332">
        <f t="shared" si="138"/>
        <v>283.81778425655972</v>
      </c>
      <c r="AJ393" s="332">
        <f t="shared" si="139"/>
        <v>0</v>
      </c>
      <c r="AK393" s="332">
        <f t="shared" si="148"/>
        <v>12677.249271137025</v>
      </c>
      <c r="AL393" s="332">
        <f t="shared" si="140"/>
        <v>12677.249271137025</v>
      </c>
    </row>
    <row r="394" spans="1:38">
      <c r="A394" s="139">
        <v>2</v>
      </c>
      <c r="B394" s="139">
        <f>IFERROR(INDEX(Työkonekanta!$F$3:$F$27,MATCH('S0b Baseline kasvu'!$A394,Työkonekanta!$A$3:$A$24,0),1),0)</f>
        <v>1</v>
      </c>
      <c r="C394" s="140">
        <v>2032</v>
      </c>
      <c r="D394" s="141" t="str">
        <f>IFERROR(INDEX(Työkonekanta!$D$3:$D$27,MATCH('S0b Baseline kasvu'!$A394,Työkonekanta!$A$3:$A$24,0),1),"undefined")</f>
        <v>pom</v>
      </c>
      <c r="E394" s="145">
        <f>IFERROR(INDEX(Työkonekanta!$G$3:$G$27,MATCH($A394,Työkonekanta!$A$3:$A$24,0),1)*INDEX(Työkonekanta!$H$3:$H$27,MATCH($A394,Työkonekanta!$A$3:$A$24,0),1)*(1+s0b_kasvu*($C394-2019))*$B394,0)</f>
        <v>11299.999999999998</v>
      </c>
      <c r="F394" s="145">
        <f t="shared" si="132"/>
        <v>405669.99999999994</v>
      </c>
      <c r="G394" s="145">
        <f t="shared" si="141"/>
        <v>365102.99999999994</v>
      </c>
      <c r="H394" s="145">
        <f t="shared" si="142"/>
        <v>40567</v>
      </c>
      <c r="I394" s="145">
        <f t="shared" si="133"/>
        <v>10169.999999999998</v>
      </c>
      <c r="J394" s="145">
        <f t="shared" si="134"/>
        <v>1182.7113702623908</v>
      </c>
      <c r="K394" s="142" t="str">
        <f t="shared" si="143"/>
        <v>l</v>
      </c>
      <c r="L394" s="146">
        <f>IFERROR(INDEX(Työkonekanta!$I$3:$I$27,MATCH('S0b Baseline kasvu'!$A394,Työkonekanta!$A$3:$A$24,0),1)*(I394+J394)*f_adblue,0)</f>
        <v>567.63556851311944</v>
      </c>
      <c r="M394" s="146">
        <f t="shared" si="127"/>
        <v>0</v>
      </c>
      <c r="N394" s="143" t="str">
        <f>IF(tuulisähkö_vuosi&lt;='S0b Baseline kasvu'!C394,"tuulisähkö",ostosähkö_nyt)</f>
        <v>jäännössähkö</v>
      </c>
      <c r="O394" s="147">
        <f>INDEX(Muuttujat!$J$5:$J$21,MATCH($C394,Muuttujat!$H$5:$H$21,0),1)</f>
        <v>60.765893284281319</v>
      </c>
      <c r="P394" s="342">
        <f>1-(INDEX(Muuttujat!$O$5:$O$21,MATCH($C394,Muuttujat!$N$5:$N$21,0),1))</f>
        <v>0.9</v>
      </c>
      <c r="Q394" s="342">
        <f>INDEX(Muuttujat!$O$5:$O$21,MATCH($C394,Muuttujat!$N$5:$N$21,0),1)</f>
        <v>0.1</v>
      </c>
      <c r="R394" s="148">
        <f>INDEX(Muuttujat!$P$5:$P$21,MATCH($C394,Muuttujat!$N$5:$N$21,0),1)</f>
        <v>0.10417875759940039</v>
      </c>
      <c r="S394" s="149">
        <f t="shared" si="135"/>
        <v>6.9004466999999989</v>
      </c>
      <c r="T394" s="150">
        <f t="shared" si="136"/>
        <v>2.5313808</v>
      </c>
      <c r="U394" s="150">
        <f t="shared" si="137"/>
        <v>0</v>
      </c>
      <c r="V394" s="150">
        <f>IFERROR(INDEX(Työkonekanta!$J$3:$J$27,MATCH($A394,Työkonekanta!$A$3:$A$24,0),1)*$B394*ef_li_ion_akku/1000/1000/INDEX(Työkonekanta!$K$3:$K$27,MATCH($A394,Työkonekanta!$A$3:$A$24,0)),0)</f>
        <v>0</v>
      </c>
      <c r="W394" s="149">
        <f t="shared" si="128"/>
        <v>26.947615061861995</v>
      </c>
      <c r="X394" s="150">
        <f t="shared" si="129"/>
        <v>0.35905259579999993</v>
      </c>
      <c r="Y394" s="151">
        <f t="shared" si="130"/>
        <v>0.14758524781341106</v>
      </c>
      <c r="Z394" s="152">
        <f t="shared" si="144"/>
        <v>9.4318274999999989</v>
      </c>
      <c r="AA394" s="179">
        <f t="shared" si="145"/>
        <v>27.095200309675405</v>
      </c>
      <c r="AB394" s="179">
        <f t="shared" si="146"/>
        <v>27.454252905475407</v>
      </c>
      <c r="AC394" s="180">
        <f t="shared" si="131"/>
        <v>36.527027809675403</v>
      </c>
      <c r="AD394" s="156">
        <f t="shared" si="147"/>
        <v>36.886080405475404</v>
      </c>
      <c r="AE394" s="146">
        <f>IFERROR(INDEX(Työkonekanta!$L$3:$L$30,MATCH($A394,Työkonekanta!$A$3:$A$30,0),1),0)*AF394</f>
        <v>500000</v>
      </c>
      <c r="AF394" s="146">
        <f>IFERROR(INDEX(Työkonekanta!$N$3:$N$32,MATCH($A394,Työkonekanta!$A$3:$A$32,0),1),0)</f>
        <v>1</v>
      </c>
      <c r="AG394" s="332">
        <f>I394*INDEX(Muuttujat!$U$5:$U$21,MATCH($C394,Muuttujat!$N$5:$N$21,0),1)</f>
        <v>10678.499999999998</v>
      </c>
      <c r="AH394" s="332">
        <f>J394*INDEX(Muuttujat!$T$5:$T$21,MATCH($C394,Muuttujat!$N$5:$N$21,0),1)</f>
        <v>1714.9314868804668</v>
      </c>
      <c r="AI394" s="332">
        <f t="shared" si="138"/>
        <v>283.81778425655972</v>
      </c>
      <c r="AJ394" s="332">
        <f t="shared" si="139"/>
        <v>0</v>
      </c>
      <c r="AK394" s="332">
        <f t="shared" si="148"/>
        <v>12677.249271137025</v>
      </c>
      <c r="AL394" s="332">
        <f t="shared" si="140"/>
        <v>12677.249271137025</v>
      </c>
    </row>
    <row r="395" spans="1:38">
      <c r="A395" s="139">
        <v>3</v>
      </c>
      <c r="B395" s="139">
        <f>IFERROR(INDEX(Työkonekanta!$F$3:$F$27,MATCH('S0b Baseline kasvu'!$A395,Työkonekanta!$A$3:$A$24,0),1),0)</f>
        <v>1</v>
      </c>
      <c r="C395" s="140">
        <v>2032</v>
      </c>
      <c r="D395" s="141" t="str">
        <f>IFERROR(INDEX(Työkonekanta!$D$3:$D$27,MATCH('S0b Baseline kasvu'!$A395,Työkonekanta!$A$3:$A$24,0),1),"undefined")</f>
        <v>pom</v>
      </c>
      <c r="E395" s="145">
        <f>IFERROR(INDEX(Työkonekanta!$G$3:$G$27,MATCH($A395,Työkonekanta!$A$3:$A$24,0),1)*INDEX(Työkonekanta!$H$3:$H$27,MATCH($A395,Työkonekanta!$A$3:$A$24,0),1)*(1+s0b_kasvu*($C395-2019))*$B395,0)</f>
        <v>11299.999999999998</v>
      </c>
      <c r="F395" s="145">
        <f t="shared" si="132"/>
        <v>405669.99999999994</v>
      </c>
      <c r="G395" s="145">
        <f t="shared" si="141"/>
        <v>365102.99999999994</v>
      </c>
      <c r="H395" s="145">
        <f t="shared" si="142"/>
        <v>40567</v>
      </c>
      <c r="I395" s="145">
        <f t="shared" si="133"/>
        <v>10169.999999999998</v>
      </c>
      <c r="J395" s="145">
        <f t="shared" si="134"/>
        <v>1182.7113702623908</v>
      </c>
      <c r="K395" s="142" t="str">
        <f t="shared" si="143"/>
        <v>l</v>
      </c>
      <c r="L395" s="146">
        <f>IFERROR(INDEX(Työkonekanta!$I$3:$I$27,MATCH('S0b Baseline kasvu'!$A395,Työkonekanta!$A$3:$A$24,0),1)*(I395+J395)*f_adblue,0)</f>
        <v>567.63556851311944</v>
      </c>
      <c r="M395" s="146">
        <f t="shared" si="127"/>
        <v>0</v>
      </c>
      <c r="N395" s="143" t="str">
        <f>IF(tuulisähkö_vuosi&lt;='S0b Baseline kasvu'!C395,"tuulisähkö",ostosähkö_nyt)</f>
        <v>jäännössähkö</v>
      </c>
      <c r="O395" s="147">
        <f>INDEX(Muuttujat!$J$5:$J$21,MATCH($C395,Muuttujat!$H$5:$H$21,0),1)</f>
        <v>60.765893284281319</v>
      </c>
      <c r="P395" s="342">
        <f>1-(INDEX(Muuttujat!$O$5:$O$21,MATCH($C395,Muuttujat!$N$5:$N$21,0),1))</f>
        <v>0.9</v>
      </c>
      <c r="Q395" s="342">
        <f>INDEX(Muuttujat!$O$5:$O$21,MATCH($C395,Muuttujat!$N$5:$N$21,0),1)</f>
        <v>0.1</v>
      </c>
      <c r="R395" s="148">
        <f>INDEX(Muuttujat!$P$5:$P$21,MATCH($C395,Muuttujat!$N$5:$N$21,0),1)</f>
        <v>0.10417875759940039</v>
      </c>
      <c r="S395" s="149">
        <f t="shared" si="135"/>
        <v>6.9004466999999989</v>
      </c>
      <c r="T395" s="150">
        <f t="shared" si="136"/>
        <v>2.5313808</v>
      </c>
      <c r="U395" s="150">
        <f t="shared" si="137"/>
        <v>0</v>
      </c>
      <c r="V395" s="150">
        <f>IFERROR(INDEX(Työkonekanta!$J$3:$J$27,MATCH($A395,Työkonekanta!$A$3:$A$24,0),1)*$B395*ef_li_ion_akku/1000/1000/INDEX(Työkonekanta!$K$3:$K$27,MATCH($A395,Työkonekanta!$A$3:$A$24,0)),0)</f>
        <v>0</v>
      </c>
      <c r="W395" s="149">
        <f t="shared" si="128"/>
        <v>26.947615061861995</v>
      </c>
      <c r="X395" s="150">
        <f t="shared" si="129"/>
        <v>0.35905259579999993</v>
      </c>
      <c r="Y395" s="151">
        <f t="shared" si="130"/>
        <v>0.14758524781341106</v>
      </c>
      <c r="Z395" s="152">
        <f t="shared" si="144"/>
        <v>9.4318274999999989</v>
      </c>
      <c r="AA395" s="179">
        <f t="shared" si="145"/>
        <v>27.095200309675405</v>
      </c>
      <c r="AB395" s="179">
        <f t="shared" si="146"/>
        <v>27.454252905475407</v>
      </c>
      <c r="AC395" s="180">
        <f t="shared" si="131"/>
        <v>36.527027809675403</v>
      </c>
      <c r="AD395" s="156">
        <f t="shared" si="147"/>
        <v>36.886080405475404</v>
      </c>
      <c r="AE395" s="146">
        <f>IFERROR(INDEX(Työkonekanta!$L$3:$L$30,MATCH($A395,Työkonekanta!$A$3:$A$30,0),1),0)*AF395</f>
        <v>0</v>
      </c>
      <c r="AF395" s="146">
        <f>IFERROR(INDEX(Työkonekanta!$N$3:$N$32,MATCH($A395,Työkonekanta!$A$3:$A$32,0),1),0)</f>
        <v>0</v>
      </c>
      <c r="AG395" s="332">
        <f>I395*INDEX(Muuttujat!$U$5:$U$21,MATCH($C395,Muuttujat!$N$5:$N$21,0),1)</f>
        <v>10678.499999999998</v>
      </c>
      <c r="AH395" s="332">
        <f>J395*INDEX(Muuttujat!$T$5:$T$21,MATCH($C395,Muuttujat!$N$5:$N$21,0),1)</f>
        <v>1714.9314868804668</v>
      </c>
      <c r="AI395" s="332">
        <f t="shared" si="138"/>
        <v>283.81778425655972</v>
      </c>
      <c r="AJ395" s="332">
        <f t="shared" si="139"/>
        <v>0</v>
      </c>
      <c r="AK395" s="332">
        <f t="shared" si="148"/>
        <v>12677.249271137025</v>
      </c>
      <c r="AL395" s="332">
        <f t="shared" si="140"/>
        <v>12677.249271137025</v>
      </c>
    </row>
    <row r="396" spans="1:38">
      <c r="A396" s="139">
        <v>4</v>
      </c>
      <c r="B396" s="139">
        <f>IFERROR(INDEX(Työkonekanta!$F$3:$F$27,MATCH('S0b Baseline kasvu'!$A396,Työkonekanta!$A$3:$A$24,0),1),0)</f>
        <v>1</v>
      </c>
      <c r="C396" s="140">
        <v>2032</v>
      </c>
      <c r="D396" s="141" t="str">
        <f>IFERROR(INDEX(Työkonekanta!$D$3:$D$27,MATCH('S0b Baseline kasvu'!$A396,Työkonekanta!$A$3:$A$24,0),1),"undefined")</f>
        <v>pom</v>
      </c>
      <c r="E396" s="145">
        <f>IFERROR(INDEX(Työkonekanta!$G$3:$G$27,MATCH($A396,Työkonekanta!$A$3:$A$24,0),1)*INDEX(Työkonekanta!$H$3:$H$27,MATCH($A396,Työkonekanta!$A$3:$A$24,0),1)*(1+s0b_kasvu*($C396-2019))*$B396,0)</f>
        <v>11299.999999999998</v>
      </c>
      <c r="F396" s="145">
        <f t="shared" si="132"/>
        <v>405669.99999999994</v>
      </c>
      <c r="G396" s="145">
        <f t="shared" si="141"/>
        <v>365102.99999999994</v>
      </c>
      <c r="H396" s="145">
        <f t="shared" si="142"/>
        <v>40567</v>
      </c>
      <c r="I396" s="145">
        <f t="shared" si="133"/>
        <v>10169.999999999998</v>
      </c>
      <c r="J396" s="145">
        <f t="shared" si="134"/>
        <v>1182.7113702623908</v>
      </c>
      <c r="K396" s="142" t="str">
        <f t="shared" si="143"/>
        <v>l</v>
      </c>
      <c r="L396" s="146">
        <f>IFERROR(INDEX(Työkonekanta!$I$3:$I$27,MATCH('S0b Baseline kasvu'!$A396,Työkonekanta!$A$3:$A$24,0),1)*(I396+J396)*f_adblue,0)</f>
        <v>567.63556851311944</v>
      </c>
      <c r="M396" s="146">
        <f t="shared" si="127"/>
        <v>0</v>
      </c>
      <c r="N396" s="143" t="str">
        <f>IF(tuulisähkö_vuosi&lt;='S0b Baseline kasvu'!C396,"tuulisähkö",ostosähkö_nyt)</f>
        <v>jäännössähkö</v>
      </c>
      <c r="O396" s="147">
        <f>INDEX(Muuttujat!$J$5:$J$21,MATCH($C396,Muuttujat!$H$5:$H$21,0),1)</f>
        <v>60.765893284281319</v>
      </c>
      <c r="P396" s="342">
        <f>1-(INDEX(Muuttujat!$O$5:$O$21,MATCH($C396,Muuttujat!$N$5:$N$21,0),1))</f>
        <v>0.9</v>
      </c>
      <c r="Q396" s="342">
        <f>INDEX(Muuttujat!$O$5:$O$21,MATCH($C396,Muuttujat!$N$5:$N$21,0),1)</f>
        <v>0.1</v>
      </c>
      <c r="R396" s="148">
        <f>INDEX(Muuttujat!$P$5:$P$21,MATCH($C396,Muuttujat!$N$5:$N$21,0),1)</f>
        <v>0.10417875759940039</v>
      </c>
      <c r="S396" s="149">
        <f t="shared" si="135"/>
        <v>6.9004466999999989</v>
      </c>
      <c r="T396" s="150">
        <f t="shared" si="136"/>
        <v>2.5313808</v>
      </c>
      <c r="U396" s="150">
        <f t="shared" si="137"/>
        <v>0</v>
      </c>
      <c r="V396" s="150">
        <f>IFERROR(INDEX(Työkonekanta!$J$3:$J$27,MATCH($A396,Työkonekanta!$A$3:$A$24,0),1)*$B396*ef_li_ion_akku/1000/1000/INDEX(Työkonekanta!$K$3:$K$27,MATCH($A396,Työkonekanta!$A$3:$A$24,0)),0)</f>
        <v>0</v>
      </c>
      <c r="W396" s="149">
        <f t="shared" si="128"/>
        <v>26.947615061861995</v>
      </c>
      <c r="X396" s="150">
        <f t="shared" si="129"/>
        <v>0.35905259579999993</v>
      </c>
      <c r="Y396" s="151">
        <f t="shared" si="130"/>
        <v>0.14758524781341106</v>
      </c>
      <c r="Z396" s="152">
        <f t="shared" si="144"/>
        <v>9.4318274999999989</v>
      </c>
      <c r="AA396" s="179">
        <f t="shared" si="145"/>
        <v>27.095200309675405</v>
      </c>
      <c r="AB396" s="179">
        <f t="shared" si="146"/>
        <v>27.454252905475407</v>
      </c>
      <c r="AC396" s="180">
        <f t="shared" si="131"/>
        <v>36.527027809675403</v>
      </c>
      <c r="AD396" s="156">
        <f t="shared" si="147"/>
        <v>36.886080405475404</v>
      </c>
      <c r="AE396" s="146">
        <f>IFERROR(INDEX(Työkonekanta!$L$3:$L$30,MATCH($A396,Työkonekanta!$A$3:$A$30,0),1),0)*AF396</f>
        <v>0</v>
      </c>
      <c r="AF396" s="146">
        <f>IFERROR(INDEX(Työkonekanta!$N$3:$N$32,MATCH($A396,Työkonekanta!$A$3:$A$32,0),1),0)</f>
        <v>0</v>
      </c>
      <c r="AG396" s="332">
        <f>I396*INDEX(Muuttujat!$U$5:$U$21,MATCH($C396,Muuttujat!$N$5:$N$21,0),1)</f>
        <v>10678.499999999998</v>
      </c>
      <c r="AH396" s="332">
        <f>J396*INDEX(Muuttujat!$T$5:$T$21,MATCH($C396,Muuttujat!$N$5:$N$21,0),1)</f>
        <v>1714.9314868804668</v>
      </c>
      <c r="AI396" s="332">
        <f t="shared" si="138"/>
        <v>283.81778425655972</v>
      </c>
      <c r="AJ396" s="332">
        <f t="shared" si="139"/>
        <v>0</v>
      </c>
      <c r="AK396" s="332">
        <f t="shared" si="148"/>
        <v>12677.249271137025</v>
      </c>
      <c r="AL396" s="332">
        <f t="shared" si="140"/>
        <v>12677.249271137025</v>
      </c>
    </row>
    <row r="397" spans="1:38">
      <c r="A397" s="139">
        <v>5</v>
      </c>
      <c r="B397" s="139">
        <f>IFERROR(INDEX(Työkonekanta!$F$3:$F$27,MATCH('S0b Baseline kasvu'!$A397,Työkonekanta!$A$3:$A$24,0),1),0)</f>
        <v>0</v>
      </c>
      <c r="C397" s="140">
        <v>2032</v>
      </c>
      <c r="D397" s="141" t="str">
        <f>IFERROR(INDEX(Työkonekanta!$D$3:$D$27,MATCH('S0b Baseline kasvu'!$A397,Työkonekanta!$A$3:$A$24,0),1),"undefined")</f>
        <v>sähkö</v>
      </c>
      <c r="E397" s="145">
        <f>IFERROR(INDEX(Työkonekanta!$G$3:$G$27,MATCH($A397,Työkonekanta!$A$3:$A$24,0),1)*INDEX(Työkonekanta!$H$3:$H$27,MATCH($A397,Työkonekanta!$A$3:$A$24,0),1)*(1+s0b_kasvu*($C397-2019))*$B397,0)</f>
        <v>0</v>
      </c>
      <c r="F397" s="145">
        <f t="shared" si="132"/>
        <v>0</v>
      </c>
      <c r="G397" s="145">
        <f t="shared" si="141"/>
        <v>0</v>
      </c>
      <c r="H397" s="145">
        <f t="shared" si="142"/>
        <v>0</v>
      </c>
      <c r="I397" s="145">
        <f t="shared" si="133"/>
        <v>0</v>
      </c>
      <c r="J397" s="145">
        <f t="shared" si="134"/>
        <v>0</v>
      </c>
      <c r="K397" s="142" t="str">
        <f t="shared" si="143"/>
        <v>kWh</v>
      </c>
      <c r="L397" s="146">
        <f>IFERROR(INDEX(Työkonekanta!$I$3:$I$27,MATCH('S0b Baseline kasvu'!$A397,Työkonekanta!$A$3:$A$24,0),1)*(I397+J397)*f_adblue,0)</f>
        <v>0</v>
      </c>
      <c r="M397" s="146">
        <f t="shared" si="127"/>
        <v>0</v>
      </c>
      <c r="N397" s="143" t="str">
        <f>IF(tuulisähkö_vuosi&lt;='S0b Baseline kasvu'!C397,"tuulisähkö",ostosähkö_nyt)</f>
        <v>jäännössähkö</v>
      </c>
      <c r="O397" s="147">
        <f>INDEX(Muuttujat!$J$5:$J$21,MATCH($C397,Muuttujat!$H$5:$H$21,0),1)</f>
        <v>60.765893284281319</v>
      </c>
      <c r="P397" s="342">
        <f>1-(INDEX(Muuttujat!$O$5:$O$21,MATCH($C397,Muuttujat!$N$5:$N$21,0),1))</f>
        <v>0.9</v>
      </c>
      <c r="Q397" s="342">
        <f>INDEX(Muuttujat!$O$5:$O$21,MATCH($C397,Muuttujat!$N$5:$N$21,0),1)</f>
        <v>0.1</v>
      </c>
      <c r="R397" s="148">
        <f>INDEX(Muuttujat!$P$5:$P$21,MATCH($C397,Muuttujat!$N$5:$N$21,0),1)</f>
        <v>0.10417875759940039</v>
      </c>
      <c r="S397" s="149">
        <f t="shared" si="135"/>
        <v>0</v>
      </c>
      <c r="T397" s="150">
        <f t="shared" si="136"/>
        <v>0</v>
      </c>
      <c r="U397" s="150">
        <f t="shared" si="137"/>
        <v>0</v>
      </c>
      <c r="V397" s="150">
        <f>IFERROR(INDEX(Työkonekanta!$J$3:$J$27,MATCH($A397,Työkonekanta!$A$3:$A$24,0),1)*$B397*ef_li_ion_akku/1000/1000/INDEX(Työkonekanta!$K$3:$K$27,MATCH($A397,Työkonekanta!$A$3:$A$24,0)),0)</f>
        <v>0</v>
      </c>
      <c r="W397" s="149">
        <f t="shared" si="128"/>
        <v>0</v>
      </c>
      <c r="X397" s="150">
        <f t="shared" si="129"/>
        <v>0</v>
      </c>
      <c r="Y397" s="151">
        <f t="shared" si="130"/>
        <v>0</v>
      </c>
      <c r="Z397" s="152">
        <f t="shared" si="144"/>
        <v>0</v>
      </c>
      <c r="AA397" s="179">
        <f t="shared" si="145"/>
        <v>0</v>
      </c>
      <c r="AB397" s="179">
        <f t="shared" si="146"/>
        <v>0</v>
      </c>
      <c r="AC397" s="180">
        <f t="shared" si="131"/>
        <v>0</v>
      </c>
      <c r="AD397" s="156">
        <f t="shared" si="147"/>
        <v>0</v>
      </c>
      <c r="AE397" s="146">
        <f>IFERROR(INDEX(Työkonekanta!$L$3:$L$30,MATCH($A397,Työkonekanta!$A$3:$A$30,0),1),0)*AF397</f>
        <v>0</v>
      </c>
      <c r="AF397" s="146">
        <f>IFERROR(INDEX(Työkonekanta!$N$3:$N$32,MATCH($A397,Työkonekanta!$A$3:$A$32,0),1),0)</f>
        <v>0</v>
      </c>
      <c r="AG397" s="332">
        <f>I397*INDEX(Muuttujat!$U$5:$U$21,MATCH($C397,Muuttujat!$N$5:$N$21,0),1)</f>
        <v>0</v>
      </c>
      <c r="AH397" s="332">
        <f>J397*INDEX(Muuttujat!$T$5:$T$21,MATCH($C397,Muuttujat!$N$5:$N$21,0),1)</f>
        <v>0</v>
      </c>
      <c r="AI397" s="332">
        <f t="shared" si="138"/>
        <v>0</v>
      </c>
      <c r="AJ397" s="332">
        <f t="shared" si="139"/>
        <v>0</v>
      </c>
      <c r="AK397" s="332">
        <f t="shared" si="148"/>
        <v>0</v>
      </c>
      <c r="AL397" s="332">
        <f t="shared" si="140"/>
        <v>0</v>
      </c>
    </row>
    <row r="398" spans="1:38">
      <c r="A398" s="139">
        <v>6</v>
      </c>
      <c r="B398" s="139">
        <f>IFERROR(INDEX(Työkonekanta!$F$3:$F$27,MATCH('S0b Baseline kasvu'!$A398,Työkonekanta!$A$3:$A$24,0),1),0)</f>
        <v>0</v>
      </c>
      <c r="C398" s="140">
        <v>2032</v>
      </c>
      <c r="D398" s="141" t="str">
        <f>IFERROR(INDEX(Työkonekanta!$D$3:$D$27,MATCH('S0b Baseline kasvu'!$A398,Työkonekanta!$A$3:$A$24,0),1),"undefined")</f>
        <v>sähkö</v>
      </c>
      <c r="E398" s="145">
        <f>IFERROR(INDEX(Työkonekanta!$G$3:$G$27,MATCH($A398,Työkonekanta!$A$3:$A$24,0),1)*INDEX(Työkonekanta!$H$3:$H$27,MATCH($A398,Työkonekanta!$A$3:$A$24,0),1)*(1+s0b_kasvu*($C398-2019))*$B398,0)</f>
        <v>0</v>
      </c>
      <c r="F398" s="145">
        <f t="shared" si="132"/>
        <v>0</v>
      </c>
      <c r="G398" s="145">
        <f t="shared" si="141"/>
        <v>0</v>
      </c>
      <c r="H398" s="145">
        <f t="shared" si="142"/>
        <v>0</v>
      </c>
      <c r="I398" s="145">
        <f t="shared" si="133"/>
        <v>0</v>
      </c>
      <c r="J398" s="145">
        <f t="shared" si="134"/>
        <v>0</v>
      </c>
      <c r="K398" s="142" t="str">
        <f t="shared" si="143"/>
        <v>kWh</v>
      </c>
      <c r="L398" s="146">
        <f>IFERROR(INDEX(Työkonekanta!$I$3:$I$27,MATCH('S0b Baseline kasvu'!$A398,Työkonekanta!$A$3:$A$24,0),1)*(I398+J398)*f_adblue,0)</f>
        <v>0</v>
      </c>
      <c r="M398" s="146">
        <f t="shared" si="127"/>
        <v>0</v>
      </c>
      <c r="N398" s="143" t="str">
        <f>IF(tuulisähkö_vuosi&lt;='S0b Baseline kasvu'!C398,"tuulisähkö",ostosähkö_nyt)</f>
        <v>jäännössähkö</v>
      </c>
      <c r="O398" s="147">
        <f>INDEX(Muuttujat!$J$5:$J$21,MATCH($C398,Muuttujat!$H$5:$H$21,0),1)</f>
        <v>60.765893284281319</v>
      </c>
      <c r="P398" s="342">
        <f>1-(INDEX(Muuttujat!$O$5:$O$21,MATCH($C398,Muuttujat!$N$5:$N$21,0),1))</f>
        <v>0.9</v>
      </c>
      <c r="Q398" s="342">
        <f>INDEX(Muuttujat!$O$5:$O$21,MATCH($C398,Muuttujat!$N$5:$N$21,0),1)</f>
        <v>0.1</v>
      </c>
      <c r="R398" s="148">
        <f>INDEX(Muuttujat!$P$5:$P$21,MATCH($C398,Muuttujat!$N$5:$N$21,0),1)</f>
        <v>0.10417875759940039</v>
      </c>
      <c r="S398" s="149">
        <f t="shared" si="135"/>
        <v>0</v>
      </c>
      <c r="T398" s="150">
        <f t="shared" si="136"/>
        <v>0</v>
      </c>
      <c r="U398" s="150">
        <f t="shared" si="137"/>
        <v>0</v>
      </c>
      <c r="V398" s="150">
        <f>IFERROR(INDEX(Työkonekanta!$J$3:$J$27,MATCH($A398,Työkonekanta!$A$3:$A$24,0),1)*$B398*ef_li_ion_akku/1000/1000/INDEX(Työkonekanta!$K$3:$K$27,MATCH($A398,Työkonekanta!$A$3:$A$24,0)),0)</f>
        <v>0</v>
      </c>
      <c r="W398" s="149">
        <f t="shared" si="128"/>
        <v>0</v>
      </c>
      <c r="X398" s="150">
        <f t="shared" si="129"/>
        <v>0</v>
      </c>
      <c r="Y398" s="151">
        <f t="shared" si="130"/>
        <v>0</v>
      </c>
      <c r="Z398" s="152">
        <f t="shared" si="144"/>
        <v>0</v>
      </c>
      <c r="AA398" s="179">
        <f t="shared" si="145"/>
        <v>0</v>
      </c>
      <c r="AB398" s="179">
        <f t="shared" si="146"/>
        <v>0</v>
      </c>
      <c r="AC398" s="180">
        <f t="shared" si="131"/>
        <v>0</v>
      </c>
      <c r="AD398" s="156">
        <f t="shared" si="147"/>
        <v>0</v>
      </c>
      <c r="AE398" s="146">
        <f>IFERROR(INDEX(Työkonekanta!$L$3:$L$30,MATCH($A398,Työkonekanta!$A$3:$A$30,0),1),0)*AF398</f>
        <v>0</v>
      </c>
      <c r="AF398" s="146">
        <f>IFERROR(INDEX(Työkonekanta!$N$3:$N$32,MATCH($A398,Työkonekanta!$A$3:$A$32,0),1),0)</f>
        <v>0</v>
      </c>
      <c r="AG398" s="332">
        <f>I398*INDEX(Muuttujat!$U$5:$U$21,MATCH($C398,Muuttujat!$N$5:$N$21,0),1)</f>
        <v>0</v>
      </c>
      <c r="AH398" s="332">
        <f>J398*INDEX(Muuttujat!$T$5:$T$21,MATCH($C398,Muuttujat!$N$5:$N$21,0),1)</f>
        <v>0</v>
      </c>
      <c r="AI398" s="332">
        <f t="shared" si="138"/>
        <v>0</v>
      </c>
      <c r="AJ398" s="332">
        <f t="shared" si="139"/>
        <v>0</v>
      </c>
      <c r="AK398" s="332">
        <f t="shared" si="148"/>
        <v>0</v>
      </c>
      <c r="AL398" s="332">
        <f t="shared" si="140"/>
        <v>0</v>
      </c>
    </row>
    <row r="399" spans="1:38">
      <c r="A399" s="139">
        <v>7</v>
      </c>
      <c r="B399" s="139">
        <f>IFERROR(INDEX(Työkonekanta!$F$3:$F$27,MATCH('S0b Baseline kasvu'!$A399,Työkonekanta!$A$3:$A$24,0),1),0)</f>
        <v>1</v>
      </c>
      <c r="C399" s="140">
        <v>2032</v>
      </c>
      <c r="D399" s="141" t="str">
        <f>IFERROR(INDEX(Työkonekanta!$D$3:$D$27,MATCH('S0b Baseline kasvu'!$A399,Työkonekanta!$A$3:$A$24,0),1),"undefined")</f>
        <v>pom</v>
      </c>
      <c r="E399" s="145">
        <f>IFERROR(INDEX(Työkonekanta!$G$3:$G$27,MATCH($A399,Työkonekanta!$A$3:$A$24,0),1)*INDEX(Työkonekanta!$H$3:$H$27,MATCH($A399,Työkonekanta!$A$3:$A$24,0),1)*(1+s0b_kasvu*($C399-2019))*$B399,0)</f>
        <v>11299.999999999998</v>
      </c>
      <c r="F399" s="145">
        <f t="shared" si="132"/>
        <v>405669.99999999994</v>
      </c>
      <c r="G399" s="145">
        <f t="shared" si="141"/>
        <v>365102.99999999994</v>
      </c>
      <c r="H399" s="145">
        <f t="shared" si="142"/>
        <v>40567</v>
      </c>
      <c r="I399" s="145">
        <f t="shared" si="133"/>
        <v>10169.999999999998</v>
      </c>
      <c r="J399" s="145">
        <f t="shared" si="134"/>
        <v>1182.7113702623908</v>
      </c>
      <c r="K399" s="142" t="str">
        <f t="shared" si="143"/>
        <v>l</v>
      </c>
      <c r="L399" s="146">
        <f>IFERROR(INDEX(Työkonekanta!$I$3:$I$27,MATCH('S0b Baseline kasvu'!$A399,Työkonekanta!$A$3:$A$24,0),1)*(I399+J399)*f_adblue,0)</f>
        <v>0</v>
      </c>
      <c r="M399" s="146">
        <f t="shared" si="127"/>
        <v>0</v>
      </c>
      <c r="N399" s="143" t="str">
        <f>IF(tuulisähkö_vuosi&lt;='S0b Baseline kasvu'!C399,"tuulisähkö",ostosähkö_nyt)</f>
        <v>jäännössähkö</v>
      </c>
      <c r="O399" s="147">
        <f>INDEX(Muuttujat!$J$5:$J$21,MATCH($C399,Muuttujat!$H$5:$H$21,0),1)</f>
        <v>60.765893284281319</v>
      </c>
      <c r="P399" s="342">
        <f>1-(INDEX(Muuttujat!$O$5:$O$21,MATCH($C399,Muuttujat!$N$5:$N$21,0),1))</f>
        <v>0.9</v>
      </c>
      <c r="Q399" s="342">
        <f>INDEX(Muuttujat!$O$5:$O$21,MATCH($C399,Muuttujat!$N$5:$N$21,0),1)</f>
        <v>0.1</v>
      </c>
      <c r="R399" s="148">
        <f>INDEX(Muuttujat!$P$5:$P$21,MATCH($C399,Muuttujat!$N$5:$N$21,0),1)</f>
        <v>0.10417875759940039</v>
      </c>
      <c r="S399" s="149">
        <f t="shared" si="135"/>
        <v>6.9004466999999989</v>
      </c>
      <c r="T399" s="150">
        <f t="shared" si="136"/>
        <v>2.5313808</v>
      </c>
      <c r="U399" s="150">
        <f t="shared" si="137"/>
        <v>0</v>
      </c>
      <c r="V399" s="150">
        <f>IFERROR(INDEX(Työkonekanta!$J$3:$J$27,MATCH($A399,Työkonekanta!$A$3:$A$24,0),1)*$B399*ef_li_ion_akku/1000/1000/INDEX(Työkonekanta!$K$3:$K$27,MATCH($A399,Työkonekanta!$A$3:$A$24,0)),0)</f>
        <v>0</v>
      </c>
      <c r="W399" s="149">
        <f t="shared" si="128"/>
        <v>26.947615061861995</v>
      </c>
      <c r="X399" s="150">
        <f t="shared" si="129"/>
        <v>0.35905259579999993</v>
      </c>
      <c r="Y399" s="151">
        <f t="shared" si="130"/>
        <v>0</v>
      </c>
      <c r="Z399" s="152">
        <f t="shared" si="144"/>
        <v>9.4318274999999989</v>
      </c>
      <c r="AA399" s="179">
        <f t="shared" si="145"/>
        <v>26.947615061861995</v>
      </c>
      <c r="AB399" s="179">
        <f t="shared" si="146"/>
        <v>27.306667657661997</v>
      </c>
      <c r="AC399" s="180">
        <f t="shared" si="131"/>
        <v>36.379442561861993</v>
      </c>
      <c r="AD399" s="156">
        <f t="shared" si="147"/>
        <v>36.738495157661994</v>
      </c>
      <c r="AE399" s="146">
        <f>IFERROR(INDEX(Työkonekanta!$L$3:$L$30,MATCH($A399,Työkonekanta!$A$3:$A$30,0),1),0)*AF399</f>
        <v>500000</v>
      </c>
      <c r="AF399" s="146">
        <f>IFERROR(INDEX(Työkonekanta!$N$3:$N$32,MATCH($A399,Työkonekanta!$A$3:$A$32,0),1),0)</f>
        <v>1</v>
      </c>
      <c r="AG399" s="332">
        <f>I399*INDEX(Muuttujat!$U$5:$U$21,MATCH($C399,Muuttujat!$N$5:$N$21,0),1)</f>
        <v>10678.499999999998</v>
      </c>
      <c r="AH399" s="332">
        <f>J399*INDEX(Muuttujat!$T$5:$T$21,MATCH($C399,Muuttujat!$N$5:$N$21,0),1)</f>
        <v>1714.9314868804668</v>
      </c>
      <c r="AI399" s="332">
        <f t="shared" si="138"/>
        <v>0</v>
      </c>
      <c r="AJ399" s="332">
        <f t="shared" si="139"/>
        <v>0</v>
      </c>
      <c r="AK399" s="332">
        <f t="shared" si="148"/>
        <v>12393.431486880465</v>
      </c>
      <c r="AL399" s="332">
        <f t="shared" si="140"/>
        <v>12393.431486880465</v>
      </c>
    </row>
    <row r="400" spans="1:38">
      <c r="A400" s="139">
        <v>8</v>
      </c>
      <c r="B400" s="139">
        <f>IFERROR(INDEX(Työkonekanta!$F$3:$F$27,MATCH('S0b Baseline kasvu'!$A400,Työkonekanta!$A$3:$A$24,0),1),0)</f>
        <v>1</v>
      </c>
      <c r="C400" s="140">
        <v>2032</v>
      </c>
      <c r="D400" s="141" t="str">
        <f>IFERROR(INDEX(Työkonekanta!$D$3:$D$27,MATCH('S0b Baseline kasvu'!$A400,Työkonekanta!$A$3:$A$24,0),1),"undefined")</f>
        <v>pom</v>
      </c>
      <c r="E400" s="145">
        <f>IFERROR(INDEX(Työkonekanta!$G$3:$G$27,MATCH($A400,Työkonekanta!$A$3:$A$24,0),1)*INDEX(Työkonekanta!$H$3:$H$27,MATCH($A400,Työkonekanta!$A$3:$A$24,0),1)*(1+s0b_kasvu*($C400-2019))*$B400,0)</f>
        <v>11299.999999999998</v>
      </c>
      <c r="F400" s="145">
        <f t="shared" si="132"/>
        <v>405669.99999999994</v>
      </c>
      <c r="G400" s="145">
        <f t="shared" si="141"/>
        <v>365102.99999999994</v>
      </c>
      <c r="H400" s="145">
        <f t="shared" si="142"/>
        <v>40567</v>
      </c>
      <c r="I400" s="145">
        <f t="shared" si="133"/>
        <v>10169.999999999998</v>
      </c>
      <c r="J400" s="145">
        <f t="shared" si="134"/>
        <v>1182.7113702623908</v>
      </c>
      <c r="K400" s="142" t="str">
        <f t="shared" si="143"/>
        <v>l</v>
      </c>
      <c r="L400" s="146">
        <f>IFERROR(INDEX(Työkonekanta!$I$3:$I$27,MATCH('S0b Baseline kasvu'!$A400,Työkonekanta!$A$3:$A$24,0),1)*(I400+J400)*f_adblue,0)</f>
        <v>567.63556851311944</v>
      </c>
      <c r="M400" s="146">
        <f t="shared" si="127"/>
        <v>0</v>
      </c>
      <c r="N400" s="143" t="str">
        <f>IF(tuulisähkö_vuosi&lt;='S0b Baseline kasvu'!C400,"tuulisähkö",ostosähkö_nyt)</f>
        <v>jäännössähkö</v>
      </c>
      <c r="O400" s="147">
        <f>INDEX(Muuttujat!$J$5:$J$21,MATCH($C400,Muuttujat!$H$5:$H$21,0),1)</f>
        <v>60.765893284281319</v>
      </c>
      <c r="P400" s="342">
        <f>1-(INDEX(Muuttujat!$O$5:$O$21,MATCH($C400,Muuttujat!$N$5:$N$21,0),1))</f>
        <v>0.9</v>
      </c>
      <c r="Q400" s="342">
        <f>INDEX(Muuttujat!$O$5:$O$21,MATCH($C400,Muuttujat!$N$5:$N$21,0),1)</f>
        <v>0.1</v>
      </c>
      <c r="R400" s="148">
        <f>INDEX(Muuttujat!$P$5:$P$21,MATCH($C400,Muuttujat!$N$5:$N$21,0),1)</f>
        <v>0.10417875759940039</v>
      </c>
      <c r="S400" s="149">
        <f t="shared" si="135"/>
        <v>6.9004466999999989</v>
      </c>
      <c r="T400" s="150">
        <f t="shared" si="136"/>
        <v>2.5313808</v>
      </c>
      <c r="U400" s="150">
        <f t="shared" si="137"/>
        <v>0</v>
      </c>
      <c r="V400" s="150">
        <f>IFERROR(INDEX(Työkonekanta!$J$3:$J$27,MATCH($A400,Työkonekanta!$A$3:$A$24,0),1)*$B400*ef_li_ion_akku/1000/1000/INDEX(Työkonekanta!$K$3:$K$27,MATCH($A400,Työkonekanta!$A$3:$A$24,0)),0)</f>
        <v>0</v>
      </c>
      <c r="W400" s="149">
        <f t="shared" si="128"/>
        <v>26.947615061861995</v>
      </c>
      <c r="X400" s="150">
        <f t="shared" si="129"/>
        <v>0.35905259579999993</v>
      </c>
      <c r="Y400" s="151">
        <f t="shared" si="130"/>
        <v>0.14758524781341106</v>
      </c>
      <c r="Z400" s="152">
        <f t="shared" si="144"/>
        <v>9.4318274999999989</v>
      </c>
      <c r="AA400" s="179">
        <f t="shared" si="145"/>
        <v>27.095200309675405</v>
      </c>
      <c r="AB400" s="179">
        <f t="shared" si="146"/>
        <v>27.454252905475407</v>
      </c>
      <c r="AC400" s="180">
        <f t="shared" si="131"/>
        <v>36.527027809675403</v>
      </c>
      <c r="AD400" s="156">
        <f t="shared" si="147"/>
        <v>36.886080405475404</v>
      </c>
      <c r="AE400" s="146">
        <f>IFERROR(INDEX(Työkonekanta!$L$3:$L$30,MATCH($A400,Työkonekanta!$A$3:$A$30,0),1),0)*AF400</f>
        <v>500000</v>
      </c>
      <c r="AF400" s="146">
        <f>IFERROR(INDEX(Työkonekanta!$N$3:$N$32,MATCH($A400,Työkonekanta!$A$3:$A$32,0),1),0)</f>
        <v>1</v>
      </c>
      <c r="AG400" s="332">
        <f>I400*INDEX(Muuttujat!$U$5:$U$21,MATCH($C400,Muuttujat!$N$5:$N$21,0),1)</f>
        <v>10678.499999999998</v>
      </c>
      <c r="AH400" s="332">
        <f>J400*INDEX(Muuttujat!$T$5:$T$21,MATCH($C400,Muuttujat!$N$5:$N$21,0),1)</f>
        <v>1714.9314868804668</v>
      </c>
      <c r="AI400" s="332">
        <f t="shared" si="138"/>
        <v>283.81778425655972</v>
      </c>
      <c r="AJ400" s="332">
        <f t="shared" si="139"/>
        <v>0</v>
      </c>
      <c r="AK400" s="332">
        <f t="shared" si="148"/>
        <v>12677.249271137025</v>
      </c>
      <c r="AL400" s="332">
        <f t="shared" si="140"/>
        <v>12677.249271137025</v>
      </c>
    </row>
    <row r="401" spans="1:38">
      <c r="A401" s="139">
        <v>9</v>
      </c>
      <c r="B401" s="139">
        <f>IFERROR(INDEX(Työkonekanta!$F$3:$F$27,MATCH('S0b Baseline kasvu'!$A401,Työkonekanta!$A$3:$A$24,0),1),0)</f>
        <v>0</v>
      </c>
      <c r="C401" s="140">
        <v>2032</v>
      </c>
      <c r="D401" s="141" t="str">
        <f>IFERROR(INDEX(Työkonekanta!$D$3:$D$27,MATCH('S0b Baseline kasvu'!$A401,Työkonekanta!$A$3:$A$24,0),1),"undefined")</f>
        <v>sähkö</v>
      </c>
      <c r="E401" s="145">
        <f>IFERROR(INDEX(Työkonekanta!$G$3:$G$27,MATCH($A401,Työkonekanta!$A$3:$A$24,0),1)*INDEX(Työkonekanta!$H$3:$H$27,MATCH($A401,Työkonekanta!$A$3:$A$24,0),1)*(1+s0b_kasvu*($C401-2019))*$B401,0)</f>
        <v>0</v>
      </c>
      <c r="F401" s="145">
        <f t="shared" si="132"/>
        <v>0</v>
      </c>
      <c r="G401" s="145">
        <f t="shared" si="141"/>
        <v>0</v>
      </c>
      <c r="H401" s="145">
        <f t="shared" si="142"/>
        <v>0</v>
      </c>
      <c r="I401" s="145">
        <f t="shared" si="133"/>
        <v>0</v>
      </c>
      <c r="J401" s="145">
        <f t="shared" si="134"/>
        <v>0</v>
      </c>
      <c r="K401" s="142" t="str">
        <f t="shared" si="143"/>
        <v>kWh</v>
      </c>
      <c r="L401" s="146">
        <f>IFERROR(INDEX(Työkonekanta!$I$3:$I$27,MATCH('S0b Baseline kasvu'!$A401,Työkonekanta!$A$3:$A$24,0),1)*(I401+J401)*f_adblue,0)</f>
        <v>0</v>
      </c>
      <c r="M401" s="146">
        <f t="shared" si="127"/>
        <v>0</v>
      </c>
      <c r="N401" s="143" t="str">
        <f>IF(tuulisähkö_vuosi&lt;='S0b Baseline kasvu'!C401,"tuulisähkö",ostosähkö_nyt)</f>
        <v>jäännössähkö</v>
      </c>
      <c r="O401" s="147">
        <f>INDEX(Muuttujat!$J$5:$J$21,MATCH($C401,Muuttujat!$H$5:$H$21,0),1)</f>
        <v>60.765893284281319</v>
      </c>
      <c r="P401" s="342">
        <f>1-(INDEX(Muuttujat!$O$5:$O$21,MATCH($C401,Muuttujat!$N$5:$N$21,0),1))</f>
        <v>0.9</v>
      </c>
      <c r="Q401" s="342">
        <f>INDEX(Muuttujat!$O$5:$O$21,MATCH($C401,Muuttujat!$N$5:$N$21,0),1)</f>
        <v>0.1</v>
      </c>
      <c r="R401" s="148">
        <f>INDEX(Muuttujat!$P$5:$P$21,MATCH($C401,Muuttujat!$N$5:$N$21,0),1)</f>
        <v>0.10417875759940039</v>
      </c>
      <c r="S401" s="149">
        <f t="shared" si="135"/>
        <v>0</v>
      </c>
      <c r="T401" s="150">
        <f t="shared" si="136"/>
        <v>0</v>
      </c>
      <c r="U401" s="150">
        <f t="shared" si="137"/>
        <v>0</v>
      </c>
      <c r="V401" s="150">
        <f>IFERROR(INDEX(Työkonekanta!$J$3:$J$27,MATCH($A401,Työkonekanta!$A$3:$A$24,0),1)*$B401*ef_li_ion_akku/1000/1000/INDEX(Työkonekanta!$K$3:$K$27,MATCH($A401,Työkonekanta!$A$3:$A$24,0)),0)</f>
        <v>0</v>
      </c>
      <c r="W401" s="149">
        <f t="shared" si="128"/>
        <v>0</v>
      </c>
      <c r="X401" s="150">
        <f t="shared" si="129"/>
        <v>0</v>
      </c>
      <c r="Y401" s="151">
        <f t="shared" si="130"/>
        <v>0</v>
      </c>
      <c r="Z401" s="152">
        <f t="shared" si="144"/>
        <v>0</v>
      </c>
      <c r="AA401" s="179">
        <f t="shared" si="145"/>
        <v>0</v>
      </c>
      <c r="AB401" s="179">
        <f t="shared" si="146"/>
        <v>0</v>
      </c>
      <c r="AC401" s="180">
        <f t="shared" si="131"/>
        <v>0</v>
      </c>
      <c r="AD401" s="156">
        <f t="shared" si="147"/>
        <v>0</v>
      </c>
      <c r="AE401" s="146">
        <f>IFERROR(INDEX(Työkonekanta!$L$3:$L$30,MATCH($A401,Työkonekanta!$A$3:$A$30,0),1),0)*AF401</f>
        <v>0</v>
      </c>
      <c r="AF401" s="146">
        <f>IFERROR(INDEX(Työkonekanta!$N$3:$N$32,MATCH($A401,Työkonekanta!$A$3:$A$32,0),1),0)</f>
        <v>0</v>
      </c>
      <c r="AG401" s="332">
        <f>I401*INDEX(Muuttujat!$U$5:$U$21,MATCH($C401,Muuttujat!$N$5:$N$21,0),1)</f>
        <v>0</v>
      </c>
      <c r="AH401" s="332">
        <f>J401*INDEX(Muuttujat!$T$5:$T$21,MATCH($C401,Muuttujat!$N$5:$N$21,0),1)</f>
        <v>0</v>
      </c>
      <c r="AI401" s="332">
        <f t="shared" si="138"/>
        <v>0</v>
      </c>
      <c r="AJ401" s="332">
        <f t="shared" si="139"/>
        <v>0</v>
      </c>
      <c r="AK401" s="332">
        <f t="shared" si="148"/>
        <v>0</v>
      </c>
      <c r="AL401" s="332">
        <f t="shared" si="140"/>
        <v>0</v>
      </c>
    </row>
    <row r="402" spans="1:38">
      <c r="A402" s="139">
        <v>10</v>
      </c>
      <c r="B402" s="139">
        <f>IFERROR(INDEX(Työkonekanta!$F$3:$F$27,MATCH('S0b Baseline kasvu'!$A402,Työkonekanta!$A$3:$A$24,0),1),0)</f>
        <v>0</v>
      </c>
      <c r="C402" s="140">
        <v>2032</v>
      </c>
      <c r="D402" s="141" t="str">
        <f>IFERROR(INDEX(Työkonekanta!$D$3:$D$27,MATCH('S0b Baseline kasvu'!$A402,Työkonekanta!$A$3:$A$24,0),1),"undefined")</f>
        <v>sähkö</v>
      </c>
      <c r="E402" s="145">
        <f>IFERROR(INDEX(Työkonekanta!$G$3:$G$27,MATCH($A402,Työkonekanta!$A$3:$A$24,0),1)*INDEX(Työkonekanta!$H$3:$H$27,MATCH($A402,Työkonekanta!$A$3:$A$24,0),1)*(1+s0b_kasvu*($C402-2019))*$B402,0)</f>
        <v>0</v>
      </c>
      <c r="F402" s="145">
        <f t="shared" si="132"/>
        <v>0</v>
      </c>
      <c r="G402" s="145">
        <f t="shared" si="141"/>
        <v>0</v>
      </c>
      <c r="H402" s="145">
        <f t="shared" si="142"/>
        <v>0</v>
      </c>
      <c r="I402" s="145">
        <f t="shared" si="133"/>
        <v>0</v>
      </c>
      <c r="J402" s="145">
        <f t="shared" si="134"/>
        <v>0</v>
      </c>
      <c r="K402" s="142" t="str">
        <f t="shared" si="143"/>
        <v>kWh</v>
      </c>
      <c r="L402" s="146">
        <f>IFERROR(INDEX(Työkonekanta!$I$3:$I$27,MATCH('S0b Baseline kasvu'!$A402,Työkonekanta!$A$3:$A$24,0),1)*(I402+J402)*f_adblue,0)</f>
        <v>0</v>
      </c>
      <c r="M402" s="146">
        <f t="shared" si="127"/>
        <v>0</v>
      </c>
      <c r="N402" s="143" t="str">
        <f>IF(tuulisähkö_vuosi&lt;='S0b Baseline kasvu'!C402,"tuulisähkö",ostosähkö_nyt)</f>
        <v>jäännössähkö</v>
      </c>
      <c r="O402" s="147">
        <f>INDEX(Muuttujat!$J$5:$J$21,MATCH($C402,Muuttujat!$H$5:$H$21,0),1)</f>
        <v>60.765893284281319</v>
      </c>
      <c r="P402" s="342">
        <f>1-(INDEX(Muuttujat!$O$5:$O$21,MATCH($C402,Muuttujat!$N$5:$N$21,0),1))</f>
        <v>0.9</v>
      </c>
      <c r="Q402" s="342">
        <f>INDEX(Muuttujat!$O$5:$O$21,MATCH($C402,Muuttujat!$N$5:$N$21,0),1)</f>
        <v>0.1</v>
      </c>
      <c r="R402" s="148">
        <f>INDEX(Muuttujat!$P$5:$P$21,MATCH($C402,Muuttujat!$N$5:$N$21,0),1)</f>
        <v>0.10417875759940039</v>
      </c>
      <c r="S402" s="149">
        <f t="shared" si="135"/>
        <v>0</v>
      </c>
      <c r="T402" s="150">
        <f t="shared" si="136"/>
        <v>0</v>
      </c>
      <c r="U402" s="150">
        <f t="shared" si="137"/>
        <v>0</v>
      </c>
      <c r="V402" s="150">
        <f>IFERROR(INDEX(Työkonekanta!$J$3:$J$27,MATCH($A402,Työkonekanta!$A$3:$A$24,0),1)*$B402*ef_li_ion_akku/1000/1000/INDEX(Työkonekanta!$K$3:$K$27,MATCH($A402,Työkonekanta!$A$3:$A$24,0)),0)</f>
        <v>0</v>
      </c>
      <c r="W402" s="149">
        <f t="shared" si="128"/>
        <v>0</v>
      </c>
      <c r="X402" s="150">
        <f t="shared" si="129"/>
        <v>0</v>
      </c>
      <c r="Y402" s="151">
        <f t="shared" si="130"/>
        <v>0</v>
      </c>
      <c r="Z402" s="152">
        <f t="shared" si="144"/>
        <v>0</v>
      </c>
      <c r="AA402" s="179">
        <f t="shared" si="145"/>
        <v>0</v>
      </c>
      <c r="AB402" s="179">
        <f t="shared" si="146"/>
        <v>0</v>
      </c>
      <c r="AC402" s="180">
        <f t="shared" si="131"/>
        <v>0</v>
      </c>
      <c r="AD402" s="156">
        <f t="shared" si="147"/>
        <v>0</v>
      </c>
      <c r="AE402" s="146">
        <f>IFERROR(INDEX(Työkonekanta!$L$3:$L$30,MATCH($A402,Työkonekanta!$A$3:$A$30,0),1),0)*AF402</f>
        <v>0</v>
      </c>
      <c r="AF402" s="146">
        <f>IFERROR(INDEX(Työkonekanta!$N$3:$N$32,MATCH($A402,Työkonekanta!$A$3:$A$32,0),1),0)</f>
        <v>0</v>
      </c>
      <c r="AG402" s="332">
        <f>I402*INDEX(Muuttujat!$U$5:$U$21,MATCH($C402,Muuttujat!$N$5:$N$21,0),1)</f>
        <v>0</v>
      </c>
      <c r="AH402" s="332">
        <f>J402*INDEX(Muuttujat!$T$5:$T$21,MATCH($C402,Muuttujat!$N$5:$N$21,0),1)</f>
        <v>0</v>
      </c>
      <c r="AI402" s="332">
        <f t="shared" si="138"/>
        <v>0</v>
      </c>
      <c r="AJ402" s="332">
        <f t="shared" si="139"/>
        <v>0</v>
      </c>
      <c r="AK402" s="332">
        <f t="shared" si="148"/>
        <v>0</v>
      </c>
      <c r="AL402" s="332">
        <f t="shared" si="140"/>
        <v>0</v>
      </c>
    </row>
    <row r="403" spans="1:38">
      <c r="A403" s="139">
        <v>11</v>
      </c>
      <c r="B403" s="139">
        <f>IFERROR(INDEX(Työkonekanta!$F$3:$F$27,MATCH('S0b Baseline kasvu'!$A403,Työkonekanta!$A$3:$A$24,0),1),0)</f>
        <v>1</v>
      </c>
      <c r="C403" s="140">
        <v>2032</v>
      </c>
      <c r="D403" s="141" t="str">
        <f>IFERROR(INDEX(Työkonekanta!$D$3:$D$27,MATCH('S0b Baseline kasvu'!$A403,Työkonekanta!$A$3:$A$24,0),1),"undefined")</f>
        <v>pom</v>
      </c>
      <c r="E403" s="145">
        <f>IFERROR(INDEX(Työkonekanta!$G$3:$G$27,MATCH($A403,Työkonekanta!$A$3:$A$24,0),1)*INDEX(Työkonekanta!$H$3:$H$27,MATCH($A403,Työkonekanta!$A$3:$A$24,0),1)*(1+s0b_kasvu*($C403-2019))*$B403,0)</f>
        <v>11299.999999999998</v>
      </c>
      <c r="F403" s="145">
        <f t="shared" si="132"/>
        <v>405669.99999999994</v>
      </c>
      <c r="G403" s="145">
        <f t="shared" si="141"/>
        <v>365102.99999999994</v>
      </c>
      <c r="H403" s="145">
        <f t="shared" si="142"/>
        <v>40567</v>
      </c>
      <c r="I403" s="145">
        <f t="shared" si="133"/>
        <v>10169.999999999998</v>
      </c>
      <c r="J403" s="145">
        <f t="shared" si="134"/>
        <v>1182.7113702623908</v>
      </c>
      <c r="K403" s="142" t="str">
        <f t="shared" si="143"/>
        <v>l</v>
      </c>
      <c r="L403" s="146">
        <f>IFERROR(INDEX(Työkonekanta!$I$3:$I$27,MATCH('S0b Baseline kasvu'!$A403,Työkonekanta!$A$3:$A$24,0),1)*(I403+J403)*f_adblue,0)</f>
        <v>567.63556851311944</v>
      </c>
      <c r="M403" s="146">
        <f t="shared" ref="M403:M466" si="149">IF($D403="sähkö",conv_kwh_mj*$E403,0)</f>
        <v>0</v>
      </c>
      <c r="N403" s="143" t="str">
        <f>IF(tuulisähkö_vuosi&lt;='S0b Baseline kasvu'!C403,"tuulisähkö",ostosähkö_nyt)</f>
        <v>jäännössähkö</v>
      </c>
      <c r="O403" s="147">
        <f>INDEX(Muuttujat!$J$5:$J$21,MATCH($C403,Muuttujat!$H$5:$H$21,0),1)</f>
        <v>60.765893284281319</v>
      </c>
      <c r="P403" s="342">
        <f>1-(INDEX(Muuttujat!$O$5:$O$21,MATCH($C403,Muuttujat!$N$5:$N$21,0),1))</f>
        <v>0.9</v>
      </c>
      <c r="Q403" s="342">
        <f>INDEX(Muuttujat!$O$5:$O$21,MATCH($C403,Muuttujat!$N$5:$N$21,0),1)</f>
        <v>0.1</v>
      </c>
      <c r="R403" s="148">
        <f>INDEX(Muuttujat!$P$5:$P$21,MATCH($C403,Muuttujat!$N$5:$N$21,0),1)</f>
        <v>0.10417875759940039</v>
      </c>
      <c r="S403" s="149">
        <f t="shared" si="135"/>
        <v>6.9004466999999989</v>
      </c>
      <c r="T403" s="150">
        <f t="shared" si="136"/>
        <v>2.5313808</v>
      </c>
      <c r="U403" s="150">
        <f t="shared" si="137"/>
        <v>0</v>
      </c>
      <c r="V403" s="150">
        <f>IFERROR(INDEX(Työkonekanta!$J$3:$J$27,MATCH($A403,Työkonekanta!$A$3:$A$24,0),1)*$B403*ef_li_ion_akku/1000/1000/INDEX(Työkonekanta!$K$3:$K$27,MATCH($A403,Työkonekanta!$A$3:$A$24,0)),0)</f>
        <v>0</v>
      </c>
      <c r="W403" s="149">
        <f t="shared" ref="W403:W466" si="150">($I403*IF($D403="pom",ef_v_co2_pom,0))/1000/1000</f>
        <v>26.947615061861995</v>
      </c>
      <c r="X403" s="150">
        <f t="shared" ref="X403:X466" si="151">($E403*(IF($D403="pom",ef_v_ch4_pom,0)*gwp100_ch4+IF($D403="pom",ef_v_n2o_pom,0)*gwp100_n2o))/1000/1000</f>
        <v>0.35905259579999993</v>
      </c>
      <c r="Y403" s="151">
        <f t="shared" ref="Y403:Y466" si="152">$L403*ef_v_co2_adblue/1000/1000</f>
        <v>0.14758524781341106</v>
      </c>
      <c r="Z403" s="152">
        <f t="shared" si="144"/>
        <v>9.4318274999999989</v>
      </c>
      <c r="AA403" s="179">
        <f t="shared" si="145"/>
        <v>27.095200309675405</v>
      </c>
      <c r="AB403" s="179">
        <f t="shared" si="146"/>
        <v>27.454252905475407</v>
      </c>
      <c r="AC403" s="180">
        <f t="shared" ref="AC403:AC466" si="153">$Z403+$AA403</f>
        <v>36.527027809675403</v>
      </c>
      <c r="AD403" s="156">
        <f t="shared" si="147"/>
        <v>36.886080405475404</v>
      </c>
      <c r="AE403" s="146">
        <f>IFERROR(INDEX(Työkonekanta!$L$3:$L$30,MATCH($A403,Työkonekanta!$A$3:$A$30,0),1),0)*AF403</f>
        <v>500000</v>
      </c>
      <c r="AF403" s="146">
        <f>IFERROR(INDEX(Työkonekanta!$N$3:$N$32,MATCH($A403,Työkonekanta!$A$3:$A$32,0),1),0)</f>
        <v>1</v>
      </c>
      <c r="AG403" s="332">
        <f>I403*INDEX(Muuttujat!$U$5:$U$21,MATCH($C403,Muuttujat!$N$5:$N$21,0),1)</f>
        <v>10678.499999999998</v>
      </c>
      <c r="AH403" s="332">
        <f>J403*INDEX(Muuttujat!$T$5:$T$21,MATCH($C403,Muuttujat!$N$5:$N$21,0),1)</f>
        <v>1714.9314868804668</v>
      </c>
      <c r="AI403" s="332">
        <f t="shared" si="138"/>
        <v>283.81778425655972</v>
      </c>
      <c r="AJ403" s="332">
        <f t="shared" si="139"/>
        <v>0</v>
      </c>
      <c r="AK403" s="332">
        <f t="shared" si="148"/>
        <v>12677.249271137025</v>
      </c>
      <c r="AL403" s="332">
        <f t="shared" si="140"/>
        <v>12677.249271137025</v>
      </c>
    </row>
    <row r="404" spans="1:38">
      <c r="A404" s="139">
        <v>12</v>
      </c>
      <c r="B404" s="139">
        <f>IFERROR(INDEX(Työkonekanta!$F$3:$F$27,MATCH('S0b Baseline kasvu'!$A404,Työkonekanta!$A$3:$A$24,0),1),0)</f>
        <v>1</v>
      </c>
      <c r="C404" s="140">
        <v>2032</v>
      </c>
      <c r="D404" s="141" t="str">
        <f>IFERROR(INDEX(Työkonekanta!$D$3:$D$27,MATCH('S0b Baseline kasvu'!$A404,Työkonekanta!$A$3:$A$24,0),1),"undefined")</f>
        <v>pom</v>
      </c>
      <c r="E404" s="145">
        <f>IFERROR(INDEX(Työkonekanta!$G$3:$G$27,MATCH($A404,Työkonekanta!$A$3:$A$24,0),1)*INDEX(Työkonekanta!$H$3:$H$27,MATCH($A404,Työkonekanta!$A$3:$A$24,0),1)*(1+s0b_kasvu*($C404-2019))*$B404,0)</f>
        <v>11299.999999999998</v>
      </c>
      <c r="F404" s="145">
        <f t="shared" si="132"/>
        <v>405669.99999999994</v>
      </c>
      <c r="G404" s="145">
        <f t="shared" si="141"/>
        <v>365102.99999999994</v>
      </c>
      <c r="H404" s="145">
        <f t="shared" si="142"/>
        <v>40567</v>
      </c>
      <c r="I404" s="145">
        <f t="shared" si="133"/>
        <v>10169.999999999998</v>
      </c>
      <c r="J404" s="145">
        <f t="shared" si="134"/>
        <v>1182.7113702623908</v>
      </c>
      <c r="K404" s="142" t="str">
        <f t="shared" si="143"/>
        <v>l</v>
      </c>
      <c r="L404" s="146">
        <f>IFERROR(INDEX(Työkonekanta!$I$3:$I$27,MATCH('S0b Baseline kasvu'!$A404,Työkonekanta!$A$3:$A$24,0),1)*(I404+J404)*f_adblue,0)</f>
        <v>567.63556851311944</v>
      </c>
      <c r="M404" s="146">
        <f t="shared" si="149"/>
        <v>0</v>
      </c>
      <c r="N404" s="143" t="str">
        <f>IF(tuulisähkö_vuosi&lt;='S0b Baseline kasvu'!C404,"tuulisähkö",ostosähkö_nyt)</f>
        <v>jäännössähkö</v>
      </c>
      <c r="O404" s="147">
        <f>INDEX(Muuttujat!$J$5:$J$21,MATCH($C404,Muuttujat!$H$5:$H$21,0),1)</f>
        <v>60.765893284281319</v>
      </c>
      <c r="P404" s="342">
        <f>1-(INDEX(Muuttujat!$O$5:$O$21,MATCH($C404,Muuttujat!$N$5:$N$21,0),1))</f>
        <v>0.9</v>
      </c>
      <c r="Q404" s="342">
        <f>INDEX(Muuttujat!$O$5:$O$21,MATCH($C404,Muuttujat!$N$5:$N$21,0),1)</f>
        <v>0.1</v>
      </c>
      <c r="R404" s="148">
        <f>INDEX(Muuttujat!$P$5:$P$21,MATCH($C404,Muuttujat!$N$5:$N$21,0),1)</f>
        <v>0.10417875759940039</v>
      </c>
      <c r="S404" s="149">
        <f t="shared" si="135"/>
        <v>6.9004466999999989</v>
      </c>
      <c r="T404" s="150">
        <f t="shared" si="136"/>
        <v>2.5313808</v>
      </c>
      <c r="U404" s="150">
        <f t="shared" si="137"/>
        <v>0</v>
      </c>
      <c r="V404" s="150">
        <f>IFERROR(INDEX(Työkonekanta!$J$3:$J$27,MATCH($A404,Työkonekanta!$A$3:$A$24,0),1)*$B404*ef_li_ion_akku/1000/1000/INDEX(Työkonekanta!$K$3:$K$27,MATCH($A404,Työkonekanta!$A$3:$A$24,0)),0)</f>
        <v>0</v>
      </c>
      <c r="W404" s="149">
        <f t="shared" si="150"/>
        <v>26.947615061861995</v>
      </c>
      <c r="X404" s="150">
        <f t="shared" si="151"/>
        <v>0.35905259579999993</v>
      </c>
      <c r="Y404" s="151">
        <f t="shared" si="152"/>
        <v>0.14758524781341106</v>
      </c>
      <c r="Z404" s="152">
        <f t="shared" si="144"/>
        <v>9.4318274999999989</v>
      </c>
      <c r="AA404" s="179">
        <f t="shared" si="145"/>
        <v>27.095200309675405</v>
      </c>
      <c r="AB404" s="179">
        <f t="shared" si="146"/>
        <v>27.454252905475407</v>
      </c>
      <c r="AC404" s="180">
        <f t="shared" si="153"/>
        <v>36.527027809675403</v>
      </c>
      <c r="AD404" s="156">
        <f t="shared" si="147"/>
        <v>36.886080405475404</v>
      </c>
      <c r="AE404" s="146">
        <f>IFERROR(INDEX(Työkonekanta!$L$3:$L$30,MATCH($A404,Työkonekanta!$A$3:$A$30,0),1),0)*AF404</f>
        <v>500000</v>
      </c>
      <c r="AF404" s="146">
        <f>IFERROR(INDEX(Työkonekanta!$N$3:$N$32,MATCH($A404,Työkonekanta!$A$3:$A$32,0),1),0)</f>
        <v>1</v>
      </c>
      <c r="AG404" s="332">
        <f>I404*INDEX(Muuttujat!$U$5:$U$21,MATCH($C404,Muuttujat!$N$5:$N$21,0),1)</f>
        <v>10678.499999999998</v>
      </c>
      <c r="AH404" s="332">
        <f>J404*INDEX(Muuttujat!$T$5:$T$21,MATCH($C404,Muuttujat!$N$5:$N$21,0),1)</f>
        <v>1714.9314868804668</v>
      </c>
      <c r="AI404" s="332">
        <f t="shared" si="138"/>
        <v>283.81778425655972</v>
      </c>
      <c r="AJ404" s="332">
        <f t="shared" si="139"/>
        <v>0</v>
      </c>
      <c r="AK404" s="332">
        <f t="shared" si="148"/>
        <v>12677.249271137025</v>
      </c>
      <c r="AL404" s="332">
        <f t="shared" si="140"/>
        <v>12677.249271137025</v>
      </c>
    </row>
    <row r="405" spans="1:38">
      <c r="A405" s="139">
        <v>13</v>
      </c>
      <c r="B405" s="139">
        <f>IFERROR(INDEX(Työkonekanta!$F$3:$F$27,MATCH('S0b Baseline kasvu'!$A405,Työkonekanta!$A$3:$A$24,0),1),0)</f>
        <v>0</v>
      </c>
      <c r="C405" s="140">
        <v>2032</v>
      </c>
      <c r="D405" s="141" t="str">
        <f>IFERROR(INDEX(Työkonekanta!$D$3:$D$27,MATCH('S0b Baseline kasvu'!$A405,Työkonekanta!$A$3:$A$24,0),1),"undefined")</f>
        <v>pom</v>
      </c>
      <c r="E405" s="145">
        <f>IFERROR(INDEX(Työkonekanta!$G$3:$G$27,MATCH($A405,Työkonekanta!$A$3:$A$24,0),1)*INDEX(Työkonekanta!$H$3:$H$27,MATCH($A405,Työkonekanta!$A$3:$A$24,0),1)*(1+s0b_kasvu*($C405-2019))*$B405,0)</f>
        <v>0</v>
      </c>
      <c r="F405" s="145">
        <f t="shared" si="132"/>
        <v>0</v>
      </c>
      <c r="G405" s="145">
        <f t="shared" si="141"/>
        <v>0</v>
      </c>
      <c r="H405" s="145">
        <f t="shared" si="142"/>
        <v>0</v>
      </c>
      <c r="I405" s="145">
        <f t="shared" si="133"/>
        <v>0</v>
      </c>
      <c r="J405" s="145">
        <f t="shared" si="134"/>
        <v>0</v>
      </c>
      <c r="K405" s="142" t="str">
        <f t="shared" si="143"/>
        <v>l</v>
      </c>
      <c r="L405" s="146">
        <f>IFERROR(INDEX(Työkonekanta!$I$3:$I$27,MATCH('S0b Baseline kasvu'!$A405,Työkonekanta!$A$3:$A$24,0),1)*(I405+J405)*f_adblue,0)</f>
        <v>0</v>
      </c>
      <c r="M405" s="146">
        <f t="shared" si="149"/>
        <v>0</v>
      </c>
      <c r="N405" s="143" t="str">
        <f>IF(tuulisähkö_vuosi&lt;='S0b Baseline kasvu'!C405,"tuulisähkö",ostosähkö_nyt)</f>
        <v>jäännössähkö</v>
      </c>
      <c r="O405" s="147">
        <f>INDEX(Muuttujat!$J$5:$J$21,MATCH($C405,Muuttujat!$H$5:$H$21,0),1)</f>
        <v>60.765893284281319</v>
      </c>
      <c r="P405" s="342">
        <f>1-(INDEX(Muuttujat!$O$5:$O$21,MATCH($C405,Muuttujat!$N$5:$N$21,0),1))</f>
        <v>0.9</v>
      </c>
      <c r="Q405" s="342">
        <f>INDEX(Muuttujat!$O$5:$O$21,MATCH($C405,Muuttujat!$N$5:$N$21,0),1)</f>
        <v>0.1</v>
      </c>
      <c r="R405" s="148">
        <f>INDEX(Muuttujat!$P$5:$P$21,MATCH($C405,Muuttujat!$N$5:$N$21,0),1)</f>
        <v>0.10417875759940039</v>
      </c>
      <c r="S405" s="149">
        <f t="shared" si="135"/>
        <v>0</v>
      </c>
      <c r="T405" s="150">
        <f t="shared" si="136"/>
        <v>0</v>
      </c>
      <c r="U405" s="150">
        <f t="shared" si="137"/>
        <v>0</v>
      </c>
      <c r="V405" s="150">
        <f>IFERROR(INDEX(Työkonekanta!$J$3:$J$27,MATCH($A405,Työkonekanta!$A$3:$A$24,0),1)*$B405*ef_li_ion_akku/1000/1000/INDEX(Työkonekanta!$K$3:$K$27,MATCH($A405,Työkonekanta!$A$3:$A$24,0)),0)</f>
        <v>0</v>
      </c>
      <c r="W405" s="149">
        <f t="shared" si="150"/>
        <v>0</v>
      </c>
      <c r="X405" s="150">
        <f t="shared" si="151"/>
        <v>0</v>
      </c>
      <c r="Y405" s="151">
        <f t="shared" si="152"/>
        <v>0</v>
      </c>
      <c r="Z405" s="152">
        <f t="shared" si="144"/>
        <v>0</v>
      </c>
      <c r="AA405" s="179">
        <f t="shared" si="145"/>
        <v>0</v>
      </c>
      <c r="AB405" s="179">
        <f t="shared" si="146"/>
        <v>0</v>
      </c>
      <c r="AC405" s="180">
        <f t="shared" si="153"/>
        <v>0</v>
      </c>
      <c r="AD405" s="156">
        <f t="shared" si="147"/>
        <v>0</v>
      </c>
      <c r="AE405" s="146">
        <f>IFERROR(INDEX(Työkonekanta!$L$3:$L$30,MATCH($A405,Työkonekanta!$A$3:$A$30,0),1),0)*AF405</f>
        <v>0</v>
      </c>
      <c r="AF405" s="146">
        <f>IFERROR(INDEX(Työkonekanta!$N$3:$N$32,MATCH($A405,Työkonekanta!$A$3:$A$32,0),1),0)</f>
        <v>0</v>
      </c>
      <c r="AG405" s="332">
        <f>I405*INDEX(Muuttujat!$U$5:$U$21,MATCH($C405,Muuttujat!$N$5:$N$21,0),1)</f>
        <v>0</v>
      </c>
      <c r="AH405" s="332">
        <f>J405*INDEX(Muuttujat!$T$5:$T$21,MATCH($C405,Muuttujat!$N$5:$N$21,0),1)</f>
        <v>0</v>
      </c>
      <c r="AI405" s="332">
        <f t="shared" si="138"/>
        <v>0</v>
      </c>
      <c r="AJ405" s="332">
        <f t="shared" si="139"/>
        <v>0</v>
      </c>
      <c r="AK405" s="332">
        <f t="shared" si="148"/>
        <v>0</v>
      </c>
      <c r="AL405" s="332">
        <f t="shared" si="140"/>
        <v>0</v>
      </c>
    </row>
    <row r="406" spans="1:38">
      <c r="A406" s="139">
        <v>14</v>
      </c>
      <c r="B406" s="139">
        <f>IFERROR(INDEX(Työkonekanta!$F$3:$F$27,MATCH('S0b Baseline kasvu'!$A406,Työkonekanta!$A$3:$A$24,0),1),0)</f>
        <v>0</v>
      </c>
      <c r="C406" s="140">
        <v>2032</v>
      </c>
      <c r="D406" s="141" t="str">
        <f>IFERROR(INDEX(Työkonekanta!$D$3:$D$27,MATCH('S0b Baseline kasvu'!$A406,Työkonekanta!$A$3:$A$24,0),1),"undefined")</f>
        <v>pom</v>
      </c>
      <c r="E406" s="145">
        <f>IFERROR(INDEX(Työkonekanta!$G$3:$G$27,MATCH($A406,Työkonekanta!$A$3:$A$24,0),1)*INDEX(Työkonekanta!$H$3:$H$27,MATCH($A406,Työkonekanta!$A$3:$A$24,0),1)*(1+s0b_kasvu*($C406-2019))*$B406,0)</f>
        <v>0</v>
      </c>
      <c r="F406" s="145">
        <f t="shared" si="132"/>
        <v>0</v>
      </c>
      <c r="G406" s="145">
        <f t="shared" si="141"/>
        <v>0</v>
      </c>
      <c r="H406" s="145">
        <f t="shared" si="142"/>
        <v>0</v>
      </c>
      <c r="I406" s="145">
        <f t="shared" si="133"/>
        <v>0</v>
      </c>
      <c r="J406" s="145">
        <f t="shared" si="134"/>
        <v>0</v>
      </c>
      <c r="K406" s="142" t="str">
        <f t="shared" si="143"/>
        <v>l</v>
      </c>
      <c r="L406" s="146">
        <f>IFERROR(INDEX(Työkonekanta!$I$3:$I$27,MATCH('S0b Baseline kasvu'!$A406,Työkonekanta!$A$3:$A$24,0),1)*(I406+J406)*f_adblue,0)</f>
        <v>0</v>
      </c>
      <c r="M406" s="146">
        <f t="shared" si="149"/>
        <v>0</v>
      </c>
      <c r="N406" s="143" t="str">
        <f>IF(tuulisähkö_vuosi&lt;='S0b Baseline kasvu'!C406,"tuulisähkö",ostosähkö_nyt)</f>
        <v>jäännössähkö</v>
      </c>
      <c r="O406" s="147">
        <f>INDEX(Muuttujat!$J$5:$J$21,MATCH($C406,Muuttujat!$H$5:$H$21,0),1)</f>
        <v>60.765893284281319</v>
      </c>
      <c r="P406" s="342">
        <f>1-(INDEX(Muuttujat!$O$5:$O$21,MATCH($C406,Muuttujat!$N$5:$N$21,0),1))</f>
        <v>0.9</v>
      </c>
      <c r="Q406" s="342">
        <f>INDEX(Muuttujat!$O$5:$O$21,MATCH($C406,Muuttujat!$N$5:$N$21,0),1)</f>
        <v>0.1</v>
      </c>
      <c r="R406" s="148">
        <f>INDEX(Muuttujat!$P$5:$P$21,MATCH($C406,Muuttujat!$N$5:$N$21,0),1)</f>
        <v>0.10417875759940039</v>
      </c>
      <c r="S406" s="149">
        <f t="shared" si="135"/>
        <v>0</v>
      </c>
      <c r="T406" s="150">
        <f t="shared" si="136"/>
        <v>0</v>
      </c>
      <c r="U406" s="150">
        <f t="shared" si="137"/>
        <v>0</v>
      </c>
      <c r="V406" s="150">
        <f>IFERROR(INDEX(Työkonekanta!$J$3:$J$27,MATCH($A406,Työkonekanta!$A$3:$A$24,0),1)*$B406*ef_li_ion_akku/1000/1000/INDEX(Työkonekanta!$K$3:$K$27,MATCH($A406,Työkonekanta!$A$3:$A$24,0)),0)</f>
        <v>0</v>
      </c>
      <c r="W406" s="149">
        <f t="shared" si="150"/>
        <v>0</v>
      </c>
      <c r="X406" s="150">
        <f t="shared" si="151"/>
        <v>0</v>
      </c>
      <c r="Y406" s="151">
        <f t="shared" si="152"/>
        <v>0</v>
      </c>
      <c r="Z406" s="152">
        <f t="shared" si="144"/>
        <v>0</v>
      </c>
      <c r="AA406" s="179">
        <f t="shared" si="145"/>
        <v>0</v>
      </c>
      <c r="AB406" s="179">
        <f t="shared" si="146"/>
        <v>0</v>
      </c>
      <c r="AC406" s="180">
        <f t="shared" si="153"/>
        <v>0</v>
      </c>
      <c r="AD406" s="156">
        <f t="shared" si="147"/>
        <v>0</v>
      </c>
      <c r="AE406" s="146">
        <f>IFERROR(INDEX(Työkonekanta!$L$3:$L$30,MATCH($A406,Työkonekanta!$A$3:$A$30,0),1),0)*AF406</f>
        <v>0</v>
      </c>
      <c r="AF406" s="146">
        <f>IFERROR(INDEX(Työkonekanta!$N$3:$N$32,MATCH($A406,Työkonekanta!$A$3:$A$32,0),1),0)</f>
        <v>0</v>
      </c>
      <c r="AG406" s="332">
        <f>I406*INDEX(Muuttujat!$U$5:$U$21,MATCH($C406,Muuttujat!$N$5:$N$21,0),1)</f>
        <v>0</v>
      </c>
      <c r="AH406" s="332">
        <f>J406*INDEX(Muuttujat!$T$5:$T$21,MATCH($C406,Muuttujat!$N$5:$N$21,0),1)</f>
        <v>0</v>
      </c>
      <c r="AI406" s="332">
        <f t="shared" si="138"/>
        <v>0</v>
      </c>
      <c r="AJ406" s="332">
        <f t="shared" si="139"/>
        <v>0</v>
      </c>
      <c r="AK406" s="332">
        <f t="shared" si="148"/>
        <v>0</v>
      </c>
      <c r="AL406" s="332">
        <f t="shared" si="140"/>
        <v>0</v>
      </c>
    </row>
    <row r="407" spans="1:38">
      <c r="A407" s="139">
        <v>15</v>
      </c>
      <c r="B407" s="139">
        <f>IFERROR(INDEX(Työkonekanta!$F$3:$F$27,MATCH('S0b Baseline kasvu'!$A407,Työkonekanta!$A$3:$A$24,0),1),0)</f>
        <v>0</v>
      </c>
      <c r="C407" s="140">
        <v>2032</v>
      </c>
      <c r="D407" s="141" t="str">
        <f>IFERROR(INDEX(Työkonekanta!$D$3:$D$27,MATCH('S0b Baseline kasvu'!$A407,Työkonekanta!$A$3:$A$24,0),1),"undefined")</f>
        <v>sähkö</v>
      </c>
      <c r="E407" s="145">
        <f>IFERROR(INDEX(Työkonekanta!$G$3:$G$27,MATCH($A407,Työkonekanta!$A$3:$A$24,0),1)*INDEX(Työkonekanta!$H$3:$H$27,MATCH($A407,Työkonekanta!$A$3:$A$24,0),1)*(1+s0b_kasvu*($C407-2019))*$B407,0)</f>
        <v>0</v>
      </c>
      <c r="F407" s="145">
        <f t="shared" si="132"/>
        <v>0</v>
      </c>
      <c r="G407" s="145">
        <f t="shared" si="141"/>
        <v>0</v>
      </c>
      <c r="H407" s="145">
        <f t="shared" si="142"/>
        <v>0</v>
      </c>
      <c r="I407" s="145">
        <f t="shared" si="133"/>
        <v>0</v>
      </c>
      <c r="J407" s="145">
        <f t="shared" si="134"/>
        <v>0</v>
      </c>
      <c r="K407" s="142" t="str">
        <f t="shared" si="143"/>
        <v>kWh</v>
      </c>
      <c r="L407" s="146">
        <f>IFERROR(INDEX(Työkonekanta!$I$3:$I$27,MATCH('S0b Baseline kasvu'!$A407,Työkonekanta!$A$3:$A$24,0),1)*(I407+J407)*f_adblue,0)</f>
        <v>0</v>
      </c>
      <c r="M407" s="146">
        <f t="shared" si="149"/>
        <v>0</v>
      </c>
      <c r="N407" s="143" t="str">
        <f>IF(tuulisähkö_vuosi&lt;='S0b Baseline kasvu'!C407,"tuulisähkö",ostosähkö_nyt)</f>
        <v>jäännössähkö</v>
      </c>
      <c r="O407" s="147">
        <f>INDEX(Muuttujat!$J$5:$J$21,MATCH($C407,Muuttujat!$H$5:$H$21,0),1)</f>
        <v>60.765893284281319</v>
      </c>
      <c r="P407" s="342">
        <f>1-(INDEX(Muuttujat!$O$5:$O$21,MATCH($C407,Muuttujat!$N$5:$N$21,0),1))</f>
        <v>0.9</v>
      </c>
      <c r="Q407" s="342">
        <f>INDEX(Muuttujat!$O$5:$O$21,MATCH($C407,Muuttujat!$N$5:$N$21,0),1)</f>
        <v>0.1</v>
      </c>
      <c r="R407" s="148">
        <f>INDEX(Muuttujat!$P$5:$P$21,MATCH($C407,Muuttujat!$N$5:$N$21,0),1)</f>
        <v>0.10417875759940039</v>
      </c>
      <c r="S407" s="149">
        <f t="shared" si="135"/>
        <v>0</v>
      </c>
      <c r="T407" s="150">
        <f t="shared" si="136"/>
        <v>0</v>
      </c>
      <c r="U407" s="150">
        <f t="shared" si="137"/>
        <v>0</v>
      </c>
      <c r="V407" s="150">
        <f>IFERROR(INDEX(Työkonekanta!$J$3:$J$27,MATCH($A407,Työkonekanta!$A$3:$A$24,0),1)*$B407*ef_li_ion_akku/1000/1000/INDEX(Työkonekanta!$K$3:$K$27,MATCH($A407,Työkonekanta!$A$3:$A$24,0)),0)</f>
        <v>0</v>
      </c>
      <c r="W407" s="149">
        <f t="shared" si="150"/>
        <v>0</v>
      </c>
      <c r="X407" s="150">
        <f t="shared" si="151"/>
        <v>0</v>
      </c>
      <c r="Y407" s="151">
        <f t="shared" si="152"/>
        <v>0</v>
      </c>
      <c r="Z407" s="152">
        <f t="shared" si="144"/>
        <v>0</v>
      </c>
      <c r="AA407" s="179">
        <f t="shared" si="145"/>
        <v>0</v>
      </c>
      <c r="AB407" s="179">
        <f t="shared" si="146"/>
        <v>0</v>
      </c>
      <c r="AC407" s="180">
        <f t="shared" si="153"/>
        <v>0</v>
      </c>
      <c r="AD407" s="156">
        <f t="shared" si="147"/>
        <v>0</v>
      </c>
      <c r="AE407" s="146">
        <f>IFERROR(INDEX(Työkonekanta!$L$3:$L$30,MATCH($A407,Työkonekanta!$A$3:$A$30,0),1),0)*AF407</f>
        <v>0</v>
      </c>
      <c r="AF407" s="146">
        <f>IFERROR(INDEX(Työkonekanta!$N$3:$N$32,MATCH($A407,Työkonekanta!$A$3:$A$32,0),1),0)</f>
        <v>0</v>
      </c>
      <c r="AG407" s="332">
        <f>I407*INDEX(Muuttujat!$U$5:$U$21,MATCH($C407,Muuttujat!$N$5:$N$21,0),1)</f>
        <v>0</v>
      </c>
      <c r="AH407" s="332">
        <f>J407*INDEX(Muuttujat!$T$5:$T$21,MATCH($C407,Muuttujat!$N$5:$N$21,0),1)</f>
        <v>0</v>
      </c>
      <c r="AI407" s="332">
        <f t="shared" si="138"/>
        <v>0</v>
      </c>
      <c r="AJ407" s="332">
        <f t="shared" si="139"/>
        <v>0</v>
      </c>
      <c r="AK407" s="332">
        <f t="shared" si="148"/>
        <v>0</v>
      </c>
      <c r="AL407" s="332">
        <f t="shared" si="140"/>
        <v>0</v>
      </c>
    </row>
    <row r="408" spans="1:38">
      <c r="A408" s="139">
        <v>16</v>
      </c>
      <c r="B408" s="139">
        <f>IFERROR(INDEX(Työkonekanta!$F$3:$F$27,MATCH('S0b Baseline kasvu'!$A408,Työkonekanta!$A$3:$A$24,0),1),0)</f>
        <v>0</v>
      </c>
      <c r="C408" s="140">
        <v>2032</v>
      </c>
      <c r="D408" s="141" t="str">
        <f>IFERROR(INDEX(Työkonekanta!$D$3:$D$27,MATCH('S0b Baseline kasvu'!$A408,Työkonekanta!$A$3:$A$24,0),1),"undefined")</f>
        <v>sähkö</v>
      </c>
      <c r="E408" s="145">
        <f>IFERROR(INDEX(Työkonekanta!$G$3:$G$27,MATCH($A408,Työkonekanta!$A$3:$A$24,0),1)*INDEX(Työkonekanta!$H$3:$H$27,MATCH($A408,Työkonekanta!$A$3:$A$24,0),1)*(1+s0b_kasvu*($C408-2019))*$B408,0)</f>
        <v>0</v>
      </c>
      <c r="F408" s="145">
        <f t="shared" si="132"/>
        <v>0</v>
      </c>
      <c r="G408" s="145">
        <f t="shared" si="141"/>
        <v>0</v>
      </c>
      <c r="H408" s="145">
        <f t="shared" si="142"/>
        <v>0</v>
      </c>
      <c r="I408" s="145">
        <f t="shared" si="133"/>
        <v>0</v>
      </c>
      <c r="J408" s="145">
        <f t="shared" si="134"/>
        <v>0</v>
      </c>
      <c r="K408" s="142" t="str">
        <f t="shared" si="143"/>
        <v>kWh</v>
      </c>
      <c r="L408" s="146">
        <f>IFERROR(INDEX(Työkonekanta!$I$3:$I$27,MATCH('S0b Baseline kasvu'!$A408,Työkonekanta!$A$3:$A$24,0),1)*(I408+J408)*f_adblue,0)</f>
        <v>0</v>
      </c>
      <c r="M408" s="146">
        <f t="shared" si="149"/>
        <v>0</v>
      </c>
      <c r="N408" s="143" t="str">
        <f>IF(tuulisähkö_vuosi&lt;='S0b Baseline kasvu'!C408,"tuulisähkö",ostosähkö_nyt)</f>
        <v>jäännössähkö</v>
      </c>
      <c r="O408" s="147">
        <f>INDEX(Muuttujat!$J$5:$J$21,MATCH($C408,Muuttujat!$H$5:$H$21,0),1)</f>
        <v>60.765893284281319</v>
      </c>
      <c r="P408" s="342">
        <f>1-(INDEX(Muuttujat!$O$5:$O$21,MATCH($C408,Muuttujat!$N$5:$N$21,0),1))</f>
        <v>0.9</v>
      </c>
      <c r="Q408" s="342">
        <f>INDEX(Muuttujat!$O$5:$O$21,MATCH($C408,Muuttujat!$N$5:$N$21,0),1)</f>
        <v>0.1</v>
      </c>
      <c r="R408" s="148">
        <f>INDEX(Muuttujat!$P$5:$P$21,MATCH($C408,Muuttujat!$N$5:$N$21,0),1)</f>
        <v>0.10417875759940039</v>
      </c>
      <c r="S408" s="149">
        <f t="shared" si="135"/>
        <v>0</v>
      </c>
      <c r="T408" s="150">
        <f t="shared" si="136"/>
        <v>0</v>
      </c>
      <c r="U408" s="150">
        <f t="shared" si="137"/>
        <v>0</v>
      </c>
      <c r="V408" s="150">
        <f>IFERROR(INDEX(Työkonekanta!$J$3:$J$27,MATCH($A408,Työkonekanta!$A$3:$A$24,0),1)*$B408*ef_li_ion_akku/1000/1000/INDEX(Työkonekanta!$K$3:$K$27,MATCH($A408,Työkonekanta!$A$3:$A$24,0)),0)</f>
        <v>0</v>
      </c>
      <c r="W408" s="149">
        <f t="shared" si="150"/>
        <v>0</v>
      </c>
      <c r="X408" s="150">
        <f t="shared" si="151"/>
        <v>0</v>
      </c>
      <c r="Y408" s="151">
        <f t="shared" si="152"/>
        <v>0</v>
      </c>
      <c r="Z408" s="152">
        <f t="shared" si="144"/>
        <v>0</v>
      </c>
      <c r="AA408" s="179">
        <f t="shared" si="145"/>
        <v>0</v>
      </c>
      <c r="AB408" s="179">
        <f t="shared" si="146"/>
        <v>0</v>
      </c>
      <c r="AC408" s="180">
        <f t="shared" si="153"/>
        <v>0</v>
      </c>
      <c r="AD408" s="156">
        <f t="shared" si="147"/>
        <v>0</v>
      </c>
      <c r="AE408" s="146">
        <f>IFERROR(INDEX(Työkonekanta!$L$3:$L$30,MATCH($A408,Työkonekanta!$A$3:$A$30,0),1),0)*AF408</f>
        <v>0</v>
      </c>
      <c r="AF408" s="146">
        <f>IFERROR(INDEX(Työkonekanta!$N$3:$N$32,MATCH($A408,Työkonekanta!$A$3:$A$32,0),1),0)</f>
        <v>0</v>
      </c>
      <c r="AG408" s="332">
        <f>I408*INDEX(Muuttujat!$U$5:$U$21,MATCH($C408,Muuttujat!$N$5:$N$21,0),1)</f>
        <v>0</v>
      </c>
      <c r="AH408" s="332">
        <f>J408*INDEX(Muuttujat!$T$5:$T$21,MATCH($C408,Muuttujat!$N$5:$N$21,0),1)</f>
        <v>0</v>
      </c>
      <c r="AI408" s="332">
        <f t="shared" si="138"/>
        <v>0</v>
      </c>
      <c r="AJ408" s="332">
        <f t="shared" si="139"/>
        <v>0</v>
      </c>
      <c r="AK408" s="332">
        <f t="shared" si="148"/>
        <v>0</v>
      </c>
      <c r="AL408" s="332">
        <f t="shared" si="140"/>
        <v>0</v>
      </c>
    </row>
    <row r="409" spans="1:38">
      <c r="A409" s="139">
        <v>17</v>
      </c>
      <c r="B409" s="139">
        <f>IFERROR(INDEX(Työkonekanta!$F$3:$F$27,MATCH('S0b Baseline kasvu'!$A409,Työkonekanta!$A$3:$A$24,0),1),0)</f>
        <v>1</v>
      </c>
      <c r="C409" s="140">
        <v>2032</v>
      </c>
      <c r="D409" s="141" t="str">
        <f>IFERROR(INDEX(Työkonekanta!$D$3:$D$27,MATCH('S0b Baseline kasvu'!$A409,Työkonekanta!$A$3:$A$24,0),1),"undefined")</f>
        <v>pom</v>
      </c>
      <c r="E409" s="145">
        <f>IFERROR(INDEX(Työkonekanta!$G$3:$G$27,MATCH($A409,Työkonekanta!$A$3:$A$24,0),1)*INDEX(Työkonekanta!$H$3:$H$27,MATCH($A409,Työkonekanta!$A$3:$A$24,0),1)*(1+s0b_kasvu*($C409-2019))*$B409,0)</f>
        <v>11299.999999999998</v>
      </c>
      <c r="F409" s="145">
        <f t="shared" si="132"/>
        <v>405669.99999999994</v>
      </c>
      <c r="G409" s="145">
        <f t="shared" si="141"/>
        <v>365102.99999999994</v>
      </c>
      <c r="H409" s="145">
        <f t="shared" si="142"/>
        <v>40567</v>
      </c>
      <c r="I409" s="145">
        <f t="shared" si="133"/>
        <v>10169.999999999998</v>
      </c>
      <c r="J409" s="145">
        <f t="shared" si="134"/>
        <v>1182.7113702623908</v>
      </c>
      <c r="K409" s="142" t="str">
        <f t="shared" si="143"/>
        <v>l</v>
      </c>
      <c r="L409" s="146">
        <f>IFERROR(INDEX(Työkonekanta!$I$3:$I$27,MATCH('S0b Baseline kasvu'!$A409,Työkonekanta!$A$3:$A$24,0),1)*(I409+J409)*f_adblue,0)</f>
        <v>567.63556851311944</v>
      </c>
      <c r="M409" s="146">
        <f t="shared" si="149"/>
        <v>0</v>
      </c>
      <c r="N409" s="143" t="str">
        <f>IF(tuulisähkö_vuosi&lt;='S0b Baseline kasvu'!C409,"tuulisähkö",ostosähkö_nyt)</f>
        <v>jäännössähkö</v>
      </c>
      <c r="O409" s="147">
        <f>INDEX(Muuttujat!$J$5:$J$21,MATCH($C409,Muuttujat!$H$5:$H$21,0),1)</f>
        <v>60.765893284281319</v>
      </c>
      <c r="P409" s="342">
        <f>1-(INDEX(Muuttujat!$O$5:$O$21,MATCH($C409,Muuttujat!$N$5:$N$21,0),1))</f>
        <v>0.9</v>
      </c>
      <c r="Q409" s="342">
        <f>INDEX(Muuttujat!$O$5:$O$21,MATCH($C409,Muuttujat!$N$5:$N$21,0),1)</f>
        <v>0.1</v>
      </c>
      <c r="R409" s="148">
        <f>INDEX(Muuttujat!$P$5:$P$21,MATCH($C409,Muuttujat!$N$5:$N$21,0),1)</f>
        <v>0.10417875759940039</v>
      </c>
      <c r="S409" s="149">
        <f t="shared" si="135"/>
        <v>6.9004466999999989</v>
      </c>
      <c r="T409" s="150">
        <f t="shared" si="136"/>
        <v>2.5313808</v>
      </c>
      <c r="U409" s="150">
        <f t="shared" si="137"/>
        <v>0</v>
      </c>
      <c r="V409" s="150">
        <f>IFERROR(INDEX(Työkonekanta!$J$3:$J$27,MATCH($A409,Työkonekanta!$A$3:$A$24,0),1)*$B409*ef_li_ion_akku/1000/1000/INDEX(Työkonekanta!$K$3:$K$27,MATCH($A409,Työkonekanta!$A$3:$A$24,0)),0)</f>
        <v>0</v>
      </c>
      <c r="W409" s="149">
        <f t="shared" si="150"/>
        <v>26.947615061861995</v>
      </c>
      <c r="X409" s="150">
        <f t="shared" si="151"/>
        <v>0.35905259579999993</v>
      </c>
      <c r="Y409" s="151">
        <f t="shared" si="152"/>
        <v>0.14758524781341106</v>
      </c>
      <c r="Z409" s="152">
        <f t="shared" si="144"/>
        <v>9.4318274999999989</v>
      </c>
      <c r="AA409" s="179">
        <f t="shared" si="145"/>
        <v>27.095200309675405</v>
      </c>
      <c r="AB409" s="179">
        <f t="shared" si="146"/>
        <v>27.454252905475407</v>
      </c>
      <c r="AC409" s="180">
        <f t="shared" si="153"/>
        <v>36.527027809675403</v>
      </c>
      <c r="AD409" s="156">
        <f t="shared" si="147"/>
        <v>36.886080405475404</v>
      </c>
      <c r="AE409" s="146">
        <f>IFERROR(INDEX(Työkonekanta!$L$3:$L$30,MATCH($A409,Työkonekanta!$A$3:$A$30,0),1),0)*AF409</f>
        <v>500000</v>
      </c>
      <c r="AF409" s="146">
        <f>IFERROR(INDEX(Työkonekanta!$N$3:$N$32,MATCH($A409,Työkonekanta!$A$3:$A$32,0),1),0)</f>
        <v>1</v>
      </c>
      <c r="AG409" s="332">
        <f>I409*INDEX(Muuttujat!$U$5:$U$21,MATCH($C409,Muuttujat!$N$5:$N$21,0),1)</f>
        <v>10678.499999999998</v>
      </c>
      <c r="AH409" s="332">
        <f>J409*INDEX(Muuttujat!$T$5:$T$21,MATCH($C409,Muuttujat!$N$5:$N$21,0),1)</f>
        <v>1714.9314868804668</v>
      </c>
      <c r="AI409" s="332">
        <f t="shared" si="138"/>
        <v>283.81778425655972</v>
      </c>
      <c r="AJ409" s="332">
        <f t="shared" si="139"/>
        <v>0</v>
      </c>
      <c r="AK409" s="332">
        <f t="shared" si="148"/>
        <v>12677.249271137025</v>
      </c>
      <c r="AL409" s="332">
        <f t="shared" si="140"/>
        <v>12677.249271137025</v>
      </c>
    </row>
    <row r="410" spans="1:38">
      <c r="A410" s="139">
        <v>18</v>
      </c>
      <c r="B410" s="139">
        <f>IFERROR(INDEX(Työkonekanta!$F$3:$F$27,MATCH('S0b Baseline kasvu'!$A410,Työkonekanta!$A$3:$A$24,0),1),0)</f>
        <v>1</v>
      </c>
      <c r="C410" s="140">
        <v>2032</v>
      </c>
      <c r="D410" s="141" t="str">
        <f>IFERROR(INDEX(Työkonekanta!$D$3:$D$27,MATCH('S0b Baseline kasvu'!$A410,Työkonekanta!$A$3:$A$24,0),1),"undefined")</f>
        <v>pom</v>
      </c>
      <c r="E410" s="145">
        <f>IFERROR(INDEX(Työkonekanta!$G$3:$G$27,MATCH($A410,Työkonekanta!$A$3:$A$24,0),1)*INDEX(Työkonekanta!$H$3:$H$27,MATCH($A410,Työkonekanta!$A$3:$A$24,0),1)*(1+s0b_kasvu*($C410-2019))*$B410,0)</f>
        <v>11299.999999999998</v>
      </c>
      <c r="F410" s="145">
        <f t="shared" si="132"/>
        <v>405669.99999999994</v>
      </c>
      <c r="G410" s="145">
        <f t="shared" si="141"/>
        <v>365102.99999999994</v>
      </c>
      <c r="H410" s="145">
        <f t="shared" si="142"/>
        <v>40567</v>
      </c>
      <c r="I410" s="145">
        <f t="shared" si="133"/>
        <v>10169.999999999998</v>
      </c>
      <c r="J410" s="145">
        <f t="shared" si="134"/>
        <v>1182.7113702623908</v>
      </c>
      <c r="K410" s="142" t="str">
        <f t="shared" si="143"/>
        <v>l</v>
      </c>
      <c r="L410" s="146">
        <f>IFERROR(INDEX(Työkonekanta!$I$3:$I$27,MATCH('S0b Baseline kasvu'!$A410,Työkonekanta!$A$3:$A$24,0),1)*(I410+J410)*f_adblue,0)</f>
        <v>454.10845481049557</v>
      </c>
      <c r="M410" s="146">
        <f t="shared" si="149"/>
        <v>0</v>
      </c>
      <c r="N410" s="143" t="str">
        <f>IF(tuulisähkö_vuosi&lt;='S0b Baseline kasvu'!C410,"tuulisähkö",ostosähkö_nyt)</f>
        <v>jäännössähkö</v>
      </c>
      <c r="O410" s="147">
        <f>INDEX(Muuttujat!$J$5:$J$21,MATCH($C410,Muuttujat!$H$5:$H$21,0),1)</f>
        <v>60.765893284281319</v>
      </c>
      <c r="P410" s="342">
        <f>1-(INDEX(Muuttujat!$O$5:$O$21,MATCH($C410,Muuttujat!$N$5:$N$21,0),1))</f>
        <v>0.9</v>
      </c>
      <c r="Q410" s="342">
        <f>INDEX(Muuttujat!$O$5:$O$21,MATCH($C410,Muuttujat!$N$5:$N$21,0),1)</f>
        <v>0.1</v>
      </c>
      <c r="R410" s="148">
        <f>INDEX(Muuttujat!$P$5:$P$21,MATCH($C410,Muuttujat!$N$5:$N$21,0),1)</f>
        <v>0.10417875759940039</v>
      </c>
      <c r="S410" s="149">
        <f t="shared" si="135"/>
        <v>6.9004466999999989</v>
      </c>
      <c r="T410" s="150">
        <f t="shared" si="136"/>
        <v>2.5313808</v>
      </c>
      <c r="U410" s="150">
        <f t="shared" si="137"/>
        <v>0</v>
      </c>
      <c r="V410" s="150">
        <f>IFERROR(INDEX(Työkonekanta!$J$3:$J$27,MATCH($A410,Työkonekanta!$A$3:$A$24,0),1)*$B410*ef_li_ion_akku/1000/1000/INDEX(Työkonekanta!$K$3:$K$27,MATCH($A410,Työkonekanta!$A$3:$A$24,0)),0)</f>
        <v>0</v>
      </c>
      <c r="W410" s="149">
        <f t="shared" si="150"/>
        <v>26.947615061861995</v>
      </c>
      <c r="X410" s="150">
        <f t="shared" si="151"/>
        <v>0.35905259579999993</v>
      </c>
      <c r="Y410" s="151">
        <f t="shared" si="152"/>
        <v>0.11806819825072885</v>
      </c>
      <c r="Z410" s="152">
        <f t="shared" si="144"/>
        <v>9.4318274999999989</v>
      </c>
      <c r="AA410" s="179">
        <f t="shared" si="145"/>
        <v>27.065683260112724</v>
      </c>
      <c r="AB410" s="179">
        <f t="shared" si="146"/>
        <v>27.424735855912726</v>
      </c>
      <c r="AC410" s="180">
        <f t="shared" si="153"/>
        <v>36.497510760112725</v>
      </c>
      <c r="AD410" s="156">
        <f t="shared" si="147"/>
        <v>36.856563355912726</v>
      </c>
      <c r="AE410" s="146">
        <f>IFERROR(INDEX(Työkonekanta!$L$3:$L$30,MATCH($A410,Työkonekanta!$A$3:$A$30,0),1),0)*AF410</f>
        <v>500000</v>
      </c>
      <c r="AF410" s="146">
        <f>IFERROR(INDEX(Työkonekanta!$N$3:$N$32,MATCH($A410,Työkonekanta!$A$3:$A$32,0),1),0)</f>
        <v>1</v>
      </c>
      <c r="AG410" s="332">
        <f>I410*INDEX(Muuttujat!$U$5:$U$21,MATCH($C410,Muuttujat!$N$5:$N$21,0),1)</f>
        <v>10678.499999999998</v>
      </c>
      <c r="AH410" s="332">
        <f>J410*INDEX(Muuttujat!$T$5:$T$21,MATCH($C410,Muuttujat!$N$5:$N$21,0),1)</f>
        <v>1714.9314868804668</v>
      </c>
      <c r="AI410" s="332">
        <f t="shared" si="138"/>
        <v>227.05422740524779</v>
      </c>
      <c r="AJ410" s="332">
        <f t="shared" si="139"/>
        <v>0</v>
      </c>
      <c r="AK410" s="332">
        <f t="shared" si="148"/>
        <v>12620.485714285713</v>
      </c>
      <c r="AL410" s="332">
        <f t="shared" si="140"/>
        <v>12620.485714285713</v>
      </c>
    </row>
    <row r="411" spans="1:38">
      <c r="A411" s="139">
        <v>19</v>
      </c>
      <c r="B411" s="139">
        <f>IFERROR(INDEX(Työkonekanta!$F$3:$F$27,MATCH('S0b Baseline kasvu'!$A411,Työkonekanta!$A$3:$A$24,0),1),0)</f>
        <v>0</v>
      </c>
      <c r="C411" s="140">
        <v>2032</v>
      </c>
      <c r="D411" s="141" t="str">
        <f>IFERROR(INDEX(Työkonekanta!$D$3:$D$27,MATCH('S0b Baseline kasvu'!$A411,Työkonekanta!$A$3:$A$24,0),1),"undefined")</f>
        <v>pom</v>
      </c>
      <c r="E411" s="145">
        <f>IFERROR(INDEX(Työkonekanta!$G$3:$G$27,MATCH($A411,Työkonekanta!$A$3:$A$24,0),1)*INDEX(Työkonekanta!$H$3:$H$27,MATCH($A411,Työkonekanta!$A$3:$A$24,0),1)*(1+s0b_kasvu*($C411-2019))*$B411,0)</f>
        <v>0</v>
      </c>
      <c r="F411" s="145">
        <f t="shared" si="132"/>
        <v>0</v>
      </c>
      <c r="G411" s="145">
        <f t="shared" si="141"/>
        <v>0</v>
      </c>
      <c r="H411" s="145">
        <f t="shared" si="142"/>
        <v>0</v>
      </c>
      <c r="I411" s="145">
        <f t="shared" si="133"/>
        <v>0</v>
      </c>
      <c r="J411" s="145">
        <f t="shared" si="134"/>
        <v>0</v>
      </c>
      <c r="K411" s="142" t="str">
        <f t="shared" si="143"/>
        <v>l</v>
      </c>
      <c r="L411" s="146">
        <f>IFERROR(INDEX(Työkonekanta!$I$3:$I$27,MATCH('S0b Baseline kasvu'!$A411,Työkonekanta!$A$3:$A$24,0),1)*(I411+J411)*f_adblue,0)</f>
        <v>0</v>
      </c>
      <c r="M411" s="146">
        <f t="shared" si="149"/>
        <v>0</v>
      </c>
      <c r="N411" s="143" t="str">
        <f>IF(tuulisähkö_vuosi&lt;='S0b Baseline kasvu'!C411,"tuulisähkö",ostosähkö_nyt)</f>
        <v>jäännössähkö</v>
      </c>
      <c r="O411" s="147">
        <f>INDEX(Muuttujat!$J$5:$J$21,MATCH($C411,Muuttujat!$H$5:$H$21,0),1)</f>
        <v>60.765893284281319</v>
      </c>
      <c r="P411" s="342">
        <f>1-(INDEX(Muuttujat!$O$5:$O$21,MATCH($C411,Muuttujat!$N$5:$N$21,0),1))</f>
        <v>0.9</v>
      </c>
      <c r="Q411" s="342">
        <f>INDEX(Muuttujat!$O$5:$O$21,MATCH($C411,Muuttujat!$N$5:$N$21,0),1)</f>
        <v>0.1</v>
      </c>
      <c r="R411" s="148">
        <f>INDEX(Muuttujat!$P$5:$P$21,MATCH($C411,Muuttujat!$N$5:$N$21,0),1)</f>
        <v>0.10417875759940039</v>
      </c>
      <c r="S411" s="149">
        <f t="shared" si="135"/>
        <v>0</v>
      </c>
      <c r="T411" s="150">
        <f t="shared" si="136"/>
        <v>0</v>
      </c>
      <c r="U411" s="150">
        <f t="shared" si="137"/>
        <v>0</v>
      </c>
      <c r="V411" s="150">
        <f>IFERROR(INDEX(Työkonekanta!$J$3:$J$27,MATCH($A411,Työkonekanta!$A$3:$A$24,0),1)*$B411*ef_li_ion_akku/1000/1000/INDEX(Työkonekanta!$K$3:$K$27,MATCH($A411,Työkonekanta!$A$3:$A$24,0)),0)</f>
        <v>0</v>
      </c>
      <c r="W411" s="149">
        <f t="shared" si="150"/>
        <v>0</v>
      </c>
      <c r="X411" s="150">
        <f t="shared" si="151"/>
        <v>0</v>
      </c>
      <c r="Y411" s="151">
        <f t="shared" si="152"/>
        <v>0</v>
      </c>
      <c r="Z411" s="152">
        <f t="shared" si="144"/>
        <v>0</v>
      </c>
      <c r="AA411" s="179">
        <f t="shared" si="145"/>
        <v>0</v>
      </c>
      <c r="AB411" s="179">
        <f t="shared" si="146"/>
        <v>0</v>
      </c>
      <c r="AC411" s="180">
        <f t="shared" si="153"/>
        <v>0</v>
      </c>
      <c r="AD411" s="156">
        <f t="shared" si="147"/>
        <v>0</v>
      </c>
      <c r="AE411" s="146">
        <f>IFERROR(INDEX(Työkonekanta!$L$3:$L$30,MATCH($A411,Työkonekanta!$A$3:$A$30,0),1),0)*AF411</f>
        <v>0</v>
      </c>
      <c r="AF411" s="146">
        <f>IFERROR(INDEX(Työkonekanta!$N$3:$N$32,MATCH($A411,Työkonekanta!$A$3:$A$32,0),1),0)</f>
        <v>0</v>
      </c>
      <c r="AG411" s="332">
        <f>I411*INDEX(Muuttujat!$U$5:$U$21,MATCH($C411,Muuttujat!$N$5:$N$21,0),1)</f>
        <v>0</v>
      </c>
      <c r="AH411" s="332">
        <f>J411*INDEX(Muuttujat!$T$5:$T$21,MATCH($C411,Muuttujat!$N$5:$N$21,0),1)</f>
        <v>0</v>
      </c>
      <c r="AI411" s="332">
        <f t="shared" si="138"/>
        <v>0</v>
      </c>
      <c r="AJ411" s="332">
        <f t="shared" si="139"/>
        <v>0</v>
      </c>
      <c r="AK411" s="332">
        <f t="shared" si="148"/>
        <v>0</v>
      </c>
      <c r="AL411" s="332">
        <f t="shared" si="140"/>
        <v>0</v>
      </c>
    </row>
    <row r="412" spans="1:38">
      <c r="A412" s="139">
        <v>20</v>
      </c>
      <c r="B412" s="139">
        <f>IFERROR(INDEX(Työkonekanta!$F$3:$F$27,MATCH('S0b Baseline kasvu'!$A412,Työkonekanta!$A$3:$A$24,0),1),0)</f>
        <v>0</v>
      </c>
      <c r="C412" s="140">
        <v>2032</v>
      </c>
      <c r="D412" s="141" t="str">
        <f>IFERROR(INDEX(Työkonekanta!$D$3:$D$27,MATCH('S0b Baseline kasvu'!$A412,Työkonekanta!$A$3:$A$24,0),1),"undefined")</f>
        <v>pom</v>
      </c>
      <c r="E412" s="145">
        <f>IFERROR(INDEX(Työkonekanta!$G$3:$G$27,MATCH($A412,Työkonekanta!$A$3:$A$24,0),1)*INDEX(Työkonekanta!$H$3:$H$27,MATCH($A412,Työkonekanta!$A$3:$A$24,0),1)*(1+s0b_kasvu*($C412-2019))*$B412,0)</f>
        <v>0</v>
      </c>
      <c r="F412" s="145">
        <f t="shared" si="132"/>
        <v>0</v>
      </c>
      <c r="G412" s="145">
        <f t="shared" si="141"/>
        <v>0</v>
      </c>
      <c r="H412" s="145">
        <f t="shared" si="142"/>
        <v>0</v>
      </c>
      <c r="I412" s="145">
        <f t="shared" si="133"/>
        <v>0</v>
      </c>
      <c r="J412" s="145">
        <f t="shared" si="134"/>
        <v>0</v>
      </c>
      <c r="K412" s="142" t="str">
        <f t="shared" si="143"/>
        <v>l</v>
      </c>
      <c r="L412" s="146">
        <f>IFERROR(INDEX(Työkonekanta!$I$3:$I$27,MATCH('S0b Baseline kasvu'!$A412,Työkonekanta!$A$3:$A$24,0),1)*(I412+J412)*f_adblue,0)</f>
        <v>0</v>
      </c>
      <c r="M412" s="146">
        <f t="shared" si="149"/>
        <v>0</v>
      </c>
      <c r="N412" s="143" t="str">
        <f>IF(tuulisähkö_vuosi&lt;='S0b Baseline kasvu'!C412,"tuulisähkö",ostosähkö_nyt)</f>
        <v>jäännössähkö</v>
      </c>
      <c r="O412" s="147">
        <f>INDEX(Muuttujat!$J$5:$J$21,MATCH($C412,Muuttujat!$H$5:$H$21,0),1)</f>
        <v>60.765893284281319</v>
      </c>
      <c r="P412" s="342">
        <f>1-(INDEX(Muuttujat!$O$5:$O$21,MATCH($C412,Muuttujat!$N$5:$N$21,0),1))</f>
        <v>0.9</v>
      </c>
      <c r="Q412" s="342">
        <f>INDEX(Muuttujat!$O$5:$O$21,MATCH($C412,Muuttujat!$N$5:$N$21,0),1)</f>
        <v>0.1</v>
      </c>
      <c r="R412" s="148">
        <f>INDEX(Muuttujat!$P$5:$P$21,MATCH($C412,Muuttujat!$N$5:$N$21,0),1)</f>
        <v>0.10417875759940039</v>
      </c>
      <c r="S412" s="149">
        <f t="shared" si="135"/>
        <v>0</v>
      </c>
      <c r="T412" s="150">
        <f t="shared" si="136"/>
        <v>0</v>
      </c>
      <c r="U412" s="150">
        <f t="shared" si="137"/>
        <v>0</v>
      </c>
      <c r="V412" s="150">
        <f>IFERROR(INDEX(Työkonekanta!$J$3:$J$27,MATCH($A412,Työkonekanta!$A$3:$A$24,0),1)*$B412*ef_li_ion_akku/1000/1000/INDEX(Työkonekanta!$K$3:$K$27,MATCH($A412,Työkonekanta!$A$3:$A$24,0)),0)</f>
        <v>0</v>
      </c>
      <c r="W412" s="149">
        <f t="shared" si="150"/>
        <v>0</v>
      </c>
      <c r="X412" s="150">
        <f t="shared" si="151"/>
        <v>0</v>
      </c>
      <c r="Y412" s="151">
        <f t="shared" si="152"/>
        <v>0</v>
      </c>
      <c r="Z412" s="152">
        <f t="shared" si="144"/>
        <v>0</v>
      </c>
      <c r="AA412" s="179">
        <f t="shared" si="145"/>
        <v>0</v>
      </c>
      <c r="AB412" s="179">
        <f t="shared" si="146"/>
        <v>0</v>
      </c>
      <c r="AC412" s="180">
        <f t="shared" si="153"/>
        <v>0</v>
      </c>
      <c r="AD412" s="156">
        <f t="shared" si="147"/>
        <v>0</v>
      </c>
      <c r="AE412" s="146">
        <f>IFERROR(INDEX(Työkonekanta!$L$3:$L$30,MATCH($A412,Työkonekanta!$A$3:$A$30,0),1),0)*AF412</f>
        <v>0</v>
      </c>
      <c r="AF412" s="146">
        <f>IFERROR(INDEX(Työkonekanta!$N$3:$N$32,MATCH($A412,Työkonekanta!$A$3:$A$32,0),1),0)</f>
        <v>0</v>
      </c>
      <c r="AG412" s="332">
        <f>I412*INDEX(Muuttujat!$U$5:$U$21,MATCH($C412,Muuttujat!$N$5:$N$21,0),1)</f>
        <v>0</v>
      </c>
      <c r="AH412" s="332">
        <f>J412*INDEX(Muuttujat!$T$5:$T$21,MATCH($C412,Muuttujat!$N$5:$N$21,0),1)</f>
        <v>0</v>
      </c>
      <c r="AI412" s="332">
        <f t="shared" si="138"/>
        <v>0</v>
      </c>
      <c r="AJ412" s="332">
        <f t="shared" si="139"/>
        <v>0</v>
      </c>
      <c r="AK412" s="332">
        <f t="shared" si="148"/>
        <v>0</v>
      </c>
      <c r="AL412" s="332">
        <f t="shared" si="140"/>
        <v>0</v>
      </c>
    </row>
    <row r="413" spans="1:38">
      <c r="A413" s="139">
        <v>21</v>
      </c>
      <c r="B413" s="139">
        <f>IFERROR(INDEX(Työkonekanta!$F$3:$F$27,MATCH('S0b Baseline kasvu'!$A413,Työkonekanta!$A$3:$A$24,0),1),0)</f>
        <v>35</v>
      </c>
      <c r="C413" s="140">
        <v>2032</v>
      </c>
      <c r="D413" s="141" t="str">
        <f>IFERROR(INDEX(Työkonekanta!$D$3:$D$27,MATCH('S0b Baseline kasvu'!$A413,Työkonekanta!$A$3:$A$24,0),1),"undefined")</f>
        <v>sähkö</v>
      </c>
      <c r="E413" s="145">
        <f>IFERROR(INDEX(Työkonekanta!$G$3:$G$27,MATCH($A413,Työkonekanta!$A$3:$A$24,0),1)*INDEX(Työkonekanta!$H$3:$H$27,MATCH($A413,Työkonekanta!$A$3:$A$24,0),1)*(1+s0b_kasvu*($C413-2019))*$B413,0)</f>
        <v>460134.95370370365</v>
      </c>
      <c r="F413" s="145">
        <f t="shared" si="132"/>
        <v>0</v>
      </c>
      <c r="G413" s="145">
        <f t="shared" si="141"/>
        <v>0</v>
      </c>
      <c r="H413" s="145">
        <f t="shared" si="142"/>
        <v>0</v>
      </c>
      <c r="I413" s="145">
        <f t="shared" si="133"/>
        <v>0</v>
      </c>
      <c r="J413" s="145">
        <f t="shared" si="134"/>
        <v>0</v>
      </c>
      <c r="K413" s="142" t="str">
        <f t="shared" si="143"/>
        <v>kWh</v>
      </c>
      <c r="L413" s="146">
        <f>IFERROR(INDEX(Työkonekanta!$I$3:$I$27,MATCH('S0b Baseline kasvu'!$A413,Työkonekanta!$A$3:$A$24,0),1)*(I413+J413)*f_adblue,0)</f>
        <v>0</v>
      </c>
      <c r="M413" s="146">
        <f t="shared" si="149"/>
        <v>1656485.8333333333</v>
      </c>
      <c r="N413" s="143" t="str">
        <f>IF(tuulisähkö_vuosi&lt;='S0b Baseline kasvu'!C413,"tuulisähkö",ostosähkö_nyt)</f>
        <v>jäännössähkö</v>
      </c>
      <c r="O413" s="147">
        <f>INDEX(Muuttujat!$J$5:$J$21,MATCH($C413,Muuttujat!$H$5:$H$21,0),1)</f>
        <v>60.765893284281319</v>
      </c>
      <c r="P413" s="342">
        <f>1-(INDEX(Muuttujat!$O$5:$O$21,MATCH($C413,Muuttujat!$N$5:$N$21,0),1))</f>
        <v>0.9</v>
      </c>
      <c r="Q413" s="342">
        <f>INDEX(Muuttujat!$O$5:$O$21,MATCH($C413,Muuttujat!$N$5:$N$21,0),1)</f>
        <v>0.1</v>
      </c>
      <c r="R413" s="148">
        <f>INDEX(Muuttujat!$P$5:$P$21,MATCH($C413,Muuttujat!$N$5:$N$21,0),1)</f>
        <v>0.10417875759940039</v>
      </c>
      <c r="S413" s="149">
        <f t="shared" si="135"/>
        <v>0</v>
      </c>
      <c r="T413" s="150">
        <f t="shared" si="136"/>
        <v>0</v>
      </c>
      <c r="U413" s="150">
        <f t="shared" si="137"/>
        <v>100.65784137525714</v>
      </c>
      <c r="V413" s="150">
        <f>IFERROR(INDEX(Työkonekanta!$J$3:$J$27,MATCH($A413,Työkonekanta!$A$3:$A$24,0),1)*$B413*ef_li_ion_akku/1000/1000/INDEX(Työkonekanta!$K$3:$K$27,MATCH($A413,Työkonekanta!$A$3:$A$24,0)),0)</f>
        <v>43.121723076923082</v>
      </c>
      <c r="W413" s="149">
        <f t="shared" si="150"/>
        <v>0</v>
      </c>
      <c r="X413" s="150">
        <f t="shared" si="151"/>
        <v>0</v>
      </c>
      <c r="Y413" s="151">
        <f t="shared" si="152"/>
        <v>0</v>
      </c>
      <c r="Z413" s="152">
        <f t="shared" si="144"/>
        <v>143.77956445218021</v>
      </c>
      <c r="AA413" s="179">
        <f t="shared" si="145"/>
        <v>0</v>
      </c>
      <c r="AB413" s="179">
        <f t="shared" si="146"/>
        <v>0</v>
      </c>
      <c r="AC413" s="180">
        <f t="shared" si="153"/>
        <v>143.77956445218021</v>
      </c>
      <c r="AD413" s="156">
        <f t="shared" si="147"/>
        <v>143.77956445218021</v>
      </c>
      <c r="AE413" s="146">
        <f>IFERROR(INDEX(Työkonekanta!$L$3:$L$30,MATCH($A413,Työkonekanta!$A$3:$A$30,0),1),0)*AF413</f>
        <v>1820000</v>
      </c>
      <c r="AF413" s="146">
        <f>IFERROR(INDEX(Työkonekanta!$N$3:$N$32,MATCH($A413,Työkonekanta!$A$3:$A$32,0),1),0)</f>
        <v>7</v>
      </c>
      <c r="AG413" s="332">
        <f>I413*INDEX(Muuttujat!$U$5:$U$21,MATCH($C413,Muuttujat!$N$5:$N$21,0),1)</f>
        <v>0</v>
      </c>
      <c r="AH413" s="332">
        <f>J413*INDEX(Muuttujat!$T$5:$T$21,MATCH($C413,Muuttujat!$N$5:$N$21,0),1)</f>
        <v>0</v>
      </c>
      <c r="AI413" s="332">
        <f t="shared" si="138"/>
        <v>0</v>
      </c>
      <c r="AJ413" s="332">
        <f t="shared" si="139"/>
        <v>40721.943402777775</v>
      </c>
      <c r="AK413" s="332">
        <f t="shared" si="148"/>
        <v>40721.943402777775</v>
      </c>
      <c r="AL413" s="332">
        <f t="shared" si="140"/>
        <v>1163.4840972222221</v>
      </c>
    </row>
    <row r="414" spans="1:38">
      <c r="A414" s="139">
        <v>22</v>
      </c>
      <c r="B414" s="139">
        <f>IFERROR(INDEX(Työkonekanta!$F$3:$F$27,MATCH('S0b Baseline kasvu'!$A414,Työkonekanta!$A$3:$A$24,0),1),0)</f>
        <v>0</v>
      </c>
      <c r="C414" s="140">
        <v>2032</v>
      </c>
      <c r="D414" s="141" t="str">
        <f>IFERROR(INDEX(Työkonekanta!$D$3:$D$27,MATCH('S0b Baseline kasvu'!$A414,Työkonekanta!$A$3:$A$24,0),1),"undefined")</f>
        <v>sähkö</v>
      </c>
      <c r="E414" s="145">
        <f>IFERROR(INDEX(Työkonekanta!$G$3:$G$27,MATCH($A414,Työkonekanta!$A$3:$A$24,0),1)*INDEX(Työkonekanta!$H$3:$H$27,MATCH($A414,Työkonekanta!$A$3:$A$24,0),1)*(1+s0b_kasvu*($C414-2019))*$B414,0)</f>
        <v>0</v>
      </c>
      <c r="F414" s="145">
        <f t="shared" si="132"/>
        <v>0</v>
      </c>
      <c r="G414" s="145">
        <f t="shared" si="141"/>
        <v>0</v>
      </c>
      <c r="H414" s="145">
        <f t="shared" si="142"/>
        <v>0</v>
      </c>
      <c r="I414" s="145">
        <f t="shared" si="133"/>
        <v>0</v>
      </c>
      <c r="J414" s="145">
        <f t="shared" si="134"/>
        <v>0</v>
      </c>
      <c r="K414" s="142" t="str">
        <f t="shared" si="143"/>
        <v>kWh</v>
      </c>
      <c r="L414" s="146">
        <f>IFERROR(INDEX(Työkonekanta!$I$3:$I$27,MATCH('S0b Baseline kasvu'!$A414,Työkonekanta!$A$3:$A$24,0),1)*(I414+J414)*f_adblue,0)</f>
        <v>0</v>
      </c>
      <c r="M414" s="146">
        <f t="shared" si="149"/>
        <v>0</v>
      </c>
      <c r="N414" s="143" t="str">
        <f>IF(tuulisähkö_vuosi&lt;='S0b Baseline kasvu'!C414,"tuulisähkö",ostosähkö_nyt)</f>
        <v>jäännössähkö</v>
      </c>
      <c r="O414" s="147">
        <f>INDEX(Muuttujat!$J$5:$J$21,MATCH($C414,Muuttujat!$H$5:$H$21,0),1)</f>
        <v>60.765893284281319</v>
      </c>
      <c r="P414" s="342">
        <f>1-(INDEX(Muuttujat!$O$5:$O$21,MATCH($C414,Muuttujat!$N$5:$N$21,0),1))</f>
        <v>0.9</v>
      </c>
      <c r="Q414" s="342">
        <f>INDEX(Muuttujat!$O$5:$O$21,MATCH($C414,Muuttujat!$N$5:$N$21,0),1)</f>
        <v>0.1</v>
      </c>
      <c r="R414" s="148">
        <f>INDEX(Muuttujat!$P$5:$P$21,MATCH($C414,Muuttujat!$N$5:$N$21,0),1)</f>
        <v>0.10417875759940039</v>
      </c>
      <c r="S414" s="149">
        <f t="shared" si="135"/>
        <v>0</v>
      </c>
      <c r="T414" s="150">
        <f t="shared" si="136"/>
        <v>0</v>
      </c>
      <c r="U414" s="150">
        <f t="shared" si="137"/>
        <v>0</v>
      </c>
      <c r="V414" s="150">
        <f>IFERROR(INDEX(Työkonekanta!$J$3:$J$27,MATCH($A414,Työkonekanta!$A$3:$A$24,0),1)*$B414*ef_li_ion_akku/1000/1000/INDEX(Työkonekanta!$K$3:$K$27,MATCH($A414,Työkonekanta!$A$3:$A$24,0)),0)</f>
        <v>0</v>
      </c>
      <c r="W414" s="149">
        <f t="shared" si="150"/>
        <v>0</v>
      </c>
      <c r="X414" s="150">
        <f t="shared" si="151"/>
        <v>0</v>
      </c>
      <c r="Y414" s="151">
        <f t="shared" si="152"/>
        <v>0</v>
      </c>
      <c r="Z414" s="152">
        <f t="shared" si="144"/>
        <v>0</v>
      </c>
      <c r="AA414" s="179">
        <f t="shared" si="145"/>
        <v>0</v>
      </c>
      <c r="AB414" s="179">
        <f t="shared" si="146"/>
        <v>0</v>
      </c>
      <c r="AC414" s="180">
        <f t="shared" si="153"/>
        <v>0</v>
      </c>
      <c r="AD414" s="156">
        <f t="shared" si="147"/>
        <v>0</v>
      </c>
      <c r="AE414" s="146">
        <f>IFERROR(INDEX(Työkonekanta!$L$3:$L$30,MATCH($A414,Työkonekanta!$A$3:$A$30,0),1),0)*AF414</f>
        <v>0</v>
      </c>
      <c r="AF414" s="146">
        <f>IFERROR(INDEX(Työkonekanta!$N$3:$N$32,MATCH($A414,Työkonekanta!$A$3:$A$32,0),1),0)</f>
        <v>0</v>
      </c>
      <c r="AG414" s="332">
        <f>I414*INDEX(Muuttujat!$U$5:$U$21,MATCH($C414,Muuttujat!$N$5:$N$21,0),1)</f>
        <v>0</v>
      </c>
      <c r="AH414" s="332">
        <f>J414*INDEX(Muuttujat!$T$5:$T$21,MATCH($C414,Muuttujat!$N$5:$N$21,0),1)</f>
        <v>0</v>
      </c>
      <c r="AI414" s="332">
        <f t="shared" si="138"/>
        <v>0</v>
      </c>
      <c r="AJ414" s="332">
        <f t="shared" si="139"/>
        <v>0</v>
      </c>
      <c r="AK414" s="332">
        <f t="shared" si="148"/>
        <v>0</v>
      </c>
      <c r="AL414" s="332">
        <f t="shared" si="140"/>
        <v>0</v>
      </c>
    </row>
    <row r="415" spans="1:38">
      <c r="A415" s="139">
        <v>23</v>
      </c>
      <c r="B415" s="139">
        <f>IFERROR(INDEX(Työkonekanta!$F$3:$F$27,MATCH('S0b Baseline kasvu'!$A415,Työkonekanta!$A$3:$A$24,0),1),0)</f>
        <v>0</v>
      </c>
      <c r="C415" s="140">
        <v>2032</v>
      </c>
      <c r="D415" s="141" t="str">
        <f>IFERROR(INDEX(Työkonekanta!$D$3:$D$27,MATCH('S0b Baseline kasvu'!$A415,Työkonekanta!$A$3:$A$24,0),1),"undefined")</f>
        <v>undefined</v>
      </c>
      <c r="E415" s="145">
        <f>IFERROR(INDEX(Työkonekanta!$G$3:$G$27,MATCH($A415,Työkonekanta!$A$3:$A$24,0),1)*INDEX(Työkonekanta!$H$3:$H$27,MATCH($A415,Työkonekanta!$A$3:$A$24,0),1)*(1+s0b_kasvu*($C415-2019))*$B415,0)</f>
        <v>0</v>
      </c>
      <c r="F415" s="145">
        <f t="shared" si="132"/>
        <v>0</v>
      </c>
      <c r="G415" s="145">
        <f t="shared" si="141"/>
        <v>0</v>
      </c>
      <c r="H415" s="145">
        <f t="shared" si="142"/>
        <v>0</v>
      </c>
      <c r="I415" s="145">
        <f t="shared" si="133"/>
        <v>0</v>
      </c>
      <c r="J415" s="145">
        <f t="shared" si="134"/>
        <v>0</v>
      </c>
      <c r="K415" s="142" t="str">
        <f t="shared" si="143"/>
        <v>undefined</v>
      </c>
      <c r="L415" s="146">
        <f>IFERROR(INDEX(Työkonekanta!$I$3:$I$27,MATCH('S0b Baseline kasvu'!$A415,Työkonekanta!$A$3:$A$24,0),1)*(I415+J415)*f_adblue,0)</f>
        <v>0</v>
      </c>
      <c r="M415" s="146">
        <f t="shared" si="149"/>
        <v>0</v>
      </c>
      <c r="N415" s="143" t="str">
        <f>IF(tuulisähkö_vuosi&lt;='S0b Baseline kasvu'!C415,"tuulisähkö",ostosähkö_nyt)</f>
        <v>jäännössähkö</v>
      </c>
      <c r="O415" s="147">
        <f>INDEX(Muuttujat!$J$5:$J$21,MATCH($C415,Muuttujat!$H$5:$H$21,0),1)</f>
        <v>60.765893284281319</v>
      </c>
      <c r="P415" s="342">
        <f>1-(INDEX(Muuttujat!$O$5:$O$21,MATCH($C415,Muuttujat!$N$5:$N$21,0),1))</f>
        <v>0.9</v>
      </c>
      <c r="Q415" s="342">
        <f>INDEX(Muuttujat!$O$5:$O$21,MATCH($C415,Muuttujat!$N$5:$N$21,0),1)</f>
        <v>0.1</v>
      </c>
      <c r="R415" s="148">
        <f>INDEX(Muuttujat!$P$5:$P$21,MATCH($C415,Muuttujat!$N$5:$N$21,0),1)</f>
        <v>0.10417875759940039</v>
      </c>
      <c r="S415" s="149">
        <f t="shared" si="135"/>
        <v>0</v>
      </c>
      <c r="T415" s="150">
        <f t="shared" si="136"/>
        <v>0</v>
      </c>
      <c r="U415" s="150">
        <f t="shared" si="137"/>
        <v>0</v>
      </c>
      <c r="V415" s="150">
        <f>IFERROR(INDEX(Työkonekanta!$J$3:$J$27,MATCH($A415,Työkonekanta!$A$3:$A$24,0),1)*$B415*ef_li_ion_akku/1000/1000/INDEX(Työkonekanta!$K$3:$K$27,MATCH($A415,Työkonekanta!$A$3:$A$24,0)),0)</f>
        <v>0</v>
      </c>
      <c r="W415" s="149">
        <f t="shared" si="150"/>
        <v>0</v>
      </c>
      <c r="X415" s="150">
        <f t="shared" si="151"/>
        <v>0</v>
      </c>
      <c r="Y415" s="151">
        <f t="shared" si="152"/>
        <v>0</v>
      </c>
      <c r="Z415" s="152">
        <f t="shared" si="144"/>
        <v>0</v>
      </c>
      <c r="AA415" s="179">
        <f t="shared" si="145"/>
        <v>0</v>
      </c>
      <c r="AB415" s="179">
        <f t="shared" si="146"/>
        <v>0</v>
      </c>
      <c r="AC415" s="180">
        <f t="shared" si="153"/>
        <v>0</v>
      </c>
      <c r="AD415" s="156">
        <f t="shared" si="147"/>
        <v>0</v>
      </c>
      <c r="AE415" s="146">
        <f>IFERROR(INDEX(Työkonekanta!$L$3:$L$30,MATCH($A415,Työkonekanta!$A$3:$A$30,0),1),0)*AF415</f>
        <v>0</v>
      </c>
      <c r="AF415" s="146">
        <f>IFERROR(INDEX(Työkonekanta!$N$3:$N$32,MATCH($A415,Työkonekanta!$A$3:$A$32,0),1),0)</f>
        <v>0</v>
      </c>
      <c r="AG415" s="332">
        <f>I415*INDEX(Muuttujat!$U$5:$U$21,MATCH($C415,Muuttujat!$N$5:$N$21,0),1)</f>
        <v>0</v>
      </c>
      <c r="AH415" s="332">
        <f>J415*INDEX(Muuttujat!$T$5:$T$21,MATCH($C415,Muuttujat!$N$5:$N$21,0),1)</f>
        <v>0</v>
      </c>
      <c r="AI415" s="332">
        <f t="shared" si="138"/>
        <v>0</v>
      </c>
      <c r="AJ415" s="332">
        <f t="shared" si="139"/>
        <v>0</v>
      </c>
      <c r="AK415" s="332">
        <f t="shared" si="148"/>
        <v>0</v>
      </c>
      <c r="AL415" s="332">
        <f t="shared" si="140"/>
        <v>0</v>
      </c>
    </row>
    <row r="416" spans="1:38">
      <c r="A416" s="139">
        <v>24</v>
      </c>
      <c r="B416" s="139">
        <f>IFERROR(INDEX(Työkonekanta!$F$3:$F$27,MATCH('S0b Baseline kasvu'!$A416,Työkonekanta!$A$3:$A$24,0),1),0)</f>
        <v>0</v>
      </c>
      <c r="C416" s="140">
        <v>2032</v>
      </c>
      <c r="D416" s="141" t="str">
        <f>IFERROR(INDEX(Työkonekanta!$D$3:$D$27,MATCH('S0b Baseline kasvu'!$A416,Työkonekanta!$A$3:$A$24,0),1),"undefined")</f>
        <v>undefined</v>
      </c>
      <c r="E416" s="145">
        <f>IFERROR(INDEX(Työkonekanta!$G$3:$G$27,MATCH($A416,Työkonekanta!$A$3:$A$24,0),1)*INDEX(Työkonekanta!$H$3:$H$27,MATCH($A416,Työkonekanta!$A$3:$A$24,0),1)*(1+s0b_kasvu*($C416-2019))*$B416,0)</f>
        <v>0</v>
      </c>
      <c r="F416" s="145">
        <f t="shared" si="132"/>
        <v>0</v>
      </c>
      <c r="G416" s="145">
        <f t="shared" si="141"/>
        <v>0</v>
      </c>
      <c r="H416" s="145">
        <f t="shared" si="142"/>
        <v>0</v>
      </c>
      <c r="I416" s="145">
        <f t="shared" si="133"/>
        <v>0</v>
      </c>
      <c r="J416" s="145">
        <f t="shared" si="134"/>
        <v>0</v>
      </c>
      <c r="K416" s="142" t="str">
        <f t="shared" si="143"/>
        <v>undefined</v>
      </c>
      <c r="L416" s="146">
        <f>IFERROR(INDEX(Työkonekanta!$I$3:$I$27,MATCH('S0b Baseline kasvu'!$A416,Työkonekanta!$A$3:$A$24,0),1)*(I416+J416)*f_adblue,0)</f>
        <v>0</v>
      </c>
      <c r="M416" s="146">
        <f t="shared" si="149"/>
        <v>0</v>
      </c>
      <c r="N416" s="143" t="str">
        <f>IF(tuulisähkö_vuosi&lt;='S0b Baseline kasvu'!C416,"tuulisähkö",ostosähkö_nyt)</f>
        <v>jäännössähkö</v>
      </c>
      <c r="O416" s="147">
        <f>INDEX(Muuttujat!$J$5:$J$21,MATCH($C416,Muuttujat!$H$5:$H$21,0),1)</f>
        <v>60.765893284281319</v>
      </c>
      <c r="P416" s="342">
        <f>1-(INDEX(Muuttujat!$O$5:$O$21,MATCH($C416,Muuttujat!$N$5:$N$21,0),1))</f>
        <v>0.9</v>
      </c>
      <c r="Q416" s="342">
        <f>INDEX(Muuttujat!$O$5:$O$21,MATCH($C416,Muuttujat!$N$5:$N$21,0),1)</f>
        <v>0.1</v>
      </c>
      <c r="R416" s="148">
        <f>INDEX(Muuttujat!$P$5:$P$21,MATCH($C416,Muuttujat!$N$5:$N$21,0),1)</f>
        <v>0.10417875759940039</v>
      </c>
      <c r="S416" s="149">
        <f t="shared" si="135"/>
        <v>0</v>
      </c>
      <c r="T416" s="150">
        <f t="shared" si="136"/>
        <v>0</v>
      </c>
      <c r="U416" s="150">
        <f t="shared" si="137"/>
        <v>0</v>
      </c>
      <c r="V416" s="150">
        <f>IFERROR(INDEX(Työkonekanta!$J$3:$J$27,MATCH($A416,Työkonekanta!$A$3:$A$24,0),1)*$B416*ef_li_ion_akku/1000/1000/INDEX(Työkonekanta!$K$3:$K$27,MATCH($A416,Työkonekanta!$A$3:$A$24,0)),0)</f>
        <v>0</v>
      </c>
      <c r="W416" s="149">
        <f t="shared" si="150"/>
        <v>0</v>
      </c>
      <c r="X416" s="150">
        <f t="shared" si="151"/>
        <v>0</v>
      </c>
      <c r="Y416" s="151">
        <f t="shared" si="152"/>
        <v>0</v>
      </c>
      <c r="Z416" s="152">
        <f t="shared" si="144"/>
        <v>0</v>
      </c>
      <c r="AA416" s="179">
        <f t="shared" si="145"/>
        <v>0</v>
      </c>
      <c r="AB416" s="179">
        <f t="shared" si="146"/>
        <v>0</v>
      </c>
      <c r="AC416" s="180">
        <f t="shared" si="153"/>
        <v>0</v>
      </c>
      <c r="AD416" s="156">
        <f t="shared" si="147"/>
        <v>0</v>
      </c>
      <c r="AE416" s="146">
        <f>IFERROR(INDEX(Työkonekanta!$L$3:$L$30,MATCH($A416,Työkonekanta!$A$3:$A$30,0),1),0)*AF416</f>
        <v>0</v>
      </c>
      <c r="AF416" s="146">
        <f>IFERROR(INDEX(Työkonekanta!$N$3:$N$32,MATCH($A416,Työkonekanta!$A$3:$A$32,0),1),0)</f>
        <v>0</v>
      </c>
      <c r="AG416" s="332">
        <f>I416*INDEX(Muuttujat!$U$5:$U$21,MATCH($C416,Muuttujat!$N$5:$N$21,0),1)</f>
        <v>0</v>
      </c>
      <c r="AH416" s="332">
        <f>J416*INDEX(Muuttujat!$T$5:$T$21,MATCH($C416,Muuttujat!$N$5:$N$21,0),1)</f>
        <v>0</v>
      </c>
      <c r="AI416" s="332">
        <f t="shared" si="138"/>
        <v>0</v>
      </c>
      <c r="AJ416" s="332">
        <f t="shared" si="139"/>
        <v>0</v>
      </c>
      <c r="AK416" s="332">
        <f t="shared" si="148"/>
        <v>0</v>
      </c>
      <c r="AL416" s="332">
        <f t="shared" si="140"/>
        <v>0</v>
      </c>
    </row>
    <row r="417" spans="1:38">
      <c r="A417" s="139">
        <v>25</v>
      </c>
      <c r="B417" s="139">
        <f>IFERROR(INDEX(Työkonekanta!$F$3:$F$27,MATCH('S0b Baseline kasvu'!$A417,Työkonekanta!$A$3:$A$24,0),1),0)</f>
        <v>0</v>
      </c>
      <c r="C417" s="140">
        <v>2032</v>
      </c>
      <c r="D417" s="141" t="str">
        <f>IFERROR(INDEX(Työkonekanta!$D$3:$D$27,MATCH('S0b Baseline kasvu'!$A417,Työkonekanta!$A$3:$A$24,0),1),"undefined")</f>
        <v>undefined</v>
      </c>
      <c r="E417" s="145">
        <f>IFERROR(INDEX(Työkonekanta!$G$3:$G$27,MATCH($A417,Työkonekanta!$A$3:$A$24,0),1)*INDEX(Työkonekanta!$H$3:$H$27,MATCH($A417,Työkonekanta!$A$3:$A$24,0),1)*(1+s0b_kasvu*($C417-2019))*$B417,0)</f>
        <v>0</v>
      </c>
      <c r="F417" s="145">
        <f t="shared" si="132"/>
        <v>0</v>
      </c>
      <c r="G417" s="145">
        <f t="shared" si="141"/>
        <v>0</v>
      </c>
      <c r="H417" s="145">
        <f t="shared" si="142"/>
        <v>0</v>
      </c>
      <c r="I417" s="145">
        <f t="shared" si="133"/>
        <v>0</v>
      </c>
      <c r="J417" s="145">
        <f t="shared" si="134"/>
        <v>0</v>
      </c>
      <c r="K417" s="142" t="str">
        <f t="shared" si="143"/>
        <v>undefined</v>
      </c>
      <c r="L417" s="146">
        <f>IFERROR(INDEX(Työkonekanta!$I$3:$I$27,MATCH('S0b Baseline kasvu'!$A417,Työkonekanta!$A$3:$A$24,0),1)*(I417+J417)*f_adblue,0)</f>
        <v>0</v>
      </c>
      <c r="M417" s="146">
        <f t="shared" si="149"/>
        <v>0</v>
      </c>
      <c r="N417" s="143" t="str">
        <f>IF(tuulisähkö_vuosi&lt;='S0b Baseline kasvu'!C417,"tuulisähkö",ostosähkö_nyt)</f>
        <v>jäännössähkö</v>
      </c>
      <c r="O417" s="147">
        <f>INDEX(Muuttujat!$J$5:$J$21,MATCH($C417,Muuttujat!$H$5:$H$21,0),1)</f>
        <v>60.765893284281319</v>
      </c>
      <c r="P417" s="342">
        <f>1-(INDEX(Muuttujat!$O$5:$O$21,MATCH($C417,Muuttujat!$N$5:$N$21,0),1))</f>
        <v>0.9</v>
      </c>
      <c r="Q417" s="342">
        <f>INDEX(Muuttujat!$O$5:$O$21,MATCH($C417,Muuttujat!$N$5:$N$21,0),1)</f>
        <v>0.1</v>
      </c>
      <c r="R417" s="148">
        <f>INDEX(Muuttujat!$P$5:$P$21,MATCH($C417,Muuttujat!$N$5:$N$21,0),1)</f>
        <v>0.10417875759940039</v>
      </c>
      <c r="S417" s="149">
        <f t="shared" si="135"/>
        <v>0</v>
      </c>
      <c r="T417" s="150">
        <f t="shared" si="136"/>
        <v>0</v>
      </c>
      <c r="U417" s="150">
        <f t="shared" si="137"/>
        <v>0</v>
      </c>
      <c r="V417" s="150">
        <f>IFERROR(INDEX(Työkonekanta!$J$3:$J$27,MATCH($A417,Työkonekanta!$A$3:$A$24,0),1)*$B417*ef_li_ion_akku/1000/1000/INDEX(Työkonekanta!$K$3:$K$27,MATCH($A417,Työkonekanta!$A$3:$A$24,0)),0)</f>
        <v>0</v>
      </c>
      <c r="W417" s="149">
        <f t="shared" si="150"/>
        <v>0</v>
      </c>
      <c r="X417" s="150">
        <f t="shared" si="151"/>
        <v>0</v>
      </c>
      <c r="Y417" s="151">
        <f t="shared" si="152"/>
        <v>0</v>
      </c>
      <c r="Z417" s="152">
        <f t="shared" si="144"/>
        <v>0</v>
      </c>
      <c r="AA417" s="179">
        <f t="shared" si="145"/>
        <v>0</v>
      </c>
      <c r="AB417" s="179">
        <f t="shared" si="146"/>
        <v>0</v>
      </c>
      <c r="AC417" s="180">
        <f t="shared" si="153"/>
        <v>0</v>
      </c>
      <c r="AD417" s="156">
        <f t="shared" si="147"/>
        <v>0</v>
      </c>
      <c r="AE417" s="146">
        <f>IFERROR(INDEX(Työkonekanta!$L$3:$L$30,MATCH($A417,Työkonekanta!$A$3:$A$30,0),1),0)*AF417</f>
        <v>0</v>
      </c>
      <c r="AF417" s="146">
        <f>IFERROR(INDEX(Työkonekanta!$N$3:$N$32,MATCH($A417,Työkonekanta!$A$3:$A$32,0),1),0)</f>
        <v>0</v>
      </c>
      <c r="AG417" s="332">
        <f>I417*INDEX(Muuttujat!$U$5:$U$21,MATCH($C417,Muuttujat!$N$5:$N$21,0),1)</f>
        <v>0</v>
      </c>
      <c r="AH417" s="332">
        <f>J417*INDEX(Muuttujat!$T$5:$T$21,MATCH($C417,Muuttujat!$N$5:$N$21,0),1)</f>
        <v>0</v>
      </c>
      <c r="AI417" s="332">
        <f t="shared" si="138"/>
        <v>0</v>
      </c>
      <c r="AJ417" s="332">
        <f t="shared" si="139"/>
        <v>0</v>
      </c>
      <c r="AK417" s="332">
        <f t="shared" si="148"/>
        <v>0</v>
      </c>
      <c r="AL417" s="332">
        <f t="shared" si="140"/>
        <v>0</v>
      </c>
    </row>
    <row r="418" spans="1:38">
      <c r="A418" s="139">
        <v>26</v>
      </c>
      <c r="B418" s="139">
        <f>IFERROR(INDEX(Työkonekanta!$F$3:$F$27,MATCH('S0b Baseline kasvu'!$A418,Työkonekanta!$A$3:$A$24,0),1),0)</f>
        <v>0</v>
      </c>
      <c r="C418" s="140">
        <v>2032</v>
      </c>
      <c r="D418" s="141" t="str">
        <f>IFERROR(INDEX(Työkonekanta!$D$3:$D$27,MATCH('S0b Baseline kasvu'!$A418,Työkonekanta!$A$3:$A$24,0),1),"undefined")</f>
        <v>undefined</v>
      </c>
      <c r="E418" s="145">
        <f>IFERROR(INDEX(Työkonekanta!$G$3:$G$27,MATCH($A418,Työkonekanta!$A$3:$A$24,0),1)*INDEX(Työkonekanta!$H$3:$H$27,MATCH($A418,Työkonekanta!$A$3:$A$24,0),1)*(1+s0b_kasvu*($C418-2019))*$B418,0)</f>
        <v>0</v>
      </c>
      <c r="F418" s="145">
        <f t="shared" si="132"/>
        <v>0</v>
      </c>
      <c r="G418" s="145">
        <f t="shared" si="141"/>
        <v>0</v>
      </c>
      <c r="H418" s="145">
        <f t="shared" si="142"/>
        <v>0</v>
      </c>
      <c r="I418" s="145">
        <f t="shared" si="133"/>
        <v>0</v>
      </c>
      <c r="J418" s="145">
        <f t="shared" si="134"/>
        <v>0</v>
      </c>
      <c r="K418" s="142" t="str">
        <f t="shared" si="143"/>
        <v>undefined</v>
      </c>
      <c r="L418" s="146">
        <f>IFERROR(INDEX(Työkonekanta!$I$3:$I$27,MATCH('S0b Baseline kasvu'!$A418,Työkonekanta!$A$3:$A$24,0),1)*(I418+J418)*f_adblue,0)</f>
        <v>0</v>
      </c>
      <c r="M418" s="146">
        <f t="shared" si="149"/>
        <v>0</v>
      </c>
      <c r="N418" s="143" t="str">
        <f>IF(tuulisähkö_vuosi&lt;='S0b Baseline kasvu'!C418,"tuulisähkö",ostosähkö_nyt)</f>
        <v>jäännössähkö</v>
      </c>
      <c r="O418" s="147">
        <f>INDEX(Muuttujat!$J$5:$J$21,MATCH($C418,Muuttujat!$H$5:$H$21,0),1)</f>
        <v>60.765893284281319</v>
      </c>
      <c r="P418" s="342">
        <f>1-(INDEX(Muuttujat!$O$5:$O$21,MATCH($C418,Muuttujat!$N$5:$N$21,0),1))</f>
        <v>0.9</v>
      </c>
      <c r="Q418" s="342">
        <f>INDEX(Muuttujat!$O$5:$O$21,MATCH($C418,Muuttujat!$N$5:$N$21,0),1)</f>
        <v>0.1</v>
      </c>
      <c r="R418" s="148">
        <f>INDEX(Muuttujat!$P$5:$P$21,MATCH($C418,Muuttujat!$N$5:$N$21,0),1)</f>
        <v>0.10417875759940039</v>
      </c>
      <c r="S418" s="149">
        <f t="shared" si="135"/>
        <v>0</v>
      </c>
      <c r="T418" s="150">
        <f t="shared" si="136"/>
        <v>0</v>
      </c>
      <c r="U418" s="150">
        <f t="shared" si="137"/>
        <v>0</v>
      </c>
      <c r="V418" s="150">
        <f>IFERROR(INDEX(Työkonekanta!$J$3:$J$27,MATCH($A418,Työkonekanta!$A$3:$A$24,0),1)*$B418*ef_li_ion_akku/1000/1000/INDEX(Työkonekanta!$K$3:$K$27,MATCH($A418,Työkonekanta!$A$3:$A$24,0)),0)</f>
        <v>0</v>
      </c>
      <c r="W418" s="149">
        <f t="shared" si="150"/>
        <v>0</v>
      </c>
      <c r="X418" s="150">
        <f t="shared" si="151"/>
        <v>0</v>
      </c>
      <c r="Y418" s="151">
        <f t="shared" si="152"/>
        <v>0</v>
      </c>
      <c r="Z418" s="152">
        <f t="shared" si="144"/>
        <v>0</v>
      </c>
      <c r="AA418" s="179">
        <f t="shared" si="145"/>
        <v>0</v>
      </c>
      <c r="AB418" s="179">
        <f t="shared" si="146"/>
        <v>0</v>
      </c>
      <c r="AC418" s="180">
        <f t="shared" si="153"/>
        <v>0</v>
      </c>
      <c r="AD418" s="156">
        <f t="shared" si="147"/>
        <v>0</v>
      </c>
      <c r="AE418" s="146">
        <f>IFERROR(INDEX(Työkonekanta!$L$3:$L$30,MATCH($A418,Työkonekanta!$A$3:$A$30,0),1),0)*AF418</f>
        <v>0</v>
      </c>
      <c r="AF418" s="146">
        <f>IFERROR(INDEX(Työkonekanta!$N$3:$N$32,MATCH($A418,Työkonekanta!$A$3:$A$32,0),1),0)</f>
        <v>0</v>
      </c>
      <c r="AG418" s="332">
        <f>I418*INDEX(Muuttujat!$U$5:$U$21,MATCH($C418,Muuttujat!$N$5:$N$21,0),1)</f>
        <v>0</v>
      </c>
      <c r="AH418" s="332">
        <f>J418*INDEX(Muuttujat!$T$5:$T$21,MATCH($C418,Muuttujat!$N$5:$N$21,0),1)</f>
        <v>0</v>
      </c>
      <c r="AI418" s="332">
        <f t="shared" si="138"/>
        <v>0</v>
      </c>
      <c r="AJ418" s="332">
        <f t="shared" si="139"/>
        <v>0</v>
      </c>
      <c r="AK418" s="332">
        <f t="shared" si="148"/>
        <v>0</v>
      </c>
      <c r="AL418" s="332">
        <f t="shared" si="140"/>
        <v>0</v>
      </c>
    </row>
    <row r="419" spans="1:38">
      <c r="A419" s="139">
        <v>27</v>
      </c>
      <c r="B419" s="139">
        <f>IFERROR(INDEX(Työkonekanta!$F$3:$F$27,MATCH('S0b Baseline kasvu'!$A419,Työkonekanta!$A$3:$A$24,0),1),0)</f>
        <v>0</v>
      </c>
      <c r="C419" s="140">
        <v>2032</v>
      </c>
      <c r="D419" s="141" t="str">
        <f>IFERROR(INDEX(Työkonekanta!$D$3:$D$27,MATCH('S0b Baseline kasvu'!$A419,Työkonekanta!$A$3:$A$24,0),1),"undefined")</f>
        <v>undefined</v>
      </c>
      <c r="E419" s="145">
        <f>IFERROR(INDEX(Työkonekanta!$G$3:$G$27,MATCH($A419,Työkonekanta!$A$3:$A$24,0),1)*INDEX(Työkonekanta!$H$3:$H$27,MATCH($A419,Työkonekanta!$A$3:$A$24,0),1)*(1+s0b_kasvu*($C419-2019))*$B419,0)</f>
        <v>0</v>
      </c>
      <c r="F419" s="145">
        <f t="shared" si="132"/>
        <v>0</v>
      </c>
      <c r="G419" s="145">
        <f t="shared" si="141"/>
        <v>0</v>
      </c>
      <c r="H419" s="145">
        <f t="shared" si="142"/>
        <v>0</v>
      </c>
      <c r="I419" s="145">
        <f t="shared" si="133"/>
        <v>0</v>
      </c>
      <c r="J419" s="145">
        <f t="shared" si="134"/>
        <v>0</v>
      </c>
      <c r="K419" s="142" t="str">
        <f t="shared" si="143"/>
        <v>undefined</v>
      </c>
      <c r="L419" s="146">
        <f>IFERROR(INDEX(Työkonekanta!$I$3:$I$27,MATCH('S0b Baseline kasvu'!$A419,Työkonekanta!$A$3:$A$24,0),1)*(I419+J419)*f_adblue,0)</f>
        <v>0</v>
      </c>
      <c r="M419" s="146">
        <f t="shared" si="149"/>
        <v>0</v>
      </c>
      <c r="N419" s="143" t="str">
        <f>IF(tuulisähkö_vuosi&lt;='S0b Baseline kasvu'!C419,"tuulisähkö",ostosähkö_nyt)</f>
        <v>jäännössähkö</v>
      </c>
      <c r="O419" s="147">
        <f>INDEX(Muuttujat!$J$5:$J$21,MATCH($C419,Muuttujat!$H$5:$H$21,0),1)</f>
        <v>60.765893284281319</v>
      </c>
      <c r="P419" s="342">
        <f>1-(INDEX(Muuttujat!$O$5:$O$21,MATCH($C419,Muuttujat!$N$5:$N$21,0),1))</f>
        <v>0.9</v>
      </c>
      <c r="Q419" s="342">
        <f>INDEX(Muuttujat!$O$5:$O$21,MATCH($C419,Muuttujat!$N$5:$N$21,0),1)</f>
        <v>0.1</v>
      </c>
      <c r="R419" s="148">
        <f>INDEX(Muuttujat!$P$5:$P$21,MATCH($C419,Muuttujat!$N$5:$N$21,0),1)</f>
        <v>0.10417875759940039</v>
      </c>
      <c r="S419" s="149">
        <f t="shared" si="135"/>
        <v>0</v>
      </c>
      <c r="T419" s="150">
        <f t="shared" si="136"/>
        <v>0</v>
      </c>
      <c r="U419" s="150">
        <f t="shared" si="137"/>
        <v>0</v>
      </c>
      <c r="V419" s="150">
        <f>IFERROR(INDEX(Työkonekanta!$J$3:$J$27,MATCH($A419,Työkonekanta!$A$3:$A$24,0),1)*$B419*ef_li_ion_akku/1000/1000/INDEX(Työkonekanta!$K$3:$K$27,MATCH($A419,Työkonekanta!$A$3:$A$24,0)),0)</f>
        <v>0</v>
      </c>
      <c r="W419" s="149">
        <f t="shared" si="150"/>
        <v>0</v>
      </c>
      <c r="X419" s="150">
        <f t="shared" si="151"/>
        <v>0</v>
      </c>
      <c r="Y419" s="151">
        <f t="shared" si="152"/>
        <v>0</v>
      </c>
      <c r="Z419" s="152">
        <f t="shared" si="144"/>
        <v>0</v>
      </c>
      <c r="AA419" s="179">
        <f t="shared" si="145"/>
        <v>0</v>
      </c>
      <c r="AB419" s="179">
        <f t="shared" si="146"/>
        <v>0</v>
      </c>
      <c r="AC419" s="180">
        <f t="shared" si="153"/>
        <v>0</v>
      </c>
      <c r="AD419" s="156">
        <f t="shared" si="147"/>
        <v>0</v>
      </c>
      <c r="AE419" s="146">
        <f>IFERROR(INDEX(Työkonekanta!$L$3:$L$30,MATCH($A419,Työkonekanta!$A$3:$A$30,0),1),0)*AF419</f>
        <v>0</v>
      </c>
      <c r="AF419" s="146">
        <f>IFERROR(INDEX(Työkonekanta!$N$3:$N$32,MATCH($A419,Työkonekanta!$A$3:$A$32,0),1),0)</f>
        <v>0</v>
      </c>
      <c r="AG419" s="332">
        <f>I419*INDEX(Muuttujat!$U$5:$U$21,MATCH($C419,Muuttujat!$N$5:$N$21,0),1)</f>
        <v>0</v>
      </c>
      <c r="AH419" s="332">
        <f>J419*INDEX(Muuttujat!$T$5:$T$21,MATCH($C419,Muuttujat!$N$5:$N$21,0),1)</f>
        <v>0</v>
      </c>
      <c r="AI419" s="332">
        <f t="shared" si="138"/>
        <v>0</v>
      </c>
      <c r="AJ419" s="332">
        <f t="shared" si="139"/>
        <v>0</v>
      </c>
      <c r="AK419" s="332">
        <f t="shared" si="148"/>
        <v>0</v>
      </c>
      <c r="AL419" s="332">
        <f t="shared" si="140"/>
        <v>0</v>
      </c>
    </row>
    <row r="420" spans="1:38">
      <c r="A420" s="139">
        <v>28</v>
      </c>
      <c r="B420" s="139">
        <f>IFERROR(INDEX(Työkonekanta!$F$3:$F$27,MATCH('S0b Baseline kasvu'!$A420,Työkonekanta!$A$3:$A$24,0),1),0)</f>
        <v>0</v>
      </c>
      <c r="C420" s="140">
        <v>2032</v>
      </c>
      <c r="D420" s="141" t="str">
        <f>IFERROR(INDEX(Työkonekanta!$D$3:$D$27,MATCH('S0b Baseline kasvu'!$A420,Työkonekanta!$A$3:$A$24,0),1),"undefined")</f>
        <v>undefined</v>
      </c>
      <c r="E420" s="145">
        <f>IFERROR(INDEX(Työkonekanta!$G$3:$G$27,MATCH($A420,Työkonekanta!$A$3:$A$24,0),1)*INDEX(Työkonekanta!$H$3:$H$27,MATCH($A420,Työkonekanta!$A$3:$A$24,0),1)*(1+s0b_kasvu*($C420-2019))*$B420,0)</f>
        <v>0</v>
      </c>
      <c r="F420" s="145">
        <f t="shared" si="132"/>
        <v>0</v>
      </c>
      <c r="G420" s="145">
        <f t="shared" si="141"/>
        <v>0</v>
      </c>
      <c r="H420" s="145">
        <f t="shared" si="142"/>
        <v>0</v>
      </c>
      <c r="I420" s="145">
        <f t="shared" si="133"/>
        <v>0</v>
      </c>
      <c r="J420" s="145">
        <f t="shared" si="134"/>
        <v>0</v>
      </c>
      <c r="K420" s="142" t="str">
        <f t="shared" si="143"/>
        <v>undefined</v>
      </c>
      <c r="L420" s="146">
        <f>IFERROR(INDEX(Työkonekanta!$I$3:$I$27,MATCH('S0b Baseline kasvu'!$A420,Työkonekanta!$A$3:$A$24,0),1)*(I420+J420)*f_adblue,0)</f>
        <v>0</v>
      </c>
      <c r="M420" s="146">
        <f t="shared" si="149"/>
        <v>0</v>
      </c>
      <c r="N420" s="143" t="str">
        <f>IF(tuulisähkö_vuosi&lt;='S0b Baseline kasvu'!C420,"tuulisähkö",ostosähkö_nyt)</f>
        <v>jäännössähkö</v>
      </c>
      <c r="O420" s="147">
        <f>INDEX(Muuttujat!$J$5:$J$21,MATCH($C420,Muuttujat!$H$5:$H$21,0),1)</f>
        <v>60.765893284281319</v>
      </c>
      <c r="P420" s="342">
        <f>1-(INDEX(Muuttujat!$O$5:$O$21,MATCH($C420,Muuttujat!$N$5:$N$21,0),1))</f>
        <v>0.9</v>
      </c>
      <c r="Q420" s="342">
        <f>INDEX(Muuttujat!$O$5:$O$21,MATCH($C420,Muuttujat!$N$5:$N$21,0),1)</f>
        <v>0.1</v>
      </c>
      <c r="R420" s="148">
        <f>INDEX(Muuttujat!$P$5:$P$21,MATCH($C420,Muuttujat!$N$5:$N$21,0),1)</f>
        <v>0.10417875759940039</v>
      </c>
      <c r="S420" s="149">
        <f t="shared" si="135"/>
        <v>0</v>
      </c>
      <c r="T420" s="150">
        <f t="shared" si="136"/>
        <v>0</v>
      </c>
      <c r="U420" s="150">
        <f t="shared" si="137"/>
        <v>0</v>
      </c>
      <c r="V420" s="150">
        <f>IFERROR(INDEX(Työkonekanta!$J$3:$J$27,MATCH($A420,Työkonekanta!$A$3:$A$24,0),1)*$B420*ef_li_ion_akku/1000/1000/INDEX(Työkonekanta!$K$3:$K$27,MATCH($A420,Työkonekanta!$A$3:$A$24,0)),0)</f>
        <v>0</v>
      </c>
      <c r="W420" s="149">
        <f t="shared" si="150"/>
        <v>0</v>
      </c>
      <c r="X420" s="150">
        <f t="shared" si="151"/>
        <v>0</v>
      </c>
      <c r="Y420" s="151">
        <f t="shared" si="152"/>
        <v>0</v>
      </c>
      <c r="Z420" s="152">
        <f t="shared" si="144"/>
        <v>0</v>
      </c>
      <c r="AA420" s="179">
        <f t="shared" si="145"/>
        <v>0</v>
      </c>
      <c r="AB420" s="179">
        <f t="shared" si="146"/>
        <v>0</v>
      </c>
      <c r="AC420" s="180">
        <f t="shared" si="153"/>
        <v>0</v>
      </c>
      <c r="AD420" s="156">
        <f t="shared" si="147"/>
        <v>0</v>
      </c>
      <c r="AE420" s="146">
        <f>IFERROR(INDEX(Työkonekanta!$L$3:$L$30,MATCH($A420,Työkonekanta!$A$3:$A$30,0),1),0)*AF420</f>
        <v>0</v>
      </c>
      <c r="AF420" s="146">
        <f>IFERROR(INDEX(Työkonekanta!$N$3:$N$32,MATCH($A420,Työkonekanta!$A$3:$A$32,0),1),0)</f>
        <v>0</v>
      </c>
      <c r="AG420" s="332">
        <f>I420*INDEX(Muuttujat!$U$5:$U$21,MATCH($C420,Muuttujat!$N$5:$N$21,0),1)</f>
        <v>0</v>
      </c>
      <c r="AH420" s="332">
        <f>J420*INDEX(Muuttujat!$T$5:$T$21,MATCH($C420,Muuttujat!$N$5:$N$21,0),1)</f>
        <v>0</v>
      </c>
      <c r="AI420" s="332">
        <f t="shared" si="138"/>
        <v>0</v>
      </c>
      <c r="AJ420" s="332">
        <f t="shared" si="139"/>
        <v>0</v>
      </c>
      <c r="AK420" s="332">
        <f t="shared" si="148"/>
        <v>0</v>
      </c>
      <c r="AL420" s="332">
        <f t="shared" si="140"/>
        <v>0</v>
      </c>
    </row>
    <row r="421" spans="1:38">
      <c r="A421" s="139">
        <v>29</v>
      </c>
      <c r="B421" s="139">
        <f>IFERROR(INDEX(Työkonekanta!$F$3:$F$27,MATCH('S0b Baseline kasvu'!$A421,Työkonekanta!$A$3:$A$24,0),1),0)</f>
        <v>0</v>
      </c>
      <c r="C421" s="140">
        <v>2032</v>
      </c>
      <c r="D421" s="141" t="str">
        <f>IFERROR(INDEX(Työkonekanta!$D$3:$D$27,MATCH('S0b Baseline kasvu'!$A421,Työkonekanta!$A$3:$A$24,0),1),"undefined")</f>
        <v>undefined</v>
      </c>
      <c r="E421" s="145">
        <f>IFERROR(INDEX(Työkonekanta!$G$3:$G$27,MATCH($A421,Työkonekanta!$A$3:$A$24,0),1)*INDEX(Työkonekanta!$H$3:$H$27,MATCH($A421,Työkonekanta!$A$3:$A$24,0),1)*(1+s0b_kasvu*($C421-2019))*$B421,0)</f>
        <v>0</v>
      </c>
      <c r="F421" s="145">
        <f t="shared" si="132"/>
        <v>0</v>
      </c>
      <c r="G421" s="145">
        <f t="shared" si="141"/>
        <v>0</v>
      </c>
      <c r="H421" s="145">
        <f t="shared" si="142"/>
        <v>0</v>
      </c>
      <c r="I421" s="145">
        <f t="shared" si="133"/>
        <v>0</v>
      </c>
      <c r="J421" s="145">
        <f t="shared" si="134"/>
        <v>0</v>
      </c>
      <c r="K421" s="142" t="str">
        <f t="shared" si="143"/>
        <v>undefined</v>
      </c>
      <c r="L421" s="146">
        <f>IFERROR(INDEX(Työkonekanta!$I$3:$I$27,MATCH('S0b Baseline kasvu'!$A421,Työkonekanta!$A$3:$A$24,0),1)*(I421+J421)*f_adblue,0)</f>
        <v>0</v>
      </c>
      <c r="M421" s="146">
        <f t="shared" si="149"/>
        <v>0</v>
      </c>
      <c r="N421" s="143" t="str">
        <f>IF(tuulisähkö_vuosi&lt;='S0b Baseline kasvu'!C421,"tuulisähkö",ostosähkö_nyt)</f>
        <v>jäännössähkö</v>
      </c>
      <c r="O421" s="147">
        <f>INDEX(Muuttujat!$J$5:$J$21,MATCH($C421,Muuttujat!$H$5:$H$21,0),1)</f>
        <v>60.765893284281319</v>
      </c>
      <c r="P421" s="342">
        <f>1-(INDEX(Muuttujat!$O$5:$O$21,MATCH($C421,Muuttujat!$N$5:$N$21,0),1))</f>
        <v>0.9</v>
      </c>
      <c r="Q421" s="342">
        <f>INDEX(Muuttujat!$O$5:$O$21,MATCH($C421,Muuttujat!$N$5:$N$21,0),1)</f>
        <v>0.1</v>
      </c>
      <c r="R421" s="148">
        <f>INDEX(Muuttujat!$P$5:$P$21,MATCH($C421,Muuttujat!$N$5:$N$21,0),1)</f>
        <v>0.10417875759940039</v>
      </c>
      <c r="S421" s="149">
        <f t="shared" si="135"/>
        <v>0</v>
      </c>
      <c r="T421" s="150">
        <f t="shared" si="136"/>
        <v>0</v>
      </c>
      <c r="U421" s="150">
        <f t="shared" si="137"/>
        <v>0</v>
      </c>
      <c r="V421" s="150">
        <f>IFERROR(INDEX(Työkonekanta!$J$3:$J$27,MATCH($A421,Työkonekanta!$A$3:$A$24,0),1)*$B421*ef_li_ion_akku/1000/1000/INDEX(Työkonekanta!$K$3:$K$27,MATCH($A421,Työkonekanta!$A$3:$A$24,0)),0)</f>
        <v>0</v>
      </c>
      <c r="W421" s="149">
        <f t="shared" si="150"/>
        <v>0</v>
      </c>
      <c r="X421" s="150">
        <f t="shared" si="151"/>
        <v>0</v>
      </c>
      <c r="Y421" s="151">
        <f t="shared" si="152"/>
        <v>0</v>
      </c>
      <c r="Z421" s="152">
        <f t="shared" si="144"/>
        <v>0</v>
      </c>
      <c r="AA421" s="179">
        <f t="shared" si="145"/>
        <v>0</v>
      </c>
      <c r="AB421" s="179">
        <f t="shared" si="146"/>
        <v>0</v>
      </c>
      <c r="AC421" s="180">
        <f t="shared" si="153"/>
        <v>0</v>
      </c>
      <c r="AD421" s="156">
        <f t="shared" si="147"/>
        <v>0</v>
      </c>
      <c r="AE421" s="146">
        <f>IFERROR(INDEX(Työkonekanta!$L$3:$L$30,MATCH($A421,Työkonekanta!$A$3:$A$30,0),1),0)*AF421</f>
        <v>0</v>
      </c>
      <c r="AF421" s="146">
        <f>IFERROR(INDEX(Työkonekanta!$N$3:$N$32,MATCH($A421,Työkonekanta!$A$3:$A$32,0),1),0)</f>
        <v>0</v>
      </c>
      <c r="AG421" s="332">
        <f>I421*INDEX(Muuttujat!$U$5:$U$21,MATCH($C421,Muuttujat!$N$5:$N$21,0),1)</f>
        <v>0</v>
      </c>
      <c r="AH421" s="332">
        <f>J421*INDEX(Muuttujat!$T$5:$T$21,MATCH($C421,Muuttujat!$N$5:$N$21,0),1)</f>
        <v>0</v>
      </c>
      <c r="AI421" s="332">
        <f t="shared" si="138"/>
        <v>0</v>
      </c>
      <c r="AJ421" s="332">
        <f t="shared" si="139"/>
        <v>0</v>
      </c>
      <c r="AK421" s="332">
        <f t="shared" si="148"/>
        <v>0</v>
      </c>
      <c r="AL421" s="332">
        <f t="shared" si="140"/>
        <v>0</v>
      </c>
    </row>
    <row r="422" spans="1:38">
      <c r="A422" s="139">
        <v>30</v>
      </c>
      <c r="B422" s="139">
        <f>IFERROR(INDEX(Työkonekanta!$F$3:$F$27,MATCH('S0b Baseline kasvu'!$A422,Työkonekanta!$A$3:$A$24,0),1),0)</f>
        <v>0</v>
      </c>
      <c r="C422" s="140">
        <v>2032</v>
      </c>
      <c r="D422" s="141" t="str">
        <f>IFERROR(INDEX(Työkonekanta!$D$3:$D$27,MATCH('S0b Baseline kasvu'!$A422,Työkonekanta!$A$3:$A$24,0),1),"undefined")</f>
        <v>undefined</v>
      </c>
      <c r="E422" s="145">
        <f>IFERROR(INDEX(Työkonekanta!$G$3:$G$27,MATCH($A422,Työkonekanta!$A$3:$A$24,0),1)*INDEX(Työkonekanta!$H$3:$H$27,MATCH($A422,Työkonekanta!$A$3:$A$24,0),1)*(1+s0b_kasvu*($C422-2019))*$B422,0)</f>
        <v>0</v>
      </c>
      <c r="F422" s="145">
        <f t="shared" si="132"/>
        <v>0</v>
      </c>
      <c r="G422" s="145">
        <f t="shared" si="141"/>
        <v>0</v>
      </c>
      <c r="H422" s="145">
        <f t="shared" si="142"/>
        <v>0</v>
      </c>
      <c r="I422" s="145">
        <f t="shared" si="133"/>
        <v>0</v>
      </c>
      <c r="J422" s="145">
        <f t="shared" si="134"/>
        <v>0</v>
      </c>
      <c r="K422" s="142" t="str">
        <f t="shared" si="143"/>
        <v>undefined</v>
      </c>
      <c r="L422" s="146">
        <f>IFERROR(INDEX(Työkonekanta!$I$3:$I$27,MATCH('S0b Baseline kasvu'!$A422,Työkonekanta!$A$3:$A$24,0),1)*(I422+J422)*f_adblue,0)</f>
        <v>0</v>
      </c>
      <c r="M422" s="146">
        <f t="shared" si="149"/>
        <v>0</v>
      </c>
      <c r="N422" s="143" t="str">
        <f>IF(tuulisähkö_vuosi&lt;='S0b Baseline kasvu'!C422,"tuulisähkö",ostosähkö_nyt)</f>
        <v>jäännössähkö</v>
      </c>
      <c r="O422" s="147">
        <f>INDEX(Muuttujat!$J$5:$J$21,MATCH($C422,Muuttujat!$H$5:$H$21,0),1)</f>
        <v>60.765893284281319</v>
      </c>
      <c r="P422" s="342">
        <f>1-(INDEX(Muuttujat!$O$5:$O$21,MATCH($C422,Muuttujat!$N$5:$N$21,0),1))</f>
        <v>0.9</v>
      </c>
      <c r="Q422" s="342">
        <f>INDEX(Muuttujat!$O$5:$O$21,MATCH($C422,Muuttujat!$N$5:$N$21,0),1)</f>
        <v>0.1</v>
      </c>
      <c r="R422" s="148">
        <f>INDEX(Muuttujat!$P$5:$P$21,MATCH($C422,Muuttujat!$N$5:$N$21,0),1)</f>
        <v>0.10417875759940039</v>
      </c>
      <c r="S422" s="149">
        <f t="shared" si="135"/>
        <v>0</v>
      </c>
      <c r="T422" s="150">
        <f t="shared" si="136"/>
        <v>0</v>
      </c>
      <c r="U422" s="150">
        <f t="shared" si="137"/>
        <v>0</v>
      </c>
      <c r="V422" s="150">
        <f>IFERROR(INDEX(Työkonekanta!$J$3:$J$27,MATCH($A422,Työkonekanta!$A$3:$A$24,0),1)*$B422*ef_li_ion_akku/1000/1000/INDEX(Työkonekanta!$K$3:$K$27,MATCH($A422,Työkonekanta!$A$3:$A$24,0)),0)</f>
        <v>0</v>
      </c>
      <c r="W422" s="149">
        <f t="shared" si="150"/>
        <v>0</v>
      </c>
      <c r="X422" s="150">
        <f t="shared" si="151"/>
        <v>0</v>
      </c>
      <c r="Y422" s="151">
        <f t="shared" si="152"/>
        <v>0</v>
      </c>
      <c r="Z422" s="152">
        <f t="shared" si="144"/>
        <v>0</v>
      </c>
      <c r="AA422" s="179">
        <f t="shared" si="145"/>
        <v>0</v>
      </c>
      <c r="AB422" s="179">
        <f t="shared" si="146"/>
        <v>0</v>
      </c>
      <c r="AC422" s="180">
        <f t="shared" si="153"/>
        <v>0</v>
      </c>
      <c r="AD422" s="156">
        <f t="shared" si="147"/>
        <v>0</v>
      </c>
      <c r="AE422" s="146">
        <f>IFERROR(INDEX(Työkonekanta!$L$3:$L$30,MATCH($A422,Työkonekanta!$A$3:$A$30,0),1),0)*AF422</f>
        <v>0</v>
      </c>
      <c r="AF422" s="146">
        <f>IFERROR(INDEX(Työkonekanta!$N$3:$N$32,MATCH($A422,Työkonekanta!$A$3:$A$32,0),1),0)</f>
        <v>0</v>
      </c>
      <c r="AG422" s="332">
        <f>I422*INDEX(Muuttujat!$U$5:$U$21,MATCH($C422,Muuttujat!$N$5:$N$21,0),1)</f>
        <v>0</v>
      </c>
      <c r="AH422" s="332">
        <f>J422*INDEX(Muuttujat!$T$5:$T$21,MATCH($C422,Muuttujat!$N$5:$N$21,0),1)</f>
        <v>0</v>
      </c>
      <c r="AI422" s="332">
        <f t="shared" si="138"/>
        <v>0</v>
      </c>
      <c r="AJ422" s="332">
        <f t="shared" si="139"/>
        <v>0</v>
      </c>
      <c r="AK422" s="332">
        <f t="shared" si="148"/>
        <v>0</v>
      </c>
      <c r="AL422" s="332">
        <f t="shared" si="140"/>
        <v>0</v>
      </c>
    </row>
    <row r="423" spans="1:38">
      <c r="A423" s="139">
        <v>1</v>
      </c>
      <c r="B423" s="139">
        <f>IFERROR(INDEX(Työkonekanta!$F$3:$F$27,MATCH('S0b Baseline kasvu'!$A423,Työkonekanta!$A$3:$A$24,0),1),0)</f>
        <v>1</v>
      </c>
      <c r="C423" s="140">
        <v>2033</v>
      </c>
      <c r="D423" s="141" t="str">
        <f>IFERROR(INDEX(Työkonekanta!$D$3:$D$27,MATCH('S0b Baseline kasvu'!$A423,Työkonekanta!$A$3:$A$24,0),1),"undefined")</f>
        <v>pom</v>
      </c>
      <c r="E423" s="145">
        <f>IFERROR(INDEX(Työkonekanta!$G$3:$G$27,MATCH($A423,Työkonekanta!$A$3:$A$24,0),1)*INDEX(Työkonekanta!$H$3:$H$27,MATCH($A423,Työkonekanta!$A$3:$A$24,0),1)*(1+s0b_kasvu*($C423-2019))*$B423,0)</f>
        <v>11400.000000000002</v>
      </c>
      <c r="F423" s="145">
        <f t="shared" si="132"/>
        <v>409260.00000000006</v>
      </c>
      <c r="G423" s="145">
        <f t="shared" si="141"/>
        <v>368334.00000000006</v>
      </c>
      <c r="H423" s="145">
        <f t="shared" si="142"/>
        <v>40926.000000000007</v>
      </c>
      <c r="I423" s="145">
        <f t="shared" si="133"/>
        <v>10260.000000000002</v>
      </c>
      <c r="J423" s="145">
        <f t="shared" si="134"/>
        <v>1193.177842565598</v>
      </c>
      <c r="K423" s="142" t="str">
        <f t="shared" si="143"/>
        <v>l</v>
      </c>
      <c r="L423" s="146">
        <f>IFERROR(INDEX(Työkonekanta!$I$3:$I$27,MATCH('S0b Baseline kasvu'!$A423,Työkonekanta!$A$3:$A$24,0),1)*(I423+J423)*f_adblue,0)</f>
        <v>572.65889212827994</v>
      </c>
      <c r="M423" s="146">
        <f t="shared" si="149"/>
        <v>0</v>
      </c>
      <c r="N423" s="143" t="str">
        <f>IF(tuulisähkö_vuosi&lt;='S0b Baseline kasvu'!C423,"tuulisähkö",ostosähkö_nyt)</f>
        <v>jäännössähkö</v>
      </c>
      <c r="O423" s="147">
        <f>INDEX(Muuttujat!$J$5:$J$21,MATCH($C423,Muuttujat!$H$5:$H$21,0),1)</f>
        <v>60.158234351438509</v>
      </c>
      <c r="P423" s="342">
        <f>1-(INDEX(Muuttujat!$O$5:$O$21,MATCH($C423,Muuttujat!$N$5:$N$21,0),1))</f>
        <v>0.9</v>
      </c>
      <c r="Q423" s="342">
        <f>INDEX(Muuttujat!$O$5:$O$21,MATCH($C423,Muuttujat!$N$5:$N$21,0),1)</f>
        <v>0.1</v>
      </c>
      <c r="R423" s="148">
        <f>INDEX(Muuttujat!$P$5:$P$21,MATCH($C423,Muuttujat!$N$5:$N$21,0),1)</f>
        <v>0.10417875759940039</v>
      </c>
      <c r="S423" s="149">
        <f t="shared" si="135"/>
        <v>6.9615126000000007</v>
      </c>
      <c r="T423" s="150">
        <f t="shared" si="136"/>
        <v>2.5537824000000007</v>
      </c>
      <c r="U423" s="150">
        <f t="shared" si="137"/>
        <v>0</v>
      </c>
      <c r="V423" s="150">
        <f>IFERROR(INDEX(Työkonekanta!$J$3:$J$27,MATCH($A423,Työkonekanta!$A$3:$A$24,0),1)*$B423*ef_li_ion_akku/1000/1000/INDEX(Työkonekanta!$K$3:$K$27,MATCH($A423,Työkonekanta!$A$3:$A$24,0)),0)</f>
        <v>0</v>
      </c>
      <c r="W423" s="149">
        <f t="shared" si="150"/>
        <v>27.186089531436004</v>
      </c>
      <c r="X423" s="150">
        <f t="shared" si="151"/>
        <v>0.36223005240000006</v>
      </c>
      <c r="Y423" s="151">
        <f t="shared" si="152"/>
        <v>0.14889131195335278</v>
      </c>
      <c r="Z423" s="152">
        <f t="shared" si="144"/>
        <v>9.5152950000000018</v>
      </c>
      <c r="AA423" s="179">
        <f t="shared" si="145"/>
        <v>27.334980843389356</v>
      </c>
      <c r="AB423" s="179">
        <f t="shared" si="146"/>
        <v>27.697210895789357</v>
      </c>
      <c r="AC423" s="180">
        <f t="shared" si="153"/>
        <v>36.850275843389355</v>
      </c>
      <c r="AD423" s="156">
        <f t="shared" si="147"/>
        <v>37.212505895789363</v>
      </c>
      <c r="AE423" s="146">
        <f>IFERROR(INDEX(Työkonekanta!$L$3:$L$30,MATCH($A423,Työkonekanta!$A$3:$A$30,0),1),0)*AF423</f>
        <v>500000</v>
      </c>
      <c r="AF423" s="146">
        <f>IFERROR(INDEX(Työkonekanta!$N$3:$N$32,MATCH($A423,Työkonekanta!$A$3:$A$32,0),1),0)</f>
        <v>1</v>
      </c>
      <c r="AG423" s="332">
        <f>I423*INDEX(Muuttujat!$U$5:$U$21,MATCH($C423,Muuttujat!$N$5:$N$21,0),1)</f>
        <v>10773.000000000002</v>
      </c>
      <c r="AH423" s="332">
        <f>J423*INDEX(Muuttujat!$T$5:$T$21,MATCH($C423,Muuttujat!$N$5:$N$21,0),1)</f>
        <v>1730.1078717201174</v>
      </c>
      <c r="AI423" s="332">
        <f t="shared" si="138"/>
        <v>286.32944606413997</v>
      </c>
      <c r="AJ423" s="332">
        <f t="shared" si="139"/>
        <v>0</v>
      </c>
      <c r="AK423" s="332">
        <f t="shared" si="148"/>
        <v>12789.437317784259</v>
      </c>
      <c r="AL423" s="332">
        <f t="shared" si="140"/>
        <v>12789.437317784259</v>
      </c>
    </row>
    <row r="424" spans="1:38">
      <c r="A424" s="139">
        <v>2</v>
      </c>
      <c r="B424" s="139">
        <f>IFERROR(INDEX(Työkonekanta!$F$3:$F$27,MATCH('S0b Baseline kasvu'!$A424,Työkonekanta!$A$3:$A$24,0),1),0)</f>
        <v>1</v>
      </c>
      <c r="C424" s="140">
        <v>2033</v>
      </c>
      <c r="D424" s="141" t="str">
        <f>IFERROR(INDEX(Työkonekanta!$D$3:$D$27,MATCH('S0b Baseline kasvu'!$A424,Työkonekanta!$A$3:$A$24,0),1),"undefined")</f>
        <v>pom</v>
      </c>
      <c r="E424" s="145">
        <f>IFERROR(INDEX(Työkonekanta!$G$3:$G$27,MATCH($A424,Työkonekanta!$A$3:$A$24,0),1)*INDEX(Työkonekanta!$H$3:$H$27,MATCH($A424,Työkonekanta!$A$3:$A$24,0),1)*(1+s0b_kasvu*($C424-2019))*$B424,0)</f>
        <v>11400.000000000002</v>
      </c>
      <c r="F424" s="145">
        <f t="shared" si="132"/>
        <v>409260.00000000006</v>
      </c>
      <c r="G424" s="145">
        <f t="shared" si="141"/>
        <v>368334.00000000006</v>
      </c>
      <c r="H424" s="145">
        <f t="shared" si="142"/>
        <v>40926.000000000007</v>
      </c>
      <c r="I424" s="145">
        <f t="shared" si="133"/>
        <v>10260.000000000002</v>
      </c>
      <c r="J424" s="145">
        <f t="shared" si="134"/>
        <v>1193.177842565598</v>
      </c>
      <c r="K424" s="142" t="str">
        <f t="shared" si="143"/>
        <v>l</v>
      </c>
      <c r="L424" s="146">
        <f>IFERROR(INDEX(Työkonekanta!$I$3:$I$27,MATCH('S0b Baseline kasvu'!$A424,Työkonekanta!$A$3:$A$24,0),1)*(I424+J424)*f_adblue,0)</f>
        <v>572.65889212827994</v>
      </c>
      <c r="M424" s="146">
        <f t="shared" si="149"/>
        <v>0</v>
      </c>
      <c r="N424" s="143" t="str">
        <f>IF(tuulisähkö_vuosi&lt;='S0b Baseline kasvu'!C424,"tuulisähkö",ostosähkö_nyt)</f>
        <v>jäännössähkö</v>
      </c>
      <c r="O424" s="147">
        <f>INDEX(Muuttujat!$J$5:$J$21,MATCH($C424,Muuttujat!$H$5:$H$21,0),1)</f>
        <v>60.158234351438509</v>
      </c>
      <c r="P424" s="342">
        <f>1-(INDEX(Muuttujat!$O$5:$O$21,MATCH($C424,Muuttujat!$N$5:$N$21,0),1))</f>
        <v>0.9</v>
      </c>
      <c r="Q424" s="342">
        <f>INDEX(Muuttujat!$O$5:$O$21,MATCH($C424,Muuttujat!$N$5:$N$21,0),1)</f>
        <v>0.1</v>
      </c>
      <c r="R424" s="148">
        <f>INDEX(Muuttujat!$P$5:$P$21,MATCH($C424,Muuttujat!$N$5:$N$21,0),1)</f>
        <v>0.10417875759940039</v>
      </c>
      <c r="S424" s="149">
        <f t="shared" si="135"/>
        <v>6.9615126000000007</v>
      </c>
      <c r="T424" s="150">
        <f t="shared" si="136"/>
        <v>2.5537824000000007</v>
      </c>
      <c r="U424" s="150">
        <f t="shared" si="137"/>
        <v>0</v>
      </c>
      <c r="V424" s="150">
        <f>IFERROR(INDEX(Työkonekanta!$J$3:$J$27,MATCH($A424,Työkonekanta!$A$3:$A$24,0),1)*$B424*ef_li_ion_akku/1000/1000/INDEX(Työkonekanta!$K$3:$K$27,MATCH($A424,Työkonekanta!$A$3:$A$24,0)),0)</f>
        <v>0</v>
      </c>
      <c r="W424" s="149">
        <f t="shared" si="150"/>
        <v>27.186089531436004</v>
      </c>
      <c r="X424" s="150">
        <f t="shared" si="151"/>
        <v>0.36223005240000006</v>
      </c>
      <c r="Y424" s="151">
        <f t="shared" si="152"/>
        <v>0.14889131195335278</v>
      </c>
      <c r="Z424" s="152">
        <f t="shared" si="144"/>
        <v>9.5152950000000018</v>
      </c>
      <c r="AA424" s="179">
        <f t="shared" si="145"/>
        <v>27.334980843389356</v>
      </c>
      <c r="AB424" s="179">
        <f t="shared" si="146"/>
        <v>27.697210895789357</v>
      </c>
      <c r="AC424" s="180">
        <f t="shared" si="153"/>
        <v>36.850275843389355</v>
      </c>
      <c r="AD424" s="156">
        <f t="shared" si="147"/>
        <v>37.212505895789363</v>
      </c>
      <c r="AE424" s="146">
        <f>IFERROR(INDEX(Työkonekanta!$L$3:$L$30,MATCH($A424,Työkonekanta!$A$3:$A$30,0),1),0)*AF424</f>
        <v>500000</v>
      </c>
      <c r="AF424" s="146">
        <f>IFERROR(INDEX(Työkonekanta!$N$3:$N$32,MATCH($A424,Työkonekanta!$A$3:$A$32,0),1),0)</f>
        <v>1</v>
      </c>
      <c r="AG424" s="332">
        <f>I424*INDEX(Muuttujat!$U$5:$U$21,MATCH($C424,Muuttujat!$N$5:$N$21,0),1)</f>
        <v>10773.000000000002</v>
      </c>
      <c r="AH424" s="332">
        <f>J424*INDEX(Muuttujat!$T$5:$T$21,MATCH($C424,Muuttujat!$N$5:$N$21,0),1)</f>
        <v>1730.1078717201174</v>
      </c>
      <c r="AI424" s="332">
        <f t="shared" si="138"/>
        <v>286.32944606413997</v>
      </c>
      <c r="AJ424" s="332">
        <f t="shared" si="139"/>
        <v>0</v>
      </c>
      <c r="AK424" s="332">
        <f t="shared" si="148"/>
        <v>12789.437317784259</v>
      </c>
      <c r="AL424" s="332">
        <f t="shared" si="140"/>
        <v>12789.437317784259</v>
      </c>
    </row>
    <row r="425" spans="1:38">
      <c r="A425" s="139">
        <v>3</v>
      </c>
      <c r="B425" s="139">
        <f>IFERROR(INDEX(Työkonekanta!$F$3:$F$27,MATCH('S0b Baseline kasvu'!$A425,Työkonekanta!$A$3:$A$24,0),1),0)</f>
        <v>1</v>
      </c>
      <c r="C425" s="140">
        <v>2033</v>
      </c>
      <c r="D425" s="141" t="str">
        <f>IFERROR(INDEX(Työkonekanta!$D$3:$D$27,MATCH('S0b Baseline kasvu'!$A425,Työkonekanta!$A$3:$A$24,0),1),"undefined")</f>
        <v>pom</v>
      </c>
      <c r="E425" s="145">
        <f>IFERROR(INDEX(Työkonekanta!$G$3:$G$27,MATCH($A425,Työkonekanta!$A$3:$A$24,0),1)*INDEX(Työkonekanta!$H$3:$H$27,MATCH($A425,Työkonekanta!$A$3:$A$24,0),1)*(1+s0b_kasvu*($C425-2019))*$B425,0)</f>
        <v>11400.000000000002</v>
      </c>
      <c r="F425" s="145">
        <f t="shared" si="132"/>
        <v>409260.00000000006</v>
      </c>
      <c r="G425" s="145">
        <f t="shared" si="141"/>
        <v>368334.00000000006</v>
      </c>
      <c r="H425" s="145">
        <f t="shared" si="142"/>
        <v>40926.000000000007</v>
      </c>
      <c r="I425" s="145">
        <f t="shared" si="133"/>
        <v>10260.000000000002</v>
      </c>
      <c r="J425" s="145">
        <f t="shared" si="134"/>
        <v>1193.177842565598</v>
      </c>
      <c r="K425" s="142" t="str">
        <f t="shared" si="143"/>
        <v>l</v>
      </c>
      <c r="L425" s="146">
        <f>IFERROR(INDEX(Työkonekanta!$I$3:$I$27,MATCH('S0b Baseline kasvu'!$A425,Työkonekanta!$A$3:$A$24,0),1)*(I425+J425)*f_adblue,0)</f>
        <v>572.65889212827994</v>
      </c>
      <c r="M425" s="146">
        <f t="shared" si="149"/>
        <v>0</v>
      </c>
      <c r="N425" s="143" t="str">
        <f>IF(tuulisähkö_vuosi&lt;='S0b Baseline kasvu'!C425,"tuulisähkö",ostosähkö_nyt)</f>
        <v>jäännössähkö</v>
      </c>
      <c r="O425" s="147">
        <f>INDEX(Muuttujat!$J$5:$J$21,MATCH($C425,Muuttujat!$H$5:$H$21,0),1)</f>
        <v>60.158234351438509</v>
      </c>
      <c r="P425" s="342">
        <f>1-(INDEX(Muuttujat!$O$5:$O$21,MATCH($C425,Muuttujat!$N$5:$N$21,0),1))</f>
        <v>0.9</v>
      </c>
      <c r="Q425" s="342">
        <f>INDEX(Muuttujat!$O$5:$O$21,MATCH($C425,Muuttujat!$N$5:$N$21,0),1)</f>
        <v>0.1</v>
      </c>
      <c r="R425" s="148">
        <f>INDEX(Muuttujat!$P$5:$P$21,MATCH($C425,Muuttujat!$N$5:$N$21,0),1)</f>
        <v>0.10417875759940039</v>
      </c>
      <c r="S425" s="149">
        <f t="shared" si="135"/>
        <v>6.9615126000000007</v>
      </c>
      <c r="T425" s="150">
        <f t="shared" si="136"/>
        <v>2.5537824000000007</v>
      </c>
      <c r="U425" s="150">
        <f t="shared" si="137"/>
        <v>0</v>
      </c>
      <c r="V425" s="150">
        <f>IFERROR(INDEX(Työkonekanta!$J$3:$J$27,MATCH($A425,Työkonekanta!$A$3:$A$24,0),1)*$B425*ef_li_ion_akku/1000/1000/INDEX(Työkonekanta!$K$3:$K$27,MATCH($A425,Työkonekanta!$A$3:$A$24,0)),0)</f>
        <v>0</v>
      </c>
      <c r="W425" s="149">
        <f t="shared" si="150"/>
        <v>27.186089531436004</v>
      </c>
      <c r="X425" s="150">
        <f t="shared" si="151"/>
        <v>0.36223005240000006</v>
      </c>
      <c r="Y425" s="151">
        <f t="shared" si="152"/>
        <v>0.14889131195335278</v>
      </c>
      <c r="Z425" s="152">
        <f t="shared" si="144"/>
        <v>9.5152950000000018</v>
      </c>
      <c r="AA425" s="179">
        <f t="shared" si="145"/>
        <v>27.334980843389356</v>
      </c>
      <c r="AB425" s="179">
        <f t="shared" si="146"/>
        <v>27.697210895789357</v>
      </c>
      <c r="AC425" s="180">
        <f t="shared" si="153"/>
        <v>36.850275843389355</v>
      </c>
      <c r="AD425" s="156">
        <f t="shared" si="147"/>
        <v>37.212505895789363</v>
      </c>
      <c r="AE425" s="146">
        <f>IFERROR(INDEX(Työkonekanta!$L$3:$L$30,MATCH($A425,Työkonekanta!$A$3:$A$30,0),1),0)*AF425</f>
        <v>0</v>
      </c>
      <c r="AF425" s="146">
        <f>IFERROR(INDEX(Työkonekanta!$N$3:$N$32,MATCH($A425,Työkonekanta!$A$3:$A$32,0),1),0)</f>
        <v>0</v>
      </c>
      <c r="AG425" s="332">
        <f>I425*INDEX(Muuttujat!$U$5:$U$21,MATCH($C425,Muuttujat!$N$5:$N$21,0),1)</f>
        <v>10773.000000000002</v>
      </c>
      <c r="AH425" s="332">
        <f>J425*INDEX(Muuttujat!$T$5:$T$21,MATCH($C425,Muuttujat!$N$5:$N$21,0),1)</f>
        <v>1730.1078717201174</v>
      </c>
      <c r="AI425" s="332">
        <f t="shared" si="138"/>
        <v>286.32944606413997</v>
      </c>
      <c r="AJ425" s="332">
        <f t="shared" si="139"/>
        <v>0</v>
      </c>
      <c r="AK425" s="332">
        <f t="shared" si="148"/>
        <v>12789.437317784259</v>
      </c>
      <c r="AL425" s="332">
        <f t="shared" si="140"/>
        <v>12789.437317784259</v>
      </c>
    </row>
    <row r="426" spans="1:38">
      <c r="A426" s="139">
        <v>4</v>
      </c>
      <c r="B426" s="139">
        <f>IFERROR(INDEX(Työkonekanta!$F$3:$F$27,MATCH('S0b Baseline kasvu'!$A426,Työkonekanta!$A$3:$A$24,0),1),0)</f>
        <v>1</v>
      </c>
      <c r="C426" s="140">
        <v>2033</v>
      </c>
      <c r="D426" s="141" t="str">
        <f>IFERROR(INDEX(Työkonekanta!$D$3:$D$27,MATCH('S0b Baseline kasvu'!$A426,Työkonekanta!$A$3:$A$24,0),1),"undefined")</f>
        <v>pom</v>
      </c>
      <c r="E426" s="145">
        <f>IFERROR(INDEX(Työkonekanta!$G$3:$G$27,MATCH($A426,Työkonekanta!$A$3:$A$24,0),1)*INDEX(Työkonekanta!$H$3:$H$27,MATCH($A426,Työkonekanta!$A$3:$A$24,0),1)*(1+s0b_kasvu*($C426-2019))*$B426,0)</f>
        <v>11400.000000000002</v>
      </c>
      <c r="F426" s="145">
        <f t="shared" si="132"/>
        <v>409260.00000000006</v>
      </c>
      <c r="G426" s="145">
        <f t="shared" si="141"/>
        <v>368334.00000000006</v>
      </c>
      <c r="H426" s="145">
        <f t="shared" si="142"/>
        <v>40926.000000000007</v>
      </c>
      <c r="I426" s="145">
        <f t="shared" si="133"/>
        <v>10260.000000000002</v>
      </c>
      <c r="J426" s="145">
        <f t="shared" si="134"/>
        <v>1193.177842565598</v>
      </c>
      <c r="K426" s="142" t="str">
        <f t="shared" si="143"/>
        <v>l</v>
      </c>
      <c r="L426" s="146">
        <f>IFERROR(INDEX(Työkonekanta!$I$3:$I$27,MATCH('S0b Baseline kasvu'!$A426,Työkonekanta!$A$3:$A$24,0),1)*(I426+J426)*f_adblue,0)</f>
        <v>572.65889212827994</v>
      </c>
      <c r="M426" s="146">
        <f t="shared" si="149"/>
        <v>0</v>
      </c>
      <c r="N426" s="143" t="str">
        <f>IF(tuulisähkö_vuosi&lt;='S0b Baseline kasvu'!C426,"tuulisähkö",ostosähkö_nyt)</f>
        <v>jäännössähkö</v>
      </c>
      <c r="O426" s="147">
        <f>INDEX(Muuttujat!$J$5:$J$21,MATCH($C426,Muuttujat!$H$5:$H$21,0),1)</f>
        <v>60.158234351438509</v>
      </c>
      <c r="P426" s="342">
        <f>1-(INDEX(Muuttujat!$O$5:$O$21,MATCH($C426,Muuttujat!$N$5:$N$21,0),1))</f>
        <v>0.9</v>
      </c>
      <c r="Q426" s="342">
        <f>INDEX(Muuttujat!$O$5:$O$21,MATCH($C426,Muuttujat!$N$5:$N$21,0),1)</f>
        <v>0.1</v>
      </c>
      <c r="R426" s="148">
        <f>INDEX(Muuttujat!$P$5:$P$21,MATCH($C426,Muuttujat!$N$5:$N$21,0),1)</f>
        <v>0.10417875759940039</v>
      </c>
      <c r="S426" s="149">
        <f t="shared" si="135"/>
        <v>6.9615126000000007</v>
      </c>
      <c r="T426" s="150">
        <f t="shared" si="136"/>
        <v>2.5537824000000007</v>
      </c>
      <c r="U426" s="150">
        <f t="shared" si="137"/>
        <v>0</v>
      </c>
      <c r="V426" s="150">
        <f>IFERROR(INDEX(Työkonekanta!$J$3:$J$27,MATCH($A426,Työkonekanta!$A$3:$A$24,0),1)*$B426*ef_li_ion_akku/1000/1000/INDEX(Työkonekanta!$K$3:$K$27,MATCH($A426,Työkonekanta!$A$3:$A$24,0)),0)</f>
        <v>0</v>
      </c>
      <c r="W426" s="149">
        <f t="shared" si="150"/>
        <v>27.186089531436004</v>
      </c>
      <c r="X426" s="150">
        <f t="shared" si="151"/>
        <v>0.36223005240000006</v>
      </c>
      <c r="Y426" s="151">
        <f t="shared" si="152"/>
        <v>0.14889131195335278</v>
      </c>
      <c r="Z426" s="152">
        <f t="shared" si="144"/>
        <v>9.5152950000000018</v>
      </c>
      <c r="AA426" s="179">
        <f t="shared" si="145"/>
        <v>27.334980843389356</v>
      </c>
      <c r="AB426" s="179">
        <f t="shared" si="146"/>
        <v>27.697210895789357</v>
      </c>
      <c r="AC426" s="180">
        <f t="shared" si="153"/>
        <v>36.850275843389355</v>
      </c>
      <c r="AD426" s="156">
        <f t="shared" si="147"/>
        <v>37.212505895789363</v>
      </c>
      <c r="AE426" s="146">
        <f>IFERROR(INDEX(Työkonekanta!$L$3:$L$30,MATCH($A426,Työkonekanta!$A$3:$A$30,0),1),0)*AF426</f>
        <v>0</v>
      </c>
      <c r="AF426" s="146">
        <f>IFERROR(INDEX(Työkonekanta!$N$3:$N$32,MATCH($A426,Työkonekanta!$A$3:$A$32,0),1),0)</f>
        <v>0</v>
      </c>
      <c r="AG426" s="332">
        <f>I426*INDEX(Muuttujat!$U$5:$U$21,MATCH($C426,Muuttujat!$N$5:$N$21,0),1)</f>
        <v>10773.000000000002</v>
      </c>
      <c r="AH426" s="332">
        <f>J426*INDEX(Muuttujat!$T$5:$T$21,MATCH($C426,Muuttujat!$N$5:$N$21,0),1)</f>
        <v>1730.1078717201174</v>
      </c>
      <c r="AI426" s="332">
        <f t="shared" si="138"/>
        <v>286.32944606413997</v>
      </c>
      <c r="AJ426" s="332">
        <f t="shared" si="139"/>
        <v>0</v>
      </c>
      <c r="AK426" s="332">
        <f t="shared" si="148"/>
        <v>12789.437317784259</v>
      </c>
      <c r="AL426" s="332">
        <f t="shared" si="140"/>
        <v>12789.437317784259</v>
      </c>
    </row>
    <row r="427" spans="1:38">
      <c r="A427" s="139">
        <v>5</v>
      </c>
      <c r="B427" s="139">
        <f>IFERROR(INDEX(Työkonekanta!$F$3:$F$27,MATCH('S0b Baseline kasvu'!$A427,Työkonekanta!$A$3:$A$24,0),1),0)</f>
        <v>0</v>
      </c>
      <c r="C427" s="140">
        <v>2033</v>
      </c>
      <c r="D427" s="141" t="str">
        <f>IFERROR(INDEX(Työkonekanta!$D$3:$D$27,MATCH('S0b Baseline kasvu'!$A427,Työkonekanta!$A$3:$A$24,0),1),"undefined")</f>
        <v>sähkö</v>
      </c>
      <c r="E427" s="145">
        <f>IFERROR(INDEX(Työkonekanta!$G$3:$G$27,MATCH($A427,Työkonekanta!$A$3:$A$24,0),1)*INDEX(Työkonekanta!$H$3:$H$27,MATCH($A427,Työkonekanta!$A$3:$A$24,0),1)*(1+s0b_kasvu*($C427-2019))*$B427,0)</f>
        <v>0</v>
      </c>
      <c r="F427" s="145">
        <f t="shared" si="132"/>
        <v>0</v>
      </c>
      <c r="G427" s="145">
        <f t="shared" si="141"/>
        <v>0</v>
      </c>
      <c r="H427" s="145">
        <f t="shared" si="142"/>
        <v>0</v>
      </c>
      <c r="I427" s="145">
        <f t="shared" si="133"/>
        <v>0</v>
      </c>
      <c r="J427" s="145">
        <f t="shared" si="134"/>
        <v>0</v>
      </c>
      <c r="K427" s="142" t="str">
        <f t="shared" si="143"/>
        <v>kWh</v>
      </c>
      <c r="L427" s="146">
        <f>IFERROR(INDEX(Työkonekanta!$I$3:$I$27,MATCH('S0b Baseline kasvu'!$A427,Työkonekanta!$A$3:$A$24,0),1)*(I427+J427)*f_adblue,0)</f>
        <v>0</v>
      </c>
      <c r="M427" s="146">
        <f t="shared" si="149"/>
        <v>0</v>
      </c>
      <c r="N427" s="143" t="str">
        <f>IF(tuulisähkö_vuosi&lt;='S0b Baseline kasvu'!C427,"tuulisähkö",ostosähkö_nyt)</f>
        <v>jäännössähkö</v>
      </c>
      <c r="O427" s="147">
        <f>INDEX(Muuttujat!$J$5:$J$21,MATCH($C427,Muuttujat!$H$5:$H$21,0),1)</f>
        <v>60.158234351438509</v>
      </c>
      <c r="P427" s="342">
        <f>1-(INDEX(Muuttujat!$O$5:$O$21,MATCH($C427,Muuttujat!$N$5:$N$21,0),1))</f>
        <v>0.9</v>
      </c>
      <c r="Q427" s="342">
        <f>INDEX(Muuttujat!$O$5:$O$21,MATCH($C427,Muuttujat!$N$5:$N$21,0),1)</f>
        <v>0.1</v>
      </c>
      <c r="R427" s="148">
        <f>INDEX(Muuttujat!$P$5:$P$21,MATCH($C427,Muuttujat!$N$5:$N$21,0),1)</f>
        <v>0.10417875759940039</v>
      </c>
      <c r="S427" s="149">
        <f t="shared" si="135"/>
        <v>0</v>
      </c>
      <c r="T427" s="150">
        <f t="shared" si="136"/>
        <v>0</v>
      </c>
      <c r="U427" s="150">
        <f t="shared" si="137"/>
        <v>0</v>
      </c>
      <c r="V427" s="150">
        <f>IFERROR(INDEX(Työkonekanta!$J$3:$J$27,MATCH($A427,Työkonekanta!$A$3:$A$24,0),1)*$B427*ef_li_ion_akku/1000/1000/INDEX(Työkonekanta!$K$3:$K$27,MATCH($A427,Työkonekanta!$A$3:$A$24,0)),0)</f>
        <v>0</v>
      </c>
      <c r="W427" s="149">
        <f t="shared" si="150"/>
        <v>0</v>
      </c>
      <c r="X427" s="150">
        <f t="shared" si="151"/>
        <v>0</v>
      </c>
      <c r="Y427" s="151">
        <f t="shared" si="152"/>
        <v>0</v>
      </c>
      <c r="Z427" s="152">
        <f t="shared" si="144"/>
        <v>0</v>
      </c>
      <c r="AA427" s="179">
        <f t="shared" si="145"/>
        <v>0</v>
      </c>
      <c r="AB427" s="179">
        <f t="shared" si="146"/>
        <v>0</v>
      </c>
      <c r="AC427" s="180">
        <f t="shared" si="153"/>
        <v>0</v>
      </c>
      <c r="AD427" s="156">
        <f t="shared" si="147"/>
        <v>0</v>
      </c>
      <c r="AE427" s="146">
        <f>IFERROR(INDEX(Työkonekanta!$L$3:$L$30,MATCH($A427,Työkonekanta!$A$3:$A$30,0),1),0)*AF427</f>
        <v>0</v>
      </c>
      <c r="AF427" s="146">
        <f>IFERROR(INDEX(Työkonekanta!$N$3:$N$32,MATCH($A427,Työkonekanta!$A$3:$A$32,0),1),0)</f>
        <v>0</v>
      </c>
      <c r="AG427" s="332">
        <f>I427*INDEX(Muuttujat!$U$5:$U$21,MATCH($C427,Muuttujat!$N$5:$N$21,0),1)</f>
        <v>0</v>
      </c>
      <c r="AH427" s="332">
        <f>J427*INDEX(Muuttujat!$T$5:$T$21,MATCH($C427,Muuttujat!$N$5:$N$21,0),1)</f>
        <v>0</v>
      </c>
      <c r="AI427" s="332">
        <f t="shared" si="138"/>
        <v>0</v>
      </c>
      <c r="AJ427" s="332">
        <f t="shared" si="139"/>
        <v>0</v>
      </c>
      <c r="AK427" s="332">
        <f t="shared" si="148"/>
        <v>0</v>
      </c>
      <c r="AL427" s="332">
        <f t="shared" si="140"/>
        <v>0</v>
      </c>
    </row>
    <row r="428" spans="1:38">
      <c r="A428" s="139">
        <v>6</v>
      </c>
      <c r="B428" s="139">
        <f>IFERROR(INDEX(Työkonekanta!$F$3:$F$27,MATCH('S0b Baseline kasvu'!$A428,Työkonekanta!$A$3:$A$24,0),1),0)</f>
        <v>0</v>
      </c>
      <c r="C428" s="140">
        <v>2033</v>
      </c>
      <c r="D428" s="141" t="str">
        <f>IFERROR(INDEX(Työkonekanta!$D$3:$D$27,MATCH('S0b Baseline kasvu'!$A428,Työkonekanta!$A$3:$A$24,0),1),"undefined")</f>
        <v>sähkö</v>
      </c>
      <c r="E428" s="145">
        <f>IFERROR(INDEX(Työkonekanta!$G$3:$G$27,MATCH($A428,Työkonekanta!$A$3:$A$24,0),1)*INDEX(Työkonekanta!$H$3:$H$27,MATCH($A428,Työkonekanta!$A$3:$A$24,0),1)*(1+s0b_kasvu*($C428-2019))*$B428,0)</f>
        <v>0</v>
      </c>
      <c r="F428" s="145">
        <f t="shared" si="132"/>
        <v>0</v>
      </c>
      <c r="G428" s="145">
        <f t="shared" si="141"/>
        <v>0</v>
      </c>
      <c r="H428" s="145">
        <f t="shared" si="142"/>
        <v>0</v>
      </c>
      <c r="I428" s="145">
        <f t="shared" si="133"/>
        <v>0</v>
      </c>
      <c r="J428" s="145">
        <f t="shared" si="134"/>
        <v>0</v>
      </c>
      <c r="K428" s="142" t="str">
        <f t="shared" si="143"/>
        <v>kWh</v>
      </c>
      <c r="L428" s="146">
        <f>IFERROR(INDEX(Työkonekanta!$I$3:$I$27,MATCH('S0b Baseline kasvu'!$A428,Työkonekanta!$A$3:$A$24,0),1)*(I428+J428)*f_adblue,0)</f>
        <v>0</v>
      </c>
      <c r="M428" s="146">
        <f t="shared" si="149"/>
        <v>0</v>
      </c>
      <c r="N428" s="143" t="str">
        <f>IF(tuulisähkö_vuosi&lt;='S0b Baseline kasvu'!C428,"tuulisähkö",ostosähkö_nyt)</f>
        <v>jäännössähkö</v>
      </c>
      <c r="O428" s="147">
        <f>INDEX(Muuttujat!$J$5:$J$21,MATCH($C428,Muuttujat!$H$5:$H$21,0),1)</f>
        <v>60.158234351438509</v>
      </c>
      <c r="P428" s="342">
        <f>1-(INDEX(Muuttujat!$O$5:$O$21,MATCH($C428,Muuttujat!$N$5:$N$21,0),1))</f>
        <v>0.9</v>
      </c>
      <c r="Q428" s="342">
        <f>INDEX(Muuttujat!$O$5:$O$21,MATCH($C428,Muuttujat!$N$5:$N$21,0),1)</f>
        <v>0.1</v>
      </c>
      <c r="R428" s="148">
        <f>INDEX(Muuttujat!$P$5:$P$21,MATCH($C428,Muuttujat!$N$5:$N$21,0),1)</f>
        <v>0.10417875759940039</v>
      </c>
      <c r="S428" s="149">
        <f t="shared" si="135"/>
        <v>0</v>
      </c>
      <c r="T428" s="150">
        <f t="shared" si="136"/>
        <v>0</v>
      </c>
      <c r="U428" s="150">
        <f t="shared" si="137"/>
        <v>0</v>
      </c>
      <c r="V428" s="150">
        <f>IFERROR(INDEX(Työkonekanta!$J$3:$J$27,MATCH($A428,Työkonekanta!$A$3:$A$24,0),1)*$B428*ef_li_ion_akku/1000/1000/INDEX(Työkonekanta!$K$3:$K$27,MATCH($A428,Työkonekanta!$A$3:$A$24,0)),0)</f>
        <v>0</v>
      </c>
      <c r="W428" s="149">
        <f t="shared" si="150"/>
        <v>0</v>
      </c>
      <c r="X428" s="150">
        <f t="shared" si="151"/>
        <v>0</v>
      </c>
      <c r="Y428" s="151">
        <f t="shared" si="152"/>
        <v>0</v>
      </c>
      <c r="Z428" s="152">
        <f t="shared" si="144"/>
        <v>0</v>
      </c>
      <c r="AA428" s="179">
        <f t="shared" si="145"/>
        <v>0</v>
      </c>
      <c r="AB428" s="179">
        <f t="shared" si="146"/>
        <v>0</v>
      </c>
      <c r="AC428" s="180">
        <f t="shared" si="153"/>
        <v>0</v>
      </c>
      <c r="AD428" s="156">
        <f t="shared" si="147"/>
        <v>0</v>
      </c>
      <c r="AE428" s="146">
        <f>IFERROR(INDEX(Työkonekanta!$L$3:$L$30,MATCH($A428,Työkonekanta!$A$3:$A$30,0),1),0)*AF428</f>
        <v>0</v>
      </c>
      <c r="AF428" s="146">
        <f>IFERROR(INDEX(Työkonekanta!$N$3:$N$32,MATCH($A428,Työkonekanta!$A$3:$A$32,0),1),0)</f>
        <v>0</v>
      </c>
      <c r="AG428" s="332">
        <f>I428*INDEX(Muuttujat!$U$5:$U$21,MATCH($C428,Muuttujat!$N$5:$N$21,0),1)</f>
        <v>0</v>
      </c>
      <c r="AH428" s="332">
        <f>J428*INDEX(Muuttujat!$T$5:$T$21,MATCH($C428,Muuttujat!$N$5:$N$21,0),1)</f>
        <v>0</v>
      </c>
      <c r="AI428" s="332">
        <f t="shared" si="138"/>
        <v>0</v>
      </c>
      <c r="AJ428" s="332">
        <f t="shared" si="139"/>
        <v>0</v>
      </c>
      <c r="AK428" s="332">
        <f t="shared" si="148"/>
        <v>0</v>
      </c>
      <c r="AL428" s="332">
        <f t="shared" si="140"/>
        <v>0</v>
      </c>
    </row>
    <row r="429" spans="1:38">
      <c r="A429" s="139">
        <v>7</v>
      </c>
      <c r="B429" s="139">
        <f>IFERROR(INDEX(Työkonekanta!$F$3:$F$27,MATCH('S0b Baseline kasvu'!$A429,Työkonekanta!$A$3:$A$24,0),1),0)</f>
        <v>1</v>
      </c>
      <c r="C429" s="140">
        <v>2033</v>
      </c>
      <c r="D429" s="141" t="str">
        <f>IFERROR(INDEX(Työkonekanta!$D$3:$D$27,MATCH('S0b Baseline kasvu'!$A429,Työkonekanta!$A$3:$A$24,0),1),"undefined")</f>
        <v>pom</v>
      </c>
      <c r="E429" s="145">
        <f>IFERROR(INDEX(Työkonekanta!$G$3:$G$27,MATCH($A429,Työkonekanta!$A$3:$A$24,0),1)*INDEX(Työkonekanta!$H$3:$H$27,MATCH($A429,Työkonekanta!$A$3:$A$24,0),1)*(1+s0b_kasvu*($C429-2019))*$B429,0)</f>
        <v>11400.000000000002</v>
      </c>
      <c r="F429" s="145">
        <f t="shared" si="132"/>
        <v>409260.00000000006</v>
      </c>
      <c r="G429" s="145">
        <f t="shared" si="141"/>
        <v>368334.00000000006</v>
      </c>
      <c r="H429" s="145">
        <f t="shared" si="142"/>
        <v>40926.000000000007</v>
      </c>
      <c r="I429" s="145">
        <f t="shared" si="133"/>
        <v>10260.000000000002</v>
      </c>
      <c r="J429" s="145">
        <f t="shared" si="134"/>
        <v>1193.177842565598</v>
      </c>
      <c r="K429" s="142" t="str">
        <f t="shared" si="143"/>
        <v>l</v>
      </c>
      <c r="L429" s="146">
        <f>IFERROR(INDEX(Työkonekanta!$I$3:$I$27,MATCH('S0b Baseline kasvu'!$A429,Työkonekanta!$A$3:$A$24,0),1)*(I429+J429)*f_adblue,0)</f>
        <v>0</v>
      </c>
      <c r="M429" s="146">
        <f t="shared" si="149"/>
        <v>0</v>
      </c>
      <c r="N429" s="143" t="str">
        <f>IF(tuulisähkö_vuosi&lt;='S0b Baseline kasvu'!C429,"tuulisähkö",ostosähkö_nyt)</f>
        <v>jäännössähkö</v>
      </c>
      <c r="O429" s="147">
        <f>INDEX(Muuttujat!$J$5:$J$21,MATCH($C429,Muuttujat!$H$5:$H$21,0),1)</f>
        <v>60.158234351438509</v>
      </c>
      <c r="P429" s="342">
        <f>1-(INDEX(Muuttujat!$O$5:$O$21,MATCH($C429,Muuttujat!$N$5:$N$21,0),1))</f>
        <v>0.9</v>
      </c>
      <c r="Q429" s="342">
        <f>INDEX(Muuttujat!$O$5:$O$21,MATCH($C429,Muuttujat!$N$5:$N$21,0),1)</f>
        <v>0.1</v>
      </c>
      <c r="R429" s="148">
        <f>INDEX(Muuttujat!$P$5:$P$21,MATCH($C429,Muuttujat!$N$5:$N$21,0),1)</f>
        <v>0.10417875759940039</v>
      </c>
      <c r="S429" s="149">
        <f t="shared" si="135"/>
        <v>6.9615126000000007</v>
      </c>
      <c r="T429" s="150">
        <f t="shared" si="136"/>
        <v>2.5537824000000007</v>
      </c>
      <c r="U429" s="150">
        <f t="shared" si="137"/>
        <v>0</v>
      </c>
      <c r="V429" s="150">
        <f>IFERROR(INDEX(Työkonekanta!$J$3:$J$27,MATCH($A429,Työkonekanta!$A$3:$A$24,0),1)*$B429*ef_li_ion_akku/1000/1000/INDEX(Työkonekanta!$K$3:$K$27,MATCH($A429,Työkonekanta!$A$3:$A$24,0)),0)</f>
        <v>0</v>
      </c>
      <c r="W429" s="149">
        <f t="shared" si="150"/>
        <v>27.186089531436004</v>
      </c>
      <c r="X429" s="150">
        <f t="shared" si="151"/>
        <v>0.36223005240000006</v>
      </c>
      <c r="Y429" s="151">
        <f t="shared" si="152"/>
        <v>0</v>
      </c>
      <c r="Z429" s="152">
        <f t="shared" si="144"/>
        <v>9.5152950000000018</v>
      </c>
      <c r="AA429" s="179">
        <f t="shared" si="145"/>
        <v>27.186089531436004</v>
      </c>
      <c r="AB429" s="179">
        <f t="shared" si="146"/>
        <v>27.548319583836005</v>
      </c>
      <c r="AC429" s="180">
        <f t="shared" si="153"/>
        <v>36.701384531436005</v>
      </c>
      <c r="AD429" s="156">
        <f t="shared" si="147"/>
        <v>37.063614583836006</v>
      </c>
      <c r="AE429" s="146">
        <f>IFERROR(INDEX(Työkonekanta!$L$3:$L$30,MATCH($A429,Työkonekanta!$A$3:$A$30,0),1),0)*AF429</f>
        <v>500000</v>
      </c>
      <c r="AF429" s="146">
        <f>IFERROR(INDEX(Työkonekanta!$N$3:$N$32,MATCH($A429,Työkonekanta!$A$3:$A$32,0),1),0)</f>
        <v>1</v>
      </c>
      <c r="AG429" s="332">
        <f>I429*INDEX(Muuttujat!$U$5:$U$21,MATCH($C429,Muuttujat!$N$5:$N$21,0),1)</f>
        <v>10773.000000000002</v>
      </c>
      <c r="AH429" s="332">
        <f>J429*INDEX(Muuttujat!$T$5:$T$21,MATCH($C429,Muuttujat!$N$5:$N$21,0),1)</f>
        <v>1730.1078717201174</v>
      </c>
      <c r="AI429" s="332">
        <f t="shared" si="138"/>
        <v>0</v>
      </c>
      <c r="AJ429" s="332">
        <f t="shared" si="139"/>
        <v>0</v>
      </c>
      <c r="AK429" s="332">
        <f t="shared" si="148"/>
        <v>12503.10787172012</v>
      </c>
      <c r="AL429" s="332">
        <f t="shared" si="140"/>
        <v>12503.10787172012</v>
      </c>
    </row>
    <row r="430" spans="1:38">
      <c r="A430" s="139">
        <v>8</v>
      </c>
      <c r="B430" s="139">
        <f>IFERROR(INDEX(Työkonekanta!$F$3:$F$27,MATCH('S0b Baseline kasvu'!$A430,Työkonekanta!$A$3:$A$24,0),1),0)</f>
        <v>1</v>
      </c>
      <c r="C430" s="140">
        <v>2033</v>
      </c>
      <c r="D430" s="141" t="str">
        <f>IFERROR(INDEX(Työkonekanta!$D$3:$D$27,MATCH('S0b Baseline kasvu'!$A430,Työkonekanta!$A$3:$A$24,0),1),"undefined")</f>
        <v>pom</v>
      </c>
      <c r="E430" s="145">
        <f>IFERROR(INDEX(Työkonekanta!$G$3:$G$27,MATCH($A430,Työkonekanta!$A$3:$A$24,0),1)*INDEX(Työkonekanta!$H$3:$H$27,MATCH($A430,Työkonekanta!$A$3:$A$24,0),1)*(1+s0b_kasvu*($C430-2019))*$B430,0)</f>
        <v>11400.000000000002</v>
      </c>
      <c r="F430" s="145">
        <f t="shared" si="132"/>
        <v>409260.00000000006</v>
      </c>
      <c r="G430" s="145">
        <f t="shared" si="141"/>
        <v>368334.00000000006</v>
      </c>
      <c r="H430" s="145">
        <f t="shared" si="142"/>
        <v>40926.000000000007</v>
      </c>
      <c r="I430" s="145">
        <f t="shared" si="133"/>
        <v>10260.000000000002</v>
      </c>
      <c r="J430" s="145">
        <f t="shared" si="134"/>
        <v>1193.177842565598</v>
      </c>
      <c r="K430" s="142" t="str">
        <f t="shared" si="143"/>
        <v>l</v>
      </c>
      <c r="L430" s="146">
        <f>IFERROR(INDEX(Työkonekanta!$I$3:$I$27,MATCH('S0b Baseline kasvu'!$A430,Työkonekanta!$A$3:$A$24,0),1)*(I430+J430)*f_adblue,0)</f>
        <v>572.65889212827994</v>
      </c>
      <c r="M430" s="146">
        <f t="shared" si="149"/>
        <v>0</v>
      </c>
      <c r="N430" s="143" t="str">
        <f>IF(tuulisähkö_vuosi&lt;='S0b Baseline kasvu'!C430,"tuulisähkö",ostosähkö_nyt)</f>
        <v>jäännössähkö</v>
      </c>
      <c r="O430" s="147">
        <f>INDEX(Muuttujat!$J$5:$J$21,MATCH($C430,Muuttujat!$H$5:$H$21,0),1)</f>
        <v>60.158234351438509</v>
      </c>
      <c r="P430" s="342">
        <f>1-(INDEX(Muuttujat!$O$5:$O$21,MATCH($C430,Muuttujat!$N$5:$N$21,0),1))</f>
        <v>0.9</v>
      </c>
      <c r="Q430" s="342">
        <f>INDEX(Muuttujat!$O$5:$O$21,MATCH($C430,Muuttujat!$N$5:$N$21,0),1)</f>
        <v>0.1</v>
      </c>
      <c r="R430" s="148">
        <f>INDEX(Muuttujat!$P$5:$P$21,MATCH($C430,Muuttujat!$N$5:$N$21,0),1)</f>
        <v>0.10417875759940039</v>
      </c>
      <c r="S430" s="149">
        <f t="shared" si="135"/>
        <v>6.9615126000000007</v>
      </c>
      <c r="T430" s="150">
        <f t="shared" si="136"/>
        <v>2.5537824000000007</v>
      </c>
      <c r="U430" s="150">
        <f t="shared" si="137"/>
        <v>0</v>
      </c>
      <c r="V430" s="150">
        <f>IFERROR(INDEX(Työkonekanta!$J$3:$J$27,MATCH($A430,Työkonekanta!$A$3:$A$24,0),1)*$B430*ef_li_ion_akku/1000/1000/INDEX(Työkonekanta!$K$3:$K$27,MATCH($A430,Työkonekanta!$A$3:$A$24,0)),0)</f>
        <v>0</v>
      </c>
      <c r="W430" s="149">
        <f t="shared" si="150"/>
        <v>27.186089531436004</v>
      </c>
      <c r="X430" s="150">
        <f t="shared" si="151"/>
        <v>0.36223005240000006</v>
      </c>
      <c r="Y430" s="151">
        <f t="shared" si="152"/>
        <v>0.14889131195335278</v>
      </c>
      <c r="Z430" s="152">
        <f t="shared" si="144"/>
        <v>9.5152950000000018</v>
      </c>
      <c r="AA430" s="179">
        <f t="shared" si="145"/>
        <v>27.334980843389356</v>
      </c>
      <c r="AB430" s="179">
        <f t="shared" si="146"/>
        <v>27.697210895789357</v>
      </c>
      <c r="AC430" s="180">
        <f t="shared" si="153"/>
        <v>36.850275843389355</v>
      </c>
      <c r="AD430" s="156">
        <f t="shared" si="147"/>
        <v>37.212505895789363</v>
      </c>
      <c r="AE430" s="146">
        <f>IFERROR(INDEX(Työkonekanta!$L$3:$L$30,MATCH($A430,Työkonekanta!$A$3:$A$30,0),1),0)*AF430</f>
        <v>500000</v>
      </c>
      <c r="AF430" s="146">
        <f>IFERROR(INDEX(Työkonekanta!$N$3:$N$32,MATCH($A430,Työkonekanta!$A$3:$A$32,0),1),0)</f>
        <v>1</v>
      </c>
      <c r="AG430" s="332">
        <f>I430*INDEX(Muuttujat!$U$5:$U$21,MATCH($C430,Muuttujat!$N$5:$N$21,0),1)</f>
        <v>10773.000000000002</v>
      </c>
      <c r="AH430" s="332">
        <f>J430*INDEX(Muuttujat!$T$5:$T$21,MATCH($C430,Muuttujat!$N$5:$N$21,0),1)</f>
        <v>1730.1078717201174</v>
      </c>
      <c r="AI430" s="332">
        <f t="shared" si="138"/>
        <v>286.32944606413997</v>
      </c>
      <c r="AJ430" s="332">
        <f t="shared" si="139"/>
        <v>0</v>
      </c>
      <c r="AK430" s="332">
        <f t="shared" si="148"/>
        <v>12789.437317784259</v>
      </c>
      <c r="AL430" s="332">
        <f t="shared" si="140"/>
        <v>12789.437317784259</v>
      </c>
    </row>
    <row r="431" spans="1:38">
      <c r="A431" s="139">
        <v>9</v>
      </c>
      <c r="B431" s="139">
        <f>IFERROR(INDEX(Työkonekanta!$F$3:$F$27,MATCH('S0b Baseline kasvu'!$A431,Työkonekanta!$A$3:$A$24,0),1),0)</f>
        <v>0</v>
      </c>
      <c r="C431" s="140">
        <v>2033</v>
      </c>
      <c r="D431" s="141" t="str">
        <f>IFERROR(INDEX(Työkonekanta!$D$3:$D$27,MATCH('S0b Baseline kasvu'!$A431,Työkonekanta!$A$3:$A$24,0),1),"undefined")</f>
        <v>sähkö</v>
      </c>
      <c r="E431" s="145">
        <f>IFERROR(INDEX(Työkonekanta!$G$3:$G$27,MATCH($A431,Työkonekanta!$A$3:$A$24,0),1)*INDEX(Työkonekanta!$H$3:$H$27,MATCH($A431,Työkonekanta!$A$3:$A$24,0),1)*(1+s0b_kasvu*($C431-2019))*$B431,0)</f>
        <v>0</v>
      </c>
      <c r="F431" s="145">
        <f t="shared" si="132"/>
        <v>0</v>
      </c>
      <c r="G431" s="145">
        <f t="shared" si="141"/>
        <v>0</v>
      </c>
      <c r="H431" s="145">
        <f t="shared" si="142"/>
        <v>0</v>
      </c>
      <c r="I431" s="145">
        <f t="shared" si="133"/>
        <v>0</v>
      </c>
      <c r="J431" s="145">
        <f t="shared" si="134"/>
        <v>0</v>
      </c>
      <c r="K431" s="142" t="str">
        <f t="shared" si="143"/>
        <v>kWh</v>
      </c>
      <c r="L431" s="146">
        <f>IFERROR(INDEX(Työkonekanta!$I$3:$I$27,MATCH('S0b Baseline kasvu'!$A431,Työkonekanta!$A$3:$A$24,0),1)*(I431+J431)*f_adblue,0)</f>
        <v>0</v>
      </c>
      <c r="M431" s="146">
        <f t="shared" si="149"/>
        <v>0</v>
      </c>
      <c r="N431" s="143" t="str">
        <f>IF(tuulisähkö_vuosi&lt;='S0b Baseline kasvu'!C431,"tuulisähkö",ostosähkö_nyt)</f>
        <v>jäännössähkö</v>
      </c>
      <c r="O431" s="147">
        <f>INDEX(Muuttujat!$J$5:$J$21,MATCH($C431,Muuttujat!$H$5:$H$21,0),1)</f>
        <v>60.158234351438509</v>
      </c>
      <c r="P431" s="342">
        <f>1-(INDEX(Muuttujat!$O$5:$O$21,MATCH($C431,Muuttujat!$N$5:$N$21,0),1))</f>
        <v>0.9</v>
      </c>
      <c r="Q431" s="342">
        <f>INDEX(Muuttujat!$O$5:$O$21,MATCH($C431,Muuttujat!$N$5:$N$21,0),1)</f>
        <v>0.1</v>
      </c>
      <c r="R431" s="148">
        <f>INDEX(Muuttujat!$P$5:$P$21,MATCH($C431,Muuttujat!$N$5:$N$21,0),1)</f>
        <v>0.10417875759940039</v>
      </c>
      <c r="S431" s="149">
        <f t="shared" si="135"/>
        <v>0</v>
      </c>
      <c r="T431" s="150">
        <f t="shared" si="136"/>
        <v>0</v>
      </c>
      <c r="U431" s="150">
        <f t="shared" si="137"/>
        <v>0</v>
      </c>
      <c r="V431" s="150">
        <f>IFERROR(INDEX(Työkonekanta!$J$3:$J$27,MATCH($A431,Työkonekanta!$A$3:$A$24,0),1)*$B431*ef_li_ion_akku/1000/1000/INDEX(Työkonekanta!$K$3:$K$27,MATCH($A431,Työkonekanta!$A$3:$A$24,0)),0)</f>
        <v>0</v>
      </c>
      <c r="W431" s="149">
        <f t="shared" si="150"/>
        <v>0</v>
      </c>
      <c r="X431" s="150">
        <f t="shared" si="151"/>
        <v>0</v>
      </c>
      <c r="Y431" s="151">
        <f t="shared" si="152"/>
        <v>0</v>
      </c>
      <c r="Z431" s="152">
        <f t="shared" si="144"/>
        <v>0</v>
      </c>
      <c r="AA431" s="179">
        <f t="shared" si="145"/>
        <v>0</v>
      </c>
      <c r="AB431" s="179">
        <f t="shared" si="146"/>
        <v>0</v>
      </c>
      <c r="AC431" s="180">
        <f t="shared" si="153"/>
        <v>0</v>
      </c>
      <c r="AD431" s="156">
        <f t="shared" si="147"/>
        <v>0</v>
      </c>
      <c r="AE431" s="146">
        <f>IFERROR(INDEX(Työkonekanta!$L$3:$L$30,MATCH($A431,Työkonekanta!$A$3:$A$30,0),1),0)*AF431</f>
        <v>0</v>
      </c>
      <c r="AF431" s="146">
        <f>IFERROR(INDEX(Työkonekanta!$N$3:$N$32,MATCH($A431,Työkonekanta!$A$3:$A$32,0),1),0)</f>
        <v>0</v>
      </c>
      <c r="AG431" s="332">
        <f>I431*INDEX(Muuttujat!$U$5:$U$21,MATCH($C431,Muuttujat!$N$5:$N$21,0),1)</f>
        <v>0</v>
      </c>
      <c r="AH431" s="332">
        <f>J431*INDEX(Muuttujat!$T$5:$T$21,MATCH($C431,Muuttujat!$N$5:$N$21,0),1)</f>
        <v>0</v>
      </c>
      <c r="AI431" s="332">
        <f t="shared" si="138"/>
        <v>0</v>
      </c>
      <c r="AJ431" s="332">
        <f t="shared" si="139"/>
        <v>0</v>
      </c>
      <c r="AK431" s="332">
        <f t="shared" si="148"/>
        <v>0</v>
      </c>
      <c r="AL431" s="332">
        <f t="shared" si="140"/>
        <v>0</v>
      </c>
    </row>
    <row r="432" spans="1:38">
      <c r="A432" s="139">
        <v>10</v>
      </c>
      <c r="B432" s="139">
        <f>IFERROR(INDEX(Työkonekanta!$F$3:$F$27,MATCH('S0b Baseline kasvu'!$A432,Työkonekanta!$A$3:$A$24,0),1),0)</f>
        <v>0</v>
      </c>
      <c r="C432" s="140">
        <v>2033</v>
      </c>
      <c r="D432" s="141" t="str">
        <f>IFERROR(INDEX(Työkonekanta!$D$3:$D$27,MATCH('S0b Baseline kasvu'!$A432,Työkonekanta!$A$3:$A$24,0),1),"undefined")</f>
        <v>sähkö</v>
      </c>
      <c r="E432" s="145">
        <f>IFERROR(INDEX(Työkonekanta!$G$3:$G$27,MATCH($A432,Työkonekanta!$A$3:$A$24,0),1)*INDEX(Työkonekanta!$H$3:$H$27,MATCH($A432,Työkonekanta!$A$3:$A$24,0),1)*(1+s0b_kasvu*($C432-2019))*$B432,0)</f>
        <v>0</v>
      </c>
      <c r="F432" s="145">
        <f t="shared" si="132"/>
        <v>0</v>
      </c>
      <c r="G432" s="145">
        <f t="shared" si="141"/>
        <v>0</v>
      </c>
      <c r="H432" s="145">
        <f t="shared" si="142"/>
        <v>0</v>
      </c>
      <c r="I432" s="145">
        <f t="shared" si="133"/>
        <v>0</v>
      </c>
      <c r="J432" s="145">
        <f t="shared" si="134"/>
        <v>0</v>
      </c>
      <c r="K432" s="142" t="str">
        <f t="shared" si="143"/>
        <v>kWh</v>
      </c>
      <c r="L432" s="146">
        <f>IFERROR(INDEX(Työkonekanta!$I$3:$I$27,MATCH('S0b Baseline kasvu'!$A432,Työkonekanta!$A$3:$A$24,0),1)*(I432+J432)*f_adblue,0)</f>
        <v>0</v>
      </c>
      <c r="M432" s="146">
        <f t="shared" si="149"/>
        <v>0</v>
      </c>
      <c r="N432" s="143" t="str">
        <f>IF(tuulisähkö_vuosi&lt;='S0b Baseline kasvu'!C432,"tuulisähkö",ostosähkö_nyt)</f>
        <v>jäännössähkö</v>
      </c>
      <c r="O432" s="147">
        <f>INDEX(Muuttujat!$J$5:$J$21,MATCH($C432,Muuttujat!$H$5:$H$21,0),1)</f>
        <v>60.158234351438509</v>
      </c>
      <c r="P432" s="342">
        <f>1-(INDEX(Muuttujat!$O$5:$O$21,MATCH($C432,Muuttujat!$N$5:$N$21,0),1))</f>
        <v>0.9</v>
      </c>
      <c r="Q432" s="342">
        <f>INDEX(Muuttujat!$O$5:$O$21,MATCH($C432,Muuttujat!$N$5:$N$21,0),1)</f>
        <v>0.1</v>
      </c>
      <c r="R432" s="148">
        <f>INDEX(Muuttujat!$P$5:$P$21,MATCH($C432,Muuttujat!$N$5:$N$21,0),1)</f>
        <v>0.10417875759940039</v>
      </c>
      <c r="S432" s="149">
        <f t="shared" si="135"/>
        <v>0</v>
      </c>
      <c r="T432" s="150">
        <f t="shared" si="136"/>
        <v>0</v>
      </c>
      <c r="U432" s="150">
        <f t="shared" si="137"/>
        <v>0</v>
      </c>
      <c r="V432" s="150">
        <f>IFERROR(INDEX(Työkonekanta!$J$3:$J$27,MATCH($A432,Työkonekanta!$A$3:$A$24,0),1)*$B432*ef_li_ion_akku/1000/1000/INDEX(Työkonekanta!$K$3:$K$27,MATCH($A432,Työkonekanta!$A$3:$A$24,0)),0)</f>
        <v>0</v>
      </c>
      <c r="W432" s="149">
        <f t="shared" si="150"/>
        <v>0</v>
      </c>
      <c r="X432" s="150">
        <f t="shared" si="151"/>
        <v>0</v>
      </c>
      <c r="Y432" s="151">
        <f t="shared" si="152"/>
        <v>0</v>
      </c>
      <c r="Z432" s="152">
        <f t="shared" si="144"/>
        <v>0</v>
      </c>
      <c r="AA432" s="179">
        <f t="shared" si="145"/>
        <v>0</v>
      </c>
      <c r="AB432" s="179">
        <f t="shared" si="146"/>
        <v>0</v>
      </c>
      <c r="AC432" s="180">
        <f t="shared" si="153"/>
        <v>0</v>
      </c>
      <c r="AD432" s="156">
        <f t="shared" si="147"/>
        <v>0</v>
      </c>
      <c r="AE432" s="146">
        <f>IFERROR(INDEX(Työkonekanta!$L$3:$L$30,MATCH($A432,Työkonekanta!$A$3:$A$30,0),1),0)*AF432</f>
        <v>0</v>
      </c>
      <c r="AF432" s="146">
        <f>IFERROR(INDEX(Työkonekanta!$N$3:$N$32,MATCH($A432,Työkonekanta!$A$3:$A$32,0),1),0)</f>
        <v>0</v>
      </c>
      <c r="AG432" s="332">
        <f>I432*INDEX(Muuttujat!$U$5:$U$21,MATCH($C432,Muuttujat!$N$5:$N$21,0),1)</f>
        <v>0</v>
      </c>
      <c r="AH432" s="332">
        <f>J432*INDEX(Muuttujat!$T$5:$T$21,MATCH($C432,Muuttujat!$N$5:$N$21,0),1)</f>
        <v>0</v>
      </c>
      <c r="AI432" s="332">
        <f t="shared" si="138"/>
        <v>0</v>
      </c>
      <c r="AJ432" s="332">
        <f t="shared" si="139"/>
        <v>0</v>
      </c>
      <c r="AK432" s="332">
        <f t="shared" si="148"/>
        <v>0</v>
      </c>
      <c r="AL432" s="332">
        <f t="shared" si="140"/>
        <v>0</v>
      </c>
    </row>
    <row r="433" spans="1:38">
      <c r="A433" s="139">
        <v>11</v>
      </c>
      <c r="B433" s="139">
        <f>IFERROR(INDEX(Työkonekanta!$F$3:$F$27,MATCH('S0b Baseline kasvu'!$A433,Työkonekanta!$A$3:$A$24,0),1),0)</f>
        <v>1</v>
      </c>
      <c r="C433" s="140">
        <v>2033</v>
      </c>
      <c r="D433" s="141" t="str">
        <f>IFERROR(INDEX(Työkonekanta!$D$3:$D$27,MATCH('S0b Baseline kasvu'!$A433,Työkonekanta!$A$3:$A$24,0),1),"undefined")</f>
        <v>pom</v>
      </c>
      <c r="E433" s="145">
        <f>IFERROR(INDEX(Työkonekanta!$G$3:$G$27,MATCH($A433,Työkonekanta!$A$3:$A$24,0),1)*INDEX(Työkonekanta!$H$3:$H$27,MATCH($A433,Työkonekanta!$A$3:$A$24,0),1)*(1+s0b_kasvu*($C433-2019))*$B433,0)</f>
        <v>11400.000000000002</v>
      </c>
      <c r="F433" s="145">
        <f t="shared" si="132"/>
        <v>409260.00000000006</v>
      </c>
      <c r="G433" s="145">
        <f t="shared" si="141"/>
        <v>368334.00000000006</v>
      </c>
      <c r="H433" s="145">
        <f t="shared" si="142"/>
        <v>40926.000000000007</v>
      </c>
      <c r="I433" s="145">
        <f t="shared" si="133"/>
        <v>10260.000000000002</v>
      </c>
      <c r="J433" s="145">
        <f t="shared" si="134"/>
        <v>1193.177842565598</v>
      </c>
      <c r="K433" s="142" t="str">
        <f t="shared" si="143"/>
        <v>l</v>
      </c>
      <c r="L433" s="146">
        <f>IFERROR(INDEX(Työkonekanta!$I$3:$I$27,MATCH('S0b Baseline kasvu'!$A433,Työkonekanta!$A$3:$A$24,0),1)*(I433+J433)*f_adblue,0)</f>
        <v>572.65889212827994</v>
      </c>
      <c r="M433" s="146">
        <f t="shared" si="149"/>
        <v>0</v>
      </c>
      <c r="N433" s="143" t="str">
        <f>IF(tuulisähkö_vuosi&lt;='S0b Baseline kasvu'!C433,"tuulisähkö",ostosähkö_nyt)</f>
        <v>jäännössähkö</v>
      </c>
      <c r="O433" s="147">
        <f>INDEX(Muuttujat!$J$5:$J$21,MATCH($C433,Muuttujat!$H$5:$H$21,0),1)</f>
        <v>60.158234351438509</v>
      </c>
      <c r="P433" s="342">
        <f>1-(INDEX(Muuttujat!$O$5:$O$21,MATCH($C433,Muuttujat!$N$5:$N$21,0),1))</f>
        <v>0.9</v>
      </c>
      <c r="Q433" s="342">
        <f>INDEX(Muuttujat!$O$5:$O$21,MATCH($C433,Muuttujat!$N$5:$N$21,0),1)</f>
        <v>0.1</v>
      </c>
      <c r="R433" s="148">
        <f>INDEX(Muuttujat!$P$5:$P$21,MATCH($C433,Muuttujat!$N$5:$N$21,0),1)</f>
        <v>0.10417875759940039</v>
      </c>
      <c r="S433" s="149">
        <f t="shared" si="135"/>
        <v>6.9615126000000007</v>
      </c>
      <c r="T433" s="150">
        <f t="shared" si="136"/>
        <v>2.5537824000000007</v>
      </c>
      <c r="U433" s="150">
        <f t="shared" si="137"/>
        <v>0</v>
      </c>
      <c r="V433" s="150">
        <f>IFERROR(INDEX(Työkonekanta!$J$3:$J$27,MATCH($A433,Työkonekanta!$A$3:$A$24,0),1)*$B433*ef_li_ion_akku/1000/1000/INDEX(Työkonekanta!$K$3:$K$27,MATCH($A433,Työkonekanta!$A$3:$A$24,0)),0)</f>
        <v>0</v>
      </c>
      <c r="W433" s="149">
        <f t="shared" si="150"/>
        <v>27.186089531436004</v>
      </c>
      <c r="X433" s="150">
        <f t="shared" si="151"/>
        <v>0.36223005240000006</v>
      </c>
      <c r="Y433" s="151">
        <f t="shared" si="152"/>
        <v>0.14889131195335278</v>
      </c>
      <c r="Z433" s="152">
        <f t="shared" si="144"/>
        <v>9.5152950000000018</v>
      </c>
      <c r="AA433" s="179">
        <f t="shared" si="145"/>
        <v>27.334980843389356</v>
      </c>
      <c r="AB433" s="179">
        <f t="shared" si="146"/>
        <v>27.697210895789357</v>
      </c>
      <c r="AC433" s="180">
        <f t="shared" si="153"/>
        <v>36.850275843389355</v>
      </c>
      <c r="AD433" s="156">
        <f t="shared" si="147"/>
        <v>37.212505895789363</v>
      </c>
      <c r="AE433" s="146">
        <f>IFERROR(INDEX(Työkonekanta!$L$3:$L$30,MATCH($A433,Työkonekanta!$A$3:$A$30,0),1),0)*AF433</f>
        <v>500000</v>
      </c>
      <c r="AF433" s="146">
        <f>IFERROR(INDEX(Työkonekanta!$N$3:$N$32,MATCH($A433,Työkonekanta!$A$3:$A$32,0),1),0)</f>
        <v>1</v>
      </c>
      <c r="AG433" s="332">
        <f>I433*INDEX(Muuttujat!$U$5:$U$21,MATCH($C433,Muuttujat!$N$5:$N$21,0),1)</f>
        <v>10773.000000000002</v>
      </c>
      <c r="AH433" s="332">
        <f>J433*INDEX(Muuttujat!$T$5:$T$21,MATCH($C433,Muuttujat!$N$5:$N$21,0),1)</f>
        <v>1730.1078717201174</v>
      </c>
      <c r="AI433" s="332">
        <f t="shared" si="138"/>
        <v>286.32944606413997</v>
      </c>
      <c r="AJ433" s="332">
        <f t="shared" si="139"/>
        <v>0</v>
      </c>
      <c r="AK433" s="332">
        <f t="shared" si="148"/>
        <v>12789.437317784259</v>
      </c>
      <c r="AL433" s="332">
        <f t="shared" si="140"/>
        <v>12789.437317784259</v>
      </c>
    </row>
    <row r="434" spans="1:38">
      <c r="A434" s="139">
        <v>12</v>
      </c>
      <c r="B434" s="139">
        <f>IFERROR(INDEX(Työkonekanta!$F$3:$F$27,MATCH('S0b Baseline kasvu'!$A434,Työkonekanta!$A$3:$A$24,0),1),0)</f>
        <v>1</v>
      </c>
      <c r="C434" s="140">
        <v>2033</v>
      </c>
      <c r="D434" s="141" t="str">
        <f>IFERROR(INDEX(Työkonekanta!$D$3:$D$27,MATCH('S0b Baseline kasvu'!$A434,Työkonekanta!$A$3:$A$24,0),1),"undefined")</f>
        <v>pom</v>
      </c>
      <c r="E434" s="145">
        <f>IFERROR(INDEX(Työkonekanta!$G$3:$G$27,MATCH($A434,Työkonekanta!$A$3:$A$24,0),1)*INDEX(Työkonekanta!$H$3:$H$27,MATCH($A434,Työkonekanta!$A$3:$A$24,0),1)*(1+s0b_kasvu*($C434-2019))*$B434,0)</f>
        <v>11400.000000000002</v>
      </c>
      <c r="F434" s="145">
        <f t="shared" si="132"/>
        <v>409260.00000000006</v>
      </c>
      <c r="G434" s="145">
        <f t="shared" si="141"/>
        <v>368334.00000000006</v>
      </c>
      <c r="H434" s="145">
        <f t="shared" si="142"/>
        <v>40926.000000000007</v>
      </c>
      <c r="I434" s="145">
        <f t="shared" si="133"/>
        <v>10260.000000000002</v>
      </c>
      <c r="J434" s="145">
        <f t="shared" si="134"/>
        <v>1193.177842565598</v>
      </c>
      <c r="K434" s="142" t="str">
        <f t="shared" si="143"/>
        <v>l</v>
      </c>
      <c r="L434" s="146">
        <f>IFERROR(INDEX(Työkonekanta!$I$3:$I$27,MATCH('S0b Baseline kasvu'!$A434,Työkonekanta!$A$3:$A$24,0),1)*(I434+J434)*f_adblue,0)</f>
        <v>572.65889212827994</v>
      </c>
      <c r="M434" s="146">
        <f t="shared" si="149"/>
        <v>0</v>
      </c>
      <c r="N434" s="143" t="str">
        <f>IF(tuulisähkö_vuosi&lt;='S0b Baseline kasvu'!C434,"tuulisähkö",ostosähkö_nyt)</f>
        <v>jäännössähkö</v>
      </c>
      <c r="O434" s="147">
        <f>INDEX(Muuttujat!$J$5:$J$21,MATCH($C434,Muuttujat!$H$5:$H$21,0),1)</f>
        <v>60.158234351438509</v>
      </c>
      <c r="P434" s="342">
        <f>1-(INDEX(Muuttujat!$O$5:$O$21,MATCH($C434,Muuttujat!$N$5:$N$21,0),1))</f>
        <v>0.9</v>
      </c>
      <c r="Q434" s="342">
        <f>INDEX(Muuttujat!$O$5:$O$21,MATCH($C434,Muuttujat!$N$5:$N$21,0),1)</f>
        <v>0.1</v>
      </c>
      <c r="R434" s="148">
        <f>INDEX(Muuttujat!$P$5:$P$21,MATCH($C434,Muuttujat!$N$5:$N$21,0),1)</f>
        <v>0.10417875759940039</v>
      </c>
      <c r="S434" s="149">
        <f t="shared" si="135"/>
        <v>6.9615126000000007</v>
      </c>
      <c r="T434" s="150">
        <f t="shared" si="136"/>
        <v>2.5537824000000007</v>
      </c>
      <c r="U434" s="150">
        <f t="shared" si="137"/>
        <v>0</v>
      </c>
      <c r="V434" s="150">
        <f>IFERROR(INDEX(Työkonekanta!$J$3:$J$27,MATCH($A434,Työkonekanta!$A$3:$A$24,0),1)*$B434*ef_li_ion_akku/1000/1000/INDEX(Työkonekanta!$K$3:$K$27,MATCH($A434,Työkonekanta!$A$3:$A$24,0)),0)</f>
        <v>0</v>
      </c>
      <c r="W434" s="149">
        <f t="shared" si="150"/>
        <v>27.186089531436004</v>
      </c>
      <c r="X434" s="150">
        <f t="shared" si="151"/>
        <v>0.36223005240000006</v>
      </c>
      <c r="Y434" s="151">
        <f t="shared" si="152"/>
        <v>0.14889131195335278</v>
      </c>
      <c r="Z434" s="152">
        <f t="shared" si="144"/>
        <v>9.5152950000000018</v>
      </c>
      <c r="AA434" s="179">
        <f t="shared" si="145"/>
        <v>27.334980843389356</v>
      </c>
      <c r="AB434" s="179">
        <f t="shared" si="146"/>
        <v>27.697210895789357</v>
      </c>
      <c r="AC434" s="180">
        <f t="shared" si="153"/>
        <v>36.850275843389355</v>
      </c>
      <c r="AD434" s="156">
        <f t="shared" si="147"/>
        <v>37.212505895789363</v>
      </c>
      <c r="AE434" s="146">
        <f>IFERROR(INDEX(Työkonekanta!$L$3:$L$30,MATCH($A434,Työkonekanta!$A$3:$A$30,0),1),0)*AF434</f>
        <v>500000</v>
      </c>
      <c r="AF434" s="146">
        <f>IFERROR(INDEX(Työkonekanta!$N$3:$N$32,MATCH($A434,Työkonekanta!$A$3:$A$32,0),1),0)</f>
        <v>1</v>
      </c>
      <c r="AG434" s="332">
        <f>I434*INDEX(Muuttujat!$U$5:$U$21,MATCH($C434,Muuttujat!$N$5:$N$21,0),1)</f>
        <v>10773.000000000002</v>
      </c>
      <c r="AH434" s="332">
        <f>J434*INDEX(Muuttujat!$T$5:$T$21,MATCH($C434,Muuttujat!$N$5:$N$21,0),1)</f>
        <v>1730.1078717201174</v>
      </c>
      <c r="AI434" s="332">
        <f t="shared" si="138"/>
        <v>286.32944606413997</v>
      </c>
      <c r="AJ434" s="332">
        <f t="shared" si="139"/>
        <v>0</v>
      </c>
      <c r="AK434" s="332">
        <f t="shared" si="148"/>
        <v>12789.437317784259</v>
      </c>
      <c r="AL434" s="332">
        <f t="shared" si="140"/>
        <v>12789.437317784259</v>
      </c>
    </row>
    <row r="435" spans="1:38">
      <c r="A435" s="139">
        <v>13</v>
      </c>
      <c r="B435" s="139">
        <f>IFERROR(INDEX(Työkonekanta!$F$3:$F$27,MATCH('S0b Baseline kasvu'!$A435,Työkonekanta!$A$3:$A$24,0),1),0)</f>
        <v>0</v>
      </c>
      <c r="C435" s="140">
        <v>2033</v>
      </c>
      <c r="D435" s="141" t="str">
        <f>IFERROR(INDEX(Työkonekanta!$D$3:$D$27,MATCH('S0b Baseline kasvu'!$A435,Työkonekanta!$A$3:$A$24,0),1),"undefined")</f>
        <v>pom</v>
      </c>
      <c r="E435" s="145">
        <f>IFERROR(INDEX(Työkonekanta!$G$3:$G$27,MATCH($A435,Työkonekanta!$A$3:$A$24,0),1)*INDEX(Työkonekanta!$H$3:$H$27,MATCH($A435,Työkonekanta!$A$3:$A$24,0),1)*(1+s0b_kasvu*($C435-2019))*$B435,0)</f>
        <v>0</v>
      </c>
      <c r="F435" s="145">
        <f t="shared" si="132"/>
        <v>0</v>
      </c>
      <c r="G435" s="145">
        <f t="shared" si="141"/>
        <v>0</v>
      </c>
      <c r="H435" s="145">
        <f t="shared" si="142"/>
        <v>0</v>
      </c>
      <c r="I435" s="145">
        <f t="shared" si="133"/>
        <v>0</v>
      </c>
      <c r="J435" s="145">
        <f t="shared" si="134"/>
        <v>0</v>
      </c>
      <c r="K435" s="142" t="str">
        <f t="shared" si="143"/>
        <v>l</v>
      </c>
      <c r="L435" s="146">
        <f>IFERROR(INDEX(Työkonekanta!$I$3:$I$27,MATCH('S0b Baseline kasvu'!$A435,Työkonekanta!$A$3:$A$24,0),1)*(I435+J435)*f_adblue,0)</f>
        <v>0</v>
      </c>
      <c r="M435" s="146">
        <f t="shared" si="149"/>
        <v>0</v>
      </c>
      <c r="N435" s="143" t="str">
        <f>IF(tuulisähkö_vuosi&lt;='S0b Baseline kasvu'!C435,"tuulisähkö",ostosähkö_nyt)</f>
        <v>jäännössähkö</v>
      </c>
      <c r="O435" s="147">
        <f>INDEX(Muuttujat!$J$5:$J$21,MATCH($C435,Muuttujat!$H$5:$H$21,0),1)</f>
        <v>60.158234351438509</v>
      </c>
      <c r="P435" s="342">
        <f>1-(INDEX(Muuttujat!$O$5:$O$21,MATCH($C435,Muuttujat!$N$5:$N$21,0),1))</f>
        <v>0.9</v>
      </c>
      <c r="Q435" s="342">
        <f>INDEX(Muuttujat!$O$5:$O$21,MATCH($C435,Muuttujat!$N$5:$N$21,0),1)</f>
        <v>0.1</v>
      </c>
      <c r="R435" s="148">
        <f>INDEX(Muuttujat!$P$5:$P$21,MATCH($C435,Muuttujat!$N$5:$N$21,0),1)</f>
        <v>0.10417875759940039</v>
      </c>
      <c r="S435" s="149">
        <f t="shared" si="135"/>
        <v>0</v>
      </c>
      <c r="T435" s="150">
        <f t="shared" si="136"/>
        <v>0</v>
      </c>
      <c r="U435" s="150">
        <f t="shared" si="137"/>
        <v>0</v>
      </c>
      <c r="V435" s="150">
        <f>IFERROR(INDEX(Työkonekanta!$J$3:$J$27,MATCH($A435,Työkonekanta!$A$3:$A$24,0),1)*$B435*ef_li_ion_akku/1000/1000/INDEX(Työkonekanta!$K$3:$K$27,MATCH($A435,Työkonekanta!$A$3:$A$24,0)),0)</f>
        <v>0</v>
      </c>
      <c r="W435" s="149">
        <f t="shared" si="150"/>
        <v>0</v>
      </c>
      <c r="X435" s="150">
        <f t="shared" si="151"/>
        <v>0</v>
      </c>
      <c r="Y435" s="151">
        <f t="shared" si="152"/>
        <v>0</v>
      </c>
      <c r="Z435" s="152">
        <f t="shared" si="144"/>
        <v>0</v>
      </c>
      <c r="AA435" s="179">
        <f t="shared" si="145"/>
        <v>0</v>
      </c>
      <c r="AB435" s="179">
        <f t="shared" si="146"/>
        <v>0</v>
      </c>
      <c r="AC435" s="180">
        <f t="shared" si="153"/>
        <v>0</v>
      </c>
      <c r="AD435" s="156">
        <f t="shared" si="147"/>
        <v>0</v>
      </c>
      <c r="AE435" s="146">
        <f>IFERROR(INDEX(Työkonekanta!$L$3:$L$30,MATCH($A435,Työkonekanta!$A$3:$A$30,0),1),0)*AF435</f>
        <v>0</v>
      </c>
      <c r="AF435" s="146">
        <f>IFERROR(INDEX(Työkonekanta!$N$3:$N$32,MATCH($A435,Työkonekanta!$A$3:$A$32,0),1),0)</f>
        <v>0</v>
      </c>
      <c r="AG435" s="332">
        <f>I435*INDEX(Muuttujat!$U$5:$U$21,MATCH($C435,Muuttujat!$N$5:$N$21,0),1)</f>
        <v>0</v>
      </c>
      <c r="AH435" s="332">
        <f>J435*INDEX(Muuttujat!$T$5:$T$21,MATCH($C435,Muuttujat!$N$5:$N$21,0),1)</f>
        <v>0</v>
      </c>
      <c r="AI435" s="332">
        <f t="shared" si="138"/>
        <v>0</v>
      </c>
      <c r="AJ435" s="332">
        <f t="shared" si="139"/>
        <v>0</v>
      </c>
      <c r="AK435" s="332">
        <f t="shared" si="148"/>
        <v>0</v>
      </c>
      <c r="AL435" s="332">
        <f t="shared" si="140"/>
        <v>0</v>
      </c>
    </row>
    <row r="436" spans="1:38">
      <c r="A436" s="139">
        <v>14</v>
      </c>
      <c r="B436" s="139">
        <f>IFERROR(INDEX(Työkonekanta!$F$3:$F$27,MATCH('S0b Baseline kasvu'!$A436,Työkonekanta!$A$3:$A$24,0),1),0)</f>
        <v>0</v>
      </c>
      <c r="C436" s="140">
        <v>2033</v>
      </c>
      <c r="D436" s="141" t="str">
        <f>IFERROR(INDEX(Työkonekanta!$D$3:$D$27,MATCH('S0b Baseline kasvu'!$A436,Työkonekanta!$A$3:$A$24,0),1),"undefined")</f>
        <v>pom</v>
      </c>
      <c r="E436" s="145">
        <f>IFERROR(INDEX(Työkonekanta!$G$3:$G$27,MATCH($A436,Työkonekanta!$A$3:$A$24,0),1)*INDEX(Työkonekanta!$H$3:$H$27,MATCH($A436,Työkonekanta!$A$3:$A$24,0),1)*(1+s0b_kasvu*($C436-2019))*$B436,0)</f>
        <v>0</v>
      </c>
      <c r="F436" s="145">
        <f t="shared" si="132"/>
        <v>0</v>
      </c>
      <c r="G436" s="145">
        <f t="shared" si="141"/>
        <v>0</v>
      </c>
      <c r="H436" s="145">
        <f t="shared" si="142"/>
        <v>0</v>
      </c>
      <c r="I436" s="145">
        <f t="shared" si="133"/>
        <v>0</v>
      </c>
      <c r="J436" s="145">
        <f t="shared" si="134"/>
        <v>0</v>
      </c>
      <c r="K436" s="142" t="str">
        <f t="shared" si="143"/>
        <v>l</v>
      </c>
      <c r="L436" s="146">
        <f>IFERROR(INDEX(Työkonekanta!$I$3:$I$27,MATCH('S0b Baseline kasvu'!$A436,Työkonekanta!$A$3:$A$24,0),1)*(I436+J436)*f_adblue,0)</f>
        <v>0</v>
      </c>
      <c r="M436" s="146">
        <f t="shared" si="149"/>
        <v>0</v>
      </c>
      <c r="N436" s="143" t="str">
        <f>IF(tuulisähkö_vuosi&lt;='S0b Baseline kasvu'!C436,"tuulisähkö",ostosähkö_nyt)</f>
        <v>jäännössähkö</v>
      </c>
      <c r="O436" s="147">
        <f>INDEX(Muuttujat!$J$5:$J$21,MATCH($C436,Muuttujat!$H$5:$H$21,0),1)</f>
        <v>60.158234351438509</v>
      </c>
      <c r="P436" s="342">
        <f>1-(INDEX(Muuttujat!$O$5:$O$21,MATCH($C436,Muuttujat!$N$5:$N$21,0),1))</f>
        <v>0.9</v>
      </c>
      <c r="Q436" s="342">
        <f>INDEX(Muuttujat!$O$5:$O$21,MATCH($C436,Muuttujat!$N$5:$N$21,0),1)</f>
        <v>0.1</v>
      </c>
      <c r="R436" s="148">
        <f>INDEX(Muuttujat!$P$5:$P$21,MATCH($C436,Muuttujat!$N$5:$N$21,0),1)</f>
        <v>0.10417875759940039</v>
      </c>
      <c r="S436" s="149">
        <f t="shared" si="135"/>
        <v>0</v>
      </c>
      <c r="T436" s="150">
        <f t="shared" si="136"/>
        <v>0</v>
      </c>
      <c r="U436" s="150">
        <f t="shared" si="137"/>
        <v>0</v>
      </c>
      <c r="V436" s="150">
        <f>IFERROR(INDEX(Työkonekanta!$J$3:$J$27,MATCH($A436,Työkonekanta!$A$3:$A$24,0),1)*$B436*ef_li_ion_akku/1000/1000/INDEX(Työkonekanta!$K$3:$K$27,MATCH($A436,Työkonekanta!$A$3:$A$24,0)),0)</f>
        <v>0</v>
      </c>
      <c r="W436" s="149">
        <f t="shared" si="150"/>
        <v>0</v>
      </c>
      <c r="X436" s="150">
        <f t="shared" si="151"/>
        <v>0</v>
      </c>
      <c r="Y436" s="151">
        <f t="shared" si="152"/>
        <v>0</v>
      </c>
      <c r="Z436" s="152">
        <f t="shared" si="144"/>
        <v>0</v>
      </c>
      <c r="AA436" s="179">
        <f t="shared" si="145"/>
        <v>0</v>
      </c>
      <c r="AB436" s="179">
        <f t="shared" si="146"/>
        <v>0</v>
      </c>
      <c r="AC436" s="180">
        <f t="shared" si="153"/>
        <v>0</v>
      </c>
      <c r="AD436" s="156">
        <f t="shared" si="147"/>
        <v>0</v>
      </c>
      <c r="AE436" s="146">
        <f>IFERROR(INDEX(Työkonekanta!$L$3:$L$30,MATCH($A436,Työkonekanta!$A$3:$A$30,0),1),0)*AF436</f>
        <v>0</v>
      </c>
      <c r="AF436" s="146">
        <f>IFERROR(INDEX(Työkonekanta!$N$3:$N$32,MATCH($A436,Työkonekanta!$A$3:$A$32,0),1),0)</f>
        <v>0</v>
      </c>
      <c r="AG436" s="332">
        <f>I436*INDEX(Muuttujat!$U$5:$U$21,MATCH($C436,Muuttujat!$N$5:$N$21,0),1)</f>
        <v>0</v>
      </c>
      <c r="AH436" s="332">
        <f>J436*INDEX(Muuttujat!$T$5:$T$21,MATCH($C436,Muuttujat!$N$5:$N$21,0),1)</f>
        <v>0</v>
      </c>
      <c r="AI436" s="332">
        <f t="shared" si="138"/>
        <v>0</v>
      </c>
      <c r="AJ436" s="332">
        <f t="shared" si="139"/>
        <v>0</v>
      </c>
      <c r="AK436" s="332">
        <f t="shared" si="148"/>
        <v>0</v>
      </c>
      <c r="AL436" s="332">
        <f t="shared" si="140"/>
        <v>0</v>
      </c>
    </row>
    <row r="437" spans="1:38">
      <c r="A437" s="139">
        <v>15</v>
      </c>
      <c r="B437" s="139">
        <f>IFERROR(INDEX(Työkonekanta!$F$3:$F$27,MATCH('S0b Baseline kasvu'!$A437,Työkonekanta!$A$3:$A$24,0),1),0)</f>
        <v>0</v>
      </c>
      <c r="C437" s="140">
        <v>2033</v>
      </c>
      <c r="D437" s="141" t="str">
        <f>IFERROR(INDEX(Työkonekanta!$D$3:$D$27,MATCH('S0b Baseline kasvu'!$A437,Työkonekanta!$A$3:$A$24,0),1),"undefined")</f>
        <v>sähkö</v>
      </c>
      <c r="E437" s="145">
        <f>IFERROR(INDEX(Työkonekanta!$G$3:$G$27,MATCH($A437,Työkonekanta!$A$3:$A$24,0),1)*INDEX(Työkonekanta!$H$3:$H$27,MATCH($A437,Työkonekanta!$A$3:$A$24,0),1)*(1+s0b_kasvu*($C437-2019))*$B437,0)</f>
        <v>0</v>
      </c>
      <c r="F437" s="145">
        <f t="shared" si="132"/>
        <v>0</v>
      </c>
      <c r="G437" s="145">
        <f t="shared" si="141"/>
        <v>0</v>
      </c>
      <c r="H437" s="145">
        <f t="shared" si="142"/>
        <v>0</v>
      </c>
      <c r="I437" s="145">
        <f t="shared" si="133"/>
        <v>0</v>
      </c>
      <c r="J437" s="145">
        <f t="shared" si="134"/>
        <v>0</v>
      </c>
      <c r="K437" s="142" t="str">
        <f t="shared" si="143"/>
        <v>kWh</v>
      </c>
      <c r="L437" s="146">
        <f>IFERROR(INDEX(Työkonekanta!$I$3:$I$27,MATCH('S0b Baseline kasvu'!$A437,Työkonekanta!$A$3:$A$24,0),1)*(I437+J437)*f_adblue,0)</f>
        <v>0</v>
      </c>
      <c r="M437" s="146">
        <f t="shared" si="149"/>
        <v>0</v>
      </c>
      <c r="N437" s="143" t="str">
        <f>IF(tuulisähkö_vuosi&lt;='S0b Baseline kasvu'!C437,"tuulisähkö",ostosähkö_nyt)</f>
        <v>jäännössähkö</v>
      </c>
      <c r="O437" s="147">
        <f>INDEX(Muuttujat!$J$5:$J$21,MATCH($C437,Muuttujat!$H$5:$H$21,0),1)</f>
        <v>60.158234351438509</v>
      </c>
      <c r="P437" s="342">
        <f>1-(INDEX(Muuttujat!$O$5:$O$21,MATCH($C437,Muuttujat!$N$5:$N$21,0),1))</f>
        <v>0.9</v>
      </c>
      <c r="Q437" s="342">
        <f>INDEX(Muuttujat!$O$5:$O$21,MATCH($C437,Muuttujat!$N$5:$N$21,0),1)</f>
        <v>0.1</v>
      </c>
      <c r="R437" s="148">
        <f>INDEX(Muuttujat!$P$5:$P$21,MATCH($C437,Muuttujat!$N$5:$N$21,0),1)</f>
        <v>0.10417875759940039</v>
      </c>
      <c r="S437" s="149">
        <f t="shared" si="135"/>
        <v>0</v>
      </c>
      <c r="T437" s="150">
        <f t="shared" si="136"/>
        <v>0</v>
      </c>
      <c r="U437" s="150">
        <f t="shared" si="137"/>
        <v>0</v>
      </c>
      <c r="V437" s="150">
        <f>IFERROR(INDEX(Työkonekanta!$J$3:$J$27,MATCH($A437,Työkonekanta!$A$3:$A$24,0),1)*$B437*ef_li_ion_akku/1000/1000/INDEX(Työkonekanta!$K$3:$K$27,MATCH($A437,Työkonekanta!$A$3:$A$24,0)),0)</f>
        <v>0</v>
      </c>
      <c r="W437" s="149">
        <f t="shared" si="150"/>
        <v>0</v>
      </c>
      <c r="X437" s="150">
        <f t="shared" si="151"/>
        <v>0</v>
      </c>
      <c r="Y437" s="151">
        <f t="shared" si="152"/>
        <v>0</v>
      </c>
      <c r="Z437" s="152">
        <f t="shared" si="144"/>
        <v>0</v>
      </c>
      <c r="AA437" s="179">
        <f t="shared" si="145"/>
        <v>0</v>
      </c>
      <c r="AB437" s="179">
        <f t="shared" si="146"/>
        <v>0</v>
      </c>
      <c r="AC437" s="180">
        <f t="shared" si="153"/>
        <v>0</v>
      </c>
      <c r="AD437" s="156">
        <f t="shared" si="147"/>
        <v>0</v>
      </c>
      <c r="AE437" s="146">
        <f>IFERROR(INDEX(Työkonekanta!$L$3:$L$30,MATCH($A437,Työkonekanta!$A$3:$A$30,0),1),0)*AF437</f>
        <v>0</v>
      </c>
      <c r="AF437" s="146">
        <f>IFERROR(INDEX(Työkonekanta!$N$3:$N$32,MATCH($A437,Työkonekanta!$A$3:$A$32,0),1),0)</f>
        <v>0</v>
      </c>
      <c r="AG437" s="332">
        <f>I437*INDEX(Muuttujat!$U$5:$U$21,MATCH($C437,Muuttujat!$N$5:$N$21,0),1)</f>
        <v>0</v>
      </c>
      <c r="AH437" s="332">
        <f>J437*INDEX(Muuttujat!$T$5:$T$21,MATCH($C437,Muuttujat!$N$5:$N$21,0),1)</f>
        <v>0</v>
      </c>
      <c r="AI437" s="332">
        <f t="shared" si="138"/>
        <v>0</v>
      </c>
      <c r="AJ437" s="332">
        <f t="shared" si="139"/>
        <v>0</v>
      </c>
      <c r="AK437" s="332">
        <f t="shared" si="148"/>
        <v>0</v>
      </c>
      <c r="AL437" s="332">
        <f t="shared" si="140"/>
        <v>0</v>
      </c>
    </row>
    <row r="438" spans="1:38">
      <c r="A438" s="139">
        <v>16</v>
      </c>
      <c r="B438" s="139">
        <f>IFERROR(INDEX(Työkonekanta!$F$3:$F$27,MATCH('S0b Baseline kasvu'!$A438,Työkonekanta!$A$3:$A$24,0),1),0)</f>
        <v>0</v>
      </c>
      <c r="C438" s="140">
        <v>2033</v>
      </c>
      <c r="D438" s="141" t="str">
        <f>IFERROR(INDEX(Työkonekanta!$D$3:$D$27,MATCH('S0b Baseline kasvu'!$A438,Työkonekanta!$A$3:$A$24,0),1),"undefined")</f>
        <v>sähkö</v>
      </c>
      <c r="E438" s="145">
        <f>IFERROR(INDEX(Työkonekanta!$G$3:$G$27,MATCH($A438,Työkonekanta!$A$3:$A$24,0),1)*INDEX(Työkonekanta!$H$3:$H$27,MATCH($A438,Työkonekanta!$A$3:$A$24,0),1)*(1+s0b_kasvu*($C438-2019))*$B438,0)</f>
        <v>0</v>
      </c>
      <c r="F438" s="145">
        <f t="shared" si="132"/>
        <v>0</v>
      </c>
      <c r="G438" s="145">
        <f t="shared" si="141"/>
        <v>0</v>
      </c>
      <c r="H438" s="145">
        <f t="shared" si="142"/>
        <v>0</v>
      </c>
      <c r="I438" s="145">
        <f t="shared" si="133"/>
        <v>0</v>
      </c>
      <c r="J438" s="145">
        <f t="shared" si="134"/>
        <v>0</v>
      </c>
      <c r="K438" s="142" t="str">
        <f t="shared" si="143"/>
        <v>kWh</v>
      </c>
      <c r="L438" s="146">
        <f>IFERROR(INDEX(Työkonekanta!$I$3:$I$27,MATCH('S0b Baseline kasvu'!$A438,Työkonekanta!$A$3:$A$24,0),1)*(I438+J438)*f_adblue,0)</f>
        <v>0</v>
      </c>
      <c r="M438" s="146">
        <f t="shared" si="149"/>
        <v>0</v>
      </c>
      <c r="N438" s="143" t="str">
        <f>IF(tuulisähkö_vuosi&lt;='S0b Baseline kasvu'!C438,"tuulisähkö",ostosähkö_nyt)</f>
        <v>jäännössähkö</v>
      </c>
      <c r="O438" s="147">
        <f>INDEX(Muuttujat!$J$5:$J$21,MATCH($C438,Muuttujat!$H$5:$H$21,0),1)</f>
        <v>60.158234351438509</v>
      </c>
      <c r="P438" s="342">
        <f>1-(INDEX(Muuttujat!$O$5:$O$21,MATCH($C438,Muuttujat!$N$5:$N$21,0),1))</f>
        <v>0.9</v>
      </c>
      <c r="Q438" s="342">
        <f>INDEX(Muuttujat!$O$5:$O$21,MATCH($C438,Muuttujat!$N$5:$N$21,0),1)</f>
        <v>0.1</v>
      </c>
      <c r="R438" s="148">
        <f>INDEX(Muuttujat!$P$5:$P$21,MATCH($C438,Muuttujat!$N$5:$N$21,0),1)</f>
        <v>0.10417875759940039</v>
      </c>
      <c r="S438" s="149">
        <f t="shared" si="135"/>
        <v>0</v>
      </c>
      <c r="T438" s="150">
        <f t="shared" si="136"/>
        <v>0</v>
      </c>
      <c r="U438" s="150">
        <f t="shared" si="137"/>
        <v>0</v>
      </c>
      <c r="V438" s="150">
        <f>IFERROR(INDEX(Työkonekanta!$J$3:$J$27,MATCH($A438,Työkonekanta!$A$3:$A$24,0),1)*$B438*ef_li_ion_akku/1000/1000/INDEX(Työkonekanta!$K$3:$K$27,MATCH($A438,Työkonekanta!$A$3:$A$24,0)),0)</f>
        <v>0</v>
      </c>
      <c r="W438" s="149">
        <f t="shared" si="150"/>
        <v>0</v>
      </c>
      <c r="X438" s="150">
        <f t="shared" si="151"/>
        <v>0</v>
      </c>
      <c r="Y438" s="151">
        <f t="shared" si="152"/>
        <v>0</v>
      </c>
      <c r="Z438" s="152">
        <f t="shared" si="144"/>
        <v>0</v>
      </c>
      <c r="AA438" s="179">
        <f t="shared" si="145"/>
        <v>0</v>
      </c>
      <c r="AB438" s="179">
        <f t="shared" si="146"/>
        <v>0</v>
      </c>
      <c r="AC438" s="180">
        <f t="shared" si="153"/>
        <v>0</v>
      </c>
      <c r="AD438" s="156">
        <f t="shared" si="147"/>
        <v>0</v>
      </c>
      <c r="AE438" s="146">
        <f>IFERROR(INDEX(Työkonekanta!$L$3:$L$30,MATCH($A438,Työkonekanta!$A$3:$A$30,0),1),0)*AF438</f>
        <v>0</v>
      </c>
      <c r="AF438" s="146">
        <f>IFERROR(INDEX(Työkonekanta!$N$3:$N$32,MATCH($A438,Työkonekanta!$A$3:$A$32,0),1),0)</f>
        <v>0</v>
      </c>
      <c r="AG438" s="332">
        <f>I438*INDEX(Muuttujat!$U$5:$U$21,MATCH($C438,Muuttujat!$N$5:$N$21,0),1)</f>
        <v>0</v>
      </c>
      <c r="AH438" s="332">
        <f>J438*INDEX(Muuttujat!$T$5:$T$21,MATCH($C438,Muuttujat!$N$5:$N$21,0),1)</f>
        <v>0</v>
      </c>
      <c r="AI438" s="332">
        <f t="shared" si="138"/>
        <v>0</v>
      </c>
      <c r="AJ438" s="332">
        <f t="shared" si="139"/>
        <v>0</v>
      </c>
      <c r="AK438" s="332">
        <f t="shared" si="148"/>
        <v>0</v>
      </c>
      <c r="AL438" s="332">
        <f t="shared" si="140"/>
        <v>0</v>
      </c>
    </row>
    <row r="439" spans="1:38">
      <c r="A439" s="139">
        <v>17</v>
      </c>
      <c r="B439" s="139">
        <f>IFERROR(INDEX(Työkonekanta!$F$3:$F$27,MATCH('S0b Baseline kasvu'!$A439,Työkonekanta!$A$3:$A$24,0),1),0)</f>
        <v>1</v>
      </c>
      <c r="C439" s="140">
        <v>2033</v>
      </c>
      <c r="D439" s="141" t="str">
        <f>IFERROR(INDEX(Työkonekanta!$D$3:$D$27,MATCH('S0b Baseline kasvu'!$A439,Työkonekanta!$A$3:$A$24,0),1),"undefined")</f>
        <v>pom</v>
      </c>
      <c r="E439" s="145">
        <f>IFERROR(INDEX(Työkonekanta!$G$3:$G$27,MATCH($A439,Työkonekanta!$A$3:$A$24,0),1)*INDEX(Työkonekanta!$H$3:$H$27,MATCH($A439,Työkonekanta!$A$3:$A$24,0),1)*(1+s0b_kasvu*($C439-2019))*$B439,0)</f>
        <v>11400.000000000002</v>
      </c>
      <c r="F439" s="145">
        <f t="shared" si="132"/>
        <v>409260.00000000006</v>
      </c>
      <c r="G439" s="145">
        <f t="shared" si="141"/>
        <v>368334.00000000006</v>
      </c>
      <c r="H439" s="145">
        <f t="shared" si="142"/>
        <v>40926.000000000007</v>
      </c>
      <c r="I439" s="145">
        <f t="shared" si="133"/>
        <v>10260.000000000002</v>
      </c>
      <c r="J439" s="145">
        <f t="shared" si="134"/>
        <v>1193.177842565598</v>
      </c>
      <c r="K439" s="142" t="str">
        <f t="shared" si="143"/>
        <v>l</v>
      </c>
      <c r="L439" s="146">
        <f>IFERROR(INDEX(Työkonekanta!$I$3:$I$27,MATCH('S0b Baseline kasvu'!$A439,Työkonekanta!$A$3:$A$24,0),1)*(I439+J439)*f_adblue,0)</f>
        <v>572.65889212827994</v>
      </c>
      <c r="M439" s="146">
        <f t="shared" si="149"/>
        <v>0</v>
      </c>
      <c r="N439" s="143" t="str">
        <f>IF(tuulisähkö_vuosi&lt;='S0b Baseline kasvu'!C439,"tuulisähkö",ostosähkö_nyt)</f>
        <v>jäännössähkö</v>
      </c>
      <c r="O439" s="147">
        <f>INDEX(Muuttujat!$J$5:$J$21,MATCH($C439,Muuttujat!$H$5:$H$21,0),1)</f>
        <v>60.158234351438509</v>
      </c>
      <c r="P439" s="342">
        <f>1-(INDEX(Muuttujat!$O$5:$O$21,MATCH($C439,Muuttujat!$N$5:$N$21,0),1))</f>
        <v>0.9</v>
      </c>
      <c r="Q439" s="342">
        <f>INDEX(Muuttujat!$O$5:$O$21,MATCH($C439,Muuttujat!$N$5:$N$21,0),1)</f>
        <v>0.1</v>
      </c>
      <c r="R439" s="148">
        <f>INDEX(Muuttujat!$P$5:$P$21,MATCH($C439,Muuttujat!$N$5:$N$21,0),1)</f>
        <v>0.10417875759940039</v>
      </c>
      <c r="S439" s="149">
        <f t="shared" si="135"/>
        <v>6.9615126000000007</v>
      </c>
      <c r="T439" s="150">
        <f t="shared" si="136"/>
        <v>2.5537824000000007</v>
      </c>
      <c r="U439" s="150">
        <f t="shared" si="137"/>
        <v>0</v>
      </c>
      <c r="V439" s="150">
        <f>IFERROR(INDEX(Työkonekanta!$J$3:$J$27,MATCH($A439,Työkonekanta!$A$3:$A$24,0),1)*$B439*ef_li_ion_akku/1000/1000/INDEX(Työkonekanta!$K$3:$K$27,MATCH($A439,Työkonekanta!$A$3:$A$24,0)),0)</f>
        <v>0</v>
      </c>
      <c r="W439" s="149">
        <f t="shared" si="150"/>
        <v>27.186089531436004</v>
      </c>
      <c r="X439" s="150">
        <f t="shared" si="151"/>
        <v>0.36223005240000006</v>
      </c>
      <c r="Y439" s="151">
        <f t="shared" si="152"/>
        <v>0.14889131195335278</v>
      </c>
      <c r="Z439" s="152">
        <f t="shared" si="144"/>
        <v>9.5152950000000018</v>
      </c>
      <c r="AA439" s="179">
        <f t="shared" si="145"/>
        <v>27.334980843389356</v>
      </c>
      <c r="AB439" s="179">
        <f t="shared" si="146"/>
        <v>27.697210895789357</v>
      </c>
      <c r="AC439" s="180">
        <f t="shared" si="153"/>
        <v>36.850275843389355</v>
      </c>
      <c r="AD439" s="156">
        <f t="shared" si="147"/>
        <v>37.212505895789363</v>
      </c>
      <c r="AE439" s="146">
        <f>IFERROR(INDEX(Työkonekanta!$L$3:$L$30,MATCH($A439,Työkonekanta!$A$3:$A$30,0),1),0)*AF439</f>
        <v>500000</v>
      </c>
      <c r="AF439" s="146">
        <f>IFERROR(INDEX(Työkonekanta!$N$3:$N$32,MATCH($A439,Työkonekanta!$A$3:$A$32,0),1),0)</f>
        <v>1</v>
      </c>
      <c r="AG439" s="332">
        <f>I439*INDEX(Muuttujat!$U$5:$U$21,MATCH($C439,Muuttujat!$N$5:$N$21,0),1)</f>
        <v>10773.000000000002</v>
      </c>
      <c r="AH439" s="332">
        <f>J439*INDEX(Muuttujat!$T$5:$T$21,MATCH($C439,Muuttujat!$N$5:$N$21,0),1)</f>
        <v>1730.1078717201174</v>
      </c>
      <c r="AI439" s="332">
        <f t="shared" si="138"/>
        <v>286.32944606413997</v>
      </c>
      <c r="AJ439" s="332">
        <f t="shared" si="139"/>
        <v>0</v>
      </c>
      <c r="AK439" s="332">
        <f t="shared" si="148"/>
        <v>12789.437317784259</v>
      </c>
      <c r="AL439" s="332">
        <f t="shared" si="140"/>
        <v>12789.437317784259</v>
      </c>
    </row>
    <row r="440" spans="1:38">
      <c r="A440" s="139">
        <v>18</v>
      </c>
      <c r="B440" s="139">
        <f>IFERROR(INDEX(Työkonekanta!$F$3:$F$27,MATCH('S0b Baseline kasvu'!$A440,Työkonekanta!$A$3:$A$24,0),1),0)</f>
        <v>1</v>
      </c>
      <c r="C440" s="140">
        <v>2033</v>
      </c>
      <c r="D440" s="141" t="str">
        <f>IFERROR(INDEX(Työkonekanta!$D$3:$D$27,MATCH('S0b Baseline kasvu'!$A440,Työkonekanta!$A$3:$A$24,0),1),"undefined")</f>
        <v>pom</v>
      </c>
      <c r="E440" s="145">
        <f>IFERROR(INDEX(Työkonekanta!$G$3:$G$27,MATCH($A440,Työkonekanta!$A$3:$A$24,0),1)*INDEX(Työkonekanta!$H$3:$H$27,MATCH($A440,Työkonekanta!$A$3:$A$24,0),1)*(1+s0b_kasvu*($C440-2019))*$B440,0)</f>
        <v>11400.000000000002</v>
      </c>
      <c r="F440" s="145">
        <f t="shared" si="132"/>
        <v>409260.00000000006</v>
      </c>
      <c r="G440" s="145">
        <f t="shared" si="141"/>
        <v>368334.00000000006</v>
      </c>
      <c r="H440" s="145">
        <f t="shared" si="142"/>
        <v>40926.000000000007</v>
      </c>
      <c r="I440" s="145">
        <f t="shared" si="133"/>
        <v>10260.000000000002</v>
      </c>
      <c r="J440" s="145">
        <f t="shared" si="134"/>
        <v>1193.177842565598</v>
      </c>
      <c r="K440" s="142" t="str">
        <f t="shared" si="143"/>
        <v>l</v>
      </c>
      <c r="L440" s="146">
        <f>IFERROR(INDEX(Työkonekanta!$I$3:$I$27,MATCH('S0b Baseline kasvu'!$A440,Työkonekanta!$A$3:$A$24,0),1)*(I440+J440)*f_adblue,0)</f>
        <v>458.127113702624</v>
      </c>
      <c r="M440" s="146">
        <f t="shared" si="149"/>
        <v>0</v>
      </c>
      <c r="N440" s="143" t="str">
        <f>IF(tuulisähkö_vuosi&lt;='S0b Baseline kasvu'!C440,"tuulisähkö",ostosähkö_nyt)</f>
        <v>jäännössähkö</v>
      </c>
      <c r="O440" s="147">
        <f>INDEX(Muuttujat!$J$5:$J$21,MATCH($C440,Muuttujat!$H$5:$H$21,0),1)</f>
        <v>60.158234351438509</v>
      </c>
      <c r="P440" s="342">
        <f>1-(INDEX(Muuttujat!$O$5:$O$21,MATCH($C440,Muuttujat!$N$5:$N$21,0),1))</f>
        <v>0.9</v>
      </c>
      <c r="Q440" s="342">
        <f>INDEX(Muuttujat!$O$5:$O$21,MATCH($C440,Muuttujat!$N$5:$N$21,0),1)</f>
        <v>0.1</v>
      </c>
      <c r="R440" s="148">
        <f>INDEX(Muuttujat!$P$5:$P$21,MATCH($C440,Muuttujat!$N$5:$N$21,0),1)</f>
        <v>0.10417875759940039</v>
      </c>
      <c r="S440" s="149">
        <f t="shared" si="135"/>
        <v>6.9615126000000007</v>
      </c>
      <c r="T440" s="150">
        <f t="shared" si="136"/>
        <v>2.5537824000000007</v>
      </c>
      <c r="U440" s="150">
        <f t="shared" si="137"/>
        <v>0</v>
      </c>
      <c r="V440" s="150">
        <f>IFERROR(INDEX(Työkonekanta!$J$3:$J$27,MATCH($A440,Työkonekanta!$A$3:$A$24,0),1)*$B440*ef_li_ion_akku/1000/1000/INDEX(Työkonekanta!$K$3:$K$27,MATCH($A440,Työkonekanta!$A$3:$A$24,0)),0)</f>
        <v>0</v>
      </c>
      <c r="W440" s="149">
        <f t="shared" si="150"/>
        <v>27.186089531436004</v>
      </c>
      <c r="X440" s="150">
        <f t="shared" si="151"/>
        <v>0.36223005240000006</v>
      </c>
      <c r="Y440" s="151">
        <f t="shared" si="152"/>
        <v>0.11911304956268223</v>
      </c>
      <c r="Z440" s="152">
        <f t="shared" si="144"/>
        <v>9.5152950000000018</v>
      </c>
      <c r="AA440" s="179">
        <f t="shared" si="145"/>
        <v>27.305202580998685</v>
      </c>
      <c r="AB440" s="179">
        <f t="shared" si="146"/>
        <v>27.667432633398686</v>
      </c>
      <c r="AC440" s="180">
        <f t="shared" si="153"/>
        <v>36.820497580998691</v>
      </c>
      <c r="AD440" s="156">
        <f t="shared" si="147"/>
        <v>37.182727633398684</v>
      </c>
      <c r="AE440" s="146">
        <f>IFERROR(INDEX(Työkonekanta!$L$3:$L$30,MATCH($A440,Työkonekanta!$A$3:$A$30,0),1),0)*AF440</f>
        <v>500000</v>
      </c>
      <c r="AF440" s="146">
        <f>IFERROR(INDEX(Työkonekanta!$N$3:$N$32,MATCH($A440,Työkonekanta!$A$3:$A$32,0),1),0)</f>
        <v>1</v>
      </c>
      <c r="AG440" s="332">
        <f>I440*INDEX(Muuttujat!$U$5:$U$21,MATCH($C440,Muuttujat!$N$5:$N$21,0),1)</f>
        <v>10773.000000000002</v>
      </c>
      <c r="AH440" s="332">
        <f>J440*INDEX(Muuttujat!$T$5:$T$21,MATCH($C440,Muuttujat!$N$5:$N$21,0),1)</f>
        <v>1730.1078717201174</v>
      </c>
      <c r="AI440" s="332">
        <f t="shared" si="138"/>
        <v>229.063556851312</v>
      </c>
      <c r="AJ440" s="332">
        <f t="shared" si="139"/>
        <v>0</v>
      </c>
      <c r="AK440" s="332">
        <f t="shared" si="148"/>
        <v>12732.171428571432</v>
      </c>
      <c r="AL440" s="332">
        <f t="shared" si="140"/>
        <v>12732.171428571432</v>
      </c>
    </row>
    <row r="441" spans="1:38">
      <c r="A441" s="139">
        <v>19</v>
      </c>
      <c r="B441" s="139">
        <f>IFERROR(INDEX(Työkonekanta!$F$3:$F$27,MATCH('S0b Baseline kasvu'!$A441,Työkonekanta!$A$3:$A$24,0),1),0)</f>
        <v>0</v>
      </c>
      <c r="C441" s="140">
        <v>2033</v>
      </c>
      <c r="D441" s="141" t="str">
        <f>IFERROR(INDEX(Työkonekanta!$D$3:$D$27,MATCH('S0b Baseline kasvu'!$A441,Työkonekanta!$A$3:$A$24,0),1),"undefined")</f>
        <v>pom</v>
      </c>
      <c r="E441" s="145">
        <f>IFERROR(INDEX(Työkonekanta!$G$3:$G$27,MATCH($A441,Työkonekanta!$A$3:$A$24,0),1)*INDEX(Työkonekanta!$H$3:$H$27,MATCH($A441,Työkonekanta!$A$3:$A$24,0),1)*(1+s0b_kasvu*($C441-2019))*$B441,0)</f>
        <v>0</v>
      </c>
      <c r="F441" s="145">
        <f t="shared" si="132"/>
        <v>0</v>
      </c>
      <c r="G441" s="145">
        <f t="shared" si="141"/>
        <v>0</v>
      </c>
      <c r="H441" s="145">
        <f t="shared" si="142"/>
        <v>0</v>
      </c>
      <c r="I441" s="145">
        <f t="shared" si="133"/>
        <v>0</v>
      </c>
      <c r="J441" s="145">
        <f t="shared" si="134"/>
        <v>0</v>
      </c>
      <c r="K441" s="142" t="str">
        <f t="shared" si="143"/>
        <v>l</v>
      </c>
      <c r="L441" s="146">
        <f>IFERROR(INDEX(Työkonekanta!$I$3:$I$27,MATCH('S0b Baseline kasvu'!$A441,Työkonekanta!$A$3:$A$24,0),1)*(I441+J441)*f_adblue,0)</f>
        <v>0</v>
      </c>
      <c r="M441" s="146">
        <f t="shared" si="149"/>
        <v>0</v>
      </c>
      <c r="N441" s="143" t="str">
        <f>IF(tuulisähkö_vuosi&lt;='S0b Baseline kasvu'!C441,"tuulisähkö",ostosähkö_nyt)</f>
        <v>jäännössähkö</v>
      </c>
      <c r="O441" s="147">
        <f>INDEX(Muuttujat!$J$5:$J$21,MATCH($C441,Muuttujat!$H$5:$H$21,0),1)</f>
        <v>60.158234351438509</v>
      </c>
      <c r="P441" s="342">
        <f>1-(INDEX(Muuttujat!$O$5:$O$21,MATCH($C441,Muuttujat!$N$5:$N$21,0),1))</f>
        <v>0.9</v>
      </c>
      <c r="Q441" s="342">
        <f>INDEX(Muuttujat!$O$5:$O$21,MATCH($C441,Muuttujat!$N$5:$N$21,0),1)</f>
        <v>0.1</v>
      </c>
      <c r="R441" s="148">
        <f>INDEX(Muuttujat!$P$5:$P$21,MATCH($C441,Muuttujat!$N$5:$N$21,0),1)</f>
        <v>0.10417875759940039</v>
      </c>
      <c r="S441" s="149">
        <f t="shared" si="135"/>
        <v>0</v>
      </c>
      <c r="T441" s="150">
        <f t="shared" si="136"/>
        <v>0</v>
      </c>
      <c r="U441" s="150">
        <f t="shared" si="137"/>
        <v>0</v>
      </c>
      <c r="V441" s="150">
        <f>IFERROR(INDEX(Työkonekanta!$J$3:$J$27,MATCH($A441,Työkonekanta!$A$3:$A$24,0),1)*$B441*ef_li_ion_akku/1000/1000/INDEX(Työkonekanta!$K$3:$K$27,MATCH($A441,Työkonekanta!$A$3:$A$24,0)),0)</f>
        <v>0</v>
      </c>
      <c r="W441" s="149">
        <f t="shared" si="150"/>
        <v>0</v>
      </c>
      <c r="X441" s="150">
        <f t="shared" si="151"/>
        <v>0</v>
      </c>
      <c r="Y441" s="151">
        <f t="shared" si="152"/>
        <v>0</v>
      </c>
      <c r="Z441" s="152">
        <f t="shared" si="144"/>
        <v>0</v>
      </c>
      <c r="AA441" s="179">
        <f t="shared" si="145"/>
        <v>0</v>
      </c>
      <c r="AB441" s="179">
        <f t="shared" si="146"/>
        <v>0</v>
      </c>
      <c r="AC441" s="180">
        <f t="shared" si="153"/>
        <v>0</v>
      </c>
      <c r="AD441" s="156">
        <f t="shared" si="147"/>
        <v>0</v>
      </c>
      <c r="AE441" s="146">
        <f>IFERROR(INDEX(Työkonekanta!$L$3:$L$30,MATCH($A441,Työkonekanta!$A$3:$A$30,0),1),0)*AF441</f>
        <v>0</v>
      </c>
      <c r="AF441" s="146">
        <f>IFERROR(INDEX(Työkonekanta!$N$3:$N$32,MATCH($A441,Työkonekanta!$A$3:$A$32,0),1),0)</f>
        <v>0</v>
      </c>
      <c r="AG441" s="332">
        <f>I441*INDEX(Muuttujat!$U$5:$U$21,MATCH($C441,Muuttujat!$N$5:$N$21,0),1)</f>
        <v>0</v>
      </c>
      <c r="AH441" s="332">
        <f>J441*INDEX(Muuttujat!$T$5:$T$21,MATCH($C441,Muuttujat!$N$5:$N$21,0),1)</f>
        <v>0</v>
      </c>
      <c r="AI441" s="332">
        <f t="shared" si="138"/>
        <v>0</v>
      </c>
      <c r="AJ441" s="332">
        <f t="shared" si="139"/>
        <v>0</v>
      </c>
      <c r="AK441" s="332">
        <f t="shared" si="148"/>
        <v>0</v>
      </c>
      <c r="AL441" s="332">
        <f t="shared" si="140"/>
        <v>0</v>
      </c>
    </row>
    <row r="442" spans="1:38">
      <c r="A442" s="139">
        <v>20</v>
      </c>
      <c r="B442" s="139">
        <f>IFERROR(INDEX(Työkonekanta!$F$3:$F$27,MATCH('S0b Baseline kasvu'!$A442,Työkonekanta!$A$3:$A$24,0),1),0)</f>
        <v>0</v>
      </c>
      <c r="C442" s="140">
        <v>2033</v>
      </c>
      <c r="D442" s="141" t="str">
        <f>IFERROR(INDEX(Työkonekanta!$D$3:$D$27,MATCH('S0b Baseline kasvu'!$A442,Työkonekanta!$A$3:$A$24,0),1),"undefined")</f>
        <v>pom</v>
      </c>
      <c r="E442" s="145">
        <f>IFERROR(INDEX(Työkonekanta!$G$3:$G$27,MATCH($A442,Työkonekanta!$A$3:$A$24,0),1)*INDEX(Työkonekanta!$H$3:$H$27,MATCH($A442,Työkonekanta!$A$3:$A$24,0),1)*(1+s0b_kasvu*($C442-2019))*$B442,0)</f>
        <v>0</v>
      </c>
      <c r="F442" s="145">
        <f t="shared" si="132"/>
        <v>0</v>
      </c>
      <c r="G442" s="145">
        <f t="shared" si="141"/>
        <v>0</v>
      </c>
      <c r="H442" s="145">
        <f t="shared" si="142"/>
        <v>0</v>
      </c>
      <c r="I442" s="145">
        <f t="shared" si="133"/>
        <v>0</v>
      </c>
      <c r="J442" s="145">
        <f t="shared" si="134"/>
        <v>0</v>
      </c>
      <c r="K442" s="142" t="str">
        <f t="shared" si="143"/>
        <v>l</v>
      </c>
      <c r="L442" s="146">
        <f>IFERROR(INDEX(Työkonekanta!$I$3:$I$27,MATCH('S0b Baseline kasvu'!$A442,Työkonekanta!$A$3:$A$24,0),1)*(I442+J442)*f_adblue,0)</f>
        <v>0</v>
      </c>
      <c r="M442" s="146">
        <f t="shared" si="149"/>
        <v>0</v>
      </c>
      <c r="N442" s="143" t="str">
        <f>IF(tuulisähkö_vuosi&lt;='S0b Baseline kasvu'!C442,"tuulisähkö",ostosähkö_nyt)</f>
        <v>jäännössähkö</v>
      </c>
      <c r="O442" s="147">
        <f>INDEX(Muuttujat!$J$5:$J$21,MATCH($C442,Muuttujat!$H$5:$H$21,0),1)</f>
        <v>60.158234351438509</v>
      </c>
      <c r="P442" s="342">
        <f>1-(INDEX(Muuttujat!$O$5:$O$21,MATCH($C442,Muuttujat!$N$5:$N$21,0),1))</f>
        <v>0.9</v>
      </c>
      <c r="Q442" s="342">
        <f>INDEX(Muuttujat!$O$5:$O$21,MATCH($C442,Muuttujat!$N$5:$N$21,0),1)</f>
        <v>0.1</v>
      </c>
      <c r="R442" s="148">
        <f>INDEX(Muuttujat!$P$5:$P$21,MATCH($C442,Muuttujat!$N$5:$N$21,0),1)</f>
        <v>0.10417875759940039</v>
      </c>
      <c r="S442" s="149">
        <f t="shared" si="135"/>
        <v>0</v>
      </c>
      <c r="T442" s="150">
        <f t="shared" si="136"/>
        <v>0</v>
      </c>
      <c r="U442" s="150">
        <f t="shared" si="137"/>
        <v>0</v>
      </c>
      <c r="V442" s="150">
        <f>IFERROR(INDEX(Työkonekanta!$J$3:$J$27,MATCH($A442,Työkonekanta!$A$3:$A$24,0),1)*$B442*ef_li_ion_akku/1000/1000/INDEX(Työkonekanta!$K$3:$K$27,MATCH($A442,Työkonekanta!$A$3:$A$24,0)),0)</f>
        <v>0</v>
      </c>
      <c r="W442" s="149">
        <f t="shared" si="150"/>
        <v>0</v>
      </c>
      <c r="X442" s="150">
        <f t="shared" si="151"/>
        <v>0</v>
      </c>
      <c r="Y442" s="151">
        <f t="shared" si="152"/>
        <v>0</v>
      </c>
      <c r="Z442" s="152">
        <f t="shared" si="144"/>
        <v>0</v>
      </c>
      <c r="AA442" s="179">
        <f t="shared" si="145"/>
        <v>0</v>
      </c>
      <c r="AB442" s="179">
        <f t="shared" si="146"/>
        <v>0</v>
      </c>
      <c r="AC442" s="180">
        <f t="shared" si="153"/>
        <v>0</v>
      </c>
      <c r="AD442" s="156">
        <f t="shared" si="147"/>
        <v>0</v>
      </c>
      <c r="AE442" s="146">
        <f>IFERROR(INDEX(Työkonekanta!$L$3:$L$30,MATCH($A442,Työkonekanta!$A$3:$A$30,0),1),0)*AF442</f>
        <v>0</v>
      </c>
      <c r="AF442" s="146">
        <f>IFERROR(INDEX(Työkonekanta!$N$3:$N$32,MATCH($A442,Työkonekanta!$A$3:$A$32,0),1),0)</f>
        <v>0</v>
      </c>
      <c r="AG442" s="332">
        <f>I442*INDEX(Muuttujat!$U$5:$U$21,MATCH($C442,Muuttujat!$N$5:$N$21,0),1)</f>
        <v>0</v>
      </c>
      <c r="AH442" s="332">
        <f>J442*INDEX(Muuttujat!$T$5:$T$21,MATCH($C442,Muuttujat!$N$5:$N$21,0),1)</f>
        <v>0</v>
      </c>
      <c r="AI442" s="332">
        <f t="shared" si="138"/>
        <v>0</v>
      </c>
      <c r="AJ442" s="332">
        <f t="shared" si="139"/>
        <v>0</v>
      </c>
      <c r="AK442" s="332">
        <f t="shared" si="148"/>
        <v>0</v>
      </c>
      <c r="AL442" s="332">
        <f t="shared" si="140"/>
        <v>0</v>
      </c>
    </row>
    <row r="443" spans="1:38">
      <c r="A443" s="139">
        <v>21</v>
      </c>
      <c r="B443" s="139">
        <f>IFERROR(INDEX(Työkonekanta!$F$3:$F$27,MATCH('S0b Baseline kasvu'!$A443,Työkonekanta!$A$3:$A$24,0),1),0)</f>
        <v>35</v>
      </c>
      <c r="C443" s="140">
        <v>2033</v>
      </c>
      <c r="D443" s="141" t="str">
        <f>IFERROR(INDEX(Työkonekanta!$D$3:$D$27,MATCH('S0b Baseline kasvu'!$A443,Työkonekanta!$A$3:$A$24,0),1),"undefined")</f>
        <v>sähkö</v>
      </c>
      <c r="E443" s="145">
        <f>IFERROR(INDEX(Työkonekanta!$G$3:$G$27,MATCH($A443,Työkonekanta!$A$3:$A$24,0),1)*INDEX(Työkonekanta!$H$3:$H$27,MATCH($A443,Työkonekanta!$A$3:$A$24,0),1)*(1+s0b_kasvu*($C443-2019))*$B443,0)</f>
        <v>464206.9444444445</v>
      </c>
      <c r="F443" s="145">
        <f t="shared" si="132"/>
        <v>0</v>
      </c>
      <c r="G443" s="145">
        <f t="shared" si="141"/>
        <v>0</v>
      </c>
      <c r="H443" s="145">
        <f t="shared" si="142"/>
        <v>0</v>
      </c>
      <c r="I443" s="145">
        <f t="shared" si="133"/>
        <v>0</v>
      </c>
      <c r="J443" s="145">
        <f t="shared" si="134"/>
        <v>0</v>
      </c>
      <c r="K443" s="142" t="str">
        <f t="shared" si="143"/>
        <v>kWh</v>
      </c>
      <c r="L443" s="146">
        <f>IFERROR(INDEX(Työkonekanta!$I$3:$I$27,MATCH('S0b Baseline kasvu'!$A443,Työkonekanta!$A$3:$A$24,0),1)*(I443+J443)*f_adblue,0)</f>
        <v>0</v>
      </c>
      <c r="M443" s="146">
        <f t="shared" si="149"/>
        <v>1671145.0000000002</v>
      </c>
      <c r="N443" s="143" t="str">
        <f>IF(tuulisähkö_vuosi&lt;='S0b Baseline kasvu'!C443,"tuulisähkö",ostosähkö_nyt)</f>
        <v>jäännössähkö</v>
      </c>
      <c r="O443" s="147">
        <f>INDEX(Muuttujat!$J$5:$J$21,MATCH($C443,Muuttujat!$H$5:$H$21,0),1)</f>
        <v>60.158234351438509</v>
      </c>
      <c r="P443" s="342">
        <f>1-(INDEX(Muuttujat!$O$5:$O$21,MATCH($C443,Muuttujat!$N$5:$N$21,0),1))</f>
        <v>0.9</v>
      </c>
      <c r="Q443" s="342">
        <f>INDEX(Muuttujat!$O$5:$O$21,MATCH($C443,Muuttujat!$N$5:$N$21,0),1)</f>
        <v>0.1</v>
      </c>
      <c r="R443" s="148">
        <f>INDEX(Muuttujat!$P$5:$P$21,MATCH($C443,Muuttujat!$N$5:$N$21,0),1)</f>
        <v>0.10417875759940039</v>
      </c>
      <c r="S443" s="149">
        <f t="shared" si="135"/>
        <v>0</v>
      </c>
      <c r="T443" s="150">
        <f t="shared" si="136"/>
        <v>0</v>
      </c>
      <c r="U443" s="150">
        <f t="shared" si="137"/>
        <v>100.53313254523472</v>
      </c>
      <c r="V443" s="150">
        <f>IFERROR(INDEX(Työkonekanta!$J$3:$J$27,MATCH($A443,Työkonekanta!$A$3:$A$24,0),1)*$B443*ef_li_ion_akku/1000/1000/INDEX(Työkonekanta!$K$3:$K$27,MATCH($A443,Työkonekanta!$A$3:$A$24,0)),0)</f>
        <v>43.121723076923082</v>
      </c>
      <c r="W443" s="149">
        <f t="shared" si="150"/>
        <v>0</v>
      </c>
      <c r="X443" s="150">
        <f t="shared" si="151"/>
        <v>0</v>
      </c>
      <c r="Y443" s="151">
        <f t="shared" si="152"/>
        <v>0</v>
      </c>
      <c r="Z443" s="152">
        <f t="shared" si="144"/>
        <v>143.65485562215781</v>
      </c>
      <c r="AA443" s="179">
        <f t="shared" si="145"/>
        <v>0</v>
      </c>
      <c r="AB443" s="179">
        <f t="shared" si="146"/>
        <v>0</v>
      </c>
      <c r="AC443" s="180">
        <f t="shared" si="153"/>
        <v>143.65485562215781</v>
      </c>
      <c r="AD443" s="156">
        <f t="shared" si="147"/>
        <v>143.65485562215781</v>
      </c>
      <c r="AE443" s="146">
        <f>IFERROR(INDEX(Työkonekanta!$L$3:$L$30,MATCH($A443,Työkonekanta!$A$3:$A$30,0),1),0)*AF443</f>
        <v>1820000</v>
      </c>
      <c r="AF443" s="146">
        <f>IFERROR(INDEX(Työkonekanta!$N$3:$N$32,MATCH($A443,Työkonekanta!$A$3:$A$32,0),1),0)</f>
        <v>7</v>
      </c>
      <c r="AG443" s="332">
        <f>I443*INDEX(Muuttujat!$U$5:$U$21,MATCH($C443,Muuttujat!$N$5:$N$21,0),1)</f>
        <v>0</v>
      </c>
      <c r="AH443" s="332">
        <f>J443*INDEX(Muuttujat!$T$5:$T$21,MATCH($C443,Muuttujat!$N$5:$N$21,0),1)</f>
        <v>0</v>
      </c>
      <c r="AI443" s="332">
        <f t="shared" si="138"/>
        <v>0</v>
      </c>
      <c r="AJ443" s="332">
        <f t="shared" si="139"/>
        <v>41082.31458333334</v>
      </c>
      <c r="AK443" s="332">
        <f t="shared" si="148"/>
        <v>41082.31458333334</v>
      </c>
      <c r="AL443" s="332">
        <f t="shared" si="140"/>
        <v>1173.780416666667</v>
      </c>
    </row>
    <row r="444" spans="1:38">
      <c r="A444" s="139">
        <v>22</v>
      </c>
      <c r="B444" s="139">
        <f>IFERROR(INDEX(Työkonekanta!$F$3:$F$27,MATCH('S0b Baseline kasvu'!$A444,Työkonekanta!$A$3:$A$24,0),1),0)</f>
        <v>0</v>
      </c>
      <c r="C444" s="140">
        <v>2033</v>
      </c>
      <c r="D444" s="141" t="str">
        <f>IFERROR(INDEX(Työkonekanta!$D$3:$D$27,MATCH('S0b Baseline kasvu'!$A444,Työkonekanta!$A$3:$A$24,0),1),"undefined")</f>
        <v>sähkö</v>
      </c>
      <c r="E444" s="145">
        <f>IFERROR(INDEX(Työkonekanta!$G$3:$G$27,MATCH($A444,Työkonekanta!$A$3:$A$24,0),1)*INDEX(Työkonekanta!$H$3:$H$27,MATCH($A444,Työkonekanta!$A$3:$A$24,0),1)*(1+s0b_kasvu*($C444-2019))*$B444,0)</f>
        <v>0</v>
      </c>
      <c r="F444" s="145">
        <f t="shared" si="132"/>
        <v>0</v>
      </c>
      <c r="G444" s="145">
        <f t="shared" si="141"/>
        <v>0</v>
      </c>
      <c r="H444" s="145">
        <f t="shared" si="142"/>
        <v>0</v>
      </c>
      <c r="I444" s="145">
        <f t="shared" si="133"/>
        <v>0</v>
      </c>
      <c r="J444" s="145">
        <f t="shared" si="134"/>
        <v>0</v>
      </c>
      <c r="K444" s="142" t="str">
        <f t="shared" si="143"/>
        <v>kWh</v>
      </c>
      <c r="L444" s="146">
        <f>IFERROR(INDEX(Työkonekanta!$I$3:$I$27,MATCH('S0b Baseline kasvu'!$A444,Työkonekanta!$A$3:$A$24,0),1)*(I444+J444)*f_adblue,0)</f>
        <v>0</v>
      </c>
      <c r="M444" s="146">
        <f t="shared" si="149"/>
        <v>0</v>
      </c>
      <c r="N444" s="143" t="str">
        <f>IF(tuulisähkö_vuosi&lt;='S0b Baseline kasvu'!C444,"tuulisähkö",ostosähkö_nyt)</f>
        <v>jäännössähkö</v>
      </c>
      <c r="O444" s="147">
        <f>INDEX(Muuttujat!$J$5:$J$21,MATCH($C444,Muuttujat!$H$5:$H$21,0),1)</f>
        <v>60.158234351438509</v>
      </c>
      <c r="P444" s="342">
        <f>1-(INDEX(Muuttujat!$O$5:$O$21,MATCH($C444,Muuttujat!$N$5:$N$21,0),1))</f>
        <v>0.9</v>
      </c>
      <c r="Q444" s="342">
        <f>INDEX(Muuttujat!$O$5:$O$21,MATCH($C444,Muuttujat!$N$5:$N$21,0),1)</f>
        <v>0.1</v>
      </c>
      <c r="R444" s="148">
        <f>INDEX(Muuttujat!$P$5:$P$21,MATCH($C444,Muuttujat!$N$5:$N$21,0),1)</f>
        <v>0.10417875759940039</v>
      </c>
      <c r="S444" s="149">
        <f t="shared" si="135"/>
        <v>0</v>
      </c>
      <c r="T444" s="150">
        <f t="shared" si="136"/>
        <v>0</v>
      </c>
      <c r="U444" s="150">
        <f t="shared" si="137"/>
        <v>0</v>
      </c>
      <c r="V444" s="150">
        <f>IFERROR(INDEX(Työkonekanta!$J$3:$J$27,MATCH($A444,Työkonekanta!$A$3:$A$24,0),1)*$B444*ef_li_ion_akku/1000/1000/INDEX(Työkonekanta!$K$3:$K$27,MATCH($A444,Työkonekanta!$A$3:$A$24,0)),0)</f>
        <v>0</v>
      </c>
      <c r="W444" s="149">
        <f t="shared" si="150"/>
        <v>0</v>
      </c>
      <c r="X444" s="150">
        <f t="shared" si="151"/>
        <v>0</v>
      </c>
      <c r="Y444" s="151">
        <f t="shared" si="152"/>
        <v>0</v>
      </c>
      <c r="Z444" s="152">
        <f t="shared" si="144"/>
        <v>0</v>
      </c>
      <c r="AA444" s="179">
        <f t="shared" si="145"/>
        <v>0</v>
      </c>
      <c r="AB444" s="179">
        <f t="shared" si="146"/>
        <v>0</v>
      </c>
      <c r="AC444" s="180">
        <f t="shared" si="153"/>
        <v>0</v>
      </c>
      <c r="AD444" s="156">
        <f t="shared" si="147"/>
        <v>0</v>
      </c>
      <c r="AE444" s="146">
        <f>IFERROR(INDEX(Työkonekanta!$L$3:$L$30,MATCH($A444,Työkonekanta!$A$3:$A$30,0),1),0)*AF444</f>
        <v>0</v>
      </c>
      <c r="AF444" s="146">
        <f>IFERROR(INDEX(Työkonekanta!$N$3:$N$32,MATCH($A444,Työkonekanta!$A$3:$A$32,0),1),0)</f>
        <v>0</v>
      </c>
      <c r="AG444" s="332">
        <f>I444*INDEX(Muuttujat!$U$5:$U$21,MATCH($C444,Muuttujat!$N$5:$N$21,0),1)</f>
        <v>0</v>
      </c>
      <c r="AH444" s="332">
        <f>J444*INDEX(Muuttujat!$T$5:$T$21,MATCH($C444,Muuttujat!$N$5:$N$21,0),1)</f>
        <v>0</v>
      </c>
      <c r="AI444" s="332">
        <f t="shared" si="138"/>
        <v>0</v>
      </c>
      <c r="AJ444" s="332">
        <f t="shared" si="139"/>
        <v>0</v>
      </c>
      <c r="AK444" s="332">
        <f t="shared" si="148"/>
        <v>0</v>
      </c>
      <c r="AL444" s="332">
        <f t="shared" si="140"/>
        <v>0</v>
      </c>
    </row>
    <row r="445" spans="1:38">
      <c r="A445" s="139">
        <v>23</v>
      </c>
      <c r="B445" s="139">
        <f>IFERROR(INDEX(Työkonekanta!$F$3:$F$27,MATCH('S0b Baseline kasvu'!$A445,Työkonekanta!$A$3:$A$24,0),1),0)</f>
        <v>0</v>
      </c>
      <c r="C445" s="140">
        <v>2033</v>
      </c>
      <c r="D445" s="141" t="str">
        <f>IFERROR(INDEX(Työkonekanta!$D$3:$D$27,MATCH('S0b Baseline kasvu'!$A445,Työkonekanta!$A$3:$A$24,0),1),"undefined")</f>
        <v>undefined</v>
      </c>
      <c r="E445" s="145">
        <f>IFERROR(INDEX(Työkonekanta!$G$3:$G$27,MATCH($A445,Työkonekanta!$A$3:$A$24,0),1)*INDEX(Työkonekanta!$H$3:$H$27,MATCH($A445,Työkonekanta!$A$3:$A$24,0),1)*(1+s0b_kasvu*($C445-2019))*$B445,0)</f>
        <v>0</v>
      </c>
      <c r="F445" s="145">
        <f t="shared" si="132"/>
        <v>0</v>
      </c>
      <c r="G445" s="145">
        <f t="shared" si="141"/>
        <v>0</v>
      </c>
      <c r="H445" s="145">
        <f t="shared" si="142"/>
        <v>0</v>
      </c>
      <c r="I445" s="145">
        <f t="shared" si="133"/>
        <v>0</v>
      </c>
      <c r="J445" s="145">
        <f t="shared" si="134"/>
        <v>0</v>
      </c>
      <c r="K445" s="142" t="str">
        <f t="shared" si="143"/>
        <v>undefined</v>
      </c>
      <c r="L445" s="146">
        <f>IFERROR(INDEX(Työkonekanta!$I$3:$I$27,MATCH('S0b Baseline kasvu'!$A445,Työkonekanta!$A$3:$A$24,0),1)*(I445+J445)*f_adblue,0)</f>
        <v>0</v>
      </c>
      <c r="M445" s="146">
        <f t="shared" si="149"/>
        <v>0</v>
      </c>
      <c r="N445" s="143" t="str">
        <f>IF(tuulisähkö_vuosi&lt;='S0b Baseline kasvu'!C445,"tuulisähkö",ostosähkö_nyt)</f>
        <v>jäännössähkö</v>
      </c>
      <c r="O445" s="147">
        <f>INDEX(Muuttujat!$J$5:$J$21,MATCH($C445,Muuttujat!$H$5:$H$21,0),1)</f>
        <v>60.158234351438509</v>
      </c>
      <c r="P445" s="342">
        <f>1-(INDEX(Muuttujat!$O$5:$O$21,MATCH($C445,Muuttujat!$N$5:$N$21,0),1))</f>
        <v>0.9</v>
      </c>
      <c r="Q445" s="342">
        <f>INDEX(Muuttujat!$O$5:$O$21,MATCH($C445,Muuttujat!$N$5:$N$21,0),1)</f>
        <v>0.1</v>
      </c>
      <c r="R445" s="148">
        <f>INDEX(Muuttujat!$P$5:$P$21,MATCH($C445,Muuttujat!$N$5:$N$21,0),1)</f>
        <v>0.10417875759940039</v>
      </c>
      <c r="S445" s="149">
        <f t="shared" si="135"/>
        <v>0</v>
      </c>
      <c r="T445" s="150">
        <f t="shared" si="136"/>
        <v>0</v>
      </c>
      <c r="U445" s="150">
        <f t="shared" si="137"/>
        <v>0</v>
      </c>
      <c r="V445" s="150">
        <f>IFERROR(INDEX(Työkonekanta!$J$3:$J$27,MATCH($A445,Työkonekanta!$A$3:$A$24,0),1)*$B445*ef_li_ion_akku/1000/1000/INDEX(Työkonekanta!$K$3:$K$27,MATCH($A445,Työkonekanta!$A$3:$A$24,0)),0)</f>
        <v>0</v>
      </c>
      <c r="W445" s="149">
        <f t="shared" si="150"/>
        <v>0</v>
      </c>
      <c r="X445" s="150">
        <f t="shared" si="151"/>
        <v>0</v>
      </c>
      <c r="Y445" s="151">
        <f t="shared" si="152"/>
        <v>0</v>
      </c>
      <c r="Z445" s="152">
        <f t="shared" si="144"/>
        <v>0</v>
      </c>
      <c r="AA445" s="179">
        <f t="shared" si="145"/>
        <v>0</v>
      </c>
      <c r="AB445" s="179">
        <f t="shared" si="146"/>
        <v>0</v>
      </c>
      <c r="AC445" s="180">
        <f t="shared" si="153"/>
        <v>0</v>
      </c>
      <c r="AD445" s="156">
        <f t="shared" si="147"/>
        <v>0</v>
      </c>
      <c r="AE445" s="146">
        <f>IFERROR(INDEX(Työkonekanta!$L$3:$L$30,MATCH($A445,Työkonekanta!$A$3:$A$30,0),1),0)*AF445</f>
        <v>0</v>
      </c>
      <c r="AF445" s="146">
        <f>IFERROR(INDEX(Työkonekanta!$N$3:$N$32,MATCH($A445,Työkonekanta!$A$3:$A$32,0),1),0)</f>
        <v>0</v>
      </c>
      <c r="AG445" s="332">
        <f>I445*INDEX(Muuttujat!$U$5:$U$21,MATCH($C445,Muuttujat!$N$5:$N$21,0),1)</f>
        <v>0</v>
      </c>
      <c r="AH445" s="332">
        <f>J445*INDEX(Muuttujat!$T$5:$T$21,MATCH($C445,Muuttujat!$N$5:$N$21,0),1)</f>
        <v>0</v>
      </c>
      <c r="AI445" s="332">
        <f t="shared" si="138"/>
        <v>0</v>
      </c>
      <c r="AJ445" s="332">
        <f t="shared" si="139"/>
        <v>0</v>
      </c>
      <c r="AK445" s="332">
        <f t="shared" si="148"/>
        <v>0</v>
      </c>
      <c r="AL445" s="332">
        <f t="shared" si="140"/>
        <v>0</v>
      </c>
    </row>
    <row r="446" spans="1:38">
      <c r="A446" s="139">
        <v>24</v>
      </c>
      <c r="B446" s="139">
        <f>IFERROR(INDEX(Työkonekanta!$F$3:$F$27,MATCH('S0b Baseline kasvu'!$A446,Työkonekanta!$A$3:$A$24,0),1),0)</f>
        <v>0</v>
      </c>
      <c r="C446" s="140">
        <v>2033</v>
      </c>
      <c r="D446" s="141" t="str">
        <f>IFERROR(INDEX(Työkonekanta!$D$3:$D$27,MATCH('S0b Baseline kasvu'!$A446,Työkonekanta!$A$3:$A$24,0),1),"undefined")</f>
        <v>undefined</v>
      </c>
      <c r="E446" s="145">
        <f>IFERROR(INDEX(Työkonekanta!$G$3:$G$27,MATCH($A446,Työkonekanta!$A$3:$A$24,0),1)*INDEX(Työkonekanta!$H$3:$H$27,MATCH($A446,Työkonekanta!$A$3:$A$24,0),1)*(1+s0b_kasvu*($C446-2019))*$B446,0)</f>
        <v>0</v>
      </c>
      <c r="F446" s="145">
        <f t="shared" si="132"/>
        <v>0</v>
      </c>
      <c r="G446" s="145">
        <f t="shared" si="141"/>
        <v>0</v>
      </c>
      <c r="H446" s="145">
        <f t="shared" si="142"/>
        <v>0</v>
      </c>
      <c r="I446" s="145">
        <f t="shared" si="133"/>
        <v>0</v>
      </c>
      <c r="J446" s="145">
        <f t="shared" si="134"/>
        <v>0</v>
      </c>
      <c r="K446" s="142" t="str">
        <f t="shared" si="143"/>
        <v>undefined</v>
      </c>
      <c r="L446" s="146">
        <f>IFERROR(INDEX(Työkonekanta!$I$3:$I$27,MATCH('S0b Baseline kasvu'!$A446,Työkonekanta!$A$3:$A$24,0),1)*(I446+J446)*f_adblue,0)</f>
        <v>0</v>
      </c>
      <c r="M446" s="146">
        <f t="shared" si="149"/>
        <v>0</v>
      </c>
      <c r="N446" s="143" t="str">
        <f>IF(tuulisähkö_vuosi&lt;='S0b Baseline kasvu'!C446,"tuulisähkö",ostosähkö_nyt)</f>
        <v>jäännössähkö</v>
      </c>
      <c r="O446" s="147">
        <f>INDEX(Muuttujat!$J$5:$J$21,MATCH($C446,Muuttujat!$H$5:$H$21,0),1)</f>
        <v>60.158234351438509</v>
      </c>
      <c r="P446" s="342">
        <f>1-(INDEX(Muuttujat!$O$5:$O$21,MATCH($C446,Muuttujat!$N$5:$N$21,0),1))</f>
        <v>0.9</v>
      </c>
      <c r="Q446" s="342">
        <f>INDEX(Muuttujat!$O$5:$O$21,MATCH($C446,Muuttujat!$N$5:$N$21,0),1)</f>
        <v>0.1</v>
      </c>
      <c r="R446" s="148">
        <f>INDEX(Muuttujat!$P$5:$P$21,MATCH($C446,Muuttujat!$N$5:$N$21,0),1)</f>
        <v>0.10417875759940039</v>
      </c>
      <c r="S446" s="149">
        <f t="shared" si="135"/>
        <v>0</v>
      </c>
      <c r="T446" s="150">
        <f t="shared" si="136"/>
        <v>0</v>
      </c>
      <c r="U446" s="150">
        <f t="shared" si="137"/>
        <v>0</v>
      </c>
      <c r="V446" s="150">
        <f>IFERROR(INDEX(Työkonekanta!$J$3:$J$27,MATCH($A446,Työkonekanta!$A$3:$A$24,0),1)*$B446*ef_li_ion_akku/1000/1000/INDEX(Työkonekanta!$K$3:$K$27,MATCH($A446,Työkonekanta!$A$3:$A$24,0)),0)</f>
        <v>0</v>
      </c>
      <c r="W446" s="149">
        <f t="shared" si="150"/>
        <v>0</v>
      </c>
      <c r="X446" s="150">
        <f t="shared" si="151"/>
        <v>0</v>
      </c>
      <c r="Y446" s="151">
        <f t="shared" si="152"/>
        <v>0</v>
      </c>
      <c r="Z446" s="152">
        <f t="shared" si="144"/>
        <v>0</v>
      </c>
      <c r="AA446" s="179">
        <f t="shared" si="145"/>
        <v>0</v>
      </c>
      <c r="AB446" s="179">
        <f t="shared" si="146"/>
        <v>0</v>
      </c>
      <c r="AC446" s="180">
        <f t="shared" si="153"/>
        <v>0</v>
      </c>
      <c r="AD446" s="156">
        <f t="shared" si="147"/>
        <v>0</v>
      </c>
      <c r="AE446" s="146">
        <f>IFERROR(INDEX(Työkonekanta!$L$3:$L$30,MATCH($A446,Työkonekanta!$A$3:$A$30,0),1),0)*AF446</f>
        <v>0</v>
      </c>
      <c r="AF446" s="146">
        <f>IFERROR(INDEX(Työkonekanta!$N$3:$N$32,MATCH($A446,Työkonekanta!$A$3:$A$32,0),1),0)</f>
        <v>0</v>
      </c>
      <c r="AG446" s="332">
        <f>I446*INDEX(Muuttujat!$U$5:$U$21,MATCH($C446,Muuttujat!$N$5:$N$21,0),1)</f>
        <v>0</v>
      </c>
      <c r="AH446" s="332">
        <f>J446*INDEX(Muuttujat!$T$5:$T$21,MATCH($C446,Muuttujat!$N$5:$N$21,0),1)</f>
        <v>0</v>
      </c>
      <c r="AI446" s="332">
        <f t="shared" si="138"/>
        <v>0</v>
      </c>
      <c r="AJ446" s="332">
        <f t="shared" si="139"/>
        <v>0</v>
      </c>
      <c r="AK446" s="332">
        <f t="shared" si="148"/>
        <v>0</v>
      </c>
      <c r="AL446" s="332">
        <f t="shared" si="140"/>
        <v>0</v>
      </c>
    </row>
    <row r="447" spans="1:38">
      <c r="A447" s="139">
        <v>25</v>
      </c>
      <c r="B447" s="139">
        <f>IFERROR(INDEX(Työkonekanta!$F$3:$F$27,MATCH('S0b Baseline kasvu'!$A447,Työkonekanta!$A$3:$A$24,0),1),0)</f>
        <v>0</v>
      </c>
      <c r="C447" s="140">
        <v>2033</v>
      </c>
      <c r="D447" s="141" t="str">
        <f>IFERROR(INDEX(Työkonekanta!$D$3:$D$27,MATCH('S0b Baseline kasvu'!$A447,Työkonekanta!$A$3:$A$24,0),1),"undefined")</f>
        <v>undefined</v>
      </c>
      <c r="E447" s="145">
        <f>IFERROR(INDEX(Työkonekanta!$G$3:$G$27,MATCH($A447,Työkonekanta!$A$3:$A$24,0),1)*INDEX(Työkonekanta!$H$3:$H$27,MATCH($A447,Työkonekanta!$A$3:$A$24,0),1)*(1+s0b_kasvu*($C447-2019))*$B447,0)</f>
        <v>0</v>
      </c>
      <c r="F447" s="145">
        <f t="shared" si="132"/>
        <v>0</v>
      </c>
      <c r="G447" s="145">
        <f t="shared" si="141"/>
        <v>0</v>
      </c>
      <c r="H447" s="145">
        <f t="shared" si="142"/>
        <v>0</v>
      </c>
      <c r="I447" s="145">
        <f t="shared" si="133"/>
        <v>0</v>
      </c>
      <c r="J447" s="145">
        <f t="shared" si="134"/>
        <v>0</v>
      </c>
      <c r="K447" s="142" t="str">
        <f t="shared" si="143"/>
        <v>undefined</v>
      </c>
      <c r="L447" s="146">
        <f>IFERROR(INDEX(Työkonekanta!$I$3:$I$27,MATCH('S0b Baseline kasvu'!$A447,Työkonekanta!$A$3:$A$24,0),1)*(I447+J447)*f_adblue,0)</f>
        <v>0</v>
      </c>
      <c r="M447" s="146">
        <f t="shared" si="149"/>
        <v>0</v>
      </c>
      <c r="N447" s="143" t="str">
        <f>IF(tuulisähkö_vuosi&lt;='S0b Baseline kasvu'!C447,"tuulisähkö",ostosähkö_nyt)</f>
        <v>jäännössähkö</v>
      </c>
      <c r="O447" s="147">
        <f>INDEX(Muuttujat!$J$5:$J$21,MATCH($C447,Muuttujat!$H$5:$H$21,0),1)</f>
        <v>60.158234351438509</v>
      </c>
      <c r="P447" s="342">
        <f>1-(INDEX(Muuttujat!$O$5:$O$21,MATCH($C447,Muuttujat!$N$5:$N$21,0),1))</f>
        <v>0.9</v>
      </c>
      <c r="Q447" s="342">
        <f>INDEX(Muuttujat!$O$5:$O$21,MATCH($C447,Muuttujat!$N$5:$N$21,0),1)</f>
        <v>0.1</v>
      </c>
      <c r="R447" s="148">
        <f>INDEX(Muuttujat!$P$5:$P$21,MATCH($C447,Muuttujat!$N$5:$N$21,0),1)</f>
        <v>0.10417875759940039</v>
      </c>
      <c r="S447" s="149">
        <f t="shared" si="135"/>
        <v>0</v>
      </c>
      <c r="T447" s="150">
        <f t="shared" si="136"/>
        <v>0</v>
      </c>
      <c r="U447" s="150">
        <f t="shared" si="137"/>
        <v>0</v>
      </c>
      <c r="V447" s="150">
        <f>IFERROR(INDEX(Työkonekanta!$J$3:$J$27,MATCH($A447,Työkonekanta!$A$3:$A$24,0),1)*$B447*ef_li_ion_akku/1000/1000/INDEX(Työkonekanta!$K$3:$K$27,MATCH($A447,Työkonekanta!$A$3:$A$24,0)),0)</f>
        <v>0</v>
      </c>
      <c r="W447" s="149">
        <f t="shared" si="150"/>
        <v>0</v>
      </c>
      <c r="X447" s="150">
        <f t="shared" si="151"/>
        <v>0</v>
      </c>
      <c r="Y447" s="151">
        <f t="shared" si="152"/>
        <v>0</v>
      </c>
      <c r="Z447" s="152">
        <f t="shared" si="144"/>
        <v>0</v>
      </c>
      <c r="AA447" s="179">
        <f t="shared" si="145"/>
        <v>0</v>
      </c>
      <c r="AB447" s="179">
        <f t="shared" si="146"/>
        <v>0</v>
      </c>
      <c r="AC447" s="180">
        <f t="shared" si="153"/>
        <v>0</v>
      </c>
      <c r="AD447" s="156">
        <f t="shared" si="147"/>
        <v>0</v>
      </c>
      <c r="AE447" s="146">
        <f>IFERROR(INDEX(Työkonekanta!$L$3:$L$30,MATCH($A447,Työkonekanta!$A$3:$A$30,0),1),0)*AF447</f>
        <v>0</v>
      </c>
      <c r="AF447" s="146">
        <f>IFERROR(INDEX(Työkonekanta!$N$3:$N$32,MATCH($A447,Työkonekanta!$A$3:$A$32,0),1),0)</f>
        <v>0</v>
      </c>
      <c r="AG447" s="332">
        <f>I447*INDEX(Muuttujat!$U$5:$U$21,MATCH($C447,Muuttujat!$N$5:$N$21,0),1)</f>
        <v>0</v>
      </c>
      <c r="AH447" s="332">
        <f>J447*INDEX(Muuttujat!$T$5:$T$21,MATCH($C447,Muuttujat!$N$5:$N$21,0),1)</f>
        <v>0</v>
      </c>
      <c r="AI447" s="332">
        <f t="shared" si="138"/>
        <v>0</v>
      </c>
      <c r="AJ447" s="332">
        <f t="shared" si="139"/>
        <v>0</v>
      </c>
      <c r="AK447" s="332">
        <f t="shared" si="148"/>
        <v>0</v>
      </c>
      <c r="AL447" s="332">
        <f t="shared" si="140"/>
        <v>0</v>
      </c>
    </row>
    <row r="448" spans="1:38">
      <c r="A448" s="139">
        <v>26</v>
      </c>
      <c r="B448" s="139">
        <f>IFERROR(INDEX(Työkonekanta!$F$3:$F$27,MATCH('S0b Baseline kasvu'!$A448,Työkonekanta!$A$3:$A$24,0),1),0)</f>
        <v>0</v>
      </c>
      <c r="C448" s="140">
        <v>2033</v>
      </c>
      <c r="D448" s="141" t="str">
        <f>IFERROR(INDEX(Työkonekanta!$D$3:$D$27,MATCH('S0b Baseline kasvu'!$A448,Työkonekanta!$A$3:$A$24,0),1),"undefined")</f>
        <v>undefined</v>
      </c>
      <c r="E448" s="145">
        <f>IFERROR(INDEX(Työkonekanta!$G$3:$G$27,MATCH($A448,Työkonekanta!$A$3:$A$24,0),1)*INDEX(Työkonekanta!$H$3:$H$27,MATCH($A448,Työkonekanta!$A$3:$A$24,0),1)*(1+s0b_kasvu*($C448-2019))*$B448,0)</f>
        <v>0</v>
      </c>
      <c r="F448" s="145">
        <f t="shared" si="132"/>
        <v>0</v>
      </c>
      <c r="G448" s="145">
        <f t="shared" si="141"/>
        <v>0</v>
      </c>
      <c r="H448" s="145">
        <f t="shared" si="142"/>
        <v>0</v>
      </c>
      <c r="I448" s="145">
        <f t="shared" si="133"/>
        <v>0</v>
      </c>
      <c r="J448" s="145">
        <f t="shared" si="134"/>
        <v>0</v>
      </c>
      <c r="K448" s="142" t="str">
        <f t="shared" si="143"/>
        <v>undefined</v>
      </c>
      <c r="L448" s="146">
        <f>IFERROR(INDEX(Työkonekanta!$I$3:$I$27,MATCH('S0b Baseline kasvu'!$A448,Työkonekanta!$A$3:$A$24,0),1)*(I448+J448)*f_adblue,0)</f>
        <v>0</v>
      </c>
      <c r="M448" s="146">
        <f t="shared" si="149"/>
        <v>0</v>
      </c>
      <c r="N448" s="143" t="str">
        <f>IF(tuulisähkö_vuosi&lt;='S0b Baseline kasvu'!C448,"tuulisähkö",ostosähkö_nyt)</f>
        <v>jäännössähkö</v>
      </c>
      <c r="O448" s="147">
        <f>INDEX(Muuttujat!$J$5:$J$21,MATCH($C448,Muuttujat!$H$5:$H$21,0),1)</f>
        <v>60.158234351438509</v>
      </c>
      <c r="P448" s="342">
        <f>1-(INDEX(Muuttujat!$O$5:$O$21,MATCH($C448,Muuttujat!$N$5:$N$21,0),1))</f>
        <v>0.9</v>
      </c>
      <c r="Q448" s="342">
        <f>INDEX(Muuttujat!$O$5:$O$21,MATCH($C448,Muuttujat!$N$5:$N$21,0),1)</f>
        <v>0.1</v>
      </c>
      <c r="R448" s="148">
        <f>INDEX(Muuttujat!$P$5:$P$21,MATCH($C448,Muuttujat!$N$5:$N$21,0),1)</f>
        <v>0.10417875759940039</v>
      </c>
      <c r="S448" s="149">
        <f t="shared" si="135"/>
        <v>0</v>
      </c>
      <c r="T448" s="150">
        <f t="shared" si="136"/>
        <v>0</v>
      </c>
      <c r="U448" s="150">
        <f t="shared" si="137"/>
        <v>0</v>
      </c>
      <c r="V448" s="150">
        <f>IFERROR(INDEX(Työkonekanta!$J$3:$J$27,MATCH($A448,Työkonekanta!$A$3:$A$24,0),1)*$B448*ef_li_ion_akku/1000/1000/INDEX(Työkonekanta!$K$3:$K$27,MATCH($A448,Työkonekanta!$A$3:$A$24,0)),0)</f>
        <v>0</v>
      </c>
      <c r="W448" s="149">
        <f t="shared" si="150"/>
        <v>0</v>
      </c>
      <c r="X448" s="150">
        <f t="shared" si="151"/>
        <v>0</v>
      </c>
      <c r="Y448" s="151">
        <f t="shared" si="152"/>
        <v>0</v>
      </c>
      <c r="Z448" s="152">
        <f t="shared" si="144"/>
        <v>0</v>
      </c>
      <c r="AA448" s="179">
        <f t="shared" si="145"/>
        <v>0</v>
      </c>
      <c r="AB448" s="179">
        <f t="shared" si="146"/>
        <v>0</v>
      </c>
      <c r="AC448" s="180">
        <f t="shared" si="153"/>
        <v>0</v>
      </c>
      <c r="AD448" s="156">
        <f t="shared" si="147"/>
        <v>0</v>
      </c>
      <c r="AE448" s="146">
        <f>IFERROR(INDEX(Työkonekanta!$L$3:$L$30,MATCH($A448,Työkonekanta!$A$3:$A$30,0),1),0)*AF448</f>
        <v>0</v>
      </c>
      <c r="AF448" s="146">
        <f>IFERROR(INDEX(Työkonekanta!$N$3:$N$32,MATCH($A448,Työkonekanta!$A$3:$A$32,0),1),0)</f>
        <v>0</v>
      </c>
      <c r="AG448" s="332">
        <f>I448*INDEX(Muuttujat!$U$5:$U$21,MATCH($C448,Muuttujat!$N$5:$N$21,0),1)</f>
        <v>0</v>
      </c>
      <c r="AH448" s="332">
        <f>J448*INDEX(Muuttujat!$T$5:$T$21,MATCH($C448,Muuttujat!$N$5:$N$21,0),1)</f>
        <v>0</v>
      </c>
      <c r="AI448" s="332">
        <f t="shared" si="138"/>
        <v>0</v>
      </c>
      <c r="AJ448" s="332">
        <f t="shared" si="139"/>
        <v>0</v>
      </c>
      <c r="AK448" s="332">
        <f t="shared" si="148"/>
        <v>0</v>
      </c>
      <c r="AL448" s="332">
        <f t="shared" si="140"/>
        <v>0</v>
      </c>
    </row>
    <row r="449" spans="1:38">
      <c r="A449" s="139">
        <v>27</v>
      </c>
      <c r="B449" s="139">
        <f>IFERROR(INDEX(Työkonekanta!$F$3:$F$27,MATCH('S0b Baseline kasvu'!$A449,Työkonekanta!$A$3:$A$24,0),1),0)</f>
        <v>0</v>
      </c>
      <c r="C449" s="140">
        <v>2033</v>
      </c>
      <c r="D449" s="141" t="str">
        <f>IFERROR(INDEX(Työkonekanta!$D$3:$D$27,MATCH('S0b Baseline kasvu'!$A449,Työkonekanta!$A$3:$A$24,0),1),"undefined")</f>
        <v>undefined</v>
      </c>
      <c r="E449" s="145">
        <f>IFERROR(INDEX(Työkonekanta!$G$3:$G$27,MATCH($A449,Työkonekanta!$A$3:$A$24,0),1)*INDEX(Työkonekanta!$H$3:$H$27,MATCH($A449,Työkonekanta!$A$3:$A$24,0),1)*(1+s0b_kasvu*($C449-2019))*$B449,0)</f>
        <v>0</v>
      </c>
      <c r="F449" s="145">
        <f t="shared" si="132"/>
        <v>0</v>
      </c>
      <c r="G449" s="145">
        <f t="shared" si="141"/>
        <v>0</v>
      </c>
      <c r="H449" s="145">
        <f t="shared" si="142"/>
        <v>0</v>
      </c>
      <c r="I449" s="145">
        <f t="shared" si="133"/>
        <v>0</v>
      </c>
      <c r="J449" s="145">
        <f t="shared" si="134"/>
        <v>0</v>
      </c>
      <c r="K449" s="142" t="str">
        <f t="shared" si="143"/>
        <v>undefined</v>
      </c>
      <c r="L449" s="146">
        <f>IFERROR(INDEX(Työkonekanta!$I$3:$I$27,MATCH('S0b Baseline kasvu'!$A449,Työkonekanta!$A$3:$A$24,0),1)*(I449+J449)*f_adblue,0)</f>
        <v>0</v>
      </c>
      <c r="M449" s="146">
        <f t="shared" si="149"/>
        <v>0</v>
      </c>
      <c r="N449" s="143" t="str">
        <f>IF(tuulisähkö_vuosi&lt;='S0b Baseline kasvu'!C449,"tuulisähkö",ostosähkö_nyt)</f>
        <v>jäännössähkö</v>
      </c>
      <c r="O449" s="147">
        <f>INDEX(Muuttujat!$J$5:$J$21,MATCH($C449,Muuttujat!$H$5:$H$21,0),1)</f>
        <v>60.158234351438509</v>
      </c>
      <c r="P449" s="342">
        <f>1-(INDEX(Muuttujat!$O$5:$O$21,MATCH($C449,Muuttujat!$N$5:$N$21,0),1))</f>
        <v>0.9</v>
      </c>
      <c r="Q449" s="342">
        <f>INDEX(Muuttujat!$O$5:$O$21,MATCH($C449,Muuttujat!$N$5:$N$21,0),1)</f>
        <v>0.1</v>
      </c>
      <c r="R449" s="148">
        <f>INDEX(Muuttujat!$P$5:$P$21,MATCH($C449,Muuttujat!$N$5:$N$21,0),1)</f>
        <v>0.10417875759940039</v>
      </c>
      <c r="S449" s="149">
        <f t="shared" si="135"/>
        <v>0</v>
      </c>
      <c r="T449" s="150">
        <f t="shared" si="136"/>
        <v>0</v>
      </c>
      <c r="U449" s="150">
        <f t="shared" si="137"/>
        <v>0</v>
      </c>
      <c r="V449" s="150">
        <f>IFERROR(INDEX(Työkonekanta!$J$3:$J$27,MATCH($A449,Työkonekanta!$A$3:$A$24,0),1)*$B449*ef_li_ion_akku/1000/1000/INDEX(Työkonekanta!$K$3:$K$27,MATCH($A449,Työkonekanta!$A$3:$A$24,0)),0)</f>
        <v>0</v>
      </c>
      <c r="W449" s="149">
        <f t="shared" si="150"/>
        <v>0</v>
      </c>
      <c r="X449" s="150">
        <f t="shared" si="151"/>
        <v>0</v>
      </c>
      <c r="Y449" s="151">
        <f t="shared" si="152"/>
        <v>0</v>
      </c>
      <c r="Z449" s="152">
        <f t="shared" si="144"/>
        <v>0</v>
      </c>
      <c r="AA449" s="179">
        <f t="shared" si="145"/>
        <v>0</v>
      </c>
      <c r="AB449" s="179">
        <f t="shared" si="146"/>
        <v>0</v>
      </c>
      <c r="AC449" s="180">
        <f t="shared" si="153"/>
        <v>0</v>
      </c>
      <c r="AD449" s="156">
        <f t="shared" si="147"/>
        <v>0</v>
      </c>
      <c r="AE449" s="146">
        <f>IFERROR(INDEX(Työkonekanta!$L$3:$L$30,MATCH($A449,Työkonekanta!$A$3:$A$30,0),1),0)*AF449</f>
        <v>0</v>
      </c>
      <c r="AF449" s="146">
        <f>IFERROR(INDEX(Työkonekanta!$N$3:$N$32,MATCH($A449,Työkonekanta!$A$3:$A$32,0),1),0)</f>
        <v>0</v>
      </c>
      <c r="AG449" s="332">
        <f>I449*INDEX(Muuttujat!$U$5:$U$21,MATCH($C449,Muuttujat!$N$5:$N$21,0),1)</f>
        <v>0</v>
      </c>
      <c r="AH449" s="332">
        <f>J449*INDEX(Muuttujat!$T$5:$T$21,MATCH($C449,Muuttujat!$N$5:$N$21,0),1)</f>
        <v>0</v>
      </c>
      <c r="AI449" s="332">
        <f t="shared" si="138"/>
        <v>0</v>
      </c>
      <c r="AJ449" s="332">
        <f t="shared" si="139"/>
        <v>0</v>
      </c>
      <c r="AK449" s="332">
        <f t="shared" si="148"/>
        <v>0</v>
      </c>
      <c r="AL449" s="332">
        <f t="shared" si="140"/>
        <v>0</v>
      </c>
    </row>
    <row r="450" spans="1:38">
      <c r="A450" s="139">
        <v>28</v>
      </c>
      <c r="B450" s="139">
        <f>IFERROR(INDEX(Työkonekanta!$F$3:$F$27,MATCH('S0b Baseline kasvu'!$A450,Työkonekanta!$A$3:$A$24,0),1),0)</f>
        <v>0</v>
      </c>
      <c r="C450" s="140">
        <v>2033</v>
      </c>
      <c r="D450" s="141" t="str">
        <f>IFERROR(INDEX(Työkonekanta!$D$3:$D$27,MATCH('S0b Baseline kasvu'!$A450,Työkonekanta!$A$3:$A$24,0),1),"undefined")</f>
        <v>undefined</v>
      </c>
      <c r="E450" s="145">
        <f>IFERROR(INDEX(Työkonekanta!$G$3:$G$27,MATCH($A450,Työkonekanta!$A$3:$A$24,0),1)*INDEX(Työkonekanta!$H$3:$H$27,MATCH($A450,Työkonekanta!$A$3:$A$24,0),1)*(1+s0b_kasvu*($C450-2019))*$B450,0)</f>
        <v>0</v>
      </c>
      <c r="F450" s="145">
        <f t="shared" si="132"/>
        <v>0</v>
      </c>
      <c r="G450" s="145">
        <f t="shared" si="141"/>
        <v>0</v>
      </c>
      <c r="H450" s="145">
        <f t="shared" si="142"/>
        <v>0</v>
      </c>
      <c r="I450" s="145">
        <f t="shared" si="133"/>
        <v>0</v>
      </c>
      <c r="J450" s="145">
        <f t="shared" si="134"/>
        <v>0</v>
      </c>
      <c r="K450" s="142" t="str">
        <f t="shared" si="143"/>
        <v>undefined</v>
      </c>
      <c r="L450" s="146">
        <f>IFERROR(INDEX(Työkonekanta!$I$3:$I$27,MATCH('S0b Baseline kasvu'!$A450,Työkonekanta!$A$3:$A$24,0),1)*(I450+J450)*f_adblue,0)</f>
        <v>0</v>
      </c>
      <c r="M450" s="146">
        <f t="shared" si="149"/>
        <v>0</v>
      </c>
      <c r="N450" s="143" t="str">
        <f>IF(tuulisähkö_vuosi&lt;='S0b Baseline kasvu'!C450,"tuulisähkö",ostosähkö_nyt)</f>
        <v>jäännössähkö</v>
      </c>
      <c r="O450" s="147">
        <f>INDEX(Muuttujat!$J$5:$J$21,MATCH($C450,Muuttujat!$H$5:$H$21,0),1)</f>
        <v>60.158234351438509</v>
      </c>
      <c r="P450" s="342">
        <f>1-(INDEX(Muuttujat!$O$5:$O$21,MATCH($C450,Muuttujat!$N$5:$N$21,0),1))</f>
        <v>0.9</v>
      </c>
      <c r="Q450" s="342">
        <f>INDEX(Muuttujat!$O$5:$O$21,MATCH($C450,Muuttujat!$N$5:$N$21,0),1)</f>
        <v>0.1</v>
      </c>
      <c r="R450" s="148">
        <f>INDEX(Muuttujat!$P$5:$P$21,MATCH($C450,Muuttujat!$N$5:$N$21,0),1)</f>
        <v>0.10417875759940039</v>
      </c>
      <c r="S450" s="149">
        <f t="shared" si="135"/>
        <v>0</v>
      </c>
      <c r="T450" s="150">
        <f t="shared" si="136"/>
        <v>0</v>
      </c>
      <c r="U450" s="150">
        <f t="shared" si="137"/>
        <v>0</v>
      </c>
      <c r="V450" s="150">
        <f>IFERROR(INDEX(Työkonekanta!$J$3:$J$27,MATCH($A450,Työkonekanta!$A$3:$A$24,0),1)*$B450*ef_li_ion_akku/1000/1000/INDEX(Työkonekanta!$K$3:$K$27,MATCH($A450,Työkonekanta!$A$3:$A$24,0)),0)</f>
        <v>0</v>
      </c>
      <c r="W450" s="149">
        <f t="shared" si="150"/>
        <v>0</v>
      </c>
      <c r="X450" s="150">
        <f t="shared" si="151"/>
        <v>0</v>
      </c>
      <c r="Y450" s="151">
        <f t="shared" si="152"/>
        <v>0</v>
      </c>
      <c r="Z450" s="152">
        <f t="shared" si="144"/>
        <v>0</v>
      </c>
      <c r="AA450" s="179">
        <f t="shared" si="145"/>
        <v>0</v>
      </c>
      <c r="AB450" s="179">
        <f t="shared" si="146"/>
        <v>0</v>
      </c>
      <c r="AC450" s="180">
        <f t="shared" si="153"/>
        <v>0</v>
      </c>
      <c r="AD450" s="156">
        <f t="shared" si="147"/>
        <v>0</v>
      </c>
      <c r="AE450" s="146">
        <f>IFERROR(INDEX(Työkonekanta!$L$3:$L$30,MATCH($A450,Työkonekanta!$A$3:$A$30,0),1),0)*AF450</f>
        <v>0</v>
      </c>
      <c r="AF450" s="146">
        <f>IFERROR(INDEX(Työkonekanta!$N$3:$N$32,MATCH($A450,Työkonekanta!$A$3:$A$32,0),1),0)</f>
        <v>0</v>
      </c>
      <c r="AG450" s="332">
        <f>I450*INDEX(Muuttujat!$U$5:$U$21,MATCH($C450,Muuttujat!$N$5:$N$21,0),1)</f>
        <v>0</v>
      </c>
      <c r="AH450" s="332">
        <f>J450*INDEX(Muuttujat!$T$5:$T$21,MATCH($C450,Muuttujat!$N$5:$N$21,0),1)</f>
        <v>0</v>
      </c>
      <c r="AI450" s="332">
        <f t="shared" si="138"/>
        <v>0</v>
      </c>
      <c r="AJ450" s="332">
        <f t="shared" si="139"/>
        <v>0</v>
      </c>
      <c r="AK450" s="332">
        <f t="shared" si="148"/>
        <v>0</v>
      </c>
      <c r="AL450" s="332">
        <f t="shared" si="140"/>
        <v>0</v>
      </c>
    </row>
    <row r="451" spans="1:38">
      <c r="A451" s="139">
        <v>29</v>
      </c>
      <c r="B451" s="139">
        <f>IFERROR(INDEX(Työkonekanta!$F$3:$F$27,MATCH('S0b Baseline kasvu'!$A451,Työkonekanta!$A$3:$A$24,0),1),0)</f>
        <v>0</v>
      </c>
      <c r="C451" s="140">
        <v>2033</v>
      </c>
      <c r="D451" s="141" t="str">
        <f>IFERROR(INDEX(Työkonekanta!$D$3:$D$27,MATCH('S0b Baseline kasvu'!$A451,Työkonekanta!$A$3:$A$24,0),1),"undefined")</f>
        <v>undefined</v>
      </c>
      <c r="E451" s="145">
        <f>IFERROR(INDEX(Työkonekanta!$G$3:$G$27,MATCH($A451,Työkonekanta!$A$3:$A$24,0),1)*INDEX(Työkonekanta!$H$3:$H$27,MATCH($A451,Työkonekanta!$A$3:$A$24,0),1)*(1+s0b_kasvu*($C451-2019))*$B451,0)</f>
        <v>0</v>
      </c>
      <c r="F451" s="145">
        <f t="shared" ref="F451:F514" si="154">IF(D451="pom",$E451*hv_pom,0)</f>
        <v>0</v>
      </c>
      <c r="G451" s="145">
        <f t="shared" si="141"/>
        <v>0</v>
      </c>
      <c r="H451" s="145">
        <f t="shared" si="142"/>
        <v>0</v>
      </c>
      <c r="I451" s="145">
        <f t="shared" ref="I451:I512" si="155">$G451/hv_pom</f>
        <v>0</v>
      </c>
      <c r="J451" s="145">
        <f t="shared" ref="J451:J512" si="156">$H451/hv_biodies</f>
        <v>0</v>
      </c>
      <c r="K451" s="142" t="str">
        <f t="shared" si="143"/>
        <v>undefined</v>
      </c>
      <c r="L451" s="146">
        <f>IFERROR(INDEX(Työkonekanta!$I$3:$I$27,MATCH('S0b Baseline kasvu'!$A451,Työkonekanta!$A$3:$A$24,0),1)*(I451+J451)*f_adblue,0)</f>
        <v>0</v>
      </c>
      <c r="M451" s="146">
        <f t="shared" si="149"/>
        <v>0</v>
      </c>
      <c r="N451" s="143" t="str">
        <f>IF(tuulisähkö_vuosi&lt;='S0b Baseline kasvu'!C451,"tuulisähkö",ostosähkö_nyt)</f>
        <v>jäännössähkö</v>
      </c>
      <c r="O451" s="147">
        <f>INDEX(Muuttujat!$J$5:$J$21,MATCH($C451,Muuttujat!$H$5:$H$21,0),1)</f>
        <v>60.158234351438509</v>
      </c>
      <c r="P451" s="342">
        <f>1-(INDEX(Muuttujat!$O$5:$O$21,MATCH($C451,Muuttujat!$N$5:$N$21,0),1))</f>
        <v>0.9</v>
      </c>
      <c r="Q451" s="342">
        <f>INDEX(Muuttujat!$O$5:$O$21,MATCH($C451,Muuttujat!$N$5:$N$21,0),1)</f>
        <v>0.1</v>
      </c>
      <c r="R451" s="148">
        <f>INDEX(Muuttujat!$P$5:$P$21,MATCH($C451,Muuttujat!$N$5:$N$21,0),1)</f>
        <v>0.10417875759940039</v>
      </c>
      <c r="S451" s="149">
        <f t="shared" ref="S451:S512" si="157">wtt_ef_e_co2_dies*$G451/1000/1000</f>
        <v>0</v>
      </c>
      <c r="T451" s="150">
        <f t="shared" ref="T451:T512" si="158">wtt_ef_e_co2_biodies*$H451/1000/1000</f>
        <v>0</v>
      </c>
      <c r="U451" s="150">
        <f t="shared" ref="U451:U512" si="159">IF(N451="jäännössähkö",$O451,IF(N451="tuulisähkö",wtt_ef_e_co2_el_wind,0))*$M451/1000/1000</f>
        <v>0</v>
      </c>
      <c r="V451" s="150">
        <f>IFERROR(INDEX(Työkonekanta!$J$3:$J$27,MATCH($A451,Työkonekanta!$A$3:$A$24,0),1)*$B451*ef_li_ion_akku/1000/1000/INDEX(Työkonekanta!$K$3:$K$27,MATCH($A451,Työkonekanta!$A$3:$A$24,0)),0)</f>
        <v>0</v>
      </c>
      <c r="W451" s="149">
        <f t="shared" si="150"/>
        <v>0</v>
      </c>
      <c r="X451" s="150">
        <f t="shared" si="151"/>
        <v>0</v>
      </c>
      <c r="Y451" s="151">
        <f t="shared" si="152"/>
        <v>0</v>
      </c>
      <c r="Z451" s="152">
        <f t="shared" si="144"/>
        <v>0</v>
      </c>
      <c r="AA451" s="179">
        <f t="shared" si="145"/>
        <v>0</v>
      </c>
      <c r="AB451" s="179">
        <f t="shared" si="146"/>
        <v>0</v>
      </c>
      <c r="AC451" s="180">
        <f t="shared" si="153"/>
        <v>0</v>
      </c>
      <c r="AD451" s="156">
        <f t="shared" si="147"/>
        <v>0</v>
      </c>
      <c r="AE451" s="146">
        <f>IFERROR(INDEX(Työkonekanta!$L$3:$L$30,MATCH($A451,Työkonekanta!$A$3:$A$30,0),1),0)*AF451</f>
        <v>0</v>
      </c>
      <c r="AF451" s="146">
        <f>IFERROR(INDEX(Työkonekanta!$N$3:$N$32,MATCH($A451,Työkonekanta!$A$3:$A$32,0),1),0)</f>
        <v>0</v>
      </c>
      <c r="AG451" s="332">
        <f>I451*INDEX(Muuttujat!$U$5:$U$21,MATCH($C451,Muuttujat!$N$5:$N$21,0),1)</f>
        <v>0</v>
      </c>
      <c r="AH451" s="332">
        <f>J451*INDEX(Muuttujat!$T$5:$T$21,MATCH($C451,Muuttujat!$N$5:$N$21,0),1)</f>
        <v>0</v>
      </c>
      <c r="AI451" s="332">
        <f t="shared" ref="AI451:AI512" si="160">L451*hinta_adblue</f>
        <v>0</v>
      </c>
      <c r="AJ451" s="332">
        <f t="shared" ref="AJ451:AJ512" si="161">M451/conv_kwh_mj*hinta_sähkö3</f>
        <v>0</v>
      </c>
      <c r="AK451" s="332">
        <f t="shared" si="148"/>
        <v>0</v>
      </c>
      <c r="AL451" s="332">
        <f t="shared" ref="AL451:AL512" si="162">IFERROR(AK451/B451,0)</f>
        <v>0</v>
      </c>
    </row>
    <row r="452" spans="1:38">
      <c r="A452" s="139">
        <v>30</v>
      </c>
      <c r="B452" s="139">
        <f>IFERROR(INDEX(Työkonekanta!$F$3:$F$27,MATCH('S0b Baseline kasvu'!$A452,Työkonekanta!$A$3:$A$24,0),1),0)</f>
        <v>0</v>
      </c>
      <c r="C452" s="140">
        <v>2033</v>
      </c>
      <c r="D452" s="141" t="str">
        <f>IFERROR(INDEX(Työkonekanta!$D$3:$D$27,MATCH('S0b Baseline kasvu'!$A452,Työkonekanta!$A$3:$A$24,0),1),"undefined")</f>
        <v>undefined</v>
      </c>
      <c r="E452" s="145">
        <f>IFERROR(INDEX(Työkonekanta!$G$3:$G$27,MATCH($A452,Työkonekanta!$A$3:$A$24,0),1)*INDEX(Työkonekanta!$H$3:$H$27,MATCH($A452,Työkonekanta!$A$3:$A$24,0),1)*(1+s0b_kasvu*($C452-2019))*$B452,0)</f>
        <v>0</v>
      </c>
      <c r="F452" s="145">
        <f t="shared" si="154"/>
        <v>0</v>
      </c>
      <c r="G452" s="145">
        <f t="shared" ref="G452:G515" si="163">$F452*$P452</f>
        <v>0</v>
      </c>
      <c r="H452" s="145">
        <f t="shared" ref="H452:H515" si="164">$F452*$Q452</f>
        <v>0</v>
      </c>
      <c r="I452" s="145">
        <f t="shared" si="155"/>
        <v>0</v>
      </c>
      <c r="J452" s="145">
        <f t="shared" si="156"/>
        <v>0</v>
      </c>
      <c r="K452" s="142" t="str">
        <f t="shared" ref="K452:K512" si="165">IF($D452="sähkö","kWh",IF($D452="pom","l","undefined"))</f>
        <v>undefined</v>
      </c>
      <c r="L452" s="146">
        <f>IFERROR(INDEX(Työkonekanta!$I$3:$I$27,MATCH('S0b Baseline kasvu'!$A452,Työkonekanta!$A$3:$A$24,0),1)*(I452+J452)*f_adblue,0)</f>
        <v>0</v>
      </c>
      <c r="M452" s="146">
        <f t="shared" si="149"/>
        <v>0</v>
      </c>
      <c r="N452" s="143" t="str">
        <f>IF(tuulisähkö_vuosi&lt;='S0b Baseline kasvu'!C452,"tuulisähkö",ostosähkö_nyt)</f>
        <v>jäännössähkö</v>
      </c>
      <c r="O452" s="147">
        <f>INDEX(Muuttujat!$J$5:$J$21,MATCH($C452,Muuttujat!$H$5:$H$21,0),1)</f>
        <v>60.158234351438509</v>
      </c>
      <c r="P452" s="342">
        <f>1-(INDEX(Muuttujat!$O$5:$O$21,MATCH($C452,Muuttujat!$N$5:$N$21,0),1))</f>
        <v>0.9</v>
      </c>
      <c r="Q452" s="342">
        <f>INDEX(Muuttujat!$O$5:$O$21,MATCH($C452,Muuttujat!$N$5:$N$21,0),1)</f>
        <v>0.1</v>
      </c>
      <c r="R452" s="148">
        <f>INDEX(Muuttujat!$P$5:$P$21,MATCH($C452,Muuttujat!$N$5:$N$21,0),1)</f>
        <v>0.10417875759940039</v>
      </c>
      <c r="S452" s="149">
        <f t="shared" si="157"/>
        <v>0</v>
      </c>
      <c r="T452" s="150">
        <f t="shared" si="158"/>
        <v>0</v>
      </c>
      <c r="U452" s="150">
        <f t="shared" si="159"/>
        <v>0</v>
      </c>
      <c r="V452" s="150">
        <f>IFERROR(INDEX(Työkonekanta!$J$3:$J$27,MATCH($A452,Työkonekanta!$A$3:$A$24,0),1)*$B452*ef_li_ion_akku/1000/1000/INDEX(Työkonekanta!$K$3:$K$27,MATCH($A452,Työkonekanta!$A$3:$A$24,0)),0)</f>
        <v>0</v>
      </c>
      <c r="W452" s="149">
        <f t="shared" si="150"/>
        <v>0</v>
      </c>
      <c r="X452" s="150">
        <f t="shared" si="151"/>
        <v>0</v>
      </c>
      <c r="Y452" s="151">
        <f t="shared" si="152"/>
        <v>0</v>
      </c>
      <c r="Z452" s="152">
        <f t="shared" ref="Z452:Z512" si="166">SUM($S452:$V452)</f>
        <v>0</v>
      </c>
      <c r="AA452" s="179">
        <f t="shared" ref="AA452:AA512" si="167">$W452+$Y452</f>
        <v>0</v>
      </c>
      <c r="AB452" s="179">
        <f t="shared" ref="AB452:AB512" si="168">SUM($W452:$Y452)</f>
        <v>0</v>
      </c>
      <c r="AC452" s="180">
        <f t="shared" si="153"/>
        <v>0</v>
      </c>
      <c r="AD452" s="156">
        <f t="shared" ref="AD452:AD512" si="169">$Z452+$AB452</f>
        <v>0</v>
      </c>
      <c r="AE452" s="146">
        <f>IFERROR(INDEX(Työkonekanta!$L$3:$L$30,MATCH($A452,Työkonekanta!$A$3:$A$30,0),1),0)*AF452</f>
        <v>0</v>
      </c>
      <c r="AF452" s="146">
        <f>IFERROR(INDEX(Työkonekanta!$N$3:$N$32,MATCH($A452,Työkonekanta!$A$3:$A$32,0),1),0)</f>
        <v>0</v>
      </c>
      <c r="AG452" s="332">
        <f>I452*INDEX(Muuttujat!$U$5:$U$21,MATCH($C452,Muuttujat!$N$5:$N$21,0),1)</f>
        <v>0</v>
      </c>
      <c r="AH452" s="332">
        <f>J452*INDEX(Muuttujat!$T$5:$T$21,MATCH($C452,Muuttujat!$N$5:$N$21,0),1)</f>
        <v>0</v>
      </c>
      <c r="AI452" s="332">
        <f t="shared" si="160"/>
        <v>0</v>
      </c>
      <c r="AJ452" s="332">
        <f t="shared" si="161"/>
        <v>0</v>
      </c>
      <c r="AK452" s="332">
        <f t="shared" ref="AK452:AK512" si="170">SUM(AG452:AJ452)</f>
        <v>0</v>
      </c>
      <c r="AL452" s="332">
        <f t="shared" si="162"/>
        <v>0</v>
      </c>
    </row>
    <row r="453" spans="1:38">
      <c r="A453" s="139">
        <v>1</v>
      </c>
      <c r="B453" s="139">
        <f>IFERROR(INDEX(Työkonekanta!$F$3:$F$27,MATCH('S0b Baseline kasvu'!$A453,Työkonekanta!$A$3:$A$24,0),1),0)</f>
        <v>1</v>
      </c>
      <c r="C453" s="140">
        <v>2034</v>
      </c>
      <c r="D453" s="141" t="str">
        <f>IFERROR(INDEX(Työkonekanta!$D$3:$D$27,MATCH('S0b Baseline kasvu'!$A453,Työkonekanta!$A$3:$A$24,0),1),"undefined")</f>
        <v>pom</v>
      </c>
      <c r="E453" s="145">
        <f>IFERROR(INDEX(Työkonekanta!$G$3:$G$27,MATCH($A453,Työkonekanta!$A$3:$A$24,0),1)*INDEX(Työkonekanta!$H$3:$H$27,MATCH($A453,Työkonekanta!$A$3:$A$24,0),1)*(1+s0b_kasvu*($C453-2019))*$B453,0)</f>
        <v>11500</v>
      </c>
      <c r="F453" s="145">
        <f t="shared" si="154"/>
        <v>412850</v>
      </c>
      <c r="G453" s="145">
        <f t="shared" si="163"/>
        <v>371565</v>
      </c>
      <c r="H453" s="145">
        <f t="shared" si="164"/>
        <v>41285</v>
      </c>
      <c r="I453" s="145">
        <f t="shared" si="155"/>
        <v>10350</v>
      </c>
      <c r="J453" s="145">
        <f t="shared" si="156"/>
        <v>1203.6443148688047</v>
      </c>
      <c r="K453" s="142" t="str">
        <f t="shared" si="165"/>
        <v>l</v>
      </c>
      <c r="L453" s="146">
        <f>IFERROR(INDEX(Työkonekanta!$I$3:$I$27,MATCH('S0b Baseline kasvu'!$A453,Työkonekanta!$A$3:$A$24,0),1)*(I453+J453)*f_adblue,0)</f>
        <v>577.68221574344022</v>
      </c>
      <c r="M453" s="146">
        <f t="shared" si="149"/>
        <v>0</v>
      </c>
      <c r="N453" s="143" t="str">
        <f>IF(tuulisähkö_vuosi&lt;='S0b Baseline kasvu'!C453,"tuulisähkö",ostosähkö_nyt)</f>
        <v>jäännössähkö</v>
      </c>
      <c r="O453" s="147">
        <f>INDEX(Muuttujat!$J$5:$J$21,MATCH($C453,Muuttujat!$H$5:$H$21,0),1)</f>
        <v>59.556652007924122</v>
      </c>
      <c r="P453" s="342">
        <f>1-(INDEX(Muuttujat!$O$5:$O$21,MATCH($C453,Muuttujat!$N$5:$N$21,0),1))</f>
        <v>0.9</v>
      </c>
      <c r="Q453" s="342">
        <f>INDEX(Muuttujat!$O$5:$O$21,MATCH($C453,Muuttujat!$N$5:$N$21,0),1)</f>
        <v>0.1</v>
      </c>
      <c r="R453" s="148">
        <f>INDEX(Muuttujat!$P$5:$P$21,MATCH($C453,Muuttujat!$N$5:$N$21,0),1)</f>
        <v>0.10417875759940039</v>
      </c>
      <c r="S453" s="149">
        <f t="shared" si="157"/>
        <v>7.0225784999999989</v>
      </c>
      <c r="T453" s="150">
        <f t="shared" si="158"/>
        <v>2.576184</v>
      </c>
      <c r="U453" s="150">
        <f t="shared" si="159"/>
        <v>0</v>
      </c>
      <c r="V453" s="150">
        <f>IFERROR(INDEX(Työkonekanta!$J$3:$J$27,MATCH($A453,Työkonekanta!$A$3:$A$24,0),1)*$B453*ef_li_ion_akku/1000/1000/INDEX(Työkonekanta!$K$3:$K$27,MATCH($A453,Työkonekanta!$A$3:$A$24,0)),0)</f>
        <v>0</v>
      </c>
      <c r="W453" s="149">
        <f t="shared" si="150"/>
        <v>27.424564001010001</v>
      </c>
      <c r="X453" s="150">
        <f t="shared" si="151"/>
        <v>0.36540750900000002</v>
      </c>
      <c r="Y453" s="151">
        <f t="shared" si="152"/>
        <v>0.15019737609329448</v>
      </c>
      <c r="Z453" s="152">
        <f t="shared" si="166"/>
        <v>9.5987624999999994</v>
      </c>
      <c r="AA453" s="179">
        <f t="shared" si="167"/>
        <v>27.574761377103297</v>
      </c>
      <c r="AB453" s="179">
        <f t="shared" si="168"/>
        <v>27.940168886103297</v>
      </c>
      <c r="AC453" s="180">
        <f t="shared" si="153"/>
        <v>37.173523877103293</v>
      </c>
      <c r="AD453" s="156">
        <f t="shared" si="169"/>
        <v>37.5389313861033</v>
      </c>
      <c r="AE453" s="146">
        <f>IFERROR(INDEX(Työkonekanta!$L$3:$L$30,MATCH($A453,Työkonekanta!$A$3:$A$30,0),1),0)*AF453</f>
        <v>500000</v>
      </c>
      <c r="AF453" s="146">
        <f>IFERROR(INDEX(Työkonekanta!$N$3:$N$32,MATCH($A453,Työkonekanta!$A$3:$A$32,0),1),0)</f>
        <v>1</v>
      </c>
      <c r="AG453" s="332">
        <f>I453*INDEX(Muuttujat!$U$5:$U$21,MATCH($C453,Muuttujat!$N$5:$N$21,0),1)</f>
        <v>10867.5</v>
      </c>
      <c r="AH453" s="332">
        <f>J453*INDEX(Muuttujat!$T$5:$T$21,MATCH($C453,Muuttujat!$N$5:$N$21,0),1)</f>
        <v>1745.2842565597671</v>
      </c>
      <c r="AI453" s="332">
        <f t="shared" si="160"/>
        <v>288.84110787172011</v>
      </c>
      <c r="AJ453" s="332">
        <f t="shared" si="161"/>
        <v>0</v>
      </c>
      <c r="AK453" s="332">
        <f t="shared" si="170"/>
        <v>12901.625364431487</v>
      </c>
      <c r="AL453" s="332">
        <f t="shared" si="162"/>
        <v>12901.625364431487</v>
      </c>
    </row>
    <row r="454" spans="1:38">
      <c r="A454" s="139">
        <v>2</v>
      </c>
      <c r="B454" s="139">
        <f>IFERROR(INDEX(Työkonekanta!$F$3:$F$27,MATCH('S0b Baseline kasvu'!$A454,Työkonekanta!$A$3:$A$24,0),1),0)</f>
        <v>1</v>
      </c>
      <c r="C454" s="140">
        <v>2034</v>
      </c>
      <c r="D454" s="141" t="str">
        <f>IFERROR(INDEX(Työkonekanta!$D$3:$D$27,MATCH('S0b Baseline kasvu'!$A454,Työkonekanta!$A$3:$A$24,0),1),"undefined")</f>
        <v>pom</v>
      </c>
      <c r="E454" s="145">
        <f>IFERROR(INDEX(Työkonekanta!$G$3:$G$27,MATCH($A454,Työkonekanta!$A$3:$A$24,0),1)*INDEX(Työkonekanta!$H$3:$H$27,MATCH($A454,Työkonekanta!$A$3:$A$24,0),1)*(1+s0b_kasvu*($C454-2019))*$B454,0)</f>
        <v>11500</v>
      </c>
      <c r="F454" s="145">
        <f t="shared" si="154"/>
        <v>412850</v>
      </c>
      <c r="G454" s="145">
        <f t="shared" si="163"/>
        <v>371565</v>
      </c>
      <c r="H454" s="145">
        <f t="shared" si="164"/>
        <v>41285</v>
      </c>
      <c r="I454" s="145">
        <f t="shared" si="155"/>
        <v>10350</v>
      </c>
      <c r="J454" s="145">
        <f t="shared" si="156"/>
        <v>1203.6443148688047</v>
      </c>
      <c r="K454" s="142" t="str">
        <f t="shared" si="165"/>
        <v>l</v>
      </c>
      <c r="L454" s="146">
        <f>IFERROR(INDEX(Työkonekanta!$I$3:$I$27,MATCH('S0b Baseline kasvu'!$A454,Työkonekanta!$A$3:$A$24,0),1)*(I454+J454)*f_adblue,0)</f>
        <v>577.68221574344022</v>
      </c>
      <c r="M454" s="146">
        <f t="shared" si="149"/>
        <v>0</v>
      </c>
      <c r="N454" s="143" t="str">
        <f>IF(tuulisähkö_vuosi&lt;='S0b Baseline kasvu'!C454,"tuulisähkö",ostosähkö_nyt)</f>
        <v>jäännössähkö</v>
      </c>
      <c r="O454" s="147">
        <f>INDEX(Muuttujat!$J$5:$J$21,MATCH($C454,Muuttujat!$H$5:$H$21,0),1)</f>
        <v>59.556652007924122</v>
      </c>
      <c r="P454" s="342">
        <f>1-(INDEX(Muuttujat!$O$5:$O$21,MATCH($C454,Muuttujat!$N$5:$N$21,0),1))</f>
        <v>0.9</v>
      </c>
      <c r="Q454" s="342">
        <f>INDEX(Muuttujat!$O$5:$O$21,MATCH($C454,Muuttujat!$N$5:$N$21,0),1)</f>
        <v>0.1</v>
      </c>
      <c r="R454" s="148">
        <f>INDEX(Muuttujat!$P$5:$P$21,MATCH($C454,Muuttujat!$N$5:$N$21,0),1)</f>
        <v>0.10417875759940039</v>
      </c>
      <c r="S454" s="149">
        <f t="shared" si="157"/>
        <v>7.0225784999999989</v>
      </c>
      <c r="T454" s="150">
        <f t="shared" si="158"/>
        <v>2.576184</v>
      </c>
      <c r="U454" s="150">
        <f t="shared" si="159"/>
        <v>0</v>
      </c>
      <c r="V454" s="150">
        <f>IFERROR(INDEX(Työkonekanta!$J$3:$J$27,MATCH($A454,Työkonekanta!$A$3:$A$24,0),1)*$B454*ef_li_ion_akku/1000/1000/INDEX(Työkonekanta!$K$3:$K$27,MATCH($A454,Työkonekanta!$A$3:$A$24,0)),0)</f>
        <v>0</v>
      </c>
      <c r="W454" s="149">
        <f t="shared" si="150"/>
        <v>27.424564001010001</v>
      </c>
      <c r="X454" s="150">
        <f t="shared" si="151"/>
        <v>0.36540750900000002</v>
      </c>
      <c r="Y454" s="151">
        <f t="shared" si="152"/>
        <v>0.15019737609329448</v>
      </c>
      <c r="Z454" s="152">
        <f t="shared" si="166"/>
        <v>9.5987624999999994</v>
      </c>
      <c r="AA454" s="179">
        <f t="shared" si="167"/>
        <v>27.574761377103297</v>
      </c>
      <c r="AB454" s="179">
        <f t="shared" si="168"/>
        <v>27.940168886103297</v>
      </c>
      <c r="AC454" s="180">
        <f t="shared" si="153"/>
        <v>37.173523877103293</v>
      </c>
      <c r="AD454" s="156">
        <f t="shared" si="169"/>
        <v>37.5389313861033</v>
      </c>
      <c r="AE454" s="146">
        <f>IFERROR(INDEX(Työkonekanta!$L$3:$L$30,MATCH($A454,Työkonekanta!$A$3:$A$30,0),1),0)*AF454</f>
        <v>500000</v>
      </c>
      <c r="AF454" s="146">
        <f>IFERROR(INDEX(Työkonekanta!$N$3:$N$32,MATCH($A454,Työkonekanta!$A$3:$A$32,0),1),0)</f>
        <v>1</v>
      </c>
      <c r="AG454" s="332">
        <f>I454*INDEX(Muuttujat!$U$5:$U$21,MATCH($C454,Muuttujat!$N$5:$N$21,0),1)</f>
        <v>10867.5</v>
      </c>
      <c r="AH454" s="332">
        <f>J454*INDEX(Muuttujat!$T$5:$T$21,MATCH($C454,Muuttujat!$N$5:$N$21,0),1)</f>
        <v>1745.2842565597671</v>
      </c>
      <c r="AI454" s="332">
        <f t="shared" si="160"/>
        <v>288.84110787172011</v>
      </c>
      <c r="AJ454" s="332">
        <f t="shared" si="161"/>
        <v>0</v>
      </c>
      <c r="AK454" s="332">
        <f t="shared" si="170"/>
        <v>12901.625364431487</v>
      </c>
      <c r="AL454" s="332">
        <f t="shared" si="162"/>
        <v>12901.625364431487</v>
      </c>
    </row>
    <row r="455" spans="1:38">
      <c r="A455" s="139">
        <v>3</v>
      </c>
      <c r="B455" s="139">
        <f>IFERROR(INDEX(Työkonekanta!$F$3:$F$27,MATCH('S0b Baseline kasvu'!$A455,Työkonekanta!$A$3:$A$24,0),1),0)</f>
        <v>1</v>
      </c>
      <c r="C455" s="140">
        <v>2034</v>
      </c>
      <c r="D455" s="141" t="str">
        <f>IFERROR(INDEX(Työkonekanta!$D$3:$D$27,MATCH('S0b Baseline kasvu'!$A455,Työkonekanta!$A$3:$A$24,0),1),"undefined")</f>
        <v>pom</v>
      </c>
      <c r="E455" s="145">
        <f>IFERROR(INDEX(Työkonekanta!$G$3:$G$27,MATCH($A455,Työkonekanta!$A$3:$A$24,0),1)*INDEX(Työkonekanta!$H$3:$H$27,MATCH($A455,Työkonekanta!$A$3:$A$24,0),1)*(1+s0b_kasvu*($C455-2019))*$B455,0)</f>
        <v>11500</v>
      </c>
      <c r="F455" s="145">
        <f t="shared" si="154"/>
        <v>412850</v>
      </c>
      <c r="G455" s="145">
        <f t="shared" si="163"/>
        <v>371565</v>
      </c>
      <c r="H455" s="145">
        <f t="shared" si="164"/>
        <v>41285</v>
      </c>
      <c r="I455" s="145">
        <f t="shared" si="155"/>
        <v>10350</v>
      </c>
      <c r="J455" s="145">
        <f t="shared" si="156"/>
        <v>1203.6443148688047</v>
      </c>
      <c r="K455" s="142" t="str">
        <f t="shared" si="165"/>
        <v>l</v>
      </c>
      <c r="L455" s="146">
        <f>IFERROR(INDEX(Työkonekanta!$I$3:$I$27,MATCH('S0b Baseline kasvu'!$A455,Työkonekanta!$A$3:$A$24,0),1)*(I455+J455)*f_adblue,0)</f>
        <v>577.68221574344022</v>
      </c>
      <c r="M455" s="146">
        <f t="shared" si="149"/>
        <v>0</v>
      </c>
      <c r="N455" s="143" t="str">
        <f>IF(tuulisähkö_vuosi&lt;='S0b Baseline kasvu'!C455,"tuulisähkö",ostosähkö_nyt)</f>
        <v>jäännössähkö</v>
      </c>
      <c r="O455" s="147">
        <f>INDEX(Muuttujat!$J$5:$J$21,MATCH($C455,Muuttujat!$H$5:$H$21,0),1)</f>
        <v>59.556652007924122</v>
      </c>
      <c r="P455" s="342">
        <f>1-(INDEX(Muuttujat!$O$5:$O$21,MATCH($C455,Muuttujat!$N$5:$N$21,0),1))</f>
        <v>0.9</v>
      </c>
      <c r="Q455" s="342">
        <f>INDEX(Muuttujat!$O$5:$O$21,MATCH($C455,Muuttujat!$N$5:$N$21,0),1)</f>
        <v>0.1</v>
      </c>
      <c r="R455" s="148">
        <f>INDEX(Muuttujat!$P$5:$P$21,MATCH($C455,Muuttujat!$N$5:$N$21,0),1)</f>
        <v>0.10417875759940039</v>
      </c>
      <c r="S455" s="149">
        <f t="shared" si="157"/>
        <v>7.0225784999999989</v>
      </c>
      <c r="T455" s="150">
        <f t="shared" si="158"/>
        <v>2.576184</v>
      </c>
      <c r="U455" s="150">
        <f t="shared" si="159"/>
        <v>0</v>
      </c>
      <c r="V455" s="150">
        <f>IFERROR(INDEX(Työkonekanta!$J$3:$J$27,MATCH($A455,Työkonekanta!$A$3:$A$24,0),1)*$B455*ef_li_ion_akku/1000/1000/INDEX(Työkonekanta!$K$3:$K$27,MATCH($A455,Työkonekanta!$A$3:$A$24,0)),0)</f>
        <v>0</v>
      </c>
      <c r="W455" s="149">
        <f t="shared" si="150"/>
        <v>27.424564001010001</v>
      </c>
      <c r="X455" s="150">
        <f t="shared" si="151"/>
        <v>0.36540750900000002</v>
      </c>
      <c r="Y455" s="151">
        <f t="shared" si="152"/>
        <v>0.15019737609329448</v>
      </c>
      <c r="Z455" s="152">
        <f t="shared" si="166"/>
        <v>9.5987624999999994</v>
      </c>
      <c r="AA455" s="179">
        <f t="shared" si="167"/>
        <v>27.574761377103297</v>
      </c>
      <c r="AB455" s="179">
        <f t="shared" si="168"/>
        <v>27.940168886103297</v>
      </c>
      <c r="AC455" s="180">
        <f t="shared" si="153"/>
        <v>37.173523877103293</v>
      </c>
      <c r="AD455" s="156">
        <f t="shared" si="169"/>
        <v>37.5389313861033</v>
      </c>
      <c r="AE455" s="146">
        <f>IFERROR(INDEX(Työkonekanta!$L$3:$L$30,MATCH($A455,Työkonekanta!$A$3:$A$30,0),1),0)*AF455</f>
        <v>0</v>
      </c>
      <c r="AF455" s="146">
        <f>IFERROR(INDEX(Työkonekanta!$N$3:$N$32,MATCH($A455,Työkonekanta!$A$3:$A$32,0),1),0)</f>
        <v>0</v>
      </c>
      <c r="AG455" s="332">
        <f>I455*INDEX(Muuttujat!$U$5:$U$21,MATCH($C455,Muuttujat!$N$5:$N$21,0),1)</f>
        <v>10867.5</v>
      </c>
      <c r="AH455" s="332">
        <f>J455*INDEX(Muuttujat!$T$5:$T$21,MATCH($C455,Muuttujat!$N$5:$N$21,0),1)</f>
        <v>1745.2842565597671</v>
      </c>
      <c r="AI455" s="332">
        <f t="shared" si="160"/>
        <v>288.84110787172011</v>
      </c>
      <c r="AJ455" s="332">
        <f t="shared" si="161"/>
        <v>0</v>
      </c>
      <c r="AK455" s="332">
        <f t="shared" si="170"/>
        <v>12901.625364431487</v>
      </c>
      <c r="AL455" s="332">
        <f t="shared" si="162"/>
        <v>12901.625364431487</v>
      </c>
    </row>
    <row r="456" spans="1:38">
      <c r="A456" s="139">
        <v>4</v>
      </c>
      <c r="B456" s="139">
        <f>IFERROR(INDEX(Työkonekanta!$F$3:$F$27,MATCH('S0b Baseline kasvu'!$A456,Työkonekanta!$A$3:$A$24,0),1),0)</f>
        <v>1</v>
      </c>
      <c r="C456" s="140">
        <v>2034</v>
      </c>
      <c r="D456" s="141" t="str">
        <f>IFERROR(INDEX(Työkonekanta!$D$3:$D$27,MATCH('S0b Baseline kasvu'!$A456,Työkonekanta!$A$3:$A$24,0),1),"undefined")</f>
        <v>pom</v>
      </c>
      <c r="E456" s="145">
        <f>IFERROR(INDEX(Työkonekanta!$G$3:$G$27,MATCH($A456,Työkonekanta!$A$3:$A$24,0),1)*INDEX(Työkonekanta!$H$3:$H$27,MATCH($A456,Työkonekanta!$A$3:$A$24,0),1)*(1+s0b_kasvu*($C456-2019))*$B456,0)</f>
        <v>11500</v>
      </c>
      <c r="F456" s="145">
        <f t="shared" si="154"/>
        <v>412850</v>
      </c>
      <c r="G456" s="145">
        <f t="shared" si="163"/>
        <v>371565</v>
      </c>
      <c r="H456" s="145">
        <f t="shared" si="164"/>
        <v>41285</v>
      </c>
      <c r="I456" s="145">
        <f t="shared" si="155"/>
        <v>10350</v>
      </c>
      <c r="J456" s="145">
        <f t="shared" si="156"/>
        <v>1203.6443148688047</v>
      </c>
      <c r="K456" s="142" t="str">
        <f t="shared" si="165"/>
        <v>l</v>
      </c>
      <c r="L456" s="146">
        <f>IFERROR(INDEX(Työkonekanta!$I$3:$I$27,MATCH('S0b Baseline kasvu'!$A456,Työkonekanta!$A$3:$A$24,0),1)*(I456+J456)*f_adblue,0)</f>
        <v>577.68221574344022</v>
      </c>
      <c r="M456" s="146">
        <f t="shared" si="149"/>
        <v>0</v>
      </c>
      <c r="N456" s="143" t="str">
        <f>IF(tuulisähkö_vuosi&lt;='S0b Baseline kasvu'!C456,"tuulisähkö",ostosähkö_nyt)</f>
        <v>jäännössähkö</v>
      </c>
      <c r="O456" s="147">
        <f>INDEX(Muuttujat!$J$5:$J$21,MATCH($C456,Muuttujat!$H$5:$H$21,0),1)</f>
        <v>59.556652007924122</v>
      </c>
      <c r="P456" s="342">
        <f>1-(INDEX(Muuttujat!$O$5:$O$21,MATCH($C456,Muuttujat!$N$5:$N$21,0),1))</f>
        <v>0.9</v>
      </c>
      <c r="Q456" s="342">
        <f>INDEX(Muuttujat!$O$5:$O$21,MATCH($C456,Muuttujat!$N$5:$N$21,0),1)</f>
        <v>0.1</v>
      </c>
      <c r="R456" s="148">
        <f>INDEX(Muuttujat!$P$5:$P$21,MATCH($C456,Muuttujat!$N$5:$N$21,0),1)</f>
        <v>0.10417875759940039</v>
      </c>
      <c r="S456" s="149">
        <f t="shared" si="157"/>
        <v>7.0225784999999989</v>
      </c>
      <c r="T456" s="150">
        <f t="shared" si="158"/>
        <v>2.576184</v>
      </c>
      <c r="U456" s="150">
        <f t="shared" si="159"/>
        <v>0</v>
      </c>
      <c r="V456" s="150">
        <f>IFERROR(INDEX(Työkonekanta!$J$3:$J$27,MATCH($A456,Työkonekanta!$A$3:$A$24,0),1)*$B456*ef_li_ion_akku/1000/1000/INDEX(Työkonekanta!$K$3:$K$27,MATCH($A456,Työkonekanta!$A$3:$A$24,0)),0)</f>
        <v>0</v>
      </c>
      <c r="W456" s="149">
        <f t="shared" si="150"/>
        <v>27.424564001010001</v>
      </c>
      <c r="X456" s="150">
        <f t="shared" si="151"/>
        <v>0.36540750900000002</v>
      </c>
      <c r="Y456" s="151">
        <f t="shared" si="152"/>
        <v>0.15019737609329448</v>
      </c>
      <c r="Z456" s="152">
        <f t="shared" si="166"/>
        <v>9.5987624999999994</v>
      </c>
      <c r="AA456" s="179">
        <f t="shared" si="167"/>
        <v>27.574761377103297</v>
      </c>
      <c r="AB456" s="179">
        <f t="shared" si="168"/>
        <v>27.940168886103297</v>
      </c>
      <c r="AC456" s="180">
        <f t="shared" si="153"/>
        <v>37.173523877103293</v>
      </c>
      <c r="AD456" s="156">
        <f t="shared" si="169"/>
        <v>37.5389313861033</v>
      </c>
      <c r="AE456" s="146">
        <f>IFERROR(INDEX(Työkonekanta!$L$3:$L$30,MATCH($A456,Työkonekanta!$A$3:$A$30,0),1),0)*AF456</f>
        <v>0</v>
      </c>
      <c r="AF456" s="146">
        <f>IFERROR(INDEX(Työkonekanta!$N$3:$N$32,MATCH($A456,Työkonekanta!$A$3:$A$32,0),1),0)</f>
        <v>0</v>
      </c>
      <c r="AG456" s="332">
        <f>I456*INDEX(Muuttujat!$U$5:$U$21,MATCH($C456,Muuttujat!$N$5:$N$21,0),1)</f>
        <v>10867.5</v>
      </c>
      <c r="AH456" s="332">
        <f>J456*INDEX(Muuttujat!$T$5:$T$21,MATCH($C456,Muuttujat!$N$5:$N$21,0),1)</f>
        <v>1745.2842565597671</v>
      </c>
      <c r="AI456" s="332">
        <f t="shared" si="160"/>
        <v>288.84110787172011</v>
      </c>
      <c r="AJ456" s="332">
        <f t="shared" si="161"/>
        <v>0</v>
      </c>
      <c r="AK456" s="332">
        <f t="shared" si="170"/>
        <v>12901.625364431487</v>
      </c>
      <c r="AL456" s="332">
        <f t="shared" si="162"/>
        <v>12901.625364431487</v>
      </c>
    </row>
    <row r="457" spans="1:38">
      <c r="A457" s="139">
        <v>5</v>
      </c>
      <c r="B457" s="139">
        <f>IFERROR(INDEX(Työkonekanta!$F$3:$F$27,MATCH('S0b Baseline kasvu'!$A457,Työkonekanta!$A$3:$A$24,0),1),0)</f>
        <v>0</v>
      </c>
      <c r="C457" s="140">
        <v>2034</v>
      </c>
      <c r="D457" s="141" t="str">
        <f>IFERROR(INDEX(Työkonekanta!$D$3:$D$27,MATCH('S0b Baseline kasvu'!$A457,Työkonekanta!$A$3:$A$24,0),1),"undefined")</f>
        <v>sähkö</v>
      </c>
      <c r="E457" s="145">
        <f>IFERROR(INDEX(Työkonekanta!$G$3:$G$27,MATCH($A457,Työkonekanta!$A$3:$A$24,0),1)*INDEX(Työkonekanta!$H$3:$H$27,MATCH($A457,Työkonekanta!$A$3:$A$24,0),1)*(1+s0b_kasvu*($C457-2019))*$B457,0)</f>
        <v>0</v>
      </c>
      <c r="F457" s="145">
        <f t="shared" si="154"/>
        <v>0</v>
      </c>
      <c r="G457" s="145">
        <f t="shared" si="163"/>
        <v>0</v>
      </c>
      <c r="H457" s="145">
        <f t="shared" si="164"/>
        <v>0</v>
      </c>
      <c r="I457" s="145">
        <f t="shared" si="155"/>
        <v>0</v>
      </c>
      <c r="J457" s="145">
        <f t="shared" si="156"/>
        <v>0</v>
      </c>
      <c r="K457" s="142" t="str">
        <f t="shared" si="165"/>
        <v>kWh</v>
      </c>
      <c r="L457" s="146">
        <f>IFERROR(INDEX(Työkonekanta!$I$3:$I$27,MATCH('S0b Baseline kasvu'!$A457,Työkonekanta!$A$3:$A$24,0),1)*(I457+J457)*f_adblue,0)</f>
        <v>0</v>
      </c>
      <c r="M457" s="146">
        <f t="shared" si="149"/>
        <v>0</v>
      </c>
      <c r="N457" s="143" t="str">
        <f>IF(tuulisähkö_vuosi&lt;='S0b Baseline kasvu'!C457,"tuulisähkö",ostosähkö_nyt)</f>
        <v>jäännössähkö</v>
      </c>
      <c r="O457" s="147">
        <f>INDEX(Muuttujat!$J$5:$J$21,MATCH($C457,Muuttujat!$H$5:$H$21,0),1)</f>
        <v>59.556652007924122</v>
      </c>
      <c r="P457" s="342">
        <f>1-(INDEX(Muuttujat!$O$5:$O$21,MATCH($C457,Muuttujat!$N$5:$N$21,0),1))</f>
        <v>0.9</v>
      </c>
      <c r="Q457" s="342">
        <f>INDEX(Muuttujat!$O$5:$O$21,MATCH($C457,Muuttujat!$N$5:$N$21,0),1)</f>
        <v>0.1</v>
      </c>
      <c r="R457" s="148">
        <f>INDEX(Muuttujat!$P$5:$P$21,MATCH($C457,Muuttujat!$N$5:$N$21,0),1)</f>
        <v>0.10417875759940039</v>
      </c>
      <c r="S457" s="149">
        <f t="shared" si="157"/>
        <v>0</v>
      </c>
      <c r="T457" s="150">
        <f t="shared" si="158"/>
        <v>0</v>
      </c>
      <c r="U457" s="150">
        <f t="shared" si="159"/>
        <v>0</v>
      </c>
      <c r="V457" s="150">
        <f>IFERROR(INDEX(Työkonekanta!$J$3:$J$27,MATCH($A457,Työkonekanta!$A$3:$A$24,0),1)*$B457*ef_li_ion_akku/1000/1000/INDEX(Työkonekanta!$K$3:$K$27,MATCH($A457,Työkonekanta!$A$3:$A$24,0)),0)</f>
        <v>0</v>
      </c>
      <c r="W457" s="149">
        <f t="shared" si="150"/>
        <v>0</v>
      </c>
      <c r="X457" s="150">
        <f t="shared" si="151"/>
        <v>0</v>
      </c>
      <c r="Y457" s="151">
        <f t="shared" si="152"/>
        <v>0</v>
      </c>
      <c r="Z457" s="152">
        <f t="shared" si="166"/>
        <v>0</v>
      </c>
      <c r="AA457" s="179">
        <f t="shared" si="167"/>
        <v>0</v>
      </c>
      <c r="AB457" s="179">
        <f t="shared" si="168"/>
        <v>0</v>
      </c>
      <c r="AC457" s="180">
        <f t="shared" si="153"/>
        <v>0</v>
      </c>
      <c r="AD457" s="156">
        <f t="shared" si="169"/>
        <v>0</v>
      </c>
      <c r="AE457" s="146">
        <f>IFERROR(INDEX(Työkonekanta!$L$3:$L$30,MATCH($A457,Työkonekanta!$A$3:$A$30,0),1),0)*AF457</f>
        <v>0</v>
      </c>
      <c r="AF457" s="146">
        <f>IFERROR(INDEX(Työkonekanta!$N$3:$N$32,MATCH($A457,Työkonekanta!$A$3:$A$32,0),1),0)</f>
        <v>0</v>
      </c>
      <c r="AG457" s="332">
        <f>I457*INDEX(Muuttujat!$U$5:$U$21,MATCH($C457,Muuttujat!$N$5:$N$21,0),1)</f>
        <v>0</v>
      </c>
      <c r="AH457" s="332">
        <f>J457*INDEX(Muuttujat!$T$5:$T$21,MATCH($C457,Muuttujat!$N$5:$N$21,0),1)</f>
        <v>0</v>
      </c>
      <c r="AI457" s="332">
        <f t="shared" si="160"/>
        <v>0</v>
      </c>
      <c r="AJ457" s="332">
        <f t="shared" si="161"/>
        <v>0</v>
      </c>
      <c r="AK457" s="332">
        <f t="shared" si="170"/>
        <v>0</v>
      </c>
      <c r="AL457" s="332">
        <f t="shared" si="162"/>
        <v>0</v>
      </c>
    </row>
    <row r="458" spans="1:38">
      <c r="A458" s="139">
        <v>6</v>
      </c>
      <c r="B458" s="139">
        <f>IFERROR(INDEX(Työkonekanta!$F$3:$F$27,MATCH('S0b Baseline kasvu'!$A458,Työkonekanta!$A$3:$A$24,0),1),0)</f>
        <v>0</v>
      </c>
      <c r="C458" s="140">
        <v>2034</v>
      </c>
      <c r="D458" s="141" t="str">
        <f>IFERROR(INDEX(Työkonekanta!$D$3:$D$27,MATCH('S0b Baseline kasvu'!$A458,Työkonekanta!$A$3:$A$24,0),1),"undefined")</f>
        <v>sähkö</v>
      </c>
      <c r="E458" s="145">
        <f>IFERROR(INDEX(Työkonekanta!$G$3:$G$27,MATCH($A458,Työkonekanta!$A$3:$A$24,0),1)*INDEX(Työkonekanta!$H$3:$H$27,MATCH($A458,Työkonekanta!$A$3:$A$24,0),1)*(1+s0b_kasvu*($C458-2019))*$B458,0)</f>
        <v>0</v>
      </c>
      <c r="F458" s="145">
        <f t="shared" si="154"/>
        <v>0</v>
      </c>
      <c r="G458" s="145">
        <f t="shared" si="163"/>
        <v>0</v>
      </c>
      <c r="H458" s="145">
        <f t="shared" si="164"/>
        <v>0</v>
      </c>
      <c r="I458" s="145">
        <f t="shared" si="155"/>
        <v>0</v>
      </c>
      <c r="J458" s="145">
        <f t="shared" si="156"/>
        <v>0</v>
      </c>
      <c r="K458" s="142" t="str">
        <f t="shared" si="165"/>
        <v>kWh</v>
      </c>
      <c r="L458" s="146">
        <f>IFERROR(INDEX(Työkonekanta!$I$3:$I$27,MATCH('S0b Baseline kasvu'!$A458,Työkonekanta!$A$3:$A$24,0),1)*(I458+J458)*f_adblue,0)</f>
        <v>0</v>
      </c>
      <c r="M458" s="146">
        <f t="shared" si="149"/>
        <v>0</v>
      </c>
      <c r="N458" s="143" t="str">
        <f>IF(tuulisähkö_vuosi&lt;='S0b Baseline kasvu'!C458,"tuulisähkö",ostosähkö_nyt)</f>
        <v>jäännössähkö</v>
      </c>
      <c r="O458" s="147">
        <f>INDEX(Muuttujat!$J$5:$J$21,MATCH($C458,Muuttujat!$H$5:$H$21,0),1)</f>
        <v>59.556652007924122</v>
      </c>
      <c r="P458" s="342">
        <f>1-(INDEX(Muuttujat!$O$5:$O$21,MATCH($C458,Muuttujat!$N$5:$N$21,0),1))</f>
        <v>0.9</v>
      </c>
      <c r="Q458" s="342">
        <f>INDEX(Muuttujat!$O$5:$O$21,MATCH($C458,Muuttujat!$N$5:$N$21,0),1)</f>
        <v>0.1</v>
      </c>
      <c r="R458" s="148">
        <f>INDEX(Muuttujat!$P$5:$P$21,MATCH($C458,Muuttujat!$N$5:$N$21,0),1)</f>
        <v>0.10417875759940039</v>
      </c>
      <c r="S458" s="149">
        <f t="shared" si="157"/>
        <v>0</v>
      </c>
      <c r="T458" s="150">
        <f t="shared" si="158"/>
        <v>0</v>
      </c>
      <c r="U458" s="150">
        <f t="shared" si="159"/>
        <v>0</v>
      </c>
      <c r="V458" s="150">
        <f>IFERROR(INDEX(Työkonekanta!$J$3:$J$27,MATCH($A458,Työkonekanta!$A$3:$A$24,0),1)*$B458*ef_li_ion_akku/1000/1000/INDEX(Työkonekanta!$K$3:$K$27,MATCH($A458,Työkonekanta!$A$3:$A$24,0)),0)</f>
        <v>0</v>
      </c>
      <c r="W458" s="149">
        <f t="shared" si="150"/>
        <v>0</v>
      </c>
      <c r="X458" s="150">
        <f t="shared" si="151"/>
        <v>0</v>
      </c>
      <c r="Y458" s="151">
        <f t="shared" si="152"/>
        <v>0</v>
      </c>
      <c r="Z458" s="152">
        <f t="shared" si="166"/>
        <v>0</v>
      </c>
      <c r="AA458" s="179">
        <f t="shared" si="167"/>
        <v>0</v>
      </c>
      <c r="AB458" s="179">
        <f t="shared" si="168"/>
        <v>0</v>
      </c>
      <c r="AC458" s="180">
        <f t="shared" si="153"/>
        <v>0</v>
      </c>
      <c r="AD458" s="156">
        <f t="shared" si="169"/>
        <v>0</v>
      </c>
      <c r="AE458" s="146">
        <f>IFERROR(INDEX(Työkonekanta!$L$3:$L$30,MATCH($A458,Työkonekanta!$A$3:$A$30,0),1),0)*AF458</f>
        <v>0</v>
      </c>
      <c r="AF458" s="146">
        <f>IFERROR(INDEX(Työkonekanta!$N$3:$N$32,MATCH($A458,Työkonekanta!$A$3:$A$32,0),1),0)</f>
        <v>0</v>
      </c>
      <c r="AG458" s="332">
        <f>I458*INDEX(Muuttujat!$U$5:$U$21,MATCH($C458,Muuttujat!$N$5:$N$21,0),1)</f>
        <v>0</v>
      </c>
      <c r="AH458" s="332">
        <f>J458*INDEX(Muuttujat!$T$5:$T$21,MATCH($C458,Muuttujat!$N$5:$N$21,0),1)</f>
        <v>0</v>
      </c>
      <c r="AI458" s="332">
        <f t="shared" si="160"/>
        <v>0</v>
      </c>
      <c r="AJ458" s="332">
        <f t="shared" si="161"/>
        <v>0</v>
      </c>
      <c r="AK458" s="332">
        <f t="shared" si="170"/>
        <v>0</v>
      </c>
      <c r="AL458" s="332">
        <f t="shared" si="162"/>
        <v>0</v>
      </c>
    </row>
    <row r="459" spans="1:38">
      <c r="A459" s="139">
        <v>7</v>
      </c>
      <c r="B459" s="139">
        <f>IFERROR(INDEX(Työkonekanta!$F$3:$F$27,MATCH('S0b Baseline kasvu'!$A459,Työkonekanta!$A$3:$A$24,0),1),0)</f>
        <v>1</v>
      </c>
      <c r="C459" s="140">
        <v>2034</v>
      </c>
      <c r="D459" s="141" t="str">
        <f>IFERROR(INDEX(Työkonekanta!$D$3:$D$27,MATCH('S0b Baseline kasvu'!$A459,Työkonekanta!$A$3:$A$24,0),1),"undefined")</f>
        <v>pom</v>
      </c>
      <c r="E459" s="145">
        <f>IFERROR(INDEX(Työkonekanta!$G$3:$G$27,MATCH($A459,Työkonekanta!$A$3:$A$24,0),1)*INDEX(Työkonekanta!$H$3:$H$27,MATCH($A459,Työkonekanta!$A$3:$A$24,0),1)*(1+s0b_kasvu*($C459-2019))*$B459,0)</f>
        <v>11500</v>
      </c>
      <c r="F459" s="145">
        <f t="shared" si="154"/>
        <v>412850</v>
      </c>
      <c r="G459" s="145">
        <f t="shared" si="163"/>
        <v>371565</v>
      </c>
      <c r="H459" s="145">
        <f t="shared" si="164"/>
        <v>41285</v>
      </c>
      <c r="I459" s="145">
        <f t="shared" si="155"/>
        <v>10350</v>
      </c>
      <c r="J459" s="145">
        <f t="shared" si="156"/>
        <v>1203.6443148688047</v>
      </c>
      <c r="K459" s="142" t="str">
        <f t="shared" si="165"/>
        <v>l</v>
      </c>
      <c r="L459" s="146">
        <f>IFERROR(INDEX(Työkonekanta!$I$3:$I$27,MATCH('S0b Baseline kasvu'!$A459,Työkonekanta!$A$3:$A$24,0),1)*(I459+J459)*f_adblue,0)</f>
        <v>0</v>
      </c>
      <c r="M459" s="146">
        <f t="shared" si="149"/>
        <v>0</v>
      </c>
      <c r="N459" s="143" t="str">
        <f>IF(tuulisähkö_vuosi&lt;='S0b Baseline kasvu'!C459,"tuulisähkö",ostosähkö_nyt)</f>
        <v>jäännössähkö</v>
      </c>
      <c r="O459" s="147">
        <f>INDEX(Muuttujat!$J$5:$J$21,MATCH($C459,Muuttujat!$H$5:$H$21,0),1)</f>
        <v>59.556652007924122</v>
      </c>
      <c r="P459" s="342">
        <f>1-(INDEX(Muuttujat!$O$5:$O$21,MATCH($C459,Muuttujat!$N$5:$N$21,0),1))</f>
        <v>0.9</v>
      </c>
      <c r="Q459" s="342">
        <f>INDEX(Muuttujat!$O$5:$O$21,MATCH($C459,Muuttujat!$N$5:$N$21,0),1)</f>
        <v>0.1</v>
      </c>
      <c r="R459" s="148">
        <f>INDEX(Muuttujat!$P$5:$P$21,MATCH($C459,Muuttujat!$N$5:$N$21,0),1)</f>
        <v>0.10417875759940039</v>
      </c>
      <c r="S459" s="149">
        <f t="shared" si="157"/>
        <v>7.0225784999999989</v>
      </c>
      <c r="T459" s="150">
        <f t="shared" si="158"/>
        <v>2.576184</v>
      </c>
      <c r="U459" s="150">
        <f t="shared" si="159"/>
        <v>0</v>
      </c>
      <c r="V459" s="150">
        <f>IFERROR(INDEX(Työkonekanta!$J$3:$J$27,MATCH($A459,Työkonekanta!$A$3:$A$24,0),1)*$B459*ef_li_ion_akku/1000/1000/INDEX(Työkonekanta!$K$3:$K$27,MATCH($A459,Työkonekanta!$A$3:$A$24,0)),0)</f>
        <v>0</v>
      </c>
      <c r="W459" s="149">
        <f t="shared" si="150"/>
        <v>27.424564001010001</v>
      </c>
      <c r="X459" s="150">
        <f t="shared" si="151"/>
        <v>0.36540750900000002</v>
      </c>
      <c r="Y459" s="151">
        <f t="shared" si="152"/>
        <v>0</v>
      </c>
      <c r="Z459" s="152">
        <f t="shared" si="166"/>
        <v>9.5987624999999994</v>
      </c>
      <c r="AA459" s="179">
        <f t="shared" si="167"/>
        <v>27.424564001010001</v>
      </c>
      <c r="AB459" s="179">
        <f t="shared" si="168"/>
        <v>27.789971510010002</v>
      </c>
      <c r="AC459" s="180">
        <f t="shared" si="153"/>
        <v>37.023326501010004</v>
      </c>
      <c r="AD459" s="156">
        <f t="shared" si="169"/>
        <v>37.388734010009998</v>
      </c>
      <c r="AE459" s="146">
        <f>IFERROR(INDEX(Työkonekanta!$L$3:$L$30,MATCH($A459,Työkonekanta!$A$3:$A$30,0),1),0)*AF459</f>
        <v>500000</v>
      </c>
      <c r="AF459" s="146">
        <f>IFERROR(INDEX(Työkonekanta!$N$3:$N$32,MATCH($A459,Työkonekanta!$A$3:$A$32,0),1),0)</f>
        <v>1</v>
      </c>
      <c r="AG459" s="332">
        <f>I459*INDEX(Muuttujat!$U$5:$U$21,MATCH($C459,Muuttujat!$N$5:$N$21,0),1)</f>
        <v>10867.5</v>
      </c>
      <c r="AH459" s="332">
        <f>J459*INDEX(Muuttujat!$T$5:$T$21,MATCH($C459,Muuttujat!$N$5:$N$21,0),1)</f>
        <v>1745.2842565597671</v>
      </c>
      <c r="AI459" s="332">
        <f t="shared" si="160"/>
        <v>0</v>
      </c>
      <c r="AJ459" s="332">
        <f t="shared" si="161"/>
        <v>0</v>
      </c>
      <c r="AK459" s="332">
        <f t="shared" si="170"/>
        <v>12612.784256559768</v>
      </c>
      <c r="AL459" s="332">
        <f t="shared" si="162"/>
        <v>12612.784256559768</v>
      </c>
    </row>
    <row r="460" spans="1:38">
      <c r="A460" s="139">
        <v>8</v>
      </c>
      <c r="B460" s="139">
        <f>IFERROR(INDEX(Työkonekanta!$F$3:$F$27,MATCH('S0b Baseline kasvu'!$A460,Työkonekanta!$A$3:$A$24,0),1),0)</f>
        <v>1</v>
      </c>
      <c r="C460" s="140">
        <v>2034</v>
      </c>
      <c r="D460" s="141" t="str">
        <f>IFERROR(INDEX(Työkonekanta!$D$3:$D$27,MATCH('S0b Baseline kasvu'!$A460,Työkonekanta!$A$3:$A$24,0),1),"undefined")</f>
        <v>pom</v>
      </c>
      <c r="E460" s="145">
        <f>IFERROR(INDEX(Työkonekanta!$G$3:$G$27,MATCH($A460,Työkonekanta!$A$3:$A$24,0),1)*INDEX(Työkonekanta!$H$3:$H$27,MATCH($A460,Työkonekanta!$A$3:$A$24,0),1)*(1+s0b_kasvu*($C460-2019))*$B460,0)</f>
        <v>11500</v>
      </c>
      <c r="F460" s="145">
        <f t="shared" si="154"/>
        <v>412850</v>
      </c>
      <c r="G460" s="145">
        <f t="shared" si="163"/>
        <v>371565</v>
      </c>
      <c r="H460" s="145">
        <f t="shared" si="164"/>
        <v>41285</v>
      </c>
      <c r="I460" s="145">
        <f t="shared" si="155"/>
        <v>10350</v>
      </c>
      <c r="J460" s="145">
        <f t="shared" si="156"/>
        <v>1203.6443148688047</v>
      </c>
      <c r="K460" s="142" t="str">
        <f t="shared" si="165"/>
        <v>l</v>
      </c>
      <c r="L460" s="146">
        <f>IFERROR(INDEX(Työkonekanta!$I$3:$I$27,MATCH('S0b Baseline kasvu'!$A460,Työkonekanta!$A$3:$A$24,0),1)*(I460+J460)*f_adblue,0)</f>
        <v>577.68221574344022</v>
      </c>
      <c r="M460" s="146">
        <f t="shared" si="149"/>
        <v>0</v>
      </c>
      <c r="N460" s="143" t="str">
        <f>IF(tuulisähkö_vuosi&lt;='S0b Baseline kasvu'!C460,"tuulisähkö",ostosähkö_nyt)</f>
        <v>jäännössähkö</v>
      </c>
      <c r="O460" s="147">
        <f>INDEX(Muuttujat!$J$5:$J$21,MATCH($C460,Muuttujat!$H$5:$H$21,0),1)</f>
        <v>59.556652007924122</v>
      </c>
      <c r="P460" s="342">
        <f>1-(INDEX(Muuttujat!$O$5:$O$21,MATCH($C460,Muuttujat!$N$5:$N$21,0),1))</f>
        <v>0.9</v>
      </c>
      <c r="Q460" s="342">
        <f>INDEX(Muuttujat!$O$5:$O$21,MATCH($C460,Muuttujat!$N$5:$N$21,0),1)</f>
        <v>0.1</v>
      </c>
      <c r="R460" s="148">
        <f>INDEX(Muuttujat!$P$5:$P$21,MATCH($C460,Muuttujat!$N$5:$N$21,0),1)</f>
        <v>0.10417875759940039</v>
      </c>
      <c r="S460" s="149">
        <f t="shared" si="157"/>
        <v>7.0225784999999989</v>
      </c>
      <c r="T460" s="150">
        <f t="shared" si="158"/>
        <v>2.576184</v>
      </c>
      <c r="U460" s="150">
        <f t="shared" si="159"/>
        <v>0</v>
      </c>
      <c r="V460" s="150">
        <f>IFERROR(INDEX(Työkonekanta!$J$3:$J$27,MATCH($A460,Työkonekanta!$A$3:$A$24,0),1)*$B460*ef_li_ion_akku/1000/1000/INDEX(Työkonekanta!$K$3:$K$27,MATCH($A460,Työkonekanta!$A$3:$A$24,0)),0)</f>
        <v>0</v>
      </c>
      <c r="W460" s="149">
        <f t="shared" si="150"/>
        <v>27.424564001010001</v>
      </c>
      <c r="X460" s="150">
        <f t="shared" si="151"/>
        <v>0.36540750900000002</v>
      </c>
      <c r="Y460" s="151">
        <f t="shared" si="152"/>
        <v>0.15019737609329448</v>
      </c>
      <c r="Z460" s="152">
        <f t="shared" si="166"/>
        <v>9.5987624999999994</v>
      </c>
      <c r="AA460" s="179">
        <f t="shared" si="167"/>
        <v>27.574761377103297</v>
      </c>
      <c r="AB460" s="179">
        <f t="shared" si="168"/>
        <v>27.940168886103297</v>
      </c>
      <c r="AC460" s="180">
        <f t="shared" si="153"/>
        <v>37.173523877103293</v>
      </c>
      <c r="AD460" s="156">
        <f t="shared" si="169"/>
        <v>37.5389313861033</v>
      </c>
      <c r="AE460" s="146">
        <f>IFERROR(INDEX(Työkonekanta!$L$3:$L$30,MATCH($A460,Työkonekanta!$A$3:$A$30,0),1),0)*AF460</f>
        <v>500000</v>
      </c>
      <c r="AF460" s="146">
        <f>IFERROR(INDEX(Työkonekanta!$N$3:$N$32,MATCH($A460,Työkonekanta!$A$3:$A$32,0),1),0)</f>
        <v>1</v>
      </c>
      <c r="AG460" s="332">
        <f>I460*INDEX(Muuttujat!$U$5:$U$21,MATCH($C460,Muuttujat!$N$5:$N$21,0),1)</f>
        <v>10867.5</v>
      </c>
      <c r="AH460" s="332">
        <f>J460*INDEX(Muuttujat!$T$5:$T$21,MATCH($C460,Muuttujat!$N$5:$N$21,0),1)</f>
        <v>1745.2842565597671</v>
      </c>
      <c r="AI460" s="332">
        <f t="shared" si="160"/>
        <v>288.84110787172011</v>
      </c>
      <c r="AJ460" s="332">
        <f t="shared" si="161"/>
        <v>0</v>
      </c>
      <c r="AK460" s="332">
        <f t="shared" si="170"/>
        <v>12901.625364431487</v>
      </c>
      <c r="AL460" s="332">
        <f t="shared" si="162"/>
        <v>12901.625364431487</v>
      </c>
    </row>
    <row r="461" spans="1:38">
      <c r="A461" s="139">
        <v>9</v>
      </c>
      <c r="B461" s="139">
        <f>IFERROR(INDEX(Työkonekanta!$F$3:$F$27,MATCH('S0b Baseline kasvu'!$A461,Työkonekanta!$A$3:$A$24,0),1),0)</f>
        <v>0</v>
      </c>
      <c r="C461" s="140">
        <v>2034</v>
      </c>
      <c r="D461" s="141" t="str">
        <f>IFERROR(INDEX(Työkonekanta!$D$3:$D$27,MATCH('S0b Baseline kasvu'!$A461,Työkonekanta!$A$3:$A$24,0),1),"undefined")</f>
        <v>sähkö</v>
      </c>
      <c r="E461" s="145">
        <f>IFERROR(INDEX(Työkonekanta!$G$3:$G$27,MATCH($A461,Työkonekanta!$A$3:$A$24,0),1)*INDEX(Työkonekanta!$H$3:$H$27,MATCH($A461,Työkonekanta!$A$3:$A$24,0),1)*(1+s0b_kasvu*($C461-2019))*$B461,0)</f>
        <v>0</v>
      </c>
      <c r="F461" s="145">
        <f t="shared" si="154"/>
        <v>0</v>
      </c>
      <c r="G461" s="145">
        <f t="shared" si="163"/>
        <v>0</v>
      </c>
      <c r="H461" s="145">
        <f t="shared" si="164"/>
        <v>0</v>
      </c>
      <c r="I461" s="145">
        <f t="shared" si="155"/>
        <v>0</v>
      </c>
      <c r="J461" s="145">
        <f t="shared" si="156"/>
        <v>0</v>
      </c>
      <c r="K461" s="142" t="str">
        <f t="shared" si="165"/>
        <v>kWh</v>
      </c>
      <c r="L461" s="146">
        <f>IFERROR(INDEX(Työkonekanta!$I$3:$I$27,MATCH('S0b Baseline kasvu'!$A461,Työkonekanta!$A$3:$A$24,0),1)*(I461+J461)*f_adblue,0)</f>
        <v>0</v>
      </c>
      <c r="M461" s="146">
        <f t="shared" si="149"/>
        <v>0</v>
      </c>
      <c r="N461" s="143" t="str">
        <f>IF(tuulisähkö_vuosi&lt;='S0b Baseline kasvu'!C461,"tuulisähkö",ostosähkö_nyt)</f>
        <v>jäännössähkö</v>
      </c>
      <c r="O461" s="147">
        <f>INDEX(Muuttujat!$J$5:$J$21,MATCH($C461,Muuttujat!$H$5:$H$21,0),1)</f>
        <v>59.556652007924122</v>
      </c>
      <c r="P461" s="342">
        <f>1-(INDEX(Muuttujat!$O$5:$O$21,MATCH($C461,Muuttujat!$N$5:$N$21,0),1))</f>
        <v>0.9</v>
      </c>
      <c r="Q461" s="342">
        <f>INDEX(Muuttujat!$O$5:$O$21,MATCH($C461,Muuttujat!$N$5:$N$21,0),1)</f>
        <v>0.1</v>
      </c>
      <c r="R461" s="148">
        <f>INDEX(Muuttujat!$P$5:$P$21,MATCH($C461,Muuttujat!$N$5:$N$21,0),1)</f>
        <v>0.10417875759940039</v>
      </c>
      <c r="S461" s="149">
        <f t="shared" si="157"/>
        <v>0</v>
      </c>
      <c r="T461" s="150">
        <f t="shared" si="158"/>
        <v>0</v>
      </c>
      <c r="U461" s="150">
        <f t="shared" si="159"/>
        <v>0</v>
      </c>
      <c r="V461" s="150">
        <f>IFERROR(INDEX(Työkonekanta!$J$3:$J$27,MATCH($A461,Työkonekanta!$A$3:$A$24,0),1)*$B461*ef_li_ion_akku/1000/1000/INDEX(Työkonekanta!$K$3:$K$27,MATCH($A461,Työkonekanta!$A$3:$A$24,0)),0)</f>
        <v>0</v>
      </c>
      <c r="W461" s="149">
        <f t="shared" si="150"/>
        <v>0</v>
      </c>
      <c r="X461" s="150">
        <f t="shared" si="151"/>
        <v>0</v>
      </c>
      <c r="Y461" s="151">
        <f t="shared" si="152"/>
        <v>0</v>
      </c>
      <c r="Z461" s="152">
        <f t="shared" si="166"/>
        <v>0</v>
      </c>
      <c r="AA461" s="179">
        <f t="shared" si="167"/>
        <v>0</v>
      </c>
      <c r="AB461" s="179">
        <f t="shared" si="168"/>
        <v>0</v>
      </c>
      <c r="AC461" s="180">
        <f t="shared" si="153"/>
        <v>0</v>
      </c>
      <c r="AD461" s="156">
        <f t="shared" si="169"/>
        <v>0</v>
      </c>
      <c r="AE461" s="146">
        <f>IFERROR(INDEX(Työkonekanta!$L$3:$L$30,MATCH($A461,Työkonekanta!$A$3:$A$30,0),1),0)*AF461</f>
        <v>0</v>
      </c>
      <c r="AF461" s="146">
        <f>IFERROR(INDEX(Työkonekanta!$N$3:$N$32,MATCH($A461,Työkonekanta!$A$3:$A$32,0),1),0)</f>
        <v>0</v>
      </c>
      <c r="AG461" s="332">
        <f>I461*INDEX(Muuttujat!$U$5:$U$21,MATCH($C461,Muuttujat!$N$5:$N$21,0),1)</f>
        <v>0</v>
      </c>
      <c r="AH461" s="332">
        <f>J461*INDEX(Muuttujat!$T$5:$T$21,MATCH($C461,Muuttujat!$N$5:$N$21,0),1)</f>
        <v>0</v>
      </c>
      <c r="AI461" s="332">
        <f t="shared" si="160"/>
        <v>0</v>
      </c>
      <c r="AJ461" s="332">
        <f t="shared" si="161"/>
        <v>0</v>
      </c>
      <c r="AK461" s="332">
        <f t="shared" si="170"/>
        <v>0</v>
      </c>
      <c r="AL461" s="332">
        <f t="shared" si="162"/>
        <v>0</v>
      </c>
    </row>
    <row r="462" spans="1:38">
      <c r="A462" s="139">
        <v>10</v>
      </c>
      <c r="B462" s="139">
        <f>IFERROR(INDEX(Työkonekanta!$F$3:$F$27,MATCH('S0b Baseline kasvu'!$A462,Työkonekanta!$A$3:$A$24,0),1),0)</f>
        <v>0</v>
      </c>
      <c r="C462" s="140">
        <v>2034</v>
      </c>
      <c r="D462" s="141" t="str">
        <f>IFERROR(INDEX(Työkonekanta!$D$3:$D$27,MATCH('S0b Baseline kasvu'!$A462,Työkonekanta!$A$3:$A$24,0),1),"undefined")</f>
        <v>sähkö</v>
      </c>
      <c r="E462" s="145">
        <f>IFERROR(INDEX(Työkonekanta!$G$3:$G$27,MATCH($A462,Työkonekanta!$A$3:$A$24,0),1)*INDEX(Työkonekanta!$H$3:$H$27,MATCH($A462,Työkonekanta!$A$3:$A$24,0),1)*(1+s0b_kasvu*($C462-2019))*$B462,0)</f>
        <v>0</v>
      </c>
      <c r="F462" s="145">
        <f t="shared" si="154"/>
        <v>0</v>
      </c>
      <c r="G462" s="145">
        <f t="shared" si="163"/>
        <v>0</v>
      </c>
      <c r="H462" s="145">
        <f t="shared" si="164"/>
        <v>0</v>
      </c>
      <c r="I462" s="145">
        <f t="shared" si="155"/>
        <v>0</v>
      </c>
      <c r="J462" s="145">
        <f t="shared" si="156"/>
        <v>0</v>
      </c>
      <c r="K462" s="142" t="str">
        <f t="shared" si="165"/>
        <v>kWh</v>
      </c>
      <c r="L462" s="146">
        <f>IFERROR(INDEX(Työkonekanta!$I$3:$I$27,MATCH('S0b Baseline kasvu'!$A462,Työkonekanta!$A$3:$A$24,0),1)*(I462+J462)*f_adblue,0)</f>
        <v>0</v>
      </c>
      <c r="M462" s="146">
        <f t="shared" si="149"/>
        <v>0</v>
      </c>
      <c r="N462" s="143" t="str">
        <f>IF(tuulisähkö_vuosi&lt;='S0b Baseline kasvu'!C462,"tuulisähkö",ostosähkö_nyt)</f>
        <v>jäännössähkö</v>
      </c>
      <c r="O462" s="147">
        <f>INDEX(Muuttujat!$J$5:$J$21,MATCH($C462,Muuttujat!$H$5:$H$21,0),1)</f>
        <v>59.556652007924122</v>
      </c>
      <c r="P462" s="342">
        <f>1-(INDEX(Muuttujat!$O$5:$O$21,MATCH($C462,Muuttujat!$N$5:$N$21,0),1))</f>
        <v>0.9</v>
      </c>
      <c r="Q462" s="342">
        <f>INDEX(Muuttujat!$O$5:$O$21,MATCH($C462,Muuttujat!$N$5:$N$21,0),1)</f>
        <v>0.1</v>
      </c>
      <c r="R462" s="148">
        <f>INDEX(Muuttujat!$P$5:$P$21,MATCH($C462,Muuttujat!$N$5:$N$21,0),1)</f>
        <v>0.10417875759940039</v>
      </c>
      <c r="S462" s="149">
        <f t="shared" si="157"/>
        <v>0</v>
      </c>
      <c r="T462" s="150">
        <f t="shared" si="158"/>
        <v>0</v>
      </c>
      <c r="U462" s="150">
        <f t="shared" si="159"/>
        <v>0</v>
      </c>
      <c r="V462" s="150">
        <f>IFERROR(INDEX(Työkonekanta!$J$3:$J$27,MATCH($A462,Työkonekanta!$A$3:$A$24,0),1)*$B462*ef_li_ion_akku/1000/1000/INDEX(Työkonekanta!$K$3:$K$27,MATCH($A462,Työkonekanta!$A$3:$A$24,0)),0)</f>
        <v>0</v>
      </c>
      <c r="W462" s="149">
        <f t="shared" si="150"/>
        <v>0</v>
      </c>
      <c r="X462" s="150">
        <f t="shared" si="151"/>
        <v>0</v>
      </c>
      <c r="Y462" s="151">
        <f t="shared" si="152"/>
        <v>0</v>
      </c>
      <c r="Z462" s="152">
        <f t="shared" si="166"/>
        <v>0</v>
      </c>
      <c r="AA462" s="179">
        <f t="shared" si="167"/>
        <v>0</v>
      </c>
      <c r="AB462" s="179">
        <f t="shared" si="168"/>
        <v>0</v>
      </c>
      <c r="AC462" s="180">
        <f t="shared" si="153"/>
        <v>0</v>
      </c>
      <c r="AD462" s="156">
        <f t="shared" si="169"/>
        <v>0</v>
      </c>
      <c r="AE462" s="146">
        <f>IFERROR(INDEX(Työkonekanta!$L$3:$L$30,MATCH($A462,Työkonekanta!$A$3:$A$30,0),1),0)*AF462</f>
        <v>0</v>
      </c>
      <c r="AF462" s="146">
        <f>IFERROR(INDEX(Työkonekanta!$N$3:$N$32,MATCH($A462,Työkonekanta!$A$3:$A$32,0),1),0)</f>
        <v>0</v>
      </c>
      <c r="AG462" s="332">
        <f>I462*INDEX(Muuttujat!$U$5:$U$21,MATCH($C462,Muuttujat!$N$5:$N$21,0),1)</f>
        <v>0</v>
      </c>
      <c r="AH462" s="332">
        <f>J462*INDEX(Muuttujat!$T$5:$T$21,MATCH($C462,Muuttujat!$N$5:$N$21,0),1)</f>
        <v>0</v>
      </c>
      <c r="AI462" s="332">
        <f t="shared" si="160"/>
        <v>0</v>
      </c>
      <c r="AJ462" s="332">
        <f t="shared" si="161"/>
        <v>0</v>
      </c>
      <c r="AK462" s="332">
        <f t="shared" si="170"/>
        <v>0</v>
      </c>
      <c r="AL462" s="332">
        <f t="shared" si="162"/>
        <v>0</v>
      </c>
    </row>
    <row r="463" spans="1:38">
      <c r="A463" s="139">
        <v>11</v>
      </c>
      <c r="B463" s="139">
        <f>IFERROR(INDEX(Työkonekanta!$F$3:$F$27,MATCH('S0b Baseline kasvu'!$A463,Työkonekanta!$A$3:$A$24,0),1),0)</f>
        <v>1</v>
      </c>
      <c r="C463" s="140">
        <v>2034</v>
      </c>
      <c r="D463" s="141" t="str">
        <f>IFERROR(INDEX(Työkonekanta!$D$3:$D$27,MATCH('S0b Baseline kasvu'!$A463,Työkonekanta!$A$3:$A$24,0),1),"undefined")</f>
        <v>pom</v>
      </c>
      <c r="E463" s="145">
        <f>IFERROR(INDEX(Työkonekanta!$G$3:$G$27,MATCH($A463,Työkonekanta!$A$3:$A$24,0),1)*INDEX(Työkonekanta!$H$3:$H$27,MATCH($A463,Työkonekanta!$A$3:$A$24,0),1)*(1+s0b_kasvu*($C463-2019))*$B463,0)</f>
        <v>11500</v>
      </c>
      <c r="F463" s="145">
        <f t="shared" si="154"/>
        <v>412850</v>
      </c>
      <c r="G463" s="145">
        <f t="shared" si="163"/>
        <v>371565</v>
      </c>
      <c r="H463" s="145">
        <f t="shared" si="164"/>
        <v>41285</v>
      </c>
      <c r="I463" s="145">
        <f t="shared" si="155"/>
        <v>10350</v>
      </c>
      <c r="J463" s="145">
        <f t="shared" si="156"/>
        <v>1203.6443148688047</v>
      </c>
      <c r="K463" s="142" t="str">
        <f t="shared" si="165"/>
        <v>l</v>
      </c>
      <c r="L463" s="146">
        <f>IFERROR(INDEX(Työkonekanta!$I$3:$I$27,MATCH('S0b Baseline kasvu'!$A463,Työkonekanta!$A$3:$A$24,0),1)*(I463+J463)*f_adblue,0)</f>
        <v>577.68221574344022</v>
      </c>
      <c r="M463" s="146">
        <f t="shared" si="149"/>
        <v>0</v>
      </c>
      <c r="N463" s="143" t="str">
        <f>IF(tuulisähkö_vuosi&lt;='S0b Baseline kasvu'!C463,"tuulisähkö",ostosähkö_nyt)</f>
        <v>jäännössähkö</v>
      </c>
      <c r="O463" s="147">
        <f>INDEX(Muuttujat!$J$5:$J$21,MATCH($C463,Muuttujat!$H$5:$H$21,0),1)</f>
        <v>59.556652007924122</v>
      </c>
      <c r="P463" s="342">
        <f>1-(INDEX(Muuttujat!$O$5:$O$21,MATCH($C463,Muuttujat!$N$5:$N$21,0),1))</f>
        <v>0.9</v>
      </c>
      <c r="Q463" s="342">
        <f>INDEX(Muuttujat!$O$5:$O$21,MATCH($C463,Muuttujat!$N$5:$N$21,0),1)</f>
        <v>0.1</v>
      </c>
      <c r="R463" s="148">
        <f>INDEX(Muuttujat!$P$5:$P$21,MATCH($C463,Muuttujat!$N$5:$N$21,0),1)</f>
        <v>0.10417875759940039</v>
      </c>
      <c r="S463" s="149">
        <f t="shared" si="157"/>
        <v>7.0225784999999989</v>
      </c>
      <c r="T463" s="150">
        <f t="shared" si="158"/>
        <v>2.576184</v>
      </c>
      <c r="U463" s="150">
        <f t="shared" si="159"/>
        <v>0</v>
      </c>
      <c r="V463" s="150">
        <f>IFERROR(INDEX(Työkonekanta!$J$3:$J$27,MATCH($A463,Työkonekanta!$A$3:$A$24,0),1)*$B463*ef_li_ion_akku/1000/1000/INDEX(Työkonekanta!$K$3:$K$27,MATCH($A463,Työkonekanta!$A$3:$A$24,0)),0)</f>
        <v>0</v>
      </c>
      <c r="W463" s="149">
        <f t="shared" si="150"/>
        <v>27.424564001010001</v>
      </c>
      <c r="X463" s="150">
        <f t="shared" si="151"/>
        <v>0.36540750900000002</v>
      </c>
      <c r="Y463" s="151">
        <f t="shared" si="152"/>
        <v>0.15019737609329448</v>
      </c>
      <c r="Z463" s="152">
        <f t="shared" si="166"/>
        <v>9.5987624999999994</v>
      </c>
      <c r="AA463" s="179">
        <f t="shared" si="167"/>
        <v>27.574761377103297</v>
      </c>
      <c r="AB463" s="179">
        <f t="shared" si="168"/>
        <v>27.940168886103297</v>
      </c>
      <c r="AC463" s="180">
        <f t="shared" si="153"/>
        <v>37.173523877103293</v>
      </c>
      <c r="AD463" s="156">
        <f t="shared" si="169"/>
        <v>37.5389313861033</v>
      </c>
      <c r="AE463" s="146">
        <f>IFERROR(INDEX(Työkonekanta!$L$3:$L$30,MATCH($A463,Työkonekanta!$A$3:$A$30,0),1),0)*AF463</f>
        <v>500000</v>
      </c>
      <c r="AF463" s="146">
        <f>IFERROR(INDEX(Työkonekanta!$N$3:$N$32,MATCH($A463,Työkonekanta!$A$3:$A$32,0),1),0)</f>
        <v>1</v>
      </c>
      <c r="AG463" s="332">
        <f>I463*INDEX(Muuttujat!$U$5:$U$21,MATCH($C463,Muuttujat!$N$5:$N$21,0),1)</f>
        <v>10867.5</v>
      </c>
      <c r="AH463" s="332">
        <f>J463*INDEX(Muuttujat!$T$5:$T$21,MATCH($C463,Muuttujat!$N$5:$N$21,0),1)</f>
        <v>1745.2842565597671</v>
      </c>
      <c r="AI463" s="332">
        <f t="shared" si="160"/>
        <v>288.84110787172011</v>
      </c>
      <c r="AJ463" s="332">
        <f t="shared" si="161"/>
        <v>0</v>
      </c>
      <c r="AK463" s="332">
        <f t="shared" si="170"/>
        <v>12901.625364431487</v>
      </c>
      <c r="AL463" s="332">
        <f t="shared" si="162"/>
        <v>12901.625364431487</v>
      </c>
    </row>
    <row r="464" spans="1:38">
      <c r="A464" s="139">
        <v>12</v>
      </c>
      <c r="B464" s="139">
        <f>IFERROR(INDEX(Työkonekanta!$F$3:$F$27,MATCH('S0b Baseline kasvu'!$A464,Työkonekanta!$A$3:$A$24,0),1),0)</f>
        <v>1</v>
      </c>
      <c r="C464" s="140">
        <v>2034</v>
      </c>
      <c r="D464" s="141" t="str">
        <f>IFERROR(INDEX(Työkonekanta!$D$3:$D$27,MATCH('S0b Baseline kasvu'!$A464,Työkonekanta!$A$3:$A$24,0),1),"undefined")</f>
        <v>pom</v>
      </c>
      <c r="E464" s="145">
        <f>IFERROR(INDEX(Työkonekanta!$G$3:$G$27,MATCH($A464,Työkonekanta!$A$3:$A$24,0),1)*INDEX(Työkonekanta!$H$3:$H$27,MATCH($A464,Työkonekanta!$A$3:$A$24,0),1)*(1+s0b_kasvu*($C464-2019))*$B464,0)</f>
        <v>11500</v>
      </c>
      <c r="F464" s="145">
        <f t="shared" si="154"/>
        <v>412850</v>
      </c>
      <c r="G464" s="145">
        <f t="shared" si="163"/>
        <v>371565</v>
      </c>
      <c r="H464" s="145">
        <f t="shared" si="164"/>
        <v>41285</v>
      </c>
      <c r="I464" s="145">
        <f t="shared" si="155"/>
        <v>10350</v>
      </c>
      <c r="J464" s="145">
        <f t="shared" si="156"/>
        <v>1203.6443148688047</v>
      </c>
      <c r="K464" s="142" t="str">
        <f t="shared" si="165"/>
        <v>l</v>
      </c>
      <c r="L464" s="146">
        <f>IFERROR(INDEX(Työkonekanta!$I$3:$I$27,MATCH('S0b Baseline kasvu'!$A464,Työkonekanta!$A$3:$A$24,0),1)*(I464+J464)*f_adblue,0)</f>
        <v>577.68221574344022</v>
      </c>
      <c r="M464" s="146">
        <f t="shared" si="149"/>
        <v>0</v>
      </c>
      <c r="N464" s="143" t="str">
        <f>IF(tuulisähkö_vuosi&lt;='S0b Baseline kasvu'!C464,"tuulisähkö",ostosähkö_nyt)</f>
        <v>jäännössähkö</v>
      </c>
      <c r="O464" s="147">
        <f>INDEX(Muuttujat!$J$5:$J$21,MATCH($C464,Muuttujat!$H$5:$H$21,0),1)</f>
        <v>59.556652007924122</v>
      </c>
      <c r="P464" s="342">
        <f>1-(INDEX(Muuttujat!$O$5:$O$21,MATCH($C464,Muuttujat!$N$5:$N$21,0),1))</f>
        <v>0.9</v>
      </c>
      <c r="Q464" s="342">
        <f>INDEX(Muuttujat!$O$5:$O$21,MATCH($C464,Muuttujat!$N$5:$N$21,0),1)</f>
        <v>0.1</v>
      </c>
      <c r="R464" s="148">
        <f>INDEX(Muuttujat!$P$5:$P$21,MATCH($C464,Muuttujat!$N$5:$N$21,0),1)</f>
        <v>0.10417875759940039</v>
      </c>
      <c r="S464" s="149">
        <f t="shared" si="157"/>
        <v>7.0225784999999989</v>
      </c>
      <c r="T464" s="150">
        <f t="shared" si="158"/>
        <v>2.576184</v>
      </c>
      <c r="U464" s="150">
        <f t="shared" si="159"/>
        <v>0</v>
      </c>
      <c r="V464" s="150">
        <f>IFERROR(INDEX(Työkonekanta!$J$3:$J$27,MATCH($A464,Työkonekanta!$A$3:$A$24,0),1)*$B464*ef_li_ion_akku/1000/1000/INDEX(Työkonekanta!$K$3:$K$27,MATCH($A464,Työkonekanta!$A$3:$A$24,0)),0)</f>
        <v>0</v>
      </c>
      <c r="W464" s="149">
        <f t="shared" si="150"/>
        <v>27.424564001010001</v>
      </c>
      <c r="X464" s="150">
        <f t="shared" si="151"/>
        <v>0.36540750900000002</v>
      </c>
      <c r="Y464" s="151">
        <f t="shared" si="152"/>
        <v>0.15019737609329448</v>
      </c>
      <c r="Z464" s="152">
        <f t="shared" si="166"/>
        <v>9.5987624999999994</v>
      </c>
      <c r="AA464" s="179">
        <f t="shared" si="167"/>
        <v>27.574761377103297</v>
      </c>
      <c r="AB464" s="179">
        <f t="shared" si="168"/>
        <v>27.940168886103297</v>
      </c>
      <c r="AC464" s="180">
        <f t="shared" si="153"/>
        <v>37.173523877103293</v>
      </c>
      <c r="AD464" s="156">
        <f t="shared" si="169"/>
        <v>37.5389313861033</v>
      </c>
      <c r="AE464" s="146">
        <f>IFERROR(INDEX(Työkonekanta!$L$3:$L$30,MATCH($A464,Työkonekanta!$A$3:$A$30,0),1),0)*AF464</f>
        <v>500000</v>
      </c>
      <c r="AF464" s="146">
        <f>IFERROR(INDEX(Työkonekanta!$N$3:$N$32,MATCH($A464,Työkonekanta!$A$3:$A$32,0),1),0)</f>
        <v>1</v>
      </c>
      <c r="AG464" s="332">
        <f>I464*INDEX(Muuttujat!$U$5:$U$21,MATCH($C464,Muuttujat!$N$5:$N$21,0),1)</f>
        <v>10867.5</v>
      </c>
      <c r="AH464" s="332">
        <f>J464*INDEX(Muuttujat!$T$5:$T$21,MATCH($C464,Muuttujat!$N$5:$N$21,0),1)</f>
        <v>1745.2842565597671</v>
      </c>
      <c r="AI464" s="332">
        <f t="shared" si="160"/>
        <v>288.84110787172011</v>
      </c>
      <c r="AJ464" s="332">
        <f t="shared" si="161"/>
        <v>0</v>
      </c>
      <c r="AK464" s="332">
        <f t="shared" si="170"/>
        <v>12901.625364431487</v>
      </c>
      <c r="AL464" s="332">
        <f t="shared" si="162"/>
        <v>12901.625364431487</v>
      </c>
    </row>
    <row r="465" spans="1:38">
      <c r="A465" s="139">
        <v>13</v>
      </c>
      <c r="B465" s="139">
        <f>IFERROR(INDEX(Työkonekanta!$F$3:$F$27,MATCH('S0b Baseline kasvu'!$A465,Työkonekanta!$A$3:$A$24,0),1),0)</f>
        <v>0</v>
      </c>
      <c r="C465" s="140">
        <v>2034</v>
      </c>
      <c r="D465" s="141" t="str">
        <f>IFERROR(INDEX(Työkonekanta!$D$3:$D$27,MATCH('S0b Baseline kasvu'!$A465,Työkonekanta!$A$3:$A$24,0),1),"undefined")</f>
        <v>pom</v>
      </c>
      <c r="E465" s="145">
        <f>IFERROR(INDEX(Työkonekanta!$G$3:$G$27,MATCH($A465,Työkonekanta!$A$3:$A$24,0),1)*INDEX(Työkonekanta!$H$3:$H$27,MATCH($A465,Työkonekanta!$A$3:$A$24,0),1)*(1+s0b_kasvu*($C465-2019))*$B465,0)</f>
        <v>0</v>
      </c>
      <c r="F465" s="145">
        <f t="shared" si="154"/>
        <v>0</v>
      </c>
      <c r="G465" s="145">
        <f t="shared" si="163"/>
        <v>0</v>
      </c>
      <c r="H465" s="145">
        <f t="shared" si="164"/>
        <v>0</v>
      </c>
      <c r="I465" s="145">
        <f t="shared" si="155"/>
        <v>0</v>
      </c>
      <c r="J465" s="145">
        <f t="shared" si="156"/>
        <v>0</v>
      </c>
      <c r="K465" s="142" t="str">
        <f t="shared" si="165"/>
        <v>l</v>
      </c>
      <c r="L465" s="146">
        <f>IFERROR(INDEX(Työkonekanta!$I$3:$I$27,MATCH('S0b Baseline kasvu'!$A465,Työkonekanta!$A$3:$A$24,0),1)*(I465+J465)*f_adblue,0)</f>
        <v>0</v>
      </c>
      <c r="M465" s="146">
        <f t="shared" si="149"/>
        <v>0</v>
      </c>
      <c r="N465" s="143" t="str">
        <f>IF(tuulisähkö_vuosi&lt;='S0b Baseline kasvu'!C465,"tuulisähkö",ostosähkö_nyt)</f>
        <v>jäännössähkö</v>
      </c>
      <c r="O465" s="147">
        <f>INDEX(Muuttujat!$J$5:$J$21,MATCH($C465,Muuttujat!$H$5:$H$21,0),1)</f>
        <v>59.556652007924122</v>
      </c>
      <c r="P465" s="342">
        <f>1-(INDEX(Muuttujat!$O$5:$O$21,MATCH($C465,Muuttujat!$N$5:$N$21,0),1))</f>
        <v>0.9</v>
      </c>
      <c r="Q465" s="342">
        <f>INDEX(Muuttujat!$O$5:$O$21,MATCH($C465,Muuttujat!$N$5:$N$21,0),1)</f>
        <v>0.1</v>
      </c>
      <c r="R465" s="148">
        <f>INDEX(Muuttujat!$P$5:$P$21,MATCH($C465,Muuttujat!$N$5:$N$21,0),1)</f>
        <v>0.10417875759940039</v>
      </c>
      <c r="S465" s="149">
        <f t="shared" si="157"/>
        <v>0</v>
      </c>
      <c r="T465" s="150">
        <f t="shared" si="158"/>
        <v>0</v>
      </c>
      <c r="U465" s="150">
        <f t="shared" si="159"/>
        <v>0</v>
      </c>
      <c r="V465" s="150">
        <f>IFERROR(INDEX(Työkonekanta!$J$3:$J$27,MATCH($A465,Työkonekanta!$A$3:$A$24,0),1)*$B465*ef_li_ion_akku/1000/1000/INDEX(Työkonekanta!$K$3:$K$27,MATCH($A465,Työkonekanta!$A$3:$A$24,0)),0)</f>
        <v>0</v>
      </c>
      <c r="W465" s="149">
        <f t="shared" si="150"/>
        <v>0</v>
      </c>
      <c r="X465" s="150">
        <f t="shared" si="151"/>
        <v>0</v>
      </c>
      <c r="Y465" s="151">
        <f t="shared" si="152"/>
        <v>0</v>
      </c>
      <c r="Z465" s="152">
        <f t="shared" si="166"/>
        <v>0</v>
      </c>
      <c r="AA465" s="179">
        <f t="shared" si="167"/>
        <v>0</v>
      </c>
      <c r="AB465" s="179">
        <f t="shared" si="168"/>
        <v>0</v>
      </c>
      <c r="AC465" s="180">
        <f t="shared" si="153"/>
        <v>0</v>
      </c>
      <c r="AD465" s="156">
        <f t="shared" si="169"/>
        <v>0</v>
      </c>
      <c r="AE465" s="146">
        <f>IFERROR(INDEX(Työkonekanta!$L$3:$L$30,MATCH($A465,Työkonekanta!$A$3:$A$30,0),1),0)*AF465</f>
        <v>0</v>
      </c>
      <c r="AF465" s="146">
        <f>IFERROR(INDEX(Työkonekanta!$N$3:$N$32,MATCH($A465,Työkonekanta!$A$3:$A$32,0),1),0)</f>
        <v>0</v>
      </c>
      <c r="AG465" s="332">
        <f>I465*INDEX(Muuttujat!$U$5:$U$21,MATCH($C465,Muuttujat!$N$5:$N$21,0),1)</f>
        <v>0</v>
      </c>
      <c r="AH465" s="332">
        <f>J465*INDEX(Muuttujat!$T$5:$T$21,MATCH($C465,Muuttujat!$N$5:$N$21,0),1)</f>
        <v>0</v>
      </c>
      <c r="AI465" s="332">
        <f t="shared" si="160"/>
        <v>0</v>
      </c>
      <c r="AJ465" s="332">
        <f t="shared" si="161"/>
        <v>0</v>
      </c>
      <c r="AK465" s="332">
        <f t="shared" si="170"/>
        <v>0</v>
      </c>
      <c r="AL465" s="332">
        <f t="shared" si="162"/>
        <v>0</v>
      </c>
    </row>
    <row r="466" spans="1:38">
      <c r="A466" s="139">
        <v>14</v>
      </c>
      <c r="B466" s="139">
        <f>IFERROR(INDEX(Työkonekanta!$F$3:$F$27,MATCH('S0b Baseline kasvu'!$A466,Työkonekanta!$A$3:$A$24,0),1),0)</f>
        <v>0</v>
      </c>
      <c r="C466" s="140">
        <v>2034</v>
      </c>
      <c r="D466" s="141" t="str">
        <f>IFERROR(INDEX(Työkonekanta!$D$3:$D$27,MATCH('S0b Baseline kasvu'!$A466,Työkonekanta!$A$3:$A$24,0),1),"undefined")</f>
        <v>pom</v>
      </c>
      <c r="E466" s="145">
        <f>IFERROR(INDEX(Työkonekanta!$G$3:$G$27,MATCH($A466,Työkonekanta!$A$3:$A$24,0),1)*INDEX(Työkonekanta!$H$3:$H$27,MATCH($A466,Työkonekanta!$A$3:$A$24,0),1)*(1+s0b_kasvu*($C466-2019))*$B466,0)</f>
        <v>0</v>
      </c>
      <c r="F466" s="145">
        <f t="shared" si="154"/>
        <v>0</v>
      </c>
      <c r="G466" s="145">
        <f t="shared" si="163"/>
        <v>0</v>
      </c>
      <c r="H466" s="145">
        <f t="shared" si="164"/>
        <v>0</v>
      </c>
      <c r="I466" s="145">
        <f t="shared" si="155"/>
        <v>0</v>
      </c>
      <c r="J466" s="145">
        <f t="shared" si="156"/>
        <v>0</v>
      </c>
      <c r="K466" s="142" t="str">
        <f t="shared" si="165"/>
        <v>l</v>
      </c>
      <c r="L466" s="146">
        <f>IFERROR(INDEX(Työkonekanta!$I$3:$I$27,MATCH('S0b Baseline kasvu'!$A466,Työkonekanta!$A$3:$A$24,0),1)*(I466+J466)*f_adblue,0)</f>
        <v>0</v>
      </c>
      <c r="M466" s="146">
        <f t="shared" si="149"/>
        <v>0</v>
      </c>
      <c r="N466" s="143" t="str">
        <f>IF(tuulisähkö_vuosi&lt;='S0b Baseline kasvu'!C466,"tuulisähkö",ostosähkö_nyt)</f>
        <v>jäännössähkö</v>
      </c>
      <c r="O466" s="147">
        <f>INDEX(Muuttujat!$J$5:$J$21,MATCH($C466,Muuttujat!$H$5:$H$21,0),1)</f>
        <v>59.556652007924122</v>
      </c>
      <c r="P466" s="342">
        <f>1-(INDEX(Muuttujat!$O$5:$O$21,MATCH($C466,Muuttujat!$N$5:$N$21,0),1))</f>
        <v>0.9</v>
      </c>
      <c r="Q466" s="342">
        <f>INDEX(Muuttujat!$O$5:$O$21,MATCH($C466,Muuttujat!$N$5:$N$21,0),1)</f>
        <v>0.1</v>
      </c>
      <c r="R466" s="148">
        <f>INDEX(Muuttujat!$P$5:$P$21,MATCH($C466,Muuttujat!$N$5:$N$21,0),1)</f>
        <v>0.10417875759940039</v>
      </c>
      <c r="S466" s="149">
        <f t="shared" si="157"/>
        <v>0</v>
      </c>
      <c r="T466" s="150">
        <f t="shared" si="158"/>
        <v>0</v>
      </c>
      <c r="U466" s="150">
        <f t="shared" si="159"/>
        <v>0</v>
      </c>
      <c r="V466" s="150">
        <f>IFERROR(INDEX(Työkonekanta!$J$3:$J$27,MATCH($A466,Työkonekanta!$A$3:$A$24,0),1)*$B466*ef_li_ion_akku/1000/1000/INDEX(Työkonekanta!$K$3:$K$27,MATCH($A466,Työkonekanta!$A$3:$A$24,0)),0)</f>
        <v>0</v>
      </c>
      <c r="W466" s="149">
        <f t="shared" si="150"/>
        <v>0</v>
      </c>
      <c r="X466" s="150">
        <f t="shared" si="151"/>
        <v>0</v>
      </c>
      <c r="Y466" s="151">
        <f t="shared" si="152"/>
        <v>0</v>
      </c>
      <c r="Z466" s="152">
        <f t="shared" si="166"/>
        <v>0</v>
      </c>
      <c r="AA466" s="179">
        <f t="shared" si="167"/>
        <v>0</v>
      </c>
      <c r="AB466" s="179">
        <f t="shared" si="168"/>
        <v>0</v>
      </c>
      <c r="AC466" s="180">
        <f t="shared" si="153"/>
        <v>0</v>
      </c>
      <c r="AD466" s="156">
        <f t="shared" si="169"/>
        <v>0</v>
      </c>
      <c r="AE466" s="146">
        <f>IFERROR(INDEX(Työkonekanta!$L$3:$L$30,MATCH($A466,Työkonekanta!$A$3:$A$30,0),1),0)*AF466</f>
        <v>0</v>
      </c>
      <c r="AF466" s="146">
        <f>IFERROR(INDEX(Työkonekanta!$N$3:$N$32,MATCH($A466,Työkonekanta!$A$3:$A$32,0),1),0)</f>
        <v>0</v>
      </c>
      <c r="AG466" s="332">
        <f>I466*INDEX(Muuttujat!$U$5:$U$21,MATCH($C466,Muuttujat!$N$5:$N$21,0),1)</f>
        <v>0</v>
      </c>
      <c r="AH466" s="332">
        <f>J466*INDEX(Muuttujat!$T$5:$T$21,MATCH($C466,Muuttujat!$N$5:$N$21,0),1)</f>
        <v>0</v>
      </c>
      <c r="AI466" s="332">
        <f t="shared" si="160"/>
        <v>0</v>
      </c>
      <c r="AJ466" s="332">
        <f t="shared" si="161"/>
        <v>0</v>
      </c>
      <c r="AK466" s="332">
        <f t="shared" si="170"/>
        <v>0</v>
      </c>
      <c r="AL466" s="332">
        <f t="shared" si="162"/>
        <v>0</v>
      </c>
    </row>
    <row r="467" spans="1:38">
      <c r="A467" s="139">
        <v>15</v>
      </c>
      <c r="B467" s="139">
        <f>IFERROR(INDEX(Työkonekanta!$F$3:$F$27,MATCH('S0b Baseline kasvu'!$A467,Työkonekanta!$A$3:$A$24,0),1),0)</f>
        <v>0</v>
      </c>
      <c r="C467" s="140">
        <v>2034</v>
      </c>
      <c r="D467" s="141" t="str">
        <f>IFERROR(INDEX(Työkonekanta!$D$3:$D$27,MATCH('S0b Baseline kasvu'!$A467,Työkonekanta!$A$3:$A$24,0),1),"undefined")</f>
        <v>sähkö</v>
      </c>
      <c r="E467" s="145">
        <f>IFERROR(INDEX(Työkonekanta!$G$3:$G$27,MATCH($A467,Työkonekanta!$A$3:$A$24,0),1)*INDEX(Työkonekanta!$H$3:$H$27,MATCH($A467,Työkonekanta!$A$3:$A$24,0),1)*(1+s0b_kasvu*($C467-2019))*$B467,0)</f>
        <v>0</v>
      </c>
      <c r="F467" s="145">
        <f t="shared" si="154"/>
        <v>0</v>
      </c>
      <c r="G467" s="145">
        <f t="shared" si="163"/>
        <v>0</v>
      </c>
      <c r="H467" s="145">
        <f t="shared" si="164"/>
        <v>0</v>
      </c>
      <c r="I467" s="145">
        <f t="shared" si="155"/>
        <v>0</v>
      </c>
      <c r="J467" s="145">
        <f t="shared" si="156"/>
        <v>0</v>
      </c>
      <c r="K467" s="142" t="str">
        <f t="shared" si="165"/>
        <v>kWh</v>
      </c>
      <c r="L467" s="146">
        <f>IFERROR(INDEX(Työkonekanta!$I$3:$I$27,MATCH('S0b Baseline kasvu'!$A467,Työkonekanta!$A$3:$A$24,0),1)*(I467+J467)*f_adblue,0)</f>
        <v>0</v>
      </c>
      <c r="M467" s="146">
        <f t="shared" ref="M467:M512" si="171">IF($D467="sähkö",conv_kwh_mj*$E467,0)</f>
        <v>0</v>
      </c>
      <c r="N467" s="143" t="str">
        <f>IF(tuulisähkö_vuosi&lt;='S0b Baseline kasvu'!C467,"tuulisähkö",ostosähkö_nyt)</f>
        <v>jäännössähkö</v>
      </c>
      <c r="O467" s="147">
        <f>INDEX(Muuttujat!$J$5:$J$21,MATCH($C467,Muuttujat!$H$5:$H$21,0),1)</f>
        <v>59.556652007924122</v>
      </c>
      <c r="P467" s="342">
        <f>1-(INDEX(Muuttujat!$O$5:$O$21,MATCH($C467,Muuttujat!$N$5:$N$21,0),1))</f>
        <v>0.9</v>
      </c>
      <c r="Q467" s="342">
        <f>INDEX(Muuttujat!$O$5:$O$21,MATCH($C467,Muuttujat!$N$5:$N$21,0),1)</f>
        <v>0.1</v>
      </c>
      <c r="R467" s="148">
        <f>INDEX(Muuttujat!$P$5:$P$21,MATCH($C467,Muuttujat!$N$5:$N$21,0),1)</f>
        <v>0.10417875759940039</v>
      </c>
      <c r="S467" s="149">
        <f t="shared" si="157"/>
        <v>0</v>
      </c>
      <c r="T467" s="150">
        <f t="shared" si="158"/>
        <v>0</v>
      </c>
      <c r="U467" s="150">
        <f t="shared" si="159"/>
        <v>0</v>
      </c>
      <c r="V467" s="150">
        <f>IFERROR(INDEX(Työkonekanta!$J$3:$J$27,MATCH($A467,Työkonekanta!$A$3:$A$24,0),1)*$B467*ef_li_ion_akku/1000/1000/INDEX(Työkonekanta!$K$3:$K$27,MATCH($A467,Työkonekanta!$A$3:$A$24,0)),0)</f>
        <v>0</v>
      </c>
      <c r="W467" s="149">
        <f t="shared" ref="W467:W512" si="172">($I467*IF($D467="pom",ef_v_co2_pom,0))/1000/1000</f>
        <v>0</v>
      </c>
      <c r="X467" s="150">
        <f t="shared" ref="X467:X512" si="173">($E467*(IF($D467="pom",ef_v_ch4_pom,0)*gwp100_ch4+IF($D467="pom",ef_v_n2o_pom,0)*gwp100_n2o))/1000/1000</f>
        <v>0</v>
      </c>
      <c r="Y467" s="151">
        <f t="shared" ref="Y467:Y512" si="174">$L467*ef_v_co2_adblue/1000/1000</f>
        <v>0</v>
      </c>
      <c r="Z467" s="152">
        <f t="shared" si="166"/>
        <v>0</v>
      </c>
      <c r="AA467" s="179">
        <f t="shared" si="167"/>
        <v>0</v>
      </c>
      <c r="AB467" s="179">
        <f t="shared" si="168"/>
        <v>0</v>
      </c>
      <c r="AC467" s="180">
        <f t="shared" ref="AC467:AC512" si="175">$Z467+$AA467</f>
        <v>0</v>
      </c>
      <c r="AD467" s="156">
        <f t="shared" si="169"/>
        <v>0</v>
      </c>
      <c r="AE467" s="146">
        <f>IFERROR(INDEX(Työkonekanta!$L$3:$L$30,MATCH($A467,Työkonekanta!$A$3:$A$30,0),1),0)*AF467</f>
        <v>0</v>
      </c>
      <c r="AF467" s="146">
        <f>IFERROR(INDEX(Työkonekanta!$N$3:$N$32,MATCH($A467,Työkonekanta!$A$3:$A$32,0),1),0)</f>
        <v>0</v>
      </c>
      <c r="AG467" s="332">
        <f>I467*INDEX(Muuttujat!$U$5:$U$21,MATCH($C467,Muuttujat!$N$5:$N$21,0),1)</f>
        <v>0</v>
      </c>
      <c r="AH467" s="332">
        <f>J467*INDEX(Muuttujat!$T$5:$T$21,MATCH($C467,Muuttujat!$N$5:$N$21,0),1)</f>
        <v>0</v>
      </c>
      <c r="AI467" s="332">
        <f t="shared" si="160"/>
        <v>0</v>
      </c>
      <c r="AJ467" s="332">
        <f t="shared" si="161"/>
        <v>0</v>
      </c>
      <c r="AK467" s="332">
        <f t="shared" si="170"/>
        <v>0</v>
      </c>
      <c r="AL467" s="332">
        <f t="shared" si="162"/>
        <v>0</v>
      </c>
    </row>
    <row r="468" spans="1:38">
      <c r="A468" s="139">
        <v>16</v>
      </c>
      <c r="B468" s="139">
        <f>IFERROR(INDEX(Työkonekanta!$F$3:$F$27,MATCH('S0b Baseline kasvu'!$A468,Työkonekanta!$A$3:$A$24,0),1),0)</f>
        <v>0</v>
      </c>
      <c r="C468" s="140">
        <v>2034</v>
      </c>
      <c r="D468" s="141" t="str">
        <f>IFERROR(INDEX(Työkonekanta!$D$3:$D$27,MATCH('S0b Baseline kasvu'!$A468,Työkonekanta!$A$3:$A$24,0),1),"undefined")</f>
        <v>sähkö</v>
      </c>
      <c r="E468" s="145">
        <f>IFERROR(INDEX(Työkonekanta!$G$3:$G$27,MATCH($A468,Työkonekanta!$A$3:$A$24,0),1)*INDEX(Työkonekanta!$H$3:$H$27,MATCH($A468,Työkonekanta!$A$3:$A$24,0),1)*(1+s0b_kasvu*($C468-2019))*$B468,0)</f>
        <v>0</v>
      </c>
      <c r="F468" s="145">
        <f t="shared" si="154"/>
        <v>0</v>
      </c>
      <c r="G468" s="145">
        <f t="shared" si="163"/>
        <v>0</v>
      </c>
      <c r="H468" s="145">
        <f t="shared" si="164"/>
        <v>0</v>
      </c>
      <c r="I468" s="145">
        <f t="shared" si="155"/>
        <v>0</v>
      </c>
      <c r="J468" s="145">
        <f t="shared" si="156"/>
        <v>0</v>
      </c>
      <c r="K468" s="142" t="str">
        <f t="shared" si="165"/>
        <v>kWh</v>
      </c>
      <c r="L468" s="146">
        <f>IFERROR(INDEX(Työkonekanta!$I$3:$I$27,MATCH('S0b Baseline kasvu'!$A468,Työkonekanta!$A$3:$A$24,0),1)*(I468+J468)*f_adblue,0)</f>
        <v>0</v>
      </c>
      <c r="M468" s="146">
        <f t="shared" si="171"/>
        <v>0</v>
      </c>
      <c r="N468" s="143" t="str">
        <f>IF(tuulisähkö_vuosi&lt;='S0b Baseline kasvu'!C468,"tuulisähkö",ostosähkö_nyt)</f>
        <v>jäännössähkö</v>
      </c>
      <c r="O468" s="147">
        <f>INDEX(Muuttujat!$J$5:$J$21,MATCH($C468,Muuttujat!$H$5:$H$21,0),1)</f>
        <v>59.556652007924122</v>
      </c>
      <c r="P468" s="342">
        <f>1-(INDEX(Muuttujat!$O$5:$O$21,MATCH($C468,Muuttujat!$N$5:$N$21,0),1))</f>
        <v>0.9</v>
      </c>
      <c r="Q468" s="342">
        <f>INDEX(Muuttujat!$O$5:$O$21,MATCH($C468,Muuttujat!$N$5:$N$21,0),1)</f>
        <v>0.1</v>
      </c>
      <c r="R468" s="148">
        <f>INDEX(Muuttujat!$P$5:$P$21,MATCH($C468,Muuttujat!$N$5:$N$21,0),1)</f>
        <v>0.10417875759940039</v>
      </c>
      <c r="S468" s="149">
        <f t="shared" si="157"/>
        <v>0</v>
      </c>
      <c r="T468" s="150">
        <f t="shared" si="158"/>
        <v>0</v>
      </c>
      <c r="U468" s="150">
        <f t="shared" si="159"/>
        <v>0</v>
      </c>
      <c r="V468" s="150">
        <f>IFERROR(INDEX(Työkonekanta!$J$3:$J$27,MATCH($A468,Työkonekanta!$A$3:$A$24,0),1)*$B468*ef_li_ion_akku/1000/1000/INDEX(Työkonekanta!$K$3:$K$27,MATCH($A468,Työkonekanta!$A$3:$A$24,0)),0)</f>
        <v>0</v>
      </c>
      <c r="W468" s="149">
        <f t="shared" si="172"/>
        <v>0</v>
      </c>
      <c r="X468" s="150">
        <f t="shared" si="173"/>
        <v>0</v>
      </c>
      <c r="Y468" s="151">
        <f t="shared" si="174"/>
        <v>0</v>
      </c>
      <c r="Z468" s="152">
        <f t="shared" si="166"/>
        <v>0</v>
      </c>
      <c r="AA468" s="179">
        <f t="shared" si="167"/>
        <v>0</v>
      </c>
      <c r="AB468" s="179">
        <f t="shared" si="168"/>
        <v>0</v>
      </c>
      <c r="AC468" s="180">
        <f t="shared" si="175"/>
        <v>0</v>
      </c>
      <c r="AD468" s="156">
        <f t="shared" si="169"/>
        <v>0</v>
      </c>
      <c r="AE468" s="146">
        <f>IFERROR(INDEX(Työkonekanta!$L$3:$L$30,MATCH($A468,Työkonekanta!$A$3:$A$30,0),1),0)*AF468</f>
        <v>0</v>
      </c>
      <c r="AF468" s="146">
        <f>IFERROR(INDEX(Työkonekanta!$N$3:$N$32,MATCH($A468,Työkonekanta!$A$3:$A$32,0),1),0)</f>
        <v>0</v>
      </c>
      <c r="AG468" s="332">
        <f>I468*INDEX(Muuttujat!$U$5:$U$21,MATCH($C468,Muuttujat!$N$5:$N$21,0),1)</f>
        <v>0</v>
      </c>
      <c r="AH468" s="332">
        <f>J468*INDEX(Muuttujat!$T$5:$T$21,MATCH($C468,Muuttujat!$N$5:$N$21,0),1)</f>
        <v>0</v>
      </c>
      <c r="AI468" s="332">
        <f t="shared" si="160"/>
        <v>0</v>
      </c>
      <c r="AJ468" s="332">
        <f t="shared" si="161"/>
        <v>0</v>
      </c>
      <c r="AK468" s="332">
        <f t="shared" si="170"/>
        <v>0</v>
      </c>
      <c r="AL468" s="332">
        <f t="shared" si="162"/>
        <v>0</v>
      </c>
    </row>
    <row r="469" spans="1:38">
      <c r="A469" s="139">
        <v>17</v>
      </c>
      <c r="B469" s="139">
        <f>IFERROR(INDEX(Työkonekanta!$F$3:$F$27,MATCH('S0b Baseline kasvu'!$A469,Työkonekanta!$A$3:$A$24,0),1),0)</f>
        <v>1</v>
      </c>
      <c r="C469" s="140">
        <v>2034</v>
      </c>
      <c r="D469" s="141" t="str">
        <f>IFERROR(INDEX(Työkonekanta!$D$3:$D$27,MATCH('S0b Baseline kasvu'!$A469,Työkonekanta!$A$3:$A$24,0),1),"undefined")</f>
        <v>pom</v>
      </c>
      <c r="E469" s="145">
        <f>IFERROR(INDEX(Työkonekanta!$G$3:$G$27,MATCH($A469,Työkonekanta!$A$3:$A$24,0),1)*INDEX(Työkonekanta!$H$3:$H$27,MATCH($A469,Työkonekanta!$A$3:$A$24,0),1)*(1+s0b_kasvu*($C469-2019))*$B469,0)</f>
        <v>11500</v>
      </c>
      <c r="F469" s="145">
        <f t="shared" si="154"/>
        <v>412850</v>
      </c>
      <c r="G469" s="145">
        <f t="shared" si="163"/>
        <v>371565</v>
      </c>
      <c r="H469" s="145">
        <f t="shared" si="164"/>
        <v>41285</v>
      </c>
      <c r="I469" s="145">
        <f t="shared" si="155"/>
        <v>10350</v>
      </c>
      <c r="J469" s="145">
        <f t="shared" si="156"/>
        <v>1203.6443148688047</v>
      </c>
      <c r="K469" s="142" t="str">
        <f t="shared" si="165"/>
        <v>l</v>
      </c>
      <c r="L469" s="146">
        <f>IFERROR(INDEX(Työkonekanta!$I$3:$I$27,MATCH('S0b Baseline kasvu'!$A469,Työkonekanta!$A$3:$A$24,0),1)*(I469+J469)*f_adblue,0)</f>
        <v>577.68221574344022</v>
      </c>
      <c r="M469" s="146">
        <f t="shared" si="171"/>
        <v>0</v>
      </c>
      <c r="N469" s="143" t="str">
        <f>IF(tuulisähkö_vuosi&lt;='S0b Baseline kasvu'!C469,"tuulisähkö",ostosähkö_nyt)</f>
        <v>jäännössähkö</v>
      </c>
      <c r="O469" s="147">
        <f>INDEX(Muuttujat!$J$5:$J$21,MATCH($C469,Muuttujat!$H$5:$H$21,0),1)</f>
        <v>59.556652007924122</v>
      </c>
      <c r="P469" s="342">
        <f>1-(INDEX(Muuttujat!$O$5:$O$21,MATCH($C469,Muuttujat!$N$5:$N$21,0),1))</f>
        <v>0.9</v>
      </c>
      <c r="Q469" s="342">
        <f>INDEX(Muuttujat!$O$5:$O$21,MATCH($C469,Muuttujat!$N$5:$N$21,0),1)</f>
        <v>0.1</v>
      </c>
      <c r="R469" s="148">
        <f>INDEX(Muuttujat!$P$5:$P$21,MATCH($C469,Muuttujat!$N$5:$N$21,0),1)</f>
        <v>0.10417875759940039</v>
      </c>
      <c r="S469" s="149">
        <f t="shared" si="157"/>
        <v>7.0225784999999989</v>
      </c>
      <c r="T469" s="150">
        <f t="shared" si="158"/>
        <v>2.576184</v>
      </c>
      <c r="U469" s="150">
        <f t="shared" si="159"/>
        <v>0</v>
      </c>
      <c r="V469" s="150">
        <f>IFERROR(INDEX(Työkonekanta!$J$3:$J$27,MATCH($A469,Työkonekanta!$A$3:$A$24,0),1)*$B469*ef_li_ion_akku/1000/1000/INDEX(Työkonekanta!$K$3:$K$27,MATCH($A469,Työkonekanta!$A$3:$A$24,0)),0)</f>
        <v>0</v>
      </c>
      <c r="W469" s="149">
        <f t="shared" si="172"/>
        <v>27.424564001010001</v>
      </c>
      <c r="X469" s="150">
        <f t="shared" si="173"/>
        <v>0.36540750900000002</v>
      </c>
      <c r="Y469" s="151">
        <f t="shared" si="174"/>
        <v>0.15019737609329448</v>
      </c>
      <c r="Z469" s="152">
        <f t="shared" si="166"/>
        <v>9.5987624999999994</v>
      </c>
      <c r="AA469" s="179">
        <f t="shared" si="167"/>
        <v>27.574761377103297</v>
      </c>
      <c r="AB469" s="179">
        <f t="shared" si="168"/>
        <v>27.940168886103297</v>
      </c>
      <c r="AC469" s="180">
        <f t="shared" si="175"/>
        <v>37.173523877103293</v>
      </c>
      <c r="AD469" s="156">
        <f t="shared" si="169"/>
        <v>37.5389313861033</v>
      </c>
      <c r="AE469" s="146">
        <f>IFERROR(INDEX(Työkonekanta!$L$3:$L$30,MATCH($A469,Työkonekanta!$A$3:$A$30,0),1),0)*AF469</f>
        <v>500000</v>
      </c>
      <c r="AF469" s="146">
        <f>IFERROR(INDEX(Työkonekanta!$N$3:$N$32,MATCH($A469,Työkonekanta!$A$3:$A$32,0),1),0)</f>
        <v>1</v>
      </c>
      <c r="AG469" s="332">
        <f>I469*INDEX(Muuttujat!$U$5:$U$21,MATCH($C469,Muuttujat!$N$5:$N$21,0),1)</f>
        <v>10867.5</v>
      </c>
      <c r="AH469" s="332">
        <f>J469*INDEX(Muuttujat!$T$5:$T$21,MATCH($C469,Muuttujat!$N$5:$N$21,0),1)</f>
        <v>1745.2842565597671</v>
      </c>
      <c r="AI469" s="332">
        <f t="shared" si="160"/>
        <v>288.84110787172011</v>
      </c>
      <c r="AJ469" s="332">
        <f t="shared" si="161"/>
        <v>0</v>
      </c>
      <c r="AK469" s="332">
        <f t="shared" si="170"/>
        <v>12901.625364431487</v>
      </c>
      <c r="AL469" s="332">
        <f t="shared" si="162"/>
        <v>12901.625364431487</v>
      </c>
    </row>
    <row r="470" spans="1:38">
      <c r="A470" s="139">
        <v>18</v>
      </c>
      <c r="B470" s="139">
        <f>IFERROR(INDEX(Työkonekanta!$F$3:$F$27,MATCH('S0b Baseline kasvu'!$A470,Työkonekanta!$A$3:$A$24,0),1),0)</f>
        <v>1</v>
      </c>
      <c r="C470" s="140">
        <v>2034</v>
      </c>
      <c r="D470" s="141" t="str">
        <f>IFERROR(INDEX(Työkonekanta!$D$3:$D$27,MATCH('S0b Baseline kasvu'!$A470,Työkonekanta!$A$3:$A$24,0),1),"undefined")</f>
        <v>pom</v>
      </c>
      <c r="E470" s="145">
        <f>IFERROR(INDEX(Työkonekanta!$G$3:$G$27,MATCH($A470,Työkonekanta!$A$3:$A$24,0),1)*INDEX(Työkonekanta!$H$3:$H$27,MATCH($A470,Työkonekanta!$A$3:$A$24,0),1)*(1+s0b_kasvu*($C470-2019))*$B470,0)</f>
        <v>11500</v>
      </c>
      <c r="F470" s="145">
        <f t="shared" si="154"/>
        <v>412850</v>
      </c>
      <c r="G470" s="145">
        <f t="shared" si="163"/>
        <v>371565</v>
      </c>
      <c r="H470" s="145">
        <f t="shared" si="164"/>
        <v>41285</v>
      </c>
      <c r="I470" s="145">
        <f t="shared" si="155"/>
        <v>10350</v>
      </c>
      <c r="J470" s="145">
        <f t="shared" si="156"/>
        <v>1203.6443148688047</v>
      </c>
      <c r="K470" s="142" t="str">
        <f t="shared" si="165"/>
        <v>l</v>
      </c>
      <c r="L470" s="146">
        <f>IFERROR(INDEX(Työkonekanta!$I$3:$I$27,MATCH('S0b Baseline kasvu'!$A470,Työkonekanta!$A$3:$A$24,0),1)*(I470+J470)*f_adblue,0)</f>
        <v>462.1457725947522</v>
      </c>
      <c r="M470" s="146">
        <f t="shared" si="171"/>
        <v>0</v>
      </c>
      <c r="N470" s="143" t="str">
        <f>IF(tuulisähkö_vuosi&lt;='S0b Baseline kasvu'!C470,"tuulisähkö",ostosähkö_nyt)</f>
        <v>jäännössähkö</v>
      </c>
      <c r="O470" s="147">
        <f>INDEX(Muuttujat!$J$5:$J$21,MATCH($C470,Muuttujat!$H$5:$H$21,0),1)</f>
        <v>59.556652007924122</v>
      </c>
      <c r="P470" s="342">
        <f>1-(INDEX(Muuttujat!$O$5:$O$21,MATCH($C470,Muuttujat!$N$5:$N$21,0),1))</f>
        <v>0.9</v>
      </c>
      <c r="Q470" s="342">
        <f>INDEX(Muuttujat!$O$5:$O$21,MATCH($C470,Muuttujat!$N$5:$N$21,0),1)</f>
        <v>0.1</v>
      </c>
      <c r="R470" s="148">
        <f>INDEX(Muuttujat!$P$5:$P$21,MATCH($C470,Muuttujat!$N$5:$N$21,0),1)</f>
        <v>0.10417875759940039</v>
      </c>
      <c r="S470" s="149">
        <f t="shared" si="157"/>
        <v>7.0225784999999989</v>
      </c>
      <c r="T470" s="150">
        <f t="shared" si="158"/>
        <v>2.576184</v>
      </c>
      <c r="U470" s="150">
        <f t="shared" si="159"/>
        <v>0</v>
      </c>
      <c r="V470" s="150">
        <f>IFERROR(INDEX(Työkonekanta!$J$3:$J$27,MATCH($A470,Työkonekanta!$A$3:$A$24,0),1)*$B470*ef_li_ion_akku/1000/1000/INDEX(Työkonekanta!$K$3:$K$27,MATCH($A470,Työkonekanta!$A$3:$A$24,0)),0)</f>
        <v>0</v>
      </c>
      <c r="W470" s="149">
        <f t="shared" si="172"/>
        <v>27.424564001010001</v>
      </c>
      <c r="X470" s="150">
        <f t="shared" si="173"/>
        <v>0.36540750900000002</v>
      </c>
      <c r="Y470" s="151">
        <f t="shared" si="174"/>
        <v>0.12015790087463557</v>
      </c>
      <c r="Z470" s="152">
        <f t="shared" si="166"/>
        <v>9.5987624999999994</v>
      </c>
      <c r="AA470" s="179">
        <f t="shared" si="167"/>
        <v>27.544721901884635</v>
      </c>
      <c r="AB470" s="179">
        <f t="shared" si="168"/>
        <v>27.910129410884636</v>
      </c>
      <c r="AC470" s="180">
        <f t="shared" si="175"/>
        <v>37.143484401884635</v>
      </c>
      <c r="AD470" s="156">
        <f t="shared" si="169"/>
        <v>37.508891910884635</v>
      </c>
      <c r="AE470" s="146">
        <f>IFERROR(INDEX(Työkonekanta!$L$3:$L$30,MATCH($A470,Työkonekanta!$A$3:$A$30,0),1),0)*AF470</f>
        <v>500000</v>
      </c>
      <c r="AF470" s="146">
        <f>IFERROR(INDEX(Työkonekanta!$N$3:$N$32,MATCH($A470,Työkonekanta!$A$3:$A$32,0),1),0)</f>
        <v>1</v>
      </c>
      <c r="AG470" s="332">
        <f>I470*INDEX(Muuttujat!$U$5:$U$21,MATCH($C470,Muuttujat!$N$5:$N$21,0),1)</f>
        <v>10867.5</v>
      </c>
      <c r="AH470" s="332">
        <f>J470*INDEX(Muuttujat!$T$5:$T$21,MATCH($C470,Muuttujat!$N$5:$N$21,0),1)</f>
        <v>1745.2842565597671</v>
      </c>
      <c r="AI470" s="332">
        <f t="shared" si="160"/>
        <v>231.0728862973761</v>
      </c>
      <c r="AJ470" s="332">
        <f t="shared" si="161"/>
        <v>0</v>
      </c>
      <c r="AK470" s="332">
        <f t="shared" si="170"/>
        <v>12843.857142857143</v>
      </c>
      <c r="AL470" s="332">
        <f t="shared" si="162"/>
        <v>12843.857142857143</v>
      </c>
    </row>
    <row r="471" spans="1:38">
      <c r="A471" s="139">
        <v>19</v>
      </c>
      <c r="B471" s="139">
        <f>IFERROR(INDEX(Työkonekanta!$F$3:$F$27,MATCH('S0b Baseline kasvu'!$A471,Työkonekanta!$A$3:$A$24,0),1),0)</f>
        <v>0</v>
      </c>
      <c r="C471" s="140">
        <v>2034</v>
      </c>
      <c r="D471" s="141" t="str">
        <f>IFERROR(INDEX(Työkonekanta!$D$3:$D$27,MATCH('S0b Baseline kasvu'!$A471,Työkonekanta!$A$3:$A$24,0),1),"undefined")</f>
        <v>pom</v>
      </c>
      <c r="E471" s="145">
        <f>IFERROR(INDEX(Työkonekanta!$G$3:$G$27,MATCH($A471,Työkonekanta!$A$3:$A$24,0),1)*INDEX(Työkonekanta!$H$3:$H$27,MATCH($A471,Työkonekanta!$A$3:$A$24,0),1)*(1+s0b_kasvu*($C471-2019))*$B471,0)</f>
        <v>0</v>
      </c>
      <c r="F471" s="145">
        <f t="shared" si="154"/>
        <v>0</v>
      </c>
      <c r="G471" s="145">
        <f t="shared" si="163"/>
        <v>0</v>
      </c>
      <c r="H471" s="145">
        <f t="shared" si="164"/>
        <v>0</v>
      </c>
      <c r="I471" s="145">
        <f t="shared" si="155"/>
        <v>0</v>
      </c>
      <c r="J471" s="145">
        <f t="shared" si="156"/>
        <v>0</v>
      </c>
      <c r="K471" s="142" t="str">
        <f t="shared" si="165"/>
        <v>l</v>
      </c>
      <c r="L471" s="146">
        <f>IFERROR(INDEX(Työkonekanta!$I$3:$I$27,MATCH('S0b Baseline kasvu'!$A471,Työkonekanta!$A$3:$A$24,0),1)*(I471+J471)*f_adblue,0)</f>
        <v>0</v>
      </c>
      <c r="M471" s="146">
        <f t="shared" si="171"/>
        <v>0</v>
      </c>
      <c r="N471" s="143" t="str">
        <f>IF(tuulisähkö_vuosi&lt;='S0b Baseline kasvu'!C471,"tuulisähkö",ostosähkö_nyt)</f>
        <v>jäännössähkö</v>
      </c>
      <c r="O471" s="147">
        <f>INDEX(Muuttujat!$J$5:$J$21,MATCH($C471,Muuttujat!$H$5:$H$21,0),1)</f>
        <v>59.556652007924122</v>
      </c>
      <c r="P471" s="342">
        <f>1-(INDEX(Muuttujat!$O$5:$O$21,MATCH($C471,Muuttujat!$N$5:$N$21,0),1))</f>
        <v>0.9</v>
      </c>
      <c r="Q471" s="342">
        <f>INDEX(Muuttujat!$O$5:$O$21,MATCH($C471,Muuttujat!$N$5:$N$21,0),1)</f>
        <v>0.1</v>
      </c>
      <c r="R471" s="148">
        <f>INDEX(Muuttujat!$P$5:$P$21,MATCH($C471,Muuttujat!$N$5:$N$21,0),1)</f>
        <v>0.10417875759940039</v>
      </c>
      <c r="S471" s="149">
        <f t="shared" si="157"/>
        <v>0</v>
      </c>
      <c r="T471" s="150">
        <f t="shared" si="158"/>
        <v>0</v>
      </c>
      <c r="U471" s="150">
        <f t="shared" si="159"/>
        <v>0</v>
      </c>
      <c r="V471" s="150">
        <f>IFERROR(INDEX(Työkonekanta!$J$3:$J$27,MATCH($A471,Työkonekanta!$A$3:$A$24,0),1)*$B471*ef_li_ion_akku/1000/1000/INDEX(Työkonekanta!$K$3:$K$27,MATCH($A471,Työkonekanta!$A$3:$A$24,0)),0)</f>
        <v>0</v>
      </c>
      <c r="W471" s="149">
        <f t="shared" si="172"/>
        <v>0</v>
      </c>
      <c r="X471" s="150">
        <f t="shared" si="173"/>
        <v>0</v>
      </c>
      <c r="Y471" s="151">
        <f t="shared" si="174"/>
        <v>0</v>
      </c>
      <c r="Z471" s="152">
        <f t="shared" si="166"/>
        <v>0</v>
      </c>
      <c r="AA471" s="179">
        <f t="shared" si="167"/>
        <v>0</v>
      </c>
      <c r="AB471" s="179">
        <f t="shared" si="168"/>
        <v>0</v>
      </c>
      <c r="AC471" s="180">
        <f t="shared" si="175"/>
        <v>0</v>
      </c>
      <c r="AD471" s="156">
        <f t="shared" si="169"/>
        <v>0</v>
      </c>
      <c r="AE471" s="146">
        <f>IFERROR(INDEX(Työkonekanta!$L$3:$L$30,MATCH($A471,Työkonekanta!$A$3:$A$30,0),1),0)*AF471</f>
        <v>0</v>
      </c>
      <c r="AF471" s="146">
        <f>IFERROR(INDEX(Työkonekanta!$N$3:$N$32,MATCH($A471,Työkonekanta!$A$3:$A$32,0),1),0)</f>
        <v>0</v>
      </c>
      <c r="AG471" s="332">
        <f>I471*INDEX(Muuttujat!$U$5:$U$21,MATCH($C471,Muuttujat!$N$5:$N$21,0),1)</f>
        <v>0</v>
      </c>
      <c r="AH471" s="332">
        <f>J471*INDEX(Muuttujat!$T$5:$T$21,MATCH($C471,Muuttujat!$N$5:$N$21,0),1)</f>
        <v>0</v>
      </c>
      <c r="AI471" s="332">
        <f t="shared" si="160"/>
        <v>0</v>
      </c>
      <c r="AJ471" s="332">
        <f t="shared" si="161"/>
        <v>0</v>
      </c>
      <c r="AK471" s="332">
        <f t="shared" si="170"/>
        <v>0</v>
      </c>
      <c r="AL471" s="332">
        <f t="shared" si="162"/>
        <v>0</v>
      </c>
    </row>
    <row r="472" spans="1:38">
      <c r="A472" s="139">
        <v>20</v>
      </c>
      <c r="B472" s="139">
        <f>IFERROR(INDEX(Työkonekanta!$F$3:$F$27,MATCH('S0b Baseline kasvu'!$A472,Työkonekanta!$A$3:$A$24,0),1),0)</f>
        <v>0</v>
      </c>
      <c r="C472" s="140">
        <v>2034</v>
      </c>
      <c r="D472" s="141" t="str">
        <f>IFERROR(INDEX(Työkonekanta!$D$3:$D$27,MATCH('S0b Baseline kasvu'!$A472,Työkonekanta!$A$3:$A$24,0),1),"undefined")</f>
        <v>pom</v>
      </c>
      <c r="E472" s="145">
        <f>IFERROR(INDEX(Työkonekanta!$G$3:$G$27,MATCH($A472,Työkonekanta!$A$3:$A$24,0),1)*INDEX(Työkonekanta!$H$3:$H$27,MATCH($A472,Työkonekanta!$A$3:$A$24,0),1)*(1+s0b_kasvu*($C472-2019))*$B472,0)</f>
        <v>0</v>
      </c>
      <c r="F472" s="145">
        <f t="shared" si="154"/>
        <v>0</v>
      </c>
      <c r="G472" s="145">
        <f t="shared" si="163"/>
        <v>0</v>
      </c>
      <c r="H472" s="145">
        <f t="shared" si="164"/>
        <v>0</v>
      </c>
      <c r="I472" s="145">
        <f t="shared" si="155"/>
        <v>0</v>
      </c>
      <c r="J472" s="145">
        <f t="shared" si="156"/>
        <v>0</v>
      </c>
      <c r="K472" s="142" t="str">
        <f t="shared" si="165"/>
        <v>l</v>
      </c>
      <c r="L472" s="146">
        <f>IFERROR(INDEX(Työkonekanta!$I$3:$I$27,MATCH('S0b Baseline kasvu'!$A472,Työkonekanta!$A$3:$A$24,0),1)*(I472+J472)*f_adblue,0)</f>
        <v>0</v>
      </c>
      <c r="M472" s="146">
        <f t="shared" si="171"/>
        <v>0</v>
      </c>
      <c r="N472" s="143" t="str">
        <f>IF(tuulisähkö_vuosi&lt;='S0b Baseline kasvu'!C472,"tuulisähkö",ostosähkö_nyt)</f>
        <v>jäännössähkö</v>
      </c>
      <c r="O472" s="147">
        <f>INDEX(Muuttujat!$J$5:$J$21,MATCH($C472,Muuttujat!$H$5:$H$21,0),1)</f>
        <v>59.556652007924122</v>
      </c>
      <c r="P472" s="342">
        <f>1-(INDEX(Muuttujat!$O$5:$O$21,MATCH($C472,Muuttujat!$N$5:$N$21,0),1))</f>
        <v>0.9</v>
      </c>
      <c r="Q472" s="342">
        <f>INDEX(Muuttujat!$O$5:$O$21,MATCH($C472,Muuttujat!$N$5:$N$21,0),1)</f>
        <v>0.1</v>
      </c>
      <c r="R472" s="148">
        <f>INDEX(Muuttujat!$P$5:$P$21,MATCH($C472,Muuttujat!$N$5:$N$21,0),1)</f>
        <v>0.10417875759940039</v>
      </c>
      <c r="S472" s="149">
        <f t="shared" si="157"/>
        <v>0</v>
      </c>
      <c r="T472" s="150">
        <f t="shared" si="158"/>
        <v>0</v>
      </c>
      <c r="U472" s="150">
        <f t="shared" si="159"/>
        <v>0</v>
      </c>
      <c r="V472" s="150">
        <f>IFERROR(INDEX(Työkonekanta!$J$3:$J$27,MATCH($A472,Työkonekanta!$A$3:$A$24,0),1)*$B472*ef_li_ion_akku/1000/1000/INDEX(Työkonekanta!$K$3:$K$27,MATCH($A472,Työkonekanta!$A$3:$A$24,0)),0)</f>
        <v>0</v>
      </c>
      <c r="W472" s="149">
        <f t="shared" si="172"/>
        <v>0</v>
      </c>
      <c r="X472" s="150">
        <f t="shared" si="173"/>
        <v>0</v>
      </c>
      <c r="Y472" s="151">
        <f t="shared" si="174"/>
        <v>0</v>
      </c>
      <c r="Z472" s="152">
        <f t="shared" si="166"/>
        <v>0</v>
      </c>
      <c r="AA472" s="179">
        <f t="shared" si="167"/>
        <v>0</v>
      </c>
      <c r="AB472" s="179">
        <f t="shared" si="168"/>
        <v>0</v>
      </c>
      <c r="AC472" s="180">
        <f t="shared" si="175"/>
        <v>0</v>
      </c>
      <c r="AD472" s="156">
        <f t="shared" si="169"/>
        <v>0</v>
      </c>
      <c r="AE472" s="146">
        <f>IFERROR(INDEX(Työkonekanta!$L$3:$L$30,MATCH($A472,Työkonekanta!$A$3:$A$30,0),1),0)*AF472</f>
        <v>0</v>
      </c>
      <c r="AF472" s="146">
        <f>IFERROR(INDEX(Työkonekanta!$N$3:$N$32,MATCH($A472,Työkonekanta!$A$3:$A$32,0),1),0)</f>
        <v>0</v>
      </c>
      <c r="AG472" s="332">
        <f>I472*INDEX(Muuttujat!$U$5:$U$21,MATCH($C472,Muuttujat!$N$5:$N$21,0),1)</f>
        <v>0</v>
      </c>
      <c r="AH472" s="332">
        <f>J472*INDEX(Muuttujat!$T$5:$T$21,MATCH($C472,Muuttujat!$N$5:$N$21,0),1)</f>
        <v>0</v>
      </c>
      <c r="AI472" s="332">
        <f t="shared" si="160"/>
        <v>0</v>
      </c>
      <c r="AJ472" s="332">
        <f t="shared" si="161"/>
        <v>0</v>
      </c>
      <c r="AK472" s="332">
        <f t="shared" si="170"/>
        <v>0</v>
      </c>
      <c r="AL472" s="332">
        <f t="shared" si="162"/>
        <v>0</v>
      </c>
    </row>
    <row r="473" spans="1:38">
      <c r="A473" s="139">
        <v>21</v>
      </c>
      <c r="B473" s="139">
        <f>IFERROR(INDEX(Työkonekanta!$F$3:$F$27,MATCH('S0b Baseline kasvu'!$A473,Työkonekanta!$A$3:$A$24,0),1),0)</f>
        <v>35</v>
      </c>
      <c r="C473" s="140">
        <v>2034</v>
      </c>
      <c r="D473" s="141" t="str">
        <f>IFERROR(INDEX(Työkonekanta!$D$3:$D$27,MATCH('S0b Baseline kasvu'!$A473,Työkonekanta!$A$3:$A$24,0),1),"undefined")</f>
        <v>sähkö</v>
      </c>
      <c r="E473" s="145">
        <f>IFERROR(INDEX(Työkonekanta!$G$3:$G$27,MATCH($A473,Työkonekanta!$A$3:$A$24,0),1)*INDEX(Työkonekanta!$H$3:$H$27,MATCH($A473,Työkonekanta!$A$3:$A$24,0),1)*(1+s0b_kasvu*($C473-2019))*$B473,0)</f>
        <v>468278.93518518517</v>
      </c>
      <c r="F473" s="145">
        <f t="shared" si="154"/>
        <v>0</v>
      </c>
      <c r="G473" s="145">
        <f t="shared" si="163"/>
        <v>0</v>
      </c>
      <c r="H473" s="145">
        <f t="shared" si="164"/>
        <v>0</v>
      </c>
      <c r="I473" s="145">
        <f t="shared" si="155"/>
        <v>0</v>
      </c>
      <c r="J473" s="145">
        <f t="shared" si="156"/>
        <v>0</v>
      </c>
      <c r="K473" s="142" t="str">
        <f t="shared" si="165"/>
        <v>kWh</v>
      </c>
      <c r="L473" s="146">
        <f>IFERROR(INDEX(Työkonekanta!$I$3:$I$27,MATCH('S0b Baseline kasvu'!$A473,Työkonekanta!$A$3:$A$24,0),1)*(I473+J473)*f_adblue,0)</f>
        <v>0</v>
      </c>
      <c r="M473" s="146">
        <f t="shared" si="171"/>
        <v>1685804.1666666667</v>
      </c>
      <c r="N473" s="143" t="str">
        <f>IF(tuulisähkö_vuosi&lt;='S0b Baseline kasvu'!C473,"tuulisähkö",ostosähkö_nyt)</f>
        <v>jäännössähkö</v>
      </c>
      <c r="O473" s="147">
        <f>INDEX(Muuttujat!$J$5:$J$21,MATCH($C473,Muuttujat!$H$5:$H$21,0),1)</f>
        <v>59.556652007924122</v>
      </c>
      <c r="P473" s="342">
        <f>1-(INDEX(Muuttujat!$O$5:$O$21,MATCH($C473,Muuttujat!$N$5:$N$21,0),1))</f>
        <v>0.9</v>
      </c>
      <c r="Q473" s="342">
        <f>INDEX(Muuttujat!$O$5:$O$21,MATCH($C473,Muuttujat!$N$5:$N$21,0),1)</f>
        <v>0.1</v>
      </c>
      <c r="R473" s="148">
        <f>INDEX(Muuttujat!$P$5:$P$21,MATCH($C473,Muuttujat!$N$5:$N$21,0),1)</f>
        <v>0.10417875759940039</v>
      </c>
      <c r="S473" s="149">
        <f t="shared" si="157"/>
        <v>0</v>
      </c>
      <c r="T473" s="150">
        <f t="shared" si="158"/>
        <v>0</v>
      </c>
      <c r="U473" s="150">
        <f t="shared" si="159"/>
        <v>100.40085210767519</v>
      </c>
      <c r="V473" s="150">
        <f>IFERROR(INDEX(Työkonekanta!$J$3:$J$27,MATCH($A473,Työkonekanta!$A$3:$A$24,0),1)*$B473*ef_li_ion_akku/1000/1000/INDEX(Työkonekanta!$K$3:$K$27,MATCH($A473,Työkonekanta!$A$3:$A$24,0)),0)</f>
        <v>43.121723076923082</v>
      </c>
      <c r="W473" s="149">
        <f t="shared" si="172"/>
        <v>0</v>
      </c>
      <c r="X473" s="150">
        <f t="shared" si="173"/>
        <v>0</v>
      </c>
      <c r="Y473" s="151">
        <f t="shared" si="174"/>
        <v>0</v>
      </c>
      <c r="Z473" s="152">
        <f t="shared" si="166"/>
        <v>143.52257518459828</v>
      </c>
      <c r="AA473" s="179">
        <f t="shared" si="167"/>
        <v>0</v>
      </c>
      <c r="AB473" s="179">
        <f t="shared" si="168"/>
        <v>0</v>
      </c>
      <c r="AC473" s="180">
        <f t="shared" si="175"/>
        <v>143.52257518459828</v>
      </c>
      <c r="AD473" s="156">
        <f t="shared" si="169"/>
        <v>143.52257518459828</v>
      </c>
      <c r="AE473" s="146">
        <f>IFERROR(INDEX(Työkonekanta!$L$3:$L$30,MATCH($A473,Työkonekanta!$A$3:$A$30,0),1),0)*AF473</f>
        <v>1820000</v>
      </c>
      <c r="AF473" s="146">
        <f>IFERROR(INDEX(Työkonekanta!$N$3:$N$32,MATCH($A473,Työkonekanta!$A$3:$A$32,0),1),0)</f>
        <v>7</v>
      </c>
      <c r="AG473" s="332">
        <f>I473*INDEX(Muuttujat!$U$5:$U$21,MATCH($C473,Muuttujat!$N$5:$N$21,0),1)</f>
        <v>0</v>
      </c>
      <c r="AH473" s="332">
        <f>J473*INDEX(Muuttujat!$T$5:$T$21,MATCH($C473,Muuttujat!$N$5:$N$21,0),1)</f>
        <v>0</v>
      </c>
      <c r="AI473" s="332">
        <f t="shared" si="160"/>
        <v>0</v>
      </c>
      <c r="AJ473" s="332">
        <f t="shared" si="161"/>
        <v>41442.685763888891</v>
      </c>
      <c r="AK473" s="332">
        <f t="shared" si="170"/>
        <v>41442.685763888891</v>
      </c>
      <c r="AL473" s="332">
        <f t="shared" si="162"/>
        <v>1184.0767361111111</v>
      </c>
    </row>
    <row r="474" spans="1:38">
      <c r="A474" s="139">
        <v>22</v>
      </c>
      <c r="B474" s="139">
        <f>IFERROR(INDEX(Työkonekanta!$F$3:$F$27,MATCH('S0b Baseline kasvu'!$A474,Työkonekanta!$A$3:$A$24,0),1),0)</f>
        <v>0</v>
      </c>
      <c r="C474" s="140">
        <v>2034</v>
      </c>
      <c r="D474" s="141" t="str">
        <f>IFERROR(INDEX(Työkonekanta!$D$3:$D$27,MATCH('S0b Baseline kasvu'!$A474,Työkonekanta!$A$3:$A$24,0),1),"undefined")</f>
        <v>sähkö</v>
      </c>
      <c r="E474" s="145">
        <f>IFERROR(INDEX(Työkonekanta!$G$3:$G$27,MATCH($A474,Työkonekanta!$A$3:$A$24,0),1)*INDEX(Työkonekanta!$H$3:$H$27,MATCH($A474,Työkonekanta!$A$3:$A$24,0),1)*(1+s0b_kasvu*($C474-2019))*$B474,0)</f>
        <v>0</v>
      </c>
      <c r="F474" s="145">
        <f t="shared" si="154"/>
        <v>0</v>
      </c>
      <c r="G474" s="145">
        <f t="shared" si="163"/>
        <v>0</v>
      </c>
      <c r="H474" s="145">
        <f t="shared" si="164"/>
        <v>0</v>
      </c>
      <c r="I474" s="145">
        <f t="shared" si="155"/>
        <v>0</v>
      </c>
      <c r="J474" s="145">
        <f t="shared" si="156"/>
        <v>0</v>
      </c>
      <c r="K474" s="142" t="str">
        <f t="shared" si="165"/>
        <v>kWh</v>
      </c>
      <c r="L474" s="146">
        <f>IFERROR(INDEX(Työkonekanta!$I$3:$I$27,MATCH('S0b Baseline kasvu'!$A474,Työkonekanta!$A$3:$A$24,0),1)*(I474+J474)*f_adblue,0)</f>
        <v>0</v>
      </c>
      <c r="M474" s="146">
        <f t="shared" si="171"/>
        <v>0</v>
      </c>
      <c r="N474" s="143" t="str">
        <f>IF(tuulisähkö_vuosi&lt;='S0b Baseline kasvu'!C474,"tuulisähkö",ostosähkö_nyt)</f>
        <v>jäännössähkö</v>
      </c>
      <c r="O474" s="147">
        <f>INDEX(Muuttujat!$J$5:$J$21,MATCH($C474,Muuttujat!$H$5:$H$21,0),1)</f>
        <v>59.556652007924122</v>
      </c>
      <c r="P474" s="342">
        <f>1-(INDEX(Muuttujat!$O$5:$O$21,MATCH($C474,Muuttujat!$N$5:$N$21,0),1))</f>
        <v>0.9</v>
      </c>
      <c r="Q474" s="342">
        <f>INDEX(Muuttujat!$O$5:$O$21,MATCH($C474,Muuttujat!$N$5:$N$21,0),1)</f>
        <v>0.1</v>
      </c>
      <c r="R474" s="148">
        <f>INDEX(Muuttujat!$P$5:$P$21,MATCH($C474,Muuttujat!$N$5:$N$21,0),1)</f>
        <v>0.10417875759940039</v>
      </c>
      <c r="S474" s="149">
        <f t="shared" si="157"/>
        <v>0</v>
      </c>
      <c r="T474" s="150">
        <f t="shared" si="158"/>
        <v>0</v>
      </c>
      <c r="U474" s="150">
        <f t="shared" si="159"/>
        <v>0</v>
      </c>
      <c r="V474" s="150">
        <f>IFERROR(INDEX(Työkonekanta!$J$3:$J$27,MATCH($A474,Työkonekanta!$A$3:$A$24,0),1)*$B474*ef_li_ion_akku/1000/1000/INDEX(Työkonekanta!$K$3:$K$27,MATCH($A474,Työkonekanta!$A$3:$A$24,0)),0)</f>
        <v>0</v>
      </c>
      <c r="W474" s="149">
        <f t="shared" si="172"/>
        <v>0</v>
      </c>
      <c r="X474" s="150">
        <f t="shared" si="173"/>
        <v>0</v>
      </c>
      <c r="Y474" s="151">
        <f t="shared" si="174"/>
        <v>0</v>
      </c>
      <c r="Z474" s="152">
        <f t="shared" si="166"/>
        <v>0</v>
      </c>
      <c r="AA474" s="179">
        <f t="shared" si="167"/>
        <v>0</v>
      </c>
      <c r="AB474" s="179">
        <f t="shared" si="168"/>
        <v>0</v>
      </c>
      <c r="AC474" s="180">
        <f t="shared" si="175"/>
        <v>0</v>
      </c>
      <c r="AD474" s="156">
        <f t="shared" si="169"/>
        <v>0</v>
      </c>
      <c r="AE474" s="146">
        <f>IFERROR(INDEX(Työkonekanta!$L$3:$L$30,MATCH($A474,Työkonekanta!$A$3:$A$30,0),1),0)*AF474</f>
        <v>0</v>
      </c>
      <c r="AF474" s="146">
        <f>IFERROR(INDEX(Työkonekanta!$N$3:$N$32,MATCH($A474,Työkonekanta!$A$3:$A$32,0),1),0)</f>
        <v>0</v>
      </c>
      <c r="AG474" s="332">
        <f>I474*INDEX(Muuttujat!$U$5:$U$21,MATCH($C474,Muuttujat!$N$5:$N$21,0),1)</f>
        <v>0</v>
      </c>
      <c r="AH474" s="332">
        <f>J474*INDEX(Muuttujat!$T$5:$T$21,MATCH($C474,Muuttujat!$N$5:$N$21,0),1)</f>
        <v>0</v>
      </c>
      <c r="AI474" s="332">
        <f t="shared" si="160"/>
        <v>0</v>
      </c>
      <c r="AJ474" s="332">
        <f t="shared" si="161"/>
        <v>0</v>
      </c>
      <c r="AK474" s="332">
        <f t="shared" si="170"/>
        <v>0</v>
      </c>
      <c r="AL474" s="332">
        <f t="shared" si="162"/>
        <v>0</v>
      </c>
    </row>
    <row r="475" spans="1:38">
      <c r="A475" s="139">
        <v>23</v>
      </c>
      <c r="B475" s="139">
        <f>IFERROR(INDEX(Työkonekanta!$F$3:$F$27,MATCH('S0b Baseline kasvu'!$A475,Työkonekanta!$A$3:$A$24,0),1),0)</f>
        <v>0</v>
      </c>
      <c r="C475" s="140">
        <v>2034</v>
      </c>
      <c r="D475" s="141" t="str">
        <f>IFERROR(INDEX(Työkonekanta!$D$3:$D$27,MATCH('S0b Baseline kasvu'!$A475,Työkonekanta!$A$3:$A$24,0),1),"undefined")</f>
        <v>undefined</v>
      </c>
      <c r="E475" s="145">
        <f>IFERROR(INDEX(Työkonekanta!$G$3:$G$27,MATCH($A475,Työkonekanta!$A$3:$A$24,0),1)*INDEX(Työkonekanta!$H$3:$H$27,MATCH($A475,Työkonekanta!$A$3:$A$24,0),1)*(1+s0b_kasvu*($C475-2019))*$B475,0)</f>
        <v>0</v>
      </c>
      <c r="F475" s="145">
        <f t="shared" si="154"/>
        <v>0</v>
      </c>
      <c r="G475" s="145">
        <f t="shared" si="163"/>
        <v>0</v>
      </c>
      <c r="H475" s="145">
        <f t="shared" si="164"/>
        <v>0</v>
      </c>
      <c r="I475" s="145">
        <f t="shared" si="155"/>
        <v>0</v>
      </c>
      <c r="J475" s="145">
        <f t="shared" si="156"/>
        <v>0</v>
      </c>
      <c r="K475" s="142" t="str">
        <f t="shared" si="165"/>
        <v>undefined</v>
      </c>
      <c r="L475" s="146">
        <f>IFERROR(INDEX(Työkonekanta!$I$3:$I$27,MATCH('S0b Baseline kasvu'!$A475,Työkonekanta!$A$3:$A$24,0),1)*(I475+J475)*f_adblue,0)</f>
        <v>0</v>
      </c>
      <c r="M475" s="146">
        <f t="shared" si="171"/>
        <v>0</v>
      </c>
      <c r="N475" s="143" t="str">
        <f>IF(tuulisähkö_vuosi&lt;='S0b Baseline kasvu'!C475,"tuulisähkö",ostosähkö_nyt)</f>
        <v>jäännössähkö</v>
      </c>
      <c r="O475" s="147">
        <f>INDEX(Muuttujat!$J$5:$J$21,MATCH($C475,Muuttujat!$H$5:$H$21,0),1)</f>
        <v>59.556652007924122</v>
      </c>
      <c r="P475" s="342">
        <f>1-(INDEX(Muuttujat!$O$5:$O$21,MATCH($C475,Muuttujat!$N$5:$N$21,0),1))</f>
        <v>0.9</v>
      </c>
      <c r="Q475" s="342">
        <f>INDEX(Muuttujat!$O$5:$O$21,MATCH($C475,Muuttujat!$N$5:$N$21,0),1)</f>
        <v>0.1</v>
      </c>
      <c r="R475" s="148">
        <f>INDEX(Muuttujat!$P$5:$P$21,MATCH($C475,Muuttujat!$N$5:$N$21,0),1)</f>
        <v>0.10417875759940039</v>
      </c>
      <c r="S475" s="149">
        <f t="shared" si="157"/>
        <v>0</v>
      </c>
      <c r="T475" s="150">
        <f t="shared" si="158"/>
        <v>0</v>
      </c>
      <c r="U475" s="150">
        <f t="shared" si="159"/>
        <v>0</v>
      </c>
      <c r="V475" s="150">
        <f>IFERROR(INDEX(Työkonekanta!$J$3:$J$27,MATCH($A475,Työkonekanta!$A$3:$A$24,0),1)*$B475*ef_li_ion_akku/1000/1000/INDEX(Työkonekanta!$K$3:$K$27,MATCH($A475,Työkonekanta!$A$3:$A$24,0)),0)</f>
        <v>0</v>
      </c>
      <c r="W475" s="149">
        <f t="shared" si="172"/>
        <v>0</v>
      </c>
      <c r="X475" s="150">
        <f t="shared" si="173"/>
        <v>0</v>
      </c>
      <c r="Y475" s="151">
        <f t="shared" si="174"/>
        <v>0</v>
      </c>
      <c r="Z475" s="152">
        <f t="shared" si="166"/>
        <v>0</v>
      </c>
      <c r="AA475" s="179">
        <f t="shared" si="167"/>
        <v>0</v>
      </c>
      <c r="AB475" s="179">
        <f t="shared" si="168"/>
        <v>0</v>
      </c>
      <c r="AC475" s="180">
        <f t="shared" si="175"/>
        <v>0</v>
      </c>
      <c r="AD475" s="156">
        <f t="shared" si="169"/>
        <v>0</v>
      </c>
      <c r="AE475" s="146">
        <f>IFERROR(INDEX(Työkonekanta!$L$3:$L$30,MATCH($A475,Työkonekanta!$A$3:$A$30,0),1),0)*AF475</f>
        <v>0</v>
      </c>
      <c r="AF475" s="146">
        <f>IFERROR(INDEX(Työkonekanta!$N$3:$N$32,MATCH($A475,Työkonekanta!$A$3:$A$32,0),1),0)</f>
        <v>0</v>
      </c>
      <c r="AG475" s="332">
        <f>I475*INDEX(Muuttujat!$U$5:$U$21,MATCH($C475,Muuttujat!$N$5:$N$21,0),1)</f>
        <v>0</v>
      </c>
      <c r="AH475" s="332">
        <f>J475*INDEX(Muuttujat!$T$5:$T$21,MATCH($C475,Muuttujat!$N$5:$N$21,0),1)</f>
        <v>0</v>
      </c>
      <c r="AI475" s="332">
        <f t="shared" si="160"/>
        <v>0</v>
      </c>
      <c r="AJ475" s="332">
        <f t="shared" si="161"/>
        <v>0</v>
      </c>
      <c r="AK475" s="332">
        <f t="shared" si="170"/>
        <v>0</v>
      </c>
      <c r="AL475" s="332">
        <f t="shared" si="162"/>
        <v>0</v>
      </c>
    </row>
    <row r="476" spans="1:38">
      <c r="A476" s="139">
        <v>24</v>
      </c>
      <c r="B476" s="139">
        <f>IFERROR(INDEX(Työkonekanta!$F$3:$F$27,MATCH('S0b Baseline kasvu'!$A476,Työkonekanta!$A$3:$A$24,0),1),0)</f>
        <v>0</v>
      </c>
      <c r="C476" s="140">
        <v>2034</v>
      </c>
      <c r="D476" s="141" t="str">
        <f>IFERROR(INDEX(Työkonekanta!$D$3:$D$27,MATCH('S0b Baseline kasvu'!$A476,Työkonekanta!$A$3:$A$24,0),1),"undefined")</f>
        <v>undefined</v>
      </c>
      <c r="E476" s="145">
        <f>IFERROR(INDEX(Työkonekanta!$G$3:$G$27,MATCH($A476,Työkonekanta!$A$3:$A$24,0),1)*INDEX(Työkonekanta!$H$3:$H$27,MATCH($A476,Työkonekanta!$A$3:$A$24,0),1)*(1+s0b_kasvu*($C476-2019))*$B476,0)</f>
        <v>0</v>
      </c>
      <c r="F476" s="145">
        <f t="shared" si="154"/>
        <v>0</v>
      </c>
      <c r="G476" s="145">
        <f t="shared" si="163"/>
        <v>0</v>
      </c>
      <c r="H476" s="145">
        <f t="shared" si="164"/>
        <v>0</v>
      </c>
      <c r="I476" s="145">
        <f t="shared" si="155"/>
        <v>0</v>
      </c>
      <c r="J476" s="145">
        <f t="shared" si="156"/>
        <v>0</v>
      </c>
      <c r="K476" s="142" t="str">
        <f t="shared" si="165"/>
        <v>undefined</v>
      </c>
      <c r="L476" s="146">
        <f>IFERROR(INDEX(Työkonekanta!$I$3:$I$27,MATCH('S0b Baseline kasvu'!$A476,Työkonekanta!$A$3:$A$24,0),1)*(I476+J476)*f_adblue,0)</f>
        <v>0</v>
      </c>
      <c r="M476" s="146">
        <f t="shared" si="171"/>
        <v>0</v>
      </c>
      <c r="N476" s="143" t="str">
        <f>IF(tuulisähkö_vuosi&lt;='S0b Baseline kasvu'!C476,"tuulisähkö",ostosähkö_nyt)</f>
        <v>jäännössähkö</v>
      </c>
      <c r="O476" s="147">
        <f>INDEX(Muuttujat!$J$5:$J$21,MATCH($C476,Muuttujat!$H$5:$H$21,0),1)</f>
        <v>59.556652007924122</v>
      </c>
      <c r="P476" s="342">
        <f>1-(INDEX(Muuttujat!$O$5:$O$21,MATCH($C476,Muuttujat!$N$5:$N$21,0),1))</f>
        <v>0.9</v>
      </c>
      <c r="Q476" s="342">
        <f>INDEX(Muuttujat!$O$5:$O$21,MATCH($C476,Muuttujat!$N$5:$N$21,0),1)</f>
        <v>0.1</v>
      </c>
      <c r="R476" s="148">
        <f>INDEX(Muuttujat!$P$5:$P$21,MATCH($C476,Muuttujat!$N$5:$N$21,0),1)</f>
        <v>0.10417875759940039</v>
      </c>
      <c r="S476" s="149">
        <f t="shared" si="157"/>
        <v>0</v>
      </c>
      <c r="T476" s="150">
        <f t="shared" si="158"/>
        <v>0</v>
      </c>
      <c r="U476" s="150">
        <f t="shared" si="159"/>
        <v>0</v>
      </c>
      <c r="V476" s="150">
        <f>IFERROR(INDEX(Työkonekanta!$J$3:$J$27,MATCH($A476,Työkonekanta!$A$3:$A$24,0),1)*$B476*ef_li_ion_akku/1000/1000/INDEX(Työkonekanta!$K$3:$K$27,MATCH($A476,Työkonekanta!$A$3:$A$24,0)),0)</f>
        <v>0</v>
      </c>
      <c r="W476" s="149">
        <f t="shared" si="172"/>
        <v>0</v>
      </c>
      <c r="X476" s="150">
        <f t="shared" si="173"/>
        <v>0</v>
      </c>
      <c r="Y476" s="151">
        <f t="shared" si="174"/>
        <v>0</v>
      </c>
      <c r="Z476" s="152">
        <f t="shared" si="166"/>
        <v>0</v>
      </c>
      <c r="AA476" s="179">
        <f t="shared" si="167"/>
        <v>0</v>
      </c>
      <c r="AB476" s="179">
        <f t="shared" si="168"/>
        <v>0</v>
      </c>
      <c r="AC476" s="180">
        <f t="shared" si="175"/>
        <v>0</v>
      </c>
      <c r="AD476" s="156">
        <f t="shared" si="169"/>
        <v>0</v>
      </c>
      <c r="AE476" s="146">
        <f>IFERROR(INDEX(Työkonekanta!$L$3:$L$30,MATCH($A476,Työkonekanta!$A$3:$A$30,0),1),0)*AF476</f>
        <v>0</v>
      </c>
      <c r="AF476" s="146">
        <f>IFERROR(INDEX(Työkonekanta!$N$3:$N$32,MATCH($A476,Työkonekanta!$A$3:$A$32,0),1),0)</f>
        <v>0</v>
      </c>
      <c r="AG476" s="332">
        <f>I476*INDEX(Muuttujat!$U$5:$U$21,MATCH($C476,Muuttujat!$N$5:$N$21,0),1)</f>
        <v>0</v>
      </c>
      <c r="AH476" s="332">
        <f>J476*INDEX(Muuttujat!$T$5:$T$21,MATCH($C476,Muuttujat!$N$5:$N$21,0),1)</f>
        <v>0</v>
      </c>
      <c r="AI476" s="332">
        <f t="shared" si="160"/>
        <v>0</v>
      </c>
      <c r="AJ476" s="332">
        <f t="shared" si="161"/>
        <v>0</v>
      </c>
      <c r="AK476" s="332">
        <f t="shared" si="170"/>
        <v>0</v>
      </c>
      <c r="AL476" s="332">
        <f t="shared" si="162"/>
        <v>0</v>
      </c>
    </row>
    <row r="477" spans="1:38">
      <c r="A477" s="139">
        <v>25</v>
      </c>
      <c r="B477" s="139">
        <f>IFERROR(INDEX(Työkonekanta!$F$3:$F$27,MATCH('S0b Baseline kasvu'!$A477,Työkonekanta!$A$3:$A$24,0),1),0)</f>
        <v>0</v>
      </c>
      <c r="C477" s="140">
        <v>2034</v>
      </c>
      <c r="D477" s="141" t="str">
        <f>IFERROR(INDEX(Työkonekanta!$D$3:$D$27,MATCH('S0b Baseline kasvu'!$A477,Työkonekanta!$A$3:$A$24,0),1),"undefined")</f>
        <v>undefined</v>
      </c>
      <c r="E477" s="145">
        <f>IFERROR(INDEX(Työkonekanta!$G$3:$G$27,MATCH($A477,Työkonekanta!$A$3:$A$24,0),1)*INDEX(Työkonekanta!$H$3:$H$27,MATCH($A477,Työkonekanta!$A$3:$A$24,0),1)*(1+s0b_kasvu*($C477-2019))*$B477,0)</f>
        <v>0</v>
      </c>
      <c r="F477" s="145">
        <f t="shared" si="154"/>
        <v>0</v>
      </c>
      <c r="G477" s="145">
        <f t="shared" si="163"/>
        <v>0</v>
      </c>
      <c r="H477" s="145">
        <f t="shared" si="164"/>
        <v>0</v>
      </c>
      <c r="I477" s="145">
        <f t="shared" si="155"/>
        <v>0</v>
      </c>
      <c r="J477" s="145">
        <f t="shared" si="156"/>
        <v>0</v>
      </c>
      <c r="K477" s="142" t="str">
        <f t="shared" si="165"/>
        <v>undefined</v>
      </c>
      <c r="L477" s="146">
        <f>IFERROR(INDEX(Työkonekanta!$I$3:$I$27,MATCH('S0b Baseline kasvu'!$A477,Työkonekanta!$A$3:$A$24,0),1)*(I477+J477)*f_adblue,0)</f>
        <v>0</v>
      </c>
      <c r="M477" s="146">
        <f t="shared" si="171"/>
        <v>0</v>
      </c>
      <c r="N477" s="143" t="str">
        <f>IF(tuulisähkö_vuosi&lt;='S0b Baseline kasvu'!C477,"tuulisähkö",ostosähkö_nyt)</f>
        <v>jäännössähkö</v>
      </c>
      <c r="O477" s="147">
        <f>INDEX(Muuttujat!$J$5:$J$21,MATCH($C477,Muuttujat!$H$5:$H$21,0),1)</f>
        <v>59.556652007924122</v>
      </c>
      <c r="P477" s="342">
        <f>1-(INDEX(Muuttujat!$O$5:$O$21,MATCH($C477,Muuttujat!$N$5:$N$21,0),1))</f>
        <v>0.9</v>
      </c>
      <c r="Q477" s="342">
        <f>INDEX(Muuttujat!$O$5:$O$21,MATCH($C477,Muuttujat!$N$5:$N$21,0),1)</f>
        <v>0.1</v>
      </c>
      <c r="R477" s="148">
        <f>INDEX(Muuttujat!$P$5:$P$21,MATCH($C477,Muuttujat!$N$5:$N$21,0),1)</f>
        <v>0.10417875759940039</v>
      </c>
      <c r="S477" s="149">
        <f t="shared" si="157"/>
        <v>0</v>
      </c>
      <c r="T477" s="150">
        <f t="shared" si="158"/>
        <v>0</v>
      </c>
      <c r="U477" s="150">
        <f t="shared" si="159"/>
        <v>0</v>
      </c>
      <c r="V477" s="150">
        <f>IFERROR(INDEX(Työkonekanta!$J$3:$J$27,MATCH($A477,Työkonekanta!$A$3:$A$24,0),1)*$B477*ef_li_ion_akku/1000/1000/INDEX(Työkonekanta!$K$3:$K$27,MATCH($A477,Työkonekanta!$A$3:$A$24,0)),0)</f>
        <v>0</v>
      </c>
      <c r="W477" s="149">
        <f t="shared" si="172"/>
        <v>0</v>
      </c>
      <c r="X477" s="150">
        <f t="shared" si="173"/>
        <v>0</v>
      </c>
      <c r="Y477" s="151">
        <f t="shared" si="174"/>
        <v>0</v>
      </c>
      <c r="Z477" s="152">
        <f t="shared" si="166"/>
        <v>0</v>
      </c>
      <c r="AA477" s="179">
        <f t="shared" si="167"/>
        <v>0</v>
      </c>
      <c r="AB477" s="179">
        <f t="shared" si="168"/>
        <v>0</v>
      </c>
      <c r="AC477" s="180">
        <f t="shared" si="175"/>
        <v>0</v>
      </c>
      <c r="AD477" s="156">
        <f t="shared" si="169"/>
        <v>0</v>
      </c>
      <c r="AE477" s="146">
        <f>IFERROR(INDEX(Työkonekanta!$L$3:$L$30,MATCH($A477,Työkonekanta!$A$3:$A$30,0),1),0)*AF477</f>
        <v>0</v>
      </c>
      <c r="AF477" s="146">
        <f>IFERROR(INDEX(Työkonekanta!$N$3:$N$32,MATCH($A477,Työkonekanta!$A$3:$A$32,0),1),0)</f>
        <v>0</v>
      </c>
      <c r="AG477" s="332">
        <f>I477*INDEX(Muuttujat!$U$5:$U$21,MATCH($C477,Muuttujat!$N$5:$N$21,0),1)</f>
        <v>0</v>
      </c>
      <c r="AH477" s="332">
        <f>J477*INDEX(Muuttujat!$T$5:$T$21,MATCH($C477,Muuttujat!$N$5:$N$21,0),1)</f>
        <v>0</v>
      </c>
      <c r="AI477" s="332">
        <f t="shared" si="160"/>
        <v>0</v>
      </c>
      <c r="AJ477" s="332">
        <f t="shared" si="161"/>
        <v>0</v>
      </c>
      <c r="AK477" s="332">
        <f t="shared" si="170"/>
        <v>0</v>
      </c>
      <c r="AL477" s="332">
        <f t="shared" si="162"/>
        <v>0</v>
      </c>
    </row>
    <row r="478" spans="1:38">
      <c r="A478" s="139">
        <v>26</v>
      </c>
      <c r="B478" s="139">
        <f>IFERROR(INDEX(Työkonekanta!$F$3:$F$27,MATCH('S0b Baseline kasvu'!$A478,Työkonekanta!$A$3:$A$24,0),1),0)</f>
        <v>0</v>
      </c>
      <c r="C478" s="140">
        <v>2034</v>
      </c>
      <c r="D478" s="141" t="str">
        <f>IFERROR(INDEX(Työkonekanta!$D$3:$D$27,MATCH('S0b Baseline kasvu'!$A478,Työkonekanta!$A$3:$A$24,0),1),"undefined")</f>
        <v>undefined</v>
      </c>
      <c r="E478" s="145">
        <f>IFERROR(INDEX(Työkonekanta!$G$3:$G$27,MATCH($A478,Työkonekanta!$A$3:$A$24,0),1)*INDEX(Työkonekanta!$H$3:$H$27,MATCH($A478,Työkonekanta!$A$3:$A$24,0),1)*(1+s0b_kasvu*($C478-2019))*$B478,0)</f>
        <v>0</v>
      </c>
      <c r="F478" s="145">
        <f t="shared" si="154"/>
        <v>0</v>
      </c>
      <c r="G478" s="145">
        <f t="shared" si="163"/>
        <v>0</v>
      </c>
      <c r="H478" s="145">
        <f t="shared" si="164"/>
        <v>0</v>
      </c>
      <c r="I478" s="145">
        <f t="shared" si="155"/>
        <v>0</v>
      </c>
      <c r="J478" s="145">
        <f t="shared" si="156"/>
        <v>0</v>
      </c>
      <c r="K478" s="142" t="str">
        <f t="shared" si="165"/>
        <v>undefined</v>
      </c>
      <c r="L478" s="146">
        <f>IFERROR(INDEX(Työkonekanta!$I$3:$I$27,MATCH('S0b Baseline kasvu'!$A478,Työkonekanta!$A$3:$A$24,0),1)*(I478+J478)*f_adblue,0)</f>
        <v>0</v>
      </c>
      <c r="M478" s="146">
        <f t="shared" si="171"/>
        <v>0</v>
      </c>
      <c r="N478" s="143" t="str">
        <f>IF(tuulisähkö_vuosi&lt;='S0b Baseline kasvu'!C478,"tuulisähkö",ostosähkö_nyt)</f>
        <v>jäännössähkö</v>
      </c>
      <c r="O478" s="147">
        <f>INDEX(Muuttujat!$J$5:$J$21,MATCH($C478,Muuttujat!$H$5:$H$21,0),1)</f>
        <v>59.556652007924122</v>
      </c>
      <c r="P478" s="342">
        <f>1-(INDEX(Muuttujat!$O$5:$O$21,MATCH($C478,Muuttujat!$N$5:$N$21,0),1))</f>
        <v>0.9</v>
      </c>
      <c r="Q478" s="342">
        <f>INDEX(Muuttujat!$O$5:$O$21,MATCH($C478,Muuttujat!$N$5:$N$21,0),1)</f>
        <v>0.1</v>
      </c>
      <c r="R478" s="148">
        <f>INDEX(Muuttujat!$P$5:$P$21,MATCH($C478,Muuttujat!$N$5:$N$21,0),1)</f>
        <v>0.10417875759940039</v>
      </c>
      <c r="S478" s="149">
        <f t="shared" si="157"/>
        <v>0</v>
      </c>
      <c r="T478" s="150">
        <f t="shared" si="158"/>
        <v>0</v>
      </c>
      <c r="U478" s="150">
        <f t="shared" si="159"/>
        <v>0</v>
      </c>
      <c r="V478" s="150">
        <f>IFERROR(INDEX(Työkonekanta!$J$3:$J$27,MATCH($A478,Työkonekanta!$A$3:$A$24,0),1)*$B478*ef_li_ion_akku/1000/1000/INDEX(Työkonekanta!$K$3:$K$27,MATCH($A478,Työkonekanta!$A$3:$A$24,0)),0)</f>
        <v>0</v>
      </c>
      <c r="W478" s="149">
        <f t="shared" si="172"/>
        <v>0</v>
      </c>
      <c r="X478" s="150">
        <f t="shared" si="173"/>
        <v>0</v>
      </c>
      <c r="Y478" s="151">
        <f t="shared" si="174"/>
        <v>0</v>
      </c>
      <c r="Z478" s="152">
        <f t="shared" si="166"/>
        <v>0</v>
      </c>
      <c r="AA478" s="179">
        <f t="shared" si="167"/>
        <v>0</v>
      </c>
      <c r="AB478" s="179">
        <f t="shared" si="168"/>
        <v>0</v>
      </c>
      <c r="AC478" s="180">
        <f t="shared" si="175"/>
        <v>0</v>
      </c>
      <c r="AD478" s="156">
        <f t="shared" si="169"/>
        <v>0</v>
      </c>
      <c r="AE478" s="146">
        <f>IFERROR(INDEX(Työkonekanta!$L$3:$L$30,MATCH($A478,Työkonekanta!$A$3:$A$30,0),1),0)*AF478</f>
        <v>0</v>
      </c>
      <c r="AF478" s="146">
        <f>IFERROR(INDEX(Työkonekanta!$N$3:$N$32,MATCH($A478,Työkonekanta!$A$3:$A$32,0),1),0)</f>
        <v>0</v>
      </c>
      <c r="AG478" s="332">
        <f>I478*INDEX(Muuttujat!$U$5:$U$21,MATCH($C478,Muuttujat!$N$5:$N$21,0),1)</f>
        <v>0</v>
      </c>
      <c r="AH478" s="332">
        <f>J478*INDEX(Muuttujat!$T$5:$T$21,MATCH($C478,Muuttujat!$N$5:$N$21,0),1)</f>
        <v>0</v>
      </c>
      <c r="AI478" s="332">
        <f t="shared" si="160"/>
        <v>0</v>
      </c>
      <c r="AJ478" s="332">
        <f t="shared" si="161"/>
        <v>0</v>
      </c>
      <c r="AK478" s="332">
        <f t="shared" si="170"/>
        <v>0</v>
      </c>
      <c r="AL478" s="332">
        <f t="shared" si="162"/>
        <v>0</v>
      </c>
    </row>
    <row r="479" spans="1:38">
      <c r="A479" s="139">
        <v>27</v>
      </c>
      <c r="B479" s="139">
        <f>IFERROR(INDEX(Työkonekanta!$F$3:$F$27,MATCH('S0b Baseline kasvu'!$A479,Työkonekanta!$A$3:$A$24,0),1),0)</f>
        <v>0</v>
      </c>
      <c r="C479" s="140">
        <v>2034</v>
      </c>
      <c r="D479" s="141" t="str">
        <f>IFERROR(INDEX(Työkonekanta!$D$3:$D$27,MATCH('S0b Baseline kasvu'!$A479,Työkonekanta!$A$3:$A$24,0),1),"undefined")</f>
        <v>undefined</v>
      </c>
      <c r="E479" s="145">
        <f>IFERROR(INDEX(Työkonekanta!$G$3:$G$27,MATCH($A479,Työkonekanta!$A$3:$A$24,0),1)*INDEX(Työkonekanta!$H$3:$H$27,MATCH($A479,Työkonekanta!$A$3:$A$24,0),1)*(1+s0b_kasvu*($C479-2019))*$B479,0)</f>
        <v>0</v>
      </c>
      <c r="F479" s="145">
        <f t="shared" si="154"/>
        <v>0</v>
      </c>
      <c r="G479" s="145">
        <f t="shared" si="163"/>
        <v>0</v>
      </c>
      <c r="H479" s="145">
        <f t="shared" si="164"/>
        <v>0</v>
      </c>
      <c r="I479" s="145">
        <f t="shared" si="155"/>
        <v>0</v>
      </c>
      <c r="J479" s="145">
        <f t="shared" si="156"/>
        <v>0</v>
      </c>
      <c r="K479" s="142" t="str">
        <f t="shared" si="165"/>
        <v>undefined</v>
      </c>
      <c r="L479" s="146">
        <f>IFERROR(INDEX(Työkonekanta!$I$3:$I$27,MATCH('S0b Baseline kasvu'!$A479,Työkonekanta!$A$3:$A$24,0),1)*(I479+J479)*f_adblue,0)</f>
        <v>0</v>
      </c>
      <c r="M479" s="146">
        <f t="shared" si="171"/>
        <v>0</v>
      </c>
      <c r="N479" s="143" t="str">
        <f>IF(tuulisähkö_vuosi&lt;='S0b Baseline kasvu'!C479,"tuulisähkö",ostosähkö_nyt)</f>
        <v>jäännössähkö</v>
      </c>
      <c r="O479" s="147">
        <f>INDEX(Muuttujat!$J$5:$J$21,MATCH($C479,Muuttujat!$H$5:$H$21,0),1)</f>
        <v>59.556652007924122</v>
      </c>
      <c r="P479" s="342">
        <f>1-(INDEX(Muuttujat!$O$5:$O$21,MATCH($C479,Muuttujat!$N$5:$N$21,0),1))</f>
        <v>0.9</v>
      </c>
      <c r="Q479" s="342">
        <f>INDEX(Muuttujat!$O$5:$O$21,MATCH($C479,Muuttujat!$N$5:$N$21,0),1)</f>
        <v>0.1</v>
      </c>
      <c r="R479" s="148">
        <f>INDEX(Muuttujat!$P$5:$P$21,MATCH($C479,Muuttujat!$N$5:$N$21,0),1)</f>
        <v>0.10417875759940039</v>
      </c>
      <c r="S479" s="149">
        <f t="shared" si="157"/>
        <v>0</v>
      </c>
      <c r="T479" s="150">
        <f t="shared" si="158"/>
        <v>0</v>
      </c>
      <c r="U479" s="150">
        <f t="shared" si="159"/>
        <v>0</v>
      </c>
      <c r="V479" s="150">
        <f>IFERROR(INDEX(Työkonekanta!$J$3:$J$27,MATCH($A479,Työkonekanta!$A$3:$A$24,0),1)*$B479*ef_li_ion_akku/1000/1000/INDEX(Työkonekanta!$K$3:$K$27,MATCH($A479,Työkonekanta!$A$3:$A$24,0)),0)</f>
        <v>0</v>
      </c>
      <c r="W479" s="149">
        <f t="shared" si="172"/>
        <v>0</v>
      </c>
      <c r="X479" s="150">
        <f t="shared" si="173"/>
        <v>0</v>
      </c>
      <c r="Y479" s="151">
        <f t="shared" si="174"/>
        <v>0</v>
      </c>
      <c r="Z479" s="152">
        <f t="shared" si="166"/>
        <v>0</v>
      </c>
      <c r="AA479" s="179">
        <f t="shared" si="167"/>
        <v>0</v>
      </c>
      <c r="AB479" s="179">
        <f t="shared" si="168"/>
        <v>0</v>
      </c>
      <c r="AC479" s="180">
        <f t="shared" si="175"/>
        <v>0</v>
      </c>
      <c r="AD479" s="156">
        <f t="shared" si="169"/>
        <v>0</v>
      </c>
      <c r="AE479" s="146">
        <f>IFERROR(INDEX(Työkonekanta!$L$3:$L$30,MATCH($A479,Työkonekanta!$A$3:$A$30,0),1),0)*AF479</f>
        <v>0</v>
      </c>
      <c r="AF479" s="146">
        <f>IFERROR(INDEX(Työkonekanta!$N$3:$N$32,MATCH($A479,Työkonekanta!$A$3:$A$32,0),1),0)</f>
        <v>0</v>
      </c>
      <c r="AG479" s="332">
        <f>I479*INDEX(Muuttujat!$U$5:$U$21,MATCH($C479,Muuttujat!$N$5:$N$21,0),1)</f>
        <v>0</v>
      </c>
      <c r="AH479" s="332">
        <f>J479*INDEX(Muuttujat!$T$5:$T$21,MATCH($C479,Muuttujat!$N$5:$N$21,0),1)</f>
        <v>0</v>
      </c>
      <c r="AI479" s="332">
        <f t="shared" si="160"/>
        <v>0</v>
      </c>
      <c r="AJ479" s="332">
        <f t="shared" si="161"/>
        <v>0</v>
      </c>
      <c r="AK479" s="332">
        <f t="shared" si="170"/>
        <v>0</v>
      </c>
      <c r="AL479" s="332">
        <f t="shared" si="162"/>
        <v>0</v>
      </c>
    </row>
    <row r="480" spans="1:38">
      <c r="A480" s="139">
        <v>28</v>
      </c>
      <c r="B480" s="139">
        <f>IFERROR(INDEX(Työkonekanta!$F$3:$F$27,MATCH('S0b Baseline kasvu'!$A480,Työkonekanta!$A$3:$A$24,0),1),0)</f>
        <v>0</v>
      </c>
      <c r="C480" s="140">
        <v>2034</v>
      </c>
      <c r="D480" s="141" t="str">
        <f>IFERROR(INDEX(Työkonekanta!$D$3:$D$27,MATCH('S0b Baseline kasvu'!$A480,Työkonekanta!$A$3:$A$24,0),1),"undefined")</f>
        <v>undefined</v>
      </c>
      <c r="E480" s="145">
        <f>IFERROR(INDEX(Työkonekanta!$G$3:$G$27,MATCH($A480,Työkonekanta!$A$3:$A$24,0),1)*INDEX(Työkonekanta!$H$3:$H$27,MATCH($A480,Työkonekanta!$A$3:$A$24,0),1)*(1+s0b_kasvu*($C480-2019))*$B480,0)</f>
        <v>0</v>
      </c>
      <c r="F480" s="145">
        <f t="shared" si="154"/>
        <v>0</v>
      </c>
      <c r="G480" s="145">
        <f t="shared" si="163"/>
        <v>0</v>
      </c>
      <c r="H480" s="145">
        <f t="shared" si="164"/>
        <v>0</v>
      </c>
      <c r="I480" s="145">
        <f t="shared" si="155"/>
        <v>0</v>
      </c>
      <c r="J480" s="145">
        <f t="shared" si="156"/>
        <v>0</v>
      </c>
      <c r="K480" s="142" t="str">
        <f t="shared" si="165"/>
        <v>undefined</v>
      </c>
      <c r="L480" s="146">
        <f>IFERROR(INDEX(Työkonekanta!$I$3:$I$27,MATCH('S0b Baseline kasvu'!$A480,Työkonekanta!$A$3:$A$24,0),1)*(I480+J480)*f_adblue,0)</f>
        <v>0</v>
      </c>
      <c r="M480" s="146">
        <f t="shared" si="171"/>
        <v>0</v>
      </c>
      <c r="N480" s="143" t="str">
        <f>IF(tuulisähkö_vuosi&lt;='S0b Baseline kasvu'!C480,"tuulisähkö",ostosähkö_nyt)</f>
        <v>jäännössähkö</v>
      </c>
      <c r="O480" s="147">
        <f>INDEX(Muuttujat!$J$5:$J$21,MATCH($C480,Muuttujat!$H$5:$H$21,0),1)</f>
        <v>59.556652007924122</v>
      </c>
      <c r="P480" s="342">
        <f>1-(INDEX(Muuttujat!$O$5:$O$21,MATCH($C480,Muuttujat!$N$5:$N$21,0),1))</f>
        <v>0.9</v>
      </c>
      <c r="Q480" s="342">
        <f>INDEX(Muuttujat!$O$5:$O$21,MATCH($C480,Muuttujat!$N$5:$N$21,0),1)</f>
        <v>0.1</v>
      </c>
      <c r="R480" s="148">
        <f>INDEX(Muuttujat!$P$5:$P$21,MATCH($C480,Muuttujat!$N$5:$N$21,0),1)</f>
        <v>0.10417875759940039</v>
      </c>
      <c r="S480" s="149">
        <f t="shared" si="157"/>
        <v>0</v>
      </c>
      <c r="T480" s="150">
        <f t="shared" si="158"/>
        <v>0</v>
      </c>
      <c r="U480" s="150">
        <f t="shared" si="159"/>
        <v>0</v>
      </c>
      <c r="V480" s="150">
        <f>IFERROR(INDEX(Työkonekanta!$J$3:$J$27,MATCH($A480,Työkonekanta!$A$3:$A$24,0),1)*$B480*ef_li_ion_akku/1000/1000/INDEX(Työkonekanta!$K$3:$K$27,MATCH($A480,Työkonekanta!$A$3:$A$24,0)),0)</f>
        <v>0</v>
      </c>
      <c r="W480" s="149">
        <f t="shared" si="172"/>
        <v>0</v>
      </c>
      <c r="X480" s="150">
        <f t="shared" si="173"/>
        <v>0</v>
      </c>
      <c r="Y480" s="151">
        <f t="shared" si="174"/>
        <v>0</v>
      </c>
      <c r="Z480" s="152">
        <f t="shared" si="166"/>
        <v>0</v>
      </c>
      <c r="AA480" s="179">
        <f t="shared" si="167"/>
        <v>0</v>
      </c>
      <c r="AB480" s="179">
        <f t="shared" si="168"/>
        <v>0</v>
      </c>
      <c r="AC480" s="180">
        <f t="shared" si="175"/>
        <v>0</v>
      </c>
      <c r="AD480" s="156">
        <f t="shared" si="169"/>
        <v>0</v>
      </c>
      <c r="AE480" s="146">
        <f>IFERROR(INDEX(Työkonekanta!$L$3:$L$30,MATCH($A480,Työkonekanta!$A$3:$A$30,0),1),0)*AF480</f>
        <v>0</v>
      </c>
      <c r="AF480" s="146">
        <f>IFERROR(INDEX(Työkonekanta!$N$3:$N$32,MATCH($A480,Työkonekanta!$A$3:$A$32,0),1),0)</f>
        <v>0</v>
      </c>
      <c r="AG480" s="332">
        <f>I480*INDEX(Muuttujat!$U$5:$U$21,MATCH($C480,Muuttujat!$N$5:$N$21,0),1)</f>
        <v>0</v>
      </c>
      <c r="AH480" s="332">
        <f>J480*INDEX(Muuttujat!$T$5:$T$21,MATCH($C480,Muuttujat!$N$5:$N$21,0),1)</f>
        <v>0</v>
      </c>
      <c r="AI480" s="332">
        <f t="shared" si="160"/>
        <v>0</v>
      </c>
      <c r="AJ480" s="332">
        <f t="shared" si="161"/>
        <v>0</v>
      </c>
      <c r="AK480" s="332">
        <f t="shared" si="170"/>
        <v>0</v>
      </c>
      <c r="AL480" s="332">
        <f t="shared" si="162"/>
        <v>0</v>
      </c>
    </row>
    <row r="481" spans="1:38">
      <c r="A481" s="139">
        <v>29</v>
      </c>
      <c r="B481" s="139">
        <f>IFERROR(INDEX(Työkonekanta!$F$3:$F$27,MATCH('S0b Baseline kasvu'!$A481,Työkonekanta!$A$3:$A$24,0),1),0)</f>
        <v>0</v>
      </c>
      <c r="C481" s="140">
        <v>2034</v>
      </c>
      <c r="D481" s="141" t="str">
        <f>IFERROR(INDEX(Työkonekanta!$D$3:$D$27,MATCH('S0b Baseline kasvu'!$A481,Työkonekanta!$A$3:$A$24,0),1),"undefined")</f>
        <v>undefined</v>
      </c>
      <c r="E481" s="145">
        <f>IFERROR(INDEX(Työkonekanta!$G$3:$G$27,MATCH($A481,Työkonekanta!$A$3:$A$24,0),1)*INDEX(Työkonekanta!$H$3:$H$27,MATCH($A481,Työkonekanta!$A$3:$A$24,0),1)*(1+s0b_kasvu*($C481-2019))*$B481,0)</f>
        <v>0</v>
      </c>
      <c r="F481" s="145">
        <f t="shared" si="154"/>
        <v>0</v>
      </c>
      <c r="G481" s="145">
        <f t="shared" si="163"/>
        <v>0</v>
      </c>
      <c r="H481" s="145">
        <f t="shared" si="164"/>
        <v>0</v>
      </c>
      <c r="I481" s="145">
        <f t="shared" si="155"/>
        <v>0</v>
      </c>
      <c r="J481" s="145">
        <f t="shared" si="156"/>
        <v>0</v>
      </c>
      <c r="K481" s="142" t="str">
        <f t="shared" si="165"/>
        <v>undefined</v>
      </c>
      <c r="L481" s="146">
        <f>IFERROR(INDEX(Työkonekanta!$I$3:$I$27,MATCH('S0b Baseline kasvu'!$A481,Työkonekanta!$A$3:$A$24,0),1)*(I481+J481)*f_adblue,0)</f>
        <v>0</v>
      </c>
      <c r="M481" s="146">
        <f t="shared" si="171"/>
        <v>0</v>
      </c>
      <c r="N481" s="143" t="str">
        <f>IF(tuulisähkö_vuosi&lt;='S0b Baseline kasvu'!C481,"tuulisähkö",ostosähkö_nyt)</f>
        <v>jäännössähkö</v>
      </c>
      <c r="O481" s="147">
        <f>INDEX(Muuttujat!$J$5:$J$21,MATCH($C481,Muuttujat!$H$5:$H$21,0),1)</f>
        <v>59.556652007924122</v>
      </c>
      <c r="P481" s="342">
        <f>1-(INDEX(Muuttujat!$O$5:$O$21,MATCH($C481,Muuttujat!$N$5:$N$21,0),1))</f>
        <v>0.9</v>
      </c>
      <c r="Q481" s="342">
        <f>INDEX(Muuttujat!$O$5:$O$21,MATCH($C481,Muuttujat!$N$5:$N$21,0),1)</f>
        <v>0.1</v>
      </c>
      <c r="R481" s="148">
        <f>INDEX(Muuttujat!$P$5:$P$21,MATCH($C481,Muuttujat!$N$5:$N$21,0),1)</f>
        <v>0.10417875759940039</v>
      </c>
      <c r="S481" s="149">
        <f t="shared" si="157"/>
        <v>0</v>
      </c>
      <c r="T481" s="150">
        <f t="shared" si="158"/>
        <v>0</v>
      </c>
      <c r="U481" s="150">
        <f t="shared" si="159"/>
        <v>0</v>
      </c>
      <c r="V481" s="150">
        <f>IFERROR(INDEX(Työkonekanta!$J$3:$J$27,MATCH($A481,Työkonekanta!$A$3:$A$24,0),1)*$B481*ef_li_ion_akku/1000/1000/INDEX(Työkonekanta!$K$3:$K$27,MATCH($A481,Työkonekanta!$A$3:$A$24,0)),0)</f>
        <v>0</v>
      </c>
      <c r="W481" s="149">
        <f t="shared" si="172"/>
        <v>0</v>
      </c>
      <c r="X481" s="150">
        <f t="shared" si="173"/>
        <v>0</v>
      </c>
      <c r="Y481" s="151">
        <f t="shared" si="174"/>
        <v>0</v>
      </c>
      <c r="Z481" s="152">
        <f t="shared" si="166"/>
        <v>0</v>
      </c>
      <c r="AA481" s="179">
        <f t="shared" si="167"/>
        <v>0</v>
      </c>
      <c r="AB481" s="179">
        <f t="shared" si="168"/>
        <v>0</v>
      </c>
      <c r="AC481" s="180">
        <f t="shared" si="175"/>
        <v>0</v>
      </c>
      <c r="AD481" s="156">
        <f t="shared" si="169"/>
        <v>0</v>
      </c>
      <c r="AE481" s="146">
        <f>IFERROR(INDEX(Työkonekanta!$L$3:$L$30,MATCH($A481,Työkonekanta!$A$3:$A$30,0),1),0)*AF481</f>
        <v>0</v>
      </c>
      <c r="AF481" s="146">
        <f>IFERROR(INDEX(Työkonekanta!$N$3:$N$32,MATCH($A481,Työkonekanta!$A$3:$A$32,0),1),0)</f>
        <v>0</v>
      </c>
      <c r="AG481" s="332">
        <f>I481*INDEX(Muuttujat!$U$5:$U$21,MATCH($C481,Muuttujat!$N$5:$N$21,0),1)</f>
        <v>0</v>
      </c>
      <c r="AH481" s="332">
        <f>J481*INDEX(Muuttujat!$T$5:$T$21,MATCH($C481,Muuttujat!$N$5:$N$21,0),1)</f>
        <v>0</v>
      </c>
      <c r="AI481" s="332">
        <f t="shared" si="160"/>
        <v>0</v>
      </c>
      <c r="AJ481" s="332">
        <f t="shared" si="161"/>
        <v>0</v>
      </c>
      <c r="AK481" s="332">
        <f t="shared" si="170"/>
        <v>0</v>
      </c>
      <c r="AL481" s="332">
        <f t="shared" si="162"/>
        <v>0</v>
      </c>
    </row>
    <row r="482" spans="1:38">
      <c r="A482" s="139">
        <v>30</v>
      </c>
      <c r="B482" s="139">
        <f>IFERROR(INDEX(Työkonekanta!$F$3:$F$27,MATCH('S0b Baseline kasvu'!$A482,Työkonekanta!$A$3:$A$24,0),1),0)</f>
        <v>0</v>
      </c>
      <c r="C482" s="140">
        <v>2034</v>
      </c>
      <c r="D482" s="141" t="str">
        <f>IFERROR(INDEX(Työkonekanta!$D$3:$D$27,MATCH('S0b Baseline kasvu'!$A482,Työkonekanta!$A$3:$A$24,0),1),"undefined")</f>
        <v>undefined</v>
      </c>
      <c r="E482" s="145">
        <f>IFERROR(INDEX(Työkonekanta!$G$3:$G$27,MATCH($A482,Työkonekanta!$A$3:$A$24,0),1)*INDEX(Työkonekanta!$H$3:$H$27,MATCH($A482,Työkonekanta!$A$3:$A$24,0),1)*(1+s0b_kasvu*($C482-2019))*$B482,0)</f>
        <v>0</v>
      </c>
      <c r="F482" s="145">
        <f t="shared" si="154"/>
        <v>0</v>
      </c>
      <c r="G482" s="145">
        <f t="shared" si="163"/>
        <v>0</v>
      </c>
      <c r="H482" s="145">
        <f t="shared" si="164"/>
        <v>0</v>
      </c>
      <c r="I482" s="145">
        <f t="shared" si="155"/>
        <v>0</v>
      </c>
      <c r="J482" s="145">
        <f t="shared" si="156"/>
        <v>0</v>
      </c>
      <c r="K482" s="142" t="str">
        <f t="shared" si="165"/>
        <v>undefined</v>
      </c>
      <c r="L482" s="146">
        <f>IFERROR(INDEX(Työkonekanta!$I$3:$I$27,MATCH('S0b Baseline kasvu'!$A482,Työkonekanta!$A$3:$A$24,0),1)*(I482+J482)*f_adblue,0)</f>
        <v>0</v>
      </c>
      <c r="M482" s="146">
        <f t="shared" si="171"/>
        <v>0</v>
      </c>
      <c r="N482" s="143" t="str">
        <f>IF(tuulisähkö_vuosi&lt;='S0b Baseline kasvu'!C482,"tuulisähkö",ostosähkö_nyt)</f>
        <v>jäännössähkö</v>
      </c>
      <c r="O482" s="147">
        <f>INDEX(Muuttujat!$J$5:$J$21,MATCH($C482,Muuttujat!$H$5:$H$21,0),1)</f>
        <v>59.556652007924122</v>
      </c>
      <c r="P482" s="342">
        <f>1-(INDEX(Muuttujat!$O$5:$O$21,MATCH($C482,Muuttujat!$N$5:$N$21,0),1))</f>
        <v>0.9</v>
      </c>
      <c r="Q482" s="342">
        <f>INDEX(Muuttujat!$O$5:$O$21,MATCH($C482,Muuttujat!$N$5:$N$21,0),1)</f>
        <v>0.1</v>
      </c>
      <c r="R482" s="148">
        <f>INDEX(Muuttujat!$P$5:$P$21,MATCH($C482,Muuttujat!$N$5:$N$21,0),1)</f>
        <v>0.10417875759940039</v>
      </c>
      <c r="S482" s="149">
        <f t="shared" si="157"/>
        <v>0</v>
      </c>
      <c r="T482" s="150">
        <f t="shared" si="158"/>
        <v>0</v>
      </c>
      <c r="U482" s="150">
        <f t="shared" si="159"/>
        <v>0</v>
      </c>
      <c r="V482" s="150">
        <f>IFERROR(INDEX(Työkonekanta!$J$3:$J$27,MATCH($A482,Työkonekanta!$A$3:$A$24,0),1)*$B482*ef_li_ion_akku/1000/1000/INDEX(Työkonekanta!$K$3:$K$27,MATCH($A482,Työkonekanta!$A$3:$A$24,0)),0)</f>
        <v>0</v>
      </c>
      <c r="W482" s="149">
        <f t="shared" si="172"/>
        <v>0</v>
      </c>
      <c r="X482" s="150">
        <f t="shared" si="173"/>
        <v>0</v>
      </c>
      <c r="Y482" s="151">
        <f t="shared" si="174"/>
        <v>0</v>
      </c>
      <c r="Z482" s="152">
        <f t="shared" si="166"/>
        <v>0</v>
      </c>
      <c r="AA482" s="179">
        <f t="shared" si="167"/>
        <v>0</v>
      </c>
      <c r="AB482" s="179">
        <f t="shared" si="168"/>
        <v>0</v>
      </c>
      <c r="AC482" s="180">
        <f t="shared" si="175"/>
        <v>0</v>
      </c>
      <c r="AD482" s="156">
        <f t="shared" si="169"/>
        <v>0</v>
      </c>
      <c r="AE482" s="146">
        <f>IFERROR(INDEX(Työkonekanta!$L$3:$L$30,MATCH($A482,Työkonekanta!$A$3:$A$30,0),1),0)*AF482</f>
        <v>0</v>
      </c>
      <c r="AF482" s="146">
        <f>IFERROR(INDEX(Työkonekanta!$N$3:$N$32,MATCH($A482,Työkonekanta!$A$3:$A$32,0),1),0)</f>
        <v>0</v>
      </c>
      <c r="AG482" s="332">
        <f>I482*INDEX(Muuttujat!$U$5:$U$21,MATCH($C482,Muuttujat!$N$5:$N$21,0),1)</f>
        <v>0</v>
      </c>
      <c r="AH482" s="332">
        <f>J482*INDEX(Muuttujat!$T$5:$T$21,MATCH($C482,Muuttujat!$N$5:$N$21,0),1)</f>
        <v>0</v>
      </c>
      <c r="AI482" s="332">
        <f t="shared" si="160"/>
        <v>0</v>
      </c>
      <c r="AJ482" s="332">
        <f t="shared" si="161"/>
        <v>0</v>
      </c>
      <c r="AK482" s="332">
        <f t="shared" si="170"/>
        <v>0</v>
      </c>
      <c r="AL482" s="332">
        <f t="shared" si="162"/>
        <v>0</v>
      </c>
    </row>
    <row r="483" spans="1:38">
      <c r="A483" s="139">
        <v>1</v>
      </c>
      <c r="B483" s="139">
        <f>IFERROR(INDEX(Työkonekanta!$F$3:$F$27,MATCH('S0b Baseline kasvu'!$A483,Työkonekanta!$A$3:$A$24,0),1),0)</f>
        <v>1</v>
      </c>
      <c r="C483" s="140">
        <v>2035</v>
      </c>
      <c r="D483" s="141" t="str">
        <f>IFERROR(INDEX(Työkonekanta!$D$3:$D$27,MATCH('S0b Baseline kasvu'!$A483,Työkonekanta!$A$3:$A$24,0),1),"undefined")</f>
        <v>pom</v>
      </c>
      <c r="E483" s="145">
        <f>IFERROR(INDEX(Työkonekanta!$G$3:$G$27,MATCH($A483,Työkonekanta!$A$3:$A$24,0),1)*INDEX(Työkonekanta!$H$3:$H$27,MATCH($A483,Työkonekanta!$A$3:$A$24,0),1)*(1+s0b_kasvu*($C483-2019))*$B483,0)</f>
        <v>11600</v>
      </c>
      <c r="F483" s="145">
        <f t="shared" si="154"/>
        <v>416440</v>
      </c>
      <c r="G483" s="145">
        <f t="shared" si="163"/>
        <v>374796</v>
      </c>
      <c r="H483" s="145">
        <f t="shared" si="164"/>
        <v>41644</v>
      </c>
      <c r="I483" s="145">
        <f t="shared" si="155"/>
        <v>10440</v>
      </c>
      <c r="J483" s="145">
        <f t="shared" si="156"/>
        <v>1214.1107871720117</v>
      </c>
      <c r="K483" s="142" t="str">
        <f t="shared" si="165"/>
        <v>l</v>
      </c>
      <c r="L483" s="146">
        <f>IFERROR(INDEX(Työkonekanta!$I$3:$I$27,MATCH('S0b Baseline kasvu'!$A483,Työkonekanta!$A$3:$A$24,0),1)*(I483+J483)*f_adblue,0)</f>
        <v>582.70553935860062</v>
      </c>
      <c r="M483" s="146">
        <f t="shared" si="171"/>
        <v>0</v>
      </c>
      <c r="N483" s="143" t="str">
        <f>IF(tuulisähkö_vuosi&lt;='S0b Baseline kasvu'!C483,"tuulisähkö",ostosähkö_nyt)</f>
        <v>jäännössähkö</v>
      </c>
      <c r="O483" s="147">
        <f>INDEX(Muuttujat!$J$5:$J$21,MATCH($C483,Muuttujat!$H$5:$H$21,0),1)</f>
        <v>58.961085487844883</v>
      </c>
      <c r="P483" s="342">
        <f>1-(INDEX(Muuttujat!$O$5:$O$21,MATCH($C483,Muuttujat!$N$5:$N$21,0),1))</f>
        <v>0.9</v>
      </c>
      <c r="Q483" s="342">
        <f>INDEX(Muuttujat!$O$5:$O$21,MATCH($C483,Muuttujat!$N$5:$N$21,0),1)</f>
        <v>0.1</v>
      </c>
      <c r="R483" s="148">
        <f>INDEX(Muuttujat!$P$5:$P$21,MATCH($C483,Muuttujat!$N$5:$N$21,0),1)</f>
        <v>0.10417875759940039</v>
      </c>
      <c r="S483" s="149">
        <f t="shared" si="157"/>
        <v>7.083644399999999</v>
      </c>
      <c r="T483" s="150">
        <f t="shared" si="158"/>
        <v>2.5985855999999998</v>
      </c>
      <c r="U483" s="150">
        <f t="shared" si="159"/>
        <v>0</v>
      </c>
      <c r="V483" s="150">
        <f>IFERROR(INDEX(Työkonekanta!$J$3:$J$27,MATCH($A483,Työkonekanta!$A$3:$A$24,0),1)*$B483*ef_li_ion_akku/1000/1000/INDEX(Työkonekanta!$K$3:$K$27,MATCH($A483,Työkonekanta!$A$3:$A$24,0)),0)</f>
        <v>0</v>
      </c>
      <c r="W483" s="149">
        <f t="shared" si="172"/>
        <v>27.663038470584002</v>
      </c>
      <c r="X483" s="150">
        <f t="shared" si="173"/>
        <v>0.36858496559999998</v>
      </c>
      <c r="Y483" s="151">
        <f t="shared" si="174"/>
        <v>0.15150344023323614</v>
      </c>
      <c r="Z483" s="152">
        <f t="shared" si="166"/>
        <v>9.6822299999999988</v>
      </c>
      <c r="AA483" s="179">
        <f t="shared" si="167"/>
        <v>27.814541910817237</v>
      </c>
      <c r="AB483" s="179">
        <f t="shared" si="168"/>
        <v>28.183126876417237</v>
      </c>
      <c r="AC483" s="180">
        <f t="shared" si="175"/>
        <v>37.496771910817237</v>
      </c>
      <c r="AD483" s="156">
        <f t="shared" si="169"/>
        <v>37.865356876417238</v>
      </c>
      <c r="AE483" s="146">
        <f>IFERROR(INDEX(Työkonekanta!$L$3:$L$30,MATCH($A483,Työkonekanta!$A$3:$A$30,0),1),0)*AF483</f>
        <v>500000</v>
      </c>
      <c r="AF483" s="146">
        <f>IFERROR(INDEX(Työkonekanta!$N$3:$N$32,MATCH($A483,Työkonekanta!$A$3:$A$32,0),1),0)</f>
        <v>1</v>
      </c>
      <c r="AG483" s="332">
        <f>I483*INDEX(Muuttujat!$U$5:$U$21,MATCH($C483,Muuttujat!$N$5:$N$21,0),1)</f>
        <v>10962</v>
      </c>
      <c r="AH483" s="332">
        <f>J483*INDEX(Muuttujat!$T$5:$T$21,MATCH($C483,Muuttujat!$N$5:$N$21,0),1)</f>
        <v>1760.4606413994172</v>
      </c>
      <c r="AI483" s="332">
        <f t="shared" si="160"/>
        <v>291.35276967930031</v>
      </c>
      <c r="AJ483" s="332">
        <f t="shared" si="161"/>
        <v>0</v>
      </c>
      <c r="AK483" s="332">
        <f t="shared" si="170"/>
        <v>13013.813411078718</v>
      </c>
      <c r="AL483" s="332">
        <f t="shared" si="162"/>
        <v>13013.813411078718</v>
      </c>
    </row>
    <row r="484" spans="1:38">
      <c r="A484" s="139">
        <v>2</v>
      </c>
      <c r="B484" s="139">
        <f>IFERROR(INDEX(Työkonekanta!$F$3:$F$27,MATCH('S0b Baseline kasvu'!$A484,Työkonekanta!$A$3:$A$24,0),1),0)</f>
        <v>1</v>
      </c>
      <c r="C484" s="140">
        <v>2035</v>
      </c>
      <c r="D484" s="141" t="str">
        <f>IFERROR(INDEX(Työkonekanta!$D$3:$D$27,MATCH('S0b Baseline kasvu'!$A484,Työkonekanta!$A$3:$A$24,0),1),"undefined")</f>
        <v>pom</v>
      </c>
      <c r="E484" s="145">
        <f>IFERROR(INDEX(Työkonekanta!$G$3:$G$27,MATCH($A484,Työkonekanta!$A$3:$A$24,0),1)*INDEX(Työkonekanta!$H$3:$H$27,MATCH($A484,Työkonekanta!$A$3:$A$24,0),1)*(1+s0b_kasvu*($C484-2019))*$B484,0)</f>
        <v>11600</v>
      </c>
      <c r="F484" s="145">
        <f t="shared" si="154"/>
        <v>416440</v>
      </c>
      <c r="G484" s="145">
        <f t="shared" si="163"/>
        <v>374796</v>
      </c>
      <c r="H484" s="145">
        <f t="shared" si="164"/>
        <v>41644</v>
      </c>
      <c r="I484" s="145">
        <f t="shared" si="155"/>
        <v>10440</v>
      </c>
      <c r="J484" s="145">
        <f t="shared" si="156"/>
        <v>1214.1107871720117</v>
      </c>
      <c r="K484" s="142" t="str">
        <f t="shared" si="165"/>
        <v>l</v>
      </c>
      <c r="L484" s="146">
        <f>IFERROR(INDEX(Työkonekanta!$I$3:$I$27,MATCH('S0b Baseline kasvu'!$A484,Työkonekanta!$A$3:$A$24,0),1)*(I484+J484)*f_adblue,0)</f>
        <v>582.70553935860062</v>
      </c>
      <c r="M484" s="146">
        <f t="shared" si="171"/>
        <v>0</v>
      </c>
      <c r="N484" s="143" t="str">
        <f>IF(tuulisähkö_vuosi&lt;='S0b Baseline kasvu'!C484,"tuulisähkö",ostosähkö_nyt)</f>
        <v>jäännössähkö</v>
      </c>
      <c r="O484" s="147">
        <f>INDEX(Muuttujat!$J$5:$J$21,MATCH($C484,Muuttujat!$H$5:$H$21,0),1)</f>
        <v>58.961085487844883</v>
      </c>
      <c r="P484" s="342">
        <f>1-(INDEX(Muuttujat!$O$5:$O$21,MATCH($C484,Muuttujat!$N$5:$N$21,0),1))</f>
        <v>0.9</v>
      </c>
      <c r="Q484" s="342">
        <f>INDEX(Muuttujat!$O$5:$O$21,MATCH($C484,Muuttujat!$N$5:$N$21,0),1)</f>
        <v>0.1</v>
      </c>
      <c r="R484" s="148">
        <f>INDEX(Muuttujat!$P$5:$P$21,MATCH($C484,Muuttujat!$N$5:$N$21,0),1)</f>
        <v>0.10417875759940039</v>
      </c>
      <c r="S484" s="149">
        <f t="shared" si="157"/>
        <v>7.083644399999999</v>
      </c>
      <c r="T484" s="150">
        <f t="shared" si="158"/>
        <v>2.5985855999999998</v>
      </c>
      <c r="U484" s="150">
        <f t="shared" si="159"/>
        <v>0</v>
      </c>
      <c r="V484" s="150">
        <f>IFERROR(INDEX(Työkonekanta!$J$3:$J$27,MATCH($A484,Työkonekanta!$A$3:$A$24,0),1)*$B484*ef_li_ion_akku/1000/1000/INDEX(Työkonekanta!$K$3:$K$27,MATCH($A484,Työkonekanta!$A$3:$A$24,0)),0)</f>
        <v>0</v>
      </c>
      <c r="W484" s="149">
        <f t="shared" si="172"/>
        <v>27.663038470584002</v>
      </c>
      <c r="X484" s="150">
        <f t="shared" si="173"/>
        <v>0.36858496559999998</v>
      </c>
      <c r="Y484" s="151">
        <f t="shared" si="174"/>
        <v>0.15150344023323614</v>
      </c>
      <c r="Z484" s="152">
        <f t="shared" si="166"/>
        <v>9.6822299999999988</v>
      </c>
      <c r="AA484" s="179">
        <f t="shared" si="167"/>
        <v>27.814541910817237</v>
      </c>
      <c r="AB484" s="179">
        <f t="shared" si="168"/>
        <v>28.183126876417237</v>
      </c>
      <c r="AC484" s="180">
        <f t="shared" si="175"/>
        <v>37.496771910817237</v>
      </c>
      <c r="AD484" s="156">
        <f t="shared" si="169"/>
        <v>37.865356876417238</v>
      </c>
      <c r="AE484" s="146">
        <f>IFERROR(INDEX(Työkonekanta!$L$3:$L$30,MATCH($A484,Työkonekanta!$A$3:$A$30,0),1),0)*AF484</f>
        <v>500000</v>
      </c>
      <c r="AF484" s="146">
        <f>IFERROR(INDEX(Työkonekanta!$N$3:$N$32,MATCH($A484,Työkonekanta!$A$3:$A$32,0),1),0)</f>
        <v>1</v>
      </c>
      <c r="AG484" s="332">
        <f>I484*INDEX(Muuttujat!$U$5:$U$21,MATCH($C484,Muuttujat!$N$5:$N$21,0),1)</f>
        <v>10962</v>
      </c>
      <c r="AH484" s="332">
        <f>J484*INDEX(Muuttujat!$T$5:$T$21,MATCH($C484,Muuttujat!$N$5:$N$21,0),1)</f>
        <v>1760.4606413994172</v>
      </c>
      <c r="AI484" s="332">
        <f t="shared" si="160"/>
        <v>291.35276967930031</v>
      </c>
      <c r="AJ484" s="332">
        <f t="shared" si="161"/>
        <v>0</v>
      </c>
      <c r="AK484" s="332">
        <f t="shared" si="170"/>
        <v>13013.813411078718</v>
      </c>
      <c r="AL484" s="332">
        <f t="shared" si="162"/>
        <v>13013.813411078718</v>
      </c>
    </row>
    <row r="485" spans="1:38">
      <c r="A485" s="139">
        <v>3</v>
      </c>
      <c r="B485" s="139">
        <f>IFERROR(INDEX(Työkonekanta!$F$3:$F$27,MATCH('S0b Baseline kasvu'!$A485,Työkonekanta!$A$3:$A$24,0),1),0)</f>
        <v>1</v>
      </c>
      <c r="C485" s="140">
        <v>2035</v>
      </c>
      <c r="D485" s="141" t="str">
        <f>IFERROR(INDEX(Työkonekanta!$D$3:$D$27,MATCH('S0b Baseline kasvu'!$A485,Työkonekanta!$A$3:$A$24,0),1),"undefined")</f>
        <v>pom</v>
      </c>
      <c r="E485" s="145">
        <f>IFERROR(INDEX(Työkonekanta!$G$3:$G$27,MATCH($A485,Työkonekanta!$A$3:$A$24,0),1)*INDEX(Työkonekanta!$H$3:$H$27,MATCH($A485,Työkonekanta!$A$3:$A$24,0),1)*(1+s0b_kasvu*($C485-2019))*$B485,0)</f>
        <v>11600</v>
      </c>
      <c r="F485" s="145">
        <f t="shared" si="154"/>
        <v>416440</v>
      </c>
      <c r="G485" s="145">
        <f t="shared" si="163"/>
        <v>374796</v>
      </c>
      <c r="H485" s="145">
        <f t="shared" si="164"/>
        <v>41644</v>
      </c>
      <c r="I485" s="145">
        <f t="shared" si="155"/>
        <v>10440</v>
      </c>
      <c r="J485" s="145">
        <f t="shared" si="156"/>
        <v>1214.1107871720117</v>
      </c>
      <c r="K485" s="142" t="str">
        <f t="shared" si="165"/>
        <v>l</v>
      </c>
      <c r="L485" s="146">
        <f>IFERROR(INDEX(Työkonekanta!$I$3:$I$27,MATCH('S0b Baseline kasvu'!$A485,Työkonekanta!$A$3:$A$24,0),1)*(I485+J485)*f_adblue,0)</f>
        <v>582.70553935860062</v>
      </c>
      <c r="M485" s="146">
        <f t="shared" si="171"/>
        <v>0</v>
      </c>
      <c r="N485" s="143" t="str">
        <f>IF(tuulisähkö_vuosi&lt;='S0b Baseline kasvu'!C485,"tuulisähkö",ostosähkö_nyt)</f>
        <v>jäännössähkö</v>
      </c>
      <c r="O485" s="147">
        <f>INDEX(Muuttujat!$J$5:$J$21,MATCH($C485,Muuttujat!$H$5:$H$21,0),1)</f>
        <v>58.961085487844883</v>
      </c>
      <c r="P485" s="342">
        <f>1-(INDEX(Muuttujat!$O$5:$O$21,MATCH($C485,Muuttujat!$N$5:$N$21,0),1))</f>
        <v>0.9</v>
      </c>
      <c r="Q485" s="342">
        <f>INDEX(Muuttujat!$O$5:$O$21,MATCH($C485,Muuttujat!$N$5:$N$21,0),1)</f>
        <v>0.1</v>
      </c>
      <c r="R485" s="148">
        <f>INDEX(Muuttujat!$P$5:$P$21,MATCH($C485,Muuttujat!$N$5:$N$21,0),1)</f>
        <v>0.10417875759940039</v>
      </c>
      <c r="S485" s="149">
        <f t="shared" si="157"/>
        <v>7.083644399999999</v>
      </c>
      <c r="T485" s="150">
        <f t="shared" si="158"/>
        <v>2.5985855999999998</v>
      </c>
      <c r="U485" s="150">
        <f t="shared" si="159"/>
        <v>0</v>
      </c>
      <c r="V485" s="150">
        <f>IFERROR(INDEX(Työkonekanta!$J$3:$J$27,MATCH($A485,Työkonekanta!$A$3:$A$24,0),1)*$B485*ef_li_ion_akku/1000/1000/INDEX(Työkonekanta!$K$3:$K$27,MATCH($A485,Työkonekanta!$A$3:$A$24,0)),0)</f>
        <v>0</v>
      </c>
      <c r="W485" s="149">
        <f t="shared" si="172"/>
        <v>27.663038470584002</v>
      </c>
      <c r="X485" s="150">
        <f t="shared" si="173"/>
        <v>0.36858496559999998</v>
      </c>
      <c r="Y485" s="151">
        <f t="shared" si="174"/>
        <v>0.15150344023323614</v>
      </c>
      <c r="Z485" s="152">
        <f t="shared" si="166"/>
        <v>9.6822299999999988</v>
      </c>
      <c r="AA485" s="179">
        <f t="shared" si="167"/>
        <v>27.814541910817237</v>
      </c>
      <c r="AB485" s="179">
        <f t="shared" si="168"/>
        <v>28.183126876417237</v>
      </c>
      <c r="AC485" s="180">
        <f t="shared" si="175"/>
        <v>37.496771910817237</v>
      </c>
      <c r="AD485" s="156">
        <f t="shared" si="169"/>
        <v>37.865356876417238</v>
      </c>
      <c r="AE485" s="146">
        <f>IFERROR(INDEX(Työkonekanta!$L$3:$L$30,MATCH($A485,Työkonekanta!$A$3:$A$30,0),1),0)*AF485</f>
        <v>0</v>
      </c>
      <c r="AF485" s="146">
        <f>IFERROR(INDEX(Työkonekanta!$N$3:$N$32,MATCH($A485,Työkonekanta!$A$3:$A$32,0),1),0)</f>
        <v>0</v>
      </c>
      <c r="AG485" s="332">
        <f>I485*INDEX(Muuttujat!$U$5:$U$21,MATCH($C485,Muuttujat!$N$5:$N$21,0),1)</f>
        <v>10962</v>
      </c>
      <c r="AH485" s="332">
        <f>J485*INDEX(Muuttujat!$T$5:$T$21,MATCH($C485,Muuttujat!$N$5:$N$21,0),1)</f>
        <v>1760.4606413994172</v>
      </c>
      <c r="AI485" s="332">
        <f t="shared" si="160"/>
        <v>291.35276967930031</v>
      </c>
      <c r="AJ485" s="332">
        <f t="shared" si="161"/>
        <v>0</v>
      </c>
      <c r="AK485" s="332">
        <f t="shared" si="170"/>
        <v>13013.813411078718</v>
      </c>
      <c r="AL485" s="332">
        <f t="shared" si="162"/>
        <v>13013.813411078718</v>
      </c>
    </row>
    <row r="486" spans="1:38">
      <c r="A486" s="139">
        <v>4</v>
      </c>
      <c r="B486" s="139">
        <f>IFERROR(INDEX(Työkonekanta!$F$3:$F$27,MATCH('S0b Baseline kasvu'!$A486,Työkonekanta!$A$3:$A$24,0),1),0)</f>
        <v>1</v>
      </c>
      <c r="C486" s="140">
        <v>2035</v>
      </c>
      <c r="D486" s="141" t="str">
        <f>IFERROR(INDEX(Työkonekanta!$D$3:$D$27,MATCH('S0b Baseline kasvu'!$A486,Työkonekanta!$A$3:$A$24,0),1),"undefined")</f>
        <v>pom</v>
      </c>
      <c r="E486" s="145">
        <f>IFERROR(INDEX(Työkonekanta!$G$3:$G$27,MATCH($A486,Työkonekanta!$A$3:$A$24,0),1)*INDEX(Työkonekanta!$H$3:$H$27,MATCH($A486,Työkonekanta!$A$3:$A$24,0),1)*(1+s0b_kasvu*($C486-2019))*$B486,0)</f>
        <v>11600</v>
      </c>
      <c r="F486" s="145">
        <f t="shared" si="154"/>
        <v>416440</v>
      </c>
      <c r="G486" s="145">
        <f t="shared" si="163"/>
        <v>374796</v>
      </c>
      <c r="H486" s="145">
        <f t="shared" si="164"/>
        <v>41644</v>
      </c>
      <c r="I486" s="145">
        <f t="shared" si="155"/>
        <v>10440</v>
      </c>
      <c r="J486" s="145">
        <f t="shared" si="156"/>
        <v>1214.1107871720117</v>
      </c>
      <c r="K486" s="142" t="str">
        <f t="shared" si="165"/>
        <v>l</v>
      </c>
      <c r="L486" s="146">
        <f>IFERROR(INDEX(Työkonekanta!$I$3:$I$27,MATCH('S0b Baseline kasvu'!$A486,Työkonekanta!$A$3:$A$24,0),1)*(I486+J486)*f_adblue,0)</f>
        <v>582.70553935860062</v>
      </c>
      <c r="M486" s="146">
        <f t="shared" si="171"/>
        <v>0</v>
      </c>
      <c r="N486" s="143" t="str">
        <f>IF(tuulisähkö_vuosi&lt;='S0b Baseline kasvu'!C486,"tuulisähkö",ostosähkö_nyt)</f>
        <v>jäännössähkö</v>
      </c>
      <c r="O486" s="147">
        <f>INDEX(Muuttujat!$J$5:$J$21,MATCH($C486,Muuttujat!$H$5:$H$21,0),1)</f>
        <v>58.961085487844883</v>
      </c>
      <c r="P486" s="342">
        <f>1-(INDEX(Muuttujat!$O$5:$O$21,MATCH($C486,Muuttujat!$N$5:$N$21,0),1))</f>
        <v>0.9</v>
      </c>
      <c r="Q486" s="342">
        <f>INDEX(Muuttujat!$O$5:$O$21,MATCH($C486,Muuttujat!$N$5:$N$21,0),1)</f>
        <v>0.1</v>
      </c>
      <c r="R486" s="148">
        <f>INDEX(Muuttujat!$P$5:$P$21,MATCH($C486,Muuttujat!$N$5:$N$21,0),1)</f>
        <v>0.10417875759940039</v>
      </c>
      <c r="S486" s="149">
        <f t="shared" si="157"/>
        <v>7.083644399999999</v>
      </c>
      <c r="T486" s="150">
        <f t="shared" si="158"/>
        <v>2.5985855999999998</v>
      </c>
      <c r="U486" s="150">
        <f t="shared" si="159"/>
        <v>0</v>
      </c>
      <c r="V486" s="150">
        <f>IFERROR(INDEX(Työkonekanta!$J$3:$J$27,MATCH($A486,Työkonekanta!$A$3:$A$24,0),1)*$B486*ef_li_ion_akku/1000/1000/INDEX(Työkonekanta!$K$3:$K$27,MATCH($A486,Työkonekanta!$A$3:$A$24,0)),0)</f>
        <v>0</v>
      </c>
      <c r="W486" s="149">
        <f t="shared" si="172"/>
        <v>27.663038470584002</v>
      </c>
      <c r="X486" s="150">
        <f t="shared" si="173"/>
        <v>0.36858496559999998</v>
      </c>
      <c r="Y486" s="151">
        <f t="shared" si="174"/>
        <v>0.15150344023323614</v>
      </c>
      <c r="Z486" s="152">
        <f t="shared" si="166"/>
        <v>9.6822299999999988</v>
      </c>
      <c r="AA486" s="179">
        <f t="shared" si="167"/>
        <v>27.814541910817237</v>
      </c>
      <c r="AB486" s="179">
        <f t="shared" si="168"/>
        <v>28.183126876417237</v>
      </c>
      <c r="AC486" s="180">
        <f t="shared" si="175"/>
        <v>37.496771910817237</v>
      </c>
      <c r="AD486" s="156">
        <f t="shared" si="169"/>
        <v>37.865356876417238</v>
      </c>
      <c r="AE486" s="146">
        <f>IFERROR(INDEX(Työkonekanta!$L$3:$L$30,MATCH($A486,Työkonekanta!$A$3:$A$30,0),1),0)*AF486</f>
        <v>0</v>
      </c>
      <c r="AF486" s="146">
        <f>IFERROR(INDEX(Työkonekanta!$N$3:$N$32,MATCH($A486,Työkonekanta!$A$3:$A$32,0),1),0)</f>
        <v>0</v>
      </c>
      <c r="AG486" s="332">
        <f>I486*INDEX(Muuttujat!$U$5:$U$21,MATCH($C486,Muuttujat!$N$5:$N$21,0),1)</f>
        <v>10962</v>
      </c>
      <c r="AH486" s="332">
        <f>J486*INDEX(Muuttujat!$T$5:$T$21,MATCH($C486,Muuttujat!$N$5:$N$21,0),1)</f>
        <v>1760.4606413994172</v>
      </c>
      <c r="AI486" s="332">
        <f t="shared" si="160"/>
        <v>291.35276967930031</v>
      </c>
      <c r="AJ486" s="332">
        <f t="shared" si="161"/>
        <v>0</v>
      </c>
      <c r="AK486" s="332">
        <f t="shared" si="170"/>
        <v>13013.813411078718</v>
      </c>
      <c r="AL486" s="332">
        <f t="shared" si="162"/>
        <v>13013.813411078718</v>
      </c>
    </row>
    <row r="487" spans="1:38">
      <c r="A487" s="139">
        <v>5</v>
      </c>
      <c r="B487" s="139">
        <f>IFERROR(INDEX(Työkonekanta!$F$3:$F$27,MATCH('S0b Baseline kasvu'!$A487,Työkonekanta!$A$3:$A$24,0),1),0)</f>
        <v>0</v>
      </c>
      <c r="C487" s="140">
        <v>2035</v>
      </c>
      <c r="D487" s="141" t="str">
        <f>IFERROR(INDEX(Työkonekanta!$D$3:$D$27,MATCH('S0b Baseline kasvu'!$A487,Työkonekanta!$A$3:$A$24,0),1),"undefined")</f>
        <v>sähkö</v>
      </c>
      <c r="E487" s="145">
        <f>IFERROR(INDEX(Työkonekanta!$G$3:$G$27,MATCH($A487,Työkonekanta!$A$3:$A$24,0),1)*INDEX(Työkonekanta!$H$3:$H$27,MATCH($A487,Työkonekanta!$A$3:$A$24,0),1)*(1+s0b_kasvu*($C487-2019))*$B487,0)</f>
        <v>0</v>
      </c>
      <c r="F487" s="145">
        <f t="shared" si="154"/>
        <v>0</v>
      </c>
      <c r="G487" s="145">
        <f t="shared" si="163"/>
        <v>0</v>
      </c>
      <c r="H487" s="145">
        <f t="shared" si="164"/>
        <v>0</v>
      </c>
      <c r="I487" s="145">
        <f t="shared" si="155"/>
        <v>0</v>
      </c>
      <c r="J487" s="145">
        <f t="shared" si="156"/>
        <v>0</v>
      </c>
      <c r="K487" s="142" t="str">
        <f t="shared" si="165"/>
        <v>kWh</v>
      </c>
      <c r="L487" s="146">
        <f>IFERROR(INDEX(Työkonekanta!$I$3:$I$27,MATCH('S0b Baseline kasvu'!$A487,Työkonekanta!$A$3:$A$24,0),1)*(I487+J487)*f_adblue,0)</f>
        <v>0</v>
      </c>
      <c r="M487" s="146">
        <f t="shared" si="171"/>
        <v>0</v>
      </c>
      <c r="N487" s="143" t="str">
        <f>IF(tuulisähkö_vuosi&lt;='S0b Baseline kasvu'!C487,"tuulisähkö",ostosähkö_nyt)</f>
        <v>jäännössähkö</v>
      </c>
      <c r="O487" s="147">
        <f>INDEX(Muuttujat!$J$5:$J$21,MATCH($C487,Muuttujat!$H$5:$H$21,0),1)</f>
        <v>58.961085487844883</v>
      </c>
      <c r="P487" s="342">
        <f>1-(INDEX(Muuttujat!$O$5:$O$21,MATCH($C487,Muuttujat!$N$5:$N$21,0),1))</f>
        <v>0.9</v>
      </c>
      <c r="Q487" s="342">
        <f>INDEX(Muuttujat!$O$5:$O$21,MATCH($C487,Muuttujat!$N$5:$N$21,0),1)</f>
        <v>0.1</v>
      </c>
      <c r="R487" s="148">
        <f>INDEX(Muuttujat!$P$5:$P$21,MATCH($C487,Muuttujat!$N$5:$N$21,0),1)</f>
        <v>0.10417875759940039</v>
      </c>
      <c r="S487" s="149">
        <f t="shared" si="157"/>
        <v>0</v>
      </c>
      <c r="T487" s="150">
        <f t="shared" si="158"/>
        <v>0</v>
      </c>
      <c r="U487" s="150">
        <f t="shared" si="159"/>
        <v>0</v>
      </c>
      <c r="V487" s="150">
        <f>IFERROR(INDEX(Työkonekanta!$J$3:$J$27,MATCH($A487,Työkonekanta!$A$3:$A$24,0),1)*$B487*ef_li_ion_akku/1000/1000/INDEX(Työkonekanta!$K$3:$K$27,MATCH($A487,Työkonekanta!$A$3:$A$24,0)),0)</f>
        <v>0</v>
      </c>
      <c r="W487" s="149">
        <f t="shared" si="172"/>
        <v>0</v>
      </c>
      <c r="X487" s="150">
        <f t="shared" si="173"/>
        <v>0</v>
      </c>
      <c r="Y487" s="151">
        <f t="shared" si="174"/>
        <v>0</v>
      </c>
      <c r="Z487" s="152">
        <f t="shared" si="166"/>
        <v>0</v>
      </c>
      <c r="AA487" s="179">
        <f t="shared" si="167"/>
        <v>0</v>
      </c>
      <c r="AB487" s="179">
        <f t="shared" si="168"/>
        <v>0</v>
      </c>
      <c r="AC487" s="180">
        <f t="shared" si="175"/>
        <v>0</v>
      </c>
      <c r="AD487" s="156">
        <f t="shared" si="169"/>
        <v>0</v>
      </c>
      <c r="AE487" s="146">
        <f>IFERROR(INDEX(Työkonekanta!$L$3:$L$30,MATCH($A487,Työkonekanta!$A$3:$A$30,0),1),0)*AF487</f>
        <v>0</v>
      </c>
      <c r="AF487" s="146">
        <f>IFERROR(INDEX(Työkonekanta!$N$3:$N$32,MATCH($A487,Työkonekanta!$A$3:$A$32,0),1),0)</f>
        <v>0</v>
      </c>
      <c r="AG487" s="332">
        <f>I487*INDEX(Muuttujat!$U$5:$U$21,MATCH($C487,Muuttujat!$N$5:$N$21,0),1)</f>
        <v>0</v>
      </c>
      <c r="AH487" s="332">
        <f>J487*INDEX(Muuttujat!$T$5:$T$21,MATCH($C487,Muuttujat!$N$5:$N$21,0),1)</f>
        <v>0</v>
      </c>
      <c r="AI487" s="332">
        <f t="shared" si="160"/>
        <v>0</v>
      </c>
      <c r="AJ487" s="332">
        <f t="shared" si="161"/>
        <v>0</v>
      </c>
      <c r="AK487" s="332">
        <f t="shared" si="170"/>
        <v>0</v>
      </c>
      <c r="AL487" s="332">
        <f t="shared" si="162"/>
        <v>0</v>
      </c>
    </row>
    <row r="488" spans="1:38">
      <c r="A488" s="139">
        <v>6</v>
      </c>
      <c r="B488" s="139">
        <f>IFERROR(INDEX(Työkonekanta!$F$3:$F$27,MATCH('S0b Baseline kasvu'!$A488,Työkonekanta!$A$3:$A$24,0),1),0)</f>
        <v>0</v>
      </c>
      <c r="C488" s="140">
        <v>2035</v>
      </c>
      <c r="D488" s="141" t="str">
        <f>IFERROR(INDEX(Työkonekanta!$D$3:$D$27,MATCH('S0b Baseline kasvu'!$A488,Työkonekanta!$A$3:$A$24,0),1),"undefined")</f>
        <v>sähkö</v>
      </c>
      <c r="E488" s="145">
        <f>IFERROR(INDEX(Työkonekanta!$G$3:$G$27,MATCH($A488,Työkonekanta!$A$3:$A$24,0),1)*INDEX(Työkonekanta!$H$3:$H$27,MATCH($A488,Työkonekanta!$A$3:$A$24,0),1)*(1+s0b_kasvu*($C488-2019))*$B488,0)</f>
        <v>0</v>
      </c>
      <c r="F488" s="145">
        <f t="shared" si="154"/>
        <v>0</v>
      </c>
      <c r="G488" s="145">
        <f t="shared" si="163"/>
        <v>0</v>
      </c>
      <c r="H488" s="145">
        <f t="shared" si="164"/>
        <v>0</v>
      </c>
      <c r="I488" s="145">
        <f t="shared" si="155"/>
        <v>0</v>
      </c>
      <c r="J488" s="145">
        <f t="shared" si="156"/>
        <v>0</v>
      </c>
      <c r="K488" s="142" t="str">
        <f t="shared" si="165"/>
        <v>kWh</v>
      </c>
      <c r="L488" s="146">
        <f>IFERROR(INDEX(Työkonekanta!$I$3:$I$27,MATCH('S0b Baseline kasvu'!$A488,Työkonekanta!$A$3:$A$24,0),1)*(I488+J488)*f_adblue,0)</f>
        <v>0</v>
      </c>
      <c r="M488" s="146">
        <f t="shared" si="171"/>
        <v>0</v>
      </c>
      <c r="N488" s="143" t="str">
        <f>IF(tuulisähkö_vuosi&lt;='S0b Baseline kasvu'!C488,"tuulisähkö",ostosähkö_nyt)</f>
        <v>jäännössähkö</v>
      </c>
      <c r="O488" s="147">
        <f>INDEX(Muuttujat!$J$5:$J$21,MATCH($C488,Muuttujat!$H$5:$H$21,0),1)</f>
        <v>58.961085487844883</v>
      </c>
      <c r="P488" s="342">
        <f>1-(INDEX(Muuttujat!$O$5:$O$21,MATCH($C488,Muuttujat!$N$5:$N$21,0),1))</f>
        <v>0.9</v>
      </c>
      <c r="Q488" s="342">
        <f>INDEX(Muuttujat!$O$5:$O$21,MATCH($C488,Muuttujat!$N$5:$N$21,0),1)</f>
        <v>0.1</v>
      </c>
      <c r="R488" s="148">
        <f>INDEX(Muuttujat!$P$5:$P$21,MATCH($C488,Muuttujat!$N$5:$N$21,0),1)</f>
        <v>0.10417875759940039</v>
      </c>
      <c r="S488" s="149">
        <f t="shared" si="157"/>
        <v>0</v>
      </c>
      <c r="T488" s="150">
        <f t="shared" si="158"/>
        <v>0</v>
      </c>
      <c r="U488" s="150">
        <f t="shared" si="159"/>
        <v>0</v>
      </c>
      <c r="V488" s="150">
        <f>IFERROR(INDEX(Työkonekanta!$J$3:$J$27,MATCH($A488,Työkonekanta!$A$3:$A$24,0),1)*$B488*ef_li_ion_akku/1000/1000/INDEX(Työkonekanta!$K$3:$K$27,MATCH($A488,Työkonekanta!$A$3:$A$24,0)),0)</f>
        <v>0</v>
      </c>
      <c r="W488" s="149">
        <f t="shared" si="172"/>
        <v>0</v>
      </c>
      <c r="X488" s="150">
        <f t="shared" si="173"/>
        <v>0</v>
      </c>
      <c r="Y488" s="151">
        <f t="shared" si="174"/>
        <v>0</v>
      </c>
      <c r="Z488" s="152">
        <f t="shared" si="166"/>
        <v>0</v>
      </c>
      <c r="AA488" s="179">
        <f t="shared" si="167"/>
        <v>0</v>
      </c>
      <c r="AB488" s="179">
        <f t="shared" si="168"/>
        <v>0</v>
      </c>
      <c r="AC488" s="180">
        <f t="shared" si="175"/>
        <v>0</v>
      </c>
      <c r="AD488" s="156">
        <f t="shared" si="169"/>
        <v>0</v>
      </c>
      <c r="AE488" s="146">
        <f>IFERROR(INDEX(Työkonekanta!$L$3:$L$30,MATCH($A488,Työkonekanta!$A$3:$A$30,0),1),0)*AF488</f>
        <v>0</v>
      </c>
      <c r="AF488" s="146">
        <f>IFERROR(INDEX(Työkonekanta!$N$3:$N$32,MATCH($A488,Työkonekanta!$A$3:$A$32,0),1),0)</f>
        <v>0</v>
      </c>
      <c r="AG488" s="332">
        <f>I488*INDEX(Muuttujat!$U$5:$U$21,MATCH($C488,Muuttujat!$N$5:$N$21,0),1)</f>
        <v>0</v>
      </c>
      <c r="AH488" s="332">
        <f>J488*INDEX(Muuttujat!$T$5:$T$21,MATCH($C488,Muuttujat!$N$5:$N$21,0),1)</f>
        <v>0</v>
      </c>
      <c r="AI488" s="332">
        <f t="shared" si="160"/>
        <v>0</v>
      </c>
      <c r="AJ488" s="332">
        <f t="shared" si="161"/>
        <v>0</v>
      </c>
      <c r="AK488" s="332">
        <f t="shared" si="170"/>
        <v>0</v>
      </c>
      <c r="AL488" s="332">
        <f t="shared" si="162"/>
        <v>0</v>
      </c>
    </row>
    <row r="489" spans="1:38">
      <c r="A489" s="139">
        <v>7</v>
      </c>
      <c r="B489" s="139">
        <f>IFERROR(INDEX(Työkonekanta!$F$3:$F$27,MATCH('S0b Baseline kasvu'!$A489,Työkonekanta!$A$3:$A$24,0),1),0)</f>
        <v>1</v>
      </c>
      <c r="C489" s="140">
        <v>2035</v>
      </c>
      <c r="D489" s="141" t="str">
        <f>IFERROR(INDEX(Työkonekanta!$D$3:$D$27,MATCH('S0b Baseline kasvu'!$A489,Työkonekanta!$A$3:$A$24,0),1),"undefined")</f>
        <v>pom</v>
      </c>
      <c r="E489" s="145">
        <f>IFERROR(INDEX(Työkonekanta!$G$3:$G$27,MATCH($A489,Työkonekanta!$A$3:$A$24,0),1)*INDEX(Työkonekanta!$H$3:$H$27,MATCH($A489,Työkonekanta!$A$3:$A$24,0),1)*(1+s0b_kasvu*($C489-2019))*$B489,0)</f>
        <v>11600</v>
      </c>
      <c r="F489" s="145">
        <f t="shared" si="154"/>
        <v>416440</v>
      </c>
      <c r="G489" s="145">
        <f t="shared" si="163"/>
        <v>374796</v>
      </c>
      <c r="H489" s="145">
        <f t="shared" si="164"/>
        <v>41644</v>
      </c>
      <c r="I489" s="145">
        <f t="shared" si="155"/>
        <v>10440</v>
      </c>
      <c r="J489" s="145">
        <f t="shared" si="156"/>
        <v>1214.1107871720117</v>
      </c>
      <c r="K489" s="142" t="str">
        <f t="shared" si="165"/>
        <v>l</v>
      </c>
      <c r="L489" s="146">
        <f>IFERROR(INDEX(Työkonekanta!$I$3:$I$27,MATCH('S0b Baseline kasvu'!$A489,Työkonekanta!$A$3:$A$24,0),1)*(I489+J489)*f_adblue,0)</f>
        <v>0</v>
      </c>
      <c r="M489" s="146">
        <f t="shared" si="171"/>
        <v>0</v>
      </c>
      <c r="N489" s="143" t="str">
        <f>IF(tuulisähkö_vuosi&lt;='S0b Baseline kasvu'!C489,"tuulisähkö",ostosähkö_nyt)</f>
        <v>jäännössähkö</v>
      </c>
      <c r="O489" s="147">
        <f>INDEX(Muuttujat!$J$5:$J$21,MATCH($C489,Muuttujat!$H$5:$H$21,0),1)</f>
        <v>58.961085487844883</v>
      </c>
      <c r="P489" s="342">
        <f>1-(INDEX(Muuttujat!$O$5:$O$21,MATCH($C489,Muuttujat!$N$5:$N$21,0),1))</f>
        <v>0.9</v>
      </c>
      <c r="Q489" s="342">
        <f>INDEX(Muuttujat!$O$5:$O$21,MATCH($C489,Muuttujat!$N$5:$N$21,0),1)</f>
        <v>0.1</v>
      </c>
      <c r="R489" s="148">
        <f>INDEX(Muuttujat!$P$5:$P$21,MATCH($C489,Muuttujat!$N$5:$N$21,0),1)</f>
        <v>0.10417875759940039</v>
      </c>
      <c r="S489" s="149">
        <f t="shared" si="157"/>
        <v>7.083644399999999</v>
      </c>
      <c r="T489" s="150">
        <f t="shared" si="158"/>
        <v>2.5985855999999998</v>
      </c>
      <c r="U489" s="150">
        <f t="shared" si="159"/>
        <v>0</v>
      </c>
      <c r="V489" s="150">
        <f>IFERROR(INDEX(Työkonekanta!$J$3:$J$27,MATCH($A489,Työkonekanta!$A$3:$A$24,0),1)*$B489*ef_li_ion_akku/1000/1000/INDEX(Työkonekanta!$K$3:$K$27,MATCH($A489,Työkonekanta!$A$3:$A$24,0)),0)</f>
        <v>0</v>
      </c>
      <c r="W489" s="149">
        <f t="shared" si="172"/>
        <v>27.663038470584002</v>
      </c>
      <c r="X489" s="150">
        <f t="shared" si="173"/>
        <v>0.36858496559999998</v>
      </c>
      <c r="Y489" s="151">
        <f t="shared" si="174"/>
        <v>0</v>
      </c>
      <c r="Z489" s="152">
        <f t="shared" si="166"/>
        <v>9.6822299999999988</v>
      </c>
      <c r="AA489" s="179">
        <f t="shared" si="167"/>
        <v>27.663038470584002</v>
      </c>
      <c r="AB489" s="179">
        <f t="shared" si="168"/>
        <v>28.031623436184002</v>
      </c>
      <c r="AC489" s="180">
        <f t="shared" si="175"/>
        <v>37.345268470584003</v>
      </c>
      <c r="AD489" s="156">
        <f t="shared" si="169"/>
        <v>37.713853436184003</v>
      </c>
      <c r="AE489" s="146">
        <f>IFERROR(INDEX(Työkonekanta!$L$3:$L$30,MATCH($A489,Työkonekanta!$A$3:$A$30,0),1),0)*AF489</f>
        <v>500000</v>
      </c>
      <c r="AF489" s="146">
        <f>IFERROR(INDEX(Työkonekanta!$N$3:$N$32,MATCH($A489,Työkonekanta!$A$3:$A$32,0),1),0)</f>
        <v>1</v>
      </c>
      <c r="AG489" s="332">
        <f>I489*INDEX(Muuttujat!$U$5:$U$21,MATCH($C489,Muuttujat!$N$5:$N$21,0),1)</f>
        <v>10962</v>
      </c>
      <c r="AH489" s="332">
        <f>J489*INDEX(Muuttujat!$T$5:$T$21,MATCH($C489,Muuttujat!$N$5:$N$21,0),1)</f>
        <v>1760.4606413994172</v>
      </c>
      <c r="AI489" s="332">
        <f t="shared" si="160"/>
        <v>0</v>
      </c>
      <c r="AJ489" s="332">
        <f t="shared" si="161"/>
        <v>0</v>
      </c>
      <c r="AK489" s="332">
        <f t="shared" si="170"/>
        <v>12722.460641399417</v>
      </c>
      <c r="AL489" s="332">
        <f t="shared" si="162"/>
        <v>12722.460641399417</v>
      </c>
    </row>
    <row r="490" spans="1:38">
      <c r="A490" s="139">
        <v>8</v>
      </c>
      <c r="B490" s="139">
        <f>IFERROR(INDEX(Työkonekanta!$F$3:$F$27,MATCH('S0b Baseline kasvu'!$A490,Työkonekanta!$A$3:$A$24,0),1),0)</f>
        <v>1</v>
      </c>
      <c r="C490" s="140">
        <v>2035</v>
      </c>
      <c r="D490" s="141" t="str">
        <f>IFERROR(INDEX(Työkonekanta!$D$3:$D$27,MATCH('S0b Baseline kasvu'!$A490,Työkonekanta!$A$3:$A$24,0),1),"undefined")</f>
        <v>pom</v>
      </c>
      <c r="E490" s="145">
        <f>IFERROR(INDEX(Työkonekanta!$G$3:$G$27,MATCH($A490,Työkonekanta!$A$3:$A$24,0),1)*INDEX(Työkonekanta!$H$3:$H$27,MATCH($A490,Työkonekanta!$A$3:$A$24,0),1)*(1+s0b_kasvu*($C490-2019))*$B490,0)</f>
        <v>11600</v>
      </c>
      <c r="F490" s="145">
        <f t="shared" si="154"/>
        <v>416440</v>
      </c>
      <c r="G490" s="145">
        <f t="shared" si="163"/>
        <v>374796</v>
      </c>
      <c r="H490" s="145">
        <f t="shared" si="164"/>
        <v>41644</v>
      </c>
      <c r="I490" s="145">
        <f t="shared" si="155"/>
        <v>10440</v>
      </c>
      <c r="J490" s="145">
        <f t="shared" si="156"/>
        <v>1214.1107871720117</v>
      </c>
      <c r="K490" s="142" t="str">
        <f t="shared" si="165"/>
        <v>l</v>
      </c>
      <c r="L490" s="146">
        <f>IFERROR(INDEX(Työkonekanta!$I$3:$I$27,MATCH('S0b Baseline kasvu'!$A490,Työkonekanta!$A$3:$A$24,0),1)*(I490+J490)*f_adblue,0)</f>
        <v>582.70553935860062</v>
      </c>
      <c r="M490" s="146">
        <f t="shared" si="171"/>
        <v>0</v>
      </c>
      <c r="N490" s="143" t="str">
        <f>IF(tuulisähkö_vuosi&lt;='S0b Baseline kasvu'!C490,"tuulisähkö",ostosähkö_nyt)</f>
        <v>jäännössähkö</v>
      </c>
      <c r="O490" s="147">
        <f>INDEX(Muuttujat!$J$5:$J$21,MATCH($C490,Muuttujat!$H$5:$H$21,0),1)</f>
        <v>58.961085487844883</v>
      </c>
      <c r="P490" s="342">
        <f>1-(INDEX(Muuttujat!$O$5:$O$21,MATCH($C490,Muuttujat!$N$5:$N$21,0),1))</f>
        <v>0.9</v>
      </c>
      <c r="Q490" s="342">
        <f>INDEX(Muuttujat!$O$5:$O$21,MATCH($C490,Muuttujat!$N$5:$N$21,0),1)</f>
        <v>0.1</v>
      </c>
      <c r="R490" s="148">
        <f>INDEX(Muuttujat!$P$5:$P$21,MATCH($C490,Muuttujat!$N$5:$N$21,0),1)</f>
        <v>0.10417875759940039</v>
      </c>
      <c r="S490" s="149">
        <f t="shared" si="157"/>
        <v>7.083644399999999</v>
      </c>
      <c r="T490" s="150">
        <f t="shared" si="158"/>
        <v>2.5985855999999998</v>
      </c>
      <c r="U490" s="150">
        <f t="shared" si="159"/>
        <v>0</v>
      </c>
      <c r="V490" s="150">
        <f>IFERROR(INDEX(Työkonekanta!$J$3:$J$27,MATCH($A490,Työkonekanta!$A$3:$A$24,0),1)*$B490*ef_li_ion_akku/1000/1000/INDEX(Työkonekanta!$K$3:$K$27,MATCH($A490,Työkonekanta!$A$3:$A$24,0)),0)</f>
        <v>0</v>
      </c>
      <c r="W490" s="149">
        <f t="shared" si="172"/>
        <v>27.663038470584002</v>
      </c>
      <c r="X490" s="150">
        <f t="shared" si="173"/>
        <v>0.36858496559999998</v>
      </c>
      <c r="Y490" s="151">
        <f t="shared" si="174"/>
        <v>0.15150344023323614</v>
      </c>
      <c r="Z490" s="152">
        <f t="shared" si="166"/>
        <v>9.6822299999999988</v>
      </c>
      <c r="AA490" s="179">
        <f t="shared" si="167"/>
        <v>27.814541910817237</v>
      </c>
      <c r="AB490" s="179">
        <f t="shared" si="168"/>
        <v>28.183126876417237</v>
      </c>
      <c r="AC490" s="180">
        <f t="shared" si="175"/>
        <v>37.496771910817237</v>
      </c>
      <c r="AD490" s="156">
        <f t="shared" si="169"/>
        <v>37.865356876417238</v>
      </c>
      <c r="AE490" s="146">
        <f>IFERROR(INDEX(Työkonekanta!$L$3:$L$30,MATCH($A490,Työkonekanta!$A$3:$A$30,0),1),0)*AF490</f>
        <v>500000</v>
      </c>
      <c r="AF490" s="146">
        <f>IFERROR(INDEX(Työkonekanta!$N$3:$N$32,MATCH($A490,Työkonekanta!$A$3:$A$32,0),1),0)</f>
        <v>1</v>
      </c>
      <c r="AG490" s="332">
        <f>I490*INDEX(Muuttujat!$U$5:$U$21,MATCH($C490,Muuttujat!$N$5:$N$21,0),1)</f>
        <v>10962</v>
      </c>
      <c r="AH490" s="332">
        <f>J490*INDEX(Muuttujat!$T$5:$T$21,MATCH($C490,Muuttujat!$N$5:$N$21,0),1)</f>
        <v>1760.4606413994172</v>
      </c>
      <c r="AI490" s="332">
        <f t="shared" si="160"/>
        <v>291.35276967930031</v>
      </c>
      <c r="AJ490" s="332">
        <f t="shared" si="161"/>
        <v>0</v>
      </c>
      <c r="AK490" s="332">
        <f t="shared" si="170"/>
        <v>13013.813411078718</v>
      </c>
      <c r="AL490" s="332">
        <f t="shared" si="162"/>
        <v>13013.813411078718</v>
      </c>
    </row>
    <row r="491" spans="1:38">
      <c r="A491" s="139">
        <v>9</v>
      </c>
      <c r="B491" s="139">
        <f>IFERROR(INDEX(Työkonekanta!$F$3:$F$27,MATCH('S0b Baseline kasvu'!$A491,Työkonekanta!$A$3:$A$24,0),1),0)</f>
        <v>0</v>
      </c>
      <c r="C491" s="140">
        <v>2035</v>
      </c>
      <c r="D491" s="141" t="str">
        <f>IFERROR(INDEX(Työkonekanta!$D$3:$D$27,MATCH('S0b Baseline kasvu'!$A491,Työkonekanta!$A$3:$A$24,0),1),"undefined")</f>
        <v>sähkö</v>
      </c>
      <c r="E491" s="145">
        <f>IFERROR(INDEX(Työkonekanta!$G$3:$G$27,MATCH($A491,Työkonekanta!$A$3:$A$24,0),1)*INDEX(Työkonekanta!$H$3:$H$27,MATCH($A491,Työkonekanta!$A$3:$A$24,0),1)*(1+s0b_kasvu*($C491-2019))*$B491,0)</f>
        <v>0</v>
      </c>
      <c r="F491" s="145">
        <f t="shared" si="154"/>
        <v>0</v>
      </c>
      <c r="G491" s="145">
        <f t="shared" si="163"/>
        <v>0</v>
      </c>
      <c r="H491" s="145">
        <f t="shared" si="164"/>
        <v>0</v>
      </c>
      <c r="I491" s="145">
        <f t="shared" si="155"/>
        <v>0</v>
      </c>
      <c r="J491" s="145">
        <f t="shared" si="156"/>
        <v>0</v>
      </c>
      <c r="K491" s="142" t="str">
        <f t="shared" si="165"/>
        <v>kWh</v>
      </c>
      <c r="L491" s="146">
        <f>IFERROR(INDEX(Työkonekanta!$I$3:$I$27,MATCH('S0b Baseline kasvu'!$A491,Työkonekanta!$A$3:$A$24,0),1)*(I491+J491)*f_adblue,0)</f>
        <v>0</v>
      </c>
      <c r="M491" s="146">
        <f t="shared" si="171"/>
        <v>0</v>
      </c>
      <c r="N491" s="143" t="str">
        <f>IF(tuulisähkö_vuosi&lt;='S0b Baseline kasvu'!C491,"tuulisähkö",ostosähkö_nyt)</f>
        <v>jäännössähkö</v>
      </c>
      <c r="O491" s="147">
        <f>INDEX(Muuttujat!$J$5:$J$21,MATCH($C491,Muuttujat!$H$5:$H$21,0),1)</f>
        <v>58.961085487844883</v>
      </c>
      <c r="P491" s="342">
        <f>1-(INDEX(Muuttujat!$O$5:$O$21,MATCH($C491,Muuttujat!$N$5:$N$21,0),1))</f>
        <v>0.9</v>
      </c>
      <c r="Q491" s="342">
        <f>INDEX(Muuttujat!$O$5:$O$21,MATCH($C491,Muuttujat!$N$5:$N$21,0),1)</f>
        <v>0.1</v>
      </c>
      <c r="R491" s="148">
        <f>INDEX(Muuttujat!$P$5:$P$21,MATCH($C491,Muuttujat!$N$5:$N$21,0),1)</f>
        <v>0.10417875759940039</v>
      </c>
      <c r="S491" s="149">
        <f t="shared" si="157"/>
        <v>0</v>
      </c>
      <c r="T491" s="150">
        <f t="shared" si="158"/>
        <v>0</v>
      </c>
      <c r="U491" s="150">
        <f t="shared" si="159"/>
        <v>0</v>
      </c>
      <c r="V491" s="150">
        <f>IFERROR(INDEX(Työkonekanta!$J$3:$J$27,MATCH($A491,Työkonekanta!$A$3:$A$24,0),1)*$B491*ef_li_ion_akku/1000/1000/INDEX(Työkonekanta!$K$3:$K$27,MATCH($A491,Työkonekanta!$A$3:$A$24,0)),0)</f>
        <v>0</v>
      </c>
      <c r="W491" s="149">
        <f t="shared" si="172"/>
        <v>0</v>
      </c>
      <c r="X491" s="150">
        <f t="shared" si="173"/>
        <v>0</v>
      </c>
      <c r="Y491" s="151">
        <f t="shared" si="174"/>
        <v>0</v>
      </c>
      <c r="Z491" s="152">
        <f t="shared" si="166"/>
        <v>0</v>
      </c>
      <c r="AA491" s="179">
        <f t="shared" si="167"/>
        <v>0</v>
      </c>
      <c r="AB491" s="179">
        <f t="shared" si="168"/>
        <v>0</v>
      </c>
      <c r="AC491" s="180">
        <f t="shared" si="175"/>
        <v>0</v>
      </c>
      <c r="AD491" s="156">
        <f t="shared" si="169"/>
        <v>0</v>
      </c>
      <c r="AE491" s="146">
        <f>IFERROR(INDEX(Työkonekanta!$L$3:$L$30,MATCH($A491,Työkonekanta!$A$3:$A$30,0),1),0)*AF491</f>
        <v>0</v>
      </c>
      <c r="AF491" s="146">
        <f>IFERROR(INDEX(Työkonekanta!$N$3:$N$32,MATCH($A491,Työkonekanta!$A$3:$A$32,0),1),0)</f>
        <v>0</v>
      </c>
      <c r="AG491" s="332">
        <f>I491*INDEX(Muuttujat!$U$5:$U$21,MATCH($C491,Muuttujat!$N$5:$N$21,0),1)</f>
        <v>0</v>
      </c>
      <c r="AH491" s="332">
        <f>J491*INDEX(Muuttujat!$T$5:$T$21,MATCH($C491,Muuttujat!$N$5:$N$21,0),1)</f>
        <v>0</v>
      </c>
      <c r="AI491" s="332">
        <f t="shared" si="160"/>
        <v>0</v>
      </c>
      <c r="AJ491" s="332">
        <f t="shared" si="161"/>
        <v>0</v>
      </c>
      <c r="AK491" s="332">
        <f t="shared" si="170"/>
        <v>0</v>
      </c>
      <c r="AL491" s="332">
        <f t="shared" si="162"/>
        <v>0</v>
      </c>
    </row>
    <row r="492" spans="1:38">
      <c r="A492" s="139">
        <v>10</v>
      </c>
      <c r="B492" s="139">
        <f>IFERROR(INDEX(Työkonekanta!$F$3:$F$27,MATCH('S0b Baseline kasvu'!$A492,Työkonekanta!$A$3:$A$24,0),1),0)</f>
        <v>0</v>
      </c>
      <c r="C492" s="140">
        <v>2035</v>
      </c>
      <c r="D492" s="141" t="str">
        <f>IFERROR(INDEX(Työkonekanta!$D$3:$D$27,MATCH('S0b Baseline kasvu'!$A492,Työkonekanta!$A$3:$A$24,0),1),"undefined")</f>
        <v>sähkö</v>
      </c>
      <c r="E492" s="145">
        <f>IFERROR(INDEX(Työkonekanta!$G$3:$G$27,MATCH($A492,Työkonekanta!$A$3:$A$24,0),1)*INDEX(Työkonekanta!$H$3:$H$27,MATCH($A492,Työkonekanta!$A$3:$A$24,0),1)*(1+s0b_kasvu*($C492-2019))*$B492,0)</f>
        <v>0</v>
      </c>
      <c r="F492" s="145">
        <f t="shared" si="154"/>
        <v>0</v>
      </c>
      <c r="G492" s="145">
        <f t="shared" si="163"/>
        <v>0</v>
      </c>
      <c r="H492" s="145">
        <f t="shared" si="164"/>
        <v>0</v>
      </c>
      <c r="I492" s="145">
        <f t="shared" si="155"/>
        <v>0</v>
      </c>
      <c r="J492" s="145">
        <f t="shared" si="156"/>
        <v>0</v>
      </c>
      <c r="K492" s="142" t="str">
        <f t="shared" si="165"/>
        <v>kWh</v>
      </c>
      <c r="L492" s="146">
        <f>IFERROR(INDEX(Työkonekanta!$I$3:$I$27,MATCH('S0b Baseline kasvu'!$A492,Työkonekanta!$A$3:$A$24,0),1)*(I492+J492)*f_adblue,0)</f>
        <v>0</v>
      </c>
      <c r="M492" s="146">
        <f t="shared" si="171"/>
        <v>0</v>
      </c>
      <c r="N492" s="143" t="str">
        <f>IF(tuulisähkö_vuosi&lt;='S0b Baseline kasvu'!C492,"tuulisähkö",ostosähkö_nyt)</f>
        <v>jäännössähkö</v>
      </c>
      <c r="O492" s="147">
        <f>INDEX(Muuttujat!$J$5:$J$21,MATCH($C492,Muuttujat!$H$5:$H$21,0),1)</f>
        <v>58.961085487844883</v>
      </c>
      <c r="P492" s="342">
        <f>1-(INDEX(Muuttujat!$O$5:$O$21,MATCH($C492,Muuttujat!$N$5:$N$21,0),1))</f>
        <v>0.9</v>
      </c>
      <c r="Q492" s="342">
        <f>INDEX(Muuttujat!$O$5:$O$21,MATCH($C492,Muuttujat!$N$5:$N$21,0),1)</f>
        <v>0.1</v>
      </c>
      <c r="R492" s="148">
        <f>INDEX(Muuttujat!$P$5:$P$21,MATCH($C492,Muuttujat!$N$5:$N$21,0),1)</f>
        <v>0.10417875759940039</v>
      </c>
      <c r="S492" s="149">
        <f t="shared" si="157"/>
        <v>0</v>
      </c>
      <c r="T492" s="150">
        <f t="shared" si="158"/>
        <v>0</v>
      </c>
      <c r="U492" s="150">
        <f t="shared" si="159"/>
        <v>0</v>
      </c>
      <c r="V492" s="150">
        <f>IFERROR(INDEX(Työkonekanta!$J$3:$J$27,MATCH($A492,Työkonekanta!$A$3:$A$24,0),1)*$B492*ef_li_ion_akku/1000/1000/INDEX(Työkonekanta!$K$3:$K$27,MATCH($A492,Työkonekanta!$A$3:$A$24,0)),0)</f>
        <v>0</v>
      </c>
      <c r="W492" s="149">
        <f t="shared" si="172"/>
        <v>0</v>
      </c>
      <c r="X492" s="150">
        <f t="shared" si="173"/>
        <v>0</v>
      </c>
      <c r="Y492" s="151">
        <f t="shared" si="174"/>
        <v>0</v>
      </c>
      <c r="Z492" s="152">
        <f t="shared" si="166"/>
        <v>0</v>
      </c>
      <c r="AA492" s="179">
        <f t="shared" si="167"/>
        <v>0</v>
      </c>
      <c r="AB492" s="179">
        <f t="shared" si="168"/>
        <v>0</v>
      </c>
      <c r="AC492" s="180">
        <f t="shared" si="175"/>
        <v>0</v>
      </c>
      <c r="AD492" s="156">
        <f t="shared" si="169"/>
        <v>0</v>
      </c>
      <c r="AE492" s="146">
        <f>IFERROR(INDEX(Työkonekanta!$L$3:$L$30,MATCH($A492,Työkonekanta!$A$3:$A$30,0),1),0)*AF492</f>
        <v>0</v>
      </c>
      <c r="AF492" s="146">
        <f>IFERROR(INDEX(Työkonekanta!$N$3:$N$32,MATCH($A492,Työkonekanta!$A$3:$A$32,0),1),0)</f>
        <v>0</v>
      </c>
      <c r="AG492" s="332">
        <f>I492*INDEX(Muuttujat!$U$5:$U$21,MATCH($C492,Muuttujat!$N$5:$N$21,0),1)</f>
        <v>0</v>
      </c>
      <c r="AH492" s="332">
        <f>J492*INDEX(Muuttujat!$T$5:$T$21,MATCH($C492,Muuttujat!$N$5:$N$21,0),1)</f>
        <v>0</v>
      </c>
      <c r="AI492" s="332">
        <f t="shared" si="160"/>
        <v>0</v>
      </c>
      <c r="AJ492" s="332">
        <f t="shared" si="161"/>
        <v>0</v>
      </c>
      <c r="AK492" s="332">
        <f t="shared" si="170"/>
        <v>0</v>
      </c>
      <c r="AL492" s="332">
        <f t="shared" si="162"/>
        <v>0</v>
      </c>
    </row>
    <row r="493" spans="1:38">
      <c r="A493" s="139">
        <v>11</v>
      </c>
      <c r="B493" s="139">
        <f>IFERROR(INDEX(Työkonekanta!$F$3:$F$27,MATCH('S0b Baseline kasvu'!$A493,Työkonekanta!$A$3:$A$24,0),1),0)</f>
        <v>1</v>
      </c>
      <c r="C493" s="140">
        <v>2035</v>
      </c>
      <c r="D493" s="141" t="str">
        <f>IFERROR(INDEX(Työkonekanta!$D$3:$D$27,MATCH('S0b Baseline kasvu'!$A493,Työkonekanta!$A$3:$A$24,0),1),"undefined")</f>
        <v>pom</v>
      </c>
      <c r="E493" s="145">
        <f>IFERROR(INDEX(Työkonekanta!$G$3:$G$27,MATCH($A493,Työkonekanta!$A$3:$A$24,0),1)*INDEX(Työkonekanta!$H$3:$H$27,MATCH($A493,Työkonekanta!$A$3:$A$24,0),1)*(1+s0b_kasvu*($C493-2019))*$B493,0)</f>
        <v>11600</v>
      </c>
      <c r="F493" s="145">
        <f t="shared" si="154"/>
        <v>416440</v>
      </c>
      <c r="G493" s="145">
        <f t="shared" si="163"/>
        <v>374796</v>
      </c>
      <c r="H493" s="145">
        <f t="shared" si="164"/>
        <v>41644</v>
      </c>
      <c r="I493" s="145">
        <f t="shared" si="155"/>
        <v>10440</v>
      </c>
      <c r="J493" s="145">
        <f t="shared" si="156"/>
        <v>1214.1107871720117</v>
      </c>
      <c r="K493" s="142" t="str">
        <f t="shared" si="165"/>
        <v>l</v>
      </c>
      <c r="L493" s="146">
        <f>IFERROR(INDEX(Työkonekanta!$I$3:$I$27,MATCH('S0b Baseline kasvu'!$A493,Työkonekanta!$A$3:$A$24,0),1)*(I493+J493)*f_adblue,0)</f>
        <v>582.70553935860062</v>
      </c>
      <c r="M493" s="146">
        <f t="shared" si="171"/>
        <v>0</v>
      </c>
      <c r="N493" s="143" t="str">
        <f>IF(tuulisähkö_vuosi&lt;='S0b Baseline kasvu'!C493,"tuulisähkö",ostosähkö_nyt)</f>
        <v>jäännössähkö</v>
      </c>
      <c r="O493" s="147">
        <f>INDEX(Muuttujat!$J$5:$J$21,MATCH($C493,Muuttujat!$H$5:$H$21,0),1)</f>
        <v>58.961085487844883</v>
      </c>
      <c r="P493" s="342">
        <f>1-(INDEX(Muuttujat!$O$5:$O$21,MATCH($C493,Muuttujat!$N$5:$N$21,0),1))</f>
        <v>0.9</v>
      </c>
      <c r="Q493" s="342">
        <f>INDEX(Muuttujat!$O$5:$O$21,MATCH($C493,Muuttujat!$N$5:$N$21,0),1)</f>
        <v>0.1</v>
      </c>
      <c r="R493" s="148">
        <f>INDEX(Muuttujat!$P$5:$P$21,MATCH($C493,Muuttujat!$N$5:$N$21,0),1)</f>
        <v>0.10417875759940039</v>
      </c>
      <c r="S493" s="149">
        <f t="shared" si="157"/>
        <v>7.083644399999999</v>
      </c>
      <c r="T493" s="150">
        <f t="shared" si="158"/>
        <v>2.5985855999999998</v>
      </c>
      <c r="U493" s="150">
        <f t="shared" si="159"/>
        <v>0</v>
      </c>
      <c r="V493" s="150">
        <f>IFERROR(INDEX(Työkonekanta!$J$3:$J$27,MATCH($A493,Työkonekanta!$A$3:$A$24,0),1)*$B493*ef_li_ion_akku/1000/1000/INDEX(Työkonekanta!$K$3:$K$27,MATCH($A493,Työkonekanta!$A$3:$A$24,0)),0)</f>
        <v>0</v>
      </c>
      <c r="W493" s="149">
        <f t="shared" si="172"/>
        <v>27.663038470584002</v>
      </c>
      <c r="X493" s="150">
        <f t="shared" si="173"/>
        <v>0.36858496559999998</v>
      </c>
      <c r="Y493" s="151">
        <f t="shared" si="174"/>
        <v>0.15150344023323614</v>
      </c>
      <c r="Z493" s="152">
        <f t="shared" si="166"/>
        <v>9.6822299999999988</v>
      </c>
      <c r="AA493" s="179">
        <f t="shared" si="167"/>
        <v>27.814541910817237</v>
      </c>
      <c r="AB493" s="179">
        <f t="shared" si="168"/>
        <v>28.183126876417237</v>
      </c>
      <c r="AC493" s="180">
        <f t="shared" si="175"/>
        <v>37.496771910817237</v>
      </c>
      <c r="AD493" s="156">
        <f t="shared" si="169"/>
        <v>37.865356876417238</v>
      </c>
      <c r="AE493" s="146">
        <f>IFERROR(INDEX(Työkonekanta!$L$3:$L$30,MATCH($A493,Työkonekanta!$A$3:$A$30,0),1),0)*AF493</f>
        <v>500000</v>
      </c>
      <c r="AF493" s="146">
        <f>IFERROR(INDEX(Työkonekanta!$N$3:$N$32,MATCH($A493,Työkonekanta!$A$3:$A$32,0),1),0)</f>
        <v>1</v>
      </c>
      <c r="AG493" s="332">
        <f>I493*INDEX(Muuttujat!$U$5:$U$21,MATCH($C493,Muuttujat!$N$5:$N$21,0),1)</f>
        <v>10962</v>
      </c>
      <c r="AH493" s="332">
        <f>J493*INDEX(Muuttujat!$T$5:$T$21,MATCH($C493,Muuttujat!$N$5:$N$21,0),1)</f>
        <v>1760.4606413994172</v>
      </c>
      <c r="AI493" s="332">
        <f t="shared" si="160"/>
        <v>291.35276967930031</v>
      </c>
      <c r="AJ493" s="332">
        <f t="shared" si="161"/>
        <v>0</v>
      </c>
      <c r="AK493" s="332">
        <f t="shared" si="170"/>
        <v>13013.813411078718</v>
      </c>
      <c r="AL493" s="332">
        <f t="shared" si="162"/>
        <v>13013.813411078718</v>
      </c>
    </row>
    <row r="494" spans="1:38">
      <c r="A494" s="139">
        <v>12</v>
      </c>
      <c r="B494" s="139">
        <f>IFERROR(INDEX(Työkonekanta!$F$3:$F$27,MATCH('S0b Baseline kasvu'!$A494,Työkonekanta!$A$3:$A$24,0),1),0)</f>
        <v>1</v>
      </c>
      <c r="C494" s="140">
        <v>2035</v>
      </c>
      <c r="D494" s="141" t="str">
        <f>IFERROR(INDEX(Työkonekanta!$D$3:$D$27,MATCH('S0b Baseline kasvu'!$A494,Työkonekanta!$A$3:$A$24,0),1),"undefined")</f>
        <v>pom</v>
      </c>
      <c r="E494" s="145">
        <f>IFERROR(INDEX(Työkonekanta!$G$3:$G$27,MATCH($A494,Työkonekanta!$A$3:$A$24,0),1)*INDEX(Työkonekanta!$H$3:$H$27,MATCH($A494,Työkonekanta!$A$3:$A$24,0),1)*(1+s0b_kasvu*($C494-2019))*$B494,0)</f>
        <v>11600</v>
      </c>
      <c r="F494" s="145">
        <f t="shared" si="154"/>
        <v>416440</v>
      </c>
      <c r="G494" s="145">
        <f t="shared" si="163"/>
        <v>374796</v>
      </c>
      <c r="H494" s="145">
        <f t="shared" si="164"/>
        <v>41644</v>
      </c>
      <c r="I494" s="145">
        <f t="shared" si="155"/>
        <v>10440</v>
      </c>
      <c r="J494" s="145">
        <f t="shared" si="156"/>
        <v>1214.1107871720117</v>
      </c>
      <c r="K494" s="142" t="str">
        <f t="shared" si="165"/>
        <v>l</v>
      </c>
      <c r="L494" s="146">
        <f>IFERROR(INDEX(Työkonekanta!$I$3:$I$27,MATCH('S0b Baseline kasvu'!$A494,Työkonekanta!$A$3:$A$24,0),1)*(I494+J494)*f_adblue,0)</f>
        <v>582.70553935860062</v>
      </c>
      <c r="M494" s="146">
        <f t="shared" si="171"/>
        <v>0</v>
      </c>
      <c r="N494" s="143" t="str">
        <f>IF(tuulisähkö_vuosi&lt;='S0b Baseline kasvu'!C494,"tuulisähkö",ostosähkö_nyt)</f>
        <v>jäännössähkö</v>
      </c>
      <c r="O494" s="147">
        <f>INDEX(Muuttujat!$J$5:$J$21,MATCH($C494,Muuttujat!$H$5:$H$21,0),1)</f>
        <v>58.961085487844883</v>
      </c>
      <c r="P494" s="342">
        <f>1-(INDEX(Muuttujat!$O$5:$O$21,MATCH($C494,Muuttujat!$N$5:$N$21,0),1))</f>
        <v>0.9</v>
      </c>
      <c r="Q494" s="342">
        <f>INDEX(Muuttujat!$O$5:$O$21,MATCH($C494,Muuttujat!$N$5:$N$21,0),1)</f>
        <v>0.1</v>
      </c>
      <c r="R494" s="148">
        <f>INDEX(Muuttujat!$P$5:$P$21,MATCH($C494,Muuttujat!$N$5:$N$21,0),1)</f>
        <v>0.10417875759940039</v>
      </c>
      <c r="S494" s="149">
        <f t="shared" si="157"/>
        <v>7.083644399999999</v>
      </c>
      <c r="T494" s="150">
        <f t="shared" si="158"/>
        <v>2.5985855999999998</v>
      </c>
      <c r="U494" s="150">
        <f t="shared" si="159"/>
        <v>0</v>
      </c>
      <c r="V494" s="150">
        <f>IFERROR(INDEX(Työkonekanta!$J$3:$J$27,MATCH($A494,Työkonekanta!$A$3:$A$24,0),1)*$B494*ef_li_ion_akku/1000/1000/INDEX(Työkonekanta!$K$3:$K$27,MATCH($A494,Työkonekanta!$A$3:$A$24,0)),0)</f>
        <v>0</v>
      </c>
      <c r="W494" s="149">
        <f t="shared" si="172"/>
        <v>27.663038470584002</v>
      </c>
      <c r="X494" s="150">
        <f t="shared" si="173"/>
        <v>0.36858496559999998</v>
      </c>
      <c r="Y494" s="151">
        <f t="shared" si="174"/>
        <v>0.15150344023323614</v>
      </c>
      <c r="Z494" s="152">
        <f t="shared" si="166"/>
        <v>9.6822299999999988</v>
      </c>
      <c r="AA494" s="179">
        <f t="shared" si="167"/>
        <v>27.814541910817237</v>
      </c>
      <c r="AB494" s="179">
        <f t="shared" si="168"/>
        <v>28.183126876417237</v>
      </c>
      <c r="AC494" s="180">
        <f t="shared" si="175"/>
        <v>37.496771910817237</v>
      </c>
      <c r="AD494" s="156">
        <f t="shared" si="169"/>
        <v>37.865356876417238</v>
      </c>
      <c r="AE494" s="146">
        <f>IFERROR(INDEX(Työkonekanta!$L$3:$L$30,MATCH($A494,Työkonekanta!$A$3:$A$30,0),1),0)*AF494</f>
        <v>500000</v>
      </c>
      <c r="AF494" s="146">
        <f>IFERROR(INDEX(Työkonekanta!$N$3:$N$32,MATCH($A494,Työkonekanta!$A$3:$A$32,0),1),0)</f>
        <v>1</v>
      </c>
      <c r="AG494" s="332">
        <f>I494*INDEX(Muuttujat!$U$5:$U$21,MATCH($C494,Muuttujat!$N$5:$N$21,0),1)</f>
        <v>10962</v>
      </c>
      <c r="AH494" s="332">
        <f>J494*INDEX(Muuttujat!$T$5:$T$21,MATCH($C494,Muuttujat!$N$5:$N$21,0),1)</f>
        <v>1760.4606413994172</v>
      </c>
      <c r="AI494" s="332">
        <f t="shared" si="160"/>
        <v>291.35276967930031</v>
      </c>
      <c r="AJ494" s="332">
        <f t="shared" si="161"/>
        <v>0</v>
      </c>
      <c r="AK494" s="332">
        <f t="shared" si="170"/>
        <v>13013.813411078718</v>
      </c>
      <c r="AL494" s="332">
        <f t="shared" si="162"/>
        <v>13013.813411078718</v>
      </c>
    </row>
    <row r="495" spans="1:38">
      <c r="A495" s="139">
        <v>13</v>
      </c>
      <c r="B495" s="139">
        <f>IFERROR(INDEX(Työkonekanta!$F$3:$F$27,MATCH('S0b Baseline kasvu'!$A495,Työkonekanta!$A$3:$A$24,0),1),0)</f>
        <v>0</v>
      </c>
      <c r="C495" s="140">
        <v>2035</v>
      </c>
      <c r="D495" s="141" t="str">
        <f>IFERROR(INDEX(Työkonekanta!$D$3:$D$27,MATCH('S0b Baseline kasvu'!$A495,Työkonekanta!$A$3:$A$24,0),1),"undefined")</f>
        <v>pom</v>
      </c>
      <c r="E495" s="145">
        <f>IFERROR(INDEX(Työkonekanta!$G$3:$G$27,MATCH($A495,Työkonekanta!$A$3:$A$24,0),1)*INDEX(Työkonekanta!$H$3:$H$27,MATCH($A495,Työkonekanta!$A$3:$A$24,0),1)*(1+s0b_kasvu*($C495-2019))*$B495,0)</f>
        <v>0</v>
      </c>
      <c r="F495" s="145">
        <f t="shared" si="154"/>
        <v>0</v>
      </c>
      <c r="G495" s="145">
        <f t="shared" si="163"/>
        <v>0</v>
      </c>
      <c r="H495" s="145">
        <f t="shared" si="164"/>
        <v>0</v>
      </c>
      <c r="I495" s="145">
        <f t="shared" si="155"/>
        <v>0</v>
      </c>
      <c r="J495" s="145">
        <f t="shared" si="156"/>
        <v>0</v>
      </c>
      <c r="K495" s="142" t="str">
        <f t="shared" si="165"/>
        <v>l</v>
      </c>
      <c r="L495" s="146">
        <f>IFERROR(INDEX(Työkonekanta!$I$3:$I$27,MATCH('S0b Baseline kasvu'!$A495,Työkonekanta!$A$3:$A$24,0),1)*(I495+J495)*f_adblue,0)</f>
        <v>0</v>
      </c>
      <c r="M495" s="146">
        <f t="shared" si="171"/>
        <v>0</v>
      </c>
      <c r="N495" s="143" t="str">
        <f>IF(tuulisähkö_vuosi&lt;='S0b Baseline kasvu'!C495,"tuulisähkö",ostosähkö_nyt)</f>
        <v>jäännössähkö</v>
      </c>
      <c r="O495" s="147">
        <f>INDEX(Muuttujat!$J$5:$J$21,MATCH($C495,Muuttujat!$H$5:$H$21,0),1)</f>
        <v>58.961085487844883</v>
      </c>
      <c r="P495" s="342">
        <f>1-(INDEX(Muuttujat!$O$5:$O$21,MATCH($C495,Muuttujat!$N$5:$N$21,0),1))</f>
        <v>0.9</v>
      </c>
      <c r="Q495" s="342">
        <f>INDEX(Muuttujat!$O$5:$O$21,MATCH($C495,Muuttujat!$N$5:$N$21,0),1)</f>
        <v>0.1</v>
      </c>
      <c r="R495" s="148">
        <f>INDEX(Muuttujat!$P$5:$P$21,MATCH($C495,Muuttujat!$N$5:$N$21,0),1)</f>
        <v>0.10417875759940039</v>
      </c>
      <c r="S495" s="149">
        <f t="shared" si="157"/>
        <v>0</v>
      </c>
      <c r="T495" s="150">
        <f t="shared" si="158"/>
        <v>0</v>
      </c>
      <c r="U495" s="150">
        <f t="shared" si="159"/>
        <v>0</v>
      </c>
      <c r="V495" s="150">
        <f>IFERROR(INDEX(Työkonekanta!$J$3:$J$27,MATCH($A495,Työkonekanta!$A$3:$A$24,0),1)*$B495*ef_li_ion_akku/1000/1000/INDEX(Työkonekanta!$K$3:$K$27,MATCH($A495,Työkonekanta!$A$3:$A$24,0)),0)</f>
        <v>0</v>
      </c>
      <c r="W495" s="149">
        <f t="shared" si="172"/>
        <v>0</v>
      </c>
      <c r="X495" s="150">
        <f t="shared" si="173"/>
        <v>0</v>
      </c>
      <c r="Y495" s="151">
        <f t="shared" si="174"/>
        <v>0</v>
      </c>
      <c r="Z495" s="152">
        <f t="shared" si="166"/>
        <v>0</v>
      </c>
      <c r="AA495" s="179">
        <f t="shared" si="167"/>
        <v>0</v>
      </c>
      <c r="AB495" s="179">
        <f t="shared" si="168"/>
        <v>0</v>
      </c>
      <c r="AC495" s="180">
        <f t="shared" si="175"/>
        <v>0</v>
      </c>
      <c r="AD495" s="156">
        <f t="shared" si="169"/>
        <v>0</v>
      </c>
      <c r="AE495" s="146">
        <f>IFERROR(INDEX(Työkonekanta!$L$3:$L$30,MATCH($A495,Työkonekanta!$A$3:$A$30,0),1),0)*AF495</f>
        <v>0</v>
      </c>
      <c r="AF495" s="146">
        <f>IFERROR(INDEX(Työkonekanta!$N$3:$N$32,MATCH($A495,Työkonekanta!$A$3:$A$32,0),1),0)</f>
        <v>0</v>
      </c>
      <c r="AG495" s="332">
        <f>I495*INDEX(Muuttujat!$U$5:$U$21,MATCH($C495,Muuttujat!$N$5:$N$21,0),1)</f>
        <v>0</v>
      </c>
      <c r="AH495" s="332">
        <f>J495*INDEX(Muuttujat!$T$5:$T$21,MATCH($C495,Muuttujat!$N$5:$N$21,0),1)</f>
        <v>0</v>
      </c>
      <c r="AI495" s="332">
        <f t="shared" si="160"/>
        <v>0</v>
      </c>
      <c r="AJ495" s="332">
        <f t="shared" si="161"/>
        <v>0</v>
      </c>
      <c r="AK495" s="332">
        <f t="shared" si="170"/>
        <v>0</v>
      </c>
      <c r="AL495" s="332">
        <f t="shared" si="162"/>
        <v>0</v>
      </c>
    </row>
    <row r="496" spans="1:38">
      <c r="A496" s="139">
        <v>14</v>
      </c>
      <c r="B496" s="139">
        <f>IFERROR(INDEX(Työkonekanta!$F$3:$F$27,MATCH('S0b Baseline kasvu'!$A496,Työkonekanta!$A$3:$A$24,0),1),0)</f>
        <v>0</v>
      </c>
      <c r="C496" s="140">
        <v>2035</v>
      </c>
      <c r="D496" s="141" t="str">
        <f>IFERROR(INDEX(Työkonekanta!$D$3:$D$27,MATCH('S0b Baseline kasvu'!$A496,Työkonekanta!$A$3:$A$24,0),1),"undefined")</f>
        <v>pom</v>
      </c>
      <c r="E496" s="145">
        <f>IFERROR(INDEX(Työkonekanta!$G$3:$G$27,MATCH($A496,Työkonekanta!$A$3:$A$24,0),1)*INDEX(Työkonekanta!$H$3:$H$27,MATCH($A496,Työkonekanta!$A$3:$A$24,0),1)*(1+s0b_kasvu*($C496-2019))*$B496,0)</f>
        <v>0</v>
      </c>
      <c r="F496" s="145">
        <f t="shared" si="154"/>
        <v>0</v>
      </c>
      <c r="G496" s="145">
        <f t="shared" si="163"/>
        <v>0</v>
      </c>
      <c r="H496" s="145">
        <f t="shared" si="164"/>
        <v>0</v>
      </c>
      <c r="I496" s="145">
        <f t="shared" si="155"/>
        <v>0</v>
      </c>
      <c r="J496" s="145">
        <f t="shared" si="156"/>
        <v>0</v>
      </c>
      <c r="K496" s="142" t="str">
        <f t="shared" si="165"/>
        <v>l</v>
      </c>
      <c r="L496" s="146">
        <f>IFERROR(INDEX(Työkonekanta!$I$3:$I$27,MATCH('S0b Baseline kasvu'!$A496,Työkonekanta!$A$3:$A$24,0),1)*(I496+J496)*f_adblue,0)</f>
        <v>0</v>
      </c>
      <c r="M496" s="146">
        <f t="shared" si="171"/>
        <v>0</v>
      </c>
      <c r="N496" s="143" t="str">
        <f>IF(tuulisähkö_vuosi&lt;='S0b Baseline kasvu'!C496,"tuulisähkö",ostosähkö_nyt)</f>
        <v>jäännössähkö</v>
      </c>
      <c r="O496" s="147">
        <f>INDEX(Muuttujat!$J$5:$J$21,MATCH($C496,Muuttujat!$H$5:$H$21,0),1)</f>
        <v>58.961085487844883</v>
      </c>
      <c r="P496" s="342">
        <f>1-(INDEX(Muuttujat!$O$5:$O$21,MATCH($C496,Muuttujat!$N$5:$N$21,0),1))</f>
        <v>0.9</v>
      </c>
      <c r="Q496" s="342">
        <f>INDEX(Muuttujat!$O$5:$O$21,MATCH($C496,Muuttujat!$N$5:$N$21,0),1)</f>
        <v>0.1</v>
      </c>
      <c r="R496" s="148">
        <f>INDEX(Muuttujat!$P$5:$P$21,MATCH($C496,Muuttujat!$N$5:$N$21,0),1)</f>
        <v>0.10417875759940039</v>
      </c>
      <c r="S496" s="149">
        <f t="shared" si="157"/>
        <v>0</v>
      </c>
      <c r="T496" s="150">
        <f t="shared" si="158"/>
        <v>0</v>
      </c>
      <c r="U496" s="150">
        <f t="shared" si="159"/>
        <v>0</v>
      </c>
      <c r="V496" s="150">
        <f>IFERROR(INDEX(Työkonekanta!$J$3:$J$27,MATCH($A496,Työkonekanta!$A$3:$A$24,0),1)*$B496*ef_li_ion_akku/1000/1000/INDEX(Työkonekanta!$K$3:$K$27,MATCH($A496,Työkonekanta!$A$3:$A$24,0)),0)</f>
        <v>0</v>
      </c>
      <c r="W496" s="149">
        <f t="shared" si="172"/>
        <v>0</v>
      </c>
      <c r="X496" s="150">
        <f t="shared" si="173"/>
        <v>0</v>
      </c>
      <c r="Y496" s="151">
        <f t="shared" si="174"/>
        <v>0</v>
      </c>
      <c r="Z496" s="152">
        <f t="shared" si="166"/>
        <v>0</v>
      </c>
      <c r="AA496" s="179">
        <f t="shared" si="167"/>
        <v>0</v>
      </c>
      <c r="AB496" s="179">
        <f t="shared" si="168"/>
        <v>0</v>
      </c>
      <c r="AC496" s="180">
        <f t="shared" si="175"/>
        <v>0</v>
      </c>
      <c r="AD496" s="156">
        <f t="shared" si="169"/>
        <v>0</v>
      </c>
      <c r="AE496" s="146">
        <f>IFERROR(INDEX(Työkonekanta!$L$3:$L$30,MATCH($A496,Työkonekanta!$A$3:$A$30,0),1),0)*AF496</f>
        <v>0</v>
      </c>
      <c r="AF496" s="146">
        <f>IFERROR(INDEX(Työkonekanta!$N$3:$N$32,MATCH($A496,Työkonekanta!$A$3:$A$32,0),1),0)</f>
        <v>0</v>
      </c>
      <c r="AG496" s="332">
        <f>I496*INDEX(Muuttujat!$U$5:$U$21,MATCH($C496,Muuttujat!$N$5:$N$21,0),1)</f>
        <v>0</v>
      </c>
      <c r="AH496" s="332">
        <f>J496*INDEX(Muuttujat!$T$5:$T$21,MATCH($C496,Muuttujat!$N$5:$N$21,0),1)</f>
        <v>0</v>
      </c>
      <c r="AI496" s="332">
        <f t="shared" si="160"/>
        <v>0</v>
      </c>
      <c r="AJ496" s="332">
        <f t="shared" si="161"/>
        <v>0</v>
      </c>
      <c r="AK496" s="332">
        <f t="shared" si="170"/>
        <v>0</v>
      </c>
      <c r="AL496" s="332">
        <f t="shared" si="162"/>
        <v>0</v>
      </c>
    </row>
    <row r="497" spans="1:38">
      <c r="A497" s="139">
        <v>15</v>
      </c>
      <c r="B497" s="139">
        <f>IFERROR(INDEX(Työkonekanta!$F$3:$F$27,MATCH('S0b Baseline kasvu'!$A497,Työkonekanta!$A$3:$A$24,0),1),0)</f>
        <v>0</v>
      </c>
      <c r="C497" s="140">
        <v>2035</v>
      </c>
      <c r="D497" s="141" t="str">
        <f>IFERROR(INDEX(Työkonekanta!$D$3:$D$27,MATCH('S0b Baseline kasvu'!$A497,Työkonekanta!$A$3:$A$24,0),1),"undefined")</f>
        <v>sähkö</v>
      </c>
      <c r="E497" s="145">
        <f>IFERROR(INDEX(Työkonekanta!$G$3:$G$27,MATCH($A497,Työkonekanta!$A$3:$A$24,0),1)*INDEX(Työkonekanta!$H$3:$H$27,MATCH($A497,Työkonekanta!$A$3:$A$24,0),1)*(1+s0b_kasvu*($C497-2019))*$B497,0)</f>
        <v>0</v>
      </c>
      <c r="F497" s="145">
        <f t="shared" si="154"/>
        <v>0</v>
      </c>
      <c r="G497" s="145">
        <f t="shared" si="163"/>
        <v>0</v>
      </c>
      <c r="H497" s="145">
        <f t="shared" si="164"/>
        <v>0</v>
      </c>
      <c r="I497" s="145">
        <f t="shared" si="155"/>
        <v>0</v>
      </c>
      <c r="J497" s="145">
        <f t="shared" si="156"/>
        <v>0</v>
      </c>
      <c r="K497" s="142" t="str">
        <f t="shared" si="165"/>
        <v>kWh</v>
      </c>
      <c r="L497" s="146">
        <f>IFERROR(INDEX(Työkonekanta!$I$3:$I$27,MATCH('S0b Baseline kasvu'!$A497,Työkonekanta!$A$3:$A$24,0),1)*(I497+J497)*f_adblue,0)</f>
        <v>0</v>
      </c>
      <c r="M497" s="146">
        <f t="shared" si="171"/>
        <v>0</v>
      </c>
      <c r="N497" s="143" t="str">
        <f>IF(tuulisähkö_vuosi&lt;='S0b Baseline kasvu'!C497,"tuulisähkö",ostosähkö_nyt)</f>
        <v>jäännössähkö</v>
      </c>
      <c r="O497" s="147">
        <f>INDEX(Muuttujat!$J$5:$J$21,MATCH($C497,Muuttujat!$H$5:$H$21,0),1)</f>
        <v>58.961085487844883</v>
      </c>
      <c r="P497" s="342">
        <f>1-(INDEX(Muuttujat!$O$5:$O$21,MATCH($C497,Muuttujat!$N$5:$N$21,0),1))</f>
        <v>0.9</v>
      </c>
      <c r="Q497" s="342">
        <f>INDEX(Muuttujat!$O$5:$O$21,MATCH($C497,Muuttujat!$N$5:$N$21,0),1)</f>
        <v>0.1</v>
      </c>
      <c r="R497" s="148">
        <f>INDEX(Muuttujat!$P$5:$P$21,MATCH($C497,Muuttujat!$N$5:$N$21,0),1)</f>
        <v>0.10417875759940039</v>
      </c>
      <c r="S497" s="149">
        <f t="shared" si="157"/>
        <v>0</v>
      </c>
      <c r="T497" s="150">
        <f t="shared" si="158"/>
        <v>0</v>
      </c>
      <c r="U497" s="150">
        <f t="shared" si="159"/>
        <v>0</v>
      </c>
      <c r="V497" s="150">
        <f>IFERROR(INDEX(Työkonekanta!$J$3:$J$27,MATCH($A497,Työkonekanta!$A$3:$A$24,0),1)*$B497*ef_li_ion_akku/1000/1000/INDEX(Työkonekanta!$K$3:$K$27,MATCH($A497,Työkonekanta!$A$3:$A$24,0)),0)</f>
        <v>0</v>
      </c>
      <c r="W497" s="149">
        <f t="shared" si="172"/>
        <v>0</v>
      </c>
      <c r="X497" s="150">
        <f t="shared" si="173"/>
        <v>0</v>
      </c>
      <c r="Y497" s="151">
        <f t="shared" si="174"/>
        <v>0</v>
      </c>
      <c r="Z497" s="152">
        <f t="shared" si="166"/>
        <v>0</v>
      </c>
      <c r="AA497" s="179">
        <f t="shared" si="167"/>
        <v>0</v>
      </c>
      <c r="AB497" s="179">
        <f t="shared" si="168"/>
        <v>0</v>
      </c>
      <c r="AC497" s="180">
        <f t="shared" si="175"/>
        <v>0</v>
      </c>
      <c r="AD497" s="156">
        <f t="shared" si="169"/>
        <v>0</v>
      </c>
      <c r="AE497" s="146">
        <f>IFERROR(INDEX(Työkonekanta!$L$3:$L$30,MATCH($A497,Työkonekanta!$A$3:$A$30,0),1),0)*AF497</f>
        <v>0</v>
      </c>
      <c r="AF497" s="146">
        <f>IFERROR(INDEX(Työkonekanta!$N$3:$N$32,MATCH($A497,Työkonekanta!$A$3:$A$32,0),1),0)</f>
        <v>0</v>
      </c>
      <c r="AG497" s="332">
        <f>I497*INDEX(Muuttujat!$U$5:$U$21,MATCH($C497,Muuttujat!$N$5:$N$21,0),1)</f>
        <v>0</v>
      </c>
      <c r="AH497" s="332">
        <f>J497*INDEX(Muuttujat!$T$5:$T$21,MATCH($C497,Muuttujat!$N$5:$N$21,0),1)</f>
        <v>0</v>
      </c>
      <c r="AI497" s="332">
        <f t="shared" si="160"/>
        <v>0</v>
      </c>
      <c r="AJ497" s="332">
        <f t="shared" si="161"/>
        <v>0</v>
      </c>
      <c r="AK497" s="332">
        <f t="shared" si="170"/>
        <v>0</v>
      </c>
      <c r="AL497" s="332">
        <f t="shared" si="162"/>
        <v>0</v>
      </c>
    </row>
    <row r="498" spans="1:38">
      <c r="A498" s="139">
        <v>16</v>
      </c>
      <c r="B498" s="139">
        <f>IFERROR(INDEX(Työkonekanta!$F$3:$F$27,MATCH('S0b Baseline kasvu'!$A498,Työkonekanta!$A$3:$A$24,0),1),0)</f>
        <v>0</v>
      </c>
      <c r="C498" s="140">
        <v>2035</v>
      </c>
      <c r="D498" s="141" t="str">
        <f>IFERROR(INDEX(Työkonekanta!$D$3:$D$27,MATCH('S0b Baseline kasvu'!$A498,Työkonekanta!$A$3:$A$24,0),1),"undefined")</f>
        <v>sähkö</v>
      </c>
      <c r="E498" s="145">
        <f>IFERROR(INDEX(Työkonekanta!$G$3:$G$27,MATCH($A498,Työkonekanta!$A$3:$A$24,0),1)*INDEX(Työkonekanta!$H$3:$H$27,MATCH($A498,Työkonekanta!$A$3:$A$24,0),1)*(1+s0b_kasvu*($C498-2019))*$B498,0)</f>
        <v>0</v>
      </c>
      <c r="F498" s="145">
        <f t="shared" si="154"/>
        <v>0</v>
      </c>
      <c r="G498" s="145">
        <f t="shared" si="163"/>
        <v>0</v>
      </c>
      <c r="H498" s="145">
        <f t="shared" si="164"/>
        <v>0</v>
      </c>
      <c r="I498" s="145">
        <f t="shared" si="155"/>
        <v>0</v>
      </c>
      <c r="J498" s="145">
        <f t="shared" si="156"/>
        <v>0</v>
      </c>
      <c r="K498" s="142" t="str">
        <f t="shared" si="165"/>
        <v>kWh</v>
      </c>
      <c r="L498" s="146">
        <f>IFERROR(INDEX(Työkonekanta!$I$3:$I$27,MATCH('S0b Baseline kasvu'!$A498,Työkonekanta!$A$3:$A$24,0),1)*(I498+J498)*f_adblue,0)</f>
        <v>0</v>
      </c>
      <c r="M498" s="146">
        <f t="shared" si="171"/>
        <v>0</v>
      </c>
      <c r="N498" s="143" t="str">
        <f>IF(tuulisähkö_vuosi&lt;='S0b Baseline kasvu'!C498,"tuulisähkö",ostosähkö_nyt)</f>
        <v>jäännössähkö</v>
      </c>
      <c r="O498" s="147">
        <f>INDEX(Muuttujat!$J$5:$J$21,MATCH($C498,Muuttujat!$H$5:$H$21,0),1)</f>
        <v>58.961085487844883</v>
      </c>
      <c r="P498" s="342">
        <f>1-(INDEX(Muuttujat!$O$5:$O$21,MATCH($C498,Muuttujat!$N$5:$N$21,0),1))</f>
        <v>0.9</v>
      </c>
      <c r="Q498" s="342">
        <f>INDEX(Muuttujat!$O$5:$O$21,MATCH($C498,Muuttujat!$N$5:$N$21,0),1)</f>
        <v>0.1</v>
      </c>
      <c r="R498" s="148">
        <f>INDEX(Muuttujat!$P$5:$P$21,MATCH($C498,Muuttujat!$N$5:$N$21,0),1)</f>
        <v>0.10417875759940039</v>
      </c>
      <c r="S498" s="149">
        <f t="shared" si="157"/>
        <v>0</v>
      </c>
      <c r="T498" s="150">
        <f t="shared" si="158"/>
        <v>0</v>
      </c>
      <c r="U498" s="150">
        <f t="shared" si="159"/>
        <v>0</v>
      </c>
      <c r="V498" s="150">
        <f>IFERROR(INDEX(Työkonekanta!$J$3:$J$27,MATCH($A498,Työkonekanta!$A$3:$A$24,0),1)*$B498*ef_li_ion_akku/1000/1000/INDEX(Työkonekanta!$K$3:$K$27,MATCH($A498,Työkonekanta!$A$3:$A$24,0)),0)</f>
        <v>0</v>
      </c>
      <c r="W498" s="149">
        <f t="shared" si="172"/>
        <v>0</v>
      </c>
      <c r="X498" s="150">
        <f t="shared" si="173"/>
        <v>0</v>
      </c>
      <c r="Y498" s="151">
        <f t="shared" si="174"/>
        <v>0</v>
      </c>
      <c r="Z498" s="152">
        <f t="shared" si="166"/>
        <v>0</v>
      </c>
      <c r="AA498" s="179">
        <f t="shared" si="167"/>
        <v>0</v>
      </c>
      <c r="AB498" s="179">
        <f t="shared" si="168"/>
        <v>0</v>
      </c>
      <c r="AC498" s="180">
        <f t="shared" si="175"/>
        <v>0</v>
      </c>
      <c r="AD498" s="156">
        <f t="shared" si="169"/>
        <v>0</v>
      </c>
      <c r="AE498" s="146">
        <f>IFERROR(INDEX(Työkonekanta!$L$3:$L$30,MATCH($A498,Työkonekanta!$A$3:$A$30,0),1),0)*AF498</f>
        <v>0</v>
      </c>
      <c r="AF498" s="146">
        <f>IFERROR(INDEX(Työkonekanta!$N$3:$N$32,MATCH($A498,Työkonekanta!$A$3:$A$32,0),1),0)</f>
        <v>0</v>
      </c>
      <c r="AG498" s="332">
        <f>I498*INDEX(Muuttujat!$U$5:$U$21,MATCH($C498,Muuttujat!$N$5:$N$21,0),1)</f>
        <v>0</v>
      </c>
      <c r="AH498" s="332">
        <f>J498*INDEX(Muuttujat!$T$5:$T$21,MATCH($C498,Muuttujat!$N$5:$N$21,0),1)</f>
        <v>0</v>
      </c>
      <c r="AI498" s="332">
        <f t="shared" si="160"/>
        <v>0</v>
      </c>
      <c r="AJ498" s="332">
        <f t="shared" si="161"/>
        <v>0</v>
      </c>
      <c r="AK498" s="332">
        <f t="shared" si="170"/>
        <v>0</v>
      </c>
      <c r="AL498" s="332">
        <f t="shared" si="162"/>
        <v>0</v>
      </c>
    </row>
    <row r="499" spans="1:38">
      <c r="A499" s="139">
        <v>17</v>
      </c>
      <c r="B499" s="139">
        <f>IFERROR(INDEX(Työkonekanta!$F$3:$F$27,MATCH('S0b Baseline kasvu'!$A499,Työkonekanta!$A$3:$A$24,0),1),0)</f>
        <v>1</v>
      </c>
      <c r="C499" s="140">
        <v>2035</v>
      </c>
      <c r="D499" s="141" t="str">
        <f>IFERROR(INDEX(Työkonekanta!$D$3:$D$27,MATCH('S0b Baseline kasvu'!$A499,Työkonekanta!$A$3:$A$24,0),1),"undefined")</f>
        <v>pom</v>
      </c>
      <c r="E499" s="145">
        <f>IFERROR(INDEX(Työkonekanta!$G$3:$G$27,MATCH($A499,Työkonekanta!$A$3:$A$24,0),1)*INDEX(Työkonekanta!$H$3:$H$27,MATCH($A499,Työkonekanta!$A$3:$A$24,0),1)*(1+s0b_kasvu*($C499-2019))*$B499,0)</f>
        <v>11600</v>
      </c>
      <c r="F499" s="145">
        <f t="shared" si="154"/>
        <v>416440</v>
      </c>
      <c r="G499" s="145">
        <f t="shared" si="163"/>
        <v>374796</v>
      </c>
      <c r="H499" s="145">
        <f t="shared" si="164"/>
        <v>41644</v>
      </c>
      <c r="I499" s="145">
        <f t="shared" si="155"/>
        <v>10440</v>
      </c>
      <c r="J499" s="145">
        <f t="shared" si="156"/>
        <v>1214.1107871720117</v>
      </c>
      <c r="K499" s="142" t="str">
        <f t="shared" si="165"/>
        <v>l</v>
      </c>
      <c r="L499" s="146">
        <f>IFERROR(INDEX(Työkonekanta!$I$3:$I$27,MATCH('S0b Baseline kasvu'!$A499,Työkonekanta!$A$3:$A$24,0),1)*(I499+J499)*f_adblue,0)</f>
        <v>582.70553935860062</v>
      </c>
      <c r="M499" s="146">
        <f t="shared" si="171"/>
        <v>0</v>
      </c>
      <c r="N499" s="143" t="str">
        <f>IF(tuulisähkö_vuosi&lt;='S0b Baseline kasvu'!C499,"tuulisähkö",ostosähkö_nyt)</f>
        <v>jäännössähkö</v>
      </c>
      <c r="O499" s="147">
        <f>INDEX(Muuttujat!$J$5:$J$21,MATCH($C499,Muuttujat!$H$5:$H$21,0),1)</f>
        <v>58.961085487844883</v>
      </c>
      <c r="P499" s="342">
        <f>1-(INDEX(Muuttujat!$O$5:$O$21,MATCH($C499,Muuttujat!$N$5:$N$21,0),1))</f>
        <v>0.9</v>
      </c>
      <c r="Q499" s="342">
        <f>INDEX(Muuttujat!$O$5:$O$21,MATCH($C499,Muuttujat!$N$5:$N$21,0),1)</f>
        <v>0.1</v>
      </c>
      <c r="R499" s="148">
        <f>INDEX(Muuttujat!$P$5:$P$21,MATCH($C499,Muuttujat!$N$5:$N$21,0),1)</f>
        <v>0.10417875759940039</v>
      </c>
      <c r="S499" s="149">
        <f t="shared" si="157"/>
        <v>7.083644399999999</v>
      </c>
      <c r="T499" s="150">
        <f t="shared" si="158"/>
        <v>2.5985855999999998</v>
      </c>
      <c r="U499" s="150">
        <f t="shared" si="159"/>
        <v>0</v>
      </c>
      <c r="V499" s="150">
        <f>IFERROR(INDEX(Työkonekanta!$J$3:$J$27,MATCH($A499,Työkonekanta!$A$3:$A$24,0),1)*$B499*ef_li_ion_akku/1000/1000/INDEX(Työkonekanta!$K$3:$K$27,MATCH($A499,Työkonekanta!$A$3:$A$24,0)),0)</f>
        <v>0</v>
      </c>
      <c r="W499" s="149">
        <f t="shared" si="172"/>
        <v>27.663038470584002</v>
      </c>
      <c r="X499" s="150">
        <f t="shared" si="173"/>
        <v>0.36858496559999998</v>
      </c>
      <c r="Y499" s="151">
        <f t="shared" si="174"/>
        <v>0.15150344023323614</v>
      </c>
      <c r="Z499" s="152">
        <f t="shared" si="166"/>
        <v>9.6822299999999988</v>
      </c>
      <c r="AA499" s="179">
        <f t="shared" si="167"/>
        <v>27.814541910817237</v>
      </c>
      <c r="AB499" s="179">
        <f t="shared" si="168"/>
        <v>28.183126876417237</v>
      </c>
      <c r="AC499" s="180">
        <f t="shared" si="175"/>
        <v>37.496771910817237</v>
      </c>
      <c r="AD499" s="156">
        <f t="shared" si="169"/>
        <v>37.865356876417238</v>
      </c>
      <c r="AE499" s="146">
        <f>IFERROR(INDEX(Työkonekanta!$L$3:$L$30,MATCH($A499,Työkonekanta!$A$3:$A$30,0),1),0)*AF499</f>
        <v>500000</v>
      </c>
      <c r="AF499" s="146">
        <f>IFERROR(INDEX(Työkonekanta!$N$3:$N$32,MATCH($A499,Työkonekanta!$A$3:$A$32,0),1),0)</f>
        <v>1</v>
      </c>
      <c r="AG499" s="332">
        <f>I499*INDEX(Muuttujat!$U$5:$U$21,MATCH($C499,Muuttujat!$N$5:$N$21,0),1)</f>
        <v>10962</v>
      </c>
      <c r="AH499" s="332">
        <f>J499*INDEX(Muuttujat!$T$5:$T$21,MATCH($C499,Muuttujat!$N$5:$N$21,0),1)</f>
        <v>1760.4606413994172</v>
      </c>
      <c r="AI499" s="332">
        <f t="shared" si="160"/>
        <v>291.35276967930031</v>
      </c>
      <c r="AJ499" s="332">
        <f t="shared" si="161"/>
        <v>0</v>
      </c>
      <c r="AK499" s="332">
        <f t="shared" si="170"/>
        <v>13013.813411078718</v>
      </c>
      <c r="AL499" s="332">
        <f t="shared" si="162"/>
        <v>13013.813411078718</v>
      </c>
    </row>
    <row r="500" spans="1:38">
      <c r="A500" s="139">
        <v>18</v>
      </c>
      <c r="B500" s="139">
        <f>IFERROR(INDEX(Työkonekanta!$F$3:$F$27,MATCH('S0b Baseline kasvu'!$A500,Työkonekanta!$A$3:$A$24,0),1),0)</f>
        <v>1</v>
      </c>
      <c r="C500" s="140">
        <v>2035</v>
      </c>
      <c r="D500" s="141" t="str">
        <f>IFERROR(INDEX(Työkonekanta!$D$3:$D$27,MATCH('S0b Baseline kasvu'!$A500,Työkonekanta!$A$3:$A$24,0),1),"undefined")</f>
        <v>pom</v>
      </c>
      <c r="E500" s="145">
        <f>IFERROR(INDEX(Työkonekanta!$G$3:$G$27,MATCH($A500,Työkonekanta!$A$3:$A$24,0),1)*INDEX(Työkonekanta!$H$3:$H$27,MATCH($A500,Työkonekanta!$A$3:$A$24,0),1)*(1+s0b_kasvu*($C500-2019))*$B500,0)</f>
        <v>11600</v>
      </c>
      <c r="F500" s="145">
        <f t="shared" si="154"/>
        <v>416440</v>
      </c>
      <c r="G500" s="145">
        <f t="shared" si="163"/>
        <v>374796</v>
      </c>
      <c r="H500" s="145">
        <f t="shared" si="164"/>
        <v>41644</v>
      </c>
      <c r="I500" s="145">
        <f t="shared" si="155"/>
        <v>10440</v>
      </c>
      <c r="J500" s="145">
        <f t="shared" si="156"/>
        <v>1214.1107871720117</v>
      </c>
      <c r="K500" s="142" t="str">
        <f t="shared" si="165"/>
        <v>l</v>
      </c>
      <c r="L500" s="146">
        <f>IFERROR(INDEX(Työkonekanta!$I$3:$I$27,MATCH('S0b Baseline kasvu'!$A500,Työkonekanta!$A$3:$A$24,0),1)*(I500+J500)*f_adblue,0)</f>
        <v>466.16443148688052</v>
      </c>
      <c r="M500" s="146">
        <f t="shared" si="171"/>
        <v>0</v>
      </c>
      <c r="N500" s="143" t="str">
        <f>IF(tuulisähkö_vuosi&lt;='S0b Baseline kasvu'!C500,"tuulisähkö",ostosähkö_nyt)</f>
        <v>jäännössähkö</v>
      </c>
      <c r="O500" s="147">
        <f>INDEX(Muuttujat!$J$5:$J$21,MATCH($C500,Muuttujat!$H$5:$H$21,0),1)</f>
        <v>58.961085487844883</v>
      </c>
      <c r="P500" s="342">
        <f>1-(INDEX(Muuttujat!$O$5:$O$21,MATCH($C500,Muuttujat!$N$5:$N$21,0),1))</f>
        <v>0.9</v>
      </c>
      <c r="Q500" s="342">
        <f>INDEX(Muuttujat!$O$5:$O$21,MATCH($C500,Muuttujat!$N$5:$N$21,0),1)</f>
        <v>0.1</v>
      </c>
      <c r="R500" s="148">
        <f>INDEX(Muuttujat!$P$5:$P$21,MATCH($C500,Muuttujat!$N$5:$N$21,0),1)</f>
        <v>0.10417875759940039</v>
      </c>
      <c r="S500" s="149">
        <f t="shared" si="157"/>
        <v>7.083644399999999</v>
      </c>
      <c r="T500" s="150">
        <f t="shared" si="158"/>
        <v>2.5985855999999998</v>
      </c>
      <c r="U500" s="150">
        <f t="shared" si="159"/>
        <v>0</v>
      </c>
      <c r="V500" s="150">
        <f>IFERROR(INDEX(Työkonekanta!$J$3:$J$27,MATCH($A500,Työkonekanta!$A$3:$A$24,0),1)*$B500*ef_li_ion_akku/1000/1000/INDEX(Työkonekanta!$K$3:$K$27,MATCH($A500,Työkonekanta!$A$3:$A$24,0)),0)</f>
        <v>0</v>
      </c>
      <c r="W500" s="149">
        <f t="shared" si="172"/>
        <v>27.663038470584002</v>
      </c>
      <c r="X500" s="150">
        <f t="shared" si="173"/>
        <v>0.36858496559999998</v>
      </c>
      <c r="Y500" s="151">
        <f t="shared" si="174"/>
        <v>0.12120275218658892</v>
      </c>
      <c r="Z500" s="152">
        <f t="shared" si="166"/>
        <v>9.6822299999999988</v>
      </c>
      <c r="AA500" s="179">
        <f t="shared" si="167"/>
        <v>27.784241222770593</v>
      </c>
      <c r="AB500" s="179">
        <f t="shared" si="168"/>
        <v>28.152826188370593</v>
      </c>
      <c r="AC500" s="180">
        <f t="shared" si="175"/>
        <v>37.466471222770593</v>
      </c>
      <c r="AD500" s="156">
        <f t="shared" si="169"/>
        <v>37.835056188370594</v>
      </c>
      <c r="AE500" s="146">
        <f>IFERROR(INDEX(Työkonekanta!$L$3:$L$30,MATCH($A500,Työkonekanta!$A$3:$A$30,0),1),0)*AF500</f>
        <v>500000</v>
      </c>
      <c r="AF500" s="146">
        <f>IFERROR(INDEX(Työkonekanta!$N$3:$N$32,MATCH($A500,Työkonekanta!$A$3:$A$32,0),1),0)</f>
        <v>1</v>
      </c>
      <c r="AG500" s="332">
        <f>I500*INDEX(Muuttujat!$U$5:$U$21,MATCH($C500,Muuttujat!$N$5:$N$21,0),1)</f>
        <v>10962</v>
      </c>
      <c r="AH500" s="332">
        <f>J500*INDEX(Muuttujat!$T$5:$T$21,MATCH($C500,Muuttujat!$N$5:$N$21,0),1)</f>
        <v>1760.4606413994172</v>
      </c>
      <c r="AI500" s="332">
        <f t="shared" si="160"/>
        <v>233.08221574344026</v>
      </c>
      <c r="AJ500" s="332">
        <f t="shared" si="161"/>
        <v>0</v>
      </c>
      <c r="AK500" s="332">
        <f t="shared" si="170"/>
        <v>12955.542857142857</v>
      </c>
      <c r="AL500" s="332">
        <f t="shared" si="162"/>
        <v>12955.542857142857</v>
      </c>
    </row>
    <row r="501" spans="1:38">
      <c r="A501" s="139">
        <v>19</v>
      </c>
      <c r="B501" s="139">
        <f>IFERROR(INDEX(Työkonekanta!$F$3:$F$27,MATCH('S0b Baseline kasvu'!$A501,Työkonekanta!$A$3:$A$24,0),1),0)</f>
        <v>0</v>
      </c>
      <c r="C501" s="140">
        <v>2035</v>
      </c>
      <c r="D501" s="141" t="str">
        <f>IFERROR(INDEX(Työkonekanta!$D$3:$D$27,MATCH('S0b Baseline kasvu'!$A501,Työkonekanta!$A$3:$A$24,0),1),"undefined")</f>
        <v>pom</v>
      </c>
      <c r="E501" s="145">
        <f>IFERROR(INDEX(Työkonekanta!$G$3:$G$27,MATCH($A501,Työkonekanta!$A$3:$A$24,0),1)*INDEX(Työkonekanta!$H$3:$H$27,MATCH($A501,Työkonekanta!$A$3:$A$24,0),1)*(1+s0b_kasvu*($C501-2019))*$B501,0)</f>
        <v>0</v>
      </c>
      <c r="F501" s="145">
        <f t="shared" si="154"/>
        <v>0</v>
      </c>
      <c r="G501" s="145">
        <f t="shared" si="163"/>
        <v>0</v>
      </c>
      <c r="H501" s="145">
        <f t="shared" si="164"/>
        <v>0</v>
      </c>
      <c r="I501" s="145">
        <f t="shared" si="155"/>
        <v>0</v>
      </c>
      <c r="J501" s="145">
        <f t="shared" si="156"/>
        <v>0</v>
      </c>
      <c r="K501" s="142" t="str">
        <f t="shared" si="165"/>
        <v>l</v>
      </c>
      <c r="L501" s="146">
        <f>IFERROR(INDEX(Työkonekanta!$I$3:$I$27,MATCH('S0b Baseline kasvu'!$A501,Työkonekanta!$A$3:$A$24,0),1)*(I501+J501)*f_adblue,0)</f>
        <v>0</v>
      </c>
      <c r="M501" s="146">
        <f t="shared" si="171"/>
        <v>0</v>
      </c>
      <c r="N501" s="143" t="str">
        <f>IF(tuulisähkö_vuosi&lt;='S0b Baseline kasvu'!C501,"tuulisähkö",ostosähkö_nyt)</f>
        <v>jäännössähkö</v>
      </c>
      <c r="O501" s="147">
        <f>INDEX(Muuttujat!$J$5:$J$21,MATCH($C501,Muuttujat!$H$5:$H$21,0),1)</f>
        <v>58.961085487844883</v>
      </c>
      <c r="P501" s="342">
        <f>1-(INDEX(Muuttujat!$O$5:$O$21,MATCH($C501,Muuttujat!$N$5:$N$21,0),1))</f>
        <v>0.9</v>
      </c>
      <c r="Q501" s="342">
        <f>INDEX(Muuttujat!$O$5:$O$21,MATCH($C501,Muuttujat!$N$5:$N$21,0),1)</f>
        <v>0.1</v>
      </c>
      <c r="R501" s="148">
        <f>INDEX(Muuttujat!$P$5:$P$21,MATCH($C501,Muuttujat!$N$5:$N$21,0),1)</f>
        <v>0.10417875759940039</v>
      </c>
      <c r="S501" s="149">
        <f t="shared" si="157"/>
        <v>0</v>
      </c>
      <c r="T501" s="150">
        <f t="shared" si="158"/>
        <v>0</v>
      </c>
      <c r="U501" s="150">
        <f t="shared" si="159"/>
        <v>0</v>
      </c>
      <c r="V501" s="150">
        <f>IFERROR(INDEX(Työkonekanta!$J$3:$J$27,MATCH($A501,Työkonekanta!$A$3:$A$24,0),1)*$B501*ef_li_ion_akku/1000/1000/INDEX(Työkonekanta!$K$3:$K$27,MATCH($A501,Työkonekanta!$A$3:$A$24,0)),0)</f>
        <v>0</v>
      </c>
      <c r="W501" s="149">
        <f t="shared" si="172"/>
        <v>0</v>
      </c>
      <c r="X501" s="150">
        <f t="shared" si="173"/>
        <v>0</v>
      </c>
      <c r="Y501" s="151">
        <f t="shared" si="174"/>
        <v>0</v>
      </c>
      <c r="Z501" s="152">
        <f t="shared" si="166"/>
        <v>0</v>
      </c>
      <c r="AA501" s="179">
        <f t="shared" si="167"/>
        <v>0</v>
      </c>
      <c r="AB501" s="179">
        <f t="shared" si="168"/>
        <v>0</v>
      </c>
      <c r="AC501" s="180">
        <f t="shared" si="175"/>
        <v>0</v>
      </c>
      <c r="AD501" s="156">
        <f t="shared" si="169"/>
        <v>0</v>
      </c>
      <c r="AE501" s="146">
        <f>IFERROR(INDEX(Työkonekanta!$L$3:$L$30,MATCH($A501,Työkonekanta!$A$3:$A$30,0),1),0)*AF501</f>
        <v>0</v>
      </c>
      <c r="AF501" s="146">
        <f>IFERROR(INDEX(Työkonekanta!$N$3:$N$32,MATCH($A501,Työkonekanta!$A$3:$A$32,0),1),0)</f>
        <v>0</v>
      </c>
      <c r="AG501" s="332">
        <f>I501*INDEX(Muuttujat!$U$5:$U$21,MATCH($C501,Muuttujat!$N$5:$N$21,0),1)</f>
        <v>0</v>
      </c>
      <c r="AH501" s="332">
        <f>J501*INDEX(Muuttujat!$T$5:$T$21,MATCH($C501,Muuttujat!$N$5:$N$21,0),1)</f>
        <v>0</v>
      </c>
      <c r="AI501" s="332">
        <f t="shared" si="160"/>
        <v>0</v>
      </c>
      <c r="AJ501" s="332">
        <f t="shared" si="161"/>
        <v>0</v>
      </c>
      <c r="AK501" s="332">
        <f t="shared" si="170"/>
        <v>0</v>
      </c>
      <c r="AL501" s="332">
        <f t="shared" si="162"/>
        <v>0</v>
      </c>
    </row>
    <row r="502" spans="1:38">
      <c r="A502" s="139">
        <v>20</v>
      </c>
      <c r="B502" s="139">
        <f>IFERROR(INDEX(Työkonekanta!$F$3:$F$27,MATCH('S0b Baseline kasvu'!$A502,Työkonekanta!$A$3:$A$24,0),1),0)</f>
        <v>0</v>
      </c>
      <c r="C502" s="140">
        <v>2035</v>
      </c>
      <c r="D502" s="141" t="str">
        <f>IFERROR(INDEX(Työkonekanta!$D$3:$D$27,MATCH('S0b Baseline kasvu'!$A502,Työkonekanta!$A$3:$A$24,0),1),"undefined")</f>
        <v>pom</v>
      </c>
      <c r="E502" s="145">
        <f>IFERROR(INDEX(Työkonekanta!$G$3:$G$27,MATCH($A502,Työkonekanta!$A$3:$A$24,0),1)*INDEX(Työkonekanta!$H$3:$H$27,MATCH($A502,Työkonekanta!$A$3:$A$24,0),1)*(1+s0b_kasvu*($C502-2019))*$B502,0)</f>
        <v>0</v>
      </c>
      <c r="F502" s="145">
        <f t="shared" si="154"/>
        <v>0</v>
      </c>
      <c r="G502" s="145">
        <f t="shared" si="163"/>
        <v>0</v>
      </c>
      <c r="H502" s="145">
        <f t="shared" si="164"/>
        <v>0</v>
      </c>
      <c r="I502" s="145">
        <f t="shared" si="155"/>
        <v>0</v>
      </c>
      <c r="J502" s="145">
        <f t="shared" si="156"/>
        <v>0</v>
      </c>
      <c r="K502" s="142" t="str">
        <f t="shared" si="165"/>
        <v>l</v>
      </c>
      <c r="L502" s="146">
        <f>IFERROR(INDEX(Työkonekanta!$I$3:$I$27,MATCH('S0b Baseline kasvu'!$A502,Työkonekanta!$A$3:$A$24,0),1)*(I502+J502)*f_adblue,0)</f>
        <v>0</v>
      </c>
      <c r="M502" s="146">
        <f t="shared" si="171"/>
        <v>0</v>
      </c>
      <c r="N502" s="143" t="str">
        <f>IF(tuulisähkö_vuosi&lt;='S0b Baseline kasvu'!C502,"tuulisähkö",ostosähkö_nyt)</f>
        <v>jäännössähkö</v>
      </c>
      <c r="O502" s="147">
        <f>INDEX(Muuttujat!$J$5:$J$21,MATCH($C502,Muuttujat!$H$5:$H$21,0),1)</f>
        <v>58.961085487844883</v>
      </c>
      <c r="P502" s="342">
        <f>1-(INDEX(Muuttujat!$O$5:$O$21,MATCH($C502,Muuttujat!$N$5:$N$21,0),1))</f>
        <v>0.9</v>
      </c>
      <c r="Q502" s="342">
        <f>INDEX(Muuttujat!$O$5:$O$21,MATCH($C502,Muuttujat!$N$5:$N$21,0),1)</f>
        <v>0.1</v>
      </c>
      <c r="R502" s="148">
        <f>INDEX(Muuttujat!$P$5:$P$21,MATCH($C502,Muuttujat!$N$5:$N$21,0),1)</f>
        <v>0.10417875759940039</v>
      </c>
      <c r="S502" s="149">
        <f t="shared" si="157"/>
        <v>0</v>
      </c>
      <c r="T502" s="150">
        <f t="shared" si="158"/>
        <v>0</v>
      </c>
      <c r="U502" s="150">
        <f t="shared" si="159"/>
        <v>0</v>
      </c>
      <c r="V502" s="150">
        <f>IFERROR(INDEX(Työkonekanta!$J$3:$J$27,MATCH($A502,Työkonekanta!$A$3:$A$24,0),1)*$B502*ef_li_ion_akku/1000/1000/INDEX(Työkonekanta!$K$3:$K$27,MATCH($A502,Työkonekanta!$A$3:$A$24,0)),0)</f>
        <v>0</v>
      </c>
      <c r="W502" s="149">
        <f t="shared" si="172"/>
        <v>0</v>
      </c>
      <c r="X502" s="150">
        <f t="shared" si="173"/>
        <v>0</v>
      </c>
      <c r="Y502" s="151">
        <f t="shared" si="174"/>
        <v>0</v>
      </c>
      <c r="Z502" s="152">
        <f t="shared" si="166"/>
        <v>0</v>
      </c>
      <c r="AA502" s="179">
        <f t="shared" si="167"/>
        <v>0</v>
      </c>
      <c r="AB502" s="179">
        <f t="shared" si="168"/>
        <v>0</v>
      </c>
      <c r="AC502" s="180">
        <f t="shared" si="175"/>
        <v>0</v>
      </c>
      <c r="AD502" s="156">
        <f t="shared" si="169"/>
        <v>0</v>
      </c>
      <c r="AE502" s="146">
        <f>IFERROR(INDEX(Työkonekanta!$L$3:$L$30,MATCH($A502,Työkonekanta!$A$3:$A$30,0),1),0)*AF502</f>
        <v>0</v>
      </c>
      <c r="AF502" s="146">
        <f>IFERROR(INDEX(Työkonekanta!$N$3:$N$32,MATCH($A502,Työkonekanta!$A$3:$A$32,0),1),0)</f>
        <v>0</v>
      </c>
      <c r="AG502" s="332">
        <f>I502*INDEX(Muuttujat!$U$5:$U$21,MATCH($C502,Muuttujat!$N$5:$N$21,0),1)</f>
        <v>0</v>
      </c>
      <c r="AH502" s="332">
        <f>J502*INDEX(Muuttujat!$T$5:$T$21,MATCH($C502,Muuttujat!$N$5:$N$21,0),1)</f>
        <v>0</v>
      </c>
      <c r="AI502" s="332">
        <f t="shared" si="160"/>
        <v>0</v>
      </c>
      <c r="AJ502" s="332">
        <f t="shared" si="161"/>
        <v>0</v>
      </c>
      <c r="AK502" s="332">
        <f t="shared" si="170"/>
        <v>0</v>
      </c>
      <c r="AL502" s="332">
        <f t="shared" si="162"/>
        <v>0</v>
      </c>
    </row>
    <row r="503" spans="1:38">
      <c r="A503" s="139">
        <v>21</v>
      </c>
      <c r="B503" s="139">
        <f>IFERROR(INDEX(Työkonekanta!$F$3:$F$27,MATCH('S0b Baseline kasvu'!$A503,Työkonekanta!$A$3:$A$24,0),1),0)</f>
        <v>35</v>
      </c>
      <c r="C503" s="140">
        <v>2035</v>
      </c>
      <c r="D503" s="141" t="str">
        <f>IFERROR(INDEX(Työkonekanta!$D$3:$D$27,MATCH('S0b Baseline kasvu'!$A503,Työkonekanta!$A$3:$A$24,0),1),"undefined")</f>
        <v>sähkö</v>
      </c>
      <c r="E503" s="145">
        <f>IFERROR(INDEX(Työkonekanta!$G$3:$G$27,MATCH($A503,Työkonekanta!$A$3:$A$24,0),1)*INDEX(Työkonekanta!$H$3:$H$27,MATCH($A503,Työkonekanta!$A$3:$A$24,0),1)*(1+s0b_kasvu*($C503-2019))*$B503,0)</f>
        <v>472350.92592592584</v>
      </c>
      <c r="F503" s="145">
        <f t="shared" si="154"/>
        <v>0</v>
      </c>
      <c r="G503" s="145">
        <f t="shared" si="163"/>
        <v>0</v>
      </c>
      <c r="H503" s="145">
        <f t="shared" si="164"/>
        <v>0</v>
      </c>
      <c r="I503" s="145">
        <f t="shared" si="155"/>
        <v>0</v>
      </c>
      <c r="J503" s="145">
        <f t="shared" si="156"/>
        <v>0</v>
      </c>
      <c r="K503" s="142" t="str">
        <f t="shared" si="165"/>
        <v>kWh</v>
      </c>
      <c r="L503" s="146">
        <f>IFERROR(INDEX(Työkonekanta!$I$3:$I$27,MATCH('S0b Baseline kasvu'!$A503,Työkonekanta!$A$3:$A$24,0),1)*(I503+J503)*f_adblue,0)</f>
        <v>0</v>
      </c>
      <c r="M503" s="146">
        <f t="shared" si="171"/>
        <v>1700463.333333333</v>
      </c>
      <c r="N503" s="143" t="str">
        <f>IF(tuulisähkö_vuosi&lt;='S0b Baseline kasvu'!C503,"tuulisähkö",ostosähkö_nyt)</f>
        <v>jäännössähkö</v>
      </c>
      <c r="O503" s="147">
        <f>INDEX(Muuttujat!$J$5:$J$21,MATCH($C503,Muuttujat!$H$5:$H$21,0),1)</f>
        <v>58.961085487844883</v>
      </c>
      <c r="P503" s="342">
        <f>1-(INDEX(Muuttujat!$O$5:$O$21,MATCH($C503,Muuttujat!$N$5:$N$21,0),1))</f>
        <v>0.9</v>
      </c>
      <c r="Q503" s="342">
        <f>INDEX(Muuttujat!$O$5:$O$21,MATCH($C503,Muuttujat!$N$5:$N$21,0),1)</f>
        <v>0.1</v>
      </c>
      <c r="R503" s="148">
        <f>INDEX(Muuttujat!$P$5:$P$21,MATCH($C503,Muuttujat!$N$5:$N$21,0),1)</f>
        <v>0.10417875759940039</v>
      </c>
      <c r="S503" s="149">
        <f t="shared" si="157"/>
        <v>0</v>
      </c>
      <c r="T503" s="150">
        <f t="shared" si="158"/>
        <v>0</v>
      </c>
      <c r="U503" s="150">
        <f t="shared" si="159"/>
        <v>100.26116396561231</v>
      </c>
      <c r="V503" s="150">
        <f>IFERROR(INDEX(Työkonekanta!$J$3:$J$27,MATCH($A503,Työkonekanta!$A$3:$A$24,0),1)*$B503*ef_li_ion_akku/1000/1000/INDEX(Työkonekanta!$K$3:$K$27,MATCH($A503,Työkonekanta!$A$3:$A$24,0)),0)</f>
        <v>43.121723076923082</v>
      </c>
      <c r="W503" s="149">
        <f t="shared" si="172"/>
        <v>0</v>
      </c>
      <c r="X503" s="150">
        <f t="shared" si="173"/>
        <v>0</v>
      </c>
      <c r="Y503" s="151">
        <f t="shared" si="174"/>
        <v>0</v>
      </c>
      <c r="Z503" s="152">
        <f t="shared" si="166"/>
        <v>143.3828870425354</v>
      </c>
      <c r="AA503" s="179">
        <f t="shared" si="167"/>
        <v>0</v>
      </c>
      <c r="AB503" s="179">
        <f t="shared" si="168"/>
        <v>0</v>
      </c>
      <c r="AC503" s="180">
        <f t="shared" si="175"/>
        <v>143.3828870425354</v>
      </c>
      <c r="AD503" s="156">
        <f t="shared" si="169"/>
        <v>143.3828870425354</v>
      </c>
      <c r="AE503" s="146">
        <f>IFERROR(INDEX(Työkonekanta!$L$3:$L$30,MATCH($A503,Työkonekanta!$A$3:$A$30,0),1),0)*AF503</f>
        <v>1820000</v>
      </c>
      <c r="AF503" s="146">
        <f>IFERROR(INDEX(Työkonekanta!$N$3:$N$32,MATCH($A503,Työkonekanta!$A$3:$A$32,0),1),0)</f>
        <v>7</v>
      </c>
      <c r="AG503" s="332">
        <f>I503*INDEX(Muuttujat!$U$5:$U$21,MATCH($C503,Muuttujat!$N$5:$N$21,0),1)</f>
        <v>0</v>
      </c>
      <c r="AH503" s="332">
        <f>J503*INDEX(Muuttujat!$T$5:$T$21,MATCH($C503,Muuttujat!$N$5:$N$21,0),1)</f>
        <v>0</v>
      </c>
      <c r="AI503" s="332">
        <f t="shared" si="160"/>
        <v>0</v>
      </c>
      <c r="AJ503" s="332">
        <f t="shared" si="161"/>
        <v>41803.056944444441</v>
      </c>
      <c r="AK503" s="332">
        <f t="shared" si="170"/>
        <v>41803.056944444441</v>
      </c>
      <c r="AL503" s="332">
        <f t="shared" si="162"/>
        <v>1194.3730555555555</v>
      </c>
    </row>
    <row r="504" spans="1:38">
      <c r="A504" s="139">
        <v>22</v>
      </c>
      <c r="B504" s="139">
        <f>IFERROR(INDEX(Työkonekanta!$F$3:$F$27,MATCH('S0b Baseline kasvu'!$A504,Työkonekanta!$A$3:$A$24,0),1),0)</f>
        <v>0</v>
      </c>
      <c r="C504" s="140">
        <v>2035</v>
      </c>
      <c r="D504" s="141" t="str">
        <f>IFERROR(INDEX(Työkonekanta!$D$3:$D$27,MATCH('S0b Baseline kasvu'!$A504,Työkonekanta!$A$3:$A$24,0),1),"undefined")</f>
        <v>sähkö</v>
      </c>
      <c r="E504" s="145">
        <f>IFERROR(INDEX(Työkonekanta!$G$3:$G$27,MATCH($A504,Työkonekanta!$A$3:$A$24,0),1)*INDEX(Työkonekanta!$H$3:$H$27,MATCH($A504,Työkonekanta!$A$3:$A$24,0),1)*(1+s0b_kasvu*($C504-2019))*$B504,0)</f>
        <v>0</v>
      </c>
      <c r="F504" s="145">
        <f t="shared" si="154"/>
        <v>0</v>
      </c>
      <c r="G504" s="145">
        <f t="shared" si="163"/>
        <v>0</v>
      </c>
      <c r="H504" s="145">
        <f t="shared" si="164"/>
        <v>0</v>
      </c>
      <c r="I504" s="145">
        <f t="shared" si="155"/>
        <v>0</v>
      </c>
      <c r="J504" s="145">
        <f t="shared" si="156"/>
        <v>0</v>
      </c>
      <c r="K504" s="142" t="str">
        <f t="shared" si="165"/>
        <v>kWh</v>
      </c>
      <c r="L504" s="146">
        <f>IFERROR(INDEX(Työkonekanta!$I$3:$I$27,MATCH('S0b Baseline kasvu'!$A504,Työkonekanta!$A$3:$A$24,0),1)*(I504+J504)*f_adblue,0)</f>
        <v>0</v>
      </c>
      <c r="M504" s="146">
        <f t="shared" si="171"/>
        <v>0</v>
      </c>
      <c r="N504" s="143" t="str">
        <f>IF(tuulisähkö_vuosi&lt;='S0b Baseline kasvu'!C504,"tuulisähkö",ostosähkö_nyt)</f>
        <v>jäännössähkö</v>
      </c>
      <c r="O504" s="147">
        <f>INDEX(Muuttujat!$J$5:$J$21,MATCH($C504,Muuttujat!$H$5:$H$21,0),1)</f>
        <v>58.961085487844883</v>
      </c>
      <c r="P504" s="342">
        <f>1-(INDEX(Muuttujat!$O$5:$O$21,MATCH($C504,Muuttujat!$N$5:$N$21,0),1))</f>
        <v>0.9</v>
      </c>
      <c r="Q504" s="342">
        <f>INDEX(Muuttujat!$O$5:$O$21,MATCH($C504,Muuttujat!$N$5:$N$21,0),1)</f>
        <v>0.1</v>
      </c>
      <c r="R504" s="148">
        <f>INDEX(Muuttujat!$P$5:$P$21,MATCH($C504,Muuttujat!$N$5:$N$21,0),1)</f>
        <v>0.10417875759940039</v>
      </c>
      <c r="S504" s="149">
        <f t="shared" si="157"/>
        <v>0</v>
      </c>
      <c r="T504" s="150">
        <f t="shared" si="158"/>
        <v>0</v>
      </c>
      <c r="U504" s="150">
        <f t="shared" si="159"/>
        <v>0</v>
      </c>
      <c r="V504" s="150">
        <f>IFERROR(INDEX(Työkonekanta!$J$3:$J$27,MATCH($A504,Työkonekanta!$A$3:$A$24,0),1)*$B504*ef_li_ion_akku/1000/1000/INDEX(Työkonekanta!$K$3:$K$27,MATCH($A504,Työkonekanta!$A$3:$A$24,0)),0)</f>
        <v>0</v>
      </c>
      <c r="W504" s="149">
        <f t="shared" si="172"/>
        <v>0</v>
      </c>
      <c r="X504" s="150">
        <f t="shared" si="173"/>
        <v>0</v>
      </c>
      <c r="Y504" s="151">
        <f t="shared" si="174"/>
        <v>0</v>
      </c>
      <c r="Z504" s="152">
        <f t="shared" si="166"/>
        <v>0</v>
      </c>
      <c r="AA504" s="179">
        <f t="shared" si="167"/>
        <v>0</v>
      </c>
      <c r="AB504" s="179">
        <f t="shared" si="168"/>
        <v>0</v>
      </c>
      <c r="AC504" s="180">
        <f t="shared" si="175"/>
        <v>0</v>
      </c>
      <c r="AD504" s="156">
        <f t="shared" si="169"/>
        <v>0</v>
      </c>
      <c r="AE504" s="146">
        <f>IFERROR(INDEX(Työkonekanta!$L$3:$L$30,MATCH($A504,Työkonekanta!$A$3:$A$30,0),1),0)*AF504</f>
        <v>0</v>
      </c>
      <c r="AF504" s="146">
        <f>IFERROR(INDEX(Työkonekanta!$N$3:$N$32,MATCH($A504,Työkonekanta!$A$3:$A$32,0),1),0)</f>
        <v>0</v>
      </c>
      <c r="AG504" s="332">
        <f>I504*INDEX(Muuttujat!$U$5:$U$21,MATCH($C504,Muuttujat!$N$5:$N$21,0),1)</f>
        <v>0</v>
      </c>
      <c r="AH504" s="332">
        <f>J504*INDEX(Muuttujat!$T$5:$T$21,MATCH($C504,Muuttujat!$N$5:$N$21,0),1)</f>
        <v>0</v>
      </c>
      <c r="AI504" s="332">
        <f t="shared" si="160"/>
        <v>0</v>
      </c>
      <c r="AJ504" s="332">
        <f t="shared" si="161"/>
        <v>0</v>
      </c>
      <c r="AK504" s="332">
        <f t="shared" si="170"/>
        <v>0</v>
      </c>
      <c r="AL504" s="332">
        <f t="shared" si="162"/>
        <v>0</v>
      </c>
    </row>
    <row r="505" spans="1:38">
      <c r="A505" s="139">
        <v>23</v>
      </c>
      <c r="B505" s="139">
        <f>IFERROR(INDEX(Työkonekanta!$F$3:$F$27,MATCH('S0b Baseline kasvu'!$A505,Työkonekanta!$A$3:$A$24,0),1),0)</f>
        <v>0</v>
      </c>
      <c r="C505" s="140">
        <v>2035</v>
      </c>
      <c r="D505" s="141" t="str">
        <f>IFERROR(INDEX(Työkonekanta!$D$3:$D$27,MATCH('S0b Baseline kasvu'!$A505,Työkonekanta!$A$3:$A$24,0),1),"undefined")</f>
        <v>undefined</v>
      </c>
      <c r="E505" s="145">
        <f>IFERROR(INDEX(Työkonekanta!$G$3:$G$27,MATCH($A505,Työkonekanta!$A$3:$A$24,0),1)*INDEX(Työkonekanta!$H$3:$H$27,MATCH($A505,Työkonekanta!$A$3:$A$24,0),1)*(1+s0b_kasvu*($C505-2019))*$B505,0)</f>
        <v>0</v>
      </c>
      <c r="F505" s="145">
        <f t="shared" si="154"/>
        <v>0</v>
      </c>
      <c r="G505" s="145">
        <f t="shared" si="163"/>
        <v>0</v>
      </c>
      <c r="H505" s="145">
        <f t="shared" si="164"/>
        <v>0</v>
      </c>
      <c r="I505" s="145">
        <f t="shared" si="155"/>
        <v>0</v>
      </c>
      <c r="J505" s="145">
        <f t="shared" si="156"/>
        <v>0</v>
      </c>
      <c r="K505" s="142" t="str">
        <f t="shared" si="165"/>
        <v>undefined</v>
      </c>
      <c r="L505" s="146">
        <f>IFERROR(INDEX(Työkonekanta!$I$3:$I$27,MATCH('S0b Baseline kasvu'!$A505,Työkonekanta!$A$3:$A$24,0),1)*(I505+J505)*f_adblue,0)</f>
        <v>0</v>
      </c>
      <c r="M505" s="146">
        <f t="shared" si="171"/>
        <v>0</v>
      </c>
      <c r="N505" s="143" t="str">
        <f>IF(tuulisähkö_vuosi&lt;='S0b Baseline kasvu'!C505,"tuulisähkö",ostosähkö_nyt)</f>
        <v>jäännössähkö</v>
      </c>
      <c r="O505" s="147">
        <f>INDEX(Muuttujat!$J$5:$J$21,MATCH($C505,Muuttujat!$H$5:$H$21,0),1)</f>
        <v>58.961085487844883</v>
      </c>
      <c r="P505" s="342">
        <f>1-(INDEX(Muuttujat!$O$5:$O$21,MATCH($C505,Muuttujat!$N$5:$N$21,0),1))</f>
        <v>0.9</v>
      </c>
      <c r="Q505" s="342">
        <f>INDEX(Muuttujat!$O$5:$O$21,MATCH($C505,Muuttujat!$N$5:$N$21,0),1)</f>
        <v>0.1</v>
      </c>
      <c r="R505" s="148">
        <f>INDEX(Muuttujat!$P$5:$P$21,MATCH($C505,Muuttujat!$N$5:$N$21,0),1)</f>
        <v>0.10417875759940039</v>
      </c>
      <c r="S505" s="149">
        <f t="shared" si="157"/>
        <v>0</v>
      </c>
      <c r="T505" s="150">
        <f t="shared" si="158"/>
        <v>0</v>
      </c>
      <c r="U505" s="150">
        <f t="shared" si="159"/>
        <v>0</v>
      </c>
      <c r="V505" s="150">
        <f>IFERROR(INDEX(Työkonekanta!$J$3:$J$27,MATCH($A505,Työkonekanta!$A$3:$A$24,0),1)*$B505*ef_li_ion_akku/1000/1000/INDEX(Työkonekanta!$K$3:$K$27,MATCH($A505,Työkonekanta!$A$3:$A$24,0)),0)</f>
        <v>0</v>
      </c>
      <c r="W505" s="149">
        <f t="shared" si="172"/>
        <v>0</v>
      </c>
      <c r="X505" s="150">
        <f t="shared" si="173"/>
        <v>0</v>
      </c>
      <c r="Y505" s="151">
        <f t="shared" si="174"/>
        <v>0</v>
      </c>
      <c r="Z505" s="152">
        <f t="shared" si="166"/>
        <v>0</v>
      </c>
      <c r="AA505" s="179">
        <f t="shared" si="167"/>
        <v>0</v>
      </c>
      <c r="AB505" s="179">
        <f t="shared" si="168"/>
        <v>0</v>
      </c>
      <c r="AC505" s="180">
        <f t="shared" si="175"/>
        <v>0</v>
      </c>
      <c r="AD505" s="156">
        <f t="shared" si="169"/>
        <v>0</v>
      </c>
      <c r="AE505" s="146">
        <f>IFERROR(INDEX(Työkonekanta!$L$3:$L$30,MATCH($A505,Työkonekanta!$A$3:$A$30,0),1),0)*AF505</f>
        <v>0</v>
      </c>
      <c r="AF505" s="146">
        <f>IFERROR(INDEX(Työkonekanta!$N$3:$N$32,MATCH($A505,Työkonekanta!$A$3:$A$32,0),1),0)</f>
        <v>0</v>
      </c>
      <c r="AG505" s="332">
        <f>I505*INDEX(Muuttujat!$U$5:$U$21,MATCH($C505,Muuttujat!$N$5:$N$21,0),1)</f>
        <v>0</v>
      </c>
      <c r="AH505" s="332">
        <f>J505*INDEX(Muuttujat!$T$5:$T$21,MATCH($C505,Muuttujat!$N$5:$N$21,0),1)</f>
        <v>0</v>
      </c>
      <c r="AI505" s="332">
        <f t="shared" si="160"/>
        <v>0</v>
      </c>
      <c r="AJ505" s="332">
        <f t="shared" si="161"/>
        <v>0</v>
      </c>
      <c r="AK505" s="332">
        <f t="shared" si="170"/>
        <v>0</v>
      </c>
      <c r="AL505" s="332">
        <f t="shared" si="162"/>
        <v>0</v>
      </c>
    </row>
    <row r="506" spans="1:38">
      <c r="A506" s="139">
        <v>24</v>
      </c>
      <c r="B506" s="139">
        <f>IFERROR(INDEX(Työkonekanta!$F$3:$F$27,MATCH('S0b Baseline kasvu'!$A506,Työkonekanta!$A$3:$A$24,0),1),0)</f>
        <v>0</v>
      </c>
      <c r="C506" s="140">
        <v>2035</v>
      </c>
      <c r="D506" s="141" t="str">
        <f>IFERROR(INDEX(Työkonekanta!$D$3:$D$27,MATCH('S0b Baseline kasvu'!$A506,Työkonekanta!$A$3:$A$24,0),1),"undefined")</f>
        <v>undefined</v>
      </c>
      <c r="E506" s="145">
        <f>IFERROR(INDEX(Työkonekanta!$G$3:$G$27,MATCH($A506,Työkonekanta!$A$3:$A$24,0),1)*INDEX(Työkonekanta!$H$3:$H$27,MATCH($A506,Työkonekanta!$A$3:$A$24,0),1)*(1+s0b_kasvu*($C506-2019))*$B506,0)</f>
        <v>0</v>
      </c>
      <c r="F506" s="145">
        <f t="shared" si="154"/>
        <v>0</v>
      </c>
      <c r="G506" s="145">
        <f t="shared" si="163"/>
        <v>0</v>
      </c>
      <c r="H506" s="145">
        <f t="shared" si="164"/>
        <v>0</v>
      </c>
      <c r="I506" s="145">
        <f t="shared" si="155"/>
        <v>0</v>
      </c>
      <c r="J506" s="145">
        <f t="shared" si="156"/>
        <v>0</v>
      </c>
      <c r="K506" s="142" t="str">
        <f t="shared" si="165"/>
        <v>undefined</v>
      </c>
      <c r="L506" s="146">
        <f>IFERROR(INDEX(Työkonekanta!$I$3:$I$27,MATCH('S0b Baseline kasvu'!$A506,Työkonekanta!$A$3:$A$24,0),1)*(I506+J506)*f_adblue,0)</f>
        <v>0</v>
      </c>
      <c r="M506" s="146">
        <f t="shared" si="171"/>
        <v>0</v>
      </c>
      <c r="N506" s="143" t="str">
        <f>IF(tuulisähkö_vuosi&lt;='S0b Baseline kasvu'!C506,"tuulisähkö",ostosähkö_nyt)</f>
        <v>jäännössähkö</v>
      </c>
      <c r="O506" s="147">
        <f>INDEX(Muuttujat!$J$5:$J$21,MATCH($C506,Muuttujat!$H$5:$H$21,0),1)</f>
        <v>58.961085487844883</v>
      </c>
      <c r="P506" s="342">
        <f>1-(INDEX(Muuttujat!$O$5:$O$21,MATCH($C506,Muuttujat!$N$5:$N$21,0),1))</f>
        <v>0.9</v>
      </c>
      <c r="Q506" s="342">
        <f>INDEX(Muuttujat!$O$5:$O$21,MATCH($C506,Muuttujat!$N$5:$N$21,0),1)</f>
        <v>0.1</v>
      </c>
      <c r="R506" s="148">
        <f>INDEX(Muuttujat!$P$5:$P$21,MATCH($C506,Muuttujat!$N$5:$N$21,0),1)</f>
        <v>0.10417875759940039</v>
      </c>
      <c r="S506" s="149">
        <f t="shared" si="157"/>
        <v>0</v>
      </c>
      <c r="T506" s="150">
        <f t="shared" si="158"/>
        <v>0</v>
      </c>
      <c r="U506" s="150">
        <f t="shared" si="159"/>
        <v>0</v>
      </c>
      <c r="V506" s="150">
        <f>IFERROR(INDEX(Työkonekanta!$J$3:$J$27,MATCH($A506,Työkonekanta!$A$3:$A$24,0),1)*$B506*ef_li_ion_akku/1000/1000/INDEX(Työkonekanta!$K$3:$K$27,MATCH($A506,Työkonekanta!$A$3:$A$24,0)),0)</f>
        <v>0</v>
      </c>
      <c r="W506" s="149">
        <f t="shared" si="172"/>
        <v>0</v>
      </c>
      <c r="X506" s="150">
        <f t="shared" si="173"/>
        <v>0</v>
      </c>
      <c r="Y506" s="151">
        <f t="shared" si="174"/>
        <v>0</v>
      </c>
      <c r="Z506" s="152">
        <f t="shared" si="166"/>
        <v>0</v>
      </c>
      <c r="AA506" s="179">
        <f t="shared" si="167"/>
        <v>0</v>
      </c>
      <c r="AB506" s="179">
        <f t="shared" si="168"/>
        <v>0</v>
      </c>
      <c r="AC506" s="180">
        <f t="shared" si="175"/>
        <v>0</v>
      </c>
      <c r="AD506" s="156">
        <f t="shared" si="169"/>
        <v>0</v>
      </c>
      <c r="AE506" s="146">
        <f>IFERROR(INDEX(Työkonekanta!$L$3:$L$30,MATCH($A506,Työkonekanta!$A$3:$A$30,0),1),0)*AF506</f>
        <v>0</v>
      </c>
      <c r="AF506" s="146">
        <f>IFERROR(INDEX(Työkonekanta!$N$3:$N$32,MATCH($A506,Työkonekanta!$A$3:$A$32,0),1),0)</f>
        <v>0</v>
      </c>
      <c r="AG506" s="332">
        <f>I506*INDEX(Muuttujat!$U$5:$U$21,MATCH($C506,Muuttujat!$N$5:$N$21,0),1)</f>
        <v>0</v>
      </c>
      <c r="AH506" s="332">
        <f>J506*INDEX(Muuttujat!$T$5:$T$21,MATCH($C506,Muuttujat!$N$5:$N$21,0),1)</f>
        <v>0</v>
      </c>
      <c r="AI506" s="332">
        <f t="shared" si="160"/>
        <v>0</v>
      </c>
      <c r="AJ506" s="332">
        <f t="shared" si="161"/>
        <v>0</v>
      </c>
      <c r="AK506" s="332">
        <f t="shared" si="170"/>
        <v>0</v>
      </c>
      <c r="AL506" s="332">
        <f t="shared" si="162"/>
        <v>0</v>
      </c>
    </row>
    <row r="507" spans="1:38">
      <c r="A507" s="139">
        <v>25</v>
      </c>
      <c r="B507" s="139">
        <f>IFERROR(INDEX(Työkonekanta!$F$3:$F$27,MATCH('S0b Baseline kasvu'!$A507,Työkonekanta!$A$3:$A$24,0),1),0)</f>
        <v>0</v>
      </c>
      <c r="C507" s="140">
        <v>2035</v>
      </c>
      <c r="D507" s="141" t="str">
        <f>IFERROR(INDEX(Työkonekanta!$D$3:$D$27,MATCH('S0b Baseline kasvu'!$A507,Työkonekanta!$A$3:$A$24,0),1),"undefined")</f>
        <v>undefined</v>
      </c>
      <c r="E507" s="145">
        <f>IFERROR(INDEX(Työkonekanta!$G$3:$G$27,MATCH($A507,Työkonekanta!$A$3:$A$24,0),1)*INDEX(Työkonekanta!$H$3:$H$27,MATCH($A507,Työkonekanta!$A$3:$A$24,0),1)*(1+s0b_kasvu*($C507-2019))*$B507,0)</f>
        <v>0</v>
      </c>
      <c r="F507" s="145">
        <f t="shared" si="154"/>
        <v>0</v>
      </c>
      <c r="G507" s="145">
        <f t="shared" si="163"/>
        <v>0</v>
      </c>
      <c r="H507" s="145">
        <f t="shared" si="164"/>
        <v>0</v>
      </c>
      <c r="I507" s="145">
        <f t="shared" si="155"/>
        <v>0</v>
      </c>
      <c r="J507" s="145">
        <f t="shared" si="156"/>
        <v>0</v>
      </c>
      <c r="K507" s="142" t="str">
        <f t="shared" si="165"/>
        <v>undefined</v>
      </c>
      <c r="L507" s="146">
        <f>IFERROR(INDEX(Työkonekanta!$I$3:$I$27,MATCH('S0b Baseline kasvu'!$A507,Työkonekanta!$A$3:$A$24,0),1)*(I507+J507)*f_adblue,0)</f>
        <v>0</v>
      </c>
      <c r="M507" s="146">
        <f t="shared" si="171"/>
        <v>0</v>
      </c>
      <c r="N507" s="143" t="str">
        <f>IF(tuulisähkö_vuosi&lt;='S0b Baseline kasvu'!C507,"tuulisähkö",ostosähkö_nyt)</f>
        <v>jäännössähkö</v>
      </c>
      <c r="O507" s="147">
        <f>INDEX(Muuttujat!$J$5:$J$21,MATCH($C507,Muuttujat!$H$5:$H$21,0),1)</f>
        <v>58.961085487844883</v>
      </c>
      <c r="P507" s="342">
        <f>1-(INDEX(Muuttujat!$O$5:$O$21,MATCH($C507,Muuttujat!$N$5:$N$21,0),1))</f>
        <v>0.9</v>
      </c>
      <c r="Q507" s="342">
        <f>INDEX(Muuttujat!$O$5:$O$21,MATCH($C507,Muuttujat!$N$5:$N$21,0),1)</f>
        <v>0.1</v>
      </c>
      <c r="R507" s="148">
        <f>INDEX(Muuttujat!$P$5:$P$21,MATCH($C507,Muuttujat!$N$5:$N$21,0),1)</f>
        <v>0.10417875759940039</v>
      </c>
      <c r="S507" s="149">
        <f t="shared" si="157"/>
        <v>0</v>
      </c>
      <c r="T507" s="150">
        <f t="shared" si="158"/>
        <v>0</v>
      </c>
      <c r="U507" s="150">
        <f t="shared" si="159"/>
        <v>0</v>
      </c>
      <c r="V507" s="150">
        <f>IFERROR(INDEX(Työkonekanta!$J$3:$J$27,MATCH($A507,Työkonekanta!$A$3:$A$24,0),1)*$B507*ef_li_ion_akku/1000/1000/INDEX(Työkonekanta!$K$3:$K$27,MATCH($A507,Työkonekanta!$A$3:$A$24,0)),0)</f>
        <v>0</v>
      </c>
      <c r="W507" s="149">
        <f t="shared" si="172"/>
        <v>0</v>
      </c>
      <c r="X507" s="150">
        <f t="shared" si="173"/>
        <v>0</v>
      </c>
      <c r="Y507" s="151">
        <f t="shared" si="174"/>
        <v>0</v>
      </c>
      <c r="Z507" s="152">
        <f t="shared" si="166"/>
        <v>0</v>
      </c>
      <c r="AA507" s="179">
        <f t="shared" si="167"/>
        <v>0</v>
      </c>
      <c r="AB507" s="179">
        <f t="shared" si="168"/>
        <v>0</v>
      </c>
      <c r="AC507" s="180">
        <f t="shared" si="175"/>
        <v>0</v>
      </c>
      <c r="AD507" s="156">
        <f t="shared" si="169"/>
        <v>0</v>
      </c>
      <c r="AE507" s="146">
        <f>IFERROR(INDEX(Työkonekanta!$L$3:$L$30,MATCH($A507,Työkonekanta!$A$3:$A$30,0),1),0)*AF507</f>
        <v>0</v>
      </c>
      <c r="AF507" s="146">
        <f>IFERROR(INDEX(Työkonekanta!$N$3:$N$32,MATCH($A507,Työkonekanta!$A$3:$A$32,0),1),0)</f>
        <v>0</v>
      </c>
      <c r="AG507" s="332">
        <f>I507*INDEX(Muuttujat!$U$5:$U$21,MATCH($C507,Muuttujat!$N$5:$N$21,0),1)</f>
        <v>0</v>
      </c>
      <c r="AH507" s="332">
        <f>J507*INDEX(Muuttujat!$T$5:$T$21,MATCH($C507,Muuttujat!$N$5:$N$21,0),1)</f>
        <v>0</v>
      </c>
      <c r="AI507" s="332">
        <f t="shared" si="160"/>
        <v>0</v>
      </c>
      <c r="AJ507" s="332">
        <f t="shared" si="161"/>
        <v>0</v>
      </c>
      <c r="AK507" s="332">
        <f t="shared" si="170"/>
        <v>0</v>
      </c>
      <c r="AL507" s="332">
        <f t="shared" si="162"/>
        <v>0</v>
      </c>
    </row>
    <row r="508" spans="1:38">
      <c r="A508" s="139">
        <v>26</v>
      </c>
      <c r="B508" s="139">
        <f>IFERROR(INDEX(Työkonekanta!$F$3:$F$27,MATCH('S0b Baseline kasvu'!$A508,Työkonekanta!$A$3:$A$24,0),1),0)</f>
        <v>0</v>
      </c>
      <c r="C508" s="140">
        <v>2035</v>
      </c>
      <c r="D508" s="141" t="str">
        <f>IFERROR(INDEX(Työkonekanta!$D$3:$D$27,MATCH('S0b Baseline kasvu'!$A508,Työkonekanta!$A$3:$A$24,0),1),"undefined")</f>
        <v>undefined</v>
      </c>
      <c r="E508" s="145">
        <f>IFERROR(INDEX(Työkonekanta!$G$3:$G$27,MATCH($A508,Työkonekanta!$A$3:$A$24,0),1)*INDEX(Työkonekanta!$H$3:$H$27,MATCH($A508,Työkonekanta!$A$3:$A$24,0),1)*(1+s0b_kasvu*($C508-2019))*$B508,0)</f>
        <v>0</v>
      </c>
      <c r="F508" s="145">
        <f t="shared" si="154"/>
        <v>0</v>
      </c>
      <c r="G508" s="145">
        <f t="shared" si="163"/>
        <v>0</v>
      </c>
      <c r="H508" s="145">
        <f t="shared" si="164"/>
        <v>0</v>
      </c>
      <c r="I508" s="145">
        <f t="shared" si="155"/>
        <v>0</v>
      </c>
      <c r="J508" s="145">
        <f t="shared" si="156"/>
        <v>0</v>
      </c>
      <c r="K508" s="142" t="str">
        <f t="shared" si="165"/>
        <v>undefined</v>
      </c>
      <c r="L508" s="146">
        <f>IFERROR(INDEX(Työkonekanta!$I$3:$I$27,MATCH('S0b Baseline kasvu'!$A508,Työkonekanta!$A$3:$A$24,0),1)*(I508+J508)*f_adblue,0)</f>
        <v>0</v>
      </c>
      <c r="M508" s="146">
        <f t="shared" si="171"/>
        <v>0</v>
      </c>
      <c r="N508" s="143" t="str">
        <f>IF(tuulisähkö_vuosi&lt;='S0b Baseline kasvu'!C508,"tuulisähkö",ostosähkö_nyt)</f>
        <v>jäännössähkö</v>
      </c>
      <c r="O508" s="147">
        <f>INDEX(Muuttujat!$J$5:$J$21,MATCH($C508,Muuttujat!$H$5:$H$21,0),1)</f>
        <v>58.961085487844883</v>
      </c>
      <c r="P508" s="342">
        <f>1-(INDEX(Muuttujat!$O$5:$O$21,MATCH($C508,Muuttujat!$N$5:$N$21,0),1))</f>
        <v>0.9</v>
      </c>
      <c r="Q508" s="342">
        <f>INDEX(Muuttujat!$O$5:$O$21,MATCH($C508,Muuttujat!$N$5:$N$21,0),1)</f>
        <v>0.1</v>
      </c>
      <c r="R508" s="148">
        <f>INDEX(Muuttujat!$P$5:$P$21,MATCH($C508,Muuttujat!$N$5:$N$21,0),1)</f>
        <v>0.10417875759940039</v>
      </c>
      <c r="S508" s="149">
        <f t="shared" si="157"/>
        <v>0</v>
      </c>
      <c r="T508" s="150">
        <f t="shared" si="158"/>
        <v>0</v>
      </c>
      <c r="U508" s="150">
        <f t="shared" si="159"/>
        <v>0</v>
      </c>
      <c r="V508" s="150">
        <f>IFERROR(INDEX(Työkonekanta!$J$3:$J$27,MATCH($A508,Työkonekanta!$A$3:$A$24,0),1)*$B508*ef_li_ion_akku/1000/1000/INDEX(Työkonekanta!$K$3:$K$27,MATCH($A508,Työkonekanta!$A$3:$A$24,0)),0)</f>
        <v>0</v>
      </c>
      <c r="W508" s="149">
        <f t="shared" si="172"/>
        <v>0</v>
      </c>
      <c r="X508" s="150">
        <f t="shared" si="173"/>
        <v>0</v>
      </c>
      <c r="Y508" s="151">
        <f t="shared" si="174"/>
        <v>0</v>
      </c>
      <c r="Z508" s="152">
        <f t="shared" si="166"/>
        <v>0</v>
      </c>
      <c r="AA508" s="179">
        <f t="shared" si="167"/>
        <v>0</v>
      </c>
      <c r="AB508" s="179">
        <f t="shared" si="168"/>
        <v>0</v>
      </c>
      <c r="AC508" s="180">
        <f t="shared" si="175"/>
        <v>0</v>
      </c>
      <c r="AD508" s="156">
        <f t="shared" si="169"/>
        <v>0</v>
      </c>
      <c r="AE508" s="146">
        <f>IFERROR(INDEX(Työkonekanta!$L$3:$L$30,MATCH($A508,Työkonekanta!$A$3:$A$30,0),1),0)*AF508</f>
        <v>0</v>
      </c>
      <c r="AF508" s="146">
        <f>IFERROR(INDEX(Työkonekanta!$N$3:$N$32,MATCH($A508,Työkonekanta!$A$3:$A$32,0),1),0)</f>
        <v>0</v>
      </c>
      <c r="AG508" s="332">
        <f>I508*INDEX(Muuttujat!$U$5:$U$21,MATCH($C508,Muuttujat!$N$5:$N$21,0),1)</f>
        <v>0</v>
      </c>
      <c r="AH508" s="332">
        <f>J508*INDEX(Muuttujat!$T$5:$T$21,MATCH($C508,Muuttujat!$N$5:$N$21,0),1)</f>
        <v>0</v>
      </c>
      <c r="AI508" s="332">
        <f t="shared" si="160"/>
        <v>0</v>
      </c>
      <c r="AJ508" s="332">
        <f t="shared" si="161"/>
        <v>0</v>
      </c>
      <c r="AK508" s="332">
        <f t="shared" si="170"/>
        <v>0</v>
      </c>
      <c r="AL508" s="332">
        <f t="shared" si="162"/>
        <v>0</v>
      </c>
    </row>
    <row r="509" spans="1:38">
      <c r="A509" s="139">
        <v>27</v>
      </c>
      <c r="B509" s="139">
        <f>IFERROR(INDEX(Työkonekanta!$F$3:$F$27,MATCH('S0b Baseline kasvu'!$A509,Työkonekanta!$A$3:$A$24,0),1),0)</f>
        <v>0</v>
      </c>
      <c r="C509" s="140">
        <v>2035</v>
      </c>
      <c r="D509" s="141" t="str">
        <f>IFERROR(INDEX(Työkonekanta!$D$3:$D$27,MATCH('S0b Baseline kasvu'!$A509,Työkonekanta!$A$3:$A$24,0),1),"undefined")</f>
        <v>undefined</v>
      </c>
      <c r="E509" s="145">
        <f>IFERROR(INDEX(Työkonekanta!$G$3:$G$27,MATCH($A509,Työkonekanta!$A$3:$A$24,0),1)*INDEX(Työkonekanta!$H$3:$H$27,MATCH($A509,Työkonekanta!$A$3:$A$24,0),1)*(1+s0b_kasvu*($C509-2019))*$B509,0)</f>
        <v>0</v>
      </c>
      <c r="F509" s="145">
        <f t="shared" si="154"/>
        <v>0</v>
      </c>
      <c r="G509" s="145">
        <f t="shared" si="163"/>
        <v>0</v>
      </c>
      <c r="H509" s="145">
        <f t="shared" si="164"/>
        <v>0</v>
      </c>
      <c r="I509" s="145">
        <f t="shared" si="155"/>
        <v>0</v>
      </c>
      <c r="J509" s="145">
        <f t="shared" si="156"/>
        <v>0</v>
      </c>
      <c r="K509" s="142" t="str">
        <f t="shared" si="165"/>
        <v>undefined</v>
      </c>
      <c r="L509" s="146">
        <f>IFERROR(INDEX(Työkonekanta!$I$3:$I$27,MATCH('S0b Baseline kasvu'!$A509,Työkonekanta!$A$3:$A$24,0),1)*(I509+J509)*f_adblue,0)</f>
        <v>0</v>
      </c>
      <c r="M509" s="146">
        <f t="shared" si="171"/>
        <v>0</v>
      </c>
      <c r="N509" s="143" t="str">
        <f>IF(tuulisähkö_vuosi&lt;='S0b Baseline kasvu'!C509,"tuulisähkö",ostosähkö_nyt)</f>
        <v>jäännössähkö</v>
      </c>
      <c r="O509" s="147">
        <f>INDEX(Muuttujat!$J$5:$J$21,MATCH($C509,Muuttujat!$H$5:$H$21,0),1)</f>
        <v>58.961085487844883</v>
      </c>
      <c r="P509" s="342">
        <f>1-(INDEX(Muuttujat!$O$5:$O$21,MATCH($C509,Muuttujat!$N$5:$N$21,0),1))</f>
        <v>0.9</v>
      </c>
      <c r="Q509" s="342">
        <f>INDEX(Muuttujat!$O$5:$O$21,MATCH($C509,Muuttujat!$N$5:$N$21,0),1)</f>
        <v>0.1</v>
      </c>
      <c r="R509" s="148">
        <f>INDEX(Muuttujat!$P$5:$P$21,MATCH($C509,Muuttujat!$N$5:$N$21,0),1)</f>
        <v>0.10417875759940039</v>
      </c>
      <c r="S509" s="149">
        <f t="shared" si="157"/>
        <v>0</v>
      </c>
      <c r="T509" s="150">
        <f t="shared" si="158"/>
        <v>0</v>
      </c>
      <c r="U509" s="150">
        <f t="shared" si="159"/>
        <v>0</v>
      </c>
      <c r="V509" s="150">
        <f>IFERROR(INDEX(Työkonekanta!$J$3:$J$27,MATCH($A509,Työkonekanta!$A$3:$A$24,0),1)*$B509*ef_li_ion_akku/1000/1000/INDEX(Työkonekanta!$K$3:$K$27,MATCH($A509,Työkonekanta!$A$3:$A$24,0)),0)</f>
        <v>0</v>
      </c>
      <c r="W509" s="149">
        <f t="shared" si="172"/>
        <v>0</v>
      </c>
      <c r="X509" s="150">
        <f t="shared" si="173"/>
        <v>0</v>
      </c>
      <c r="Y509" s="151">
        <f t="shared" si="174"/>
        <v>0</v>
      </c>
      <c r="Z509" s="152">
        <f t="shared" si="166"/>
        <v>0</v>
      </c>
      <c r="AA509" s="179">
        <f t="shared" si="167"/>
        <v>0</v>
      </c>
      <c r="AB509" s="179">
        <f t="shared" si="168"/>
        <v>0</v>
      </c>
      <c r="AC509" s="180">
        <f t="shared" si="175"/>
        <v>0</v>
      </c>
      <c r="AD509" s="156">
        <f t="shared" si="169"/>
        <v>0</v>
      </c>
      <c r="AE509" s="146">
        <f>IFERROR(INDEX(Työkonekanta!$L$3:$L$30,MATCH($A509,Työkonekanta!$A$3:$A$30,0),1),0)*AF509</f>
        <v>0</v>
      </c>
      <c r="AF509" s="146">
        <f>IFERROR(INDEX(Työkonekanta!$N$3:$N$32,MATCH($A509,Työkonekanta!$A$3:$A$32,0),1),0)</f>
        <v>0</v>
      </c>
      <c r="AG509" s="332">
        <f>I509*INDEX(Muuttujat!$U$5:$U$21,MATCH($C509,Muuttujat!$N$5:$N$21,0),1)</f>
        <v>0</v>
      </c>
      <c r="AH509" s="332">
        <f>J509*INDEX(Muuttujat!$T$5:$T$21,MATCH($C509,Muuttujat!$N$5:$N$21,0),1)</f>
        <v>0</v>
      </c>
      <c r="AI509" s="332">
        <f t="shared" si="160"/>
        <v>0</v>
      </c>
      <c r="AJ509" s="332">
        <f t="shared" si="161"/>
        <v>0</v>
      </c>
      <c r="AK509" s="332">
        <f t="shared" si="170"/>
        <v>0</v>
      </c>
      <c r="AL509" s="332">
        <f t="shared" si="162"/>
        <v>0</v>
      </c>
    </row>
    <row r="510" spans="1:38">
      <c r="A510" s="139">
        <v>28</v>
      </c>
      <c r="B510" s="139">
        <f>IFERROR(INDEX(Työkonekanta!$F$3:$F$27,MATCH('S0b Baseline kasvu'!$A510,Työkonekanta!$A$3:$A$24,0),1),0)</f>
        <v>0</v>
      </c>
      <c r="C510" s="140">
        <v>2035</v>
      </c>
      <c r="D510" s="141" t="str">
        <f>IFERROR(INDEX(Työkonekanta!$D$3:$D$27,MATCH('S0b Baseline kasvu'!$A510,Työkonekanta!$A$3:$A$24,0),1),"undefined")</f>
        <v>undefined</v>
      </c>
      <c r="E510" s="145">
        <f>IFERROR(INDEX(Työkonekanta!$G$3:$G$27,MATCH($A510,Työkonekanta!$A$3:$A$24,0),1)*INDEX(Työkonekanta!$H$3:$H$27,MATCH($A510,Työkonekanta!$A$3:$A$24,0),1)*(1+s0b_kasvu*($C510-2019))*$B510,0)</f>
        <v>0</v>
      </c>
      <c r="F510" s="145">
        <f t="shared" si="154"/>
        <v>0</v>
      </c>
      <c r="G510" s="145">
        <f t="shared" si="163"/>
        <v>0</v>
      </c>
      <c r="H510" s="145">
        <f t="shared" si="164"/>
        <v>0</v>
      </c>
      <c r="I510" s="145">
        <f t="shared" si="155"/>
        <v>0</v>
      </c>
      <c r="J510" s="145">
        <f t="shared" si="156"/>
        <v>0</v>
      </c>
      <c r="K510" s="142" t="str">
        <f t="shared" si="165"/>
        <v>undefined</v>
      </c>
      <c r="L510" s="146">
        <f>IFERROR(INDEX(Työkonekanta!$I$3:$I$27,MATCH('S0b Baseline kasvu'!$A510,Työkonekanta!$A$3:$A$24,0),1)*(I510+J510)*f_adblue,0)</f>
        <v>0</v>
      </c>
      <c r="M510" s="146">
        <f t="shared" si="171"/>
        <v>0</v>
      </c>
      <c r="N510" s="143" t="str">
        <f>IF(tuulisähkö_vuosi&lt;='S0b Baseline kasvu'!C510,"tuulisähkö",ostosähkö_nyt)</f>
        <v>jäännössähkö</v>
      </c>
      <c r="O510" s="147">
        <f>INDEX(Muuttujat!$J$5:$J$21,MATCH($C510,Muuttujat!$H$5:$H$21,0),1)</f>
        <v>58.961085487844883</v>
      </c>
      <c r="P510" s="342">
        <f>1-(INDEX(Muuttujat!$O$5:$O$21,MATCH($C510,Muuttujat!$N$5:$N$21,0),1))</f>
        <v>0.9</v>
      </c>
      <c r="Q510" s="342">
        <f>INDEX(Muuttujat!$O$5:$O$21,MATCH($C510,Muuttujat!$N$5:$N$21,0),1)</f>
        <v>0.1</v>
      </c>
      <c r="R510" s="148">
        <f>INDEX(Muuttujat!$P$5:$P$21,MATCH($C510,Muuttujat!$N$5:$N$21,0),1)</f>
        <v>0.10417875759940039</v>
      </c>
      <c r="S510" s="149">
        <f t="shared" si="157"/>
        <v>0</v>
      </c>
      <c r="T510" s="150">
        <f t="shared" si="158"/>
        <v>0</v>
      </c>
      <c r="U510" s="150">
        <f t="shared" si="159"/>
        <v>0</v>
      </c>
      <c r="V510" s="150">
        <f>IFERROR(INDEX(Työkonekanta!$J$3:$J$27,MATCH($A510,Työkonekanta!$A$3:$A$24,0),1)*$B510*ef_li_ion_akku/1000/1000/INDEX(Työkonekanta!$K$3:$K$27,MATCH($A510,Työkonekanta!$A$3:$A$24,0)),0)</f>
        <v>0</v>
      </c>
      <c r="W510" s="149">
        <f t="shared" si="172"/>
        <v>0</v>
      </c>
      <c r="X510" s="150">
        <f t="shared" si="173"/>
        <v>0</v>
      </c>
      <c r="Y510" s="151">
        <f t="shared" si="174"/>
        <v>0</v>
      </c>
      <c r="Z510" s="152">
        <f t="shared" si="166"/>
        <v>0</v>
      </c>
      <c r="AA510" s="179">
        <f t="shared" si="167"/>
        <v>0</v>
      </c>
      <c r="AB510" s="179">
        <f t="shared" si="168"/>
        <v>0</v>
      </c>
      <c r="AC510" s="180">
        <f t="shared" si="175"/>
        <v>0</v>
      </c>
      <c r="AD510" s="156">
        <f t="shared" si="169"/>
        <v>0</v>
      </c>
      <c r="AE510" s="146">
        <f>IFERROR(INDEX(Työkonekanta!$L$3:$L$30,MATCH($A510,Työkonekanta!$A$3:$A$30,0),1),0)*AF510</f>
        <v>0</v>
      </c>
      <c r="AF510" s="146">
        <f>IFERROR(INDEX(Työkonekanta!$N$3:$N$32,MATCH($A510,Työkonekanta!$A$3:$A$32,0),1),0)</f>
        <v>0</v>
      </c>
      <c r="AG510" s="332">
        <f>I510*INDEX(Muuttujat!$U$5:$U$21,MATCH($C510,Muuttujat!$N$5:$N$21,0),1)</f>
        <v>0</v>
      </c>
      <c r="AH510" s="332">
        <f>J510*INDEX(Muuttujat!$T$5:$T$21,MATCH($C510,Muuttujat!$N$5:$N$21,0),1)</f>
        <v>0</v>
      </c>
      <c r="AI510" s="332">
        <f t="shared" si="160"/>
        <v>0</v>
      </c>
      <c r="AJ510" s="332">
        <f t="shared" si="161"/>
        <v>0</v>
      </c>
      <c r="AK510" s="332">
        <f t="shared" si="170"/>
        <v>0</v>
      </c>
      <c r="AL510" s="332">
        <f t="shared" si="162"/>
        <v>0</v>
      </c>
    </row>
    <row r="511" spans="1:38">
      <c r="A511" s="139">
        <v>29</v>
      </c>
      <c r="B511" s="139">
        <f>IFERROR(INDEX(Työkonekanta!$F$3:$F$27,MATCH('S0b Baseline kasvu'!$A511,Työkonekanta!$A$3:$A$24,0),1),0)</f>
        <v>0</v>
      </c>
      <c r="C511" s="140">
        <v>2035</v>
      </c>
      <c r="D511" s="141" t="str">
        <f>IFERROR(INDEX(Työkonekanta!$D$3:$D$27,MATCH('S0b Baseline kasvu'!$A511,Työkonekanta!$A$3:$A$24,0),1),"undefined")</f>
        <v>undefined</v>
      </c>
      <c r="E511" s="145">
        <f>IFERROR(INDEX(Työkonekanta!$G$3:$G$27,MATCH($A511,Työkonekanta!$A$3:$A$24,0),1)*INDEX(Työkonekanta!$H$3:$H$27,MATCH($A511,Työkonekanta!$A$3:$A$24,0),1)*(1+s0b_kasvu*($C511-2019))*$B511,0)</f>
        <v>0</v>
      </c>
      <c r="F511" s="145">
        <f t="shared" si="154"/>
        <v>0</v>
      </c>
      <c r="G511" s="145">
        <f t="shared" si="163"/>
        <v>0</v>
      </c>
      <c r="H511" s="145">
        <f t="shared" si="164"/>
        <v>0</v>
      </c>
      <c r="I511" s="145">
        <f t="shared" si="155"/>
        <v>0</v>
      </c>
      <c r="J511" s="145">
        <f t="shared" si="156"/>
        <v>0</v>
      </c>
      <c r="K511" s="142" t="str">
        <f t="shared" si="165"/>
        <v>undefined</v>
      </c>
      <c r="L511" s="146">
        <f>IFERROR(INDEX(Työkonekanta!$I$3:$I$27,MATCH('S0b Baseline kasvu'!$A511,Työkonekanta!$A$3:$A$24,0),1)*(I511+J511)*f_adblue,0)</f>
        <v>0</v>
      </c>
      <c r="M511" s="146">
        <f t="shared" si="171"/>
        <v>0</v>
      </c>
      <c r="N511" s="143" t="str">
        <f>IF(tuulisähkö_vuosi&lt;='S0b Baseline kasvu'!C511,"tuulisähkö",ostosähkö_nyt)</f>
        <v>jäännössähkö</v>
      </c>
      <c r="O511" s="147">
        <f>INDEX(Muuttujat!$J$5:$J$21,MATCH($C511,Muuttujat!$H$5:$H$21,0),1)</f>
        <v>58.961085487844883</v>
      </c>
      <c r="P511" s="342">
        <f>1-(INDEX(Muuttujat!$O$5:$O$21,MATCH($C511,Muuttujat!$N$5:$N$21,0),1))</f>
        <v>0.9</v>
      </c>
      <c r="Q511" s="342">
        <f>INDEX(Muuttujat!$O$5:$O$21,MATCH($C511,Muuttujat!$N$5:$N$21,0),1)</f>
        <v>0.1</v>
      </c>
      <c r="R511" s="148">
        <f>INDEX(Muuttujat!$P$5:$P$21,MATCH($C511,Muuttujat!$N$5:$N$21,0),1)</f>
        <v>0.10417875759940039</v>
      </c>
      <c r="S511" s="149">
        <f t="shared" si="157"/>
        <v>0</v>
      </c>
      <c r="T511" s="150">
        <f t="shared" si="158"/>
        <v>0</v>
      </c>
      <c r="U511" s="150">
        <f t="shared" si="159"/>
        <v>0</v>
      </c>
      <c r="V511" s="150">
        <f>IFERROR(INDEX(Työkonekanta!$J$3:$J$27,MATCH($A511,Työkonekanta!$A$3:$A$24,0),1)*$B511*ef_li_ion_akku/1000/1000/INDEX(Työkonekanta!$K$3:$K$27,MATCH($A511,Työkonekanta!$A$3:$A$24,0)),0)</f>
        <v>0</v>
      </c>
      <c r="W511" s="149">
        <f t="shared" si="172"/>
        <v>0</v>
      </c>
      <c r="X511" s="150">
        <f t="shared" si="173"/>
        <v>0</v>
      </c>
      <c r="Y511" s="151">
        <f t="shared" si="174"/>
        <v>0</v>
      </c>
      <c r="Z511" s="152">
        <f t="shared" si="166"/>
        <v>0</v>
      </c>
      <c r="AA511" s="179">
        <f t="shared" si="167"/>
        <v>0</v>
      </c>
      <c r="AB511" s="179">
        <f t="shared" si="168"/>
        <v>0</v>
      </c>
      <c r="AC511" s="180">
        <f t="shared" si="175"/>
        <v>0</v>
      </c>
      <c r="AD511" s="156">
        <f t="shared" si="169"/>
        <v>0</v>
      </c>
      <c r="AE511" s="146">
        <f>IFERROR(INDEX(Työkonekanta!$L$3:$L$30,MATCH($A511,Työkonekanta!$A$3:$A$30,0),1),0)*AF511</f>
        <v>0</v>
      </c>
      <c r="AF511" s="146">
        <f>IFERROR(INDEX(Työkonekanta!$N$3:$N$32,MATCH($A511,Työkonekanta!$A$3:$A$32,0),1),0)</f>
        <v>0</v>
      </c>
      <c r="AG511" s="332">
        <f>I511*INDEX(Muuttujat!$U$5:$U$21,MATCH($C511,Muuttujat!$N$5:$N$21,0),1)</f>
        <v>0</v>
      </c>
      <c r="AH511" s="332">
        <f>J511*INDEX(Muuttujat!$T$5:$T$21,MATCH($C511,Muuttujat!$N$5:$N$21,0),1)</f>
        <v>0</v>
      </c>
      <c r="AI511" s="332">
        <f t="shared" si="160"/>
        <v>0</v>
      </c>
      <c r="AJ511" s="332">
        <f t="shared" si="161"/>
        <v>0</v>
      </c>
      <c r="AK511" s="332">
        <f t="shared" si="170"/>
        <v>0</v>
      </c>
      <c r="AL511" s="332">
        <f t="shared" si="162"/>
        <v>0</v>
      </c>
    </row>
    <row r="512" spans="1:38">
      <c r="A512" s="165">
        <v>30</v>
      </c>
      <c r="B512" s="165">
        <f>IFERROR(INDEX(Työkonekanta!$F$3:$F$27,MATCH('S0b Baseline kasvu'!$A512,Työkonekanta!$A$3:$A$24,0),1),0)</f>
        <v>0</v>
      </c>
      <c r="C512" s="165">
        <v>2035</v>
      </c>
      <c r="D512" s="166" t="str">
        <f>IFERROR(INDEX(Työkonekanta!$D$3:$D$27,MATCH('S0b Baseline kasvu'!$A512,Työkonekanta!$A$3:$A$24,0),1),"undefined")</f>
        <v>undefined</v>
      </c>
      <c r="E512" s="167">
        <f>IFERROR(INDEX(Työkonekanta!$G$3:$G$27,MATCH($A512,Työkonekanta!$A$3:$A$24,0),1)*INDEX(Työkonekanta!$H$3:$H$27,MATCH($A512,Työkonekanta!$A$3:$A$24,0),1)*(1+s0b_kasvu*($C512-2019))*$B512,0)</f>
        <v>0</v>
      </c>
      <c r="F512" s="145">
        <f t="shared" si="154"/>
        <v>0</v>
      </c>
      <c r="G512" s="145">
        <f t="shared" si="163"/>
        <v>0</v>
      </c>
      <c r="H512" s="145">
        <f t="shared" si="164"/>
        <v>0</v>
      </c>
      <c r="I512" s="145">
        <f t="shared" si="155"/>
        <v>0</v>
      </c>
      <c r="J512" s="145">
        <f t="shared" si="156"/>
        <v>0</v>
      </c>
      <c r="K512" s="168" t="str">
        <f t="shared" si="165"/>
        <v>undefined</v>
      </c>
      <c r="L512" s="167">
        <f>IFERROR(INDEX(Työkonekanta!$I$3:$I$27,MATCH('S0b Baseline kasvu'!$A512,Työkonekanta!$A$3:$A$24,0),1)*(I512+J512)*f_adblue,0)</f>
        <v>0</v>
      </c>
      <c r="M512" s="167">
        <f t="shared" si="171"/>
        <v>0</v>
      </c>
      <c r="N512" s="169" t="str">
        <f>IF(tuulisähkö_vuosi&lt;='S0b Baseline kasvu'!C512,"tuulisähkö",ostosähkö_nyt)</f>
        <v>jäännössähkö</v>
      </c>
      <c r="O512" s="170">
        <f>INDEX(Muuttujat!$J$5:$J$21,MATCH($C512,Muuttujat!$H$5:$H$21,0),1)</f>
        <v>58.961085487844883</v>
      </c>
      <c r="P512" s="342">
        <f>1-(INDEX(Muuttujat!$O$5:$O$21,MATCH($C512,Muuttujat!$N$5:$N$21,0),1))</f>
        <v>0.9</v>
      </c>
      <c r="Q512" s="342">
        <f>INDEX(Muuttujat!$O$5:$O$21,MATCH($C512,Muuttujat!$N$5:$N$21,0),1)</f>
        <v>0.1</v>
      </c>
      <c r="R512" s="171">
        <f>INDEX(Muuttujat!$P$5:$P$21,MATCH($C512,Muuttujat!$N$5:$N$21,0),1)</f>
        <v>0.10417875759940039</v>
      </c>
      <c r="S512" s="149">
        <f t="shared" si="157"/>
        <v>0</v>
      </c>
      <c r="T512" s="150">
        <f t="shared" si="158"/>
        <v>0</v>
      </c>
      <c r="U512" s="173">
        <f t="shared" si="159"/>
        <v>0</v>
      </c>
      <c r="V512" s="173">
        <f>IFERROR(INDEX(Työkonekanta!$J$3:$J$27,MATCH($A512,Työkonekanta!$A$3:$A$24,0),1)*$B512*ef_li_ion_akku/1000/1000/INDEX(Työkonekanta!$K$3:$K$27,MATCH($A512,Työkonekanta!$A$3:$A$24,0)),0)</f>
        <v>0</v>
      </c>
      <c r="W512" s="172">
        <f t="shared" si="172"/>
        <v>0</v>
      </c>
      <c r="X512" s="173">
        <f t="shared" si="173"/>
        <v>0</v>
      </c>
      <c r="Y512" s="174">
        <f t="shared" si="174"/>
        <v>0</v>
      </c>
      <c r="Z512" s="175">
        <f t="shared" si="166"/>
        <v>0</v>
      </c>
      <c r="AA512" s="176">
        <f t="shared" si="167"/>
        <v>0</v>
      </c>
      <c r="AB512" s="176">
        <f t="shared" si="168"/>
        <v>0</v>
      </c>
      <c r="AC512" s="177">
        <f t="shared" si="175"/>
        <v>0</v>
      </c>
      <c r="AD512" s="178">
        <f t="shared" si="169"/>
        <v>0</v>
      </c>
      <c r="AE512" s="146">
        <f>IFERROR(INDEX(Työkonekanta!$L$3:$L$30,MATCH($A512,Työkonekanta!$A$3:$A$30,0),1),0)*AF512</f>
        <v>0</v>
      </c>
      <c r="AF512" s="146">
        <f>IFERROR(INDEX(Työkonekanta!$N$3:$N$32,MATCH($A512,Työkonekanta!$A$3:$A$32,0),1),0)</f>
        <v>0</v>
      </c>
      <c r="AG512" s="332">
        <f>I512*INDEX(Muuttujat!$U$5:$U$21,MATCH($C512,Muuttujat!$N$5:$N$21,0),1)</f>
        <v>0</v>
      </c>
      <c r="AH512" s="332">
        <f>J512*INDEX(Muuttujat!$T$5:$T$21,MATCH($C512,Muuttujat!$N$5:$N$21,0),1)</f>
        <v>0</v>
      </c>
      <c r="AI512" s="332">
        <f t="shared" si="160"/>
        <v>0</v>
      </c>
      <c r="AJ512" s="332">
        <f t="shared" si="161"/>
        <v>0</v>
      </c>
      <c r="AK512" s="332">
        <f t="shared" si="170"/>
        <v>0</v>
      </c>
      <c r="AL512" s="332">
        <f t="shared" si="162"/>
        <v>0</v>
      </c>
    </row>
    <row r="513" spans="4:38">
      <c r="D513" s="160"/>
      <c r="F513" s="145">
        <f t="shared" si="154"/>
        <v>0</v>
      </c>
      <c r="G513" s="145" t="e">
        <f t="shared" si="163"/>
        <v>#N/A</v>
      </c>
      <c r="H513" s="145" t="e">
        <f t="shared" si="164"/>
        <v>#N/A</v>
      </c>
      <c r="P513" s="342" t="e">
        <f>1-(INDEX(Muuttujat!$O$5:$O$21,MATCH($C513,Muuttujat!$N$5:$N$21,0),1))</f>
        <v>#N/A</v>
      </c>
      <c r="Q513" s="342" t="e">
        <f>INDEX(Muuttujat!$O$5:$O$21,MATCH($C513,Muuttujat!$N$5:$N$21,0),1)</f>
        <v>#N/A</v>
      </c>
      <c r="R513" s="162"/>
      <c r="S513" s="163"/>
      <c r="T513" s="163"/>
      <c r="U513" s="163"/>
      <c r="V513" s="163"/>
      <c r="W513" s="163"/>
      <c r="X513" s="163"/>
      <c r="Y513" s="160"/>
      <c r="Z513" s="164"/>
      <c r="AA513" s="164"/>
      <c r="AB513" s="164"/>
      <c r="AC513" s="164"/>
      <c r="AD513" s="164"/>
      <c r="AE513" s="348"/>
      <c r="AF513" s="348"/>
      <c r="AG513" s="349"/>
      <c r="AH513" s="349"/>
      <c r="AI513" s="349"/>
      <c r="AJ513" s="349"/>
      <c r="AK513" s="349"/>
      <c r="AL513" s="349"/>
    </row>
    <row r="514" spans="4:38">
      <c r="D514" s="160"/>
      <c r="F514" s="145">
        <f t="shared" si="154"/>
        <v>0</v>
      </c>
      <c r="G514" s="145" t="e">
        <f t="shared" si="163"/>
        <v>#N/A</v>
      </c>
      <c r="H514" s="145" t="e">
        <f t="shared" si="164"/>
        <v>#N/A</v>
      </c>
      <c r="P514" s="342" t="e">
        <f>1-(INDEX(Muuttujat!$O$5:$O$21,MATCH($C514,Muuttujat!$N$5:$N$21,0),1))</f>
        <v>#N/A</v>
      </c>
      <c r="Q514" s="342" t="e">
        <f>INDEX(Muuttujat!$O$5:$O$21,MATCH($C514,Muuttujat!$N$5:$N$21,0),1)</f>
        <v>#N/A</v>
      </c>
      <c r="R514" s="162"/>
      <c r="S514" s="163"/>
      <c r="T514" s="163"/>
      <c r="U514" s="163"/>
      <c r="V514" s="163"/>
      <c r="W514" s="163"/>
      <c r="X514" s="163"/>
      <c r="Y514" s="160"/>
      <c r="Z514" s="164"/>
      <c r="AA514" s="164"/>
      <c r="AB514" s="164"/>
      <c r="AC514" s="164"/>
      <c r="AD514" s="164"/>
      <c r="AE514" s="348"/>
      <c r="AF514" s="348"/>
      <c r="AG514" s="349"/>
      <c r="AH514" s="349"/>
      <c r="AI514" s="349"/>
      <c r="AJ514" s="349"/>
      <c r="AK514" s="349"/>
      <c r="AL514" s="349"/>
    </row>
    <row r="515" spans="4:38">
      <c r="D515" s="160"/>
      <c r="F515" s="145">
        <f t="shared" ref="F515:F578" si="176">IF(D515="pom",$E515*hv_pom,0)</f>
        <v>0</v>
      </c>
      <c r="G515" s="145" t="e">
        <f t="shared" si="163"/>
        <v>#N/A</v>
      </c>
      <c r="H515" s="145" t="e">
        <f t="shared" si="164"/>
        <v>#N/A</v>
      </c>
      <c r="P515" s="342" t="e">
        <f>1-(INDEX(Muuttujat!$O$5:$O$21,MATCH($C515,Muuttujat!$N$5:$N$21,0),1))</f>
        <v>#N/A</v>
      </c>
      <c r="Q515" s="342" t="e">
        <f>INDEX(Muuttujat!$O$5:$O$21,MATCH($C515,Muuttujat!$N$5:$N$21,0),1)</f>
        <v>#N/A</v>
      </c>
      <c r="R515" s="162"/>
      <c r="S515" s="163"/>
      <c r="T515" s="163"/>
      <c r="U515" s="163"/>
      <c r="V515" s="163"/>
      <c r="W515" s="163"/>
      <c r="X515" s="163"/>
      <c r="Y515" s="160"/>
      <c r="Z515" s="164"/>
      <c r="AA515" s="164"/>
      <c r="AB515" s="164"/>
      <c r="AC515" s="164"/>
      <c r="AD515" s="164"/>
      <c r="AE515" s="348"/>
      <c r="AF515" s="348"/>
      <c r="AG515" s="349"/>
      <c r="AH515" s="349"/>
      <c r="AI515" s="349"/>
      <c r="AJ515" s="349"/>
      <c r="AK515" s="349"/>
      <c r="AL515" s="349"/>
    </row>
    <row r="516" spans="4:38">
      <c r="D516" s="160"/>
      <c r="F516" s="145">
        <f t="shared" si="176"/>
        <v>0</v>
      </c>
      <c r="G516" s="145" t="e">
        <f t="shared" ref="G516:G579" si="177">$F516*$P516</f>
        <v>#N/A</v>
      </c>
      <c r="H516" s="145" t="e">
        <f t="shared" ref="H516:H579" si="178">$F516*$Q516</f>
        <v>#N/A</v>
      </c>
      <c r="P516" s="342" t="e">
        <f>1-(INDEX(Muuttujat!$O$5:$O$21,MATCH($C516,Muuttujat!$N$5:$N$21,0),1))</f>
        <v>#N/A</v>
      </c>
      <c r="Q516" s="342" t="e">
        <f>INDEX(Muuttujat!$O$5:$O$21,MATCH($C516,Muuttujat!$N$5:$N$21,0),1)</f>
        <v>#N/A</v>
      </c>
      <c r="R516" s="162"/>
      <c r="S516" s="163"/>
      <c r="T516" s="163"/>
      <c r="U516" s="163"/>
      <c r="V516" s="163"/>
      <c r="W516" s="163"/>
      <c r="X516" s="163"/>
      <c r="Y516" s="160"/>
      <c r="Z516" s="164"/>
      <c r="AA516" s="164"/>
      <c r="AB516" s="164"/>
      <c r="AC516" s="164"/>
      <c r="AD516" s="164"/>
      <c r="AE516" s="348"/>
      <c r="AF516" s="348"/>
      <c r="AG516" s="349"/>
      <c r="AH516" s="349"/>
      <c r="AI516" s="349"/>
      <c r="AJ516" s="349"/>
      <c r="AK516" s="349"/>
      <c r="AL516" s="349"/>
    </row>
    <row r="517" spans="4:38">
      <c r="D517" s="160"/>
      <c r="F517" s="145">
        <f t="shared" si="176"/>
        <v>0</v>
      </c>
      <c r="G517" s="145" t="e">
        <f t="shared" si="177"/>
        <v>#N/A</v>
      </c>
      <c r="H517" s="145" t="e">
        <f t="shared" si="178"/>
        <v>#N/A</v>
      </c>
      <c r="P517" s="342" t="e">
        <f>1-(INDEX(Muuttujat!$O$5:$O$21,MATCH($C517,Muuttujat!$N$5:$N$21,0),1))</f>
        <v>#N/A</v>
      </c>
      <c r="Q517" s="342" t="e">
        <f>INDEX(Muuttujat!$O$5:$O$21,MATCH($C517,Muuttujat!$N$5:$N$21,0),1)</f>
        <v>#N/A</v>
      </c>
      <c r="R517" s="162"/>
      <c r="S517" s="163"/>
      <c r="T517" s="163"/>
      <c r="U517" s="163"/>
      <c r="V517" s="163"/>
      <c r="W517" s="163"/>
      <c r="X517" s="163"/>
      <c r="Y517" s="160"/>
      <c r="Z517" s="164"/>
      <c r="AA517" s="164"/>
      <c r="AB517" s="164"/>
      <c r="AC517" s="164"/>
      <c r="AD517" s="164"/>
      <c r="AE517" s="348"/>
      <c r="AF517" s="348"/>
      <c r="AG517" s="349"/>
      <c r="AH517" s="349"/>
      <c r="AI517" s="349"/>
      <c r="AJ517" s="349"/>
      <c r="AK517" s="349"/>
      <c r="AL517" s="349"/>
    </row>
    <row r="518" spans="4:38">
      <c r="D518" s="160"/>
      <c r="F518" s="145">
        <f t="shared" si="176"/>
        <v>0</v>
      </c>
      <c r="G518" s="145" t="e">
        <f t="shared" si="177"/>
        <v>#N/A</v>
      </c>
      <c r="H518" s="145" t="e">
        <f t="shared" si="178"/>
        <v>#N/A</v>
      </c>
      <c r="P518" s="342" t="e">
        <f>1-(INDEX(Muuttujat!$O$5:$O$21,MATCH($C518,Muuttujat!$N$5:$N$21,0),1))</f>
        <v>#N/A</v>
      </c>
      <c r="Q518" s="342" t="e">
        <f>INDEX(Muuttujat!$O$5:$O$21,MATCH($C518,Muuttujat!$N$5:$N$21,0),1)</f>
        <v>#N/A</v>
      </c>
      <c r="R518" s="162"/>
      <c r="S518" s="163"/>
      <c r="T518" s="163"/>
      <c r="U518" s="163"/>
      <c r="V518" s="163"/>
      <c r="W518" s="163"/>
      <c r="X518" s="163"/>
      <c r="Y518" s="160"/>
      <c r="Z518" s="164"/>
      <c r="AA518" s="164"/>
      <c r="AB518" s="164"/>
      <c r="AC518" s="164"/>
      <c r="AD518" s="164"/>
      <c r="AE518" s="348"/>
      <c r="AF518" s="348"/>
      <c r="AG518" s="349"/>
      <c r="AH518" s="349"/>
      <c r="AI518" s="349"/>
      <c r="AJ518" s="349"/>
      <c r="AK518" s="349"/>
      <c r="AL518" s="349"/>
    </row>
    <row r="519" spans="4:38">
      <c r="D519" s="160"/>
      <c r="F519" s="145">
        <f t="shared" si="176"/>
        <v>0</v>
      </c>
      <c r="G519" s="145" t="e">
        <f t="shared" si="177"/>
        <v>#N/A</v>
      </c>
      <c r="H519" s="145" t="e">
        <f t="shared" si="178"/>
        <v>#N/A</v>
      </c>
      <c r="P519" s="342" t="e">
        <f>1-(INDEX(Muuttujat!$O$5:$O$21,MATCH($C519,Muuttujat!$N$5:$N$21,0),1))</f>
        <v>#N/A</v>
      </c>
      <c r="Q519" s="342" t="e">
        <f>INDEX(Muuttujat!$O$5:$O$21,MATCH($C519,Muuttujat!$N$5:$N$21,0),1)</f>
        <v>#N/A</v>
      </c>
      <c r="R519" s="162"/>
      <c r="S519" s="163"/>
      <c r="T519" s="163"/>
      <c r="U519" s="163"/>
      <c r="V519" s="163"/>
      <c r="W519" s="163"/>
      <c r="X519" s="163"/>
      <c r="Y519" s="160"/>
      <c r="Z519" s="164"/>
      <c r="AA519" s="164"/>
      <c r="AB519" s="164"/>
      <c r="AC519" s="164"/>
      <c r="AD519" s="164"/>
      <c r="AE519" s="348"/>
      <c r="AF519" s="348"/>
      <c r="AG519" s="349"/>
      <c r="AH519" s="349"/>
      <c r="AI519" s="349"/>
      <c r="AJ519" s="349"/>
      <c r="AK519" s="349"/>
      <c r="AL519" s="349"/>
    </row>
    <row r="520" spans="4:38">
      <c r="D520" s="160"/>
      <c r="F520" s="145">
        <f t="shared" si="176"/>
        <v>0</v>
      </c>
      <c r="G520" s="145" t="e">
        <f t="shared" si="177"/>
        <v>#N/A</v>
      </c>
      <c r="H520" s="145" t="e">
        <f t="shared" si="178"/>
        <v>#N/A</v>
      </c>
      <c r="P520" s="342" t="e">
        <f>1-(INDEX(Muuttujat!$O$5:$O$21,MATCH($C520,Muuttujat!$N$5:$N$21,0),1))</f>
        <v>#N/A</v>
      </c>
      <c r="Q520" s="342" t="e">
        <f>INDEX(Muuttujat!$O$5:$O$21,MATCH($C520,Muuttujat!$N$5:$N$21,0),1)</f>
        <v>#N/A</v>
      </c>
      <c r="R520" s="162"/>
      <c r="S520" s="163"/>
      <c r="T520" s="163"/>
      <c r="U520" s="163"/>
      <c r="V520" s="163"/>
      <c r="W520" s="163"/>
      <c r="X520" s="163"/>
      <c r="Y520" s="160"/>
      <c r="Z520" s="164"/>
      <c r="AA520" s="164"/>
      <c r="AB520" s="164"/>
      <c r="AC520" s="164"/>
      <c r="AD520" s="164"/>
      <c r="AE520" s="348"/>
      <c r="AF520" s="348"/>
      <c r="AG520" s="349"/>
      <c r="AH520" s="349"/>
      <c r="AI520" s="349"/>
      <c r="AJ520" s="349"/>
      <c r="AK520" s="349"/>
      <c r="AL520" s="349"/>
    </row>
    <row r="521" spans="4:38">
      <c r="D521" s="160"/>
      <c r="F521" s="145">
        <f t="shared" si="176"/>
        <v>0</v>
      </c>
      <c r="G521" s="145" t="e">
        <f t="shared" si="177"/>
        <v>#N/A</v>
      </c>
      <c r="H521" s="145" t="e">
        <f t="shared" si="178"/>
        <v>#N/A</v>
      </c>
      <c r="P521" s="342" t="e">
        <f>1-(INDEX(Muuttujat!$O$5:$O$21,MATCH($C521,Muuttujat!$N$5:$N$21,0),1))</f>
        <v>#N/A</v>
      </c>
      <c r="Q521" s="342" t="e">
        <f>INDEX(Muuttujat!$O$5:$O$21,MATCH($C521,Muuttujat!$N$5:$N$21,0),1)</f>
        <v>#N/A</v>
      </c>
      <c r="R521" s="162"/>
      <c r="S521" s="163"/>
      <c r="T521" s="163"/>
      <c r="U521" s="163"/>
      <c r="V521" s="163"/>
      <c r="W521" s="163"/>
      <c r="X521" s="163"/>
      <c r="Y521" s="160"/>
      <c r="Z521" s="164"/>
      <c r="AA521" s="164"/>
      <c r="AB521" s="164"/>
      <c r="AC521" s="164"/>
      <c r="AD521" s="164"/>
      <c r="AE521" s="348"/>
      <c r="AF521" s="348"/>
      <c r="AG521" s="349"/>
      <c r="AH521" s="349"/>
      <c r="AI521" s="349"/>
      <c r="AJ521" s="349"/>
      <c r="AK521" s="349"/>
      <c r="AL521" s="349"/>
    </row>
    <row r="522" spans="4:38">
      <c r="D522" s="160"/>
      <c r="F522" s="145">
        <f t="shared" si="176"/>
        <v>0</v>
      </c>
      <c r="G522" s="145" t="e">
        <f t="shared" si="177"/>
        <v>#N/A</v>
      </c>
      <c r="H522" s="145" t="e">
        <f t="shared" si="178"/>
        <v>#N/A</v>
      </c>
      <c r="P522" s="342" t="e">
        <f>1-(INDEX(Muuttujat!$O$5:$O$21,MATCH($C522,Muuttujat!$N$5:$N$21,0),1))</f>
        <v>#N/A</v>
      </c>
      <c r="Q522" s="342" t="e">
        <f>INDEX(Muuttujat!$O$5:$O$21,MATCH($C522,Muuttujat!$N$5:$N$21,0),1)</f>
        <v>#N/A</v>
      </c>
      <c r="R522" s="162"/>
      <c r="S522" s="163"/>
      <c r="T522" s="163"/>
      <c r="U522" s="163"/>
      <c r="V522" s="163"/>
      <c r="W522" s="163"/>
      <c r="X522" s="163"/>
      <c r="Y522" s="160"/>
      <c r="Z522" s="164"/>
      <c r="AA522" s="164"/>
      <c r="AB522" s="164"/>
      <c r="AC522" s="164"/>
      <c r="AD522" s="164"/>
      <c r="AE522" s="348"/>
      <c r="AF522" s="348"/>
      <c r="AG522" s="349"/>
      <c r="AH522" s="349"/>
      <c r="AI522" s="349"/>
      <c r="AJ522" s="349"/>
      <c r="AK522" s="349"/>
      <c r="AL522" s="349"/>
    </row>
    <row r="523" spans="4:38">
      <c r="D523" s="160"/>
      <c r="F523" s="145">
        <f t="shared" si="176"/>
        <v>0</v>
      </c>
      <c r="G523" s="145" t="e">
        <f t="shared" si="177"/>
        <v>#N/A</v>
      </c>
      <c r="H523" s="145" t="e">
        <f t="shared" si="178"/>
        <v>#N/A</v>
      </c>
      <c r="P523" s="342" t="e">
        <f>1-(INDEX(Muuttujat!$O$5:$O$21,MATCH($C523,Muuttujat!$N$5:$N$21,0),1))</f>
        <v>#N/A</v>
      </c>
      <c r="Q523" s="342" t="e">
        <f>INDEX(Muuttujat!$O$5:$O$21,MATCH($C523,Muuttujat!$N$5:$N$21,0),1)</f>
        <v>#N/A</v>
      </c>
      <c r="R523" s="162"/>
      <c r="S523" s="163"/>
      <c r="T523" s="163"/>
      <c r="U523" s="163"/>
      <c r="V523" s="163"/>
      <c r="W523" s="163"/>
      <c r="X523" s="163"/>
      <c r="Y523" s="160"/>
      <c r="Z523" s="164"/>
      <c r="AA523" s="164"/>
      <c r="AB523" s="164"/>
      <c r="AC523" s="164"/>
      <c r="AD523" s="164"/>
      <c r="AE523" s="348"/>
      <c r="AF523" s="348"/>
      <c r="AG523" s="349"/>
      <c r="AH523" s="349"/>
      <c r="AI523" s="349"/>
      <c r="AJ523" s="349"/>
      <c r="AK523" s="349"/>
      <c r="AL523" s="349"/>
    </row>
    <row r="524" spans="4:38">
      <c r="D524" s="160"/>
      <c r="F524" s="145">
        <f t="shared" si="176"/>
        <v>0</v>
      </c>
      <c r="G524" s="145" t="e">
        <f t="shared" si="177"/>
        <v>#N/A</v>
      </c>
      <c r="H524" s="145" t="e">
        <f t="shared" si="178"/>
        <v>#N/A</v>
      </c>
      <c r="P524" s="342" t="e">
        <f>1-(INDEX(Muuttujat!$O$5:$O$21,MATCH($C524,Muuttujat!$N$5:$N$21,0),1))</f>
        <v>#N/A</v>
      </c>
      <c r="Q524" s="342" t="e">
        <f>INDEX(Muuttujat!$O$5:$O$21,MATCH($C524,Muuttujat!$N$5:$N$21,0),1)</f>
        <v>#N/A</v>
      </c>
      <c r="R524" s="162"/>
      <c r="S524" s="163"/>
      <c r="T524" s="163"/>
      <c r="U524" s="163"/>
      <c r="V524" s="163"/>
      <c r="W524" s="163"/>
      <c r="X524" s="163"/>
      <c r="Y524" s="160"/>
      <c r="Z524" s="164"/>
      <c r="AA524" s="164"/>
      <c r="AB524" s="164"/>
      <c r="AC524" s="164"/>
      <c r="AD524" s="164"/>
      <c r="AE524" s="348"/>
      <c r="AF524" s="348"/>
      <c r="AG524" s="349"/>
      <c r="AH524" s="349"/>
      <c r="AI524" s="349"/>
      <c r="AJ524" s="349"/>
      <c r="AK524" s="349"/>
      <c r="AL524" s="349"/>
    </row>
    <row r="525" spans="4:38">
      <c r="D525" s="160"/>
      <c r="F525" s="145">
        <f t="shared" si="176"/>
        <v>0</v>
      </c>
      <c r="G525" s="145" t="e">
        <f t="shared" si="177"/>
        <v>#N/A</v>
      </c>
      <c r="H525" s="145" t="e">
        <f t="shared" si="178"/>
        <v>#N/A</v>
      </c>
      <c r="P525" s="342" t="e">
        <f>1-(INDEX(Muuttujat!$O$5:$O$21,MATCH($C525,Muuttujat!$N$5:$N$21,0),1))</f>
        <v>#N/A</v>
      </c>
      <c r="Q525" s="342" t="e">
        <f>INDEX(Muuttujat!$O$5:$O$21,MATCH($C525,Muuttujat!$N$5:$N$21,0),1)</f>
        <v>#N/A</v>
      </c>
      <c r="R525" s="162"/>
      <c r="S525" s="163"/>
      <c r="T525" s="163"/>
      <c r="U525" s="163"/>
      <c r="V525" s="163"/>
      <c r="W525" s="163"/>
      <c r="X525" s="163"/>
      <c r="Y525" s="160"/>
      <c r="Z525" s="164"/>
      <c r="AA525" s="164"/>
      <c r="AB525" s="164"/>
      <c r="AC525" s="164"/>
      <c r="AD525" s="164"/>
      <c r="AE525" s="348"/>
      <c r="AF525" s="348"/>
      <c r="AG525" s="349"/>
      <c r="AH525" s="349"/>
      <c r="AI525" s="349"/>
      <c r="AJ525" s="349"/>
      <c r="AK525" s="349"/>
      <c r="AL525" s="349"/>
    </row>
    <row r="526" spans="4:38">
      <c r="D526" s="160"/>
      <c r="F526" s="145">
        <f t="shared" si="176"/>
        <v>0</v>
      </c>
      <c r="G526" s="145" t="e">
        <f t="shared" si="177"/>
        <v>#N/A</v>
      </c>
      <c r="H526" s="145" t="e">
        <f t="shared" si="178"/>
        <v>#N/A</v>
      </c>
      <c r="P526" s="342" t="e">
        <f>1-(INDEX(Muuttujat!$O$5:$O$21,MATCH($C526,Muuttujat!$N$5:$N$21,0),1))</f>
        <v>#N/A</v>
      </c>
      <c r="Q526" s="342" t="e">
        <f>INDEX(Muuttujat!$O$5:$O$21,MATCH($C526,Muuttujat!$N$5:$N$21,0),1)</f>
        <v>#N/A</v>
      </c>
      <c r="R526" s="162"/>
      <c r="S526" s="163"/>
      <c r="T526" s="163"/>
      <c r="U526" s="163"/>
      <c r="V526" s="163"/>
      <c r="W526" s="163"/>
      <c r="X526" s="163"/>
      <c r="Y526" s="160"/>
      <c r="Z526" s="164"/>
      <c r="AA526" s="164"/>
      <c r="AB526" s="164"/>
      <c r="AC526" s="164"/>
      <c r="AD526" s="164"/>
      <c r="AE526" s="348"/>
      <c r="AF526" s="348"/>
      <c r="AG526" s="349"/>
      <c r="AH526" s="349"/>
      <c r="AI526" s="349"/>
      <c r="AJ526" s="349"/>
      <c r="AK526" s="349"/>
      <c r="AL526" s="349"/>
    </row>
    <row r="527" spans="4:38">
      <c r="D527" s="160"/>
      <c r="F527" s="145">
        <f t="shared" si="176"/>
        <v>0</v>
      </c>
      <c r="G527" s="145" t="e">
        <f t="shared" si="177"/>
        <v>#N/A</v>
      </c>
      <c r="H527" s="145" t="e">
        <f t="shared" si="178"/>
        <v>#N/A</v>
      </c>
      <c r="P527" s="342" t="e">
        <f>1-(INDEX(Muuttujat!$O$5:$O$21,MATCH($C527,Muuttujat!$N$5:$N$21,0),1))</f>
        <v>#N/A</v>
      </c>
      <c r="Q527" s="342" t="e">
        <f>INDEX(Muuttujat!$O$5:$O$21,MATCH($C527,Muuttujat!$N$5:$N$21,0),1)</f>
        <v>#N/A</v>
      </c>
      <c r="R527" s="162"/>
      <c r="S527" s="163"/>
      <c r="T527" s="163"/>
      <c r="U527" s="163"/>
      <c r="V527" s="163"/>
      <c r="W527" s="163"/>
      <c r="X527" s="163"/>
      <c r="Y527" s="160"/>
      <c r="Z527" s="164"/>
      <c r="AA527" s="164"/>
      <c r="AB527" s="164"/>
      <c r="AC527" s="164"/>
      <c r="AD527" s="164"/>
      <c r="AE527" s="348"/>
      <c r="AF527" s="348"/>
      <c r="AG527" s="349"/>
      <c r="AH527" s="349"/>
      <c r="AI527" s="349"/>
      <c r="AJ527" s="349"/>
      <c r="AK527" s="349"/>
      <c r="AL527" s="349"/>
    </row>
    <row r="528" spans="4:38">
      <c r="D528" s="160"/>
      <c r="F528" s="145">
        <f t="shared" si="176"/>
        <v>0</v>
      </c>
      <c r="G528" s="145" t="e">
        <f t="shared" si="177"/>
        <v>#N/A</v>
      </c>
      <c r="H528" s="145" t="e">
        <f t="shared" si="178"/>
        <v>#N/A</v>
      </c>
      <c r="P528" s="342" t="e">
        <f>1-(INDEX(Muuttujat!$O$5:$O$21,MATCH($C528,Muuttujat!$N$5:$N$21,0),1))</f>
        <v>#N/A</v>
      </c>
      <c r="Q528" s="342" t="e">
        <f>INDEX(Muuttujat!$O$5:$O$21,MATCH($C528,Muuttujat!$N$5:$N$21,0),1)</f>
        <v>#N/A</v>
      </c>
      <c r="R528" s="162"/>
      <c r="S528" s="163"/>
      <c r="T528" s="163"/>
      <c r="U528" s="163"/>
      <c r="V528" s="163"/>
      <c r="W528" s="163"/>
      <c r="X528" s="163"/>
      <c r="Y528" s="160"/>
      <c r="Z528" s="164"/>
      <c r="AA528" s="164"/>
      <c r="AB528" s="164"/>
      <c r="AC528" s="164"/>
      <c r="AD528" s="164"/>
      <c r="AE528" s="348"/>
      <c r="AF528" s="348"/>
      <c r="AG528" s="349"/>
      <c r="AH528" s="349"/>
      <c r="AI528" s="349"/>
      <c r="AJ528" s="349"/>
      <c r="AK528" s="349"/>
      <c r="AL528" s="349"/>
    </row>
    <row r="529" spans="4:38">
      <c r="D529" s="160"/>
      <c r="F529" s="145">
        <f t="shared" si="176"/>
        <v>0</v>
      </c>
      <c r="G529" s="145" t="e">
        <f t="shared" si="177"/>
        <v>#N/A</v>
      </c>
      <c r="H529" s="145" t="e">
        <f t="shared" si="178"/>
        <v>#N/A</v>
      </c>
      <c r="P529" s="342" t="e">
        <f>1-(INDEX(Muuttujat!$O$5:$O$21,MATCH($C529,Muuttujat!$N$5:$N$21,0),1))</f>
        <v>#N/A</v>
      </c>
      <c r="Q529" s="342" t="e">
        <f>INDEX(Muuttujat!$O$5:$O$21,MATCH($C529,Muuttujat!$N$5:$N$21,0),1)</f>
        <v>#N/A</v>
      </c>
      <c r="R529" s="162"/>
      <c r="S529" s="163"/>
      <c r="T529" s="163"/>
      <c r="U529" s="163"/>
      <c r="V529" s="163"/>
      <c r="W529" s="163"/>
      <c r="X529" s="163"/>
      <c r="Y529" s="160"/>
      <c r="Z529" s="164"/>
      <c r="AA529" s="164"/>
      <c r="AB529" s="164"/>
      <c r="AC529" s="164"/>
      <c r="AD529" s="164"/>
      <c r="AE529" s="348"/>
      <c r="AF529" s="348"/>
      <c r="AG529" s="349"/>
      <c r="AH529" s="349"/>
      <c r="AI529" s="349"/>
      <c r="AJ529" s="349"/>
      <c r="AK529" s="349"/>
      <c r="AL529" s="349"/>
    </row>
    <row r="530" spans="4:38">
      <c r="D530" s="160"/>
      <c r="F530" s="145">
        <f t="shared" si="176"/>
        <v>0</v>
      </c>
      <c r="G530" s="145" t="e">
        <f t="shared" si="177"/>
        <v>#N/A</v>
      </c>
      <c r="H530" s="145" t="e">
        <f t="shared" si="178"/>
        <v>#N/A</v>
      </c>
      <c r="P530" s="342" t="e">
        <f>1-(INDEX(Muuttujat!$O$5:$O$21,MATCH($C530,Muuttujat!$N$5:$N$21,0),1))</f>
        <v>#N/A</v>
      </c>
      <c r="Q530" s="342" t="e">
        <f>INDEX(Muuttujat!$O$5:$O$21,MATCH($C530,Muuttujat!$N$5:$N$21,0),1)</f>
        <v>#N/A</v>
      </c>
      <c r="R530" s="162"/>
      <c r="S530" s="163"/>
      <c r="T530" s="163"/>
      <c r="U530" s="163"/>
      <c r="V530" s="163"/>
      <c r="W530" s="163"/>
      <c r="X530" s="163"/>
      <c r="Y530" s="160"/>
      <c r="Z530" s="164"/>
      <c r="AA530" s="164"/>
      <c r="AB530" s="164"/>
      <c r="AC530" s="164"/>
      <c r="AD530" s="164"/>
      <c r="AE530" s="348"/>
      <c r="AF530" s="348"/>
      <c r="AG530" s="349"/>
      <c r="AH530" s="349"/>
      <c r="AI530" s="349"/>
      <c r="AJ530" s="349"/>
      <c r="AK530" s="349"/>
      <c r="AL530" s="349"/>
    </row>
    <row r="531" spans="4:38">
      <c r="D531" s="160"/>
      <c r="F531" s="145">
        <f t="shared" si="176"/>
        <v>0</v>
      </c>
      <c r="G531" s="145" t="e">
        <f t="shared" si="177"/>
        <v>#N/A</v>
      </c>
      <c r="H531" s="145" t="e">
        <f t="shared" si="178"/>
        <v>#N/A</v>
      </c>
      <c r="P531" s="342" t="e">
        <f>1-(INDEX(Muuttujat!$O$5:$O$21,MATCH($C531,Muuttujat!$N$5:$N$21,0),1))</f>
        <v>#N/A</v>
      </c>
      <c r="Q531" s="342" t="e">
        <f>INDEX(Muuttujat!$O$5:$O$21,MATCH($C531,Muuttujat!$N$5:$N$21,0),1)</f>
        <v>#N/A</v>
      </c>
      <c r="R531" s="162"/>
      <c r="S531" s="163"/>
      <c r="T531" s="163"/>
      <c r="U531" s="163"/>
      <c r="V531" s="163"/>
      <c r="W531" s="163"/>
      <c r="X531" s="163"/>
      <c r="Y531" s="160"/>
      <c r="Z531" s="164"/>
      <c r="AA531" s="164"/>
      <c r="AB531" s="164"/>
      <c r="AC531" s="164"/>
      <c r="AD531" s="164"/>
      <c r="AE531" s="348"/>
      <c r="AF531" s="348"/>
      <c r="AG531" s="349"/>
      <c r="AH531" s="349"/>
      <c r="AI531" s="349"/>
      <c r="AJ531" s="349"/>
      <c r="AK531" s="349"/>
      <c r="AL531" s="349"/>
    </row>
    <row r="532" spans="4:38">
      <c r="D532" s="160"/>
      <c r="F532" s="145">
        <f t="shared" si="176"/>
        <v>0</v>
      </c>
      <c r="G532" s="145" t="e">
        <f t="shared" si="177"/>
        <v>#N/A</v>
      </c>
      <c r="H532" s="145" t="e">
        <f t="shared" si="178"/>
        <v>#N/A</v>
      </c>
      <c r="P532" s="342" t="e">
        <f>1-(INDEX(Muuttujat!$O$5:$O$21,MATCH($C532,Muuttujat!$N$5:$N$21,0),1))</f>
        <v>#N/A</v>
      </c>
      <c r="Q532" s="342" t="e">
        <f>INDEX(Muuttujat!$O$5:$O$21,MATCH($C532,Muuttujat!$N$5:$N$21,0),1)</f>
        <v>#N/A</v>
      </c>
      <c r="R532" s="162"/>
      <c r="S532" s="163"/>
      <c r="T532" s="163"/>
      <c r="U532" s="163"/>
      <c r="V532" s="163"/>
      <c r="W532" s="163"/>
      <c r="X532" s="163"/>
      <c r="Y532" s="160"/>
      <c r="Z532" s="164"/>
      <c r="AA532" s="164"/>
      <c r="AB532" s="164"/>
      <c r="AC532" s="164"/>
      <c r="AD532" s="164"/>
      <c r="AE532" s="348"/>
      <c r="AF532" s="348"/>
      <c r="AG532" s="349"/>
      <c r="AH532" s="349"/>
      <c r="AI532" s="349"/>
      <c r="AJ532" s="349"/>
      <c r="AK532" s="349"/>
      <c r="AL532" s="349"/>
    </row>
    <row r="533" spans="4:38">
      <c r="D533" s="160"/>
      <c r="F533" s="145">
        <f t="shared" si="176"/>
        <v>0</v>
      </c>
      <c r="G533" s="145" t="e">
        <f t="shared" si="177"/>
        <v>#N/A</v>
      </c>
      <c r="H533" s="145" t="e">
        <f t="shared" si="178"/>
        <v>#N/A</v>
      </c>
      <c r="P533" s="342" t="e">
        <f>1-(INDEX(Muuttujat!$O$5:$O$21,MATCH($C533,Muuttujat!$N$5:$N$21,0),1))</f>
        <v>#N/A</v>
      </c>
      <c r="Q533" s="342" t="e">
        <f>INDEX(Muuttujat!$O$5:$O$21,MATCH($C533,Muuttujat!$N$5:$N$21,0),1)</f>
        <v>#N/A</v>
      </c>
      <c r="R533" s="162"/>
      <c r="S533" s="163"/>
      <c r="T533" s="163"/>
      <c r="U533" s="163"/>
      <c r="V533" s="163"/>
      <c r="W533" s="163"/>
      <c r="X533" s="163"/>
      <c r="Y533" s="160"/>
      <c r="Z533" s="164"/>
      <c r="AA533" s="164"/>
      <c r="AB533" s="164"/>
      <c r="AC533" s="164"/>
      <c r="AD533" s="164"/>
      <c r="AE533" s="348"/>
      <c r="AF533" s="348"/>
      <c r="AG533" s="349"/>
      <c r="AH533" s="349"/>
      <c r="AI533" s="349"/>
      <c r="AJ533" s="349"/>
      <c r="AK533" s="349"/>
      <c r="AL533" s="349"/>
    </row>
    <row r="534" spans="4:38">
      <c r="D534" s="160"/>
      <c r="F534" s="145">
        <f t="shared" si="176"/>
        <v>0</v>
      </c>
      <c r="G534" s="145" t="e">
        <f t="shared" si="177"/>
        <v>#N/A</v>
      </c>
      <c r="H534" s="145" t="e">
        <f t="shared" si="178"/>
        <v>#N/A</v>
      </c>
      <c r="P534" s="342" t="e">
        <f>1-(INDEX(Muuttujat!$O$5:$O$21,MATCH($C534,Muuttujat!$N$5:$N$21,0),1))</f>
        <v>#N/A</v>
      </c>
      <c r="Q534" s="342" t="e">
        <f>INDEX(Muuttujat!$O$5:$O$21,MATCH($C534,Muuttujat!$N$5:$N$21,0),1)</f>
        <v>#N/A</v>
      </c>
      <c r="R534" s="162"/>
      <c r="S534" s="163"/>
      <c r="T534" s="163"/>
      <c r="U534" s="163"/>
      <c r="V534" s="163"/>
      <c r="W534" s="163"/>
      <c r="X534" s="163"/>
      <c r="Y534" s="160"/>
      <c r="Z534" s="164"/>
      <c r="AA534" s="164"/>
      <c r="AB534" s="164"/>
      <c r="AC534" s="164"/>
      <c r="AD534" s="164"/>
      <c r="AE534" s="348"/>
      <c r="AF534" s="348"/>
      <c r="AG534" s="349"/>
      <c r="AH534" s="349"/>
      <c r="AI534" s="349"/>
      <c r="AJ534" s="349"/>
      <c r="AK534" s="349"/>
      <c r="AL534" s="349"/>
    </row>
    <row r="535" spans="4:38">
      <c r="D535" s="160"/>
      <c r="F535" s="145">
        <f t="shared" si="176"/>
        <v>0</v>
      </c>
      <c r="G535" s="145" t="e">
        <f t="shared" si="177"/>
        <v>#N/A</v>
      </c>
      <c r="H535" s="145" t="e">
        <f t="shared" si="178"/>
        <v>#N/A</v>
      </c>
      <c r="P535" s="342" t="e">
        <f>1-(INDEX(Muuttujat!$O$5:$O$21,MATCH($C535,Muuttujat!$N$5:$N$21,0),1))</f>
        <v>#N/A</v>
      </c>
      <c r="Q535" s="342" t="e">
        <f>INDEX(Muuttujat!$O$5:$O$21,MATCH($C535,Muuttujat!$N$5:$N$21,0),1)</f>
        <v>#N/A</v>
      </c>
      <c r="R535" s="162"/>
      <c r="S535" s="163"/>
      <c r="T535" s="163"/>
      <c r="U535" s="163"/>
      <c r="V535" s="163"/>
      <c r="W535" s="163"/>
      <c r="X535" s="163"/>
      <c r="Y535" s="160"/>
      <c r="Z535" s="164"/>
      <c r="AA535" s="164"/>
      <c r="AB535" s="164"/>
      <c r="AC535" s="164"/>
      <c r="AD535" s="164"/>
      <c r="AE535" s="348"/>
      <c r="AF535" s="348"/>
      <c r="AG535" s="349"/>
      <c r="AH535" s="349"/>
      <c r="AI535" s="349"/>
      <c r="AJ535" s="349"/>
      <c r="AK535" s="349"/>
      <c r="AL535" s="349"/>
    </row>
    <row r="536" spans="4:38">
      <c r="D536" s="160"/>
      <c r="F536" s="145">
        <f t="shared" si="176"/>
        <v>0</v>
      </c>
      <c r="G536" s="145" t="e">
        <f t="shared" si="177"/>
        <v>#N/A</v>
      </c>
      <c r="H536" s="145" t="e">
        <f t="shared" si="178"/>
        <v>#N/A</v>
      </c>
      <c r="P536" s="342" t="e">
        <f>1-(INDEX(Muuttujat!$O$5:$O$21,MATCH($C536,Muuttujat!$N$5:$N$21,0),1))</f>
        <v>#N/A</v>
      </c>
      <c r="Q536" s="342" t="e">
        <f>INDEX(Muuttujat!$O$5:$O$21,MATCH($C536,Muuttujat!$N$5:$N$21,0),1)</f>
        <v>#N/A</v>
      </c>
      <c r="R536" s="162"/>
      <c r="S536" s="163"/>
      <c r="T536" s="163"/>
      <c r="U536" s="163"/>
      <c r="V536" s="163"/>
      <c r="W536" s="163"/>
      <c r="X536" s="163"/>
      <c r="Y536" s="160"/>
      <c r="Z536" s="164"/>
      <c r="AA536" s="164"/>
      <c r="AB536" s="164"/>
      <c r="AC536" s="164"/>
      <c r="AD536" s="164"/>
      <c r="AE536" s="348"/>
      <c r="AF536" s="348"/>
      <c r="AG536" s="349"/>
      <c r="AH536" s="349"/>
      <c r="AI536" s="349"/>
      <c r="AJ536" s="349"/>
      <c r="AK536" s="349"/>
      <c r="AL536" s="349"/>
    </row>
    <row r="537" spans="4:38">
      <c r="D537" s="160"/>
      <c r="F537" s="145">
        <f t="shared" si="176"/>
        <v>0</v>
      </c>
      <c r="G537" s="145" t="e">
        <f t="shared" si="177"/>
        <v>#N/A</v>
      </c>
      <c r="H537" s="145" t="e">
        <f t="shared" si="178"/>
        <v>#N/A</v>
      </c>
      <c r="P537" s="342" t="e">
        <f>1-(INDEX(Muuttujat!$O$5:$O$21,MATCH($C537,Muuttujat!$N$5:$N$21,0),1))</f>
        <v>#N/A</v>
      </c>
      <c r="Q537" s="342" t="e">
        <f>INDEX(Muuttujat!$O$5:$O$21,MATCH($C537,Muuttujat!$N$5:$N$21,0),1)</f>
        <v>#N/A</v>
      </c>
      <c r="R537" s="162"/>
      <c r="S537" s="163"/>
      <c r="T537" s="163"/>
      <c r="U537" s="163"/>
      <c r="V537" s="163"/>
      <c r="W537" s="163"/>
      <c r="X537" s="163"/>
      <c r="Y537" s="160"/>
      <c r="Z537" s="164"/>
      <c r="AA537" s="164"/>
      <c r="AB537" s="164"/>
      <c r="AC537" s="164"/>
      <c r="AD537" s="164"/>
      <c r="AE537" s="348"/>
      <c r="AF537" s="348"/>
      <c r="AG537" s="349"/>
      <c r="AH537" s="349"/>
      <c r="AI537" s="349"/>
      <c r="AJ537" s="349"/>
      <c r="AK537" s="349"/>
      <c r="AL537" s="349"/>
    </row>
    <row r="538" spans="4:38">
      <c r="D538" s="160"/>
      <c r="F538" s="145">
        <f t="shared" si="176"/>
        <v>0</v>
      </c>
      <c r="G538" s="145" t="e">
        <f t="shared" si="177"/>
        <v>#N/A</v>
      </c>
      <c r="H538" s="145" t="e">
        <f t="shared" si="178"/>
        <v>#N/A</v>
      </c>
      <c r="P538" s="342" t="e">
        <f>1-(INDEX(Muuttujat!$O$5:$O$21,MATCH($C538,Muuttujat!$N$5:$N$21,0),1))</f>
        <v>#N/A</v>
      </c>
      <c r="Q538" s="342" t="e">
        <f>INDEX(Muuttujat!$O$5:$O$21,MATCH($C538,Muuttujat!$N$5:$N$21,0),1)</f>
        <v>#N/A</v>
      </c>
      <c r="R538" s="162"/>
      <c r="S538" s="163"/>
      <c r="T538" s="163"/>
      <c r="U538" s="163"/>
      <c r="V538" s="163"/>
      <c r="W538" s="163"/>
      <c r="X538" s="163"/>
      <c r="Y538" s="160"/>
      <c r="Z538" s="164"/>
      <c r="AA538" s="164"/>
      <c r="AB538" s="164"/>
      <c r="AC538" s="164"/>
      <c r="AD538" s="164"/>
      <c r="AE538" s="348"/>
      <c r="AF538" s="348"/>
      <c r="AG538" s="349"/>
      <c r="AH538" s="349"/>
      <c r="AI538" s="349"/>
      <c r="AJ538" s="349"/>
      <c r="AK538" s="349"/>
      <c r="AL538" s="349"/>
    </row>
    <row r="539" spans="4:38">
      <c r="D539" s="160"/>
      <c r="F539" s="145">
        <f t="shared" si="176"/>
        <v>0</v>
      </c>
      <c r="G539" s="145" t="e">
        <f t="shared" si="177"/>
        <v>#N/A</v>
      </c>
      <c r="H539" s="145" t="e">
        <f t="shared" si="178"/>
        <v>#N/A</v>
      </c>
      <c r="P539" s="342" t="e">
        <f>1-(INDEX(Muuttujat!$O$5:$O$21,MATCH($C539,Muuttujat!$N$5:$N$21,0),1))</f>
        <v>#N/A</v>
      </c>
      <c r="Q539" s="342" t="e">
        <f>INDEX(Muuttujat!$O$5:$O$21,MATCH($C539,Muuttujat!$N$5:$N$21,0),1)</f>
        <v>#N/A</v>
      </c>
      <c r="R539" s="162"/>
      <c r="S539" s="163"/>
      <c r="T539" s="163"/>
      <c r="U539" s="163"/>
      <c r="V539" s="163"/>
      <c r="W539" s="163"/>
      <c r="X539" s="163"/>
      <c r="Y539" s="160"/>
      <c r="Z539" s="164"/>
      <c r="AA539" s="164"/>
      <c r="AB539" s="164"/>
      <c r="AC539" s="164"/>
      <c r="AD539" s="164"/>
      <c r="AE539" s="348"/>
      <c r="AF539" s="348"/>
      <c r="AG539" s="349"/>
      <c r="AH539" s="349"/>
      <c r="AI539" s="349"/>
      <c r="AJ539" s="349"/>
      <c r="AK539" s="349"/>
      <c r="AL539" s="349"/>
    </row>
    <row r="540" spans="4:38">
      <c r="D540" s="160"/>
      <c r="F540" s="145">
        <f t="shared" si="176"/>
        <v>0</v>
      </c>
      <c r="G540" s="145" t="e">
        <f t="shared" si="177"/>
        <v>#N/A</v>
      </c>
      <c r="H540" s="145" t="e">
        <f t="shared" si="178"/>
        <v>#N/A</v>
      </c>
      <c r="P540" s="342" t="e">
        <f>1-(INDEX(Muuttujat!$O$5:$O$21,MATCH($C540,Muuttujat!$N$5:$N$21,0),1))</f>
        <v>#N/A</v>
      </c>
      <c r="Q540" s="342" t="e">
        <f>INDEX(Muuttujat!$O$5:$O$21,MATCH($C540,Muuttujat!$N$5:$N$21,0),1)</f>
        <v>#N/A</v>
      </c>
      <c r="R540" s="162"/>
      <c r="S540" s="163"/>
      <c r="T540" s="163"/>
      <c r="U540" s="163"/>
      <c r="V540" s="163"/>
      <c r="W540" s="163"/>
      <c r="X540" s="163"/>
      <c r="Y540" s="160"/>
      <c r="Z540" s="164"/>
      <c r="AA540" s="164"/>
      <c r="AB540" s="164"/>
      <c r="AC540" s="164"/>
      <c r="AD540" s="164"/>
      <c r="AE540" s="348"/>
      <c r="AF540" s="348"/>
      <c r="AG540" s="349"/>
      <c r="AH540" s="349"/>
      <c r="AI540" s="349"/>
      <c r="AJ540" s="349"/>
      <c r="AK540" s="349"/>
      <c r="AL540" s="349"/>
    </row>
    <row r="541" spans="4:38">
      <c r="D541" s="160"/>
      <c r="F541" s="145">
        <f t="shared" si="176"/>
        <v>0</v>
      </c>
      <c r="G541" s="145" t="e">
        <f t="shared" si="177"/>
        <v>#N/A</v>
      </c>
      <c r="H541" s="145" t="e">
        <f t="shared" si="178"/>
        <v>#N/A</v>
      </c>
      <c r="P541" s="342" t="e">
        <f>1-(INDEX(Muuttujat!$O$5:$O$21,MATCH($C541,Muuttujat!$N$5:$N$21,0),1))</f>
        <v>#N/A</v>
      </c>
      <c r="Q541" s="342" t="e">
        <f>INDEX(Muuttujat!$O$5:$O$21,MATCH($C541,Muuttujat!$N$5:$N$21,0),1)</f>
        <v>#N/A</v>
      </c>
      <c r="R541" s="162"/>
      <c r="S541" s="163"/>
      <c r="T541" s="163"/>
      <c r="U541" s="163"/>
      <c r="V541" s="163"/>
      <c r="W541" s="163"/>
      <c r="X541" s="163"/>
      <c r="Y541" s="160"/>
      <c r="Z541" s="164"/>
      <c r="AA541" s="164"/>
      <c r="AB541" s="164"/>
      <c r="AC541" s="164"/>
      <c r="AD541" s="164"/>
      <c r="AE541" s="348"/>
      <c r="AF541" s="348"/>
      <c r="AG541" s="349"/>
      <c r="AH541" s="349"/>
      <c r="AI541" s="349"/>
      <c r="AJ541" s="349"/>
      <c r="AK541" s="349"/>
      <c r="AL541" s="349"/>
    </row>
    <row r="542" spans="4:38">
      <c r="D542" s="160"/>
      <c r="F542" s="145">
        <f t="shared" si="176"/>
        <v>0</v>
      </c>
      <c r="G542" s="145" t="e">
        <f t="shared" si="177"/>
        <v>#N/A</v>
      </c>
      <c r="H542" s="145" t="e">
        <f t="shared" si="178"/>
        <v>#N/A</v>
      </c>
      <c r="P542" s="342" t="e">
        <f>1-(INDEX(Muuttujat!$O$5:$O$21,MATCH($C542,Muuttujat!$N$5:$N$21,0),1))</f>
        <v>#N/A</v>
      </c>
      <c r="Q542" s="342" t="e">
        <f>INDEX(Muuttujat!$O$5:$O$21,MATCH($C542,Muuttujat!$N$5:$N$21,0),1)</f>
        <v>#N/A</v>
      </c>
      <c r="R542" s="162"/>
      <c r="S542" s="163"/>
      <c r="T542" s="163"/>
      <c r="U542" s="163"/>
      <c r="V542" s="163"/>
      <c r="W542" s="163"/>
      <c r="X542" s="163"/>
      <c r="Y542" s="160"/>
      <c r="Z542" s="164"/>
      <c r="AA542" s="164"/>
      <c r="AB542" s="164"/>
      <c r="AC542" s="164"/>
      <c r="AD542" s="164"/>
      <c r="AE542" s="348"/>
      <c r="AF542" s="348"/>
      <c r="AG542" s="349"/>
      <c r="AH542" s="349"/>
      <c r="AI542" s="349"/>
      <c r="AJ542" s="349"/>
      <c r="AK542" s="349"/>
      <c r="AL542" s="349"/>
    </row>
    <row r="543" spans="4:38">
      <c r="D543" s="160"/>
      <c r="F543" s="145">
        <f t="shared" si="176"/>
        <v>0</v>
      </c>
      <c r="G543" s="145" t="e">
        <f t="shared" si="177"/>
        <v>#N/A</v>
      </c>
      <c r="H543" s="145" t="e">
        <f t="shared" si="178"/>
        <v>#N/A</v>
      </c>
      <c r="P543" s="342" t="e">
        <f>1-(INDEX(Muuttujat!$O$5:$O$21,MATCH($C543,Muuttujat!$N$5:$N$21,0),1))</f>
        <v>#N/A</v>
      </c>
      <c r="Q543" s="342" t="e">
        <f>INDEX(Muuttujat!$O$5:$O$21,MATCH($C543,Muuttujat!$N$5:$N$21,0),1)</f>
        <v>#N/A</v>
      </c>
      <c r="R543" s="162"/>
      <c r="S543" s="163"/>
      <c r="T543" s="163"/>
      <c r="U543" s="163"/>
      <c r="V543" s="163"/>
      <c r="W543" s="163"/>
      <c r="X543" s="163"/>
      <c r="Y543" s="160"/>
      <c r="Z543" s="164"/>
      <c r="AA543" s="164"/>
      <c r="AB543" s="164"/>
      <c r="AC543" s="164"/>
      <c r="AD543" s="164"/>
      <c r="AE543" s="348"/>
      <c r="AF543" s="348"/>
      <c r="AG543" s="349"/>
      <c r="AH543" s="349"/>
      <c r="AI543" s="349"/>
      <c r="AJ543" s="349"/>
      <c r="AK543" s="349"/>
      <c r="AL543" s="349"/>
    </row>
    <row r="544" spans="4:38">
      <c r="D544" s="160"/>
      <c r="F544" s="145">
        <f t="shared" si="176"/>
        <v>0</v>
      </c>
      <c r="G544" s="145" t="e">
        <f t="shared" si="177"/>
        <v>#N/A</v>
      </c>
      <c r="H544" s="145" t="e">
        <f t="shared" si="178"/>
        <v>#N/A</v>
      </c>
      <c r="P544" s="342" t="e">
        <f>1-(INDEX(Muuttujat!$O$5:$O$21,MATCH($C544,Muuttujat!$N$5:$N$21,0),1))</f>
        <v>#N/A</v>
      </c>
      <c r="Q544" s="342" t="e">
        <f>INDEX(Muuttujat!$O$5:$O$21,MATCH($C544,Muuttujat!$N$5:$N$21,0),1)</f>
        <v>#N/A</v>
      </c>
      <c r="R544" s="162"/>
      <c r="S544" s="163"/>
      <c r="T544" s="163"/>
      <c r="U544" s="163"/>
      <c r="V544" s="163"/>
      <c r="W544" s="163"/>
      <c r="X544" s="163"/>
      <c r="Y544" s="160"/>
      <c r="Z544" s="164"/>
      <c r="AA544" s="164"/>
      <c r="AB544" s="164"/>
      <c r="AC544" s="164"/>
      <c r="AD544" s="164"/>
      <c r="AE544" s="348"/>
      <c r="AF544" s="348"/>
      <c r="AG544" s="349"/>
      <c r="AH544" s="349"/>
      <c r="AI544" s="349"/>
      <c r="AJ544" s="349"/>
      <c r="AK544" s="349"/>
      <c r="AL544" s="349"/>
    </row>
    <row r="545" spans="4:38">
      <c r="D545" s="160"/>
      <c r="F545" s="145">
        <f t="shared" si="176"/>
        <v>0</v>
      </c>
      <c r="G545" s="145" t="e">
        <f t="shared" si="177"/>
        <v>#N/A</v>
      </c>
      <c r="H545" s="145" t="e">
        <f t="shared" si="178"/>
        <v>#N/A</v>
      </c>
      <c r="P545" s="342" t="e">
        <f>1-(INDEX(Muuttujat!$O$5:$O$21,MATCH($C545,Muuttujat!$N$5:$N$21,0),1))</f>
        <v>#N/A</v>
      </c>
      <c r="Q545" s="342" t="e">
        <f>INDEX(Muuttujat!$O$5:$O$21,MATCH($C545,Muuttujat!$N$5:$N$21,0),1)</f>
        <v>#N/A</v>
      </c>
      <c r="R545" s="162"/>
      <c r="S545" s="163"/>
      <c r="T545" s="163"/>
      <c r="U545" s="163"/>
      <c r="V545" s="163"/>
      <c r="W545" s="163"/>
      <c r="X545" s="163"/>
      <c r="Y545" s="160"/>
      <c r="Z545" s="164"/>
      <c r="AA545" s="164"/>
      <c r="AB545" s="164"/>
      <c r="AC545" s="164"/>
      <c r="AD545" s="164"/>
      <c r="AE545" s="348"/>
      <c r="AF545" s="348"/>
      <c r="AG545" s="349"/>
      <c r="AH545" s="349"/>
      <c r="AI545" s="349"/>
      <c r="AJ545" s="349"/>
      <c r="AK545" s="349"/>
      <c r="AL545" s="349"/>
    </row>
    <row r="546" spans="4:38">
      <c r="D546" s="160"/>
      <c r="F546" s="145">
        <f t="shared" si="176"/>
        <v>0</v>
      </c>
      <c r="G546" s="145" t="e">
        <f t="shared" si="177"/>
        <v>#N/A</v>
      </c>
      <c r="H546" s="145" t="e">
        <f t="shared" si="178"/>
        <v>#N/A</v>
      </c>
      <c r="P546" s="342" t="e">
        <f>1-(INDEX(Muuttujat!$O$5:$O$21,MATCH($C546,Muuttujat!$N$5:$N$21,0),1))</f>
        <v>#N/A</v>
      </c>
      <c r="Q546" s="342" t="e">
        <f>INDEX(Muuttujat!$O$5:$O$21,MATCH($C546,Muuttujat!$N$5:$N$21,0),1)</f>
        <v>#N/A</v>
      </c>
      <c r="R546" s="162"/>
      <c r="S546" s="163"/>
      <c r="T546" s="163"/>
      <c r="U546" s="163"/>
      <c r="V546" s="163"/>
      <c r="W546" s="163"/>
      <c r="X546" s="163"/>
      <c r="Y546" s="160"/>
      <c r="Z546" s="164"/>
      <c r="AA546" s="164"/>
      <c r="AB546" s="164"/>
      <c r="AC546" s="164"/>
      <c r="AD546" s="164"/>
      <c r="AE546" s="348"/>
      <c r="AF546" s="348"/>
      <c r="AG546" s="349"/>
      <c r="AH546" s="349"/>
      <c r="AI546" s="349"/>
      <c r="AJ546" s="349"/>
      <c r="AK546" s="349"/>
      <c r="AL546" s="349"/>
    </row>
    <row r="547" spans="4:38">
      <c r="D547" s="160"/>
      <c r="F547" s="145">
        <f t="shared" si="176"/>
        <v>0</v>
      </c>
      <c r="G547" s="145" t="e">
        <f t="shared" si="177"/>
        <v>#N/A</v>
      </c>
      <c r="H547" s="145" t="e">
        <f t="shared" si="178"/>
        <v>#N/A</v>
      </c>
      <c r="P547" s="342" t="e">
        <f>1-(INDEX(Muuttujat!$O$5:$O$21,MATCH($C547,Muuttujat!$N$5:$N$21,0),1))</f>
        <v>#N/A</v>
      </c>
      <c r="Q547" s="342" t="e">
        <f>INDEX(Muuttujat!$O$5:$O$21,MATCH($C547,Muuttujat!$N$5:$N$21,0),1)</f>
        <v>#N/A</v>
      </c>
      <c r="R547" s="162"/>
      <c r="S547" s="163"/>
      <c r="T547" s="163"/>
      <c r="U547" s="163"/>
      <c r="V547" s="163"/>
      <c r="W547" s="163"/>
      <c r="X547" s="163"/>
      <c r="Y547" s="160"/>
      <c r="Z547" s="164"/>
      <c r="AA547" s="164"/>
      <c r="AB547" s="164"/>
      <c r="AC547" s="164"/>
      <c r="AD547" s="164"/>
      <c r="AE547" s="348"/>
      <c r="AF547" s="348"/>
      <c r="AG547" s="349"/>
      <c r="AH547" s="349"/>
      <c r="AI547" s="349"/>
      <c r="AJ547" s="349"/>
      <c r="AK547" s="349"/>
      <c r="AL547" s="349"/>
    </row>
    <row r="548" spans="4:38">
      <c r="D548" s="160"/>
      <c r="F548" s="145">
        <f t="shared" si="176"/>
        <v>0</v>
      </c>
      <c r="G548" s="145" t="e">
        <f t="shared" si="177"/>
        <v>#N/A</v>
      </c>
      <c r="H548" s="145" t="e">
        <f t="shared" si="178"/>
        <v>#N/A</v>
      </c>
      <c r="P548" s="342" t="e">
        <f>1-(INDEX(Muuttujat!$O$5:$O$21,MATCH($C548,Muuttujat!$N$5:$N$21,0),1))</f>
        <v>#N/A</v>
      </c>
      <c r="Q548" s="342" t="e">
        <f>INDEX(Muuttujat!$O$5:$O$21,MATCH($C548,Muuttujat!$N$5:$N$21,0),1)</f>
        <v>#N/A</v>
      </c>
      <c r="R548" s="162"/>
      <c r="S548" s="163"/>
      <c r="T548" s="163"/>
      <c r="U548" s="163"/>
      <c r="V548" s="163"/>
      <c r="W548" s="163"/>
      <c r="X548" s="163"/>
      <c r="Y548" s="160"/>
      <c r="Z548" s="164"/>
      <c r="AA548" s="164"/>
      <c r="AB548" s="164"/>
      <c r="AC548" s="164"/>
      <c r="AD548" s="164"/>
      <c r="AE548" s="348"/>
      <c r="AF548" s="348"/>
      <c r="AG548" s="349"/>
      <c r="AH548" s="349"/>
      <c r="AI548" s="349"/>
      <c r="AJ548" s="349"/>
      <c r="AK548" s="349"/>
      <c r="AL548" s="349"/>
    </row>
    <row r="549" spans="4:38">
      <c r="D549" s="160"/>
      <c r="F549" s="145">
        <f t="shared" si="176"/>
        <v>0</v>
      </c>
      <c r="G549" s="145" t="e">
        <f t="shared" si="177"/>
        <v>#N/A</v>
      </c>
      <c r="H549" s="145" t="e">
        <f t="shared" si="178"/>
        <v>#N/A</v>
      </c>
      <c r="P549" s="342" t="e">
        <f>1-(INDEX(Muuttujat!$O$5:$O$21,MATCH($C549,Muuttujat!$N$5:$N$21,0),1))</f>
        <v>#N/A</v>
      </c>
      <c r="Q549" s="342" t="e">
        <f>INDEX(Muuttujat!$O$5:$O$21,MATCH($C549,Muuttujat!$N$5:$N$21,0),1)</f>
        <v>#N/A</v>
      </c>
      <c r="R549" s="162"/>
      <c r="S549" s="163"/>
      <c r="T549" s="163"/>
      <c r="U549" s="163"/>
      <c r="V549" s="163"/>
      <c r="W549" s="163"/>
      <c r="X549" s="163"/>
      <c r="Y549" s="160"/>
      <c r="Z549" s="164"/>
      <c r="AA549" s="164"/>
      <c r="AB549" s="164"/>
      <c r="AC549" s="164"/>
      <c r="AD549" s="164"/>
      <c r="AE549" s="348"/>
      <c r="AF549" s="348"/>
      <c r="AG549" s="349"/>
      <c r="AH549" s="349"/>
      <c r="AI549" s="349"/>
      <c r="AJ549" s="349"/>
      <c r="AK549" s="349"/>
      <c r="AL549" s="349"/>
    </row>
    <row r="550" spans="4:38">
      <c r="D550" s="160"/>
      <c r="F550" s="145">
        <f t="shared" si="176"/>
        <v>0</v>
      </c>
      <c r="G550" s="145" t="e">
        <f t="shared" si="177"/>
        <v>#N/A</v>
      </c>
      <c r="H550" s="145" t="e">
        <f t="shared" si="178"/>
        <v>#N/A</v>
      </c>
      <c r="P550" s="342" t="e">
        <f>1-(INDEX(Muuttujat!$O$5:$O$21,MATCH($C550,Muuttujat!$N$5:$N$21,0),1))</f>
        <v>#N/A</v>
      </c>
      <c r="Q550" s="342" t="e">
        <f>INDEX(Muuttujat!$O$5:$O$21,MATCH($C550,Muuttujat!$N$5:$N$21,0),1)</f>
        <v>#N/A</v>
      </c>
      <c r="R550" s="162"/>
      <c r="S550" s="163"/>
      <c r="T550" s="163"/>
      <c r="U550" s="163"/>
      <c r="V550" s="163"/>
      <c r="W550" s="163"/>
      <c r="X550" s="163"/>
      <c r="Y550" s="160"/>
      <c r="Z550" s="164"/>
      <c r="AA550" s="164"/>
      <c r="AB550" s="164"/>
      <c r="AC550" s="164"/>
      <c r="AD550" s="164"/>
      <c r="AE550" s="348"/>
      <c r="AF550" s="348"/>
      <c r="AG550" s="349"/>
      <c r="AH550" s="349"/>
      <c r="AI550" s="349"/>
      <c r="AJ550" s="349"/>
      <c r="AK550" s="349"/>
      <c r="AL550" s="349"/>
    </row>
    <row r="551" spans="4:38">
      <c r="D551" s="160"/>
      <c r="F551" s="145">
        <f t="shared" si="176"/>
        <v>0</v>
      </c>
      <c r="G551" s="145" t="e">
        <f t="shared" si="177"/>
        <v>#N/A</v>
      </c>
      <c r="H551" s="145" t="e">
        <f t="shared" si="178"/>
        <v>#N/A</v>
      </c>
      <c r="P551" s="342" t="e">
        <f>1-(INDEX(Muuttujat!$O$5:$O$21,MATCH($C551,Muuttujat!$N$5:$N$21,0),1))</f>
        <v>#N/A</v>
      </c>
      <c r="Q551" s="342" t="e">
        <f>INDEX(Muuttujat!$O$5:$O$21,MATCH($C551,Muuttujat!$N$5:$N$21,0),1)</f>
        <v>#N/A</v>
      </c>
      <c r="R551" s="162"/>
      <c r="S551" s="163"/>
      <c r="T551" s="163"/>
      <c r="U551" s="163"/>
      <c r="V551" s="163"/>
      <c r="W551" s="163"/>
      <c r="X551" s="163"/>
      <c r="Y551" s="160"/>
      <c r="Z551" s="164"/>
      <c r="AA551" s="164"/>
      <c r="AB551" s="164"/>
      <c r="AC551" s="164"/>
      <c r="AD551" s="164"/>
      <c r="AE551" s="348"/>
      <c r="AF551" s="348"/>
      <c r="AG551" s="349"/>
      <c r="AH551" s="349"/>
      <c r="AI551" s="349"/>
      <c r="AJ551" s="349"/>
      <c r="AK551" s="349"/>
      <c r="AL551" s="349"/>
    </row>
    <row r="552" spans="4:38">
      <c r="D552" s="160"/>
      <c r="F552" s="145">
        <f t="shared" si="176"/>
        <v>0</v>
      </c>
      <c r="G552" s="145" t="e">
        <f t="shared" si="177"/>
        <v>#N/A</v>
      </c>
      <c r="H552" s="145" t="e">
        <f t="shared" si="178"/>
        <v>#N/A</v>
      </c>
      <c r="P552" s="342" t="e">
        <f>1-(INDEX(Muuttujat!$O$5:$O$21,MATCH($C552,Muuttujat!$N$5:$N$21,0),1))</f>
        <v>#N/A</v>
      </c>
      <c r="Q552" s="342" t="e">
        <f>INDEX(Muuttujat!$O$5:$O$21,MATCH($C552,Muuttujat!$N$5:$N$21,0),1)</f>
        <v>#N/A</v>
      </c>
      <c r="R552" s="162"/>
      <c r="S552" s="163"/>
      <c r="T552" s="163"/>
      <c r="U552" s="163"/>
      <c r="V552" s="163"/>
      <c r="W552" s="163"/>
      <c r="X552" s="163"/>
      <c r="Y552" s="160"/>
      <c r="Z552" s="164"/>
      <c r="AA552" s="164"/>
      <c r="AB552" s="164"/>
      <c r="AC552" s="164"/>
      <c r="AD552" s="164"/>
      <c r="AE552" s="348"/>
      <c r="AF552" s="348"/>
      <c r="AG552" s="349"/>
      <c r="AH552" s="349"/>
      <c r="AI552" s="349"/>
      <c r="AJ552" s="349"/>
      <c r="AK552" s="349"/>
      <c r="AL552" s="349"/>
    </row>
    <row r="553" spans="4:38">
      <c r="D553" s="160"/>
      <c r="F553" s="145">
        <f t="shared" si="176"/>
        <v>0</v>
      </c>
      <c r="G553" s="145" t="e">
        <f t="shared" si="177"/>
        <v>#N/A</v>
      </c>
      <c r="H553" s="145" t="e">
        <f t="shared" si="178"/>
        <v>#N/A</v>
      </c>
      <c r="P553" s="342" t="e">
        <f>1-(INDEX(Muuttujat!$O$5:$O$21,MATCH($C553,Muuttujat!$N$5:$N$21,0),1))</f>
        <v>#N/A</v>
      </c>
      <c r="Q553" s="342" t="e">
        <f>INDEX(Muuttujat!$O$5:$O$21,MATCH($C553,Muuttujat!$N$5:$N$21,0),1)</f>
        <v>#N/A</v>
      </c>
      <c r="R553" s="162"/>
      <c r="S553" s="163"/>
      <c r="T553" s="163"/>
      <c r="U553" s="163"/>
      <c r="V553" s="163"/>
      <c r="W553" s="163"/>
      <c r="X553" s="163"/>
      <c r="Y553" s="160"/>
      <c r="Z553" s="164"/>
      <c r="AA553" s="164"/>
      <c r="AB553" s="164"/>
      <c r="AC553" s="164"/>
      <c r="AD553" s="164"/>
      <c r="AE553" s="348"/>
      <c r="AF553" s="348"/>
      <c r="AG553" s="349"/>
      <c r="AH553" s="349"/>
      <c r="AI553" s="349"/>
      <c r="AJ553" s="349"/>
      <c r="AK553" s="349"/>
      <c r="AL553" s="349"/>
    </row>
    <row r="554" spans="4:38">
      <c r="D554" s="160"/>
      <c r="F554" s="145">
        <f t="shared" si="176"/>
        <v>0</v>
      </c>
      <c r="G554" s="145" t="e">
        <f t="shared" si="177"/>
        <v>#N/A</v>
      </c>
      <c r="H554" s="145" t="e">
        <f t="shared" si="178"/>
        <v>#N/A</v>
      </c>
      <c r="P554" s="342" t="e">
        <f>1-(INDEX(Muuttujat!$O$5:$O$21,MATCH($C554,Muuttujat!$N$5:$N$21,0),1))</f>
        <v>#N/A</v>
      </c>
      <c r="Q554" s="342" t="e">
        <f>INDEX(Muuttujat!$O$5:$O$21,MATCH($C554,Muuttujat!$N$5:$N$21,0),1)</f>
        <v>#N/A</v>
      </c>
      <c r="R554" s="162"/>
      <c r="S554" s="163"/>
      <c r="T554" s="163"/>
      <c r="U554" s="163"/>
      <c r="V554" s="163"/>
      <c r="W554" s="163"/>
      <c r="X554" s="163"/>
      <c r="Y554" s="160"/>
      <c r="Z554" s="164"/>
      <c r="AA554" s="164"/>
      <c r="AB554" s="164"/>
      <c r="AC554" s="164"/>
      <c r="AD554" s="164"/>
      <c r="AE554" s="348"/>
      <c r="AF554" s="348"/>
      <c r="AG554" s="349"/>
      <c r="AH554" s="349"/>
      <c r="AI554" s="349"/>
      <c r="AJ554" s="349"/>
      <c r="AK554" s="349"/>
      <c r="AL554" s="349"/>
    </row>
    <row r="555" spans="4:38">
      <c r="D555" s="160"/>
      <c r="F555" s="145">
        <f t="shared" si="176"/>
        <v>0</v>
      </c>
      <c r="G555" s="145" t="e">
        <f t="shared" si="177"/>
        <v>#N/A</v>
      </c>
      <c r="H555" s="145" t="e">
        <f t="shared" si="178"/>
        <v>#N/A</v>
      </c>
      <c r="P555" s="342" t="e">
        <f>1-(INDEX(Muuttujat!$O$5:$O$21,MATCH($C555,Muuttujat!$N$5:$N$21,0),1))</f>
        <v>#N/A</v>
      </c>
      <c r="Q555" s="342" t="e">
        <f>INDEX(Muuttujat!$O$5:$O$21,MATCH($C555,Muuttujat!$N$5:$N$21,0),1)</f>
        <v>#N/A</v>
      </c>
      <c r="R555" s="162"/>
      <c r="S555" s="163"/>
      <c r="T555" s="163"/>
      <c r="U555" s="163"/>
      <c r="V555" s="163"/>
      <c r="W555" s="163"/>
      <c r="X555" s="163"/>
      <c r="Y555" s="160"/>
      <c r="Z555" s="164"/>
      <c r="AA555" s="164"/>
      <c r="AB555" s="164"/>
      <c r="AC555" s="164"/>
      <c r="AD555" s="164"/>
      <c r="AE555" s="348"/>
      <c r="AF555" s="348"/>
      <c r="AG555" s="349"/>
      <c r="AH555" s="349"/>
      <c r="AI555" s="349"/>
      <c r="AJ555" s="349"/>
      <c r="AK555" s="349"/>
      <c r="AL555" s="349"/>
    </row>
    <row r="556" spans="4:38">
      <c r="D556" s="160"/>
      <c r="F556" s="145">
        <f t="shared" si="176"/>
        <v>0</v>
      </c>
      <c r="G556" s="145" t="e">
        <f t="shared" si="177"/>
        <v>#N/A</v>
      </c>
      <c r="H556" s="145" t="e">
        <f t="shared" si="178"/>
        <v>#N/A</v>
      </c>
      <c r="P556" s="342" t="e">
        <f>1-(INDEX(Muuttujat!$O$5:$O$21,MATCH($C556,Muuttujat!$N$5:$N$21,0),1))</f>
        <v>#N/A</v>
      </c>
      <c r="Q556" s="342" t="e">
        <f>INDEX(Muuttujat!$O$5:$O$21,MATCH($C556,Muuttujat!$N$5:$N$21,0),1)</f>
        <v>#N/A</v>
      </c>
      <c r="R556" s="162"/>
      <c r="S556" s="163"/>
      <c r="T556" s="163"/>
      <c r="U556" s="163"/>
      <c r="V556" s="163"/>
      <c r="W556" s="163"/>
      <c r="X556" s="163"/>
      <c r="Y556" s="160"/>
      <c r="Z556" s="164"/>
      <c r="AA556" s="164"/>
      <c r="AB556" s="164"/>
      <c r="AC556" s="164"/>
      <c r="AD556" s="164"/>
      <c r="AE556" s="348"/>
      <c r="AF556" s="348"/>
      <c r="AG556" s="349"/>
      <c r="AH556" s="349"/>
      <c r="AI556" s="349"/>
      <c r="AJ556" s="349"/>
      <c r="AK556" s="349"/>
      <c r="AL556" s="349"/>
    </row>
    <row r="557" spans="4:38">
      <c r="D557" s="160"/>
      <c r="F557" s="145">
        <f t="shared" si="176"/>
        <v>0</v>
      </c>
      <c r="G557" s="145" t="e">
        <f t="shared" si="177"/>
        <v>#N/A</v>
      </c>
      <c r="H557" s="145" t="e">
        <f t="shared" si="178"/>
        <v>#N/A</v>
      </c>
      <c r="P557" s="342" t="e">
        <f>1-(INDEX(Muuttujat!$O$5:$O$21,MATCH($C557,Muuttujat!$N$5:$N$21,0),1))</f>
        <v>#N/A</v>
      </c>
      <c r="Q557" s="342" t="e">
        <f>INDEX(Muuttujat!$O$5:$O$21,MATCH($C557,Muuttujat!$N$5:$N$21,0),1)</f>
        <v>#N/A</v>
      </c>
      <c r="R557" s="162"/>
      <c r="S557" s="163"/>
      <c r="T557" s="163"/>
      <c r="U557" s="163"/>
      <c r="V557" s="163"/>
      <c r="W557" s="163"/>
      <c r="X557" s="163"/>
      <c r="Y557" s="160"/>
      <c r="Z557" s="164"/>
      <c r="AA557" s="164"/>
      <c r="AB557" s="164"/>
      <c r="AC557" s="164"/>
      <c r="AD557" s="164"/>
      <c r="AE557" s="348"/>
      <c r="AF557" s="348"/>
      <c r="AG557" s="349"/>
      <c r="AH557" s="349"/>
      <c r="AI557" s="349"/>
      <c r="AJ557" s="349"/>
      <c r="AK557" s="349"/>
      <c r="AL557" s="349"/>
    </row>
    <row r="558" spans="4:38">
      <c r="D558" s="160"/>
      <c r="F558" s="145">
        <f t="shared" si="176"/>
        <v>0</v>
      </c>
      <c r="G558" s="145" t="e">
        <f t="shared" si="177"/>
        <v>#N/A</v>
      </c>
      <c r="H558" s="145" t="e">
        <f t="shared" si="178"/>
        <v>#N/A</v>
      </c>
      <c r="P558" s="342" t="e">
        <f>1-(INDEX(Muuttujat!$O$5:$O$21,MATCH($C558,Muuttujat!$N$5:$N$21,0),1))</f>
        <v>#N/A</v>
      </c>
      <c r="Q558" s="342" t="e">
        <f>INDEX(Muuttujat!$O$5:$O$21,MATCH($C558,Muuttujat!$N$5:$N$21,0),1)</f>
        <v>#N/A</v>
      </c>
      <c r="R558" s="162"/>
      <c r="S558" s="163"/>
      <c r="T558" s="163"/>
      <c r="U558" s="163"/>
      <c r="V558" s="163"/>
      <c r="W558" s="163"/>
      <c r="X558" s="163"/>
      <c r="Y558" s="160"/>
      <c r="Z558" s="164"/>
      <c r="AA558" s="164"/>
      <c r="AB558" s="164"/>
      <c r="AC558" s="164"/>
      <c r="AD558" s="164"/>
      <c r="AE558" s="348"/>
      <c r="AF558" s="348"/>
      <c r="AG558" s="349"/>
      <c r="AH558" s="349"/>
      <c r="AI558" s="349"/>
      <c r="AJ558" s="349"/>
      <c r="AK558" s="349"/>
      <c r="AL558" s="349"/>
    </row>
    <row r="559" spans="4:38">
      <c r="D559" s="160"/>
      <c r="F559" s="145">
        <f t="shared" si="176"/>
        <v>0</v>
      </c>
      <c r="G559" s="145" t="e">
        <f t="shared" si="177"/>
        <v>#N/A</v>
      </c>
      <c r="H559" s="145" t="e">
        <f t="shared" si="178"/>
        <v>#N/A</v>
      </c>
      <c r="P559" s="342" t="e">
        <f>1-(INDEX(Muuttujat!$O$5:$O$21,MATCH($C559,Muuttujat!$N$5:$N$21,0),1))</f>
        <v>#N/A</v>
      </c>
      <c r="Q559" s="342" t="e">
        <f>INDEX(Muuttujat!$O$5:$O$21,MATCH($C559,Muuttujat!$N$5:$N$21,0),1)</f>
        <v>#N/A</v>
      </c>
      <c r="R559" s="162"/>
      <c r="S559" s="163"/>
      <c r="T559" s="163"/>
      <c r="U559" s="163"/>
      <c r="V559" s="163"/>
      <c r="W559" s="163"/>
      <c r="X559" s="163"/>
      <c r="Y559" s="160"/>
      <c r="Z559" s="164"/>
      <c r="AA559" s="164"/>
      <c r="AB559" s="164"/>
      <c r="AC559" s="164"/>
      <c r="AD559" s="164"/>
      <c r="AE559" s="348"/>
      <c r="AF559" s="348"/>
      <c r="AG559" s="349"/>
      <c r="AH559" s="349"/>
      <c r="AI559" s="349"/>
      <c r="AJ559" s="349"/>
      <c r="AK559" s="349"/>
      <c r="AL559" s="349"/>
    </row>
    <row r="560" spans="4:38">
      <c r="D560" s="160"/>
      <c r="F560" s="145">
        <f t="shared" si="176"/>
        <v>0</v>
      </c>
      <c r="G560" s="145" t="e">
        <f t="shared" si="177"/>
        <v>#N/A</v>
      </c>
      <c r="H560" s="145" t="e">
        <f t="shared" si="178"/>
        <v>#N/A</v>
      </c>
      <c r="P560" s="342" t="e">
        <f>1-(INDEX(Muuttujat!$O$5:$O$21,MATCH($C560,Muuttujat!$N$5:$N$21,0),1))</f>
        <v>#N/A</v>
      </c>
      <c r="Q560" s="342" t="e">
        <f>INDEX(Muuttujat!$O$5:$O$21,MATCH($C560,Muuttujat!$N$5:$N$21,0),1)</f>
        <v>#N/A</v>
      </c>
      <c r="R560" s="162"/>
      <c r="S560" s="163"/>
      <c r="T560" s="163"/>
      <c r="U560" s="163"/>
      <c r="V560" s="163"/>
      <c r="W560" s="163"/>
      <c r="X560" s="163"/>
      <c r="Y560" s="160"/>
      <c r="Z560" s="164"/>
      <c r="AA560" s="164"/>
      <c r="AB560" s="164"/>
      <c r="AC560" s="164"/>
      <c r="AD560" s="164"/>
      <c r="AE560" s="348"/>
      <c r="AF560" s="348"/>
      <c r="AG560" s="349"/>
      <c r="AH560" s="349"/>
      <c r="AI560" s="349"/>
      <c r="AJ560" s="349"/>
      <c r="AK560" s="349"/>
      <c r="AL560" s="349"/>
    </row>
    <row r="561" spans="4:38">
      <c r="D561" s="160"/>
      <c r="F561" s="145">
        <f t="shared" si="176"/>
        <v>0</v>
      </c>
      <c r="G561" s="145" t="e">
        <f t="shared" si="177"/>
        <v>#N/A</v>
      </c>
      <c r="H561" s="145" t="e">
        <f t="shared" si="178"/>
        <v>#N/A</v>
      </c>
      <c r="P561" s="342" t="e">
        <f>1-(INDEX(Muuttujat!$O$5:$O$21,MATCH($C561,Muuttujat!$N$5:$N$21,0),1))</f>
        <v>#N/A</v>
      </c>
      <c r="Q561" s="342" t="e">
        <f>INDEX(Muuttujat!$O$5:$O$21,MATCH($C561,Muuttujat!$N$5:$N$21,0),1)</f>
        <v>#N/A</v>
      </c>
      <c r="R561" s="162"/>
      <c r="S561" s="163"/>
      <c r="T561" s="163"/>
      <c r="U561" s="163"/>
      <c r="V561" s="163"/>
      <c r="W561" s="163"/>
      <c r="X561" s="163"/>
      <c r="Y561" s="160"/>
      <c r="Z561" s="164"/>
      <c r="AA561" s="164"/>
      <c r="AB561" s="164"/>
      <c r="AC561" s="164"/>
      <c r="AD561" s="164"/>
      <c r="AE561" s="348"/>
      <c r="AF561" s="348"/>
      <c r="AG561" s="349"/>
      <c r="AH561" s="349"/>
      <c r="AI561" s="349"/>
      <c r="AJ561" s="349"/>
      <c r="AK561" s="349"/>
      <c r="AL561" s="349"/>
    </row>
    <row r="562" spans="4:38">
      <c r="D562" s="160"/>
      <c r="F562" s="145">
        <f t="shared" si="176"/>
        <v>0</v>
      </c>
      <c r="G562" s="145" t="e">
        <f t="shared" si="177"/>
        <v>#N/A</v>
      </c>
      <c r="H562" s="145" t="e">
        <f t="shared" si="178"/>
        <v>#N/A</v>
      </c>
      <c r="P562" s="342" t="e">
        <f>1-(INDEX(Muuttujat!$O$5:$O$21,MATCH($C562,Muuttujat!$N$5:$N$21,0),1))</f>
        <v>#N/A</v>
      </c>
      <c r="Q562" s="342" t="e">
        <f>INDEX(Muuttujat!$O$5:$O$21,MATCH($C562,Muuttujat!$N$5:$N$21,0),1)</f>
        <v>#N/A</v>
      </c>
      <c r="R562" s="162"/>
      <c r="S562" s="163"/>
      <c r="T562" s="163"/>
      <c r="U562" s="163"/>
      <c r="V562" s="163"/>
      <c r="W562" s="163"/>
      <c r="X562" s="163"/>
      <c r="Y562" s="160"/>
      <c r="Z562" s="164"/>
      <c r="AA562" s="164"/>
      <c r="AB562" s="164"/>
      <c r="AC562" s="164"/>
      <c r="AD562" s="164"/>
      <c r="AE562" s="348"/>
      <c r="AF562" s="348"/>
      <c r="AG562" s="349"/>
      <c r="AH562" s="349"/>
      <c r="AI562" s="349"/>
      <c r="AJ562" s="349"/>
      <c r="AK562" s="349"/>
      <c r="AL562" s="349"/>
    </row>
    <row r="563" spans="4:38">
      <c r="D563" s="160"/>
      <c r="F563" s="145">
        <f t="shared" si="176"/>
        <v>0</v>
      </c>
      <c r="G563" s="145" t="e">
        <f t="shared" si="177"/>
        <v>#N/A</v>
      </c>
      <c r="H563" s="145" t="e">
        <f t="shared" si="178"/>
        <v>#N/A</v>
      </c>
      <c r="P563" s="342" t="e">
        <f>1-(INDEX(Muuttujat!$O$5:$O$21,MATCH($C563,Muuttujat!$N$5:$N$21,0),1))</f>
        <v>#N/A</v>
      </c>
      <c r="Q563" s="342" t="e">
        <f>INDEX(Muuttujat!$O$5:$O$21,MATCH($C563,Muuttujat!$N$5:$N$21,0),1)</f>
        <v>#N/A</v>
      </c>
      <c r="R563" s="162"/>
      <c r="S563" s="163"/>
      <c r="T563" s="163"/>
      <c r="U563" s="163"/>
      <c r="V563" s="163"/>
      <c r="W563" s="163"/>
      <c r="X563" s="163"/>
      <c r="Y563" s="160"/>
      <c r="Z563" s="164"/>
      <c r="AA563" s="164"/>
      <c r="AB563" s="164"/>
      <c r="AC563" s="164"/>
      <c r="AD563" s="164"/>
      <c r="AE563" s="348"/>
      <c r="AF563" s="348"/>
      <c r="AG563" s="349"/>
      <c r="AH563" s="349"/>
      <c r="AI563" s="349"/>
      <c r="AJ563" s="349"/>
      <c r="AK563" s="349"/>
      <c r="AL563" s="349"/>
    </row>
    <row r="564" spans="4:38">
      <c r="D564" s="160"/>
      <c r="F564" s="145">
        <f t="shared" si="176"/>
        <v>0</v>
      </c>
      <c r="G564" s="145" t="e">
        <f t="shared" si="177"/>
        <v>#N/A</v>
      </c>
      <c r="H564" s="145" t="e">
        <f t="shared" si="178"/>
        <v>#N/A</v>
      </c>
      <c r="P564" s="342" t="e">
        <f>1-(INDEX(Muuttujat!$O$5:$O$21,MATCH($C564,Muuttujat!$N$5:$N$21,0),1))</f>
        <v>#N/A</v>
      </c>
      <c r="Q564" s="342" t="e">
        <f>INDEX(Muuttujat!$O$5:$O$21,MATCH($C564,Muuttujat!$N$5:$N$21,0),1)</f>
        <v>#N/A</v>
      </c>
      <c r="R564" s="162"/>
      <c r="S564" s="163"/>
      <c r="T564" s="163"/>
      <c r="U564" s="163"/>
      <c r="V564" s="163"/>
      <c r="W564" s="163"/>
      <c r="X564" s="163"/>
      <c r="Y564" s="160"/>
      <c r="Z564" s="164"/>
      <c r="AA564" s="164"/>
      <c r="AB564" s="164"/>
      <c r="AC564" s="164"/>
      <c r="AD564" s="164"/>
      <c r="AE564" s="348"/>
      <c r="AF564" s="348"/>
      <c r="AG564" s="349"/>
      <c r="AH564" s="349"/>
      <c r="AI564" s="349"/>
      <c r="AJ564" s="349"/>
      <c r="AK564" s="349"/>
      <c r="AL564" s="349"/>
    </row>
    <row r="565" spans="4:38">
      <c r="D565" s="160"/>
      <c r="F565" s="145">
        <f t="shared" si="176"/>
        <v>0</v>
      </c>
      <c r="G565" s="145" t="e">
        <f t="shared" si="177"/>
        <v>#N/A</v>
      </c>
      <c r="H565" s="145" t="e">
        <f t="shared" si="178"/>
        <v>#N/A</v>
      </c>
      <c r="P565" s="342" t="e">
        <f>1-(INDEX(Muuttujat!$O$5:$O$21,MATCH($C565,Muuttujat!$N$5:$N$21,0),1))</f>
        <v>#N/A</v>
      </c>
      <c r="Q565" s="342" t="e">
        <f>INDEX(Muuttujat!$O$5:$O$21,MATCH($C565,Muuttujat!$N$5:$N$21,0),1)</f>
        <v>#N/A</v>
      </c>
      <c r="R565" s="162"/>
      <c r="S565" s="163"/>
      <c r="T565" s="163"/>
      <c r="U565" s="163"/>
      <c r="V565" s="163"/>
      <c r="W565" s="163"/>
      <c r="X565" s="163"/>
      <c r="Y565" s="160"/>
      <c r="Z565" s="164"/>
      <c r="AA565" s="164"/>
      <c r="AB565" s="164"/>
      <c r="AC565" s="164"/>
      <c r="AD565" s="164"/>
      <c r="AE565" s="348"/>
      <c r="AF565" s="348"/>
      <c r="AG565" s="349"/>
      <c r="AH565" s="349"/>
      <c r="AI565" s="349"/>
      <c r="AJ565" s="349"/>
      <c r="AK565" s="349"/>
      <c r="AL565" s="349"/>
    </row>
    <row r="566" spans="4:38">
      <c r="D566" s="160"/>
      <c r="F566" s="145">
        <f t="shared" si="176"/>
        <v>0</v>
      </c>
      <c r="G566" s="145" t="e">
        <f t="shared" si="177"/>
        <v>#N/A</v>
      </c>
      <c r="H566" s="145" t="e">
        <f t="shared" si="178"/>
        <v>#N/A</v>
      </c>
      <c r="P566" s="342" t="e">
        <f>1-(INDEX(Muuttujat!$O$5:$O$21,MATCH($C566,Muuttujat!$N$5:$N$21,0),1))</f>
        <v>#N/A</v>
      </c>
      <c r="Q566" s="342" t="e">
        <f>INDEX(Muuttujat!$O$5:$O$21,MATCH($C566,Muuttujat!$N$5:$N$21,0),1)</f>
        <v>#N/A</v>
      </c>
      <c r="R566" s="162"/>
      <c r="S566" s="163"/>
      <c r="T566" s="163"/>
      <c r="U566" s="163"/>
      <c r="V566" s="163"/>
      <c r="W566" s="163"/>
      <c r="X566" s="163"/>
      <c r="Y566" s="160"/>
      <c r="Z566" s="164"/>
      <c r="AA566" s="164"/>
      <c r="AB566" s="164"/>
      <c r="AC566" s="164"/>
      <c r="AD566" s="164"/>
      <c r="AE566" s="348"/>
      <c r="AF566" s="348"/>
      <c r="AG566" s="349"/>
      <c r="AH566" s="349"/>
      <c r="AI566" s="349"/>
      <c r="AJ566" s="349"/>
      <c r="AK566" s="349"/>
      <c r="AL566" s="349"/>
    </row>
    <row r="567" spans="4:38">
      <c r="D567" s="160"/>
      <c r="F567" s="145">
        <f t="shared" si="176"/>
        <v>0</v>
      </c>
      <c r="G567" s="145" t="e">
        <f t="shared" si="177"/>
        <v>#N/A</v>
      </c>
      <c r="H567" s="145" t="e">
        <f t="shared" si="178"/>
        <v>#N/A</v>
      </c>
      <c r="P567" s="342" t="e">
        <f>1-(INDEX(Muuttujat!$O$5:$O$21,MATCH($C567,Muuttujat!$N$5:$N$21,0),1))</f>
        <v>#N/A</v>
      </c>
      <c r="Q567" s="342" t="e">
        <f>INDEX(Muuttujat!$O$5:$O$21,MATCH($C567,Muuttujat!$N$5:$N$21,0),1)</f>
        <v>#N/A</v>
      </c>
      <c r="R567" s="162"/>
      <c r="S567" s="163"/>
      <c r="T567" s="163"/>
      <c r="U567" s="163"/>
      <c r="V567" s="163"/>
      <c r="W567" s="163"/>
      <c r="X567" s="163"/>
      <c r="Y567" s="160"/>
      <c r="Z567" s="164"/>
      <c r="AA567" s="164"/>
      <c r="AB567" s="164"/>
      <c r="AC567" s="164"/>
      <c r="AD567" s="164"/>
      <c r="AE567" s="348"/>
      <c r="AF567" s="348"/>
      <c r="AG567" s="349"/>
      <c r="AH567" s="349"/>
      <c r="AI567" s="349"/>
      <c r="AJ567" s="349"/>
      <c r="AK567" s="349"/>
      <c r="AL567" s="349"/>
    </row>
    <row r="568" spans="4:38">
      <c r="D568" s="160"/>
      <c r="F568" s="145">
        <f t="shared" si="176"/>
        <v>0</v>
      </c>
      <c r="G568" s="145" t="e">
        <f t="shared" si="177"/>
        <v>#N/A</v>
      </c>
      <c r="H568" s="145" t="e">
        <f t="shared" si="178"/>
        <v>#N/A</v>
      </c>
      <c r="P568" s="342" t="e">
        <f>1-(INDEX(Muuttujat!$O$5:$O$21,MATCH($C568,Muuttujat!$N$5:$N$21,0),1))</f>
        <v>#N/A</v>
      </c>
      <c r="Q568" s="342" t="e">
        <f>INDEX(Muuttujat!$O$5:$O$21,MATCH($C568,Muuttujat!$N$5:$N$21,0),1)</f>
        <v>#N/A</v>
      </c>
      <c r="R568" s="162"/>
      <c r="S568" s="163"/>
      <c r="T568" s="163"/>
      <c r="U568" s="163"/>
      <c r="V568" s="163"/>
      <c r="W568" s="163"/>
      <c r="X568" s="163"/>
      <c r="Y568" s="160"/>
      <c r="Z568" s="164"/>
      <c r="AA568" s="164"/>
      <c r="AB568" s="164"/>
      <c r="AC568" s="164"/>
      <c r="AD568" s="164"/>
      <c r="AE568" s="348"/>
      <c r="AF568" s="348"/>
      <c r="AG568" s="349"/>
      <c r="AH568" s="349"/>
      <c r="AI568" s="349"/>
      <c r="AJ568" s="349"/>
      <c r="AK568" s="349"/>
      <c r="AL568" s="349"/>
    </row>
    <row r="569" spans="4:38">
      <c r="D569" s="160"/>
      <c r="F569" s="145">
        <f t="shared" si="176"/>
        <v>0</v>
      </c>
      <c r="G569" s="145" t="e">
        <f t="shared" si="177"/>
        <v>#N/A</v>
      </c>
      <c r="H569" s="145" t="e">
        <f t="shared" si="178"/>
        <v>#N/A</v>
      </c>
      <c r="P569" s="342" t="e">
        <f>1-(INDEX(Muuttujat!$O$5:$O$21,MATCH($C569,Muuttujat!$N$5:$N$21,0),1))</f>
        <v>#N/A</v>
      </c>
      <c r="Q569" s="342" t="e">
        <f>INDEX(Muuttujat!$O$5:$O$21,MATCH($C569,Muuttujat!$N$5:$N$21,0),1)</f>
        <v>#N/A</v>
      </c>
      <c r="R569" s="162"/>
      <c r="S569" s="163"/>
      <c r="T569" s="163"/>
      <c r="U569" s="163"/>
      <c r="V569" s="163"/>
      <c r="W569" s="163"/>
      <c r="X569" s="163"/>
      <c r="Y569" s="160"/>
      <c r="Z569" s="164"/>
      <c r="AA569" s="164"/>
      <c r="AB569" s="164"/>
      <c r="AC569" s="164"/>
      <c r="AD569" s="164"/>
      <c r="AE569" s="348"/>
      <c r="AF569" s="348"/>
      <c r="AG569" s="349"/>
      <c r="AH569" s="349"/>
      <c r="AI569" s="349"/>
      <c r="AJ569" s="349"/>
      <c r="AK569" s="349"/>
      <c r="AL569" s="349"/>
    </row>
    <row r="570" spans="4:38">
      <c r="D570" s="160"/>
      <c r="F570" s="145">
        <f t="shared" si="176"/>
        <v>0</v>
      </c>
      <c r="G570" s="145" t="e">
        <f t="shared" si="177"/>
        <v>#N/A</v>
      </c>
      <c r="H570" s="145" t="e">
        <f t="shared" si="178"/>
        <v>#N/A</v>
      </c>
      <c r="P570" s="342" t="e">
        <f>1-(INDEX(Muuttujat!$O$5:$O$21,MATCH($C570,Muuttujat!$N$5:$N$21,0),1))</f>
        <v>#N/A</v>
      </c>
      <c r="Q570" s="342" t="e">
        <f>INDEX(Muuttujat!$O$5:$O$21,MATCH($C570,Muuttujat!$N$5:$N$21,0),1)</f>
        <v>#N/A</v>
      </c>
      <c r="R570" s="162"/>
      <c r="S570" s="163"/>
      <c r="T570" s="163"/>
      <c r="U570" s="163"/>
      <c r="V570" s="163"/>
      <c r="W570" s="163"/>
      <c r="X570" s="163"/>
      <c r="Y570" s="160"/>
      <c r="Z570" s="164"/>
      <c r="AA570" s="164"/>
      <c r="AB570" s="164"/>
      <c r="AC570" s="164"/>
      <c r="AD570" s="164"/>
      <c r="AE570" s="348"/>
      <c r="AF570" s="348"/>
      <c r="AG570" s="349"/>
      <c r="AH570" s="349"/>
      <c r="AI570" s="349"/>
      <c r="AJ570" s="349"/>
      <c r="AK570" s="349"/>
      <c r="AL570" s="349"/>
    </row>
    <row r="571" spans="4:38">
      <c r="D571" s="160"/>
      <c r="F571" s="145">
        <f t="shared" si="176"/>
        <v>0</v>
      </c>
      <c r="G571" s="145" t="e">
        <f t="shared" si="177"/>
        <v>#N/A</v>
      </c>
      <c r="H571" s="145" t="e">
        <f t="shared" si="178"/>
        <v>#N/A</v>
      </c>
      <c r="P571" s="342" t="e">
        <f>1-(INDEX(Muuttujat!$O$5:$O$21,MATCH($C571,Muuttujat!$N$5:$N$21,0),1))</f>
        <v>#N/A</v>
      </c>
      <c r="Q571" s="342" t="e">
        <f>INDEX(Muuttujat!$O$5:$O$21,MATCH($C571,Muuttujat!$N$5:$N$21,0),1)</f>
        <v>#N/A</v>
      </c>
      <c r="R571" s="162"/>
      <c r="S571" s="163"/>
      <c r="T571" s="163"/>
      <c r="U571" s="163"/>
      <c r="V571" s="163"/>
      <c r="W571" s="163"/>
      <c r="X571" s="163"/>
      <c r="Y571" s="160"/>
      <c r="Z571" s="164"/>
      <c r="AA571" s="164"/>
      <c r="AB571" s="164"/>
      <c r="AC571" s="164"/>
      <c r="AD571" s="164"/>
      <c r="AE571" s="348"/>
      <c r="AF571" s="348"/>
      <c r="AG571" s="349"/>
      <c r="AH571" s="349"/>
      <c r="AI571" s="349"/>
      <c r="AJ571" s="349"/>
      <c r="AK571" s="349"/>
      <c r="AL571" s="349"/>
    </row>
    <row r="572" spans="4:38">
      <c r="D572" s="160"/>
      <c r="F572" s="145">
        <f t="shared" si="176"/>
        <v>0</v>
      </c>
      <c r="G572" s="145" t="e">
        <f t="shared" si="177"/>
        <v>#N/A</v>
      </c>
      <c r="H572" s="145" t="e">
        <f t="shared" si="178"/>
        <v>#N/A</v>
      </c>
      <c r="P572" s="342" t="e">
        <f>1-(INDEX(Muuttujat!$O$5:$O$21,MATCH($C572,Muuttujat!$N$5:$N$21,0),1))</f>
        <v>#N/A</v>
      </c>
      <c r="Q572" s="342" t="e">
        <f>INDEX(Muuttujat!$O$5:$O$21,MATCH($C572,Muuttujat!$N$5:$N$21,0),1)</f>
        <v>#N/A</v>
      </c>
      <c r="R572" s="162"/>
      <c r="S572" s="163"/>
      <c r="T572" s="163"/>
      <c r="U572" s="163"/>
      <c r="V572" s="163"/>
      <c r="W572" s="163"/>
      <c r="X572" s="163"/>
      <c r="Y572" s="160"/>
      <c r="Z572" s="164"/>
      <c r="AA572" s="164"/>
      <c r="AB572" s="164"/>
      <c r="AC572" s="164"/>
      <c r="AD572" s="164"/>
      <c r="AE572" s="348"/>
      <c r="AF572" s="348"/>
      <c r="AG572" s="349"/>
      <c r="AH572" s="349"/>
      <c r="AI572" s="349"/>
      <c r="AJ572" s="349"/>
      <c r="AK572" s="349"/>
      <c r="AL572" s="349"/>
    </row>
    <row r="573" spans="4:38">
      <c r="D573" s="160"/>
      <c r="F573" s="145">
        <f t="shared" si="176"/>
        <v>0</v>
      </c>
      <c r="G573" s="145" t="e">
        <f t="shared" si="177"/>
        <v>#N/A</v>
      </c>
      <c r="H573" s="145" t="e">
        <f t="shared" si="178"/>
        <v>#N/A</v>
      </c>
      <c r="P573" s="342" t="e">
        <f>1-(INDEX(Muuttujat!$O$5:$O$21,MATCH($C573,Muuttujat!$N$5:$N$21,0),1))</f>
        <v>#N/A</v>
      </c>
      <c r="Q573" s="342" t="e">
        <f>INDEX(Muuttujat!$O$5:$O$21,MATCH($C573,Muuttujat!$N$5:$N$21,0),1)</f>
        <v>#N/A</v>
      </c>
      <c r="R573" s="162"/>
      <c r="S573" s="163"/>
      <c r="T573" s="163"/>
      <c r="U573" s="163"/>
      <c r="V573" s="163"/>
      <c r="W573" s="163"/>
      <c r="X573" s="163"/>
      <c r="Y573" s="160"/>
      <c r="Z573" s="164"/>
      <c r="AA573" s="164"/>
      <c r="AB573" s="164"/>
      <c r="AC573" s="164"/>
      <c r="AD573" s="164"/>
      <c r="AE573" s="348"/>
      <c r="AF573" s="348"/>
      <c r="AG573" s="349"/>
      <c r="AH573" s="349"/>
      <c r="AI573" s="349"/>
      <c r="AJ573" s="349"/>
      <c r="AK573" s="349"/>
      <c r="AL573" s="349"/>
    </row>
    <row r="574" spans="4:38">
      <c r="D574" s="160"/>
      <c r="F574" s="145">
        <f t="shared" si="176"/>
        <v>0</v>
      </c>
      <c r="G574" s="145" t="e">
        <f t="shared" si="177"/>
        <v>#N/A</v>
      </c>
      <c r="H574" s="145" t="e">
        <f t="shared" si="178"/>
        <v>#N/A</v>
      </c>
      <c r="P574" s="342" t="e">
        <f>1-(INDEX(Muuttujat!$O$5:$O$21,MATCH($C574,Muuttujat!$N$5:$N$21,0),1))</f>
        <v>#N/A</v>
      </c>
      <c r="Q574" s="342" t="e">
        <f>INDEX(Muuttujat!$O$5:$O$21,MATCH($C574,Muuttujat!$N$5:$N$21,0),1)</f>
        <v>#N/A</v>
      </c>
      <c r="R574" s="162"/>
      <c r="S574" s="163"/>
      <c r="T574" s="163"/>
      <c r="U574" s="163"/>
      <c r="V574" s="163"/>
      <c r="W574" s="163"/>
      <c r="X574" s="163"/>
      <c r="Y574" s="160"/>
      <c r="Z574" s="164"/>
      <c r="AA574" s="164"/>
      <c r="AB574" s="164"/>
      <c r="AC574" s="164"/>
      <c r="AD574" s="164"/>
      <c r="AE574" s="348"/>
      <c r="AF574" s="348"/>
      <c r="AG574" s="349"/>
      <c r="AH574" s="349"/>
      <c r="AI574" s="349"/>
      <c r="AJ574" s="349"/>
      <c r="AK574" s="349"/>
      <c r="AL574" s="349"/>
    </row>
    <row r="575" spans="4:38">
      <c r="D575" s="160"/>
      <c r="F575" s="145">
        <f t="shared" si="176"/>
        <v>0</v>
      </c>
      <c r="G575" s="145" t="e">
        <f t="shared" si="177"/>
        <v>#N/A</v>
      </c>
      <c r="H575" s="145" t="e">
        <f t="shared" si="178"/>
        <v>#N/A</v>
      </c>
      <c r="P575" s="342" t="e">
        <f>1-(INDEX(Muuttujat!$O$5:$O$21,MATCH($C575,Muuttujat!$N$5:$N$21,0),1))</f>
        <v>#N/A</v>
      </c>
      <c r="Q575" s="342" t="e">
        <f>INDEX(Muuttujat!$O$5:$O$21,MATCH($C575,Muuttujat!$N$5:$N$21,0),1)</f>
        <v>#N/A</v>
      </c>
      <c r="R575" s="162"/>
      <c r="S575" s="163"/>
      <c r="T575" s="163"/>
      <c r="U575" s="163"/>
      <c r="V575" s="163"/>
      <c r="W575" s="163"/>
      <c r="X575" s="163"/>
      <c r="Y575" s="160"/>
      <c r="Z575" s="164"/>
      <c r="AA575" s="164"/>
      <c r="AB575" s="164"/>
      <c r="AC575" s="164"/>
      <c r="AD575" s="164"/>
      <c r="AE575" s="348"/>
      <c r="AF575" s="348"/>
      <c r="AG575" s="349"/>
      <c r="AH575" s="349"/>
      <c r="AI575" s="349"/>
      <c r="AJ575" s="349"/>
      <c r="AK575" s="349"/>
      <c r="AL575" s="349"/>
    </row>
    <row r="576" spans="4:38">
      <c r="D576" s="160"/>
      <c r="F576" s="145">
        <f t="shared" si="176"/>
        <v>0</v>
      </c>
      <c r="G576" s="145" t="e">
        <f t="shared" si="177"/>
        <v>#N/A</v>
      </c>
      <c r="H576" s="145" t="e">
        <f t="shared" si="178"/>
        <v>#N/A</v>
      </c>
      <c r="P576" s="342" t="e">
        <f>1-(INDEX(Muuttujat!$O$5:$O$21,MATCH($C576,Muuttujat!$N$5:$N$21,0),1))</f>
        <v>#N/A</v>
      </c>
      <c r="Q576" s="342" t="e">
        <f>INDEX(Muuttujat!$O$5:$O$21,MATCH($C576,Muuttujat!$N$5:$N$21,0),1)</f>
        <v>#N/A</v>
      </c>
      <c r="R576" s="162"/>
      <c r="S576" s="163"/>
      <c r="T576" s="163"/>
      <c r="U576" s="163"/>
      <c r="V576" s="163"/>
      <c r="W576" s="163"/>
      <c r="X576" s="163"/>
      <c r="Y576" s="160"/>
      <c r="Z576" s="164"/>
      <c r="AA576" s="164"/>
      <c r="AB576" s="164"/>
      <c r="AC576" s="164"/>
      <c r="AD576" s="164"/>
      <c r="AE576" s="348"/>
      <c r="AF576" s="348"/>
      <c r="AG576" s="349"/>
      <c r="AH576" s="349"/>
      <c r="AI576" s="349"/>
      <c r="AJ576" s="349"/>
      <c r="AK576" s="349"/>
      <c r="AL576" s="349"/>
    </row>
    <row r="577" spans="4:38">
      <c r="D577" s="160"/>
      <c r="F577" s="145">
        <f t="shared" si="176"/>
        <v>0</v>
      </c>
      <c r="G577" s="145" t="e">
        <f t="shared" si="177"/>
        <v>#N/A</v>
      </c>
      <c r="H577" s="145" t="e">
        <f t="shared" si="178"/>
        <v>#N/A</v>
      </c>
      <c r="P577" s="342" t="e">
        <f>1-(INDEX(Muuttujat!$O$5:$O$21,MATCH($C577,Muuttujat!$N$5:$N$21,0),1))</f>
        <v>#N/A</v>
      </c>
      <c r="Q577" s="342" t="e">
        <f>INDEX(Muuttujat!$O$5:$O$21,MATCH($C577,Muuttujat!$N$5:$N$21,0),1)</f>
        <v>#N/A</v>
      </c>
      <c r="R577" s="162"/>
      <c r="S577" s="163"/>
      <c r="T577" s="163"/>
      <c r="U577" s="163"/>
      <c r="V577" s="163"/>
      <c r="W577" s="163"/>
      <c r="X577" s="163"/>
      <c r="Y577" s="160"/>
      <c r="Z577" s="164"/>
      <c r="AA577" s="164"/>
      <c r="AB577" s="164"/>
      <c r="AC577" s="164"/>
      <c r="AD577" s="164"/>
      <c r="AE577" s="348"/>
      <c r="AF577" s="348"/>
      <c r="AG577" s="349"/>
      <c r="AH577" s="349"/>
      <c r="AI577" s="349"/>
      <c r="AJ577" s="349"/>
      <c r="AK577" s="349"/>
      <c r="AL577" s="349"/>
    </row>
    <row r="578" spans="4:38">
      <c r="D578" s="160"/>
      <c r="F578" s="145">
        <f t="shared" si="176"/>
        <v>0</v>
      </c>
      <c r="G578" s="145" t="e">
        <f t="shared" si="177"/>
        <v>#N/A</v>
      </c>
      <c r="H578" s="145" t="e">
        <f t="shared" si="178"/>
        <v>#N/A</v>
      </c>
      <c r="P578" s="342" t="e">
        <f>1-(INDEX(Muuttujat!$O$5:$O$21,MATCH($C578,Muuttujat!$N$5:$N$21,0),1))</f>
        <v>#N/A</v>
      </c>
      <c r="Q578" s="342" t="e">
        <f>INDEX(Muuttujat!$O$5:$O$21,MATCH($C578,Muuttujat!$N$5:$N$21,0),1)</f>
        <v>#N/A</v>
      </c>
      <c r="R578" s="162"/>
      <c r="S578" s="163"/>
      <c r="T578" s="163"/>
      <c r="U578" s="163"/>
      <c r="V578" s="163"/>
      <c r="W578" s="163"/>
      <c r="X578" s="163"/>
      <c r="Y578" s="160"/>
      <c r="Z578" s="164"/>
      <c r="AA578" s="164"/>
      <c r="AB578" s="164"/>
      <c r="AC578" s="164"/>
      <c r="AD578" s="164"/>
      <c r="AE578" s="348"/>
      <c r="AF578" s="348"/>
      <c r="AG578" s="349"/>
      <c r="AH578" s="349"/>
      <c r="AI578" s="349"/>
      <c r="AJ578" s="349"/>
      <c r="AK578" s="349"/>
      <c r="AL578" s="349"/>
    </row>
    <row r="579" spans="4:38">
      <c r="D579" s="160"/>
      <c r="F579" s="145">
        <f t="shared" ref="F579:F642" si="179">IF(D579="pom",$E579*hv_pom,0)</f>
        <v>0</v>
      </c>
      <c r="G579" s="145" t="e">
        <f t="shared" si="177"/>
        <v>#N/A</v>
      </c>
      <c r="H579" s="145" t="e">
        <f t="shared" si="178"/>
        <v>#N/A</v>
      </c>
      <c r="P579" s="342" t="e">
        <f>1-(INDEX(Muuttujat!$O$5:$O$21,MATCH($C579,Muuttujat!$N$5:$N$21,0),1))</f>
        <v>#N/A</v>
      </c>
      <c r="Q579" s="342" t="e">
        <f>INDEX(Muuttujat!$O$5:$O$21,MATCH($C579,Muuttujat!$N$5:$N$21,0),1)</f>
        <v>#N/A</v>
      </c>
      <c r="R579" s="162"/>
      <c r="S579" s="163"/>
      <c r="T579" s="163"/>
      <c r="U579" s="163"/>
      <c r="V579" s="163"/>
      <c r="W579" s="163"/>
      <c r="X579" s="163"/>
      <c r="Y579" s="160"/>
      <c r="Z579" s="164"/>
      <c r="AA579" s="164"/>
      <c r="AB579" s="164"/>
      <c r="AC579" s="164"/>
      <c r="AD579" s="164"/>
      <c r="AE579" s="348"/>
      <c r="AF579" s="348"/>
      <c r="AG579" s="349"/>
      <c r="AH579" s="349"/>
      <c r="AI579" s="349"/>
      <c r="AJ579" s="349"/>
      <c r="AK579" s="349"/>
      <c r="AL579" s="349"/>
    </row>
    <row r="580" spans="4:38">
      <c r="D580" s="160"/>
      <c r="F580" s="145">
        <f t="shared" si="179"/>
        <v>0</v>
      </c>
      <c r="G580" s="145" t="e">
        <f t="shared" ref="G580:G643" si="180">$F580*$P580</f>
        <v>#N/A</v>
      </c>
      <c r="H580" s="145" t="e">
        <f t="shared" ref="H580:H643" si="181">$F580*$Q580</f>
        <v>#N/A</v>
      </c>
      <c r="P580" s="342" t="e">
        <f>1-(INDEX(Muuttujat!$O$5:$O$21,MATCH($C580,Muuttujat!$N$5:$N$21,0),1))</f>
        <v>#N/A</v>
      </c>
      <c r="Q580" s="342" t="e">
        <f>INDEX(Muuttujat!$O$5:$O$21,MATCH($C580,Muuttujat!$N$5:$N$21,0),1)</f>
        <v>#N/A</v>
      </c>
      <c r="R580" s="162"/>
      <c r="S580" s="163"/>
      <c r="T580" s="163"/>
      <c r="U580" s="163"/>
      <c r="V580" s="163"/>
      <c r="W580" s="163"/>
      <c r="X580" s="163"/>
      <c r="Y580" s="160"/>
      <c r="Z580" s="164"/>
      <c r="AA580" s="164"/>
      <c r="AB580" s="164"/>
      <c r="AC580" s="164"/>
      <c r="AD580" s="164"/>
      <c r="AE580" s="348"/>
      <c r="AF580" s="348"/>
      <c r="AG580" s="349"/>
      <c r="AH580" s="349"/>
      <c r="AI580" s="349"/>
      <c r="AJ580" s="349"/>
      <c r="AK580" s="349"/>
      <c r="AL580" s="349"/>
    </row>
    <row r="581" spans="4:38">
      <c r="D581" s="160"/>
      <c r="F581" s="145">
        <f t="shared" si="179"/>
        <v>0</v>
      </c>
      <c r="G581" s="145" t="e">
        <f t="shared" si="180"/>
        <v>#N/A</v>
      </c>
      <c r="H581" s="145" t="e">
        <f t="shared" si="181"/>
        <v>#N/A</v>
      </c>
      <c r="P581" s="342" t="e">
        <f>1-(INDEX(Muuttujat!$O$5:$O$21,MATCH($C581,Muuttujat!$N$5:$N$21,0),1))</f>
        <v>#N/A</v>
      </c>
      <c r="Q581" s="342" t="e">
        <f>INDEX(Muuttujat!$O$5:$O$21,MATCH($C581,Muuttujat!$N$5:$N$21,0),1)</f>
        <v>#N/A</v>
      </c>
      <c r="R581" s="162"/>
      <c r="S581" s="163"/>
      <c r="T581" s="163"/>
      <c r="U581" s="163"/>
      <c r="V581" s="163"/>
      <c r="W581" s="163"/>
      <c r="X581" s="163"/>
      <c r="Y581" s="160"/>
      <c r="Z581" s="164"/>
      <c r="AA581" s="164"/>
      <c r="AB581" s="164"/>
      <c r="AC581" s="164"/>
      <c r="AD581" s="164"/>
      <c r="AE581" s="348"/>
      <c r="AF581" s="348"/>
      <c r="AG581" s="349"/>
      <c r="AH581" s="349"/>
      <c r="AI581" s="349"/>
      <c r="AJ581" s="349"/>
      <c r="AK581" s="349"/>
      <c r="AL581" s="349"/>
    </row>
    <row r="582" spans="4:38">
      <c r="D582" s="160"/>
      <c r="F582" s="145">
        <f t="shared" si="179"/>
        <v>0</v>
      </c>
      <c r="G582" s="145" t="e">
        <f t="shared" si="180"/>
        <v>#N/A</v>
      </c>
      <c r="H582" s="145" t="e">
        <f t="shared" si="181"/>
        <v>#N/A</v>
      </c>
      <c r="P582" s="342" t="e">
        <f>1-(INDEX(Muuttujat!$O$5:$O$21,MATCH($C582,Muuttujat!$N$5:$N$21,0),1))</f>
        <v>#N/A</v>
      </c>
      <c r="Q582" s="342" t="e">
        <f>INDEX(Muuttujat!$O$5:$O$21,MATCH($C582,Muuttujat!$N$5:$N$21,0),1)</f>
        <v>#N/A</v>
      </c>
      <c r="R582" s="162"/>
      <c r="S582" s="163"/>
      <c r="T582" s="163"/>
      <c r="U582" s="163"/>
      <c r="V582" s="163"/>
      <c r="W582" s="163"/>
      <c r="X582" s="163"/>
      <c r="Y582" s="160"/>
      <c r="Z582" s="164"/>
      <c r="AA582" s="164"/>
      <c r="AB582" s="164"/>
      <c r="AC582" s="164"/>
      <c r="AD582" s="164"/>
      <c r="AE582" s="348"/>
      <c r="AF582" s="348"/>
      <c r="AG582" s="349"/>
      <c r="AH582" s="349"/>
      <c r="AI582" s="349"/>
      <c r="AJ582" s="349"/>
      <c r="AK582" s="349"/>
      <c r="AL582" s="349"/>
    </row>
    <row r="583" spans="4:38">
      <c r="D583" s="160"/>
      <c r="F583" s="145">
        <f t="shared" si="179"/>
        <v>0</v>
      </c>
      <c r="G583" s="145" t="e">
        <f t="shared" si="180"/>
        <v>#N/A</v>
      </c>
      <c r="H583" s="145" t="e">
        <f t="shared" si="181"/>
        <v>#N/A</v>
      </c>
      <c r="P583" s="342" t="e">
        <f>1-(INDEX(Muuttujat!$O$5:$O$21,MATCH($C583,Muuttujat!$N$5:$N$21,0),1))</f>
        <v>#N/A</v>
      </c>
      <c r="Q583" s="342" t="e">
        <f>INDEX(Muuttujat!$O$5:$O$21,MATCH($C583,Muuttujat!$N$5:$N$21,0),1)</f>
        <v>#N/A</v>
      </c>
      <c r="R583" s="162"/>
      <c r="S583" s="163"/>
      <c r="T583" s="163"/>
      <c r="U583" s="163"/>
      <c r="V583" s="163"/>
      <c r="W583" s="163"/>
      <c r="X583" s="163"/>
      <c r="Y583" s="160"/>
      <c r="Z583" s="164"/>
      <c r="AA583" s="164"/>
      <c r="AB583" s="164"/>
      <c r="AC583" s="164"/>
      <c r="AD583" s="164"/>
      <c r="AE583" s="348"/>
      <c r="AF583" s="348"/>
      <c r="AG583" s="349"/>
      <c r="AH583" s="349"/>
      <c r="AI583" s="349"/>
      <c r="AJ583" s="349"/>
      <c r="AK583" s="349"/>
      <c r="AL583" s="349"/>
    </row>
    <row r="584" spans="4:38">
      <c r="D584" s="160"/>
      <c r="F584" s="145">
        <f t="shared" si="179"/>
        <v>0</v>
      </c>
      <c r="G584" s="145" t="e">
        <f t="shared" si="180"/>
        <v>#N/A</v>
      </c>
      <c r="H584" s="145" t="e">
        <f t="shared" si="181"/>
        <v>#N/A</v>
      </c>
      <c r="P584" s="342" t="e">
        <f>1-(INDEX(Muuttujat!$O$5:$O$21,MATCH($C584,Muuttujat!$N$5:$N$21,0),1))</f>
        <v>#N/A</v>
      </c>
      <c r="Q584" s="342" t="e">
        <f>INDEX(Muuttujat!$O$5:$O$21,MATCH($C584,Muuttujat!$N$5:$N$21,0),1)</f>
        <v>#N/A</v>
      </c>
      <c r="R584" s="162"/>
      <c r="S584" s="163"/>
      <c r="T584" s="163"/>
      <c r="U584" s="163"/>
      <c r="V584" s="163"/>
      <c r="W584" s="163"/>
      <c r="X584" s="163"/>
      <c r="Y584" s="160"/>
      <c r="Z584" s="164"/>
      <c r="AA584" s="164"/>
      <c r="AB584" s="164"/>
      <c r="AC584" s="164"/>
      <c r="AD584" s="164"/>
      <c r="AE584" s="348"/>
      <c r="AF584" s="348"/>
      <c r="AG584" s="349"/>
      <c r="AH584" s="349"/>
      <c r="AI584" s="349"/>
      <c r="AJ584" s="349"/>
      <c r="AK584" s="349"/>
      <c r="AL584" s="349"/>
    </row>
    <row r="585" spans="4:38">
      <c r="D585" s="160"/>
      <c r="F585" s="145">
        <f t="shared" si="179"/>
        <v>0</v>
      </c>
      <c r="G585" s="145" t="e">
        <f t="shared" si="180"/>
        <v>#N/A</v>
      </c>
      <c r="H585" s="145" t="e">
        <f t="shared" si="181"/>
        <v>#N/A</v>
      </c>
      <c r="P585" s="342" t="e">
        <f>1-(INDEX(Muuttujat!$O$5:$O$21,MATCH($C585,Muuttujat!$N$5:$N$21,0),1))</f>
        <v>#N/A</v>
      </c>
      <c r="Q585" s="342" t="e">
        <f>INDEX(Muuttujat!$O$5:$O$21,MATCH($C585,Muuttujat!$N$5:$N$21,0),1)</f>
        <v>#N/A</v>
      </c>
      <c r="R585" s="162"/>
      <c r="S585" s="163"/>
      <c r="T585" s="163"/>
      <c r="U585" s="163"/>
      <c r="V585" s="163"/>
      <c r="W585" s="163"/>
      <c r="X585" s="163"/>
      <c r="Y585" s="160"/>
      <c r="Z585" s="164"/>
      <c r="AA585" s="164"/>
      <c r="AB585" s="164"/>
      <c r="AC585" s="164"/>
      <c r="AD585" s="164"/>
      <c r="AE585" s="348"/>
      <c r="AF585" s="348"/>
      <c r="AG585" s="349"/>
      <c r="AH585" s="349"/>
      <c r="AI585" s="349"/>
      <c r="AJ585" s="349"/>
      <c r="AK585" s="349"/>
      <c r="AL585" s="349"/>
    </row>
    <row r="586" spans="4:38">
      <c r="D586" s="160"/>
      <c r="F586" s="145">
        <f t="shared" si="179"/>
        <v>0</v>
      </c>
      <c r="G586" s="145" t="e">
        <f t="shared" si="180"/>
        <v>#N/A</v>
      </c>
      <c r="H586" s="145" t="e">
        <f t="shared" si="181"/>
        <v>#N/A</v>
      </c>
      <c r="P586" s="342" t="e">
        <f>1-(INDEX(Muuttujat!$O$5:$O$21,MATCH($C586,Muuttujat!$N$5:$N$21,0),1))</f>
        <v>#N/A</v>
      </c>
      <c r="Q586" s="342" t="e">
        <f>INDEX(Muuttujat!$O$5:$O$21,MATCH($C586,Muuttujat!$N$5:$N$21,0),1)</f>
        <v>#N/A</v>
      </c>
      <c r="R586" s="162"/>
      <c r="S586" s="163"/>
      <c r="T586" s="163"/>
      <c r="U586" s="163"/>
      <c r="V586" s="163"/>
      <c r="W586" s="163"/>
      <c r="X586" s="163"/>
      <c r="Y586" s="160"/>
      <c r="Z586" s="164"/>
      <c r="AA586" s="164"/>
      <c r="AB586" s="164"/>
      <c r="AC586" s="164"/>
      <c r="AD586" s="164"/>
      <c r="AE586" s="348"/>
      <c r="AF586" s="348"/>
      <c r="AG586" s="349"/>
      <c r="AH586" s="349"/>
      <c r="AI586" s="349"/>
      <c r="AJ586" s="349"/>
      <c r="AK586" s="349"/>
      <c r="AL586" s="349"/>
    </row>
    <row r="587" spans="4:38">
      <c r="D587" s="160"/>
      <c r="F587" s="145">
        <f t="shared" si="179"/>
        <v>0</v>
      </c>
      <c r="G587" s="145" t="e">
        <f t="shared" si="180"/>
        <v>#N/A</v>
      </c>
      <c r="H587" s="145" t="e">
        <f t="shared" si="181"/>
        <v>#N/A</v>
      </c>
      <c r="P587" s="342" t="e">
        <f>1-(INDEX(Muuttujat!$O$5:$O$21,MATCH($C587,Muuttujat!$N$5:$N$21,0),1))</f>
        <v>#N/A</v>
      </c>
      <c r="Q587" s="342" t="e">
        <f>INDEX(Muuttujat!$O$5:$O$21,MATCH($C587,Muuttujat!$N$5:$N$21,0),1)</f>
        <v>#N/A</v>
      </c>
      <c r="R587" s="162"/>
      <c r="S587" s="163"/>
      <c r="T587" s="163"/>
      <c r="U587" s="163"/>
      <c r="V587" s="163"/>
      <c r="W587" s="163"/>
      <c r="X587" s="163"/>
      <c r="Y587" s="160"/>
      <c r="Z587" s="164"/>
      <c r="AA587" s="164"/>
      <c r="AB587" s="164"/>
      <c r="AC587" s="164"/>
      <c r="AD587" s="164"/>
      <c r="AE587" s="348"/>
      <c r="AF587" s="348"/>
      <c r="AG587" s="349"/>
      <c r="AH587" s="349"/>
      <c r="AI587" s="349"/>
      <c r="AJ587" s="349"/>
      <c r="AK587" s="349"/>
      <c r="AL587" s="349"/>
    </row>
    <row r="588" spans="4:38">
      <c r="D588" s="160"/>
      <c r="F588" s="145">
        <f t="shared" si="179"/>
        <v>0</v>
      </c>
      <c r="G588" s="145" t="e">
        <f t="shared" si="180"/>
        <v>#N/A</v>
      </c>
      <c r="H588" s="145" t="e">
        <f t="shared" si="181"/>
        <v>#N/A</v>
      </c>
      <c r="P588" s="342" t="e">
        <f>1-(INDEX(Muuttujat!$O$5:$O$21,MATCH($C588,Muuttujat!$N$5:$N$21,0),1))</f>
        <v>#N/A</v>
      </c>
      <c r="Q588" s="342" t="e">
        <f>INDEX(Muuttujat!$O$5:$O$21,MATCH($C588,Muuttujat!$N$5:$N$21,0),1)</f>
        <v>#N/A</v>
      </c>
      <c r="R588" s="162"/>
      <c r="S588" s="163"/>
      <c r="T588" s="163"/>
      <c r="U588" s="163"/>
      <c r="V588" s="163"/>
      <c r="W588" s="163"/>
      <c r="X588" s="163"/>
      <c r="Y588" s="160"/>
      <c r="Z588" s="164"/>
      <c r="AA588" s="164"/>
      <c r="AB588" s="164"/>
      <c r="AC588" s="164"/>
      <c r="AD588" s="164"/>
      <c r="AE588" s="348"/>
      <c r="AF588" s="348"/>
      <c r="AG588" s="349"/>
      <c r="AH588" s="349"/>
      <c r="AI588" s="349"/>
      <c r="AJ588" s="349"/>
      <c r="AK588" s="349"/>
      <c r="AL588" s="349"/>
    </row>
    <row r="589" spans="4:38">
      <c r="D589" s="160"/>
      <c r="F589" s="145">
        <f t="shared" si="179"/>
        <v>0</v>
      </c>
      <c r="G589" s="145" t="e">
        <f t="shared" si="180"/>
        <v>#N/A</v>
      </c>
      <c r="H589" s="145" t="e">
        <f t="shared" si="181"/>
        <v>#N/A</v>
      </c>
      <c r="P589" s="342" t="e">
        <f>1-(INDEX(Muuttujat!$O$5:$O$21,MATCH($C589,Muuttujat!$N$5:$N$21,0),1))</f>
        <v>#N/A</v>
      </c>
      <c r="Q589" s="342" t="e">
        <f>INDEX(Muuttujat!$O$5:$O$21,MATCH($C589,Muuttujat!$N$5:$N$21,0),1)</f>
        <v>#N/A</v>
      </c>
      <c r="R589" s="162"/>
      <c r="S589" s="163"/>
      <c r="T589" s="163"/>
      <c r="U589" s="163"/>
      <c r="V589" s="163"/>
      <c r="W589" s="163"/>
      <c r="X589" s="163"/>
      <c r="Y589" s="160"/>
      <c r="Z589" s="164"/>
      <c r="AA589" s="164"/>
      <c r="AB589" s="164"/>
      <c r="AC589" s="164"/>
      <c r="AD589" s="164"/>
      <c r="AE589" s="348"/>
      <c r="AF589" s="348"/>
      <c r="AG589" s="349"/>
      <c r="AH589" s="349"/>
      <c r="AI589" s="349"/>
      <c r="AJ589" s="349"/>
      <c r="AK589" s="349"/>
      <c r="AL589" s="349"/>
    </row>
    <row r="590" spans="4:38">
      <c r="D590" s="160"/>
      <c r="F590" s="145">
        <f t="shared" si="179"/>
        <v>0</v>
      </c>
      <c r="G590" s="145" t="e">
        <f t="shared" si="180"/>
        <v>#N/A</v>
      </c>
      <c r="H590" s="145" t="e">
        <f t="shared" si="181"/>
        <v>#N/A</v>
      </c>
      <c r="P590" s="342" t="e">
        <f>1-(INDEX(Muuttujat!$O$5:$O$21,MATCH($C590,Muuttujat!$N$5:$N$21,0),1))</f>
        <v>#N/A</v>
      </c>
      <c r="Q590" s="342" t="e">
        <f>INDEX(Muuttujat!$O$5:$O$21,MATCH($C590,Muuttujat!$N$5:$N$21,0),1)</f>
        <v>#N/A</v>
      </c>
      <c r="R590" s="162"/>
      <c r="S590" s="163"/>
      <c r="T590" s="163"/>
      <c r="U590" s="163"/>
      <c r="V590" s="163"/>
      <c r="W590" s="163"/>
      <c r="X590" s="163"/>
      <c r="Y590" s="160"/>
      <c r="Z590" s="164"/>
      <c r="AA590" s="164"/>
      <c r="AB590" s="164"/>
      <c r="AC590" s="164"/>
      <c r="AD590" s="164"/>
      <c r="AE590" s="348"/>
      <c r="AF590" s="348"/>
      <c r="AG590" s="349"/>
      <c r="AH590" s="349"/>
      <c r="AI590" s="349"/>
      <c r="AJ590" s="349"/>
      <c r="AK590" s="349"/>
      <c r="AL590" s="349"/>
    </row>
    <row r="591" spans="4:38">
      <c r="D591" s="160"/>
      <c r="F591" s="145">
        <f t="shared" si="179"/>
        <v>0</v>
      </c>
      <c r="G591" s="145" t="e">
        <f t="shared" si="180"/>
        <v>#N/A</v>
      </c>
      <c r="H591" s="145" t="e">
        <f t="shared" si="181"/>
        <v>#N/A</v>
      </c>
      <c r="P591" s="342" t="e">
        <f>1-(INDEX(Muuttujat!$O$5:$O$21,MATCH($C591,Muuttujat!$N$5:$N$21,0),1))</f>
        <v>#N/A</v>
      </c>
      <c r="Q591" s="342" t="e">
        <f>INDEX(Muuttujat!$O$5:$O$21,MATCH($C591,Muuttujat!$N$5:$N$21,0),1)</f>
        <v>#N/A</v>
      </c>
      <c r="R591" s="162"/>
      <c r="S591" s="163"/>
      <c r="T591" s="163"/>
      <c r="U591" s="163"/>
      <c r="V591" s="163"/>
      <c r="W591" s="163"/>
      <c r="X591" s="163"/>
      <c r="Y591" s="160"/>
      <c r="Z591" s="164"/>
      <c r="AA591" s="164"/>
      <c r="AB591" s="164"/>
      <c r="AC591" s="164"/>
      <c r="AD591" s="164"/>
      <c r="AE591" s="348"/>
      <c r="AF591" s="348"/>
      <c r="AG591" s="349"/>
      <c r="AH591" s="349"/>
      <c r="AI591" s="349"/>
      <c r="AJ591" s="349"/>
      <c r="AK591" s="349"/>
      <c r="AL591" s="349"/>
    </row>
    <row r="592" spans="4:38">
      <c r="D592" s="160"/>
      <c r="F592" s="145">
        <f t="shared" si="179"/>
        <v>0</v>
      </c>
      <c r="G592" s="145" t="e">
        <f t="shared" si="180"/>
        <v>#N/A</v>
      </c>
      <c r="H592" s="145" t="e">
        <f t="shared" si="181"/>
        <v>#N/A</v>
      </c>
      <c r="P592" s="342" t="e">
        <f>1-(INDEX(Muuttujat!$O$5:$O$21,MATCH($C592,Muuttujat!$N$5:$N$21,0),1))</f>
        <v>#N/A</v>
      </c>
      <c r="Q592" s="342" t="e">
        <f>INDEX(Muuttujat!$O$5:$O$21,MATCH($C592,Muuttujat!$N$5:$N$21,0),1)</f>
        <v>#N/A</v>
      </c>
      <c r="R592" s="162"/>
      <c r="S592" s="163"/>
      <c r="T592" s="163"/>
      <c r="U592" s="163"/>
      <c r="V592" s="163"/>
      <c r="W592" s="163"/>
      <c r="X592" s="163"/>
      <c r="Y592" s="160"/>
      <c r="Z592" s="164"/>
      <c r="AA592" s="164"/>
      <c r="AB592" s="164"/>
      <c r="AC592" s="164"/>
      <c r="AD592" s="164"/>
      <c r="AE592" s="348"/>
      <c r="AF592" s="348"/>
      <c r="AG592" s="349"/>
      <c r="AH592" s="349"/>
      <c r="AI592" s="349"/>
      <c r="AJ592" s="349"/>
      <c r="AK592" s="349"/>
      <c r="AL592" s="349"/>
    </row>
    <row r="593" spans="4:38">
      <c r="D593" s="160"/>
      <c r="F593" s="145">
        <f t="shared" si="179"/>
        <v>0</v>
      </c>
      <c r="G593" s="145" t="e">
        <f t="shared" si="180"/>
        <v>#N/A</v>
      </c>
      <c r="H593" s="145" t="e">
        <f t="shared" si="181"/>
        <v>#N/A</v>
      </c>
      <c r="P593" s="342" t="e">
        <f>1-(INDEX(Muuttujat!$O$5:$O$21,MATCH($C593,Muuttujat!$N$5:$N$21,0),1))</f>
        <v>#N/A</v>
      </c>
      <c r="Q593" s="342" t="e">
        <f>INDEX(Muuttujat!$O$5:$O$21,MATCH($C593,Muuttujat!$N$5:$N$21,0),1)</f>
        <v>#N/A</v>
      </c>
      <c r="R593" s="162"/>
      <c r="S593" s="163"/>
      <c r="T593" s="163"/>
      <c r="U593" s="163"/>
      <c r="V593" s="163"/>
      <c r="W593" s="163"/>
      <c r="X593" s="163"/>
      <c r="Y593" s="160"/>
      <c r="Z593" s="164"/>
      <c r="AA593" s="164"/>
      <c r="AB593" s="164"/>
      <c r="AC593" s="164"/>
      <c r="AD593" s="164"/>
      <c r="AE593" s="348"/>
      <c r="AF593" s="348"/>
      <c r="AG593" s="349"/>
      <c r="AH593" s="349"/>
      <c r="AI593" s="349"/>
      <c r="AJ593" s="349"/>
      <c r="AK593" s="349"/>
      <c r="AL593" s="349"/>
    </row>
    <row r="594" spans="4:38">
      <c r="D594" s="160"/>
      <c r="F594" s="145">
        <f t="shared" si="179"/>
        <v>0</v>
      </c>
      <c r="G594" s="145" t="e">
        <f t="shared" si="180"/>
        <v>#N/A</v>
      </c>
      <c r="H594" s="145" t="e">
        <f t="shared" si="181"/>
        <v>#N/A</v>
      </c>
      <c r="P594" s="342" t="e">
        <f>1-(INDEX(Muuttujat!$O$5:$O$21,MATCH($C594,Muuttujat!$N$5:$N$21,0),1))</f>
        <v>#N/A</v>
      </c>
      <c r="Q594" s="342" t="e">
        <f>INDEX(Muuttujat!$O$5:$O$21,MATCH($C594,Muuttujat!$N$5:$N$21,0),1)</f>
        <v>#N/A</v>
      </c>
      <c r="R594" s="162"/>
      <c r="S594" s="163"/>
      <c r="T594" s="163"/>
      <c r="U594" s="163"/>
      <c r="V594" s="163"/>
      <c r="W594" s="163"/>
      <c r="X594" s="163"/>
      <c r="Y594" s="160"/>
      <c r="Z594" s="164"/>
      <c r="AA594" s="164"/>
      <c r="AB594" s="164"/>
      <c r="AC594" s="164"/>
      <c r="AD594" s="164"/>
      <c r="AE594" s="348"/>
      <c r="AF594" s="348"/>
      <c r="AG594" s="349"/>
      <c r="AH594" s="349"/>
      <c r="AI594" s="349"/>
      <c r="AJ594" s="349"/>
      <c r="AK594" s="349"/>
      <c r="AL594" s="349"/>
    </row>
    <row r="595" spans="4:38">
      <c r="D595" s="160"/>
      <c r="F595" s="145">
        <f t="shared" si="179"/>
        <v>0</v>
      </c>
      <c r="G595" s="145" t="e">
        <f t="shared" si="180"/>
        <v>#N/A</v>
      </c>
      <c r="H595" s="145" t="e">
        <f t="shared" si="181"/>
        <v>#N/A</v>
      </c>
      <c r="P595" s="342" t="e">
        <f>1-(INDEX(Muuttujat!$O$5:$O$21,MATCH($C595,Muuttujat!$N$5:$N$21,0),1))</f>
        <v>#N/A</v>
      </c>
      <c r="Q595" s="342" t="e">
        <f>INDEX(Muuttujat!$O$5:$O$21,MATCH($C595,Muuttujat!$N$5:$N$21,0),1)</f>
        <v>#N/A</v>
      </c>
      <c r="R595" s="162"/>
      <c r="S595" s="163"/>
      <c r="T595" s="163"/>
      <c r="U595" s="163"/>
      <c r="V595" s="163"/>
      <c r="W595" s="163"/>
      <c r="X595" s="163"/>
      <c r="Y595" s="160"/>
      <c r="Z595" s="164"/>
      <c r="AA595" s="164"/>
      <c r="AB595" s="164"/>
      <c r="AC595" s="164"/>
      <c r="AD595" s="164"/>
      <c r="AE595" s="348"/>
      <c r="AF595" s="348"/>
      <c r="AG595" s="349"/>
      <c r="AH595" s="349"/>
      <c r="AI595" s="349"/>
      <c r="AJ595" s="349"/>
      <c r="AK595" s="349"/>
      <c r="AL595" s="349"/>
    </row>
    <row r="596" spans="4:38">
      <c r="D596" s="160"/>
      <c r="F596" s="145">
        <f t="shared" si="179"/>
        <v>0</v>
      </c>
      <c r="G596" s="145" t="e">
        <f t="shared" si="180"/>
        <v>#N/A</v>
      </c>
      <c r="H596" s="145" t="e">
        <f t="shared" si="181"/>
        <v>#N/A</v>
      </c>
      <c r="P596" s="342" t="e">
        <f>1-(INDEX(Muuttujat!$O$5:$O$21,MATCH($C596,Muuttujat!$N$5:$N$21,0),1))</f>
        <v>#N/A</v>
      </c>
      <c r="Q596" s="342" t="e">
        <f>INDEX(Muuttujat!$O$5:$O$21,MATCH($C596,Muuttujat!$N$5:$N$21,0),1)</f>
        <v>#N/A</v>
      </c>
      <c r="R596" s="162"/>
      <c r="S596" s="163"/>
      <c r="T596" s="163"/>
      <c r="U596" s="163"/>
      <c r="V596" s="163"/>
      <c r="W596" s="163"/>
      <c r="X596" s="163"/>
      <c r="Y596" s="160"/>
      <c r="Z596" s="164"/>
      <c r="AA596" s="164"/>
      <c r="AB596" s="164"/>
      <c r="AC596" s="164"/>
      <c r="AD596" s="164"/>
      <c r="AE596" s="348"/>
      <c r="AF596" s="348"/>
      <c r="AG596" s="349"/>
      <c r="AH596" s="349"/>
      <c r="AI596" s="349"/>
      <c r="AJ596" s="349"/>
      <c r="AK596" s="349"/>
      <c r="AL596" s="349"/>
    </row>
    <row r="597" spans="4:38">
      <c r="D597" s="160"/>
      <c r="F597" s="145">
        <f t="shared" si="179"/>
        <v>0</v>
      </c>
      <c r="G597" s="145" t="e">
        <f t="shared" si="180"/>
        <v>#N/A</v>
      </c>
      <c r="H597" s="145" t="e">
        <f t="shared" si="181"/>
        <v>#N/A</v>
      </c>
      <c r="P597" s="342" t="e">
        <f>1-(INDEX(Muuttujat!$O$5:$O$21,MATCH($C597,Muuttujat!$N$5:$N$21,0),1))</f>
        <v>#N/A</v>
      </c>
      <c r="Q597" s="342" t="e">
        <f>INDEX(Muuttujat!$O$5:$O$21,MATCH($C597,Muuttujat!$N$5:$N$21,0),1)</f>
        <v>#N/A</v>
      </c>
      <c r="R597" s="162"/>
      <c r="S597" s="163"/>
      <c r="T597" s="163"/>
      <c r="U597" s="163"/>
      <c r="V597" s="163"/>
      <c r="W597" s="163"/>
      <c r="X597" s="163"/>
      <c r="Y597" s="160"/>
      <c r="Z597" s="164"/>
      <c r="AA597" s="164"/>
      <c r="AB597" s="164"/>
      <c r="AC597" s="164"/>
      <c r="AD597" s="164"/>
      <c r="AE597" s="348"/>
      <c r="AF597" s="348"/>
      <c r="AG597" s="349"/>
      <c r="AH597" s="349"/>
      <c r="AI597" s="349"/>
      <c r="AJ597" s="349"/>
      <c r="AK597" s="349"/>
      <c r="AL597" s="349"/>
    </row>
    <row r="598" spans="4:38">
      <c r="D598" s="160"/>
      <c r="F598" s="145">
        <f t="shared" si="179"/>
        <v>0</v>
      </c>
      <c r="G598" s="145" t="e">
        <f t="shared" si="180"/>
        <v>#N/A</v>
      </c>
      <c r="H598" s="145" t="e">
        <f t="shared" si="181"/>
        <v>#N/A</v>
      </c>
      <c r="P598" s="342" t="e">
        <f>1-(INDEX(Muuttujat!$O$5:$O$21,MATCH($C598,Muuttujat!$N$5:$N$21,0),1))</f>
        <v>#N/A</v>
      </c>
      <c r="Q598" s="342" t="e">
        <f>INDEX(Muuttujat!$O$5:$O$21,MATCH($C598,Muuttujat!$N$5:$N$21,0),1)</f>
        <v>#N/A</v>
      </c>
      <c r="R598" s="162"/>
      <c r="S598" s="163"/>
      <c r="T598" s="163"/>
      <c r="U598" s="163"/>
      <c r="V598" s="163"/>
      <c r="W598" s="163"/>
      <c r="X598" s="163"/>
      <c r="Y598" s="160"/>
      <c r="Z598" s="164"/>
      <c r="AA598" s="164"/>
      <c r="AB598" s="164"/>
      <c r="AC598" s="164"/>
      <c r="AD598" s="164"/>
      <c r="AE598" s="348"/>
      <c r="AF598" s="348"/>
      <c r="AG598" s="349"/>
      <c r="AH598" s="349"/>
      <c r="AI598" s="349"/>
      <c r="AJ598" s="349"/>
      <c r="AK598" s="349"/>
      <c r="AL598" s="349"/>
    </row>
    <row r="599" spans="4:38">
      <c r="D599" s="160"/>
      <c r="F599" s="145">
        <f t="shared" si="179"/>
        <v>0</v>
      </c>
      <c r="G599" s="145" t="e">
        <f t="shared" si="180"/>
        <v>#N/A</v>
      </c>
      <c r="H599" s="145" t="e">
        <f t="shared" si="181"/>
        <v>#N/A</v>
      </c>
      <c r="P599" s="342" t="e">
        <f>1-(INDEX(Muuttujat!$O$5:$O$21,MATCH($C599,Muuttujat!$N$5:$N$21,0),1))</f>
        <v>#N/A</v>
      </c>
      <c r="Q599" s="342" t="e">
        <f>INDEX(Muuttujat!$O$5:$O$21,MATCH($C599,Muuttujat!$N$5:$N$21,0),1)</f>
        <v>#N/A</v>
      </c>
      <c r="R599" s="162"/>
      <c r="S599" s="163"/>
      <c r="T599" s="163"/>
      <c r="U599" s="163"/>
      <c r="V599" s="163"/>
      <c r="W599" s="163"/>
      <c r="X599" s="163"/>
      <c r="Y599" s="160"/>
      <c r="Z599" s="164"/>
      <c r="AA599" s="164"/>
      <c r="AB599" s="164"/>
      <c r="AC599" s="164"/>
      <c r="AD599" s="164"/>
      <c r="AE599" s="348"/>
      <c r="AF599" s="348"/>
      <c r="AG599" s="349"/>
      <c r="AH599" s="349"/>
      <c r="AI599" s="349"/>
      <c r="AJ599" s="349"/>
      <c r="AK599" s="349"/>
      <c r="AL599" s="349"/>
    </row>
    <row r="600" spans="4:38">
      <c r="D600" s="160"/>
      <c r="F600" s="145">
        <f t="shared" si="179"/>
        <v>0</v>
      </c>
      <c r="G600" s="145" t="e">
        <f t="shared" si="180"/>
        <v>#N/A</v>
      </c>
      <c r="H600" s="145" t="e">
        <f t="shared" si="181"/>
        <v>#N/A</v>
      </c>
      <c r="P600" s="342" t="e">
        <f>1-(INDEX(Muuttujat!$O$5:$O$21,MATCH($C600,Muuttujat!$N$5:$N$21,0),1))</f>
        <v>#N/A</v>
      </c>
      <c r="Q600" s="342" t="e">
        <f>INDEX(Muuttujat!$O$5:$O$21,MATCH($C600,Muuttujat!$N$5:$N$21,0),1)</f>
        <v>#N/A</v>
      </c>
      <c r="R600" s="162"/>
      <c r="S600" s="163"/>
      <c r="T600" s="163"/>
      <c r="U600" s="163"/>
      <c r="V600" s="163"/>
      <c r="W600" s="163"/>
      <c r="X600" s="163"/>
      <c r="Y600" s="160"/>
      <c r="Z600" s="164"/>
      <c r="AA600" s="164"/>
      <c r="AB600" s="164"/>
      <c r="AC600" s="164"/>
      <c r="AD600" s="164"/>
      <c r="AE600" s="348"/>
      <c r="AF600" s="348"/>
      <c r="AG600" s="349"/>
      <c r="AH600" s="349"/>
      <c r="AI600" s="349"/>
      <c r="AJ600" s="349"/>
      <c r="AK600" s="349"/>
      <c r="AL600" s="349"/>
    </row>
    <row r="601" spans="4:38">
      <c r="D601" s="160"/>
      <c r="F601" s="145">
        <f t="shared" si="179"/>
        <v>0</v>
      </c>
      <c r="G601" s="145" t="e">
        <f t="shared" si="180"/>
        <v>#N/A</v>
      </c>
      <c r="H601" s="145" t="e">
        <f t="shared" si="181"/>
        <v>#N/A</v>
      </c>
      <c r="P601" s="342" t="e">
        <f>1-(INDEX(Muuttujat!$O$5:$O$21,MATCH($C601,Muuttujat!$N$5:$N$21,0),1))</f>
        <v>#N/A</v>
      </c>
      <c r="Q601" s="342" t="e">
        <f>INDEX(Muuttujat!$O$5:$O$21,MATCH($C601,Muuttujat!$N$5:$N$21,0),1)</f>
        <v>#N/A</v>
      </c>
      <c r="R601" s="162"/>
      <c r="S601" s="163"/>
      <c r="T601" s="163"/>
      <c r="U601" s="163"/>
      <c r="V601" s="163"/>
      <c r="W601" s="163"/>
      <c r="X601" s="163"/>
      <c r="Y601" s="160"/>
      <c r="Z601" s="164"/>
      <c r="AA601" s="164"/>
      <c r="AB601" s="164"/>
      <c r="AC601" s="164"/>
      <c r="AD601" s="164"/>
      <c r="AE601" s="348"/>
      <c r="AF601" s="348"/>
      <c r="AG601" s="349"/>
      <c r="AH601" s="349"/>
      <c r="AI601" s="349"/>
      <c r="AJ601" s="349"/>
      <c r="AK601" s="349"/>
      <c r="AL601" s="349"/>
    </row>
    <row r="602" spans="4:38">
      <c r="D602" s="160"/>
      <c r="F602" s="145">
        <f t="shared" si="179"/>
        <v>0</v>
      </c>
      <c r="G602" s="145" t="e">
        <f t="shared" si="180"/>
        <v>#N/A</v>
      </c>
      <c r="H602" s="145" t="e">
        <f t="shared" si="181"/>
        <v>#N/A</v>
      </c>
      <c r="P602" s="342" t="e">
        <f>1-(INDEX(Muuttujat!$O$5:$O$21,MATCH($C602,Muuttujat!$N$5:$N$21,0),1))</f>
        <v>#N/A</v>
      </c>
      <c r="Q602" s="342" t="e">
        <f>INDEX(Muuttujat!$O$5:$O$21,MATCH($C602,Muuttujat!$N$5:$N$21,0),1)</f>
        <v>#N/A</v>
      </c>
      <c r="R602" s="162"/>
      <c r="S602" s="163"/>
      <c r="T602" s="163"/>
      <c r="U602" s="163"/>
      <c r="V602" s="163"/>
      <c r="W602" s="163"/>
      <c r="X602" s="163"/>
      <c r="Y602" s="160"/>
      <c r="Z602" s="164"/>
      <c r="AA602" s="164"/>
      <c r="AB602" s="164"/>
      <c r="AC602" s="164"/>
      <c r="AD602" s="164"/>
      <c r="AE602" s="348"/>
      <c r="AF602" s="348"/>
      <c r="AG602" s="349"/>
      <c r="AH602" s="349"/>
      <c r="AI602" s="349"/>
      <c r="AJ602" s="349"/>
      <c r="AK602" s="349"/>
      <c r="AL602" s="349"/>
    </row>
    <row r="603" spans="4:38">
      <c r="D603" s="160"/>
      <c r="F603" s="145">
        <f t="shared" si="179"/>
        <v>0</v>
      </c>
      <c r="G603" s="145" t="e">
        <f t="shared" si="180"/>
        <v>#N/A</v>
      </c>
      <c r="H603" s="145" t="e">
        <f t="shared" si="181"/>
        <v>#N/A</v>
      </c>
      <c r="P603" s="342" t="e">
        <f>1-(INDEX(Muuttujat!$O$5:$O$21,MATCH($C603,Muuttujat!$N$5:$N$21,0),1))</f>
        <v>#N/A</v>
      </c>
      <c r="Q603" s="342" t="e">
        <f>INDEX(Muuttujat!$O$5:$O$21,MATCH($C603,Muuttujat!$N$5:$N$21,0),1)</f>
        <v>#N/A</v>
      </c>
      <c r="R603" s="162"/>
      <c r="S603" s="163"/>
      <c r="T603" s="163"/>
      <c r="U603" s="163"/>
      <c r="V603" s="163"/>
      <c r="W603" s="163"/>
      <c r="X603" s="163"/>
      <c r="Y603" s="160"/>
      <c r="Z603" s="164"/>
      <c r="AA603" s="164"/>
      <c r="AB603" s="164"/>
      <c r="AC603" s="164"/>
      <c r="AD603" s="164"/>
      <c r="AE603" s="348"/>
      <c r="AF603" s="348"/>
      <c r="AG603" s="349"/>
      <c r="AH603" s="349"/>
      <c r="AI603" s="349"/>
      <c r="AJ603" s="349"/>
      <c r="AK603" s="349"/>
      <c r="AL603" s="349"/>
    </row>
    <row r="604" spans="4:38">
      <c r="D604" s="160"/>
      <c r="F604" s="145">
        <f t="shared" si="179"/>
        <v>0</v>
      </c>
      <c r="G604" s="145" t="e">
        <f t="shared" si="180"/>
        <v>#N/A</v>
      </c>
      <c r="H604" s="145" t="e">
        <f t="shared" si="181"/>
        <v>#N/A</v>
      </c>
      <c r="P604" s="342" t="e">
        <f>1-(INDEX(Muuttujat!$O$5:$O$21,MATCH($C604,Muuttujat!$N$5:$N$21,0),1))</f>
        <v>#N/A</v>
      </c>
      <c r="Q604" s="342" t="e">
        <f>INDEX(Muuttujat!$O$5:$O$21,MATCH($C604,Muuttujat!$N$5:$N$21,0),1)</f>
        <v>#N/A</v>
      </c>
      <c r="R604" s="162"/>
      <c r="S604" s="163"/>
      <c r="T604" s="163"/>
      <c r="U604" s="163"/>
      <c r="V604" s="163"/>
      <c r="W604" s="163"/>
      <c r="X604" s="163"/>
      <c r="Y604" s="160"/>
      <c r="Z604" s="164"/>
      <c r="AA604" s="164"/>
      <c r="AB604" s="164"/>
      <c r="AC604" s="164"/>
      <c r="AD604" s="164"/>
      <c r="AE604" s="348"/>
      <c r="AF604" s="348"/>
      <c r="AG604" s="349"/>
      <c r="AH604" s="349"/>
      <c r="AI604" s="349"/>
      <c r="AJ604" s="349"/>
      <c r="AK604" s="349"/>
      <c r="AL604" s="349"/>
    </row>
    <row r="605" spans="4:38">
      <c r="D605" s="160"/>
      <c r="F605" s="145">
        <f t="shared" si="179"/>
        <v>0</v>
      </c>
      <c r="G605" s="145" t="e">
        <f t="shared" si="180"/>
        <v>#N/A</v>
      </c>
      <c r="H605" s="145" t="e">
        <f t="shared" si="181"/>
        <v>#N/A</v>
      </c>
      <c r="P605" s="342" t="e">
        <f>1-(INDEX(Muuttujat!$O$5:$O$21,MATCH($C605,Muuttujat!$N$5:$N$21,0),1))</f>
        <v>#N/A</v>
      </c>
      <c r="Q605" s="342" t="e">
        <f>INDEX(Muuttujat!$O$5:$O$21,MATCH($C605,Muuttujat!$N$5:$N$21,0),1)</f>
        <v>#N/A</v>
      </c>
      <c r="R605" s="162"/>
      <c r="S605" s="163"/>
      <c r="T605" s="163"/>
      <c r="U605" s="163"/>
      <c r="V605" s="163"/>
      <c r="W605" s="163"/>
      <c r="X605" s="163"/>
      <c r="Y605" s="160"/>
      <c r="Z605" s="164"/>
      <c r="AA605" s="164"/>
      <c r="AB605" s="164"/>
      <c r="AC605" s="164"/>
      <c r="AD605" s="164"/>
      <c r="AE605" s="348"/>
      <c r="AF605" s="348"/>
      <c r="AG605" s="349"/>
      <c r="AH605" s="349"/>
      <c r="AI605" s="349"/>
      <c r="AJ605" s="349"/>
      <c r="AK605" s="349"/>
      <c r="AL605" s="349"/>
    </row>
    <row r="606" spans="4:38">
      <c r="D606" s="160"/>
      <c r="F606" s="145">
        <f t="shared" si="179"/>
        <v>0</v>
      </c>
      <c r="G606" s="145" t="e">
        <f t="shared" si="180"/>
        <v>#N/A</v>
      </c>
      <c r="H606" s="145" t="e">
        <f t="shared" si="181"/>
        <v>#N/A</v>
      </c>
      <c r="P606" s="342" t="e">
        <f>1-(INDEX(Muuttujat!$O$5:$O$21,MATCH($C606,Muuttujat!$N$5:$N$21,0),1))</f>
        <v>#N/A</v>
      </c>
      <c r="Q606" s="342" t="e">
        <f>INDEX(Muuttujat!$O$5:$O$21,MATCH($C606,Muuttujat!$N$5:$N$21,0),1)</f>
        <v>#N/A</v>
      </c>
      <c r="R606" s="162"/>
      <c r="S606" s="163"/>
      <c r="T606" s="163"/>
      <c r="U606" s="163"/>
      <c r="V606" s="163"/>
      <c r="W606" s="163"/>
      <c r="X606" s="163"/>
      <c r="Y606" s="160"/>
      <c r="Z606" s="164"/>
      <c r="AA606" s="164"/>
      <c r="AB606" s="164"/>
      <c r="AC606" s="164"/>
      <c r="AD606" s="164"/>
      <c r="AE606" s="348"/>
      <c r="AF606" s="348"/>
      <c r="AG606" s="349"/>
      <c r="AH606" s="349"/>
      <c r="AI606" s="349"/>
      <c r="AJ606" s="349"/>
      <c r="AK606" s="349"/>
      <c r="AL606" s="349"/>
    </row>
    <row r="607" spans="4:38">
      <c r="D607" s="160"/>
      <c r="F607" s="145">
        <f t="shared" si="179"/>
        <v>0</v>
      </c>
      <c r="G607" s="145" t="e">
        <f t="shared" si="180"/>
        <v>#N/A</v>
      </c>
      <c r="H607" s="145" t="e">
        <f t="shared" si="181"/>
        <v>#N/A</v>
      </c>
      <c r="P607" s="342" t="e">
        <f>1-(INDEX(Muuttujat!$O$5:$O$21,MATCH($C607,Muuttujat!$N$5:$N$21,0),1))</f>
        <v>#N/A</v>
      </c>
      <c r="Q607" s="342" t="e">
        <f>INDEX(Muuttujat!$O$5:$O$21,MATCH($C607,Muuttujat!$N$5:$N$21,0),1)</f>
        <v>#N/A</v>
      </c>
      <c r="R607" s="162"/>
      <c r="S607" s="163"/>
      <c r="T607" s="163"/>
      <c r="U607" s="163"/>
      <c r="V607" s="163"/>
      <c r="W607" s="163"/>
      <c r="X607" s="163"/>
      <c r="Y607" s="160"/>
      <c r="Z607" s="164"/>
      <c r="AA607" s="164"/>
      <c r="AB607" s="164"/>
      <c r="AC607" s="164"/>
      <c r="AD607" s="164"/>
      <c r="AE607" s="348"/>
      <c r="AF607" s="348"/>
      <c r="AG607" s="349"/>
      <c r="AH607" s="349"/>
      <c r="AI607" s="349"/>
      <c r="AJ607" s="349"/>
      <c r="AK607" s="349"/>
      <c r="AL607" s="349"/>
    </row>
    <row r="608" spans="4:38">
      <c r="D608" s="160"/>
      <c r="F608" s="145">
        <f t="shared" si="179"/>
        <v>0</v>
      </c>
      <c r="G608" s="145" t="e">
        <f t="shared" si="180"/>
        <v>#N/A</v>
      </c>
      <c r="H608" s="145" t="e">
        <f t="shared" si="181"/>
        <v>#N/A</v>
      </c>
      <c r="P608" s="342" t="e">
        <f>1-(INDEX(Muuttujat!$O$5:$O$21,MATCH($C608,Muuttujat!$N$5:$N$21,0),1))</f>
        <v>#N/A</v>
      </c>
      <c r="Q608" s="342" t="e">
        <f>INDEX(Muuttujat!$O$5:$O$21,MATCH($C608,Muuttujat!$N$5:$N$21,0),1)</f>
        <v>#N/A</v>
      </c>
      <c r="R608" s="162"/>
      <c r="S608" s="163"/>
      <c r="T608" s="163"/>
      <c r="U608" s="163"/>
      <c r="V608" s="163"/>
      <c r="W608" s="163"/>
      <c r="X608" s="163"/>
      <c r="Y608" s="160"/>
      <c r="Z608" s="164"/>
      <c r="AA608" s="164"/>
      <c r="AB608" s="164"/>
      <c r="AC608" s="164"/>
      <c r="AD608" s="164"/>
      <c r="AE608" s="348"/>
      <c r="AF608" s="348"/>
      <c r="AG608" s="349"/>
      <c r="AH608" s="349"/>
      <c r="AI608" s="349"/>
      <c r="AJ608" s="349"/>
      <c r="AK608" s="349"/>
      <c r="AL608" s="349"/>
    </row>
    <row r="609" spans="4:38">
      <c r="D609" s="160"/>
      <c r="F609" s="145">
        <f t="shared" si="179"/>
        <v>0</v>
      </c>
      <c r="G609" s="145" t="e">
        <f t="shared" si="180"/>
        <v>#N/A</v>
      </c>
      <c r="H609" s="145" t="e">
        <f t="shared" si="181"/>
        <v>#N/A</v>
      </c>
      <c r="P609" s="342" t="e">
        <f>1-(INDEX(Muuttujat!$O$5:$O$21,MATCH($C609,Muuttujat!$N$5:$N$21,0),1))</f>
        <v>#N/A</v>
      </c>
      <c r="Q609" s="342" t="e">
        <f>INDEX(Muuttujat!$O$5:$O$21,MATCH($C609,Muuttujat!$N$5:$N$21,0),1)</f>
        <v>#N/A</v>
      </c>
      <c r="R609" s="162"/>
      <c r="S609" s="163"/>
      <c r="T609" s="163"/>
      <c r="U609" s="163"/>
      <c r="V609" s="163"/>
      <c r="W609" s="163"/>
      <c r="X609" s="163"/>
      <c r="Y609" s="160"/>
      <c r="Z609" s="164"/>
      <c r="AA609" s="164"/>
      <c r="AB609" s="164"/>
      <c r="AC609" s="164"/>
      <c r="AD609" s="164"/>
      <c r="AE609" s="348"/>
      <c r="AF609" s="348"/>
      <c r="AG609" s="349"/>
      <c r="AH609" s="349"/>
      <c r="AI609" s="349"/>
      <c r="AJ609" s="349"/>
      <c r="AK609" s="349"/>
      <c r="AL609" s="349"/>
    </row>
    <row r="610" spans="4:38">
      <c r="D610" s="160"/>
      <c r="F610" s="145">
        <f t="shared" si="179"/>
        <v>0</v>
      </c>
      <c r="G610" s="145" t="e">
        <f t="shared" si="180"/>
        <v>#N/A</v>
      </c>
      <c r="H610" s="145" t="e">
        <f t="shared" si="181"/>
        <v>#N/A</v>
      </c>
      <c r="P610" s="342" t="e">
        <f>1-(INDEX(Muuttujat!$O$5:$O$21,MATCH($C610,Muuttujat!$N$5:$N$21,0),1))</f>
        <v>#N/A</v>
      </c>
      <c r="Q610" s="342" t="e">
        <f>INDEX(Muuttujat!$O$5:$O$21,MATCH($C610,Muuttujat!$N$5:$N$21,0),1)</f>
        <v>#N/A</v>
      </c>
      <c r="R610" s="162"/>
      <c r="S610" s="163"/>
      <c r="T610" s="163"/>
      <c r="U610" s="163"/>
      <c r="V610" s="163"/>
      <c r="W610" s="163"/>
      <c r="X610" s="163"/>
      <c r="Y610" s="160"/>
      <c r="Z610" s="164"/>
      <c r="AA610" s="164"/>
      <c r="AB610" s="164"/>
      <c r="AC610" s="164"/>
      <c r="AD610" s="164"/>
      <c r="AE610" s="348"/>
      <c r="AF610" s="348"/>
      <c r="AG610" s="349"/>
      <c r="AH610" s="349"/>
      <c r="AI610" s="349"/>
      <c r="AJ610" s="349"/>
      <c r="AK610" s="349"/>
      <c r="AL610" s="349"/>
    </row>
    <row r="611" spans="4:38">
      <c r="D611" s="160"/>
      <c r="F611" s="145">
        <f t="shared" si="179"/>
        <v>0</v>
      </c>
      <c r="G611" s="145" t="e">
        <f t="shared" si="180"/>
        <v>#N/A</v>
      </c>
      <c r="H611" s="145" t="e">
        <f t="shared" si="181"/>
        <v>#N/A</v>
      </c>
      <c r="P611" s="342" t="e">
        <f>1-(INDEX(Muuttujat!$O$5:$O$21,MATCH($C611,Muuttujat!$N$5:$N$21,0),1))</f>
        <v>#N/A</v>
      </c>
      <c r="Q611" s="342" t="e">
        <f>INDEX(Muuttujat!$O$5:$O$21,MATCH($C611,Muuttujat!$N$5:$N$21,0),1)</f>
        <v>#N/A</v>
      </c>
      <c r="R611" s="162"/>
      <c r="S611" s="163"/>
      <c r="T611" s="163"/>
      <c r="U611" s="163"/>
      <c r="V611" s="163"/>
      <c r="W611" s="163"/>
      <c r="X611" s="163"/>
      <c r="Y611" s="160"/>
      <c r="Z611" s="164"/>
      <c r="AA611" s="164"/>
      <c r="AB611" s="164"/>
      <c r="AC611" s="164"/>
      <c r="AD611" s="164"/>
      <c r="AE611" s="348"/>
      <c r="AF611" s="348"/>
      <c r="AG611" s="349"/>
      <c r="AH611" s="349"/>
      <c r="AI611" s="349"/>
      <c r="AJ611" s="349"/>
      <c r="AK611" s="349"/>
      <c r="AL611" s="349"/>
    </row>
    <row r="612" spans="4:38">
      <c r="D612" s="160"/>
      <c r="F612" s="145">
        <f t="shared" si="179"/>
        <v>0</v>
      </c>
      <c r="G612" s="145" t="e">
        <f t="shared" si="180"/>
        <v>#N/A</v>
      </c>
      <c r="H612" s="145" t="e">
        <f t="shared" si="181"/>
        <v>#N/A</v>
      </c>
      <c r="P612" s="342" t="e">
        <f>1-(INDEX(Muuttujat!$O$5:$O$21,MATCH($C612,Muuttujat!$N$5:$N$21,0),1))</f>
        <v>#N/A</v>
      </c>
      <c r="Q612" s="342" t="e">
        <f>INDEX(Muuttujat!$O$5:$O$21,MATCH($C612,Muuttujat!$N$5:$N$21,0),1)</f>
        <v>#N/A</v>
      </c>
      <c r="R612" s="162"/>
      <c r="S612" s="163"/>
      <c r="T612" s="163"/>
      <c r="U612" s="163"/>
      <c r="V612" s="163"/>
      <c r="W612" s="163"/>
      <c r="X612" s="163"/>
      <c r="Y612" s="160"/>
      <c r="Z612" s="164"/>
      <c r="AA612" s="164"/>
      <c r="AB612" s="164"/>
      <c r="AC612" s="164"/>
      <c r="AD612" s="164"/>
      <c r="AE612" s="348"/>
      <c r="AF612" s="348"/>
      <c r="AG612" s="349"/>
      <c r="AH612" s="349"/>
      <c r="AI612" s="349"/>
      <c r="AJ612" s="349"/>
      <c r="AK612" s="349"/>
      <c r="AL612" s="349"/>
    </row>
    <row r="613" spans="4:38">
      <c r="D613" s="160"/>
      <c r="F613" s="145">
        <f t="shared" si="179"/>
        <v>0</v>
      </c>
      <c r="G613" s="145" t="e">
        <f t="shared" si="180"/>
        <v>#N/A</v>
      </c>
      <c r="H613" s="145" t="e">
        <f t="shared" si="181"/>
        <v>#N/A</v>
      </c>
      <c r="P613" s="342" t="e">
        <f>1-(INDEX(Muuttujat!$O$5:$O$21,MATCH($C613,Muuttujat!$N$5:$N$21,0),1))</f>
        <v>#N/A</v>
      </c>
      <c r="Q613" s="342" t="e">
        <f>INDEX(Muuttujat!$O$5:$O$21,MATCH($C613,Muuttujat!$N$5:$N$21,0),1)</f>
        <v>#N/A</v>
      </c>
      <c r="R613" s="162"/>
      <c r="S613" s="163"/>
      <c r="T613" s="163"/>
      <c r="U613" s="163"/>
      <c r="V613" s="163"/>
      <c r="W613" s="163"/>
      <c r="X613" s="163"/>
      <c r="Y613" s="160"/>
      <c r="Z613" s="164"/>
      <c r="AA613" s="164"/>
      <c r="AB613" s="164"/>
      <c r="AC613" s="164"/>
      <c r="AD613" s="164"/>
      <c r="AE613" s="348"/>
      <c r="AF613" s="348"/>
      <c r="AG613" s="349"/>
      <c r="AH613" s="349"/>
      <c r="AI613" s="349"/>
      <c r="AJ613" s="349"/>
      <c r="AK613" s="349"/>
      <c r="AL613" s="349"/>
    </row>
    <row r="614" spans="4:38">
      <c r="D614" s="160"/>
      <c r="F614" s="145">
        <f t="shared" si="179"/>
        <v>0</v>
      </c>
      <c r="G614" s="145" t="e">
        <f t="shared" si="180"/>
        <v>#N/A</v>
      </c>
      <c r="H614" s="145" t="e">
        <f t="shared" si="181"/>
        <v>#N/A</v>
      </c>
      <c r="P614" s="342" t="e">
        <f>1-(INDEX(Muuttujat!$O$5:$O$21,MATCH($C614,Muuttujat!$N$5:$N$21,0),1))</f>
        <v>#N/A</v>
      </c>
      <c r="Q614" s="342" t="e">
        <f>INDEX(Muuttujat!$O$5:$O$21,MATCH($C614,Muuttujat!$N$5:$N$21,0),1)</f>
        <v>#N/A</v>
      </c>
      <c r="R614" s="162"/>
      <c r="S614" s="163"/>
      <c r="T614" s="163"/>
      <c r="U614" s="163"/>
      <c r="V614" s="163"/>
      <c r="W614" s="163"/>
      <c r="X614" s="163"/>
      <c r="Y614" s="160"/>
      <c r="Z614" s="164"/>
      <c r="AA614" s="164"/>
      <c r="AB614" s="164"/>
      <c r="AC614" s="164"/>
      <c r="AD614" s="164"/>
      <c r="AE614" s="348"/>
      <c r="AF614" s="348"/>
      <c r="AG614" s="349"/>
      <c r="AH614" s="349"/>
      <c r="AI614" s="349"/>
      <c r="AJ614" s="349"/>
      <c r="AK614" s="349"/>
      <c r="AL614" s="349"/>
    </row>
    <row r="615" spans="4:38">
      <c r="D615" s="160"/>
      <c r="F615" s="145">
        <f t="shared" si="179"/>
        <v>0</v>
      </c>
      <c r="G615" s="145" t="e">
        <f t="shared" si="180"/>
        <v>#N/A</v>
      </c>
      <c r="H615" s="145" t="e">
        <f t="shared" si="181"/>
        <v>#N/A</v>
      </c>
      <c r="P615" s="342" t="e">
        <f>1-(INDEX(Muuttujat!$O$5:$O$21,MATCH($C615,Muuttujat!$N$5:$N$21,0),1))</f>
        <v>#N/A</v>
      </c>
      <c r="Q615" s="342" t="e">
        <f>INDEX(Muuttujat!$O$5:$O$21,MATCH($C615,Muuttujat!$N$5:$N$21,0),1)</f>
        <v>#N/A</v>
      </c>
      <c r="R615" s="162"/>
      <c r="S615" s="163"/>
      <c r="T615" s="163"/>
      <c r="U615" s="163"/>
      <c r="V615" s="163"/>
      <c r="W615" s="163"/>
      <c r="X615" s="163"/>
      <c r="Y615" s="160"/>
      <c r="Z615" s="164"/>
      <c r="AA615" s="164"/>
      <c r="AB615" s="164"/>
      <c r="AC615" s="164"/>
      <c r="AD615" s="164"/>
      <c r="AE615" s="348"/>
      <c r="AF615" s="348"/>
      <c r="AG615" s="349"/>
      <c r="AH615" s="349"/>
      <c r="AI615" s="349"/>
      <c r="AJ615" s="349"/>
      <c r="AK615" s="349"/>
      <c r="AL615" s="349"/>
    </row>
    <row r="616" spans="4:38">
      <c r="D616" s="160"/>
      <c r="F616" s="145">
        <f t="shared" si="179"/>
        <v>0</v>
      </c>
      <c r="G616" s="145" t="e">
        <f t="shared" si="180"/>
        <v>#N/A</v>
      </c>
      <c r="H616" s="145" t="e">
        <f t="shared" si="181"/>
        <v>#N/A</v>
      </c>
      <c r="P616" s="342" t="e">
        <f>1-(INDEX(Muuttujat!$O$5:$O$21,MATCH($C616,Muuttujat!$N$5:$N$21,0),1))</f>
        <v>#N/A</v>
      </c>
      <c r="Q616" s="342" t="e">
        <f>INDEX(Muuttujat!$O$5:$O$21,MATCH($C616,Muuttujat!$N$5:$N$21,0),1)</f>
        <v>#N/A</v>
      </c>
      <c r="R616" s="162"/>
      <c r="S616" s="163"/>
      <c r="T616" s="163"/>
      <c r="U616" s="163"/>
      <c r="V616" s="163"/>
      <c r="W616" s="163"/>
      <c r="X616" s="163"/>
      <c r="Y616" s="160"/>
      <c r="Z616" s="164"/>
      <c r="AA616" s="164"/>
      <c r="AB616" s="164"/>
      <c r="AC616" s="164"/>
      <c r="AD616" s="164"/>
      <c r="AE616" s="348"/>
      <c r="AF616" s="348"/>
      <c r="AG616" s="349"/>
      <c r="AH616" s="349"/>
      <c r="AI616" s="349"/>
      <c r="AJ616" s="349"/>
      <c r="AK616" s="349"/>
      <c r="AL616" s="349"/>
    </row>
    <row r="617" spans="4:38">
      <c r="D617" s="160"/>
      <c r="F617" s="145">
        <f t="shared" si="179"/>
        <v>0</v>
      </c>
      <c r="G617" s="145" t="e">
        <f t="shared" si="180"/>
        <v>#N/A</v>
      </c>
      <c r="H617" s="145" t="e">
        <f t="shared" si="181"/>
        <v>#N/A</v>
      </c>
      <c r="P617" s="342" t="e">
        <f>1-(INDEX(Muuttujat!$O$5:$O$21,MATCH($C617,Muuttujat!$N$5:$N$21,0),1))</f>
        <v>#N/A</v>
      </c>
      <c r="Q617" s="342" t="e">
        <f>INDEX(Muuttujat!$O$5:$O$21,MATCH($C617,Muuttujat!$N$5:$N$21,0),1)</f>
        <v>#N/A</v>
      </c>
      <c r="R617" s="162"/>
      <c r="S617" s="163"/>
      <c r="T617" s="163"/>
      <c r="U617" s="163"/>
      <c r="V617" s="163"/>
      <c r="W617" s="163"/>
      <c r="X617" s="163"/>
      <c r="Y617" s="160"/>
      <c r="Z617" s="164"/>
      <c r="AA617" s="164"/>
      <c r="AB617" s="164"/>
      <c r="AC617" s="164"/>
      <c r="AD617" s="164"/>
      <c r="AE617" s="348"/>
      <c r="AF617" s="348"/>
      <c r="AG617" s="349"/>
      <c r="AH617" s="349"/>
      <c r="AI617" s="349"/>
      <c r="AJ617" s="349"/>
      <c r="AK617" s="349"/>
      <c r="AL617" s="349"/>
    </row>
    <row r="618" spans="4:38">
      <c r="D618" s="160"/>
      <c r="F618" s="145">
        <f t="shared" si="179"/>
        <v>0</v>
      </c>
      <c r="G618" s="145" t="e">
        <f t="shared" si="180"/>
        <v>#N/A</v>
      </c>
      <c r="H618" s="145" t="e">
        <f t="shared" si="181"/>
        <v>#N/A</v>
      </c>
      <c r="P618" s="342" t="e">
        <f>1-(INDEX(Muuttujat!$O$5:$O$21,MATCH($C618,Muuttujat!$N$5:$N$21,0),1))</f>
        <v>#N/A</v>
      </c>
      <c r="Q618" s="342" t="e">
        <f>INDEX(Muuttujat!$O$5:$O$21,MATCH($C618,Muuttujat!$N$5:$N$21,0),1)</f>
        <v>#N/A</v>
      </c>
      <c r="R618" s="162"/>
      <c r="S618" s="163"/>
      <c r="T618" s="163"/>
      <c r="U618" s="163"/>
      <c r="V618" s="163"/>
      <c r="W618" s="163"/>
      <c r="X618" s="163"/>
      <c r="Y618" s="160"/>
      <c r="Z618" s="164"/>
      <c r="AA618" s="164"/>
      <c r="AB618" s="164"/>
      <c r="AC618" s="164"/>
      <c r="AD618" s="164"/>
      <c r="AE618" s="348"/>
      <c r="AF618" s="348"/>
      <c r="AG618" s="349"/>
      <c r="AH618" s="349"/>
      <c r="AI618" s="349"/>
      <c r="AJ618" s="349"/>
      <c r="AK618" s="349"/>
      <c r="AL618" s="349"/>
    </row>
    <row r="619" spans="4:38">
      <c r="D619" s="160"/>
      <c r="F619" s="145">
        <f t="shared" si="179"/>
        <v>0</v>
      </c>
      <c r="G619" s="145" t="e">
        <f t="shared" si="180"/>
        <v>#N/A</v>
      </c>
      <c r="H619" s="145" t="e">
        <f t="shared" si="181"/>
        <v>#N/A</v>
      </c>
      <c r="P619" s="342" t="e">
        <f>1-(INDEX(Muuttujat!$O$5:$O$21,MATCH($C619,Muuttujat!$N$5:$N$21,0),1))</f>
        <v>#N/A</v>
      </c>
      <c r="Q619" s="342" t="e">
        <f>INDEX(Muuttujat!$O$5:$O$21,MATCH($C619,Muuttujat!$N$5:$N$21,0),1)</f>
        <v>#N/A</v>
      </c>
      <c r="R619" s="162"/>
      <c r="S619" s="163"/>
      <c r="T619" s="163"/>
      <c r="U619" s="163"/>
      <c r="V619" s="163"/>
      <c r="W619" s="163"/>
      <c r="X619" s="163"/>
      <c r="Y619" s="160"/>
      <c r="Z619" s="164"/>
      <c r="AA619" s="164"/>
      <c r="AB619" s="164"/>
      <c r="AC619" s="164"/>
      <c r="AD619" s="164"/>
      <c r="AE619" s="348"/>
      <c r="AF619" s="348"/>
      <c r="AG619" s="349"/>
      <c r="AH619" s="349"/>
      <c r="AI619" s="349"/>
      <c r="AJ619" s="349"/>
      <c r="AK619" s="349"/>
      <c r="AL619" s="349"/>
    </row>
    <row r="620" spans="4:38">
      <c r="D620" s="160"/>
      <c r="F620" s="145">
        <f t="shared" si="179"/>
        <v>0</v>
      </c>
      <c r="G620" s="145" t="e">
        <f t="shared" si="180"/>
        <v>#N/A</v>
      </c>
      <c r="H620" s="145" t="e">
        <f t="shared" si="181"/>
        <v>#N/A</v>
      </c>
      <c r="P620" s="342" t="e">
        <f>1-(INDEX(Muuttujat!$O$5:$O$21,MATCH($C620,Muuttujat!$N$5:$N$21,0),1))</f>
        <v>#N/A</v>
      </c>
      <c r="Q620" s="342" t="e">
        <f>INDEX(Muuttujat!$O$5:$O$21,MATCH($C620,Muuttujat!$N$5:$N$21,0),1)</f>
        <v>#N/A</v>
      </c>
      <c r="R620" s="162"/>
      <c r="S620" s="163"/>
      <c r="T620" s="163"/>
      <c r="U620" s="163"/>
      <c r="V620" s="163"/>
      <c r="W620" s="163"/>
      <c r="X620" s="163"/>
      <c r="Y620" s="160"/>
      <c r="Z620" s="164"/>
      <c r="AA620" s="164"/>
      <c r="AB620" s="164"/>
      <c r="AC620" s="164"/>
      <c r="AD620" s="164"/>
      <c r="AE620" s="348"/>
      <c r="AF620" s="348"/>
      <c r="AG620" s="349"/>
      <c r="AH620" s="349"/>
      <c r="AI620" s="349"/>
      <c r="AJ620" s="349"/>
      <c r="AK620" s="349"/>
      <c r="AL620" s="349"/>
    </row>
    <row r="621" spans="4:38">
      <c r="D621" s="160"/>
      <c r="F621" s="145">
        <f t="shared" si="179"/>
        <v>0</v>
      </c>
      <c r="G621" s="145" t="e">
        <f t="shared" si="180"/>
        <v>#N/A</v>
      </c>
      <c r="H621" s="145" t="e">
        <f t="shared" si="181"/>
        <v>#N/A</v>
      </c>
      <c r="P621" s="342" t="e">
        <f>1-(INDEX(Muuttujat!$O$5:$O$21,MATCH($C621,Muuttujat!$N$5:$N$21,0),1))</f>
        <v>#N/A</v>
      </c>
      <c r="Q621" s="342" t="e">
        <f>INDEX(Muuttujat!$O$5:$O$21,MATCH($C621,Muuttujat!$N$5:$N$21,0),1)</f>
        <v>#N/A</v>
      </c>
      <c r="R621" s="162"/>
      <c r="S621" s="163"/>
      <c r="T621" s="163"/>
      <c r="U621" s="163"/>
      <c r="V621" s="163"/>
      <c r="W621" s="163"/>
      <c r="X621" s="163"/>
      <c r="Y621" s="160"/>
      <c r="Z621" s="164"/>
      <c r="AA621" s="164"/>
      <c r="AB621" s="164"/>
      <c r="AC621" s="164"/>
      <c r="AD621" s="164"/>
      <c r="AE621" s="348"/>
      <c r="AF621" s="348"/>
      <c r="AG621" s="349"/>
      <c r="AH621" s="349"/>
      <c r="AI621" s="349"/>
      <c r="AJ621" s="349"/>
      <c r="AK621" s="349"/>
      <c r="AL621" s="349"/>
    </row>
    <row r="622" spans="4:38">
      <c r="D622" s="160"/>
      <c r="F622" s="145">
        <f t="shared" si="179"/>
        <v>0</v>
      </c>
      <c r="G622" s="145" t="e">
        <f t="shared" si="180"/>
        <v>#N/A</v>
      </c>
      <c r="H622" s="145" t="e">
        <f t="shared" si="181"/>
        <v>#N/A</v>
      </c>
      <c r="P622" s="342" t="e">
        <f>1-(INDEX(Muuttujat!$O$5:$O$21,MATCH($C622,Muuttujat!$N$5:$N$21,0),1))</f>
        <v>#N/A</v>
      </c>
      <c r="Q622" s="342" t="e">
        <f>INDEX(Muuttujat!$O$5:$O$21,MATCH($C622,Muuttujat!$N$5:$N$21,0),1)</f>
        <v>#N/A</v>
      </c>
      <c r="R622" s="162"/>
      <c r="S622" s="163"/>
      <c r="T622" s="163"/>
      <c r="U622" s="163"/>
      <c r="V622" s="163"/>
      <c r="W622" s="163"/>
      <c r="X622" s="163"/>
      <c r="Y622" s="160"/>
      <c r="Z622" s="164"/>
      <c r="AA622" s="164"/>
      <c r="AB622" s="164"/>
      <c r="AC622" s="164"/>
      <c r="AD622" s="164"/>
      <c r="AE622" s="348"/>
      <c r="AF622" s="348"/>
      <c r="AG622" s="349"/>
      <c r="AH622" s="349"/>
      <c r="AI622" s="349"/>
      <c r="AJ622" s="349"/>
      <c r="AK622" s="349"/>
      <c r="AL622" s="349"/>
    </row>
    <row r="623" spans="4:38">
      <c r="D623" s="160"/>
      <c r="F623" s="145">
        <f t="shared" si="179"/>
        <v>0</v>
      </c>
      <c r="G623" s="145" t="e">
        <f t="shared" si="180"/>
        <v>#N/A</v>
      </c>
      <c r="H623" s="145" t="e">
        <f t="shared" si="181"/>
        <v>#N/A</v>
      </c>
      <c r="P623" s="342" t="e">
        <f>1-(INDEX(Muuttujat!$O$5:$O$21,MATCH($C623,Muuttujat!$N$5:$N$21,0),1))</f>
        <v>#N/A</v>
      </c>
      <c r="Q623" s="342" t="e">
        <f>INDEX(Muuttujat!$O$5:$O$21,MATCH($C623,Muuttujat!$N$5:$N$21,0),1)</f>
        <v>#N/A</v>
      </c>
      <c r="R623" s="162"/>
      <c r="S623" s="163"/>
      <c r="T623" s="163"/>
      <c r="U623" s="163"/>
      <c r="V623" s="163"/>
      <c r="W623" s="163"/>
      <c r="X623" s="163"/>
      <c r="Y623" s="160"/>
      <c r="Z623" s="164"/>
      <c r="AA623" s="164"/>
      <c r="AB623" s="164"/>
      <c r="AC623" s="164"/>
      <c r="AD623" s="164"/>
      <c r="AE623" s="348"/>
      <c r="AF623" s="348"/>
      <c r="AG623" s="349"/>
      <c r="AH623" s="349"/>
      <c r="AI623" s="349"/>
      <c r="AJ623" s="349"/>
      <c r="AK623" s="349"/>
      <c r="AL623" s="349"/>
    </row>
    <row r="624" spans="4:38">
      <c r="D624" s="160"/>
      <c r="F624" s="145">
        <f t="shared" si="179"/>
        <v>0</v>
      </c>
      <c r="G624" s="145" t="e">
        <f t="shared" si="180"/>
        <v>#N/A</v>
      </c>
      <c r="H624" s="145" t="e">
        <f t="shared" si="181"/>
        <v>#N/A</v>
      </c>
      <c r="P624" s="342" t="e">
        <f>1-(INDEX(Muuttujat!$O$5:$O$21,MATCH($C624,Muuttujat!$N$5:$N$21,0),1))</f>
        <v>#N/A</v>
      </c>
      <c r="Q624" s="342" t="e">
        <f>INDEX(Muuttujat!$O$5:$O$21,MATCH($C624,Muuttujat!$N$5:$N$21,0),1)</f>
        <v>#N/A</v>
      </c>
      <c r="R624" s="162"/>
      <c r="S624" s="163"/>
      <c r="T624" s="163"/>
      <c r="U624" s="163"/>
      <c r="V624" s="163"/>
      <c r="W624" s="163"/>
      <c r="X624" s="163"/>
      <c r="Y624" s="160"/>
      <c r="Z624" s="164"/>
      <c r="AA624" s="164"/>
      <c r="AB624" s="164"/>
      <c r="AC624" s="164"/>
      <c r="AD624" s="164"/>
      <c r="AE624" s="348"/>
      <c r="AF624" s="348"/>
      <c r="AG624" s="349"/>
      <c r="AH624" s="349"/>
      <c r="AI624" s="349"/>
      <c r="AJ624" s="349"/>
      <c r="AK624" s="349"/>
      <c r="AL624" s="349"/>
    </row>
    <row r="625" spans="4:38">
      <c r="D625" s="160"/>
      <c r="F625" s="145">
        <f t="shared" si="179"/>
        <v>0</v>
      </c>
      <c r="G625" s="145" t="e">
        <f t="shared" si="180"/>
        <v>#N/A</v>
      </c>
      <c r="H625" s="145" t="e">
        <f t="shared" si="181"/>
        <v>#N/A</v>
      </c>
      <c r="P625" s="342" t="e">
        <f>1-(INDEX(Muuttujat!$O$5:$O$21,MATCH($C625,Muuttujat!$N$5:$N$21,0),1))</f>
        <v>#N/A</v>
      </c>
      <c r="Q625" s="342" t="e">
        <f>INDEX(Muuttujat!$O$5:$O$21,MATCH($C625,Muuttujat!$N$5:$N$21,0),1)</f>
        <v>#N/A</v>
      </c>
      <c r="R625" s="162"/>
      <c r="S625" s="163"/>
      <c r="T625" s="163"/>
      <c r="U625" s="163"/>
      <c r="V625" s="163"/>
      <c r="W625" s="163"/>
      <c r="X625" s="163"/>
      <c r="Y625" s="160"/>
      <c r="Z625" s="164"/>
      <c r="AA625" s="164"/>
      <c r="AB625" s="164"/>
      <c r="AC625" s="164"/>
      <c r="AD625" s="164"/>
      <c r="AE625" s="348"/>
      <c r="AF625" s="348"/>
      <c r="AG625" s="349"/>
      <c r="AH625" s="349"/>
      <c r="AI625" s="349"/>
      <c r="AJ625" s="349"/>
      <c r="AK625" s="349"/>
      <c r="AL625" s="349"/>
    </row>
    <row r="626" spans="4:38">
      <c r="D626" s="160"/>
      <c r="F626" s="145">
        <f t="shared" si="179"/>
        <v>0</v>
      </c>
      <c r="G626" s="145" t="e">
        <f t="shared" si="180"/>
        <v>#N/A</v>
      </c>
      <c r="H626" s="145" t="e">
        <f t="shared" si="181"/>
        <v>#N/A</v>
      </c>
      <c r="P626" s="342" t="e">
        <f>1-(INDEX(Muuttujat!$O$5:$O$21,MATCH($C626,Muuttujat!$N$5:$N$21,0),1))</f>
        <v>#N/A</v>
      </c>
      <c r="Q626" s="342" t="e">
        <f>INDEX(Muuttujat!$O$5:$O$21,MATCH($C626,Muuttujat!$N$5:$N$21,0),1)</f>
        <v>#N/A</v>
      </c>
      <c r="R626" s="162"/>
      <c r="S626" s="163"/>
      <c r="T626" s="163"/>
      <c r="U626" s="163"/>
      <c r="V626" s="163"/>
      <c r="W626" s="163"/>
      <c r="X626" s="163"/>
      <c r="Y626" s="160"/>
      <c r="Z626" s="164"/>
      <c r="AA626" s="164"/>
      <c r="AB626" s="164"/>
      <c r="AC626" s="164"/>
      <c r="AD626" s="164"/>
      <c r="AE626" s="348"/>
      <c r="AF626" s="348"/>
      <c r="AG626" s="349"/>
      <c r="AH626" s="349"/>
      <c r="AI626" s="349"/>
      <c r="AJ626" s="349"/>
      <c r="AK626" s="349"/>
      <c r="AL626" s="349"/>
    </row>
    <row r="627" spans="4:38">
      <c r="D627" s="160"/>
      <c r="F627" s="145">
        <f t="shared" si="179"/>
        <v>0</v>
      </c>
      <c r="G627" s="145" t="e">
        <f t="shared" si="180"/>
        <v>#N/A</v>
      </c>
      <c r="H627" s="145" t="e">
        <f t="shared" si="181"/>
        <v>#N/A</v>
      </c>
      <c r="P627" s="342" t="e">
        <f>1-(INDEX(Muuttujat!$O$5:$O$21,MATCH($C627,Muuttujat!$N$5:$N$21,0),1))</f>
        <v>#N/A</v>
      </c>
      <c r="Q627" s="342" t="e">
        <f>INDEX(Muuttujat!$O$5:$O$21,MATCH($C627,Muuttujat!$N$5:$N$21,0),1)</f>
        <v>#N/A</v>
      </c>
      <c r="R627" s="162"/>
      <c r="S627" s="163"/>
      <c r="T627" s="163"/>
      <c r="U627" s="163"/>
      <c r="V627" s="163"/>
      <c r="W627" s="163"/>
      <c r="X627" s="163"/>
      <c r="Y627" s="160"/>
      <c r="Z627" s="164"/>
      <c r="AA627" s="164"/>
      <c r="AB627" s="164"/>
      <c r="AC627" s="164"/>
      <c r="AD627" s="164"/>
      <c r="AE627" s="348"/>
      <c r="AF627" s="348"/>
      <c r="AG627" s="349"/>
      <c r="AH627" s="349"/>
      <c r="AI627" s="349"/>
      <c r="AJ627" s="349"/>
      <c r="AK627" s="349"/>
      <c r="AL627" s="349"/>
    </row>
    <row r="628" spans="4:38">
      <c r="D628" s="160"/>
      <c r="F628" s="145">
        <f t="shared" si="179"/>
        <v>0</v>
      </c>
      <c r="G628" s="145" t="e">
        <f t="shared" si="180"/>
        <v>#N/A</v>
      </c>
      <c r="H628" s="145" t="e">
        <f t="shared" si="181"/>
        <v>#N/A</v>
      </c>
      <c r="P628" s="342" t="e">
        <f>1-(INDEX(Muuttujat!$O$5:$O$21,MATCH($C628,Muuttujat!$N$5:$N$21,0),1))</f>
        <v>#N/A</v>
      </c>
      <c r="Q628" s="342" t="e">
        <f>INDEX(Muuttujat!$O$5:$O$21,MATCH($C628,Muuttujat!$N$5:$N$21,0),1)</f>
        <v>#N/A</v>
      </c>
      <c r="R628" s="162"/>
      <c r="S628" s="163"/>
      <c r="T628" s="163"/>
      <c r="U628" s="163"/>
      <c r="V628" s="163"/>
      <c r="W628" s="163"/>
      <c r="X628" s="163"/>
      <c r="Y628" s="160"/>
      <c r="Z628" s="164"/>
      <c r="AA628" s="164"/>
      <c r="AB628" s="164"/>
      <c r="AC628" s="164"/>
      <c r="AD628" s="164"/>
      <c r="AE628" s="348"/>
      <c r="AF628" s="348"/>
      <c r="AG628" s="349"/>
      <c r="AH628" s="349"/>
      <c r="AI628" s="349"/>
      <c r="AJ628" s="349"/>
      <c r="AK628" s="349"/>
      <c r="AL628" s="349"/>
    </row>
    <row r="629" spans="4:38">
      <c r="D629" s="160"/>
      <c r="F629" s="145">
        <f t="shared" si="179"/>
        <v>0</v>
      </c>
      <c r="G629" s="145" t="e">
        <f t="shared" si="180"/>
        <v>#N/A</v>
      </c>
      <c r="H629" s="145" t="e">
        <f t="shared" si="181"/>
        <v>#N/A</v>
      </c>
      <c r="P629" s="342" t="e">
        <f>1-(INDEX(Muuttujat!$O$5:$O$21,MATCH($C629,Muuttujat!$N$5:$N$21,0),1))</f>
        <v>#N/A</v>
      </c>
      <c r="Q629" s="342" t="e">
        <f>INDEX(Muuttujat!$O$5:$O$21,MATCH($C629,Muuttujat!$N$5:$N$21,0),1)</f>
        <v>#N/A</v>
      </c>
      <c r="R629" s="162"/>
      <c r="S629" s="163"/>
      <c r="T629" s="163"/>
      <c r="U629" s="163"/>
      <c r="V629" s="163"/>
      <c r="W629" s="163"/>
      <c r="X629" s="163"/>
      <c r="Y629" s="160"/>
      <c r="Z629" s="164"/>
      <c r="AA629" s="164"/>
      <c r="AB629" s="164"/>
      <c r="AC629" s="164"/>
      <c r="AD629" s="164"/>
      <c r="AE629" s="348"/>
      <c r="AF629" s="348"/>
      <c r="AG629" s="349"/>
      <c r="AH629" s="349"/>
      <c r="AI629" s="349"/>
      <c r="AJ629" s="349"/>
      <c r="AK629" s="349"/>
      <c r="AL629" s="349"/>
    </row>
    <row r="630" spans="4:38">
      <c r="D630" s="160"/>
      <c r="F630" s="145">
        <f t="shared" si="179"/>
        <v>0</v>
      </c>
      <c r="G630" s="145" t="e">
        <f t="shared" si="180"/>
        <v>#N/A</v>
      </c>
      <c r="H630" s="145" t="e">
        <f t="shared" si="181"/>
        <v>#N/A</v>
      </c>
      <c r="P630" s="342" t="e">
        <f>1-(INDEX(Muuttujat!$O$5:$O$21,MATCH($C630,Muuttujat!$N$5:$N$21,0),1))</f>
        <v>#N/A</v>
      </c>
      <c r="Q630" s="342" t="e">
        <f>INDEX(Muuttujat!$O$5:$O$21,MATCH($C630,Muuttujat!$N$5:$N$21,0),1)</f>
        <v>#N/A</v>
      </c>
      <c r="R630" s="162"/>
      <c r="S630" s="163"/>
      <c r="T630" s="163"/>
      <c r="U630" s="163"/>
      <c r="V630" s="163"/>
      <c r="W630" s="163"/>
      <c r="X630" s="163"/>
      <c r="Y630" s="160"/>
      <c r="Z630" s="164"/>
      <c r="AA630" s="164"/>
      <c r="AB630" s="164"/>
      <c r="AC630" s="164"/>
      <c r="AD630" s="164"/>
      <c r="AE630" s="348"/>
      <c r="AF630" s="348"/>
      <c r="AG630" s="349"/>
      <c r="AH630" s="349"/>
      <c r="AI630" s="349"/>
      <c r="AJ630" s="349"/>
      <c r="AK630" s="349"/>
      <c r="AL630" s="349"/>
    </row>
    <row r="631" spans="4:38">
      <c r="D631" s="160"/>
      <c r="F631" s="145">
        <f t="shared" si="179"/>
        <v>0</v>
      </c>
      <c r="G631" s="145" t="e">
        <f t="shared" si="180"/>
        <v>#N/A</v>
      </c>
      <c r="H631" s="145" t="e">
        <f t="shared" si="181"/>
        <v>#N/A</v>
      </c>
      <c r="P631" s="342" t="e">
        <f>1-(INDEX(Muuttujat!$O$5:$O$21,MATCH($C631,Muuttujat!$N$5:$N$21,0),1))</f>
        <v>#N/A</v>
      </c>
      <c r="Q631" s="342" t="e">
        <f>INDEX(Muuttujat!$O$5:$O$21,MATCH($C631,Muuttujat!$N$5:$N$21,0),1)</f>
        <v>#N/A</v>
      </c>
      <c r="R631" s="162"/>
      <c r="S631" s="163"/>
      <c r="T631" s="163"/>
      <c r="U631" s="163"/>
      <c r="V631" s="163"/>
      <c r="W631" s="163"/>
      <c r="X631" s="163"/>
      <c r="Y631" s="160"/>
      <c r="Z631" s="164"/>
      <c r="AA631" s="164"/>
      <c r="AB631" s="164"/>
      <c r="AC631" s="164"/>
      <c r="AD631" s="164"/>
      <c r="AE631" s="348"/>
      <c r="AF631" s="348"/>
      <c r="AG631" s="349"/>
      <c r="AH631" s="349"/>
      <c r="AI631" s="349"/>
      <c r="AJ631" s="349"/>
      <c r="AK631" s="349"/>
      <c r="AL631" s="349"/>
    </row>
    <row r="632" spans="4:38">
      <c r="D632" s="160"/>
      <c r="F632" s="145">
        <f t="shared" si="179"/>
        <v>0</v>
      </c>
      <c r="G632" s="145" t="e">
        <f t="shared" si="180"/>
        <v>#N/A</v>
      </c>
      <c r="H632" s="145" t="e">
        <f t="shared" si="181"/>
        <v>#N/A</v>
      </c>
      <c r="P632" s="342" t="e">
        <f>1-(INDEX(Muuttujat!$O$5:$O$21,MATCH($C632,Muuttujat!$N$5:$N$21,0),1))</f>
        <v>#N/A</v>
      </c>
      <c r="Q632" s="342" t="e">
        <f>INDEX(Muuttujat!$O$5:$O$21,MATCH($C632,Muuttujat!$N$5:$N$21,0),1)</f>
        <v>#N/A</v>
      </c>
      <c r="R632" s="162"/>
      <c r="S632" s="163"/>
      <c r="T632" s="163"/>
      <c r="U632" s="163"/>
      <c r="V632" s="163"/>
      <c r="W632" s="163"/>
      <c r="X632" s="163"/>
      <c r="Y632" s="160"/>
      <c r="Z632" s="164"/>
      <c r="AA632" s="164"/>
      <c r="AB632" s="164"/>
      <c r="AC632" s="164"/>
      <c r="AD632" s="164"/>
      <c r="AE632" s="348"/>
      <c r="AF632" s="348"/>
      <c r="AG632" s="349"/>
      <c r="AH632" s="349"/>
      <c r="AI632" s="349"/>
      <c r="AJ632" s="349"/>
      <c r="AK632" s="349"/>
      <c r="AL632" s="349"/>
    </row>
    <row r="633" spans="4:38">
      <c r="D633" s="160"/>
      <c r="F633" s="145">
        <f t="shared" si="179"/>
        <v>0</v>
      </c>
      <c r="G633" s="145" t="e">
        <f t="shared" si="180"/>
        <v>#N/A</v>
      </c>
      <c r="H633" s="145" t="e">
        <f t="shared" si="181"/>
        <v>#N/A</v>
      </c>
      <c r="P633" s="342" t="e">
        <f>1-(INDEX(Muuttujat!$O$5:$O$21,MATCH($C633,Muuttujat!$N$5:$N$21,0),1))</f>
        <v>#N/A</v>
      </c>
      <c r="Q633" s="342" t="e">
        <f>INDEX(Muuttujat!$O$5:$O$21,MATCH($C633,Muuttujat!$N$5:$N$21,0),1)</f>
        <v>#N/A</v>
      </c>
      <c r="R633" s="162"/>
      <c r="S633" s="163"/>
      <c r="T633" s="163"/>
      <c r="U633" s="163"/>
      <c r="V633" s="163"/>
      <c r="W633" s="163"/>
      <c r="X633" s="163"/>
      <c r="Y633" s="160"/>
      <c r="Z633" s="164"/>
      <c r="AA633" s="164"/>
      <c r="AB633" s="164"/>
      <c r="AC633" s="164"/>
      <c r="AD633" s="164"/>
      <c r="AE633" s="348"/>
      <c r="AF633" s="348"/>
      <c r="AG633" s="349"/>
      <c r="AH633" s="349"/>
      <c r="AI633" s="349"/>
      <c r="AJ633" s="349"/>
      <c r="AK633" s="349"/>
      <c r="AL633" s="349"/>
    </row>
    <row r="634" spans="4:38">
      <c r="D634" s="160"/>
      <c r="F634" s="145">
        <f t="shared" si="179"/>
        <v>0</v>
      </c>
      <c r="G634" s="145" t="e">
        <f t="shared" si="180"/>
        <v>#N/A</v>
      </c>
      <c r="H634" s="145" t="e">
        <f t="shared" si="181"/>
        <v>#N/A</v>
      </c>
      <c r="P634" s="342" t="e">
        <f>1-(INDEX(Muuttujat!$O$5:$O$21,MATCH($C634,Muuttujat!$N$5:$N$21,0),1))</f>
        <v>#N/A</v>
      </c>
      <c r="Q634" s="342" t="e">
        <f>INDEX(Muuttujat!$O$5:$O$21,MATCH($C634,Muuttujat!$N$5:$N$21,0),1)</f>
        <v>#N/A</v>
      </c>
      <c r="R634" s="162"/>
      <c r="S634" s="163"/>
      <c r="T634" s="163"/>
      <c r="U634" s="163"/>
      <c r="V634" s="163"/>
      <c r="W634" s="163"/>
      <c r="X634" s="163"/>
      <c r="Y634" s="160"/>
      <c r="Z634" s="164"/>
      <c r="AA634" s="164"/>
      <c r="AB634" s="164"/>
      <c r="AC634" s="164"/>
      <c r="AD634" s="164"/>
      <c r="AE634" s="348"/>
      <c r="AF634" s="348"/>
      <c r="AG634" s="349"/>
      <c r="AH634" s="349"/>
      <c r="AI634" s="349"/>
      <c r="AJ634" s="349"/>
      <c r="AK634" s="349"/>
      <c r="AL634" s="349"/>
    </row>
    <row r="635" spans="4:38">
      <c r="D635" s="160"/>
      <c r="F635" s="145">
        <f t="shared" si="179"/>
        <v>0</v>
      </c>
      <c r="G635" s="145" t="e">
        <f t="shared" si="180"/>
        <v>#N/A</v>
      </c>
      <c r="H635" s="145" t="e">
        <f t="shared" si="181"/>
        <v>#N/A</v>
      </c>
      <c r="P635" s="342" t="e">
        <f>1-(INDEX(Muuttujat!$O$5:$O$21,MATCH($C635,Muuttujat!$N$5:$N$21,0),1))</f>
        <v>#N/A</v>
      </c>
      <c r="Q635" s="342" t="e">
        <f>INDEX(Muuttujat!$O$5:$O$21,MATCH($C635,Muuttujat!$N$5:$N$21,0),1)</f>
        <v>#N/A</v>
      </c>
      <c r="R635" s="162"/>
      <c r="S635" s="163"/>
      <c r="T635" s="163"/>
      <c r="U635" s="163"/>
      <c r="V635" s="163"/>
      <c r="W635" s="163"/>
      <c r="X635" s="163"/>
      <c r="Y635" s="160"/>
      <c r="Z635" s="164"/>
      <c r="AA635" s="164"/>
      <c r="AB635" s="164"/>
      <c r="AC635" s="164"/>
      <c r="AD635" s="164"/>
      <c r="AE635" s="348"/>
      <c r="AF635" s="348"/>
      <c r="AG635" s="349"/>
      <c r="AH635" s="349"/>
      <c r="AI635" s="349"/>
      <c r="AJ635" s="349"/>
      <c r="AK635" s="349"/>
      <c r="AL635" s="349"/>
    </row>
    <row r="636" spans="4:38">
      <c r="D636" s="160"/>
      <c r="F636" s="145">
        <f t="shared" si="179"/>
        <v>0</v>
      </c>
      <c r="G636" s="145" t="e">
        <f t="shared" si="180"/>
        <v>#N/A</v>
      </c>
      <c r="H636" s="145" t="e">
        <f t="shared" si="181"/>
        <v>#N/A</v>
      </c>
      <c r="P636" s="342" t="e">
        <f>1-(INDEX(Muuttujat!$O$5:$O$21,MATCH($C636,Muuttujat!$N$5:$N$21,0),1))</f>
        <v>#N/A</v>
      </c>
      <c r="Q636" s="342" t="e">
        <f>INDEX(Muuttujat!$O$5:$O$21,MATCH($C636,Muuttujat!$N$5:$N$21,0),1)</f>
        <v>#N/A</v>
      </c>
      <c r="R636" s="162"/>
      <c r="S636" s="163"/>
      <c r="T636" s="163"/>
      <c r="U636" s="163"/>
      <c r="V636" s="163"/>
      <c r="W636" s="163"/>
      <c r="X636" s="163"/>
      <c r="Y636" s="160"/>
      <c r="Z636" s="164"/>
      <c r="AA636" s="164"/>
      <c r="AB636" s="164"/>
      <c r="AC636" s="164"/>
      <c r="AD636" s="164"/>
      <c r="AE636" s="348"/>
      <c r="AF636" s="348"/>
      <c r="AG636" s="349"/>
      <c r="AH636" s="349"/>
      <c r="AI636" s="349"/>
      <c r="AJ636" s="349"/>
      <c r="AK636" s="349"/>
      <c r="AL636" s="349"/>
    </row>
    <row r="637" spans="4:38">
      <c r="D637" s="160"/>
      <c r="F637" s="145">
        <f t="shared" si="179"/>
        <v>0</v>
      </c>
      <c r="G637" s="145" t="e">
        <f t="shared" si="180"/>
        <v>#N/A</v>
      </c>
      <c r="H637" s="145" t="e">
        <f t="shared" si="181"/>
        <v>#N/A</v>
      </c>
      <c r="P637" s="342" t="e">
        <f>1-(INDEX(Muuttujat!$O$5:$O$21,MATCH($C637,Muuttujat!$N$5:$N$21,0),1))</f>
        <v>#N/A</v>
      </c>
      <c r="Q637" s="342" t="e">
        <f>INDEX(Muuttujat!$O$5:$O$21,MATCH($C637,Muuttujat!$N$5:$N$21,0),1)</f>
        <v>#N/A</v>
      </c>
      <c r="R637" s="162"/>
      <c r="S637" s="163"/>
      <c r="T637" s="163"/>
      <c r="U637" s="163"/>
      <c r="V637" s="163"/>
      <c r="W637" s="163"/>
      <c r="X637" s="163"/>
      <c r="Y637" s="160"/>
      <c r="Z637" s="164"/>
      <c r="AA637" s="164"/>
      <c r="AB637" s="164"/>
      <c r="AC637" s="164"/>
      <c r="AD637" s="164"/>
      <c r="AE637" s="348"/>
      <c r="AF637" s="348"/>
      <c r="AG637" s="349"/>
      <c r="AH637" s="349"/>
      <c r="AI637" s="349"/>
      <c r="AJ637" s="349"/>
      <c r="AK637" s="349"/>
      <c r="AL637" s="349"/>
    </row>
    <row r="638" spans="4:38">
      <c r="D638" s="160"/>
      <c r="F638" s="145">
        <f t="shared" si="179"/>
        <v>0</v>
      </c>
      <c r="G638" s="145" t="e">
        <f t="shared" si="180"/>
        <v>#N/A</v>
      </c>
      <c r="H638" s="145" t="e">
        <f t="shared" si="181"/>
        <v>#N/A</v>
      </c>
      <c r="P638" s="342" t="e">
        <f>1-(INDEX(Muuttujat!$O$5:$O$21,MATCH($C638,Muuttujat!$N$5:$N$21,0),1))</f>
        <v>#N/A</v>
      </c>
      <c r="Q638" s="342" t="e">
        <f>INDEX(Muuttujat!$O$5:$O$21,MATCH($C638,Muuttujat!$N$5:$N$21,0),1)</f>
        <v>#N/A</v>
      </c>
      <c r="R638" s="162"/>
      <c r="S638" s="163"/>
      <c r="T638" s="163"/>
      <c r="U638" s="163"/>
      <c r="V638" s="163"/>
      <c r="W638" s="163"/>
      <c r="X638" s="163"/>
      <c r="Y638" s="160"/>
      <c r="Z638" s="164"/>
      <c r="AA638" s="164"/>
      <c r="AB638" s="164"/>
      <c r="AC638" s="164"/>
      <c r="AD638" s="164"/>
      <c r="AE638" s="348"/>
      <c r="AF638" s="348"/>
      <c r="AG638" s="349"/>
      <c r="AH638" s="349"/>
      <c r="AI638" s="349"/>
      <c r="AJ638" s="349"/>
      <c r="AK638" s="349"/>
      <c r="AL638" s="349"/>
    </row>
    <row r="639" spans="4:38">
      <c r="D639" s="160"/>
      <c r="F639" s="145">
        <f t="shared" si="179"/>
        <v>0</v>
      </c>
      <c r="G639" s="145" t="e">
        <f t="shared" si="180"/>
        <v>#N/A</v>
      </c>
      <c r="H639" s="145" t="e">
        <f t="shared" si="181"/>
        <v>#N/A</v>
      </c>
      <c r="P639" s="342" t="e">
        <f>1-(INDEX(Muuttujat!$O$5:$O$21,MATCH($C639,Muuttujat!$N$5:$N$21,0),1))</f>
        <v>#N/A</v>
      </c>
      <c r="Q639" s="342" t="e">
        <f>INDEX(Muuttujat!$O$5:$O$21,MATCH($C639,Muuttujat!$N$5:$N$21,0),1)</f>
        <v>#N/A</v>
      </c>
      <c r="R639" s="162"/>
      <c r="S639" s="163"/>
      <c r="T639" s="163"/>
      <c r="U639" s="163"/>
      <c r="V639" s="163"/>
      <c r="W639" s="163"/>
      <c r="X639" s="163"/>
      <c r="Y639" s="160"/>
      <c r="Z639" s="164"/>
      <c r="AA639" s="164"/>
      <c r="AB639" s="164"/>
      <c r="AC639" s="164"/>
      <c r="AD639" s="164"/>
      <c r="AE639" s="348"/>
      <c r="AF639" s="348"/>
      <c r="AG639" s="349"/>
      <c r="AH639" s="349"/>
      <c r="AI639" s="349"/>
      <c r="AJ639" s="349"/>
      <c r="AK639" s="349"/>
      <c r="AL639" s="349"/>
    </row>
    <row r="640" spans="4:38">
      <c r="D640" s="160"/>
      <c r="F640" s="145">
        <f t="shared" si="179"/>
        <v>0</v>
      </c>
      <c r="G640" s="145" t="e">
        <f t="shared" si="180"/>
        <v>#N/A</v>
      </c>
      <c r="H640" s="145" t="e">
        <f t="shared" si="181"/>
        <v>#N/A</v>
      </c>
      <c r="P640" s="342" t="e">
        <f>1-(INDEX(Muuttujat!$O$5:$O$21,MATCH($C640,Muuttujat!$N$5:$N$21,0),1))</f>
        <v>#N/A</v>
      </c>
      <c r="Q640" s="342" t="e">
        <f>INDEX(Muuttujat!$O$5:$O$21,MATCH($C640,Muuttujat!$N$5:$N$21,0),1)</f>
        <v>#N/A</v>
      </c>
      <c r="R640" s="162"/>
      <c r="S640" s="163"/>
      <c r="T640" s="163"/>
      <c r="U640" s="163"/>
      <c r="V640" s="163"/>
      <c r="W640" s="163"/>
      <c r="X640" s="163"/>
      <c r="Y640" s="160"/>
      <c r="Z640" s="164"/>
      <c r="AA640" s="164"/>
      <c r="AB640" s="164"/>
      <c r="AC640" s="164"/>
      <c r="AD640" s="164"/>
      <c r="AE640" s="348"/>
      <c r="AF640" s="348"/>
      <c r="AG640" s="349"/>
      <c r="AH640" s="349"/>
      <c r="AI640" s="349"/>
      <c r="AJ640" s="349"/>
      <c r="AK640" s="349"/>
      <c r="AL640" s="349"/>
    </row>
    <row r="641" spans="4:38">
      <c r="D641" s="160"/>
      <c r="F641" s="145">
        <f t="shared" si="179"/>
        <v>0</v>
      </c>
      <c r="G641" s="145" t="e">
        <f t="shared" si="180"/>
        <v>#N/A</v>
      </c>
      <c r="H641" s="145" t="e">
        <f t="shared" si="181"/>
        <v>#N/A</v>
      </c>
      <c r="P641" s="342" t="e">
        <f>1-(INDEX(Muuttujat!$O$5:$O$21,MATCH($C641,Muuttujat!$N$5:$N$21,0),1))</f>
        <v>#N/A</v>
      </c>
      <c r="Q641" s="342" t="e">
        <f>INDEX(Muuttujat!$O$5:$O$21,MATCH($C641,Muuttujat!$N$5:$N$21,0),1)</f>
        <v>#N/A</v>
      </c>
      <c r="R641" s="162"/>
      <c r="S641" s="163"/>
      <c r="T641" s="163"/>
      <c r="U641" s="163"/>
      <c r="V641" s="163"/>
      <c r="W641" s="163"/>
      <c r="X641" s="163"/>
      <c r="Y641" s="160"/>
      <c r="Z641" s="164"/>
      <c r="AA641" s="164"/>
      <c r="AB641" s="164"/>
      <c r="AC641" s="164"/>
      <c r="AD641" s="164"/>
      <c r="AE641" s="348"/>
      <c r="AF641" s="348"/>
      <c r="AG641" s="349"/>
      <c r="AH641" s="349"/>
      <c r="AI641" s="349"/>
      <c r="AJ641" s="349"/>
      <c r="AK641" s="349"/>
      <c r="AL641" s="349"/>
    </row>
    <row r="642" spans="4:38">
      <c r="D642" s="160"/>
      <c r="F642" s="145">
        <f t="shared" si="179"/>
        <v>0</v>
      </c>
      <c r="G642" s="145" t="e">
        <f t="shared" si="180"/>
        <v>#N/A</v>
      </c>
      <c r="H642" s="145" t="e">
        <f t="shared" si="181"/>
        <v>#N/A</v>
      </c>
      <c r="P642" s="342" t="e">
        <f>1-(INDEX(Muuttujat!$O$5:$O$21,MATCH($C642,Muuttujat!$N$5:$N$21,0),1))</f>
        <v>#N/A</v>
      </c>
      <c r="Q642" s="342" t="e">
        <f>INDEX(Muuttujat!$O$5:$O$21,MATCH($C642,Muuttujat!$N$5:$N$21,0),1)</f>
        <v>#N/A</v>
      </c>
      <c r="R642" s="162"/>
      <c r="S642" s="163"/>
      <c r="T642" s="163"/>
      <c r="U642" s="163"/>
      <c r="V642" s="163"/>
      <c r="W642" s="163"/>
      <c r="X642" s="163"/>
      <c r="Y642" s="160"/>
      <c r="Z642" s="164"/>
      <c r="AA642" s="164"/>
      <c r="AB642" s="164"/>
      <c r="AC642" s="164"/>
      <c r="AD642" s="164"/>
      <c r="AE642" s="348"/>
      <c r="AF642" s="348"/>
      <c r="AG642" s="349"/>
      <c r="AH642" s="349"/>
      <c r="AI642" s="349"/>
      <c r="AJ642" s="349"/>
      <c r="AK642" s="349"/>
      <c r="AL642" s="349"/>
    </row>
    <row r="643" spans="4:38">
      <c r="D643" s="160"/>
      <c r="F643" s="145">
        <f t="shared" ref="F643:F693" si="182">IF(D643="pom",$E643*hv_pom,0)</f>
        <v>0</v>
      </c>
      <c r="G643" s="145" t="e">
        <f t="shared" si="180"/>
        <v>#N/A</v>
      </c>
      <c r="H643" s="145" t="e">
        <f t="shared" si="181"/>
        <v>#N/A</v>
      </c>
      <c r="P643" s="342" t="e">
        <f>1-(INDEX(Muuttujat!$O$5:$O$21,MATCH($C643,Muuttujat!$N$5:$N$21,0),1))</f>
        <v>#N/A</v>
      </c>
      <c r="Q643" s="342" t="e">
        <f>INDEX(Muuttujat!$O$5:$O$21,MATCH($C643,Muuttujat!$N$5:$N$21,0),1)</f>
        <v>#N/A</v>
      </c>
      <c r="R643" s="162"/>
      <c r="S643" s="163"/>
      <c r="T643" s="163"/>
      <c r="U643" s="163"/>
      <c r="V643" s="163"/>
      <c r="W643" s="163"/>
      <c r="X643" s="163"/>
      <c r="Y643" s="160"/>
      <c r="Z643" s="164"/>
      <c r="AA643" s="164"/>
      <c r="AB643" s="164"/>
      <c r="AC643" s="164"/>
      <c r="AD643" s="164"/>
      <c r="AE643" s="348"/>
      <c r="AF643" s="348"/>
      <c r="AG643" s="349"/>
      <c r="AH643" s="349"/>
      <c r="AI643" s="349"/>
      <c r="AJ643" s="349"/>
      <c r="AK643" s="349"/>
      <c r="AL643" s="349"/>
    </row>
    <row r="644" spans="4:38">
      <c r="D644" s="160"/>
      <c r="F644" s="145">
        <f t="shared" si="182"/>
        <v>0</v>
      </c>
      <c r="G644" s="145" t="e">
        <f t="shared" ref="G644:G693" si="183">$F644*$P644</f>
        <v>#N/A</v>
      </c>
      <c r="H644" s="145" t="e">
        <f t="shared" ref="H644:H693" si="184">$F644*$Q644</f>
        <v>#N/A</v>
      </c>
      <c r="P644" s="342" t="e">
        <f>1-(INDEX(Muuttujat!$O$5:$O$21,MATCH($C644,Muuttujat!$N$5:$N$21,0),1))</f>
        <v>#N/A</v>
      </c>
      <c r="Q644" s="342" t="e">
        <f>INDEX(Muuttujat!$O$5:$O$21,MATCH($C644,Muuttujat!$N$5:$N$21,0),1)</f>
        <v>#N/A</v>
      </c>
      <c r="R644" s="162"/>
      <c r="S644" s="163"/>
      <c r="T644" s="163"/>
      <c r="U644" s="163"/>
      <c r="V644" s="163"/>
      <c r="W644" s="163"/>
      <c r="X644" s="163"/>
      <c r="Y644" s="160"/>
      <c r="Z644" s="164"/>
      <c r="AA644" s="164"/>
      <c r="AB644" s="164"/>
      <c r="AC644" s="164"/>
      <c r="AD644" s="164"/>
      <c r="AE644" s="348"/>
      <c r="AF644" s="348"/>
      <c r="AG644" s="349"/>
      <c r="AH644" s="349"/>
      <c r="AI644" s="349"/>
      <c r="AJ644" s="349"/>
      <c r="AK644" s="349"/>
      <c r="AL644" s="349"/>
    </row>
    <row r="645" spans="4:38">
      <c r="D645" s="160"/>
      <c r="F645" s="145">
        <f t="shared" si="182"/>
        <v>0</v>
      </c>
      <c r="G645" s="145" t="e">
        <f t="shared" si="183"/>
        <v>#N/A</v>
      </c>
      <c r="H645" s="145" t="e">
        <f t="shared" si="184"/>
        <v>#N/A</v>
      </c>
      <c r="P645" s="342" t="e">
        <f>1-(INDEX(Muuttujat!$O$5:$O$21,MATCH($C645,Muuttujat!$N$5:$N$21,0),1))</f>
        <v>#N/A</v>
      </c>
      <c r="Q645" s="342" t="e">
        <f>INDEX(Muuttujat!$O$5:$O$21,MATCH($C645,Muuttujat!$N$5:$N$21,0),1)</f>
        <v>#N/A</v>
      </c>
      <c r="R645" s="162"/>
      <c r="S645" s="163"/>
      <c r="T645" s="163"/>
      <c r="U645" s="163"/>
      <c r="V645" s="163"/>
      <c r="W645" s="163"/>
      <c r="X645" s="163"/>
      <c r="Y645" s="160"/>
      <c r="Z645" s="164"/>
      <c r="AA645" s="164"/>
      <c r="AB645" s="164"/>
      <c r="AC645" s="164"/>
      <c r="AD645" s="164"/>
      <c r="AE645" s="348"/>
      <c r="AF645" s="348"/>
      <c r="AG645" s="349"/>
      <c r="AH645" s="349"/>
      <c r="AI645" s="349"/>
      <c r="AJ645" s="349"/>
      <c r="AK645" s="349"/>
      <c r="AL645" s="349"/>
    </row>
    <row r="646" spans="4:38">
      <c r="D646" s="160"/>
      <c r="F646" s="145">
        <f t="shared" si="182"/>
        <v>0</v>
      </c>
      <c r="G646" s="145" t="e">
        <f t="shared" si="183"/>
        <v>#N/A</v>
      </c>
      <c r="H646" s="145" t="e">
        <f t="shared" si="184"/>
        <v>#N/A</v>
      </c>
      <c r="P646" s="342" t="e">
        <f>1-(INDEX(Muuttujat!$O$5:$O$21,MATCH($C646,Muuttujat!$N$5:$N$21,0),1))</f>
        <v>#N/A</v>
      </c>
      <c r="Q646" s="342" t="e">
        <f>INDEX(Muuttujat!$O$5:$O$21,MATCH($C646,Muuttujat!$N$5:$N$21,0),1)</f>
        <v>#N/A</v>
      </c>
      <c r="R646" s="162"/>
      <c r="S646" s="163"/>
      <c r="T646" s="163"/>
      <c r="U646" s="163"/>
      <c r="V646" s="163"/>
      <c r="W646" s="163"/>
      <c r="X646" s="163"/>
      <c r="Y646" s="160"/>
      <c r="Z646" s="164"/>
      <c r="AA646" s="164"/>
      <c r="AB646" s="164"/>
      <c r="AC646" s="164"/>
      <c r="AD646" s="164"/>
      <c r="AE646" s="348"/>
      <c r="AF646" s="348"/>
      <c r="AG646" s="349"/>
      <c r="AH646" s="349"/>
      <c r="AI646" s="349"/>
      <c r="AJ646" s="349"/>
      <c r="AK646" s="349"/>
      <c r="AL646" s="349"/>
    </row>
    <row r="647" spans="4:38">
      <c r="D647" s="160"/>
      <c r="F647" s="145">
        <f t="shared" si="182"/>
        <v>0</v>
      </c>
      <c r="G647" s="145" t="e">
        <f t="shared" si="183"/>
        <v>#N/A</v>
      </c>
      <c r="H647" s="145" t="e">
        <f t="shared" si="184"/>
        <v>#N/A</v>
      </c>
      <c r="P647" s="342" t="e">
        <f>1-(INDEX(Muuttujat!$O$5:$O$21,MATCH($C647,Muuttujat!$N$5:$N$21,0),1))</f>
        <v>#N/A</v>
      </c>
      <c r="Q647" s="342" t="e">
        <f>INDEX(Muuttujat!$O$5:$O$21,MATCH($C647,Muuttujat!$N$5:$N$21,0),1)</f>
        <v>#N/A</v>
      </c>
      <c r="R647" s="162"/>
      <c r="S647" s="163"/>
      <c r="T647" s="163"/>
      <c r="U647" s="163"/>
      <c r="V647" s="163"/>
      <c r="W647" s="163"/>
      <c r="X647" s="163"/>
      <c r="Y647" s="160"/>
      <c r="Z647" s="164"/>
      <c r="AA647" s="164"/>
      <c r="AB647" s="164"/>
      <c r="AC647" s="164"/>
      <c r="AD647" s="164"/>
      <c r="AE647" s="348"/>
      <c r="AF647" s="348"/>
      <c r="AG647" s="349"/>
      <c r="AH647" s="349"/>
      <c r="AI647" s="349"/>
      <c r="AJ647" s="349"/>
      <c r="AK647" s="349"/>
      <c r="AL647" s="349"/>
    </row>
    <row r="648" spans="4:38">
      <c r="D648" s="160"/>
      <c r="F648" s="145">
        <f t="shared" si="182"/>
        <v>0</v>
      </c>
      <c r="G648" s="145" t="e">
        <f t="shared" si="183"/>
        <v>#N/A</v>
      </c>
      <c r="H648" s="145" t="e">
        <f t="shared" si="184"/>
        <v>#N/A</v>
      </c>
      <c r="P648" s="342" t="e">
        <f>1-(INDEX(Muuttujat!$O$5:$O$21,MATCH($C648,Muuttujat!$N$5:$N$21,0),1))</f>
        <v>#N/A</v>
      </c>
      <c r="Q648" s="342" t="e">
        <f>INDEX(Muuttujat!$O$5:$O$21,MATCH($C648,Muuttujat!$N$5:$N$21,0),1)</f>
        <v>#N/A</v>
      </c>
      <c r="R648" s="162"/>
      <c r="S648" s="163"/>
      <c r="T648" s="163"/>
      <c r="U648" s="163"/>
      <c r="V648" s="163"/>
      <c r="W648" s="163"/>
      <c r="X648" s="163"/>
      <c r="Y648" s="160"/>
      <c r="Z648" s="164"/>
      <c r="AA648" s="164"/>
      <c r="AB648" s="164"/>
      <c r="AC648" s="164"/>
      <c r="AD648" s="164"/>
      <c r="AE648" s="348"/>
      <c r="AF648" s="348"/>
      <c r="AG648" s="349"/>
      <c r="AH648" s="349"/>
      <c r="AI648" s="349"/>
      <c r="AJ648" s="349"/>
      <c r="AK648" s="349"/>
      <c r="AL648" s="349"/>
    </row>
    <row r="649" spans="4:38">
      <c r="D649" s="160"/>
      <c r="F649" s="145">
        <f t="shared" si="182"/>
        <v>0</v>
      </c>
      <c r="G649" s="145" t="e">
        <f t="shared" si="183"/>
        <v>#N/A</v>
      </c>
      <c r="H649" s="145" t="e">
        <f t="shared" si="184"/>
        <v>#N/A</v>
      </c>
      <c r="P649" s="342" t="e">
        <f>1-(INDEX(Muuttujat!$O$5:$O$21,MATCH($C649,Muuttujat!$N$5:$N$21,0),1))</f>
        <v>#N/A</v>
      </c>
      <c r="Q649" s="342" t="e">
        <f>INDEX(Muuttujat!$O$5:$O$21,MATCH($C649,Muuttujat!$N$5:$N$21,0),1)</f>
        <v>#N/A</v>
      </c>
      <c r="R649" s="162"/>
      <c r="S649" s="163"/>
      <c r="T649" s="163"/>
      <c r="U649" s="163"/>
      <c r="V649" s="163"/>
      <c r="W649" s="163"/>
      <c r="X649" s="163"/>
      <c r="Y649" s="160"/>
      <c r="Z649" s="164"/>
      <c r="AA649" s="164"/>
      <c r="AB649" s="164"/>
      <c r="AC649" s="164"/>
      <c r="AD649" s="164"/>
      <c r="AE649" s="348"/>
      <c r="AF649" s="348"/>
      <c r="AG649" s="349"/>
      <c r="AH649" s="349"/>
      <c r="AI649" s="349"/>
      <c r="AJ649" s="349"/>
      <c r="AK649" s="349"/>
      <c r="AL649" s="349"/>
    </row>
    <row r="650" spans="4:38">
      <c r="D650" s="160"/>
      <c r="F650" s="145">
        <f t="shared" si="182"/>
        <v>0</v>
      </c>
      <c r="G650" s="145" t="e">
        <f t="shared" si="183"/>
        <v>#N/A</v>
      </c>
      <c r="H650" s="145" t="e">
        <f t="shared" si="184"/>
        <v>#N/A</v>
      </c>
      <c r="P650" s="342" t="e">
        <f>1-(INDEX(Muuttujat!$O$5:$O$21,MATCH($C650,Muuttujat!$N$5:$N$21,0),1))</f>
        <v>#N/A</v>
      </c>
      <c r="Q650" s="342" t="e">
        <f>INDEX(Muuttujat!$O$5:$O$21,MATCH($C650,Muuttujat!$N$5:$N$21,0),1)</f>
        <v>#N/A</v>
      </c>
      <c r="R650" s="162"/>
      <c r="S650" s="163"/>
      <c r="T650" s="163"/>
      <c r="U650" s="163"/>
      <c r="V650" s="163"/>
      <c r="W650" s="163"/>
      <c r="X650" s="163"/>
      <c r="Y650" s="160"/>
      <c r="Z650" s="164"/>
      <c r="AA650" s="164"/>
      <c r="AB650" s="164"/>
      <c r="AC650" s="164"/>
      <c r="AD650" s="164"/>
      <c r="AE650" s="348"/>
      <c r="AF650" s="348"/>
      <c r="AG650" s="349"/>
      <c r="AH650" s="349"/>
      <c r="AI650" s="349"/>
      <c r="AJ650" s="349"/>
      <c r="AK650" s="349"/>
      <c r="AL650" s="349"/>
    </row>
    <row r="651" spans="4:38">
      <c r="D651" s="160"/>
      <c r="F651" s="145">
        <f t="shared" si="182"/>
        <v>0</v>
      </c>
      <c r="G651" s="145" t="e">
        <f t="shared" si="183"/>
        <v>#N/A</v>
      </c>
      <c r="H651" s="145" t="e">
        <f t="shared" si="184"/>
        <v>#N/A</v>
      </c>
      <c r="P651" s="342" t="e">
        <f>1-(INDEX(Muuttujat!$O$5:$O$21,MATCH($C651,Muuttujat!$N$5:$N$21,0),1))</f>
        <v>#N/A</v>
      </c>
      <c r="Q651" s="342" t="e">
        <f>INDEX(Muuttujat!$O$5:$O$21,MATCH($C651,Muuttujat!$N$5:$N$21,0),1)</f>
        <v>#N/A</v>
      </c>
      <c r="R651" s="162"/>
      <c r="S651" s="163"/>
      <c r="T651" s="163"/>
      <c r="U651" s="163"/>
      <c r="V651" s="163"/>
      <c r="W651" s="163"/>
      <c r="X651" s="163"/>
      <c r="Y651" s="160"/>
      <c r="Z651" s="164"/>
      <c r="AA651" s="164"/>
      <c r="AB651" s="164"/>
      <c r="AC651" s="164"/>
      <c r="AD651" s="164"/>
      <c r="AE651" s="348"/>
      <c r="AF651" s="348"/>
      <c r="AG651" s="349"/>
      <c r="AH651" s="349"/>
      <c r="AI651" s="349"/>
      <c r="AJ651" s="349"/>
      <c r="AK651" s="349"/>
      <c r="AL651" s="349"/>
    </row>
    <row r="652" spans="4:38">
      <c r="D652" s="160"/>
      <c r="F652" s="145">
        <f t="shared" si="182"/>
        <v>0</v>
      </c>
      <c r="G652" s="145" t="e">
        <f t="shared" si="183"/>
        <v>#N/A</v>
      </c>
      <c r="H652" s="145" t="e">
        <f t="shared" si="184"/>
        <v>#N/A</v>
      </c>
      <c r="P652" s="342" t="e">
        <f>1-(INDEX(Muuttujat!$O$5:$O$21,MATCH($C652,Muuttujat!$N$5:$N$21,0),1))</f>
        <v>#N/A</v>
      </c>
      <c r="Q652" s="342" t="e">
        <f>INDEX(Muuttujat!$O$5:$O$21,MATCH($C652,Muuttujat!$N$5:$N$21,0),1)</f>
        <v>#N/A</v>
      </c>
      <c r="R652" s="162"/>
      <c r="S652" s="163"/>
      <c r="T652" s="163"/>
      <c r="U652" s="163"/>
      <c r="V652" s="163"/>
      <c r="W652" s="163"/>
      <c r="X652" s="163"/>
      <c r="Y652" s="160"/>
      <c r="Z652" s="164"/>
      <c r="AA652" s="164"/>
      <c r="AB652" s="164"/>
      <c r="AC652" s="164"/>
      <c r="AD652" s="164"/>
      <c r="AE652" s="348"/>
      <c r="AF652" s="348"/>
      <c r="AG652" s="349"/>
      <c r="AH652" s="349"/>
      <c r="AI652" s="349"/>
      <c r="AJ652" s="349"/>
      <c r="AK652" s="349"/>
      <c r="AL652" s="349"/>
    </row>
    <row r="653" spans="4:38">
      <c r="D653" s="160"/>
      <c r="F653" s="145">
        <f t="shared" si="182"/>
        <v>0</v>
      </c>
      <c r="G653" s="145" t="e">
        <f t="shared" si="183"/>
        <v>#N/A</v>
      </c>
      <c r="H653" s="145" t="e">
        <f t="shared" si="184"/>
        <v>#N/A</v>
      </c>
      <c r="P653" s="342" t="e">
        <f>1-(INDEX(Muuttujat!$O$5:$O$21,MATCH($C653,Muuttujat!$N$5:$N$21,0),1))</f>
        <v>#N/A</v>
      </c>
      <c r="Q653" s="342" t="e">
        <f>INDEX(Muuttujat!$O$5:$O$21,MATCH($C653,Muuttujat!$N$5:$N$21,0),1)</f>
        <v>#N/A</v>
      </c>
      <c r="R653" s="162"/>
      <c r="S653" s="163"/>
      <c r="T653" s="163"/>
      <c r="U653" s="163"/>
      <c r="V653" s="163"/>
      <c r="W653" s="163"/>
      <c r="X653" s="163"/>
      <c r="Y653" s="160"/>
      <c r="Z653" s="164"/>
      <c r="AA653" s="164"/>
      <c r="AB653" s="164"/>
      <c r="AC653" s="164"/>
      <c r="AD653" s="164"/>
      <c r="AE653" s="348"/>
      <c r="AF653" s="348"/>
      <c r="AG653" s="349"/>
      <c r="AH653" s="349"/>
      <c r="AI653" s="349"/>
      <c r="AJ653" s="349"/>
      <c r="AK653" s="349"/>
      <c r="AL653" s="349"/>
    </row>
    <row r="654" spans="4:38">
      <c r="D654" s="160"/>
      <c r="F654" s="145">
        <f t="shared" si="182"/>
        <v>0</v>
      </c>
      <c r="G654" s="145" t="e">
        <f t="shared" si="183"/>
        <v>#N/A</v>
      </c>
      <c r="H654" s="145" t="e">
        <f t="shared" si="184"/>
        <v>#N/A</v>
      </c>
      <c r="P654" s="342" t="e">
        <f>1-(INDEX(Muuttujat!$O$5:$O$21,MATCH($C654,Muuttujat!$N$5:$N$21,0),1))</f>
        <v>#N/A</v>
      </c>
      <c r="Q654" s="342" t="e">
        <f>INDEX(Muuttujat!$O$5:$O$21,MATCH($C654,Muuttujat!$N$5:$N$21,0),1)</f>
        <v>#N/A</v>
      </c>
      <c r="R654" s="162"/>
      <c r="S654" s="163"/>
      <c r="T654" s="163"/>
      <c r="U654" s="163"/>
      <c r="V654" s="163"/>
      <c r="W654" s="163"/>
      <c r="X654" s="163"/>
      <c r="Y654" s="160"/>
      <c r="Z654" s="164"/>
      <c r="AA654" s="164"/>
      <c r="AB654" s="164"/>
      <c r="AC654" s="164"/>
      <c r="AD654" s="164"/>
      <c r="AE654" s="348"/>
      <c r="AF654" s="348"/>
      <c r="AG654" s="349"/>
      <c r="AH654" s="349"/>
      <c r="AI654" s="349"/>
      <c r="AJ654" s="349"/>
      <c r="AK654" s="349"/>
      <c r="AL654" s="349"/>
    </row>
    <row r="655" spans="4:38">
      <c r="D655" s="160"/>
      <c r="F655" s="145">
        <f t="shared" si="182"/>
        <v>0</v>
      </c>
      <c r="G655" s="145" t="e">
        <f t="shared" si="183"/>
        <v>#N/A</v>
      </c>
      <c r="H655" s="145" t="e">
        <f t="shared" si="184"/>
        <v>#N/A</v>
      </c>
      <c r="P655" s="342" t="e">
        <f>1-(INDEX(Muuttujat!$O$5:$O$21,MATCH($C655,Muuttujat!$N$5:$N$21,0),1))</f>
        <v>#N/A</v>
      </c>
      <c r="Q655" s="342" t="e">
        <f>INDEX(Muuttujat!$O$5:$O$21,MATCH($C655,Muuttujat!$N$5:$N$21,0),1)</f>
        <v>#N/A</v>
      </c>
      <c r="R655" s="162"/>
      <c r="S655" s="163"/>
      <c r="T655" s="163"/>
      <c r="U655" s="163"/>
      <c r="V655" s="163"/>
      <c r="W655" s="163"/>
      <c r="X655" s="163"/>
      <c r="Y655" s="160"/>
      <c r="Z655" s="164"/>
      <c r="AA655" s="164"/>
      <c r="AB655" s="164"/>
      <c r="AC655" s="164"/>
      <c r="AD655" s="164"/>
      <c r="AE655" s="348"/>
      <c r="AF655" s="348"/>
      <c r="AG655" s="349"/>
      <c r="AH655" s="349"/>
      <c r="AI655" s="349"/>
      <c r="AJ655" s="349"/>
      <c r="AK655" s="349"/>
      <c r="AL655" s="349"/>
    </row>
    <row r="656" spans="4:38">
      <c r="D656" s="160"/>
      <c r="F656" s="145">
        <f t="shared" si="182"/>
        <v>0</v>
      </c>
      <c r="G656" s="145" t="e">
        <f t="shared" si="183"/>
        <v>#N/A</v>
      </c>
      <c r="H656" s="145" t="e">
        <f t="shared" si="184"/>
        <v>#N/A</v>
      </c>
      <c r="P656" s="342" t="e">
        <f>1-(INDEX(Muuttujat!$O$5:$O$21,MATCH($C656,Muuttujat!$N$5:$N$21,0),1))</f>
        <v>#N/A</v>
      </c>
      <c r="Q656" s="342" t="e">
        <f>INDEX(Muuttujat!$O$5:$O$21,MATCH($C656,Muuttujat!$N$5:$N$21,0),1)</f>
        <v>#N/A</v>
      </c>
      <c r="R656" s="162"/>
      <c r="S656" s="163"/>
      <c r="T656" s="163"/>
      <c r="U656" s="163"/>
      <c r="V656" s="163"/>
      <c r="W656" s="163"/>
      <c r="X656" s="163"/>
      <c r="Y656" s="160"/>
      <c r="Z656" s="164"/>
      <c r="AA656" s="164"/>
      <c r="AB656" s="164"/>
      <c r="AC656" s="164"/>
      <c r="AD656" s="164"/>
      <c r="AE656" s="348"/>
      <c r="AF656" s="348"/>
      <c r="AG656" s="349"/>
      <c r="AH656" s="349"/>
      <c r="AI656" s="349"/>
      <c r="AJ656" s="349"/>
      <c r="AK656" s="349"/>
      <c r="AL656" s="349"/>
    </row>
    <row r="657" spans="4:38">
      <c r="D657" s="160"/>
      <c r="F657" s="145">
        <f t="shared" si="182"/>
        <v>0</v>
      </c>
      <c r="G657" s="145" t="e">
        <f t="shared" si="183"/>
        <v>#N/A</v>
      </c>
      <c r="H657" s="145" t="e">
        <f t="shared" si="184"/>
        <v>#N/A</v>
      </c>
      <c r="P657" s="342" t="e">
        <f>1-(INDEX(Muuttujat!$O$5:$O$21,MATCH($C657,Muuttujat!$N$5:$N$21,0),1))</f>
        <v>#N/A</v>
      </c>
      <c r="Q657" s="342" t="e">
        <f>INDEX(Muuttujat!$O$5:$O$21,MATCH($C657,Muuttujat!$N$5:$N$21,0),1)</f>
        <v>#N/A</v>
      </c>
      <c r="R657" s="162"/>
      <c r="S657" s="163"/>
      <c r="T657" s="163"/>
      <c r="U657" s="163"/>
      <c r="V657" s="163"/>
      <c r="W657" s="163"/>
      <c r="X657" s="163"/>
      <c r="Y657" s="160"/>
      <c r="Z657" s="164"/>
      <c r="AA657" s="164"/>
      <c r="AB657" s="164"/>
      <c r="AC657" s="164"/>
      <c r="AD657" s="164"/>
      <c r="AE657" s="348"/>
      <c r="AF657" s="348"/>
      <c r="AG657" s="349"/>
      <c r="AH657" s="349"/>
      <c r="AI657" s="349"/>
      <c r="AJ657" s="349"/>
      <c r="AK657" s="349"/>
      <c r="AL657" s="349"/>
    </row>
    <row r="658" spans="4:38">
      <c r="D658" s="160"/>
      <c r="F658" s="145">
        <f t="shared" si="182"/>
        <v>0</v>
      </c>
      <c r="G658" s="145" t="e">
        <f t="shared" si="183"/>
        <v>#N/A</v>
      </c>
      <c r="H658" s="145" t="e">
        <f t="shared" si="184"/>
        <v>#N/A</v>
      </c>
      <c r="P658" s="342" t="e">
        <f>1-(INDEX(Muuttujat!$O$5:$O$21,MATCH($C658,Muuttujat!$N$5:$N$21,0),1))</f>
        <v>#N/A</v>
      </c>
      <c r="Q658" s="342" t="e">
        <f>INDEX(Muuttujat!$O$5:$O$21,MATCH($C658,Muuttujat!$N$5:$N$21,0),1)</f>
        <v>#N/A</v>
      </c>
      <c r="R658" s="162"/>
      <c r="S658" s="163"/>
      <c r="T658" s="163"/>
      <c r="U658" s="163"/>
      <c r="V658" s="163"/>
      <c r="W658" s="163"/>
      <c r="X658" s="163"/>
      <c r="Y658" s="160"/>
      <c r="Z658" s="164"/>
      <c r="AA658" s="164"/>
      <c r="AB658" s="164"/>
      <c r="AC658" s="164"/>
      <c r="AD658" s="164"/>
      <c r="AE658" s="348"/>
      <c r="AF658" s="348"/>
      <c r="AG658" s="349"/>
      <c r="AH658" s="349"/>
      <c r="AI658" s="349"/>
      <c r="AJ658" s="349"/>
      <c r="AK658" s="349"/>
      <c r="AL658" s="349"/>
    </row>
    <row r="659" spans="4:38">
      <c r="D659" s="160"/>
      <c r="F659" s="145">
        <f t="shared" si="182"/>
        <v>0</v>
      </c>
      <c r="G659" s="145" t="e">
        <f t="shared" si="183"/>
        <v>#N/A</v>
      </c>
      <c r="H659" s="145" t="e">
        <f t="shared" si="184"/>
        <v>#N/A</v>
      </c>
      <c r="P659" s="342" t="e">
        <f>1-(INDEX(Muuttujat!$O$5:$O$21,MATCH($C659,Muuttujat!$N$5:$N$21,0),1))</f>
        <v>#N/A</v>
      </c>
      <c r="Q659" s="342" t="e">
        <f>INDEX(Muuttujat!$O$5:$O$21,MATCH($C659,Muuttujat!$N$5:$N$21,0),1)</f>
        <v>#N/A</v>
      </c>
      <c r="R659" s="162"/>
      <c r="S659" s="163"/>
      <c r="T659" s="163"/>
      <c r="U659" s="163"/>
      <c r="V659" s="163"/>
      <c r="W659" s="163"/>
      <c r="X659" s="163"/>
      <c r="Y659" s="160"/>
      <c r="Z659" s="164"/>
      <c r="AA659" s="164"/>
      <c r="AB659" s="164"/>
      <c r="AC659" s="164"/>
      <c r="AD659" s="164"/>
      <c r="AE659" s="348"/>
      <c r="AF659" s="348"/>
      <c r="AG659" s="349"/>
      <c r="AH659" s="349"/>
      <c r="AI659" s="349"/>
      <c r="AJ659" s="349"/>
      <c r="AK659" s="349"/>
      <c r="AL659" s="349"/>
    </row>
    <row r="660" spans="4:38">
      <c r="D660" s="160"/>
      <c r="F660" s="145">
        <f t="shared" si="182"/>
        <v>0</v>
      </c>
      <c r="G660" s="145" t="e">
        <f t="shared" si="183"/>
        <v>#N/A</v>
      </c>
      <c r="H660" s="145" t="e">
        <f t="shared" si="184"/>
        <v>#N/A</v>
      </c>
      <c r="P660" s="342" t="e">
        <f>1-(INDEX(Muuttujat!$O$5:$O$21,MATCH($C660,Muuttujat!$N$5:$N$21,0),1))</f>
        <v>#N/A</v>
      </c>
      <c r="Q660" s="342" t="e">
        <f>INDEX(Muuttujat!$O$5:$O$21,MATCH($C660,Muuttujat!$N$5:$N$21,0),1)</f>
        <v>#N/A</v>
      </c>
      <c r="R660" s="162"/>
      <c r="S660" s="163"/>
      <c r="T660" s="163"/>
      <c r="U660" s="163"/>
      <c r="V660" s="163"/>
      <c r="W660" s="163"/>
      <c r="X660" s="163"/>
      <c r="Y660" s="160"/>
      <c r="Z660" s="164"/>
      <c r="AA660" s="164"/>
      <c r="AB660" s="164"/>
      <c r="AC660" s="164"/>
      <c r="AD660" s="164"/>
      <c r="AE660" s="348"/>
      <c r="AF660" s="348"/>
      <c r="AG660" s="349"/>
      <c r="AH660" s="349"/>
      <c r="AI660" s="349"/>
      <c r="AJ660" s="349"/>
      <c r="AK660" s="349"/>
      <c r="AL660" s="349"/>
    </row>
    <row r="661" spans="4:38">
      <c r="D661" s="160"/>
      <c r="F661" s="145">
        <f t="shared" si="182"/>
        <v>0</v>
      </c>
      <c r="G661" s="145" t="e">
        <f t="shared" si="183"/>
        <v>#N/A</v>
      </c>
      <c r="H661" s="145" t="e">
        <f t="shared" si="184"/>
        <v>#N/A</v>
      </c>
      <c r="P661" s="342" t="e">
        <f>1-(INDEX(Muuttujat!$O$5:$O$21,MATCH($C661,Muuttujat!$N$5:$N$21,0),1))</f>
        <v>#N/A</v>
      </c>
      <c r="Q661" s="342" t="e">
        <f>INDEX(Muuttujat!$O$5:$O$21,MATCH($C661,Muuttujat!$N$5:$N$21,0),1)</f>
        <v>#N/A</v>
      </c>
      <c r="R661" s="162"/>
      <c r="S661" s="163"/>
      <c r="T661" s="163"/>
      <c r="U661" s="163"/>
      <c r="V661" s="163"/>
      <c r="W661" s="163"/>
      <c r="X661" s="163"/>
      <c r="Y661" s="160"/>
      <c r="Z661" s="164"/>
      <c r="AA661" s="164"/>
      <c r="AB661" s="164"/>
      <c r="AC661" s="164"/>
      <c r="AD661" s="164"/>
      <c r="AE661" s="348"/>
      <c r="AF661" s="348"/>
      <c r="AG661" s="349"/>
      <c r="AH661" s="349"/>
      <c r="AI661" s="349"/>
      <c r="AJ661" s="349"/>
      <c r="AK661" s="349"/>
      <c r="AL661" s="349"/>
    </row>
    <row r="662" spans="4:38">
      <c r="D662" s="160"/>
      <c r="F662" s="145">
        <f t="shared" si="182"/>
        <v>0</v>
      </c>
      <c r="G662" s="145" t="e">
        <f t="shared" si="183"/>
        <v>#N/A</v>
      </c>
      <c r="H662" s="145" t="e">
        <f t="shared" si="184"/>
        <v>#N/A</v>
      </c>
      <c r="P662" s="342" t="e">
        <f>1-(INDEX(Muuttujat!$O$5:$O$21,MATCH($C662,Muuttujat!$N$5:$N$21,0),1))</f>
        <v>#N/A</v>
      </c>
      <c r="Q662" s="342" t="e">
        <f>INDEX(Muuttujat!$O$5:$O$21,MATCH($C662,Muuttujat!$N$5:$N$21,0),1)</f>
        <v>#N/A</v>
      </c>
      <c r="R662" s="162"/>
      <c r="S662" s="163"/>
      <c r="T662" s="163"/>
      <c r="U662" s="163"/>
      <c r="V662" s="163"/>
      <c r="W662" s="163"/>
      <c r="X662" s="163"/>
      <c r="Y662" s="160"/>
      <c r="Z662" s="164"/>
      <c r="AA662" s="164"/>
      <c r="AB662" s="164"/>
      <c r="AC662" s="164"/>
      <c r="AD662" s="164"/>
      <c r="AE662" s="348"/>
      <c r="AF662" s="348"/>
      <c r="AG662" s="349"/>
      <c r="AH662" s="349"/>
      <c r="AI662" s="349"/>
      <c r="AJ662" s="349"/>
      <c r="AK662" s="349"/>
      <c r="AL662" s="349"/>
    </row>
    <row r="663" spans="4:38">
      <c r="D663" s="160"/>
      <c r="F663" s="145">
        <f t="shared" si="182"/>
        <v>0</v>
      </c>
      <c r="G663" s="145" t="e">
        <f t="shared" si="183"/>
        <v>#N/A</v>
      </c>
      <c r="H663" s="145" t="e">
        <f t="shared" si="184"/>
        <v>#N/A</v>
      </c>
      <c r="P663" s="342" t="e">
        <f>1-(INDEX(Muuttujat!$O$5:$O$21,MATCH($C663,Muuttujat!$N$5:$N$21,0),1))</f>
        <v>#N/A</v>
      </c>
      <c r="Q663" s="342" t="e">
        <f>INDEX(Muuttujat!$O$5:$O$21,MATCH($C663,Muuttujat!$N$5:$N$21,0),1)</f>
        <v>#N/A</v>
      </c>
      <c r="R663" s="162"/>
      <c r="S663" s="163"/>
      <c r="T663" s="163"/>
      <c r="U663" s="163"/>
      <c r="V663" s="163"/>
      <c r="W663" s="163"/>
      <c r="X663" s="163"/>
      <c r="Y663" s="160"/>
      <c r="Z663" s="164"/>
      <c r="AA663" s="164"/>
      <c r="AB663" s="164"/>
      <c r="AC663" s="164"/>
      <c r="AD663" s="164"/>
      <c r="AE663" s="348"/>
      <c r="AF663" s="348"/>
      <c r="AG663" s="349"/>
      <c r="AH663" s="349"/>
      <c r="AI663" s="349"/>
      <c r="AJ663" s="349"/>
      <c r="AK663" s="349"/>
      <c r="AL663" s="349"/>
    </row>
    <row r="664" spans="4:38">
      <c r="D664" s="160"/>
      <c r="F664" s="145">
        <f t="shared" si="182"/>
        <v>0</v>
      </c>
      <c r="G664" s="145" t="e">
        <f t="shared" si="183"/>
        <v>#N/A</v>
      </c>
      <c r="H664" s="145" t="e">
        <f t="shared" si="184"/>
        <v>#N/A</v>
      </c>
      <c r="P664" s="342" t="e">
        <f>1-(INDEX(Muuttujat!$O$5:$O$21,MATCH($C664,Muuttujat!$N$5:$N$21,0),1))</f>
        <v>#N/A</v>
      </c>
      <c r="Q664" s="342" t="e">
        <f>INDEX(Muuttujat!$O$5:$O$21,MATCH($C664,Muuttujat!$N$5:$N$21,0),1)</f>
        <v>#N/A</v>
      </c>
      <c r="R664" s="162"/>
      <c r="S664" s="163"/>
      <c r="T664" s="163"/>
      <c r="U664" s="163"/>
      <c r="V664" s="163"/>
      <c r="W664" s="163"/>
      <c r="X664" s="163"/>
      <c r="Y664" s="160"/>
      <c r="Z664" s="164"/>
      <c r="AA664" s="164"/>
      <c r="AB664" s="164"/>
      <c r="AC664" s="164"/>
      <c r="AD664" s="164"/>
      <c r="AE664" s="348"/>
      <c r="AF664" s="348"/>
      <c r="AG664" s="349"/>
      <c r="AH664" s="349"/>
      <c r="AI664" s="349"/>
      <c r="AJ664" s="349"/>
      <c r="AK664" s="349"/>
      <c r="AL664" s="349"/>
    </row>
    <row r="665" spans="4:38">
      <c r="D665" s="160"/>
      <c r="F665" s="145">
        <f t="shared" si="182"/>
        <v>0</v>
      </c>
      <c r="G665" s="145" t="e">
        <f t="shared" si="183"/>
        <v>#N/A</v>
      </c>
      <c r="H665" s="145" t="e">
        <f t="shared" si="184"/>
        <v>#N/A</v>
      </c>
      <c r="P665" s="342" t="e">
        <f>1-(INDEX(Muuttujat!$O$5:$O$21,MATCH($C665,Muuttujat!$N$5:$N$21,0),1))</f>
        <v>#N/A</v>
      </c>
      <c r="Q665" s="342" t="e">
        <f>INDEX(Muuttujat!$O$5:$O$21,MATCH($C665,Muuttujat!$N$5:$N$21,0),1)</f>
        <v>#N/A</v>
      </c>
      <c r="R665" s="162"/>
      <c r="S665" s="163"/>
      <c r="T665" s="163"/>
      <c r="U665" s="163"/>
      <c r="V665" s="163"/>
      <c r="W665" s="163"/>
      <c r="X665" s="163"/>
      <c r="Y665" s="160"/>
      <c r="Z665" s="164"/>
      <c r="AA665" s="164"/>
      <c r="AB665" s="164"/>
      <c r="AC665" s="164"/>
      <c r="AD665" s="164"/>
      <c r="AE665" s="348"/>
      <c r="AF665" s="348"/>
      <c r="AG665" s="349"/>
      <c r="AH665" s="349"/>
      <c r="AI665" s="349"/>
      <c r="AJ665" s="349"/>
      <c r="AK665" s="349"/>
      <c r="AL665" s="349"/>
    </row>
    <row r="666" spans="4:38">
      <c r="D666" s="160"/>
      <c r="F666" s="145">
        <f t="shared" si="182"/>
        <v>0</v>
      </c>
      <c r="G666" s="145" t="e">
        <f t="shared" si="183"/>
        <v>#N/A</v>
      </c>
      <c r="H666" s="145" t="e">
        <f t="shared" si="184"/>
        <v>#N/A</v>
      </c>
      <c r="P666" s="342" t="e">
        <f>1-(INDEX(Muuttujat!$O$5:$O$21,MATCH($C666,Muuttujat!$N$5:$N$21,0),1))</f>
        <v>#N/A</v>
      </c>
      <c r="Q666" s="342" t="e">
        <f>INDEX(Muuttujat!$O$5:$O$21,MATCH($C666,Muuttujat!$N$5:$N$21,0),1)</f>
        <v>#N/A</v>
      </c>
      <c r="R666" s="162"/>
      <c r="S666" s="163"/>
      <c r="T666" s="163"/>
      <c r="U666" s="163"/>
      <c r="V666" s="163"/>
      <c r="W666" s="163"/>
      <c r="X666" s="163"/>
      <c r="Y666" s="160"/>
      <c r="Z666" s="164"/>
      <c r="AA666" s="164"/>
      <c r="AB666" s="164"/>
      <c r="AC666" s="164"/>
      <c r="AD666" s="164"/>
      <c r="AE666" s="348"/>
      <c r="AF666" s="348"/>
      <c r="AG666" s="349"/>
      <c r="AH666" s="349"/>
      <c r="AI666" s="349"/>
      <c r="AJ666" s="349"/>
      <c r="AK666" s="349"/>
      <c r="AL666" s="349"/>
    </row>
    <row r="667" spans="4:38">
      <c r="D667" s="160"/>
      <c r="F667" s="145">
        <f t="shared" si="182"/>
        <v>0</v>
      </c>
      <c r="G667" s="145" t="e">
        <f t="shared" si="183"/>
        <v>#N/A</v>
      </c>
      <c r="H667" s="145" t="e">
        <f t="shared" si="184"/>
        <v>#N/A</v>
      </c>
      <c r="P667" s="342" t="e">
        <f>1-(INDEX(Muuttujat!$O$5:$O$21,MATCH($C667,Muuttujat!$N$5:$N$21,0),1))</f>
        <v>#N/A</v>
      </c>
      <c r="Q667" s="342" t="e">
        <f>INDEX(Muuttujat!$O$5:$O$21,MATCH($C667,Muuttujat!$N$5:$N$21,0),1)</f>
        <v>#N/A</v>
      </c>
      <c r="R667" s="162"/>
      <c r="S667" s="163"/>
      <c r="T667" s="163"/>
      <c r="U667" s="163"/>
      <c r="V667" s="163"/>
      <c r="W667" s="163"/>
      <c r="X667" s="163"/>
      <c r="Y667" s="160"/>
      <c r="Z667" s="164"/>
      <c r="AA667" s="164"/>
      <c r="AB667" s="164"/>
      <c r="AC667" s="164"/>
      <c r="AD667" s="164"/>
      <c r="AE667" s="348"/>
      <c r="AF667" s="348"/>
      <c r="AG667" s="349"/>
      <c r="AH667" s="349"/>
      <c r="AI667" s="349"/>
      <c r="AJ667" s="349"/>
      <c r="AK667" s="349"/>
      <c r="AL667" s="349"/>
    </row>
    <row r="668" spans="4:38">
      <c r="D668" s="160"/>
      <c r="F668" s="145">
        <f t="shared" si="182"/>
        <v>0</v>
      </c>
      <c r="G668" s="145" t="e">
        <f t="shared" si="183"/>
        <v>#N/A</v>
      </c>
      <c r="H668" s="145" t="e">
        <f t="shared" si="184"/>
        <v>#N/A</v>
      </c>
      <c r="P668" s="342" t="e">
        <f>1-(INDEX(Muuttujat!$O$5:$O$21,MATCH($C668,Muuttujat!$N$5:$N$21,0),1))</f>
        <v>#N/A</v>
      </c>
      <c r="Q668" s="342" t="e">
        <f>INDEX(Muuttujat!$O$5:$O$21,MATCH($C668,Muuttujat!$N$5:$N$21,0),1)</f>
        <v>#N/A</v>
      </c>
      <c r="R668" s="162"/>
      <c r="S668" s="163"/>
      <c r="T668" s="163"/>
      <c r="U668" s="163"/>
      <c r="V668" s="163"/>
      <c r="W668" s="163"/>
      <c r="X668" s="163"/>
      <c r="Y668" s="160"/>
      <c r="Z668" s="164"/>
      <c r="AA668" s="164"/>
      <c r="AB668" s="164"/>
      <c r="AC668" s="164"/>
      <c r="AD668" s="164"/>
      <c r="AE668" s="348"/>
      <c r="AF668" s="348"/>
      <c r="AG668" s="349"/>
      <c r="AH668" s="349"/>
      <c r="AI668" s="349"/>
      <c r="AJ668" s="349"/>
      <c r="AK668" s="349"/>
      <c r="AL668" s="349"/>
    </row>
    <row r="669" spans="4:38">
      <c r="D669" s="160"/>
      <c r="F669" s="145">
        <f t="shared" si="182"/>
        <v>0</v>
      </c>
      <c r="G669" s="145" t="e">
        <f t="shared" si="183"/>
        <v>#N/A</v>
      </c>
      <c r="H669" s="145" t="e">
        <f t="shared" si="184"/>
        <v>#N/A</v>
      </c>
      <c r="P669" s="342" t="e">
        <f>1-(INDEX(Muuttujat!$O$5:$O$21,MATCH($C669,Muuttujat!$N$5:$N$21,0),1))</f>
        <v>#N/A</v>
      </c>
      <c r="Q669" s="342" t="e">
        <f>INDEX(Muuttujat!$O$5:$O$21,MATCH($C669,Muuttujat!$N$5:$N$21,0),1)</f>
        <v>#N/A</v>
      </c>
      <c r="R669" s="162"/>
      <c r="S669" s="163"/>
      <c r="T669" s="163"/>
      <c r="U669" s="163"/>
      <c r="V669" s="163"/>
      <c r="W669" s="163"/>
      <c r="X669" s="163"/>
      <c r="Y669" s="160"/>
      <c r="Z669" s="164"/>
      <c r="AA669" s="164"/>
      <c r="AB669" s="164"/>
      <c r="AC669" s="164"/>
      <c r="AD669" s="164"/>
      <c r="AE669" s="348"/>
      <c r="AF669" s="348"/>
      <c r="AG669" s="349"/>
      <c r="AH669" s="349"/>
      <c r="AI669" s="349"/>
      <c r="AJ669" s="349"/>
      <c r="AK669" s="349"/>
      <c r="AL669" s="349"/>
    </row>
    <row r="670" spans="4:38">
      <c r="D670" s="160"/>
      <c r="F670" s="145">
        <f t="shared" si="182"/>
        <v>0</v>
      </c>
      <c r="G670" s="145" t="e">
        <f t="shared" si="183"/>
        <v>#N/A</v>
      </c>
      <c r="H670" s="145" t="e">
        <f t="shared" si="184"/>
        <v>#N/A</v>
      </c>
      <c r="P670" s="342" t="e">
        <f>1-(INDEX(Muuttujat!$O$5:$O$21,MATCH($C670,Muuttujat!$N$5:$N$21,0),1))</f>
        <v>#N/A</v>
      </c>
      <c r="Q670" s="342" t="e">
        <f>INDEX(Muuttujat!$O$5:$O$21,MATCH($C670,Muuttujat!$N$5:$N$21,0),1)</f>
        <v>#N/A</v>
      </c>
      <c r="R670" s="162"/>
      <c r="S670" s="163"/>
      <c r="T670" s="163"/>
      <c r="U670" s="163"/>
      <c r="V670" s="163"/>
      <c r="W670" s="163"/>
      <c r="X670" s="163"/>
      <c r="Y670" s="160"/>
      <c r="Z670" s="164"/>
      <c r="AA670" s="164"/>
      <c r="AB670" s="164"/>
      <c r="AC670" s="164"/>
      <c r="AD670" s="164"/>
      <c r="AE670" s="348"/>
      <c r="AF670" s="348"/>
      <c r="AG670" s="349"/>
      <c r="AH670" s="349"/>
      <c r="AI670" s="349"/>
      <c r="AJ670" s="349"/>
      <c r="AK670" s="349"/>
      <c r="AL670" s="349"/>
    </row>
    <row r="671" spans="4:38">
      <c r="D671" s="160"/>
      <c r="F671" s="145">
        <f t="shared" si="182"/>
        <v>0</v>
      </c>
      <c r="G671" s="145" t="e">
        <f t="shared" si="183"/>
        <v>#N/A</v>
      </c>
      <c r="H671" s="145" t="e">
        <f t="shared" si="184"/>
        <v>#N/A</v>
      </c>
      <c r="P671" s="342" t="e">
        <f>1-(INDEX(Muuttujat!$O$5:$O$21,MATCH($C671,Muuttujat!$N$5:$N$21,0),1))</f>
        <v>#N/A</v>
      </c>
      <c r="Q671" s="342" t="e">
        <f>INDEX(Muuttujat!$O$5:$O$21,MATCH($C671,Muuttujat!$N$5:$N$21,0),1)</f>
        <v>#N/A</v>
      </c>
      <c r="R671" s="162"/>
      <c r="S671" s="163"/>
      <c r="T671" s="163"/>
      <c r="U671" s="163"/>
      <c r="V671" s="163"/>
      <c r="W671" s="163"/>
      <c r="X671" s="163"/>
      <c r="Y671" s="160"/>
      <c r="Z671" s="164"/>
      <c r="AA671" s="164"/>
      <c r="AB671" s="164"/>
      <c r="AC671" s="164"/>
      <c r="AD671" s="164"/>
      <c r="AE671" s="348"/>
      <c r="AF671" s="348"/>
      <c r="AG671" s="349"/>
      <c r="AH671" s="349"/>
      <c r="AI671" s="349"/>
      <c r="AJ671" s="349"/>
      <c r="AK671" s="349"/>
      <c r="AL671" s="349"/>
    </row>
    <row r="672" spans="4:38">
      <c r="D672" s="160"/>
      <c r="F672" s="145">
        <f t="shared" si="182"/>
        <v>0</v>
      </c>
      <c r="G672" s="145" t="e">
        <f t="shared" si="183"/>
        <v>#N/A</v>
      </c>
      <c r="H672" s="145" t="e">
        <f t="shared" si="184"/>
        <v>#N/A</v>
      </c>
      <c r="P672" s="342" t="e">
        <f>1-(INDEX(Muuttujat!$O$5:$O$21,MATCH($C672,Muuttujat!$N$5:$N$21,0),1))</f>
        <v>#N/A</v>
      </c>
      <c r="Q672" s="342" t="e">
        <f>INDEX(Muuttujat!$O$5:$O$21,MATCH($C672,Muuttujat!$N$5:$N$21,0),1)</f>
        <v>#N/A</v>
      </c>
      <c r="R672" s="162"/>
      <c r="S672" s="163"/>
      <c r="T672" s="163"/>
      <c r="U672" s="163"/>
      <c r="V672" s="163"/>
      <c r="W672" s="163"/>
      <c r="X672" s="163"/>
      <c r="Y672" s="160"/>
      <c r="Z672" s="164"/>
      <c r="AA672" s="164"/>
      <c r="AB672" s="164"/>
      <c r="AC672" s="164"/>
      <c r="AD672" s="164"/>
      <c r="AE672" s="348"/>
      <c r="AF672" s="348"/>
      <c r="AG672" s="349"/>
      <c r="AH672" s="349"/>
      <c r="AI672" s="349"/>
      <c r="AJ672" s="349"/>
      <c r="AK672" s="349"/>
      <c r="AL672" s="349"/>
    </row>
    <row r="673" spans="4:38">
      <c r="D673" s="160"/>
      <c r="F673" s="145">
        <f t="shared" si="182"/>
        <v>0</v>
      </c>
      <c r="G673" s="145" t="e">
        <f t="shared" si="183"/>
        <v>#N/A</v>
      </c>
      <c r="H673" s="145" t="e">
        <f t="shared" si="184"/>
        <v>#N/A</v>
      </c>
      <c r="P673" s="342" t="e">
        <f>1-(INDEX(Muuttujat!$O$5:$O$21,MATCH($C673,Muuttujat!$N$5:$N$21,0),1))</f>
        <v>#N/A</v>
      </c>
      <c r="Q673" s="342" t="e">
        <f>INDEX(Muuttujat!$O$5:$O$21,MATCH($C673,Muuttujat!$N$5:$N$21,0),1)</f>
        <v>#N/A</v>
      </c>
      <c r="R673" s="162"/>
      <c r="S673" s="163"/>
      <c r="T673" s="163"/>
      <c r="U673" s="163"/>
      <c r="V673" s="163"/>
      <c r="W673" s="163"/>
      <c r="X673" s="163"/>
      <c r="Y673" s="160"/>
      <c r="Z673" s="164"/>
      <c r="AA673" s="164"/>
      <c r="AB673" s="164"/>
      <c r="AC673" s="164"/>
      <c r="AD673" s="164"/>
      <c r="AE673" s="348"/>
      <c r="AF673" s="348"/>
      <c r="AG673" s="349"/>
      <c r="AH673" s="349"/>
      <c r="AI673" s="349"/>
      <c r="AJ673" s="349"/>
      <c r="AK673" s="349"/>
      <c r="AL673" s="349"/>
    </row>
    <row r="674" spans="4:38">
      <c r="D674" s="160"/>
      <c r="F674" s="145">
        <f t="shared" si="182"/>
        <v>0</v>
      </c>
      <c r="G674" s="145" t="e">
        <f t="shared" si="183"/>
        <v>#N/A</v>
      </c>
      <c r="H674" s="145" t="e">
        <f t="shared" si="184"/>
        <v>#N/A</v>
      </c>
      <c r="P674" s="342" t="e">
        <f>1-(INDEX(Muuttujat!$O$5:$O$21,MATCH($C674,Muuttujat!$N$5:$N$21,0),1))</f>
        <v>#N/A</v>
      </c>
      <c r="Q674" s="342" t="e">
        <f>INDEX(Muuttujat!$O$5:$O$21,MATCH($C674,Muuttujat!$N$5:$N$21,0),1)</f>
        <v>#N/A</v>
      </c>
      <c r="R674" s="162"/>
      <c r="S674" s="163"/>
      <c r="T674" s="163"/>
      <c r="U674" s="163"/>
      <c r="V674" s="163"/>
      <c r="W674" s="163"/>
      <c r="X674" s="163"/>
      <c r="Y674" s="160"/>
      <c r="Z674" s="164"/>
      <c r="AA674" s="164"/>
      <c r="AB674" s="164"/>
      <c r="AC674" s="164"/>
      <c r="AD674" s="164"/>
      <c r="AE674" s="348"/>
      <c r="AF674" s="348"/>
      <c r="AG674" s="349"/>
      <c r="AH674" s="349"/>
      <c r="AI674" s="349"/>
      <c r="AJ674" s="349"/>
      <c r="AK674" s="349"/>
      <c r="AL674" s="349"/>
    </row>
    <row r="675" spans="4:38">
      <c r="D675" s="160"/>
      <c r="F675" s="145">
        <f t="shared" si="182"/>
        <v>0</v>
      </c>
      <c r="G675" s="145" t="e">
        <f t="shared" si="183"/>
        <v>#N/A</v>
      </c>
      <c r="H675" s="145" t="e">
        <f t="shared" si="184"/>
        <v>#N/A</v>
      </c>
      <c r="P675" s="342" t="e">
        <f>1-(INDEX(Muuttujat!$O$5:$O$21,MATCH($C675,Muuttujat!$N$5:$N$21,0),1))</f>
        <v>#N/A</v>
      </c>
      <c r="Q675" s="342" t="e">
        <f>INDEX(Muuttujat!$O$5:$O$21,MATCH($C675,Muuttujat!$N$5:$N$21,0),1)</f>
        <v>#N/A</v>
      </c>
      <c r="R675" s="162"/>
      <c r="S675" s="163"/>
      <c r="T675" s="163"/>
      <c r="U675" s="163"/>
      <c r="V675" s="163"/>
      <c r="W675" s="163"/>
      <c r="X675" s="163"/>
      <c r="Y675" s="160"/>
      <c r="Z675" s="164"/>
      <c r="AA675" s="164"/>
      <c r="AB675" s="164"/>
      <c r="AC675" s="164"/>
      <c r="AD675" s="164"/>
      <c r="AE675" s="348"/>
      <c r="AF675" s="348"/>
      <c r="AG675" s="349"/>
      <c r="AH675" s="349"/>
      <c r="AI675" s="349"/>
      <c r="AJ675" s="349"/>
      <c r="AK675" s="349"/>
      <c r="AL675" s="349"/>
    </row>
    <row r="676" spans="4:38">
      <c r="D676" s="160"/>
      <c r="F676" s="145">
        <f t="shared" si="182"/>
        <v>0</v>
      </c>
      <c r="G676" s="145" t="e">
        <f t="shared" si="183"/>
        <v>#N/A</v>
      </c>
      <c r="H676" s="145" t="e">
        <f t="shared" si="184"/>
        <v>#N/A</v>
      </c>
      <c r="P676" s="342" t="e">
        <f>1-(INDEX(Muuttujat!$O$5:$O$21,MATCH($C676,Muuttujat!$N$5:$N$21,0),1))</f>
        <v>#N/A</v>
      </c>
      <c r="Q676" s="342" t="e">
        <f>INDEX(Muuttujat!$O$5:$O$21,MATCH($C676,Muuttujat!$N$5:$N$21,0),1)</f>
        <v>#N/A</v>
      </c>
      <c r="R676" s="162"/>
      <c r="S676" s="163"/>
      <c r="T676" s="163"/>
      <c r="U676" s="163"/>
      <c r="V676" s="163"/>
      <c r="W676" s="163"/>
      <c r="X676" s="163"/>
      <c r="Y676" s="160"/>
      <c r="Z676" s="164"/>
      <c r="AA676" s="164"/>
      <c r="AB676" s="164"/>
      <c r="AC676" s="164"/>
      <c r="AD676" s="164"/>
      <c r="AE676" s="348"/>
      <c r="AF676" s="348"/>
      <c r="AG676" s="349"/>
      <c r="AH676" s="349"/>
      <c r="AI676" s="349"/>
      <c r="AJ676" s="349"/>
      <c r="AK676" s="349"/>
      <c r="AL676" s="349"/>
    </row>
    <row r="677" spans="4:38">
      <c r="D677" s="160"/>
      <c r="F677" s="145">
        <f t="shared" si="182"/>
        <v>0</v>
      </c>
      <c r="G677" s="145" t="e">
        <f t="shared" si="183"/>
        <v>#N/A</v>
      </c>
      <c r="H677" s="145" t="e">
        <f t="shared" si="184"/>
        <v>#N/A</v>
      </c>
      <c r="P677" s="342" t="e">
        <f>1-(INDEX(Muuttujat!$O$5:$O$21,MATCH($C677,Muuttujat!$N$5:$N$21,0),1))</f>
        <v>#N/A</v>
      </c>
      <c r="Q677" s="342" t="e">
        <f>INDEX(Muuttujat!$O$5:$O$21,MATCH($C677,Muuttujat!$N$5:$N$21,0),1)</f>
        <v>#N/A</v>
      </c>
      <c r="R677" s="162"/>
      <c r="S677" s="163"/>
      <c r="T677" s="163"/>
      <c r="U677" s="163"/>
      <c r="V677" s="163"/>
      <c r="W677" s="163"/>
      <c r="X677" s="163"/>
      <c r="Y677" s="160"/>
      <c r="Z677" s="164"/>
      <c r="AA677" s="164"/>
      <c r="AB677" s="164"/>
      <c r="AC677" s="164"/>
      <c r="AD677" s="164"/>
      <c r="AE677" s="348"/>
      <c r="AF677" s="348"/>
      <c r="AG677" s="349"/>
      <c r="AH677" s="349"/>
      <c r="AI677" s="349"/>
      <c r="AJ677" s="349"/>
      <c r="AK677" s="349"/>
      <c r="AL677" s="349"/>
    </row>
    <row r="678" spans="4:38">
      <c r="D678" s="160"/>
      <c r="F678" s="145">
        <f t="shared" si="182"/>
        <v>0</v>
      </c>
      <c r="G678" s="145" t="e">
        <f t="shared" si="183"/>
        <v>#N/A</v>
      </c>
      <c r="H678" s="145" t="e">
        <f t="shared" si="184"/>
        <v>#N/A</v>
      </c>
      <c r="P678" s="342" t="e">
        <f>1-(INDEX(Muuttujat!$O$5:$O$21,MATCH($C678,Muuttujat!$N$5:$N$21,0),1))</f>
        <v>#N/A</v>
      </c>
      <c r="Q678" s="342" t="e">
        <f>INDEX(Muuttujat!$O$5:$O$21,MATCH($C678,Muuttujat!$N$5:$N$21,0),1)</f>
        <v>#N/A</v>
      </c>
      <c r="R678" s="162"/>
      <c r="S678" s="163"/>
      <c r="T678" s="163"/>
      <c r="U678" s="163"/>
      <c r="V678" s="163"/>
      <c r="W678" s="163"/>
      <c r="X678" s="163"/>
      <c r="Y678" s="160"/>
      <c r="Z678" s="164"/>
      <c r="AA678" s="164"/>
      <c r="AB678" s="164"/>
      <c r="AC678" s="164"/>
      <c r="AD678" s="164"/>
      <c r="AE678" s="348"/>
      <c r="AF678" s="348"/>
      <c r="AG678" s="349"/>
      <c r="AH678" s="349"/>
      <c r="AI678" s="349"/>
      <c r="AJ678" s="349"/>
      <c r="AK678" s="349"/>
      <c r="AL678" s="349"/>
    </row>
    <row r="679" spans="4:38">
      <c r="D679" s="160"/>
      <c r="F679" s="145">
        <f t="shared" si="182"/>
        <v>0</v>
      </c>
      <c r="G679" s="145" t="e">
        <f t="shared" si="183"/>
        <v>#N/A</v>
      </c>
      <c r="H679" s="145" t="e">
        <f t="shared" si="184"/>
        <v>#N/A</v>
      </c>
      <c r="P679" s="342" t="e">
        <f>1-(INDEX(Muuttujat!$O$5:$O$21,MATCH($C679,Muuttujat!$N$5:$N$21,0),1))</f>
        <v>#N/A</v>
      </c>
      <c r="Q679" s="342" t="e">
        <f>INDEX(Muuttujat!$O$5:$O$21,MATCH($C679,Muuttujat!$N$5:$N$21,0),1)</f>
        <v>#N/A</v>
      </c>
      <c r="R679" s="162"/>
      <c r="S679" s="163"/>
      <c r="T679" s="163"/>
      <c r="U679" s="163"/>
      <c r="V679" s="163"/>
      <c r="W679" s="163"/>
      <c r="X679" s="163"/>
      <c r="Y679" s="160"/>
      <c r="Z679" s="164"/>
      <c r="AA679" s="164"/>
      <c r="AB679" s="164"/>
      <c r="AC679" s="164"/>
      <c r="AD679" s="164"/>
      <c r="AE679" s="348"/>
      <c r="AF679" s="348"/>
      <c r="AG679" s="349"/>
      <c r="AH679" s="349"/>
      <c r="AI679" s="349"/>
      <c r="AJ679" s="349"/>
      <c r="AK679" s="349"/>
      <c r="AL679" s="349"/>
    </row>
    <row r="680" spans="4:38">
      <c r="D680" s="160"/>
      <c r="F680" s="145">
        <f t="shared" si="182"/>
        <v>0</v>
      </c>
      <c r="G680" s="145" t="e">
        <f t="shared" si="183"/>
        <v>#N/A</v>
      </c>
      <c r="H680" s="145" t="e">
        <f t="shared" si="184"/>
        <v>#N/A</v>
      </c>
      <c r="P680" s="342" t="e">
        <f>1-(INDEX(Muuttujat!$O$5:$O$21,MATCH($C680,Muuttujat!$N$5:$N$21,0),1))</f>
        <v>#N/A</v>
      </c>
      <c r="Q680" s="342" t="e">
        <f>INDEX(Muuttujat!$O$5:$O$21,MATCH($C680,Muuttujat!$N$5:$N$21,0),1)</f>
        <v>#N/A</v>
      </c>
      <c r="R680" s="162"/>
      <c r="S680" s="163"/>
      <c r="T680" s="163"/>
      <c r="U680" s="163"/>
      <c r="V680" s="163"/>
      <c r="W680" s="163"/>
      <c r="X680" s="163"/>
      <c r="Y680" s="160"/>
      <c r="Z680" s="164"/>
      <c r="AA680" s="164"/>
      <c r="AB680" s="164"/>
      <c r="AC680" s="164"/>
      <c r="AD680" s="164"/>
      <c r="AE680" s="348"/>
      <c r="AF680" s="348"/>
      <c r="AG680" s="349"/>
      <c r="AH680" s="349"/>
      <c r="AI680" s="349"/>
      <c r="AJ680" s="349"/>
      <c r="AK680" s="349"/>
      <c r="AL680" s="349"/>
    </row>
    <row r="681" spans="4:38">
      <c r="D681" s="160"/>
      <c r="F681" s="145">
        <f t="shared" si="182"/>
        <v>0</v>
      </c>
      <c r="G681" s="145" t="e">
        <f t="shared" si="183"/>
        <v>#N/A</v>
      </c>
      <c r="H681" s="145" t="e">
        <f t="shared" si="184"/>
        <v>#N/A</v>
      </c>
      <c r="P681" s="342" t="e">
        <f>1-(INDEX(Muuttujat!$O$5:$O$21,MATCH($C681,Muuttujat!$N$5:$N$21,0),1))</f>
        <v>#N/A</v>
      </c>
      <c r="Q681" s="342" t="e">
        <f>INDEX(Muuttujat!$O$5:$O$21,MATCH($C681,Muuttujat!$N$5:$N$21,0),1)</f>
        <v>#N/A</v>
      </c>
      <c r="R681" s="162"/>
      <c r="S681" s="163"/>
      <c r="T681" s="163"/>
      <c r="U681" s="163"/>
      <c r="V681" s="163"/>
      <c r="W681" s="163"/>
      <c r="X681" s="163"/>
      <c r="Y681" s="160"/>
      <c r="Z681" s="164"/>
      <c r="AA681" s="164"/>
      <c r="AB681" s="164"/>
      <c r="AC681" s="164"/>
      <c r="AD681" s="164"/>
      <c r="AE681" s="348"/>
      <c r="AF681" s="348"/>
      <c r="AG681" s="349"/>
      <c r="AH681" s="349"/>
      <c r="AI681" s="349"/>
      <c r="AJ681" s="349"/>
      <c r="AK681" s="349"/>
      <c r="AL681" s="349"/>
    </row>
    <row r="682" spans="4:38">
      <c r="D682" s="160"/>
      <c r="F682" s="145">
        <f t="shared" si="182"/>
        <v>0</v>
      </c>
      <c r="G682" s="145" t="e">
        <f t="shared" si="183"/>
        <v>#N/A</v>
      </c>
      <c r="H682" s="145" t="e">
        <f t="shared" si="184"/>
        <v>#N/A</v>
      </c>
      <c r="P682" s="342" t="e">
        <f>1-(INDEX(Muuttujat!$O$5:$O$21,MATCH($C682,Muuttujat!$N$5:$N$21,0),1))</f>
        <v>#N/A</v>
      </c>
      <c r="Q682" s="342" t="e">
        <f>INDEX(Muuttujat!$O$5:$O$21,MATCH($C682,Muuttujat!$N$5:$N$21,0),1)</f>
        <v>#N/A</v>
      </c>
      <c r="R682" s="162"/>
      <c r="S682" s="163"/>
      <c r="T682" s="163"/>
      <c r="U682" s="163"/>
      <c r="V682" s="163"/>
      <c r="W682" s="163"/>
      <c r="X682" s="163"/>
      <c r="Y682" s="160"/>
      <c r="Z682" s="164"/>
      <c r="AA682" s="164"/>
      <c r="AB682" s="164"/>
      <c r="AC682" s="164"/>
      <c r="AD682" s="164"/>
      <c r="AE682" s="348"/>
      <c r="AF682" s="348"/>
      <c r="AG682" s="349"/>
      <c r="AH682" s="349"/>
      <c r="AI682" s="349"/>
      <c r="AJ682" s="349"/>
      <c r="AK682" s="349"/>
      <c r="AL682" s="349"/>
    </row>
    <row r="683" spans="4:38">
      <c r="D683" s="160"/>
      <c r="F683" s="145">
        <f t="shared" si="182"/>
        <v>0</v>
      </c>
      <c r="G683" s="145" t="e">
        <f t="shared" si="183"/>
        <v>#N/A</v>
      </c>
      <c r="H683" s="145" t="e">
        <f t="shared" si="184"/>
        <v>#N/A</v>
      </c>
      <c r="P683" s="342" t="e">
        <f>1-(INDEX(Muuttujat!$O$5:$O$21,MATCH($C683,Muuttujat!$N$5:$N$21,0),1))</f>
        <v>#N/A</v>
      </c>
      <c r="Q683" s="342" t="e">
        <f>INDEX(Muuttujat!$O$5:$O$21,MATCH($C683,Muuttujat!$N$5:$N$21,0),1)</f>
        <v>#N/A</v>
      </c>
      <c r="R683" s="162"/>
      <c r="S683" s="163"/>
      <c r="T683" s="163"/>
      <c r="U683" s="163"/>
      <c r="V683" s="163"/>
      <c r="W683" s="163"/>
      <c r="X683" s="163"/>
      <c r="Y683" s="160"/>
      <c r="Z683" s="164"/>
      <c r="AA683" s="164"/>
      <c r="AB683" s="164"/>
      <c r="AC683" s="164"/>
      <c r="AD683" s="164"/>
      <c r="AE683" s="348"/>
      <c r="AF683" s="348"/>
      <c r="AG683" s="349"/>
      <c r="AH683" s="349"/>
      <c r="AI683" s="349"/>
      <c r="AJ683" s="349"/>
      <c r="AK683" s="349"/>
      <c r="AL683" s="349"/>
    </row>
    <row r="684" spans="4:38">
      <c r="D684" s="160"/>
      <c r="F684" s="145">
        <f t="shared" si="182"/>
        <v>0</v>
      </c>
      <c r="G684" s="145" t="e">
        <f t="shared" si="183"/>
        <v>#N/A</v>
      </c>
      <c r="H684" s="145" t="e">
        <f t="shared" si="184"/>
        <v>#N/A</v>
      </c>
      <c r="P684" s="342" t="e">
        <f>1-(INDEX(Muuttujat!$O$5:$O$21,MATCH($C684,Muuttujat!$N$5:$N$21,0),1))</f>
        <v>#N/A</v>
      </c>
      <c r="Q684" s="342" t="e">
        <f>INDEX(Muuttujat!$O$5:$O$21,MATCH($C684,Muuttujat!$N$5:$N$21,0),1)</f>
        <v>#N/A</v>
      </c>
      <c r="R684" s="162"/>
      <c r="S684" s="163"/>
      <c r="T684" s="163"/>
      <c r="U684" s="163"/>
      <c r="V684" s="163"/>
      <c r="W684" s="163"/>
      <c r="X684" s="163"/>
      <c r="Y684" s="160"/>
      <c r="Z684" s="164"/>
      <c r="AA684" s="164"/>
      <c r="AB684" s="164"/>
      <c r="AC684" s="164"/>
      <c r="AD684" s="164"/>
      <c r="AE684" s="348"/>
      <c r="AF684" s="348"/>
      <c r="AG684" s="349"/>
      <c r="AH684" s="349"/>
      <c r="AI684" s="349"/>
      <c r="AJ684" s="349"/>
      <c r="AK684" s="349"/>
      <c r="AL684" s="349"/>
    </row>
    <row r="685" spans="4:38">
      <c r="D685" s="160"/>
      <c r="F685" s="145">
        <f t="shared" si="182"/>
        <v>0</v>
      </c>
      <c r="G685" s="145" t="e">
        <f t="shared" si="183"/>
        <v>#N/A</v>
      </c>
      <c r="H685" s="145" t="e">
        <f t="shared" si="184"/>
        <v>#N/A</v>
      </c>
      <c r="P685" s="342" t="e">
        <f>1-(INDEX(Muuttujat!$O$5:$O$21,MATCH($C685,Muuttujat!$N$5:$N$21,0),1))</f>
        <v>#N/A</v>
      </c>
      <c r="Q685" s="342" t="e">
        <f>INDEX(Muuttujat!$O$5:$O$21,MATCH($C685,Muuttujat!$N$5:$N$21,0),1)</f>
        <v>#N/A</v>
      </c>
      <c r="R685" s="162"/>
      <c r="S685" s="163"/>
      <c r="T685" s="163"/>
      <c r="U685" s="163"/>
      <c r="V685" s="163"/>
      <c r="W685" s="163"/>
      <c r="X685" s="163"/>
      <c r="Y685" s="160"/>
      <c r="Z685" s="164"/>
      <c r="AA685" s="164"/>
      <c r="AB685" s="164"/>
      <c r="AC685" s="164"/>
      <c r="AD685" s="164"/>
      <c r="AE685" s="348"/>
      <c r="AF685" s="348"/>
      <c r="AG685" s="349"/>
      <c r="AH685" s="349"/>
      <c r="AI685" s="349"/>
      <c r="AJ685" s="349"/>
      <c r="AK685" s="349"/>
      <c r="AL685" s="349"/>
    </row>
    <row r="686" spans="4:38">
      <c r="D686" s="160"/>
      <c r="F686" s="145">
        <f t="shared" si="182"/>
        <v>0</v>
      </c>
      <c r="G686" s="145" t="e">
        <f t="shared" si="183"/>
        <v>#N/A</v>
      </c>
      <c r="H686" s="145" t="e">
        <f t="shared" si="184"/>
        <v>#N/A</v>
      </c>
      <c r="P686" s="342" t="e">
        <f>1-(INDEX(Muuttujat!$O$5:$O$21,MATCH($C686,Muuttujat!$N$5:$N$21,0),1))</f>
        <v>#N/A</v>
      </c>
      <c r="Q686" s="342" t="e">
        <f>INDEX(Muuttujat!$O$5:$O$21,MATCH($C686,Muuttujat!$N$5:$N$21,0),1)</f>
        <v>#N/A</v>
      </c>
      <c r="R686" s="162"/>
      <c r="S686" s="163"/>
      <c r="T686" s="163"/>
      <c r="U686" s="163"/>
      <c r="W686" s="163"/>
      <c r="X686" s="163"/>
      <c r="Y686" s="160"/>
      <c r="Z686" s="164"/>
      <c r="AA686" s="164"/>
      <c r="AB686" s="164"/>
      <c r="AC686" s="164"/>
      <c r="AD686" s="164"/>
      <c r="AE686" s="348"/>
      <c r="AF686" s="348"/>
      <c r="AG686" s="349"/>
      <c r="AH686" s="349"/>
      <c r="AI686" s="349"/>
      <c r="AJ686" s="349"/>
      <c r="AK686" s="349"/>
      <c r="AL686" s="349"/>
    </row>
    <row r="687" spans="4:38">
      <c r="D687" s="160"/>
      <c r="F687" s="145">
        <f t="shared" si="182"/>
        <v>0</v>
      </c>
      <c r="G687" s="145" t="e">
        <f t="shared" si="183"/>
        <v>#N/A</v>
      </c>
      <c r="H687" s="145" t="e">
        <f t="shared" si="184"/>
        <v>#N/A</v>
      </c>
      <c r="P687" s="342" t="e">
        <f>1-(INDEX(Muuttujat!$O$5:$O$21,MATCH($C687,Muuttujat!$N$5:$N$21,0),1))</f>
        <v>#N/A</v>
      </c>
      <c r="Q687" s="342" t="e">
        <f>INDEX(Muuttujat!$O$5:$O$21,MATCH($C687,Muuttujat!$N$5:$N$21,0),1)</f>
        <v>#N/A</v>
      </c>
      <c r="R687" s="162"/>
      <c r="S687" s="163"/>
      <c r="T687" s="163"/>
      <c r="U687" s="163"/>
      <c r="W687" s="163"/>
      <c r="X687" s="163"/>
      <c r="Y687" s="160"/>
      <c r="Z687" s="164"/>
      <c r="AA687" s="164"/>
      <c r="AB687" s="164"/>
      <c r="AC687" s="164"/>
      <c r="AD687" s="164"/>
      <c r="AE687" s="348"/>
      <c r="AF687" s="348"/>
      <c r="AG687" s="349"/>
      <c r="AH687" s="349"/>
      <c r="AI687" s="349"/>
      <c r="AJ687" s="349"/>
      <c r="AK687" s="349"/>
      <c r="AL687" s="349"/>
    </row>
    <row r="688" spans="4:38">
      <c r="D688" s="160"/>
      <c r="F688" s="145">
        <f t="shared" si="182"/>
        <v>0</v>
      </c>
      <c r="G688" s="145" t="e">
        <f t="shared" si="183"/>
        <v>#N/A</v>
      </c>
      <c r="H688" s="145" t="e">
        <f t="shared" si="184"/>
        <v>#N/A</v>
      </c>
      <c r="P688" s="342" t="e">
        <f>1-(INDEX(Muuttujat!$O$5:$O$21,MATCH($C688,Muuttujat!$N$5:$N$21,0),1))</f>
        <v>#N/A</v>
      </c>
      <c r="Q688" s="342" t="e">
        <f>INDEX(Muuttujat!$O$5:$O$21,MATCH($C688,Muuttujat!$N$5:$N$21,0),1)</f>
        <v>#N/A</v>
      </c>
      <c r="R688" s="162"/>
      <c r="S688" s="163"/>
      <c r="T688" s="163"/>
      <c r="U688" s="163"/>
      <c r="W688" s="163"/>
      <c r="X688" s="163"/>
      <c r="Y688" s="160"/>
      <c r="Z688" s="164"/>
      <c r="AA688" s="164"/>
      <c r="AB688" s="164"/>
      <c r="AC688" s="164"/>
      <c r="AD688" s="164"/>
      <c r="AE688" s="348"/>
      <c r="AF688" s="348"/>
      <c r="AG688" s="349"/>
      <c r="AH688" s="349"/>
      <c r="AI688" s="349"/>
      <c r="AJ688" s="349"/>
      <c r="AK688" s="349"/>
      <c r="AL688" s="349"/>
    </row>
    <row r="689" spans="4:38">
      <c r="D689" s="160"/>
      <c r="F689" s="145">
        <f t="shared" si="182"/>
        <v>0</v>
      </c>
      <c r="G689" s="145" t="e">
        <f t="shared" si="183"/>
        <v>#N/A</v>
      </c>
      <c r="H689" s="145" t="e">
        <f t="shared" si="184"/>
        <v>#N/A</v>
      </c>
      <c r="P689" s="342" t="e">
        <f>1-(INDEX(Muuttujat!$O$5:$O$21,MATCH($C689,Muuttujat!$N$5:$N$21,0),1))</f>
        <v>#N/A</v>
      </c>
      <c r="Q689" s="342" t="e">
        <f>INDEX(Muuttujat!$O$5:$O$21,MATCH($C689,Muuttujat!$N$5:$N$21,0),1)</f>
        <v>#N/A</v>
      </c>
      <c r="R689" s="162"/>
      <c r="S689" s="163"/>
      <c r="T689" s="163"/>
      <c r="U689" s="163"/>
      <c r="W689" s="163"/>
      <c r="X689" s="163"/>
      <c r="Y689" s="160"/>
      <c r="Z689" s="164"/>
      <c r="AA689" s="164"/>
      <c r="AB689" s="164"/>
      <c r="AC689" s="164"/>
      <c r="AD689" s="164"/>
      <c r="AE689" s="348"/>
      <c r="AF689" s="348"/>
      <c r="AG689" s="349"/>
      <c r="AH689" s="349"/>
      <c r="AI689" s="349"/>
      <c r="AJ689" s="349"/>
      <c r="AK689" s="349"/>
      <c r="AL689" s="349"/>
    </row>
    <row r="690" spans="4:38">
      <c r="D690" s="160"/>
      <c r="F690" s="145">
        <f t="shared" si="182"/>
        <v>0</v>
      </c>
      <c r="G690" s="145" t="e">
        <f t="shared" si="183"/>
        <v>#N/A</v>
      </c>
      <c r="H690" s="145" t="e">
        <f t="shared" si="184"/>
        <v>#N/A</v>
      </c>
      <c r="P690" s="342" t="e">
        <f>1-(INDEX(Muuttujat!$O$5:$O$21,MATCH($C690,Muuttujat!$N$5:$N$21,0),1))</f>
        <v>#N/A</v>
      </c>
      <c r="Q690" s="342" t="e">
        <f>INDEX(Muuttujat!$O$5:$O$21,MATCH($C690,Muuttujat!$N$5:$N$21,0),1)</f>
        <v>#N/A</v>
      </c>
      <c r="R690" s="162"/>
      <c r="S690" s="163"/>
      <c r="T690" s="163"/>
      <c r="U690" s="163"/>
      <c r="W690" s="163"/>
      <c r="X690" s="163"/>
      <c r="Y690" s="160"/>
      <c r="Z690" s="164"/>
      <c r="AA690" s="164"/>
      <c r="AB690" s="164"/>
      <c r="AC690" s="164"/>
      <c r="AD690" s="164"/>
      <c r="AE690" s="348"/>
      <c r="AF690" s="348"/>
      <c r="AG690" s="349"/>
      <c r="AH690" s="349"/>
      <c r="AI690" s="349"/>
      <c r="AJ690" s="349"/>
      <c r="AK690" s="349"/>
      <c r="AL690" s="349"/>
    </row>
    <row r="691" spans="4:38">
      <c r="D691" s="160"/>
      <c r="F691" s="145">
        <f t="shared" si="182"/>
        <v>0</v>
      </c>
      <c r="G691" s="145" t="e">
        <f t="shared" si="183"/>
        <v>#N/A</v>
      </c>
      <c r="H691" s="145" t="e">
        <f t="shared" si="184"/>
        <v>#N/A</v>
      </c>
      <c r="P691" s="342" t="e">
        <f>1-(INDEX(Muuttujat!$O$5:$O$21,MATCH($C691,Muuttujat!$N$5:$N$21,0),1))</f>
        <v>#N/A</v>
      </c>
      <c r="Q691" s="342" t="e">
        <f>INDEX(Muuttujat!$O$5:$O$21,MATCH($C691,Muuttujat!$N$5:$N$21,0),1)</f>
        <v>#N/A</v>
      </c>
      <c r="R691" s="162"/>
      <c r="S691" s="163"/>
      <c r="T691" s="163"/>
      <c r="U691" s="163"/>
      <c r="W691" s="163"/>
      <c r="X691" s="163"/>
      <c r="Y691" s="160"/>
      <c r="Z691" s="164"/>
      <c r="AA691" s="164"/>
      <c r="AB691" s="164"/>
      <c r="AC691" s="164"/>
      <c r="AD691" s="164"/>
      <c r="AE691" s="348"/>
      <c r="AF691" s="348"/>
      <c r="AG691" s="349"/>
      <c r="AH691" s="349"/>
      <c r="AI691" s="349"/>
      <c r="AJ691" s="349"/>
      <c r="AK691" s="349"/>
      <c r="AL691" s="349"/>
    </row>
    <row r="692" spans="4:38">
      <c r="D692" s="160"/>
      <c r="F692" s="145">
        <f t="shared" si="182"/>
        <v>0</v>
      </c>
      <c r="G692" s="145" t="e">
        <f t="shared" si="183"/>
        <v>#N/A</v>
      </c>
      <c r="H692" s="145" t="e">
        <f t="shared" si="184"/>
        <v>#N/A</v>
      </c>
      <c r="P692" s="342" t="e">
        <f>1-(INDEX(Muuttujat!$O$5:$O$21,MATCH($C692,Muuttujat!$N$5:$N$21,0),1))</f>
        <v>#N/A</v>
      </c>
      <c r="Q692" s="342" t="e">
        <f>INDEX(Muuttujat!$O$5:$O$21,MATCH($C692,Muuttujat!$N$5:$N$21,0),1)</f>
        <v>#N/A</v>
      </c>
      <c r="R692" s="162"/>
      <c r="S692" s="163"/>
      <c r="T692" s="163"/>
      <c r="U692" s="163"/>
      <c r="W692" s="163"/>
      <c r="X692" s="163"/>
      <c r="Y692" s="160"/>
      <c r="Z692" s="164"/>
      <c r="AA692" s="164"/>
      <c r="AB692" s="164"/>
      <c r="AC692" s="164"/>
      <c r="AD692" s="164"/>
      <c r="AE692" s="348"/>
      <c r="AF692" s="348"/>
      <c r="AG692" s="349"/>
      <c r="AH692" s="349"/>
      <c r="AI692" s="349"/>
      <c r="AJ692" s="349"/>
      <c r="AK692" s="349"/>
      <c r="AL692" s="349"/>
    </row>
    <row r="693" spans="4:38">
      <c r="D693" s="160"/>
      <c r="F693" s="145">
        <f t="shared" si="182"/>
        <v>0</v>
      </c>
      <c r="G693" s="145" t="e">
        <f t="shared" si="183"/>
        <v>#N/A</v>
      </c>
      <c r="H693" s="145" t="e">
        <f t="shared" si="184"/>
        <v>#N/A</v>
      </c>
      <c r="P693" s="342" t="e">
        <f>1-(INDEX(Muuttujat!$O$5:$O$21,MATCH($C693,Muuttujat!$N$5:$N$21,0),1))</f>
        <v>#N/A</v>
      </c>
      <c r="Q693" s="342" t="e">
        <f>INDEX(Muuttujat!$O$5:$O$21,MATCH($C693,Muuttujat!$N$5:$N$21,0),1)</f>
        <v>#N/A</v>
      </c>
      <c r="R693" s="162"/>
      <c r="S693" s="163"/>
      <c r="T693" s="163"/>
      <c r="U693" s="163"/>
      <c r="W693" s="163"/>
      <c r="X693" s="163"/>
      <c r="Y693" s="160"/>
      <c r="Z693" s="164"/>
      <c r="AA693" s="164"/>
      <c r="AB693" s="164"/>
      <c r="AC693" s="164"/>
      <c r="AD693" s="164"/>
      <c r="AE693" s="348"/>
      <c r="AF693" s="348"/>
      <c r="AG693" s="349"/>
      <c r="AH693" s="349"/>
      <c r="AI693" s="349"/>
      <c r="AJ693" s="349"/>
      <c r="AK693" s="349"/>
      <c r="AL693" s="349"/>
    </row>
  </sheetData>
  <autoFilter ref="A2:AD693"/>
  <mergeCells count="7">
    <mergeCell ref="AE1:AL1"/>
    <mergeCell ref="Z1:AD1"/>
    <mergeCell ref="A1:C1"/>
    <mergeCell ref="D1:M1"/>
    <mergeCell ref="N1:R1"/>
    <mergeCell ref="S1:V1"/>
    <mergeCell ref="W1:Y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693"/>
  <sheetViews>
    <sheetView workbookViewId="0">
      <selection sqref="A1:C1"/>
    </sheetView>
  </sheetViews>
  <sheetFormatPr defaultColWidth="9.109375" defaultRowHeight="13.8"/>
  <cols>
    <col min="1" max="1" width="10.109375" style="159" customWidth="1"/>
    <col min="2" max="2" width="10.109375" style="159" hidden="1" customWidth="1"/>
    <col min="3" max="3" width="10.109375" style="159" customWidth="1"/>
    <col min="4" max="4" width="11.5546875" style="157" customWidth="1"/>
    <col min="5" max="5" width="10.109375" style="161" customWidth="1"/>
    <col min="6" max="7" width="12.5546875" style="161" hidden="1" customWidth="1"/>
    <col min="8" max="8" width="10.109375" style="161" hidden="1" customWidth="1"/>
    <col min="9" max="9" width="11.5546875" style="161" customWidth="1"/>
    <col min="10" max="10" width="10.109375" style="161" customWidth="1"/>
    <col min="11" max="11" width="10" style="157" customWidth="1"/>
    <col min="12" max="12" width="10.109375" style="157" customWidth="1"/>
    <col min="13" max="13" width="12.88671875" style="160" customWidth="1"/>
    <col min="14" max="14" width="15" style="160" customWidth="1"/>
    <col min="15" max="17" width="13.5546875" style="160" customWidth="1"/>
    <col min="18" max="18" width="14.6640625" style="160" customWidth="1"/>
    <col min="19" max="20" width="15" style="160" customWidth="1"/>
    <col min="21" max="23" width="13" style="160" customWidth="1"/>
    <col min="24" max="24" width="14.5546875" style="160" customWidth="1"/>
    <col min="25" max="25" width="10.109375" style="157" customWidth="1"/>
    <col min="26" max="30" width="10.6640625" style="157" customWidth="1"/>
    <col min="31" max="31" width="1.5546875" style="6" customWidth="1"/>
    <col min="32" max="32" width="9.109375" style="6"/>
    <col min="33" max="33" width="21.44140625" style="6" customWidth="1"/>
    <col min="34" max="34" width="17" style="6" customWidth="1"/>
    <col min="35" max="35" width="19.6640625" style="6" customWidth="1"/>
    <col min="36" max="36" width="17.6640625" style="6" customWidth="1"/>
    <col min="37" max="37" width="26" style="6" customWidth="1"/>
    <col min="38" max="16384" width="9.109375" style="6"/>
  </cols>
  <sheetData>
    <row r="1" spans="1:39">
      <c r="A1" s="384" t="s">
        <v>257</v>
      </c>
      <c r="B1" s="384"/>
      <c r="C1" s="384"/>
      <c r="D1" s="385" t="s">
        <v>258</v>
      </c>
      <c r="E1" s="386"/>
      <c r="F1" s="386"/>
      <c r="G1" s="386"/>
      <c r="H1" s="386"/>
      <c r="I1" s="386"/>
      <c r="J1" s="386"/>
      <c r="K1" s="386"/>
      <c r="L1" s="386"/>
      <c r="M1" s="386"/>
      <c r="N1" s="387" t="s">
        <v>259</v>
      </c>
      <c r="O1" s="388"/>
      <c r="P1" s="388"/>
      <c r="Q1" s="388"/>
      <c r="R1" s="389"/>
      <c r="S1" s="387" t="s">
        <v>260</v>
      </c>
      <c r="T1" s="388"/>
      <c r="U1" s="388"/>
      <c r="V1" s="389"/>
      <c r="W1" s="387" t="s">
        <v>261</v>
      </c>
      <c r="X1" s="388"/>
      <c r="Y1" s="388"/>
      <c r="Z1" s="385" t="s">
        <v>262</v>
      </c>
      <c r="AA1" s="386"/>
      <c r="AB1" s="386"/>
      <c r="AC1" s="386"/>
      <c r="AD1" s="386"/>
      <c r="AE1" s="131"/>
      <c r="AF1" s="131"/>
      <c r="AG1" s="131"/>
      <c r="AH1" s="131"/>
      <c r="AI1" s="131"/>
      <c r="AJ1" s="131"/>
      <c r="AK1" s="131"/>
      <c r="AL1" s="131"/>
      <c r="AM1" s="131"/>
    </row>
    <row r="2" spans="1:39" s="183" customFormat="1" ht="42" thickBot="1">
      <c r="A2" s="132" t="s">
        <v>220</v>
      </c>
      <c r="B2" s="133" t="s">
        <v>263</v>
      </c>
      <c r="C2" s="133" t="s">
        <v>42</v>
      </c>
      <c r="D2" s="132" t="s">
        <v>264</v>
      </c>
      <c r="E2" s="133" t="s">
        <v>265</v>
      </c>
      <c r="F2" s="133" t="s">
        <v>266</v>
      </c>
      <c r="G2" s="133" t="s">
        <v>267</v>
      </c>
      <c r="H2" s="133" t="s">
        <v>268</v>
      </c>
      <c r="I2" s="133" t="s">
        <v>298</v>
      </c>
      <c r="J2" s="133" t="s">
        <v>299</v>
      </c>
      <c r="K2" s="133" t="s">
        <v>271</v>
      </c>
      <c r="L2" s="133" t="s">
        <v>272</v>
      </c>
      <c r="M2" s="133" t="s">
        <v>273</v>
      </c>
      <c r="N2" s="132" t="s">
        <v>274</v>
      </c>
      <c r="O2" s="133" t="s">
        <v>275</v>
      </c>
      <c r="P2" s="133" t="s">
        <v>276</v>
      </c>
      <c r="Q2" s="133" t="s">
        <v>277</v>
      </c>
      <c r="R2" s="133" t="s">
        <v>278</v>
      </c>
      <c r="S2" s="134" t="s">
        <v>279</v>
      </c>
      <c r="T2" s="135" t="s">
        <v>280</v>
      </c>
      <c r="U2" s="135" t="s">
        <v>281</v>
      </c>
      <c r="V2" s="135" t="s">
        <v>282</v>
      </c>
      <c r="W2" s="134" t="s">
        <v>283</v>
      </c>
      <c r="X2" s="135" t="s">
        <v>284</v>
      </c>
      <c r="Y2" s="135" t="s">
        <v>285</v>
      </c>
      <c r="Z2" s="136" t="s">
        <v>286</v>
      </c>
      <c r="AA2" s="137" t="s">
        <v>287</v>
      </c>
      <c r="AB2" s="137" t="s">
        <v>25</v>
      </c>
      <c r="AC2" s="138" t="s">
        <v>288</v>
      </c>
      <c r="AD2" s="155" t="s">
        <v>43</v>
      </c>
      <c r="AE2" s="12"/>
      <c r="AF2" s="39" t="s">
        <v>42</v>
      </c>
      <c r="AG2" s="39" t="str">
        <f>_xlfn.CONCAT("Korvattava työkone1: ",s1_korvattava_työkone1)</f>
        <v>Korvattava työkone1: trukki &lt;= 5t</v>
      </c>
      <c r="AH2" s="39" t="str">
        <f>_xlfn.CONCAT("Korvaava työkone1: ",s1_korvaava_työkone1)</f>
        <v>Korvaava työkone1: trukki, sähkö &lt;= 5t</v>
      </c>
      <c r="AI2" s="39" t="str">
        <f>_xlfn.CONCAT("Korvattava työkone2: ",s1_korvattava_työkone2)</f>
        <v>Korvattava työkone2: trukki &gt; 5t</v>
      </c>
      <c r="AJ2" s="39" t="str">
        <f>_xlfn.CONCAT("Korvaava työkone2: ",s1_korvaava_työkone2)</f>
        <v>Korvaava työkone2: trukki, sähkö &gt; 5t</v>
      </c>
      <c r="AK2" s="13"/>
      <c r="AL2" s="38" t="s">
        <v>300</v>
      </c>
      <c r="AM2" s="38" t="s">
        <v>220</v>
      </c>
    </row>
    <row r="3" spans="1:39">
      <c r="A3" s="139">
        <v>1</v>
      </c>
      <c r="B3" s="139" cm="1">
        <f t="array" ref="B3">IFERROR(IF(A3=s1_id_korvattava1,INDEX($AG$3:$AG$19,MATCH(C3,$AF$3:$AF$19,0),1),IF(A3=s1_id_korvaava1,INDEX($AH$3:$AH$19,MATCH(C3,$AF$3:$AF$19,0),1),IF(A3=s1_id_korvattava2,INDEX($AI$3:$AI$19,MATCH(C3,$AF$3:$AF$19,0),1),IF(A3=s1_id_korvaava2,INDEX($AJ$3:$AJ$19,MATCH(C3,$AF$3:$AF$19,0),1),INDEX(Työkonekanta!$F$3:$F$27,MATCH('S1 Sähkö'!$A3,Työkonekanta!$A$3:$A$24,0),1))))),0)</f>
        <v>1</v>
      </c>
      <c r="C3" s="140">
        <v>2019</v>
      </c>
      <c r="D3" s="141" t="str">
        <f>IFERROR(INDEX(Työkonekanta!$D$3:$D$27,MATCH('S1 Sähkö'!$A3,Työkonekanta!$A$3:$A$24,0),1),"undefined")</f>
        <v>pom</v>
      </c>
      <c r="E3" s="145">
        <f>IFERROR(INDEX(Työkonekanta!$G$3:$G$27,MATCH($A3,Työkonekanta!$A$3:$A$24,0),1)*INDEX(Työkonekanta!$H$3:$H$27,MATCH($A3,Työkonekanta!$A$3:$A$24,0),1)*(1+s1_kerroin*($C3-2019))*$B3,0)</f>
        <v>10000</v>
      </c>
      <c r="F3" s="145">
        <f t="shared" ref="F3:F66" si="0">IF(D3="pom",$E3*hv_pom,0)</f>
        <v>359000</v>
      </c>
      <c r="G3" s="145">
        <f>$F3*$P3</f>
        <v>359000</v>
      </c>
      <c r="H3" s="145">
        <f>$F3*$Q3</f>
        <v>0</v>
      </c>
      <c r="I3" s="145">
        <f t="shared" ref="I3:I66" si="1">$G3/hv_pom</f>
        <v>10000</v>
      </c>
      <c r="J3" s="145">
        <f t="shared" ref="J3:J66" si="2">$H3/hv_biodies</f>
        <v>0</v>
      </c>
      <c r="K3" s="142" t="str">
        <f>IF($D3="sähkö","kWh",IF($D3="pom","l","undefined"))</f>
        <v>l</v>
      </c>
      <c r="L3" s="146">
        <f>IFERROR(INDEX(Työkonekanta!$I$3:$I$27,MATCH('S1 Sähkö'!$A3,Työkonekanta!$A$3:$A$24,0),1)*(I3+J3)*f_adblue,0)</f>
        <v>500</v>
      </c>
      <c r="M3" s="146">
        <f t="shared" ref="M3:M82" si="3">IF($D3="sähkö",conv_kwh_mj*$E3,0)</f>
        <v>0</v>
      </c>
      <c r="N3" s="143" t="str">
        <f>IF(tuulisähkö_vuosi&lt;='S1 Sähkö'!C3,"tuulisähkö",ostosähkö_nyt)</f>
        <v>jäännössähkö</v>
      </c>
      <c r="O3" s="147">
        <f>INDEX(Muuttujat!$J$5:$J$21,MATCH($C3,Muuttujat!$H$5:$H$21,0),1)</f>
        <v>69.24722222222222</v>
      </c>
      <c r="P3" s="342">
        <f>1-(INDEX(Muuttujat!$O$5:$O$21,MATCH($C3,Muuttujat!$N$5:$N$21,0),1))</f>
        <v>1</v>
      </c>
      <c r="Q3" s="342">
        <f>INDEX(Muuttujat!$O$5:$O$21,MATCH($C3,Muuttujat!$N$5:$N$21,0),1)</f>
        <v>0</v>
      </c>
      <c r="R3" s="148">
        <f>INDEX(Muuttujat!$P$5:$P$21,MATCH($C3,Muuttujat!$N$5:$N$21,0),1)</f>
        <v>0</v>
      </c>
      <c r="S3" s="149">
        <f t="shared" ref="S3:S66" si="4">wtt_ef_e_co2_dies*$G3/1000/1000</f>
        <v>6.785099999999999</v>
      </c>
      <c r="T3" s="150">
        <f t="shared" ref="T3:T66" si="5">wtt_ef_e_co2_biodies*$H3/1000/1000</f>
        <v>0</v>
      </c>
      <c r="U3" s="150">
        <f t="shared" ref="U3:U66" si="6">IF(N3="jäännössähkö",$O3,IF(N3="tuulisähkö",wtt_ef_e_co2_el_wind,0))*$M3/1000/1000</f>
        <v>0</v>
      </c>
      <c r="V3" s="150">
        <f>IFERROR(INDEX(Työkonekanta!$J$3:$J$27,MATCH($A3,Työkonekanta!$A$3:$A$24,0),1)*$B3*ef_li_ion_akku/1000/1000/INDEX(Työkonekanta!$K$3:$K$27,MATCH($A3,Työkonekanta!$A$3:$A$24,0)),0)</f>
        <v>0</v>
      </c>
      <c r="W3" s="149">
        <f t="shared" ref="W3:W82" si="7">($I3*IF($D3="pom",ef_v_co2_pom,0))/1000/1000</f>
        <v>26.497163285999999</v>
      </c>
      <c r="X3" s="150">
        <f t="shared" ref="X3:X82" si="8">($E3*(IF($D3="pom",ef_v_ch4_pom,0)*gwp100_ch4+IF($D3="pom",ef_v_n2o_pom,0)*gwp100_n2o))/1000/1000</f>
        <v>0.31774565999999999</v>
      </c>
      <c r="Y3" s="151">
        <f t="shared" ref="Y3:Y82" si="9">$L3*ef_v_co2_adblue/1000/1000</f>
        <v>0.13</v>
      </c>
      <c r="Z3" s="152">
        <f>SUM($S3:$V3)</f>
        <v>6.785099999999999</v>
      </c>
      <c r="AA3" s="153">
        <f>$W3+$Y3</f>
        <v>26.627163285999998</v>
      </c>
      <c r="AB3" s="153">
        <f>SUM($W3:$Y3)</f>
        <v>26.944908945999998</v>
      </c>
      <c r="AC3" s="154">
        <f t="shared" ref="AC3:AC82" si="10">$Z3+$AA3</f>
        <v>33.412263285999998</v>
      </c>
      <c r="AD3" s="156">
        <f>$Z3+$AB3</f>
        <v>33.730008945999998</v>
      </c>
      <c r="AE3" s="182"/>
      <c r="AF3" s="36">
        <v>2019</v>
      </c>
      <c r="AG3" s="30">
        <f>INDEX(Työkonekanta!$F$3:$F$27,MATCH(_xlfn.SINGLE(s1_korvattava_työkone1),Työkonekanta!$C$3:$C$27,0),1)</f>
        <v>1</v>
      </c>
      <c r="AH3" s="34">
        <f>INDEX(Työkonekanta!$F$3:$F$27,MATCH(_xlfn.SINGLE(s1_korvaava_työkone1),Työkonekanta!$C$3:$C$27,0),1)</f>
        <v>35</v>
      </c>
      <c r="AI3" s="30">
        <f>INDEX(Työkonekanta!$F$3:$F$27,MATCH(_xlfn.SINGLE(s1_korvattava_työkone2),Työkonekanta!$C$3:$C$27,0),1)</f>
        <v>1</v>
      </c>
      <c r="AJ3" s="34">
        <f>INDEX(Työkonekanta!$F$3:$F$27,MATCH(_xlfn.SINGLE(s1_korvaava_työkone2),Työkonekanta!$C$3:$C$27,0),1)</f>
        <v>0</v>
      </c>
      <c r="AK3" s="37" t="str">
        <f>_xlfn.SINGLE(s1_korvattava_työkone1)</f>
        <v>trukki &lt;= 5t</v>
      </c>
      <c r="AL3" s="37" cm="1">
        <f t="array" ref="AL3">-ROUNDUP(AG3/(s1_korvausvuosi_työkone1-$AF$4),0)</f>
        <v>-1</v>
      </c>
      <c r="AM3" s="37">
        <f>INDEX(Työkonekanta!$A$3:$A$24,MATCH(AK3,Työkonekanta!$C$3:$C$27,0),1)</f>
        <v>17</v>
      </c>
    </row>
    <row r="4" spans="1:39">
      <c r="A4" s="139">
        <v>2</v>
      </c>
      <c r="B4" s="139" cm="1">
        <f t="array" ref="B4">IFERROR(IF(A4=s1_id_korvattava1,INDEX($AG$3:$AG$19,MATCH(C4,$AF$3:$AF$19,0),1),IF(A4=s1_id_korvaava1,INDEX($AH$3:$AH$19,MATCH(C4,$AF$3:$AF$19,0),1),IF(A4=s1_id_korvattava2,INDEX($AI$3:$AI$19,MATCH(C4,$AF$3:$AF$19,0),1),IF(A4=s1_id_korvaava2,INDEX($AJ$3:$AJ$19,MATCH(C4,$AF$3:$AF$19,0),1),INDEX(Työkonekanta!$F$3:$F$27,MATCH('S1 Sähkö'!$A4,Työkonekanta!$A$3:$A$24,0),1))))),0)</f>
        <v>1</v>
      </c>
      <c r="C4" s="140">
        <v>2019</v>
      </c>
      <c r="D4" s="141" t="str">
        <f>IFERROR(INDEX(Työkonekanta!$D$3:$D$27,MATCH('S1 Sähkö'!$A4,Työkonekanta!$A$3:$A$24,0),1),"undefined")</f>
        <v>pom</v>
      </c>
      <c r="E4" s="145">
        <f>IFERROR(INDEX(Työkonekanta!$G$3:$G$27,MATCH($A4,Työkonekanta!$A$3:$A$24,0),1)*INDEX(Työkonekanta!$H$3:$H$27,MATCH($A4,Työkonekanta!$A$3:$A$24,0),1)*(1+s1_kerroin*($C4-2019))*$B4,0)</f>
        <v>10000</v>
      </c>
      <c r="F4" s="145">
        <f t="shared" si="0"/>
        <v>359000</v>
      </c>
      <c r="G4" s="145">
        <f t="shared" ref="G4:G67" si="11">$F4*$P4</f>
        <v>359000</v>
      </c>
      <c r="H4" s="145">
        <f t="shared" ref="H4:H67" si="12">$F4*$Q4</f>
        <v>0</v>
      </c>
      <c r="I4" s="145">
        <f t="shared" si="1"/>
        <v>10000</v>
      </c>
      <c r="J4" s="145">
        <f t="shared" si="2"/>
        <v>0</v>
      </c>
      <c r="K4" s="142" t="str">
        <f t="shared" ref="K4:K67" si="13">IF($D4="sähkö","kWh",IF($D4="pom","l","undefined"))</f>
        <v>l</v>
      </c>
      <c r="L4" s="146">
        <f>IFERROR(INDEX(Työkonekanta!$I$3:$I$27,MATCH('S1 Sähkö'!$A4,Työkonekanta!$A$3:$A$24,0),1)*(I4+J4)*f_adblue,0)</f>
        <v>500</v>
      </c>
      <c r="M4" s="146">
        <f t="shared" si="3"/>
        <v>0</v>
      </c>
      <c r="N4" s="143" t="str">
        <f>IF(tuulisähkö_vuosi&lt;='S1 Sähkö'!C4,"tuulisähkö",ostosähkö_nyt)</f>
        <v>jäännössähkö</v>
      </c>
      <c r="O4" s="147">
        <f>INDEX(Muuttujat!$J$5:$J$21,MATCH($C4,Muuttujat!$H$5:$H$21,0),1)</f>
        <v>69.24722222222222</v>
      </c>
      <c r="P4" s="342">
        <f>1-(INDEX(Muuttujat!$O$5:$O$21,MATCH($C4,Muuttujat!$N$5:$N$21,0),1))</f>
        <v>1</v>
      </c>
      <c r="Q4" s="342">
        <f>INDEX(Muuttujat!$O$5:$O$21,MATCH($C4,Muuttujat!$N$5:$N$21,0),1)</f>
        <v>0</v>
      </c>
      <c r="R4" s="148">
        <f>INDEX(Muuttujat!$P$5:$P$21,MATCH($C4,Muuttujat!$N$5:$N$21,0),1)</f>
        <v>0</v>
      </c>
      <c r="S4" s="149">
        <f t="shared" si="4"/>
        <v>6.785099999999999</v>
      </c>
      <c r="T4" s="150">
        <f t="shared" si="5"/>
        <v>0</v>
      </c>
      <c r="U4" s="150">
        <f t="shared" si="6"/>
        <v>0</v>
      </c>
      <c r="V4" s="150">
        <f>IFERROR(INDEX(Työkonekanta!$J$3:$J$27,MATCH($A4,Työkonekanta!$A$3:$A$24,0),1)*$B4*ef_li_ion_akku/1000/1000/INDEX(Työkonekanta!$K$3:$K$27,MATCH($A4,Työkonekanta!$A$3:$A$24,0)),0)</f>
        <v>0</v>
      </c>
      <c r="W4" s="149">
        <f t="shared" si="7"/>
        <v>26.497163285999999</v>
      </c>
      <c r="X4" s="150">
        <f t="shared" si="8"/>
        <v>0.31774565999999999</v>
      </c>
      <c r="Y4" s="151">
        <f t="shared" si="9"/>
        <v>0.13</v>
      </c>
      <c r="Z4" s="152">
        <f t="shared" ref="Z4:Z67" si="14">SUM($S4:$V4)</f>
        <v>6.785099999999999</v>
      </c>
      <c r="AA4" s="153">
        <f t="shared" ref="AA4:AA67" si="15">$W4+$Y4</f>
        <v>26.627163285999998</v>
      </c>
      <c r="AB4" s="153">
        <f t="shared" ref="AB4:AB67" si="16">SUM($W4:$Y4)</f>
        <v>26.944908945999998</v>
      </c>
      <c r="AC4" s="154">
        <f t="shared" si="10"/>
        <v>33.412263285999998</v>
      </c>
      <c r="AD4" s="156">
        <f t="shared" ref="AD4:AD67" si="17">$Z4+$AB4</f>
        <v>33.730008945999998</v>
      </c>
      <c r="AE4" s="182"/>
      <c r="AF4" s="36">
        <v>2020</v>
      </c>
      <c r="AG4" s="30">
        <f>AG3</f>
        <v>1</v>
      </c>
      <c r="AH4" s="35">
        <f t="shared" ref="AH4:AH19" si="18">AH3+AG3-AG4</f>
        <v>35</v>
      </c>
      <c r="AI4" s="32">
        <f>AI3</f>
        <v>1</v>
      </c>
      <c r="AJ4" s="35">
        <f>AJ3+AI3-AI4</f>
        <v>0</v>
      </c>
      <c r="AK4" s="40" t="str">
        <f>_xlfn.SINGLE(s1_korvaava_työkone1)</f>
        <v>trukki, sähkö &lt;= 5t</v>
      </c>
      <c r="AL4" s="40">
        <f>ABS(AL3)</f>
        <v>1</v>
      </c>
      <c r="AM4" s="40">
        <f>INDEX(Työkonekanta!$A$3:$A$24,MATCH(AK4,Työkonekanta!$C$3:$C$27,0),1)</f>
        <v>21</v>
      </c>
    </row>
    <row r="5" spans="1:39">
      <c r="A5" s="139">
        <v>3</v>
      </c>
      <c r="B5" s="139" cm="1">
        <f t="array" ref="B5">IFERROR(IF(A5=s1_id_korvattava1,INDEX($AG$3:$AG$19,MATCH(C5,$AF$3:$AF$19,0),1),IF(A5=s1_id_korvaava1,INDEX($AH$3:$AH$19,MATCH(C5,$AF$3:$AF$19,0),1),IF(A5=s1_id_korvattava2,INDEX($AI$3:$AI$19,MATCH(C5,$AF$3:$AF$19,0),1),IF(A5=s1_id_korvaava2,INDEX($AJ$3:$AJ$19,MATCH(C5,$AF$3:$AF$19,0),1),INDEX(Työkonekanta!$F$3:$F$27,MATCH('S1 Sähkö'!$A5,Työkonekanta!$A$3:$A$24,0),1))))),0)</f>
        <v>1</v>
      </c>
      <c r="C5" s="140">
        <v>2019</v>
      </c>
      <c r="D5" s="141" t="str">
        <f>IFERROR(INDEX(Työkonekanta!$D$3:$D$27,MATCH('S1 Sähkö'!$A5,Työkonekanta!$A$3:$A$24,0),1),"undefined")</f>
        <v>pom</v>
      </c>
      <c r="E5" s="145">
        <f>IFERROR(INDEX(Työkonekanta!$G$3:$G$27,MATCH($A5,Työkonekanta!$A$3:$A$24,0),1)*INDEX(Työkonekanta!$H$3:$H$27,MATCH($A5,Työkonekanta!$A$3:$A$24,0),1)*(1+s1_kerroin*($C5-2019))*$B5,0)</f>
        <v>10000</v>
      </c>
      <c r="F5" s="145">
        <f t="shared" si="0"/>
        <v>359000</v>
      </c>
      <c r="G5" s="145">
        <f t="shared" si="11"/>
        <v>359000</v>
      </c>
      <c r="H5" s="145">
        <f t="shared" si="12"/>
        <v>0</v>
      </c>
      <c r="I5" s="145">
        <f t="shared" si="1"/>
        <v>10000</v>
      </c>
      <c r="J5" s="145">
        <f t="shared" si="2"/>
        <v>0</v>
      </c>
      <c r="K5" s="142" t="str">
        <f t="shared" si="13"/>
        <v>l</v>
      </c>
      <c r="L5" s="146">
        <f>IFERROR(INDEX(Työkonekanta!$I$3:$I$27,MATCH('S1 Sähkö'!$A5,Työkonekanta!$A$3:$A$24,0),1)*(I5+J5)*f_adblue,0)</f>
        <v>500</v>
      </c>
      <c r="M5" s="146">
        <f t="shared" si="3"/>
        <v>0</v>
      </c>
      <c r="N5" s="143" t="str">
        <f>IF(tuulisähkö_vuosi&lt;='S1 Sähkö'!C5,"tuulisähkö",ostosähkö_nyt)</f>
        <v>jäännössähkö</v>
      </c>
      <c r="O5" s="147">
        <f>INDEX(Muuttujat!$J$5:$J$21,MATCH($C5,Muuttujat!$H$5:$H$21,0),1)</f>
        <v>69.24722222222222</v>
      </c>
      <c r="P5" s="342">
        <f>1-(INDEX(Muuttujat!$O$5:$O$21,MATCH($C5,Muuttujat!$N$5:$N$21,0),1))</f>
        <v>1</v>
      </c>
      <c r="Q5" s="342">
        <f>INDEX(Muuttujat!$O$5:$O$21,MATCH($C5,Muuttujat!$N$5:$N$21,0),1)</f>
        <v>0</v>
      </c>
      <c r="R5" s="148">
        <f>INDEX(Muuttujat!$P$5:$P$21,MATCH($C5,Muuttujat!$N$5:$N$21,0),1)</f>
        <v>0</v>
      </c>
      <c r="S5" s="149">
        <f t="shared" si="4"/>
        <v>6.785099999999999</v>
      </c>
      <c r="T5" s="150">
        <f t="shared" si="5"/>
        <v>0</v>
      </c>
      <c r="U5" s="150">
        <f t="shared" si="6"/>
        <v>0</v>
      </c>
      <c r="V5" s="150">
        <f>IFERROR(INDEX(Työkonekanta!$J$3:$J$27,MATCH($A5,Työkonekanta!$A$3:$A$24,0),1)*$B5*ef_li_ion_akku/1000/1000/INDEX(Työkonekanta!$K$3:$K$27,MATCH($A5,Työkonekanta!$A$3:$A$24,0)),0)</f>
        <v>0</v>
      </c>
      <c r="W5" s="149">
        <f t="shared" si="7"/>
        <v>26.497163285999999</v>
      </c>
      <c r="X5" s="150">
        <f t="shared" si="8"/>
        <v>0.31774565999999999</v>
      </c>
      <c r="Y5" s="151">
        <f t="shared" si="9"/>
        <v>0.13</v>
      </c>
      <c r="Z5" s="152">
        <f t="shared" si="14"/>
        <v>6.785099999999999</v>
      </c>
      <c r="AA5" s="153">
        <f t="shared" si="15"/>
        <v>26.627163285999998</v>
      </c>
      <c r="AB5" s="153">
        <f t="shared" si="16"/>
        <v>26.944908945999998</v>
      </c>
      <c r="AC5" s="154">
        <f t="shared" si="10"/>
        <v>33.412263285999998</v>
      </c>
      <c r="AD5" s="156">
        <f t="shared" si="17"/>
        <v>33.730008945999998</v>
      </c>
      <c r="AE5" s="182"/>
      <c r="AF5" s="36">
        <v>2021</v>
      </c>
      <c r="AG5" s="31">
        <f t="shared" ref="AG5:AG19" si="19">IF((AG4+$AL$3)&lt;0,0,(AG4+$AL$3))</f>
        <v>0</v>
      </c>
      <c r="AH5" s="35">
        <f t="shared" si="18"/>
        <v>36</v>
      </c>
      <c r="AI5" s="33">
        <f t="shared" ref="AI5:AI19" si="20">IF((AI4+$AL$5)&lt;0,0,(AI4+$AL$5))</f>
        <v>0</v>
      </c>
      <c r="AJ5" s="35">
        <f t="shared" ref="AJ5:AJ19" si="21">AJ4+AI4-AI5</f>
        <v>1</v>
      </c>
      <c r="AK5" s="37" t="str">
        <f>_xlfn.SINGLE(s1_korvattava_työkone2)</f>
        <v>trukki &gt; 5t</v>
      </c>
      <c r="AL5" s="37">
        <f>-ROUNDUP(AI3/(_xlfn.SINGLE(s1_korvausvuosi_työkone2)-$AF$4),0)</f>
        <v>-1</v>
      </c>
      <c r="AM5" s="37">
        <f>INDEX(Työkonekanta!$A$3:$A$24,MATCH(AK5,Työkonekanta!$C$3:$C$27,0),1)</f>
        <v>18</v>
      </c>
    </row>
    <row r="6" spans="1:39">
      <c r="A6" s="139">
        <v>4</v>
      </c>
      <c r="B6" s="139" cm="1">
        <f t="array" ref="B6">IFERROR(IF(A6=s1_id_korvattava1,INDEX($AG$3:$AG$19,MATCH(C6,$AF$3:$AF$19,0),1),IF(A6=s1_id_korvaava1,INDEX($AH$3:$AH$19,MATCH(C6,$AF$3:$AF$19,0),1),IF(A6=s1_id_korvattava2,INDEX($AI$3:$AI$19,MATCH(C6,$AF$3:$AF$19,0),1),IF(A6=s1_id_korvaava2,INDEX($AJ$3:$AJ$19,MATCH(C6,$AF$3:$AF$19,0),1),INDEX(Työkonekanta!$F$3:$F$27,MATCH('S1 Sähkö'!$A6,Työkonekanta!$A$3:$A$24,0),1))))),0)</f>
        <v>1</v>
      </c>
      <c r="C6" s="140">
        <v>2019</v>
      </c>
      <c r="D6" s="141" t="str">
        <f>IFERROR(INDEX(Työkonekanta!$D$3:$D$27,MATCH('S1 Sähkö'!$A6,Työkonekanta!$A$3:$A$24,0),1),"undefined")</f>
        <v>pom</v>
      </c>
      <c r="E6" s="145">
        <f>IFERROR(INDEX(Työkonekanta!$G$3:$G$27,MATCH($A6,Työkonekanta!$A$3:$A$24,0),1)*INDEX(Työkonekanta!$H$3:$H$27,MATCH($A6,Työkonekanta!$A$3:$A$24,0),1)*(1+s1_kerroin*($C6-2019))*$B6,0)</f>
        <v>10000</v>
      </c>
      <c r="F6" s="145">
        <f t="shared" si="0"/>
        <v>359000</v>
      </c>
      <c r="G6" s="145">
        <f t="shared" si="11"/>
        <v>359000</v>
      </c>
      <c r="H6" s="145">
        <f t="shared" si="12"/>
        <v>0</v>
      </c>
      <c r="I6" s="145">
        <f t="shared" si="1"/>
        <v>10000</v>
      </c>
      <c r="J6" s="145">
        <f t="shared" si="2"/>
        <v>0</v>
      </c>
      <c r="K6" s="142" t="str">
        <f t="shared" si="13"/>
        <v>l</v>
      </c>
      <c r="L6" s="146">
        <f>IFERROR(INDEX(Työkonekanta!$I$3:$I$27,MATCH('S1 Sähkö'!$A6,Työkonekanta!$A$3:$A$24,0),1)*(I6+J6)*f_adblue,0)</f>
        <v>500</v>
      </c>
      <c r="M6" s="146">
        <f t="shared" si="3"/>
        <v>0</v>
      </c>
      <c r="N6" s="143" t="str">
        <f>IF(tuulisähkö_vuosi&lt;='S1 Sähkö'!C6,"tuulisähkö",ostosähkö_nyt)</f>
        <v>jäännössähkö</v>
      </c>
      <c r="O6" s="147">
        <f>INDEX(Muuttujat!$J$5:$J$21,MATCH($C6,Muuttujat!$H$5:$H$21,0),1)</f>
        <v>69.24722222222222</v>
      </c>
      <c r="P6" s="342">
        <f>1-(INDEX(Muuttujat!$O$5:$O$21,MATCH($C6,Muuttujat!$N$5:$N$21,0),1))</f>
        <v>1</v>
      </c>
      <c r="Q6" s="342">
        <f>INDEX(Muuttujat!$O$5:$O$21,MATCH($C6,Muuttujat!$N$5:$N$21,0),1)</f>
        <v>0</v>
      </c>
      <c r="R6" s="148">
        <f>INDEX(Muuttujat!$P$5:$P$21,MATCH($C6,Muuttujat!$N$5:$N$21,0),1)</f>
        <v>0</v>
      </c>
      <c r="S6" s="149">
        <f t="shared" si="4"/>
        <v>6.785099999999999</v>
      </c>
      <c r="T6" s="150">
        <f t="shared" si="5"/>
        <v>0</v>
      </c>
      <c r="U6" s="150">
        <f t="shared" si="6"/>
        <v>0</v>
      </c>
      <c r="V6" s="150">
        <f>IFERROR(INDEX(Työkonekanta!$J$3:$J$27,MATCH($A6,Työkonekanta!$A$3:$A$24,0),1)*$B6*ef_li_ion_akku/1000/1000/INDEX(Työkonekanta!$K$3:$K$27,MATCH($A6,Työkonekanta!$A$3:$A$24,0)),0)</f>
        <v>0</v>
      </c>
      <c r="W6" s="149">
        <f t="shared" si="7"/>
        <v>26.497163285999999</v>
      </c>
      <c r="X6" s="150">
        <f t="shared" si="8"/>
        <v>0.31774565999999999</v>
      </c>
      <c r="Y6" s="151">
        <f t="shared" si="9"/>
        <v>0.13</v>
      </c>
      <c r="Z6" s="152">
        <f t="shared" si="14"/>
        <v>6.785099999999999</v>
      </c>
      <c r="AA6" s="153">
        <f t="shared" si="15"/>
        <v>26.627163285999998</v>
      </c>
      <c r="AB6" s="153">
        <f t="shared" si="16"/>
        <v>26.944908945999998</v>
      </c>
      <c r="AC6" s="154">
        <f t="shared" si="10"/>
        <v>33.412263285999998</v>
      </c>
      <c r="AD6" s="156">
        <f t="shared" si="17"/>
        <v>33.730008945999998</v>
      </c>
      <c r="AE6" s="182"/>
      <c r="AF6" s="36">
        <v>2022</v>
      </c>
      <c r="AG6" s="31">
        <f t="shared" si="19"/>
        <v>0</v>
      </c>
      <c r="AH6" s="35">
        <f t="shared" si="18"/>
        <v>36</v>
      </c>
      <c r="AI6" s="33">
        <f t="shared" si="20"/>
        <v>0</v>
      </c>
      <c r="AJ6" s="35">
        <f t="shared" si="21"/>
        <v>1</v>
      </c>
      <c r="AK6" s="41" t="str">
        <f>_xlfn.SINGLE(s1_korvaava_työkone2)</f>
        <v>trukki, sähkö &gt; 5t</v>
      </c>
      <c r="AL6" s="40">
        <f>ABS(AL5)</f>
        <v>1</v>
      </c>
      <c r="AM6" s="40">
        <f>INDEX(Työkonekanta!$A$3:$A$24,MATCH(AK6,Työkonekanta!$C$3:$C$27,0),1)</f>
        <v>22</v>
      </c>
    </row>
    <row r="7" spans="1:39">
      <c r="A7" s="139">
        <v>5</v>
      </c>
      <c r="B7" s="139" cm="1">
        <f t="array" ref="B7">IFERROR(IF(A7=s1_id_korvattava1,INDEX($AG$3:$AG$19,MATCH(C7,$AF$3:$AF$19,0),1),IF(A7=s1_id_korvaava1,INDEX($AH$3:$AH$19,MATCH(C7,$AF$3:$AF$19,0),1),IF(A7=s1_id_korvattava2,INDEX($AI$3:$AI$19,MATCH(C7,$AF$3:$AF$19,0),1),IF(A7=s1_id_korvaava2,INDEX($AJ$3:$AJ$19,MATCH(C7,$AF$3:$AF$19,0),1),INDEX(Työkonekanta!$F$3:$F$27,MATCH('S1 Sähkö'!$A7,Työkonekanta!$A$3:$A$24,0),1))))),0)</f>
        <v>0</v>
      </c>
      <c r="C7" s="140">
        <v>2019</v>
      </c>
      <c r="D7" s="141" t="str">
        <f>IFERROR(INDEX(Työkonekanta!$D$3:$D$27,MATCH('S1 Sähkö'!$A7,Työkonekanta!$A$3:$A$24,0),1),"undefined")</f>
        <v>sähkö</v>
      </c>
      <c r="E7" s="145">
        <f>IFERROR(INDEX(Työkonekanta!$G$3:$G$27,MATCH($A7,Työkonekanta!$A$3:$A$24,0),1)*INDEX(Työkonekanta!$H$3:$H$27,MATCH($A7,Työkonekanta!$A$3:$A$24,0),1)*(1+s1_kerroin*($C7-2019))*$B7,0)</f>
        <v>0</v>
      </c>
      <c r="F7" s="145">
        <f t="shared" si="0"/>
        <v>0</v>
      </c>
      <c r="G7" s="145">
        <f t="shared" si="11"/>
        <v>0</v>
      </c>
      <c r="H7" s="145">
        <f t="shared" si="12"/>
        <v>0</v>
      </c>
      <c r="I7" s="145">
        <f t="shared" si="1"/>
        <v>0</v>
      </c>
      <c r="J7" s="145">
        <f t="shared" si="2"/>
        <v>0</v>
      </c>
      <c r="K7" s="142" t="str">
        <f t="shared" si="13"/>
        <v>kWh</v>
      </c>
      <c r="L7" s="146">
        <f>IFERROR(INDEX(Työkonekanta!$I$3:$I$27,MATCH('S1 Sähkö'!$A7,Työkonekanta!$A$3:$A$24,0),1)*(I7+J7)*f_adblue,0)</f>
        <v>0</v>
      </c>
      <c r="M7" s="146">
        <f t="shared" si="3"/>
        <v>0</v>
      </c>
      <c r="N7" s="143" t="str">
        <f>IF(tuulisähkö_vuosi&lt;='S1 Sähkö'!C7,"tuulisähkö",ostosähkö_nyt)</f>
        <v>jäännössähkö</v>
      </c>
      <c r="O7" s="147">
        <f>INDEX(Muuttujat!$J$5:$J$21,MATCH($C7,Muuttujat!$H$5:$H$21,0),1)</f>
        <v>69.24722222222222</v>
      </c>
      <c r="P7" s="342">
        <f>1-(INDEX(Muuttujat!$O$5:$O$21,MATCH($C7,Muuttujat!$N$5:$N$21,0),1))</f>
        <v>1</v>
      </c>
      <c r="Q7" s="342">
        <f>INDEX(Muuttujat!$O$5:$O$21,MATCH($C7,Muuttujat!$N$5:$N$21,0),1)</f>
        <v>0</v>
      </c>
      <c r="R7" s="148">
        <f>INDEX(Muuttujat!$P$5:$P$21,MATCH($C7,Muuttujat!$N$5:$N$21,0),1)</f>
        <v>0</v>
      </c>
      <c r="S7" s="149">
        <f t="shared" si="4"/>
        <v>0</v>
      </c>
      <c r="T7" s="150">
        <f t="shared" si="5"/>
        <v>0</v>
      </c>
      <c r="U7" s="150">
        <f t="shared" si="6"/>
        <v>0</v>
      </c>
      <c r="V7" s="150">
        <f>IFERROR(INDEX(Työkonekanta!$J$3:$J$27,MATCH($A7,Työkonekanta!$A$3:$A$24,0),1)*$B7*ef_li_ion_akku/1000/1000/INDEX(Työkonekanta!$K$3:$K$27,MATCH($A7,Työkonekanta!$A$3:$A$24,0)),0)</f>
        <v>0</v>
      </c>
      <c r="W7" s="149">
        <f t="shared" si="7"/>
        <v>0</v>
      </c>
      <c r="X7" s="150">
        <f t="shared" si="8"/>
        <v>0</v>
      </c>
      <c r="Y7" s="151">
        <f t="shared" si="9"/>
        <v>0</v>
      </c>
      <c r="Z7" s="152">
        <f t="shared" si="14"/>
        <v>0</v>
      </c>
      <c r="AA7" s="153">
        <f t="shared" si="15"/>
        <v>0</v>
      </c>
      <c r="AB7" s="153">
        <f t="shared" si="16"/>
        <v>0</v>
      </c>
      <c r="AC7" s="154">
        <f t="shared" si="10"/>
        <v>0</v>
      </c>
      <c r="AD7" s="156">
        <f t="shared" si="17"/>
        <v>0</v>
      </c>
      <c r="AE7" s="182"/>
      <c r="AF7" s="36">
        <v>2023</v>
      </c>
      <c r="AG7" s="31">
        <f t="shared" si="19"/>
        <v>0</v>
      </c>
      <c r="AH7" s="35">
        <f t="shared" si="18"/>
        <v>36</v>
      </c>
      <c r="AI7" s="33">
        <f t="shared" si="20"/>
        <v>0</v>
      </c>
      <c r="AJ7" s="35">
        <f t="shared" si="21"/>
        <v>1</v>
      </c>
      <c r="AK7" s="19"/>
    </row>
    <row r="8" spans="1:39">
      <c r="A8" s="139">
        <v>6</v>
      </c>
      <c r="B8" s="139" cm="1">
        <f t="array" ref="B8">IFERROR(IF(A8=s1_id_korvattava1,INDEX($AG$3:$AG$19,MATCH(C8,$AF$3:$AF$19,0),1),IF(A8=s1_id_korvaava1,INDEX($AH$3:$AH$19,MATCH(C8,$AF$3:$AF$19,0),1),IF(A8=s1_id_korvattava2,INDEX($AI$3:$AI$19,MATCH(C8,$AF$3:$AF$19,0),1),IF(A8=s1_id_korvaava2,INDEX($AJ$3:$AJ$19,MATCH(C8,$AF$3:$AF$19,0),1),INDEX(Työkonekanta!$F$3:$F$27,MATCH('S1 Sähkö'!$A8,Työkonekanta!$A$3:$A$24,0),1))))),0)</f>
        <v>0</v>
      </c>
      <c r="C8" s="140">
        <v>2019</v>
      </c>
      <c r="D8" s="141" t="str">
        <f>IFERROR(INDEX(Työkonekanta!$D$3:$D$27,MATCH('S1 Sähkö'!$A8,Työkonekanta!$A$3:$A$24,0),1),"undefined")</f>
        <v>sähkö</v>
      </c>
      <c r="E8" s="145">
        <f>IFERROR(INDEX(Työkonekanta!$G$3:$G$27,MATCH($A8,Työkonekanta!$A$3:$A$24,0),1)*INDEX(Työkonekanta!$H$3:$H$27,MATCH($A8,Työkonekanta!$A$3:$A$24,0),1)*(1+s1_kerroin*($C8-2019))*$B8,0)</f>
        <v>0</v>
      </c>
      <c r="F8" s="145">
        <f t="shared" si="0"/>
        <v>0</v>
      </c>
      <c r="G8" s="145">
        <f t="shared" si="11"/>
        <v>0</v>
      </c>
      <c r="H8" s="145">
        <f t="shared" si="12"/>
        <v>0</v>
      </c>
      <c r="I8" s="145">
        <f t="shared" si="1"/>
        <v>0</v>
      </c>
      <c r="J8" s="145">
        <f t="shared" si="2"/>
        <v>0</v>
      </c>
      <c r="K8" s="142" t="str">
        <f t="shared" si="13"/>
        <v>kWh</v>
      </c>
      <c r="L8" s="146">
        <f>IFERROR(INDEX(Työkonekanta!$I$3:$I$27,MATCH('S1 Sähkö'!$A8,Työkonekanta!$A$3:$A$24,0),1)*(I8+J8)*f_adblue,0)</f>
        <v>0</v>
      </c>
      <c r="M8" s="146">
        <f t="shared" si="3"/>
        <v>0</v>
      </c>
      <c r="N8" s="143" t="str">
        <f>IF(tuulisähkö_vuosi&lt;='S1 Sähkö'!C8,"tuulisähkö",ostosähkö_nyt)</f>
        <v>jäännössähkö</v>
      </c>
      <c r="O8" s="147">
        <f>INDEX(Muuttujat!$J$5:$J$21,MATCH($C8,Muuttujat!$H$5:$H$21,0),1)</f>
        <v>69.24722222222222</v>
      </c>
      <c r="P8" s="342">
        <f>1-(INDEX(Muuttujat!$O$5:$O$21,MATCH($C8,Muuttujat!$N$5:$N$21,0),1))</f>
        <v>1</v>
      </c>
      <c r="Q8" s="342">
        <f>INDEX(Muuttujat!$O$5:$O$21,MATCH($C8,Muuttujat!$N$5:$N$21,0),1)</f>
        <v>0</v>
      </c>
      <c r="R8" s="148">
        <f>INDEX(Muuttujat!$P$5:$P$21,MATCH($C8,Muuttujat!$N$5:$N$21,0),1)</f>
        <v>0</v>
      </c>
      <c r="S8" s="149">
        <f t="shared" si="4"/>
        <v>0</v>
      </c>
      <c r="T8" s="150">
        <f t="shared" si="5"/>
        <v>0</v>
      </c>
      <c r="U8" s="150">
        <f t="shared" si="6"/>
        <v>0</v>
      </c>
      <c r="V8" s="150">
        <f>IFERROR(INDEX(Työkonekanta!$J$3:$J$27,MATCH($A8,Työkonekanta!$A$3:$A$24,0),1)*$B8*ef_li_ion_akku/1000/1000/INDEX(Työkonekanta!$K$3:$K$27,MATCH($A8,Työkonekanta!$A$3:$A$24,0)),0)</f>
        <v>0</v>
      </c>
      <c r="W8" s="149">
        <f t="shared" si="7"/>
        <v>0</v>
      </c>
      <c r="X8" s="150">
        <f t="shared" si="8"/>
        <v>0</v>
      </c>
      <c r="Y8" s="151">
        <f t="shared" si="9"/>
        <v>0</v>
      </c>
      <c r="Z8" s="152">
        <f t="shared" si="14"/>
        <v>0</v>
      </c>
      <c r="AA8" s="153">
        <f t="shared" si="15"/>
        <v>0</v>
      </c>
      <c r="AB8" s="153">
        <f t="shared" si="16"/>
        <v>0</v>
      </c>
      <c r="AC8" s="154">
        <f t="shared" si="10"/>
        <v>0</v>
      </c>
      <c r="AD8" s="156">
        <f t="shared" si="17"/>
        <v>0</v>
      </c>
      <c r="AE8" s="182"/>
      <c r="AF8" s="36">
        <v>2024</v>
      </c>
      <c r="AG8" s="31">
        <f t="shared" si="19"/>
        <v>0</v>
      </c>
      <c r="AH8" s="35">
        <f t="shared" si="18"/>
        <v>36</v>
      </c>
      <c r="AI8" s="33">
        <f t="shared" si="20"/>
        <v>0</v>
      </c>
      <c r="AJ8" s="35">
        <f t="shared" si="21"/>
        <v>1</v>
      </c>
      <c r="AK8" s="19"/>
    </row>
    <row r="9" spans="1:39">
      <c r="A9" s="139">
        <v>7</v>
      </c>
      <c r="B9" s="139" cm="1">
        <f t="array" ref="B9">IFERROR(IF(A9=s1_id_korvattava1,INDEX($AG$3:$AG$19,MATCH(C9,$AF$3:$AF$19,0),1),IF(A9=s1_id_korvaava1,INDEX($AH$3:$AH$19,MATCH(C9,$AF$3:$AF$19,0),1),IF(A9=s1_id_korvattava2,INDEX($AI$3:$AI$19,MATCH(C9,$AF$3:$AF$19,0),1),IF(A9=s1_id_korvaava2,INDEX($AJ$3:$AJ$19,MATCH(C9,$AF$3:$AF$19,0),1),INDEX(Työkonekanta!$F$3:$F$27,MATCH('S1 Sähkö'!$A9,Työkonekanta!$A$3:$A$24,0),1))))),0)</f>
        <v>1</v>
      </c>
      <c r="C9" s="140">
        <v>2019</v>
      </c>
      <c r="D9" s="141" t="str">
        <f>IFERROR(INDEX(Työkonekanta!$D$3:$D$27,MATCH('S1 Sähkö'!$A9,Työkonekanta!$A$3:$A$24,0),1),"undefined")</f>
        <v>pom</v>
      </c>
      <c r="E9" s="145">
        <f>IFERROR(INDEX(Työkonekanta!$G$3:$G$27,MATCH($A9,Työkonekanta!$A$3:$A$24,0),1)*INDEX(Työkonekanta!$H$3:$H$27,MATCH($A9,Työkonekanta!$A$3:$A$24,0),1)*(1+s1_kerroin*($C9-2019))*$B9,0)</f>
        <v>10000</v>
      </c>
      <c r="F9" s="145">
        <f t="shared" si="0"/>
        <v>359000</v>
      </c>
      <c r="G9" s="145">
        <f t="shared" si="11"/>
        <v>359000</v>
      </c>
      <c r="H9" s="145">
        <f t="shared" si="12"/>
        <v>0</v>
      </c>
      <c r="I9" s="145">
        <f t="shared" si="1"/>
        <v>10000</v>
      </c>
      <c r="J9" s="145">
        <f t="shared" si="2"/>
        <v>0</v>
      </c>
      <c r="K9" s="142" t="str">
        <f t="shared" si="13"/>
        <v>l</v>
      </c>
      <c r="L9" s="146">
        <f>IFERROR(INDEX(Työkonekanta!$I$3:$I$27,MATCH('S1 Sähkö'!$A9,Työkonekanta!$A$3:$A$24,0),1)*(I9+J9)*f_adblue,0)</f>
        <v>0</v>
      </c>
      <c r="M9" s="146">
        <f t="shared" si="3"/>
        <v>0</v>
      </c>
      <c r="N9" s="143" t="str">
        <f>IF(tuulisähkö_vuosi&lt;='S1 Sähkö'!C9,"tuulisähkö",ostosähkö_nyt)</f>
        <v>jäännössähkö</v>
      </c>
      <c r="O9" s="147">
        <f>INDEX(Muuttujat!$J$5:$J$21,MATCH($C9,Muuttujat!$H$5:$H$21,0),1)</f>
        <v>69.24722222222222</v>
      </c>
      <c r="P9" s="342">
        <f>1-(INDEX(Muuttujat!$O$5:$O$21,MATCH($C9,Muuttujat!$N$5:$N$21,0),1))</f>
        <v>1</v>
      </c>
      <c r="Q9" s="342">
        <f>INDEX(Muuttujat!$O$5:$O$21,MATCH($C9,Muuttujat!$N$5:$N$21,0),1)</f>
        <v>0</v>
      </c>
      <c r="R9" s="148">
        <f>INDEX(Muuttujat!$P$5:$P$21,MATCH($C9,Muuttujat!$N$5:$N$21,0),1)</f>
        <v>0</v>
      </c>
      <c r="S9" s="149">
        <f t="shared" si="4"/>
        <v>6.785099999999999</v>
      </c>
      <c r="T9" s="150">
        <f t="shared" si="5"/>
        <v>0</v>
      </c>
      <c r="U9" s="150">
        <f t="shared" si="6"/>
        <v>0</v>
      </c>
      <c r="V9" s="150">
        <f>IFERROR(INDEX(Työkonekanta!$J$3:$J$27,MATCH($A9,Työkonekanta!$A$3:$A$24,0),1)*$B9*ef_li_ion_akku/1000/1000/INDEX(Työkonekanta!$K$3:$K$27,MATCH($A9,Työkonekanta!$A$3:$A$24,0)),0)</f>
        <v>0</v>
      </c>
      <c r="W9" s="149">
        <f t="shared" si="7"/>
        <v>26.497163285999999</v>
      </c>
      <c r="X9" s="150">
        <f t="shared" si="8"/>
        <v>0.31774565999999999</v>
      </c>
      <c r="Y9" s="151">
        <f t="shared" si="9"/>
        <v>0</v>
      </c>
      <c r="Z9" s="152">
        <f t="shared" si="14"/>
        <v>6.785099999999999</v>
      </c>
      <c r="AA9" s="153">
        <f t="shared" si="15"/>
        <v>26.497163285999999</v>
      </c>
      <c r="AB9" s="153">
        <f t="shared" si="16"/>
        <v>26.814908945999999</v>
      </c>
      <c r="AC9" s="154">
        <f t="shared" si="10"/>
        <v>33.282263285999996</v>
      </c>
      <c r="AD9" s="156">
        <f t="shared" si="17"/>
        <v>33.600008945999996</v>
      </c>
      <c r="AE9" s="182"/>
      <c r="AF9" s="36">
        <v>2025</v>
      </c>
      <c r="AG9" s="31">
        <f t="shared" si="19"/>
        <v>0</v>
      </c>
      <c r="AH9" s="35">
        <f t="shared" si="18"/>
        <v>36</v>
      </c>
      <c r="AI9" s="33">
        <f t="shared" si="20"/>
        <v>0</v>
      </c>
      <c r="AJ9" s="35">
        <f t="shared" si="21"/>
        <v>1</v>
      </c>
      <c r="AK9" s="19"/>
    </row>
    <row r="10" spans="1:39">
      <c r="A10" s="139">
        <v>8</v>
      </c>
      <c r="B10" s="139" cm="1">
        <f t="array" ref="B10">IFERROR(IF(A10=s1_id_korvattava1,INDEX($AG$3:$AG$19,MATCH(C10,$AF$3:$AF$19,0),1),IF(A10=s1_id_korvaava1,INDEX($AH$3:$AH$19,MATCH(C10,$AF$3:$AF$19,0),1),IF(A10=s1_id_korvattava2,INDEX($AI$3:$AI$19,MATCH(C10,$AF$3:$AF$19,0),1),IF(A10=s1_id_korvaava2,INDEX($AJ$3:$AJ$19,MATCH(C10,$AF$3:$AF$19,0),1),INDEX(Työkonekanta!$F$3:$F$27,MATCH('S1 Sähkö'!$A10,Työkonekanta!$A$3:$A$24,0),1))))),0)</f>
        <v>1</v>
      </c>
      <c r="C10" s="140">
        <v>2019</v>
      </c>
      <c r="D10" s="141" t="str">
        <f>IFERROR(INDEX(Työkonekanta!$D$3:$D$27,MATCH('S1 Sähkö'!$A10,Työkonekanta!$A$3:$A$24,0),1),"undefined")</f>
        <v>pom</v>
      </c>
      <c r="E10" s="145">
        <f>IFERROR(INDEX(Työkonekanta!$G$3:$G$27,MATCH($A10,Työkonekanta!$A$3:$A$24,0),1)*INDEX(Työkonekanta!$H$3:$H$27,MATCH($A10,Työkonekanta!$A$3:$A$24,0),1)*(1+s1_kerroin*($C10-2019))*$B10,0)</f>
        <v>10000</v>
      </c>
      <c r="F10" s="145">
        <f t="shared" si="0"/>
        <v>359000</v>
      </c>
      <c r="G10" s="145">
        <f t="shared" si="11"/>
        <v>359000</v>
      </c>
      <c r="H10" s="145">
        <f t="shared" si="12"/>
        <v>0</v>
      </c>
      <c r="I10" s="145">
        <f t="shared" si="1"/>
        <v>10000</v>
      </c>
      <c r="J10" s="145">
        <f t="shared" si="2"/>
        <v>0</v>
      </c>
      <c r="K10" s="142" t="str">
        <f t="shared" si="13"/>
        <v>l</v>
      </c>
      <c r="L10" s="146">
        <f>IFERROR(INDEX(Työkonekanta!$I$3:$I$27,MATCH('S1 Sähkö'!$A10,Työkonekanta!$A$3:$A$24,0),1)*(I10+J10)*f_adblue,0)</f>
        <v>500</v>
      </c>
      <c r="M10" s="146">
        <f t="shared" si="3"/>
        <v>0</v>
      </c>
      <c r="N10" s="143" t="str">
        <f>IF(tuulisähkö_vuosi&lt;='S1 Sähkö'!C10,"tuulisähkö",ostosähkö_nyt)</f>
        <v>jäännössähkö</v>
      </c>
      <c r="O10" s="147">
        <f>INDEX(Muuttujat!$J$5:$J$21,MATCH($C10,Muuttujat!$H$5:$H$21,0),1)</f>
        <v>69.24722222222222</v>
      </c>
      <c r="P10" s="342">
        <f>1-(INDEX(Muuttujat!$O$5:$O$21,MATCH($C10,Muuttujat!$N$5:$N$21,0),1))</f>
        <v>1</v>
      </c>
      <c r="Q10" s="342">
        <f>INDEX(Muuttujat!$O$5:$O$21,MATCH($C10,Muuttujat!$N$5:$N$21,0),1)</f>
        <v>0</v>
      </c>
      <c r="R10" s="148">
        <f>INDEX(Muuttujat!$P$5:$P$21,MATCH($C10,Muuttujat!$N$5:$N$21,0),1)</f>
        <v>0</v>
      </c>
      <c r="S10" s="149">
        <f t="shared" si="4"/>
        <v>6.785099999999999</v>
      </c>
      <c r="T10" s="150">
        <f t="shared" si="5"/>
        <v>0</v>
      </c>
      <c r="U10" s="150">
        <f t="shared" si="6"/>
        <v>0</v>
      </c>
      <c r="V10" s="150">
        <f>IFERROR(INDEX(Työkonekanta!$J$3:$J$27,MATCH($A10,Työkonekanta!$A$3:$A$24,0),1)*$B10*ef_li_ion_akku/1000/1000/INDEX(Työkonekanta!$K$3:$K$27,MATCH($A10,Työkonekanta!$A$3:$A$24,0)),0)</f>
        <v>0</v>
      </c>
      <c r="W10" s="149">
        <f t="shared" si="7"/>
        <v>26.497163285999999</v>
      </c>
      <c r="X10" s="150">
        <f t="shared" si="8"/>
        <v>0.31774565999999999</v>
      </c>
      <c r="Y10" s="151">
        <f t="shared" si="9"/>
        <v>0.13</v>
      </c>
      <c r="Z10" s="152">
        <f t="shared" si="14"/>
        <v>6.785099999999999</v>
      </c>
      <c r="AA10" s="153">
        <f t="shared" si="15"/>
        <v>26.627163285999998</v>
      </c>
      <c r="AB10" s="153">
        <f t="shared" si="16"/>
        <v>26.944908945999998</v>
      </c>
      <c r="AC10" s="154">
        <f t="shared" si="10"/>
        <v>33.412263285999998</v>
      </c>
      <c r="AD10" s="156">
        <f t="shared" si="17"/>
        <v>33.730008945999998</v>
      </c>
      <c r="AE10" s="182"/>
      <c r="AF10" s="36">
        <v>2026</v>
      </c>
      <c r="AG10" s="31">
        <f t="shared" si="19"/>
        <v>0</v>
      </c>
      <c r="AH10" s="35">
        <f t="shared" si="18"/>
        <v>36</v>
      </c>
      <c r="AI10" s="33">
        <f t="shared" si="20"/>
        <v>0</v>
      </c>
      <c r="AJ10" s="35">
        <f t="shared" si="21"/>
        <v>1</v>
      </c>
      <c r="AK10" s="19"/>
    </row>
    <row r="11" spans="1:39">
      <c r="A11" s="139">
        <v>9</v>
      </c>
      <c r="B11" s="139" cm="1">
        <f t="array" ref="B11">IFERROR(IF(A11=s1_id_korvattava1,INDEX($AG$3:$AG$19,MATCH(C11,$AF$3:$AF$19,0),1),IF(A11=s1_id_korvaava1,INDEX($AH$3:$AH$19,MATCH(C11,$AF$3:$AF$19,0),1),IF(A11=s1_id_korvattava2,INDEX($AI$3:$AI$19,MATCH(C11,$AF$3:$AF$19,0),1),IF(A11=s1_id_korvaava2,INDEX($AJ$3:$AJ$19,MATCH(C11,$AF$3:$AF$19,0),1),INDEX(Työkonekanta!$F$3:$F$27,MATCH('S1 Sähkö'!$A11,Työkonekanta!$A$3:$A$24,0),1))))),0)</f>
        <v>0</v>
      </c>
      <c r="C11" s="140">
        <v>2019</v>
      </c>
      <c r="D11" s="141" t="str">
        <f>IFERROR(INDEX(Työkonekanta!$D$3:$D$27,MATCH('S1 Sähkö'!$A11,Työkonekanta!$A$3:$A$24,0),1),"undefined")</f>
        <v>sähkö</v>
      </c>
      <c r="E11" s="145">
        <f>IFERROR(INDEX(Työkonekanta!$G$3:$G$27,MATCH($A11,Työkonekanta!$A$3:$A$24,0),1)*INDEX(Työkonekanta!$H$3:$H$27,MATCH($A11,Työkonekanta!$A$3:$A$24,0),1)*(1+s1_kerroin*($C11-2019))*$B11,0)</f>
        <v>0</v>
      </c>
      <c r="F11" s="145">
        <f t="shared" si="0"/>
        <v>0</v>
      </c>
      <c r="G11" s="145">
        <f t="shared" si="11"/>
        <v>0</v>
      </c>
      <c r="H11" s="145">
        <f t="shared" si="12"/>
        <v>0</v>
      </c>
      <c r="I11" s="145">
        <f t="shared" si="1"/>
        <v>0</v>
      </c>
      <c r="J11" s="145">
        <f t="shared" si="2"/>
        <v>0</v>
      </c>
      <c r="K11" s="142" t="str">
        <f t="shared" si="13"/>
        <v>kWh</v>
      </c>
      <c r="L11" s="146">
        <f>IFERROR(INDEX(Työkonekanta!$I$3:$I$27,MATCH('S1 Sähkö'!$A11,Työkonekanta!$A$3:$A$24,0),1)*(I11+J11)*f_adblue,0)</f>
        <v>0</v>
      </c>
      <c r="M11" s="146">
        <f t="shared" si="3"/>
        <v>0</v>
      </c>
      <c r="N11" s="143" t="str">
        <f>IF(tuulisähkö_vuosi&lt;='S1 Sähkö'!C11,"tuulisähkö",ostosähkö_nyt)</f>
        <v>jäännössähkö</v>
      </c>
      <c r="O11" s="147">
        <f>INDEX(Muuttujat!$J$5:$J$21,MATCH($C11,Muuttujat!$H$5:$H$21,0),1)</f>
        <v>69.24722222222222</v>
      </c>
      <c r="P11" s="342">
        <f>1-(INDEX(Muuttujat!$O$5:$O$21,MATCH($C11,Muuttujat!$N$5:$N$21,0),1))</f>
        <v>1</v>
      </c>
      <c r="Q11" s="342">
        <f>INDEX(Muuttujat!$O$5:$O$21,MATCH($C11,Muuttujat!$N$5:$N$21,0),1)</f>
        <v>0</v>
      </c>
      <c r="R11" s="148">
        <f>INDEX(Muuttujat!$P$5:$P$21,MATCH($C11,Muuttujat!$N$5:$N$21,0),1)</f>
        <v>0</v>
      </c>
      <c r="S11" s="149">
        <f t="shared" si="4"/>
        <v>0</v>
      </c>
      <c r="T11" s="150">
        <f t="shared" si="5"/>
        <v>0</v>
      </c>
      <c r="U11" s="150">
        <f t="shared" si="6"/>
        <v>0</v>
      </c>
      <c r="V11" s="150">
        <f>IFERROR(INDEX(Työkonekanta!$J$3:$J$27,MATCH($A11,Työkonekanta!$A$3:$A$24,0),1)*$B11*ef_li_ion_akku/1000/1000/INDEX(Työkonekanta!$K$3:$K$27,MATCH($A11,Työkonekanta!$A$3:$A$24,0)),0)</f>
        <v>0</v>
      </c>
      <c r="W11" s="149">
        <f t="shared" si="7"/>
        <v>0</v>
      </c>
      <c r="X11" s="150">
        <f t="shared" si="8"/>
        <v>0</v>
      </c>
      <c r="Y11" s="151">
        <f t="shared" si="9"/>
        <v>0</v>
      </c>
      <c r="Z11" s="152">
        <f t="shared" si="14"/>
        <v>0</v>
      </c>
      <c r="AA11" s="153">
        <f t="shared" si="15"/>
        <v>0</v>
      </c>
      <c r="AB11" s="153">
        <f t="shared" si="16"/>
        <v>0</v>
      </c>
      <c r="AC11" s="154">
        <f t="shared" si="10"/>
        <v>0</v>
      </c>
      <c r="AD11" s="156">
        <f t="shared" si="17"/>
        <v>0</v>
      </c>
      <c r="AE11" s="182"/>
      <c r="AF11" s="36">
        <v>2027</v>
      </c>
      <c r="AG11" s="31">
        <f t="shared" si="19"/>
        <v>0</v>
      </c>
      <c r="AH11" s="35">
        <f t="shared" si="18"/>
        <v>36</v>
      </c>
      <c r="AI11" s="33">
        <f t="shared" si="20"/>
        <v>0</v>
      </c>
      <c r="AJ11" s="35">
        <f t="shared" si="21"/>
        <v>1</v>
      </c>
      <c r="AK11" s="19"/>
    </row>
    <row r="12" spans="1:39">
      <c r="A12" s="139">
        <v>10</v>
      </c>
      <c r="B12" s="139" cm="1">
        <f t="array" ref="B12">IFERROR(IF(A12=s1_id_korvattava1,INDEX($AG$3:$AG$19,MATCH(C12,$AF$3:$AF$19,0),1),IF(A12=s1_id_korvaava1,INDEX($AH$3:$AH$19,MATCH(C12,$AF$3:$AF$19,0),1),IF(A12=s1_id_korvattava2,INDEX($AI$3:$AI$19,MATCH(C12,$AF$3:$AF$19,0),1),IF(A12=s1_id_korvaava2,INDEX($AJ$3:$AJ$19,MATCH(C12,$AF$3:$AF$19,0),1),INDEX(Työkonekanta!$F$3:$F$27,MATCH('S1 Sähkö'!$A12,Työkonekanta!$A$3:$A$24,0),1))))),0)</f>
        <v>0</v>
      </c>
      <c r="C12" s="140">
        <v>2019</v>
      </c>
      <c r="D12" s="141" t="str">
        <f>IFERROR(INDEX(Työkonekanta!$D$3:$D$27,MATCH('S1 Sähkö'!$A12,Työkonekanta!$A$3:$A$24,0),1),"undefined")</f>
        <v>sähkö</v>
      </c>
      <c r="E12" s="145">
        <f>IFERROR(INDEX(Työkonekanta!$G$3:$G$27,MATCH($A12,Työkonekanta!$A$3:$A$24,0),1)*INDEX(Työkonekanta!$H$3:$H$27,MATCH($A12,Työkonekanta!$A$3:$A$24,0),1)*(1+s1_kerroin*($C12-2019))*$B12,0)</f>
        <v>0</v>
      </c>
      <c r="F12" s="145">
        <f t="shared" si="0"/>
        <v>0</v>
      </c>
      <c r="G12" s="145">
        <f t="shared" si="11"/>
        <v>0</v>
      </c>
      <c r="H12" s="145">
        <f t="shared" si="12"/>
        <v>0</v>
      </c>
      <c r="I12" s="145">
        <f t="shared" si="1"/>
        <v>0</v>
      </c>
      <c r="J12" s="145">
        <f t="shared" si="2"/>
        <v>0</v>
      </c>
      <c r="K12" s="142" t="str">
        <f t="shared" si="13"/>
        <v>kWh</v>
      </c>
      <c r="L12" s="146">
        <f>IFERROR(INDEX(Työkonekanta!$I$3:$I$27,MATCH('S1 Sähkö'!$A12,Työkonekanta!$A$3:$A$24,0),1)*(I12+J12)*f_adblue,0)</f>
        <v>0</v>
      </c>
      <c r="M12" s="146">
        <f t="shared" si="3"/>
        <v>0</v>
      </c>
      <c r="N12" s="143" t="str">
        <f>IF(tuulisähkö_vuosi&lt;='S1 Sähkö'!C12,"tuulisähkö",ostosähkö_nyt)</f>
        <v>jäännössähkö</v>
      </c>
      <c r="O12" s="147">
        <f>INDEX(Muuttujat!$J$5:$J$21,MATCH($C12,Muuttujat!$H$5:$H$21,0),1)</f>
        <v>69.24722222222222</v>
      </c>
      <c r="P12" s="342">
        <f>1-(INDEX(Muuttujat!$O$5:$O$21,MATCH($C12,Muuttujat!$N$5:$N$21,0),1))</f>
        <v>1</v>
      </c>
      <c r="Q12" s="342">
        <f>INDEX(Muuttujat!$O$5:$O$21,MATCH($C12,Muuttujat!$N$5:$N$21,0),1)</f>
        <v>0</v>
      </c>
      <c r="R12" s="148">
        <f>INDEX(Muuttujat!$P$5:$P$21,MATCH($C12,Muuttujat!$N$5:$N$21,0),1)</f>
        <v>0</v>
      </c>
      <c r="S12" s="149">
        <f t="shared" si="4"/>
        <v>0</v>
      </c>
      <c r="T12" s="150">
        <f t="shared" si="5"/>
        <v>0</v>
      </c>
      <c r="U12" s="150">
        <f t="shared" si="6"/>
        <v>0</v>
      </c>
      <c r="V12" s="150">
        <f>IFERROR(INDEX(Työkonekanta!$J$3:$J$27,MATCH($A12,Työkonekanta!$A$3:$A$24,0),1)*$B12*ef_li_ion_akku/1000/1000/INDEX(Työkonekanta!$K$3:$K$27,MATCH($A12,Työkonekanta!$A$3:$A$24,0)),0)</f>
        <v>0</v>
      </c>
      <c r="W12" s="149">
        <f t="shared" si="7"/>
        <v>0</v>
      </c>
      <c r="X12" s="150">
        <f t="shared" si="8"/>
        <v>0</v>
      </c>
      <c r="Y12" s="151">
        <f t="shared" si="9"/>
        <v>0</v>
      </c>
      <c r="Z12" s="152">
        <f t="shared" si="14"/>
        <v>0</v>
      </c>
      <c r="AA12" s="153">
        <f t="shared" si="15"/>
        <v>0</v>
      </c>
      <c r="AB12" s="153">
        <f t="shared" si="16"/>
        <v>0</v>
      </c>
      <c r="AC12" s="154">
        <f t="shared" si="10"/>
        <v>0</v>
      </c>
      <c r="AD12" s="156">
        <f t="shared" si="17"/>
        <v>0</v>
      </c>
      <c r="AE12" s="182"/>
      <c r="AF12" s="36">
        <v>2028</v>
      </c>
      <c r="AG12" s="31">
        <f t="shared" si="19"/>
        <v>0</v>
      </c>
      <c r="AH12" s="35">
        <f t="shared" si="18"/>
        <v>36</v>
      </c>
      <c r="AI12" s="33">
        <f t="shared" si="20"/>
        <v>0</v>
      </c>
      <c r="AJ12" s="35">
        <f t="shared" si="21"/>
        <v>1</v>
      </c>
      <c r="AK12" s="19"/>
    </row>
    <row r="13" spans="1:39">
      <c r="A13" s="139">
        <v>11</v>
      </c>
      <c r="B13" s="139" cm="1">
        <f t="array" ref="B13">IFERROR(IF(A13=s1_id_korvattava1,INDEX($AG$3:$AG$19,MATCH(C13,$AF$3:$AF$19,0),1),IF(A13=s1_id_korvaava1,INDEX($AH$3:$AH$19,MATCH(C13,$AF$3:$AF$19,0),1),IF(A13=s1_id_korvattava2,INDEX($AI$3:$AI$19,MATCH(C13,$AF$3:$AF$19,0),1),IF(A13=s1_id_korvaava2,INDEX($AJ$3:$AJ$19,MATCH(C13,$AF$3:$AF$19,0),1),INDEX(Työkonekanta!$F$3:$F$27,MATCH('S1 Sähkö'!$A13,Työkonekanta!$A$3:$A$24,0),1))))),0)</f>
        <v>1</v>
      </c>
      <c r="C13" s="140">
        <v>2019</v>
      </c>
      <c r="D13" s="141" t="str">
        <f>IFERROR(INDEX(Työkonekanta!$D$3:$D$27,MATCH('S1 Sähkö'!$A13,Työkonekanta!$A$3:$A$24,0),1),"undefined")</f>
        <v>pom</v>
      </c>
      <c r="E13" s="145">
        <f>IFERROR(INDEX(Työkonekanta!$G$3:$G$27,MATCH($A13,Työkonekanta!$A$3:$A$24,0),1)*INDEX(Työkonekanta!$H$3:$H$27,MATCH($A13,Työkonekanta!$A$3:$A$24,0),1)*(1+s1_kerroin*($C13-2019))*$B13,0)</f>
        <v>10000</v>
      </c>
      <c r="F13" s="145">
        <f t="shared" si="0"/>
        <v>359000</v>
      </c>
      <c r="G13" s="145">
        <f t="shared" si="11"/>
        <v>359000</v>
      </c>
      <c r="H13" s="145">
        <f t="shared" si="12"/>
        <v>0</v>
      </c>
      <c r="I13" s="145">
        <f t="shared" si="1"/>
        <v>10000</v>
      </c>
      <c r="J13" s="145">
        <f t="shared" si="2"/>
        <v>0</v>
      </c>
      <c r="K13" s="142" t="str">
        <f t="shared" si="13"/>
        <v>l</v>
      </c>
      <c r="L13" s="146">
        <f>IFERROR(INDEX(Työkonekanta!$I$3:$I$27,MATCH('S1 Sähkö'!$A13,Työkonekanta!$A$3:$A$24,0),1)*(I13+J13)*f_adblue,0)</f>
        <v>500</v>
      </c>
      <c r="M13" s="146">
        <f t="shared" si="3"/>
        <v>0</v>
      </c>
      <c r="N13" s="143" t="str">
        <f>IF(tuulisähkö_vuosi&lt;='S1 Sähkö'!C13,"tuulisähkö",ostosähkö_nyt)</f>
        <v>jäännössähkö</v>
      </c>
      <c r="O13" s="147">
        <f>INDEX(Muuttujat!$J$5:$J$21,MATCH($C13,Muuttujat!$H$5:$H$21,0),1)</f>
        <v>69.24722222222222</v>
      </c>
      <c r="P13" s="342">
        <f>1-(INDEX(Muuttujat!$O$5:$O$21,MATCH($C13,Muuttujat!$N$5:$N$21,0),1))</f>
        <v>1</v>
      </c>
      <c r="Q13" s="342">
        <f>INDEX(Muuttujat!$O$5:$O$21,MATCH($C13,Muuttujat!$N$5:$N$21,0),1)</f>
        <v>0</v>
      </c>
      <c r="R13" s="148">
        <f>INDEX(Muuttujat!$P$5:$P$21,MATCH($C13,Muuttujat!$N$5:$N$21,0),1)</f>
        <v>0</v>
      </c>
      <c r="S13" s="149">
        <f t="shared" si="4"/>
        <v>6.785099999999999</v>
      </c>
      <c r="T13" s="150">
        <f t="shared" si="5"/>
        <v>0</v>
      </c>
      <c r="U13" s="150">
        <f t="shared" si="6"/>
        <v>0</v>
      </c>
      <c r="V13" s="150">
        <f>IFERROR(INDEX(Työkonekanta!$J$3:$J$27,MATCH($A13,Työkonekanta!$A$3:$A$24,0),1)*$B13*ef_li_ion_akku/1000/1000/INDEX(Työkonekanta!$K$3:$K$27,MATCH($A13,Työkonekanta!$A$3:$A$24,0)),0)</f>
        <v>0</v>
      </c>
      <c r="W13" s="149">
        <f t="shared" si="7"/>
        <v>26.497163285999999</v>
      </c>
      <c r="X13" s="150">
        <f t="shared" si="8"/>
        <v>0.31774565999999999</v>
      </c>
      <c r="Y13" s="151">
        <f t="shared" si="9"/>
        <v>0.13</v>
      </c>
      <c r="Z13" s="152">
        <f t="shared" si="14"/>
        <v>6.785099999999999</v>
      </c>
      <c r="AA13" s="153">
        <f t="shared" si="15"/>
        <v>26.627163285999998</v>
      </c>
      <c r="AB13" s="153">
        <f t="shared" si="16"/>
        <v>26.944908945999998</v>
      </c>
      <c r="AC13" s="154">
        <f t="shared" si="10"/>
        <v>33.412263285999998</v>
      </c>
      <c r="AD13" s="156">
        <f t="shared" si="17"/>
        <v>33.730008945999998</v>
      </c>
      <c r="AE13" s="182"/>
      <c r="AF13" s="36">
        <v>2029</v>
      </c>
      <c r="AG13" s="31">
        <f t="shared" si="19"/>
        <v>0</v>
      </c>
      <c r="AH13" s="35">
        <f t="shared" si="18"/>
        <v>36</v>
      </c>
      <c r="AI13" s="33">
        <f t="shared" si="20"/>
        <v>0</v>
      </c>
      <c r="AJ13" s="35">
        <f t="shared" si="21"/>
        <v>1</v>
      </c>
      <c r="AK13" s="19"/>
    </row>
    <row r="14" spans="1:39">
      <c r="A14" s="139">
        <v>12</v>
      </c>
      <c r="B14" s="139" cm="1">
        <f t="array" ref="B14">IFERROR(IF(A14=s1_id_korvattava1,INDEX($AG$3:$AG$19,MATCH(C14,$AF$3:$AF$19,0),1),IF(A14=s1_id_korvaava1,INDEX($AH$3:$AH$19,MATCH(C14,$AF$3:$AF$19,0),1),IF(A14=s1_id_korvattava2,INDEX($AI$3:$AI$19,MATCH(C14,$AF$3:$AF$19,0),1),IF(A14=s1_id_korvaava2,INDEX($AJ$3:$AJ$19,MATCH(C14,$AF$3:$AF$19,0),1),INDEX(Työkonekanta!$F$3:$F$27,MATCH('S1 Sähkö'!$A14,Työkonekanta!$A$3:$A$24,0),1))))),0)</f>
        <v>1</v>
      </c>
      <c r="C14" s="140">
        <v>2019</v>
      </c>
      <c r="D14" s="141" t="str">
        <f>IFERROR(INDEX(Työkonekanta!$D$3:$D$27,MATCH('S1 Sähkö'!$A14,Työkonekanta!$A$3:$A$24,0),1),"undefined")</f>
        <v>pom</v>
      </c>
      <c r="E14" s="145">
        <f>IFERROR(INDEX(Työkonekanta!$G$3:$G$27,MATCH($A14,Työkonekanta!$A$3:$A$24,0),1)*INDEX(Työkonekanta!$H$3:$H$27,MATCH($A14,Työkonekanta!$A$3:$A$24,0),1)*(1+s1_kerroin*($C14-2019))*$B14,0)</f>
        <v>10000</v>
      </c>
      <c r="F14" s="145">
        <f t="shared" si="0"/>
        <v>359000</v>
      </c>
      <c r="G14" s="145">
        <f t="shared" si="11"/>
        <v>359000</v>
      </c>
      <c r="H14" s="145">
        <f t="shared" si="12"/>
        <v>0</v>
      </c>
      <c r="I14" s="145">
        <f t="shared" si="1"/>
        <v>10000</v>
      </c>
      <c r="J14" s="145">
        <f t="shared" si="2"/>
        <v>0</v>
      </c>
      <c r="K14" s="142" t="str">
        <f t="shared" si="13"/>
        <v>l</v>
      </c>
      <c r="L14" s="146">
        <f>IFERROR(INDEX(Työkonekanta!$I$3:$I$27,MATCH('S1 Sähkö'!$A14,Työkonekanta!$A$3:$A$24,0),1)*(I14+J14)*f_adblue,0)</f>
        <v>500</v>
      </c>
      <c r="M14" s="146">
        <f t="shared" si="3"/>
        <v>0</v>
      </c>
      <c r="N14" s="143" t="str">
        <f>IF(tuulisähkö_vuosi&lt;='S1 Sähkö'!C14,"tuulisähkö",ostosähkö_nyt)</f>
        <v>jäännössähkö</v>
      </c>
      <c r="O14" s="147">
        <f>INDEX(Muuttujat!$J$5:$J$21,MATCH($C14,Muuttujat!$H$5:$H$21,0),1)</f>
        <v>69.24722222222222</v>
      </c>
      <c r="P14" s="342">
        <f>1-(INDEX(Muuttujat!$O$5:$O$21,MATCH($C14,Muuttujat!$N$5:$N$21,0),1))</f>
        <v>1</v>
      </c>
      <c r="Q14" s="342">
        <f>INDEX(Muuttujat!$O$5:$O$21,MATCH($C14,Muuttujat!$N$5:$N$21,0),1)</f>
        <v>0</v>
      </c>
      <c r="R14" s="148">
        <f>INDEX(Muuttujat!$P$5:$P$21,MATCH($C14,Muuttujat!$N$5:$N$21,0),1)</f>
        <v>0</v>
      </c>
      <c r="S14" s="149">
        <f t="shared" si="4"/>
        <v>6.785099999999999</v>
      </c>
      <c r="T14" s="150">
        <f t="shared" si="5"/>
        <v>0</v>
      </c>
      <c r="U14" s="150">
        <f t="shared" si="6"/>
        <v>0</v>
      </c>
      <c r="V14" s="150">
        <f>IFERROR(INDEX(Työkonekanta!$J$3:$J$27,MATCH($A14,Työkonekanta!$A$3:$A$24,0),1)*$B14*ef_li_ion_akku/1000/1000/INDEX(Työkonekanta!$K$3:$K$27,MATCH($A14,Työkonekanta!$A$3:$A$24,0)),0)</f>
        <v>0</v>
      </c>
      <c r="W14" s="149">
        <f t="shared" si="7"/>
        <v>26.497163285999999</v>
      </c>
      <c r="X14" s="150">
        <f t="shared" si="8"/>
        <v>0.31774565999999999</v>
      </c>
      <c r="Y14" s="151">
        <f t="shared" si="9"/>
        <v>0.13</v>
      </c>
      <c r="Z14" s="152">
        <f t="shared" si="14"/>
        <v>6.785099999999999</v>
      </c>
      <c r="AA14" s="153">
        <f t="shared" si="15"/>
        <v>26.627163285999998</v>
      </c>
      <c r="AB14" s="153">
        <f t="shared" si="16"/>
        <v>26.944908945999998</v>
      </c>
      <c r="AC14" s="154">
        <f t="shared" si="10"/>
        <v>33.412263285999998</v>
      </c>
      <c r="AD14" s="156">
        <f t="shared" si="17"/>
        <v>33.730008945999998</v>
      </c>
      <c r="AE14" s="182"/>
      <c r="AF14" s="36">
        <v>2030</v>
      </c>
      <c r="AG14" s="31">
        <f t="shared" si="19"/>
        <v>0</v>
      </c>
      <c r="AH14" s="35">
        <f t="shared" si="18"/>
        <v>36</v>
      </c>
      <c r="AI14" s="33">
        <f t="shared" si="20"/>
        <v>0</v>
      </c>
      <c r="AJ14" s="35">
        <f t="shared" si="21"/>
        <v>1</v>
      </c>
      <c r="AK14" s="19"/>
    </row>
    <row r="15" spans="1:39">
      <c r="A15" s="139">
        <v>13</v>
      </c>
      <c r="B15" s="139" cm="1">
        <f t="array" ref="B15">IFERROR(IF(A15=s1_id_korvattava1,INDEX($AG$3:$AG$19,MATCH(C15,$AF$3:$AF$19,0),1),IF(A15=s1_id_korvaava1,INDEX($AH$3:$AH$19,MATCH(C15,$AF$3:$AF$19,0),1),IF(A15=s1_id_korvattava2,INDEX($AI$3:$AI$19,MATCH(C15,$AF$3:$AF$19,0),1),IF(A15=s1_id_korvaava2,INDEX($AJ$3:$AJ$19,MATCH(C15,$AF$3:$AF$19,0),1),INDEX(Työkonekanta!$F$3:$F$27,MATCH('S1 Sähkö'!$A15,Työkonekanta!$A$3:$A$24,0),1))))),0)</f>
        <v>0</v>
      </c>
      <c r="C15" s="140">
        <v>2019</v>
      </c>
      <c r="D15" s="141" t="str">
        <f>IFERROR(INDEX(Työkonekanta!$D$3:$D$27,MATCH('S1 Sähkö'!$A15,Työkonekanta!$A$3:$A$24,0),1),"undefined")</f>
        <v>pom</v>
      </c>
      <c r="E15" s="145">
        <f>IFERROR(INDEX(Työkonekanta!$G$3:$G$27,MATCH($A15,Työkonekanta!$A$3:$A$24,0),1)*INDEX(Työkonekanta!$H$3:$H$27,MATCH($A15,Työkonekanta!$A$3:$A$24,0),1)*(1+s1_kerroin*($C15-2019))*$B15,0)</f>
        <v>0</v>
      </c>
      <c r="F15" s="145">
        <f t="shared" si="0"/>
        <v>0</v>
      </c>
      <c r="G15" s="145">
        <f t="shared" si="11"/>
        <v>0</v>
      </c>
      <c r="H15" s="145">
        <f t="shared" si="12"/>
        <v>0</v>
      </c>
      <c r="I15" s="145">
        <f t="shared" si="1"/>
        <v>0</v>
      </c>
      <c r="J15" s="145">
        <f t="shared" si="2"/>
        <v>0</v>
      </c>
      <c r="K15" s="142" t="str">
        <f t="shared" si="13"/>
        <v>l</v>
      </c>
      <c r="L15" s="146">
        <f>IFERROR(INDEX(Työkonekanta!$I$3:$I$27,MATCH('S1 Sähkö'!$A15,Työkonekanta!$A$3:$A$24,0),1)*(I15+J15)*f_adblue,0)</f>
        <v>0</v>
      </c>
      <c r="M15" s="146">
        <f t="shared" si="3"/>
        <v>0</v>
      </c>
      <c r="N15" s="143" t="str">
        <f>IF(tuulisähkö_vuosi&lt;='S1 Sähkö'!C15,"tuulisähkö",ostosähkö_nyt)</f>
        <v>jäännössähkö</v>
      </c>
      <c r="O15" s="147">
        <f>INDEX(Muuttujat!$J$5:$J$21,MATCH($C15,Muuttujat!$H$5:$H$21,0),1)</f>
        <v>69.24722222222222</v>
      </c>
      <c r="P15" s="342">
        <f>1-(INDEX(Muuttujat!$O$5:$O$21,MATCH($C15,Muuttujat!$N$5:$N$21,0),1))</f>
        <v>1</v>
      </c>
      <c r="Q15" s="342">
        <f>INDEX(Muuttujat!$O$5:$O$21,MATCH($C15,Muuttujat!$N$5:$N$21,0),1)</f>
        <v>0</v>
      </c>
      <c r="R15" s="148">
        <f>INDEX(Muuttujat!$P$5:$P$21,MATCH($C15,Muuttujat!$N$5:$N$21,0),1)</f>
        <v>0</v>
      </c>
      <c r="S15" s="149">
        <f t="shared" si="4"/>
        <v>0</v>
      </c>
      <c r="T15" s="150">
        <f t="shared" si="5"/>
        <v>0</v>
      </c>
      <c r="U15" s="150">
        <f t="shared" si="6"/>
        <v>0</v>
      </c>
      <c r="V15" s="150">
        <f>IFERROR(INDEX(Työkonekanta!$J$3:$J$27,MATCH($A15,Työkonekanta!$A$3:$A$24,0),1)*$B15*ef_li_ion_akku/1000/1000/INDEX(Työkonekanta!$K$3:$K$27,MATCH($A15,Työkonekanta!$A$3:$A$24,0)),0)</f>
        <v>0</v>
      </c>
      <c r="W15" s="149">
        <f t="shared" si="7"/>
        <v>0</v>
      </c>
      <c r="X15" s="150">
        <f t="shared" si="8"/>
        <v>0</v>
      </c>
      <c r="Y15" s="151">
        <f t="shared" si="9"/>
        <v>0</v>
      </c>
      <c r="Z15" s="152">
        <f t="shared" si="14"/>
        <v>0</v>
      </c>
      <c r="AA15" s="153">
        <f t="shared" si="15"/>
        <v>0</v>
      </c>
      <c r="AB15" s="153">
        <f t="shared" si="16"/>
        <v>0</v>
      </c>
      <c r="AC15" s="154">
        <f t="shared" si="10"/>
        <v>0</v>
      </c>
      <c r="AD15" s="156">
        <f t="shared" si="17"/>
        <v>0</v>
      </c>
      <c r="AE15" s="182"/>
      <c r="AF15" s="36">
        <v>2031</v>
      </c>
      <c r="AG15" s="31">
        <f t="shared" si="19"/>
        <v>0</v>
      </c>
      <c r="AH15" s="35">
        <f t="shared" si="18"/>
        <v>36</v>
      </c>
      <c r="AI15" s="33">
        <f t="shared" si="20"/>
        <v>0</v>
      </c>
      <c r="AJ15" s="35">
        <f t="shared" si="21"/>
        <v>1</v>
      </c>
      <c r="AK15" s="19"/>
    </row>
    <row r="16" spans="1:39">
      <c r="A16" s="139">
        <v>14</v>
      </c>
      <c r="B16" s="139" cm="1">
        <f t="array" ref="B16">IFERROR(IF(A16=s1_id_korvattava1,INDEX($AG$3:$AG$19,MATCH(C16,$AF$3:$AF$19,0),1),IF(A16=s1_id_korvaava1,INDEX($AH$3:$AH$19,MATCH(C16,$AF$3:$AF$19,0),1),IF(A16=s1_id_korvattava2,INDEX($AI$3:$AI$19,MATCH(C16,$AF$3:$AF$19,0),1),IF(A16=s1_id_korvaava2,INDEX($AJ$3:$AJ$19,MATCH(C16,$AF$3:$AF$19,0),1),INDEX(Työkonekanta!$F$3:$F$27,MATCH('S1 Sähkö'!$A16,Työkonekanta!$A$3:$A$24,0),1))))),0)</f>
        <v>0</v>
      </c>
      <c r="C16" s="140">
        <v>2019</v>
      </c>
      <c r="D16" s="141" t="str">
        <f>IFERROR(INDEX(Työkonekanta!$D$3:$D$27,MATCH('S1 Sähkö'!$A16,Työkonekanta!$A$3:$A$24,0),1),"undefined")</f>
        <v>pom</v>
      </c>
      <c r="E16" s="145">
        <f>IFERROR(INDEX(Työkonekanta!$G$3:$G$27,MATCH($A16,Työkonekanta!$A$3:$A$24,0),1)*INDEX(Työkonekanta!$H$3:$H$27,MATCH($A16,Työkonekanta!$A$3:$A$24,0),1)*(1+s1_kerroin*($C16-2019))*$B16,0)</f>
        <v>0</v>
      </c>
      <c r="F16" s="145">
        <f t="shared" si="0"/>
        <v>0</v>
      </c>
      <c r="G16" s="145">
        <f t="shared" si="11"/>
        <v>0</v>
      </c>
      <c r="H16" s="145">
        <f t="shared" si="12"/>
        <v>0</v>
      </c>
      <c r="I16" s="145">
        <f t="shared" si="1"/>
        <v>0</v>
      </c>
      <c r="J16" s="145">
        <f t="shared" si="2"/>
        <v>0</v>
      </c>
      <c r="K16" s="142" t="str">
        <f t="shared" si="13"/>
        <v>l</v>
      </c>
      <c r="L16" s="146">
        <f>IFERROR(INDEX(Työkonekanta!$I$3:$I$27,MATCH('S1 Sähkö'!$A16,Työkonekanta!$A$3:$A$24,0),1)*(I16+J16)*f_adblue,0)</f>
        <v>0</v>
      </c>
      <c r="M16" s="146">
        <f t="shared" si="3"/>
        <v>0</v>
      </c>
      <c r="N16" s="143" t="str">
        <f>IF(tuulisähkö_vuosi&lt;='S1 Sähkö'!C16,"tuulisähkö",ostosähkö_nyt)</f>
        <v>jäännössähkö</v>
      </c>
      <c r="O16" s="147">
        <f>INDEX(Muuttujat!$J$5:$J$21,MATCH($C16,Muuttujat!$H$5:$H$21,0),1)</f>
        <v>69.24722222222222</v>
      </c>
      <c r="P16" s="342">
        <f>1-(INDEX(Muuttujat!$O$5:$O$21,MATCH($C16,Muuttujat!$N$5:$N$21,0),1))</f>
        <v>1</v>
      </c>
      <c r="Q16" s="342">
        <f>INDEX(Muuttujat!$O$5:$O$21,MATCH($C16,Muuttujat!$N$5:$N$21,0),1)</f>
        <v>0</v>
      </c>
      <c r="R16" s="148">
        <f>INDEX(Muuttujat!$P$5:$P$21,MATCH($C16,Muuttujat!$N$5:$N$21,0),1)</f>
        <v>0</v>
      </c>
      <c r="S16" s="149">
        <f t="shared" si="4"/>
        <v>0</v>
      </c>
      <c r="T16" s="150">
        <f t="shared" si="5"/>
        <v>0</v>
      </c>
      <c r="U16" s="150">
        <f t="shared" si="6"/>
        <v>0</v>
      </c>
      <c r="V16" s="150">
        <f>IFERROR(INDEX(Työkonekanta!$J$3:$J$27,MATCH($A16,Työkonekanta!$A$3:$A$24,0),1)*$B16*ef_li_ion_akku/1000/1000/INDEX(Työkonekanta!$K$3:$K$27,MATCH($A16,Työkonekanta!$A$3:$A$24,0)),0)</f>
        <v>0</v>
      </c>
      <c r="W16" s="149">
        <f t="shared" si="7"/>
        <v>0</v>
      </c>
      <c r="X16" s="150">
        <f t="shared" si="8"/>
        <v>0</v>
      </c>
      <c r="Y16" s="151">
        <f t="shared" si="9"/>
        <v>0</v>
      </c>
      <c r="Z16" s="152">
        <f t="shared" si="14"/>
        <v>0</v>
      </c>
      <c r="AA16" s="153">
        <f t="shared" si="15"/>
        <v>0</v>
      </c>
      <c r="AB16" s="153">
        <f t="shared" si="16"/>
        <v>0</v>
      </c>
      <c r="AC16" s="154">
        <f t="shared" si="10"/>
        <v>0</v>
      </c>
      <c r="AD16" s="156">
        <f t="shared" si="17"/>
        <v>0</v>
      </c>
      <c r="AE16" s="182"/>
      <c r="AF16" s="36">
        <v>2032</v>
      </c>
      <c r="AG16" s="31">
        <f t="shared" si="19"/>
        <v>0</v>
      </c>
      <c r="AH16" s="35">
        <f t="shared" si="18"/>
        <v>36</v>
      </c>
      <c r="AI16" s="33">
        <f t="shared" si="20"/>
        <v>0</v>
      </c>
      <c r="AJ16" s="35">
        <f t="shared" si="21"/>
        <v>1</v>
      </c>
      <c r="AK16" s="19"/>
    </row>
    <row r="17" spans="1:37">
      <c r="A17" s="139">
        <v>15</v>
      </c>
      <c r="B17" s="139" cm="1">
        <f t="array" ref="B17">IFERROR(IF(A17=s1_id_korvattava1,INDEX($AG$3:$AG$19,MATCH(C17,$AF$3:$AF$19,0),1),IF(A17=s1_id_korvaava1,INDEX($AH$3:$AH$19,MATCH(C17,$AF$3:$AF$19,0),1),IF(A17=s1_id_korvattava2,INDEX($AI$3:$AI$19,MATCH(C17,$AF$3:$AF$19,0),1),IF(A17=s1_id_korvaava2,INDEX($AJ$3:$AJ$19,MATCH(C17,$AF$3:$AF$19,0),1),INDEX(Työkonekanta!$F$3:$F$27,MATCH('S1 Sähkö'!$A17,Työkonekanta!$A$3:$A$24,0),1))))),0)</f>
        <v>0</v>
      </c>
      <c r="C17" s="140">
        <v>2019</v>
      </c>
      <c r="D17" s="141" t="str">
        <f>IFERROR(INDEX(Työkonekanta!$D$3:$D$27,MATCH('S1 Sähkö'!$A17,Työkonekanta!$A$3:$A$24,0),1),"undefined")</f>
        <v>sähkö</v>
      </c>
      <c r="E17" s="145">
        <f>IFERROR(INDEX(Työkonekanta!$G$3:$G$27,MATCH($A17,Työkonekanta!$A$3:$A$24,0),1)*INDEX(Työkonekanta!$H$3:$H$27,MATCH($A17,Työkonekanta!$A$3:$A$24,0),1)*(1+s1_kerroin*($C17-2019))*$B17,0)</f>
        <v>0</v>
      </c>
      <c r="F17" s="145">
        <f t="shared" si="0"/>
        <v>0</v>
      </c>
      <c r="G17" s="145">
        <f t="shared" si="11"/>
        <v>0</v>
      </c>
      <c r="H17" s="145">
        <f t="shared" si="12"/>
        <v>0</v>
      </c>
      <c r="I17" s="145">
        <f t="shared" si="1"/>
        <v>0</v>
      </c>
      <c r="J17" s="145">
        <f t="shared" si="2"/>
        <v>0</v>
      </c>
      <c r="K17" s="142" t="str">
        <f t="shared" si="13"/>
        <v>kWh</v>
      </c>
      <c r="L17" s="146">
        <f>IFERROR(INDEX(Työkonekanta!$I$3:$I$27,MATCH('S1 Sähkö'!$A17,Työkonekanta!$A$3:$A$24,0),1)*(I17+J17)*f_adblue,0)</f>
        <v>0</v>
      </c>
      <c r="M17" s="146">
        <f t="shared" si="3"/>
        <v>0</v>
      </c>
      <c r="N17" s="143" t="str">
        <f>IF(tuulisähkö_vuosi&lt;='S1 Sähkö'!C17,"tuulisähkö",ostosähkö_nyt)</f>
        <v>jäännössähkö</v>
      </c>
      <c r="O17" s="147">
        <f>INDEX(Muuttujat!$J$5:$J$21,MATCH($C17,Muuttujat!$H$5:$H$21,0),1)</f>
        <v>69.24722222222222</v>
      </c>
      <c r="P17" s="342">
        <f>1-(INDEX(Muuttujat!$O$5:$O$21,MATCH($C17,Muuttujat!$N$5:$N$21,0),1))</f>
        <v>1</v>
      </c>
      <c r="Q17" s="342">
        <f>INDEX(Muuttujat!$O$5:$O$21,MATCH($C17,Muuttujat!$N$5:$N$21,0),1)</f>
        <v>0</v>
      </c>
      <c r="R17" s="148">
        <f>INDEX(Muuttujat!$P$5:$P$21,MATCH($C17,Muuttujat!$N$5:$N$21,0),1)</f>
        <v>0</v>
      </c>
      <c r="S17" s="149">
        <f t="shared" si="4"/>
        <v>0</v>
      </c>
      <c r="T17" s="150">
        <f t="shared" si="5"/>
        <v>0</v>
      </c>
      <c r="U17" s="150">
        <f t="shared" si="6"/>
        <v>0</v>
      </c>
      <c r="V17" s="150">
        <f>IFERROR(INDEX(Työkonekanta!$J$3:$J$27,MATCH($A17,Työkonekanta!$A$3:$A$24,0),1)*$B17*ef_li_ion_akku/1000/1000/INDEX(Työkonekanta!$K$3:$K$27,MATCH($A17,Työkonekanta!$A$3:$A$24,0)),0)</f>
        <v>0</v>
      </c>
      <c r="W17" s="149">
        <f t="shared" si="7"/>
        <v>0</v>
      </c>
      <c r="X17" s="150">
        <f t="shared" si="8"/>
        <v>0</v>
      </c>
      <c r="Y17" s="151">
        <f t="shared" si="9"/>
        <v>0</v>
      </c>
      <c r="Z17" s="152">
        <f t="shared" si="14"/>
        <v>0</v>
      </c>
      <c r="AA17" s="153">
        <f t="shared" si="15"/>
        <v>0</v>
      </c>
      <c r="AB17" s="153">
        <f t="shared" si="16"/>
        <v>0</v>
      </c>
      <c r="AC17" s="154">
        <f t="shared" si="10"/>
        <v>0</v>
      </c>
      <c r="AD17" s="156">
        <f t="shared" si="17"/>
        <v>0</v>
      </c>
      <c r="AE17" s="182"/>
      <c r="AF17" s="36">
        <v>2033</v>
      </c>
      <c r="AG17" s="31">
        <f t="shared" si="19"/>
        <v>0</v>
      </c>
      <c r="AH17" s="35">
        <f t="shared" si="18"/>
        <v>36</v>
      </c>
      <c r="AI17" s="33">
        <f t="shared" si="20"/>
        <v>0</v>
      </c>
      <c r="AJ17" s="35">
        <f t="shared" si="21"/>
        <v>1</v>
      </c>
      <c r="AK17" s="19"/>
    </row>
    <row r="18" spans="1:37">
      <c r="A18" s="139">
        <v>16</v>
      </c>
      <c r="B18" s="139" cm="1">
        <f t="array" ref="B18">IFERROR(IF(A18=s1_id_korvattava1,INDEX($AG$3:$AG$19,MATCH(C18,$AF$3:$AF$19,0),1),IF(A18=s1_id_korvaava1,INDEX($AH$3:$AH$19,MATCH(C18,$AF$3:$AF$19,0),1),IF(A18=s1_id_korvattava2,INDEX($AI$3:$AI$19,MATCH(C18,$AF$3:$AF$19,0),1),IF(A18=s1_id_korvaava2,INDEX($AJ$3:$AJ$19,MATCH(C18,$AF$3:$AF$19,0),1),INDEX(Työkonekanta!$F$3:$F$27,MATCH('S1 Sähkö'!$A18,Työkonekanta!$A$3:$A$24,0),1))))),0)</f>
        <v>0</v>
      </c>
      <c r="C18" s="140">
        <v>2019</v>
      </c>
      <c r="D18" s="141" t="str">
        <f>IFERROR(INDEX(Työkonekanta!$D$3:$D$27,MATCH('S1 Sähkö'!$A18,Työkonekanta!$A$3:$A$24,0),1),"undefined")</f>
        <v>sähkö</v>
      </c>
      <c r="E18" s="145">
        <f>IFERROR(INDEX(Työkonekanta!$G$3:$G$27,MATCH($A18,Työkonekanta!$A$3:$A$24,0),1)*INDEX(Työkonekanta!$H$3:$H$27,MATCH($A18,Työkonekanta!$A$3:$A$24,0),1)*(1+s1_kerroin*($C18-2019))*$B18,0)</f>
        <v>0</v>
      </c>
      <c r="F18" s="145">
        <f t="shared" si="0"/>
        <v>0</v>
      </c>
      <c r="G18" s="145">
        <f t="shared" si="11"/>
        <v>0</v>
      </c>
      <c r="H18" s="145">
        <f t="shared" si="12"/>
        <v>0</v>
      </c>
      <c r="I18" s="145">
        <f t="shared" si="1"/>
        <v>0</v>
      </c>
      <c r="J18" s="145">
        <f t="shared" si="2"/>
        <v>0</v>
      </c>
      <c r="K18" s="142" t="str">
        <f t="shared" si="13"/>
        <v>kWh</v>
      </c>
      <c r="L18" s="146">
        <f>IFERROR(INDEX(Työkonekanta!$I$3:$I$27,MATCH('S1 Sähkö'!$A18,Työkonekanta!$A$3:$A$24,0),1)*(I18+J18)*f_adblue,0)</f>
        <v>0</v>
      </c>
      <c r="M18" s="146">
        <f t="shared" si="3"/>
        <v>0</v>
      </c>
      <c r="N18" s="143" t="str">
        <f>IF(tuulisähkö_vuosi&lt;='S1 Sähkö'!C18,"tuulisähkö",ostosähkö_nyt)</f>
        <v>jäännössähkö</v>
      </c>
      <c r="O18" s="147">
        <f>INDEX(Muuttujat!$J$5:$J$21,MATCH($C18,Muuttujat!$H$5:$H$21,0),1)</f>
        <v>69.24722222222222</v>
      </c>
      <c r="P18" s="342">
        <f>1-(INDEX(Muuttujat!$O$5:$O$21,MATCH($C18,Muuttujat!$N$5:$N$21,0),1))</f>
        <v>1</v>
      </c>
      <c r="Q18" s="342">
        <f>INDEX(Muuttujat!$O$5:$O$21,MATCH($C18,Muuttujat!$N$5:$N$21,0),1)</f>
        <v>0</v>
      </c>
      <c r="R18" s="148">
        <f>INDEX(Muuttujat!$P$5:$P$21,MATCH($C18,Muuttujat!$N$5:$N$21,0),1)</f>
        <v>0</v>
      </c>
      <c r="S18" s="149">
        <f t="shared" si="4"/>
        <v>0</v>
      </c>
      <c r="T18" s="150">
        <f t="shared" si="5"/>
        <v>0</v>
      </c>
      <c r="U18" s="150">
        <f t="shared" si="6"/>
        <v>0</v>
      </c>
      <c r="V18" s="150">
        <f>IFERROR(INDEX(Työkonekanta!$J$3:$J$27,MATCH($A18,Työkonekanta!$A$3:$A$24,0),1)*$B18*ef_li_ion_akku/1000/1000/INDEX(Työkonekanta!$K$3:$K$27,MATCH($A18,Työkonekanta!$A$3:$A$24,0)),0)</f>
        <v>0</v>
      </c>
      <c r="W18" s="149">
        <f t="shared" si="7"/>
        <v>0</v>
      </c>
      <c r="X18" s="150">
        <f t="shared" si="8"/>
        <v>0</v>
      </c>
      <c r="Y18" s="151">
        <f t="shared" si="9"/>
        <v>0</v>
      </c>
      <c r="Z18" s="152">
        <f t="shared" si="14"/>
        <v>0</v>
      </c>
      <c r="AA18" s="153">
        <f t="shared" si="15"/>
        <v>0</v>
      </c>
      <c r="AB18" s="153">
        <f t="shared" si="16"/>
        <v>0</v>
      </c>
      <c r="AC18" s="154">
        <f t="shared" si="10"/>
        <v>0</v>
      </c>
      <c r="AD18" s="156">
        <f t="shared" si="17"/>
        <v>0</v>
      </c>
      <c r="AE18" s="182"/>
      <c r="AF18" s="36">
        <v>2034</v>
      </c>
      <c r="AG18" s="31">
        <f t="shared" si="19"/>
        <v>0</v>
      </c>
      <c r="AH18" s="35">
        <f t="shared" si="18"/>
        <v>36</v>
      </c>
      <c r="AI18" s="33">
        <f t="shared" si="20"/>
        <v>0</v>
      </c>
      <c r="AJ18" s="35">
        <f t="shared" si="21"/>
        <v>1</v>
      </c>
      <c r="AK18" s="19"/>
    </row>
    <row r="19" spans="1:37">
      <c r="A19" s="139">
        <v>17</v>
      </c>
      <c r="B19" s="139" cm="1">
        <f t="array" ref="B19">IFERROR(IF(A19=s1_id_korvattava1,INDEX($AG$3:$AG$19,MATCH(C19,$AF$3:$AF$19,0),1),IF(A19=s1_id_korvaava1,INDEX($AH$3:$AH$19,MATCH(C19,$AF$3:$AF$19,0),1),IF(A19=s1_id_korvattava2,INDEX($AI$3:$AI$19,MATCH(C19,$AF$3:$AF$19,0),1),IF(A19=s1_id_korvaava2,INDEX($AJ$3:$AJ$19,MATCH(C19,$AF$3:$AF$19,0),1),INDEX(Työkonekanta!$F$3:$F$27,MATCH('S1 Sähkö'!$A19,Työkonekanta!$A$3:$A$24,0),1))))),0)</f>
        <v>1</v>
      </c>
      <c r="C19" s="140">
        <v>2019</v>
      </c>
      <c r="D19" s="141" t="str">
        <f>IFERROR(INDEX(Työkonekanta!$D$3:$D$27,MATCH('S1 Sähkö'!$A19,Työkonekanta!$A$3:$A$24,0),1),"undefined")</f>
        <v>pom</v>
      </c>
      <c r="E19" s="145">
        <f>IFERROR(INDEX(Työkonekanta!$G$3:$G$27,MATCH($A19,Työkonekanta!$A$3:$A$24,0),1)*INDEX(Työkonekanta!$H$3:$H$27,MATCH($A19,Työkonekanta!$A$3:$A$24,0),1)*(1+s1_kerroin*($C19-2019))*$B19,0)</f>
        <v>10000</v>
      </c>
      <c r="F19" s="145">
        <f t="shared" si="0"/>
        <v>359000</v>
      </c>
      <c r="G19" s="145">
        <f t="shared" si="11"/>
        <v>359000</v>
      </c>
      <c r="H19" s="145">
        <f t="shared" si="12"/>
        <v>0</v>
      </c>
      <c r="I19" s="145">
        <f t="shared" si="1"/>
        <v>10000</v>
      </c>
      <c r="J19" s="145">
        <f t="shared" si="2"/>
        <v>0</v>
      </c>
      <c r="K19" s="142" t="str">
        <f t="shared" si="13"/>
        <v>l</v>
      </c>
      <c r="L19" s="146">
        <f>IFERROR(INDEX(Työkonekanta!$I$3:$I$27,MATCH('S1 Sähkö'!$A19,Työkonekanta!$A$3:$A$24,0),1)*(I19+J19)*f_adblue,0)</f>
        <v>500</v>
      </c>
      <c r="M19" s="146">
        <f t="shared" si="3"/>
        <v>0</v>
      </c>
      <c r="N19" s="143" t="str">
        <f>IF(tuulisähkö_vuosi&lt;='S1 Sähkö'!C19,"tuulisähkö",ostosähkö_nyt)</f>
        <v>jäännössähkö</v>
      </c>
      <c r="O19" s="147">
        <f>INDEX(Muuttujat!$J$5:$J$21,MATCH($C19,Muuttujat!$H$5:$H$21,0),1)</f>
        <v>69.24722222222222</v>
      </c>
      <c r="P19" s="342">
        <f>1-(INDEX(Muuttujat!$O$5:$O$21,MATCH($C19,Muuttujat!$N$5:$N$21,0),1))</f>
        <v>1</v>
      </c>
      <c r="Q19" s="342">
        <f>INDEX(Muuttujat!$O$5:$O$21,MATCH($C19,Muuttujat!$N$5:$N$21,0),1)</f>
        <v>0</v>
      </c>
      <c r="R19" s="148">
        <f>INDEX(Muuttujat!$P$5:$P$21,MATCH($C19,Muuttujat!$N$5:$N$21,0),1)</f>
        <v>0</v>
      </c>
      <c r="S19" s="149">
        <f t="shared" si="4"/>
        <v>6.785099999999999</v>
      </c>
      <c r="T19" s="150">
        <f t="shared" si="5"/>
        <v>0</v>
      </c>
      <c r="U19" s="150">
        <f t="shared" si="6"/>
        <v>0</v>
      </c>
      <c r="V19" s="150">
        <f>IFERROR(INDEX(Työkonekanta!$J$3:$J$27,MATCH($A19,Työkonekanta!$A$3:$A$24,0),1)*$B19*ef_li_ion_akku/1000/1000/INDEX(Työkonekanta!$K$3:$K$27,MATCH($A19,Työkonekanta!$A$3:$A$24,0)),0)</f>
        <v>0</v>
      </c>
      <c r="W19" s="149">
        <f t="shared" si="7"/>
        <v>26.497163285999999</v>
      </c>
      <c r="X19" s="150">
        <f t="shared" si="8"/>
        <v>0.31774565999999999</v>
      </c>
      <c r="Y19" s="151">
        <f t="shared" si="9"/>
        <v>0.13</v>
      </c>
      <c r="Z19" s="152">
        <f t="shared" si="14"/>
        <v>6.785099999999999</v>
      </c>
      <c r="AA19" s="153">
        <f t="shared" si="15"/>
        <v>26.627163285999998</v>
      </c>
      <c r="AB19" s="153">
        <f t="shared" si="16"/>
        <v>26.944908945999998</v>
      </c>
      <c r="AC19" s="154">
        <f t="shared" si="10"/>
        <v>33.412263285999998</v>
      </c>
      <c r="AD19" s="156">
        <f t="shared" si="17"/>
        <v>33.730008945999998</v>
      </c>
      <c r="AE19" s="182"/>
      <c r="AF19" s="36">
        <v>2035</v>
      </c>
      <c r="AG19" s="31">
        <f t="shared" si="19"/>
        <v>0</v>
      </c>
      <c r="AH19" s="35">
        <f t="shared" si="18"/>
        <v>36</v>
      </c>
      <c r="AI19" s="33">
        <f t="shared" si="20"/>
        <v>0</v>
      </c>
      <c r="AJ19" s="35">
        <f t="shared" si="21"/>
        <v>1</v>
      </c>
      <c r="AK19" s="19"/>
    </row>
    <row r="20" spans="1:37">
      <c r="A20" s="139">
        <v>18</v>
      </c>
      <c r="B20" s="139" cm="1">
        <f t="array" ref="B20">IFERROR(IF(A20=s1_id_korvattava1,INDEX($AG$3:$AG$19,MATCH(C20,$AF$3:$AF$19,0),1),IF(A20=s1_id_korvaava1,INDEX($AH$3:$AH$19,MATCH(C20,$AF$3:$AF$19,0),1),IF(A20=s1_id_korvattava2,INDEX($AI$3:$AI$19,MATCH(C20,$AF$3:$AF$19,0),1),IF(A20=s1_id_korvaava2,INDEX($AJ$3:$AJ$19,MATCH(C20,$AF$3:$AF$19,0),1),INDEX(Työkonekanta!$F$3:$F$27,MATCH('S1 Sähkö'!$A20,Työkonekanta!$A$3:$A$24,0),1))))),0)</f>
        <v>1</v>
      </c>
      <c r="C20" s="140">
        <v>2019</v>
      </c>
      <c r="D20" s="141" t="str">
        <f>IFERROR(INDEX(Työkonekanta!$D$3:$D$27,MATCH('S1 Sähkö'!$A20,Työkonekanta!$A$3:$A$24,0),1),"undefined")</f>
        <v>pom</v>
      </c>
      <c r="E20" s="145">
        <f>IFERROR(INDEX(Työkonekanta!$G$3:$G$27,MATCH($A20,Työkonekanta!$A$3:$A$24,0),1)*INDEX(Työkonekanta!$H$3:$H$27,MATCH($A20,Työkonekanta!$A$3:$A$24,0),1)*(1+s1_kerroin*($C20-2019))*$B20,0)</f>
        <v>10000</v>
      </c>
      <c r="F20" s="145">
        <f t="shared" si="0"/>
        <v>359000</v>
      </c>
      <c r="G20" s="145">
        <f t="shared" si="11"/>
        <v>359000</v>
      </c>
      <c r="H20" s="145">
        <f t="shared" si="12"/>
        <v>0</v>
      </c>
      <c r="I20" s="145">
        <f t="shared" si="1"/>
        <v>10000</v>
      </c>
      <c r="J20" s="145">
        <f t="shared" si="2"/>
        <v>0</v>
      </c>
      <c r="K20" s="142" t="str">
        <f t="shared" si="13"/>
        <v>l</v>
      </c>
      <c r="L20" s="146">
        <f>IFERROR(INDEX(Työkonekanta!$I$3:$I$27,MATCH('S1 Sähkö'!$A20,Työkonekanta!$A$3:$A$24,0),1)*(I20+J20)*f_adblue,0)</f>
        <v>400</v>
      </c>
      <c r="M20" s="146">
        <f t="shared" si="3"/>
        <v>0</v>
      </c>
      <c r="N20" s="143" t="str">
        <f>IF(tuulisähkö_vuosi&lt;='S1 Sähkö'!C20,"tuulisähkö",ostosähkö_nyt)</f>
        <v>jäännössähkö</v>
      </c>
      <c r="O20" s="147">
        <f>INDEX(Muuttujat!$J$5:$J$21,MATCH($C20,Muuttujat!$H$5:$H$21,0),1)</f>
        <v>69.24722222222222</v>
      </c>
      <c r="P20" s="342">
        <f>1-(INDEX(Muuttujat!$O$5:$O$21,MATCH($C20,Muuttujat!$N$5:$N$21,0),1))</f>
        <v>1</v>
      </c>
      <c r="Q20" s="342">
        <f>INDEX(Muuttujat!$O$5:$O$21,MATCH($C20,Muuttujat!$N$5:$N$21,0),1)</f>
        <v>0</v>
      </c>
      <c r="R20" s="148">
        <f>INDEX(Muuttujat!$P$5:$P$21,MATCH($C20,Muuttujat!$N$5:$N$21,0),1)</f>
        <v>0</v>
      </c>
      <c r="S20" s="149">
        <f t="shared" si="4"/>
        <v>6.785099999999999</v>
      </c>
      <c r="T20" s="150">
        <f t="shared" si="5"/>
        <v>0</v>
      </c>
      <c r="U20" s="150">
        <f t="shared" si="6"/>
        <v>0</v>
      </c>
      <c r="V20" s="150">
        <f>IFERROR(INDEX(Työkonekanta!$J$3:$J$27,MATCH($A20,Työkonekanta!$A$3:$A$24,0),1)*$B20*ef_li_ion_akku/1000/1000/INDEX(Työkonekanta!$K$3:$K$27,MATCH($A20,Työkonekanta!$A$3:$A$24,0)),0)</f>
        <v>0</v>
      </c>
      <c r="W20" s="149">
        <f t="shared" si="7"/>
        <v>26.497163285999999</v>
      </c>
      <c r="X20" s="150">
        <f t="shared" si="8"/>
        <v>0.31774565999999999</v>
      </c>
      <c r="Y20" s="151">
        <f t="shared" si="9"/>
        <v>0.104</v>
      </c>
      <c r="Z20" s="152">
        <f t="shared" si="14"/>
        <v>6.785099999999999</v>
      </c>
      <c r="AA20" s="153">
        <f t="shared" si="15"/>
        <v>26.601163285999998</v>
      </c>
      <c r="AB20" s="153">
        <f t="shared" si="16"/>
        <v>26.918908945999998</v>
      </c>
      <c r="AC20" s="154">
        <f t="shared" si="10"/>
        <v>33.386263285999995</v>
      </c>
      <c r="AD20" s="156">
        <f t="shared" si="17"/>
        <v>33.704008945999995</v>
      </c>
      <c r="AE20" s="182"/>
      <c r="AG20" s="2"/>
      <c r="AJ20" s="28"/>
      <c r="AK20" s="19"/>
    </row>
    <row r="21" spans="1:37">
      <c r="A21" s="139">
        <v>19</v>
      </c>
      <c r="B21" s="139" cm="1">
        <f t="array" ref="B21">IFERROR(IF(A21=s1_id_korvattava1,INDEX($AG$3:$AG$19,MATCH(C21,$AF$3:$AF$19,0),1),IF(A21=s1_id_korvaava1,INDEX($AH$3:$AH$19,MATCH(C21,$AF$3:$AF$19,0),1),IF(A21=s1_id_korvattava2,INDEX($AI$3:$AI$19,MATCH(C21,$AF$3:$AF$19,0),1),IF(A21=s1_id_korvaava2,INDEX($AJ$3:$AJ$19,MATCH(C21,$AF$3:$AF$19,0),1),INDEX(Työkonekanta!$F$3:$F$27,MATCH('S1 Sähkö'!$A21,Työkonekanta!$A$3:$A$24,0),1))))),0)</f>
        <v>0</v>
      </c>
      <c r="C21" s="140">
        <v>2019</v>
      </c>
      <c r="D21" s="141" t="str">
        <f>IFERROR(INDEX(Työkonekanta!$D$3:$D$27,MATCH('S1 Sähkö'!$A21,Työkonekanta!$A$3:$A$24,0),1),"undefined")</f>
        <v>pom</v>
      </c>
      <c r="E21" s="145">
        <f>IFERROR(INDEX(Työkonekanta!$G$3:$G$27,MATCH($A21,Työkonekanta!$A$3:$A$24,0),1)*INDEX(Työkonekanta!$H$3:$H$27,MATCH($A21,Työkonekanta!$A$3:$A$24,0),1)*(1+s1_kerroin*($C21-2019))*$B21,0)</f>
        <v>0</v>
      </c>
      <c r="F21" s="145">
        <f t="shared" si="0"/>
        <v>0</v>
      </c>
      <c r="G21" s="145">
        <f t="shared" si="11"/>
        <v>0</v>
      </c>
      <c r="H21" s="145">
        <f t="shared" si="12"/>
        <v>0</v>
      </c>
      <c r="I21" s="145">
        <f t="shared" si="1"/>
        <v>0</v>
      </c>
      <c r="J21" s="145">
        <f t="shared" si="2"/>
        <v>0</v>
      </c>
      <c r="K21" s="142" t="str">
        <f t="shared" si="13"/>
        <v>l</v>
      </c>
      <c r="L21" s="146">
        <f>IFERROR(INDEX(Työkonekanta!$I$3:$I$27,MATCH('S1 Sähkö'!$A21,Työkonekanta!$A$3:$A$24,0),1)*(I21+J21)*f_adblue,0)</f>
        <v>0</v>
      </c>
      <c r="M21" s="146">
        <f t="shared" si="3"/>
        <v>0</v>
      </c>
      <c r="N21" s="143" t="str">
        <f>IF(tuulisähkö_vuosi&lt;='S1 Sähkö'!C21,"tuulisähkö",ostosähkö_nyt)</f>
        <v>jäännössähkö</v>
      </c>
      <c r="O21" s="147">
        <f>INDEX(Muuttujat!$J$5:$J$21,MATCH($C21,Muuttujat!$H$5:$H$21,0),1)</f>
        <v>69.24722222222222</v>
      </c>
      <c r="P21" s="342">
        <f>1-(INDEX(Muuttujat!$O$5:$O$21,MATCH($C21,Muuttujat!$N$5:$N$21,0),1))</f>
        <v>1</v>
      </c>
      <c r="Q21" s="342">
        <f>INDEX(Muuttujat!$O$5:$O$21,MATCH($C21,Muuttujat!$N$5:$N$21,0),1)</f>
        <v>0</v>
      </c>
      <c r="R21" s="148">
        <f>INDEX(Muuttujat!$P$5:$P$21,MATCH($C21,Muuttujat!$N$5:$N$21,0),1)</f>
        <v>0</v>
      </c>
      <c r="S21" s="149">
        <f t="shared" si="4"/>
        <v>0</v>
      </c>
      <c r="T21" s="150">
        <f t="shared" si="5"/>
        <v>0</v>
      </c>
      <c r="U21" s="150">
        <f t="shared" si="6"/>
        <v>0</v>
      </c>
      <c r="V21" s="150">
        <f>IFERROR(INDEX(Työkonekanta!$J$3:$J$27,MATCH($A21,Työkonekanta!$A$3:$A$24,0),1)*$B21*ef_li_ion_akku/1000/1000/INDEX(Työkonekanta!$K$3:$K$27,MATCH($A21,Työkonekanta!$A$3:$A$24,0)),0)</f>
        <v>0</v>
      </c>
      <c r="W21" s="149">
        <f t="shared" si="7"/>
        <v>0</v>
      </c>
      <c r="X21" s="150">
        <f t="shared" si="8"/>
        <v>0</v>
      </c>
      <c r="Y21" s="151">
        <f t="shared" si="9"/>
        <v>0</v>
      </c>
      <c r="Z21" s="152">
        <f t="shared" si="14"/>
        <v>0</v>
      </c>
      <c r="AA21" s="153">
        <f t="shared" si="15"/>
        <v>0</v>
      </c>
      <c r="AB21" s="153">
        <f t="shared" si="16"/>
        <v>0</v>
      </c>
      <c r="AC21" s="154">
        <f t="shared" si="10"/>
        <v>0</v>
      </c>
      <c r="AD21" s="156">
        <f t="shared" si="17"/>
        <v>0</v>
      </c>
      <c r="AE21" s="182"/>
      <c r="AF21" s="72" t="s">
        <v>12</v>
      </c>
      <c r="AG21" s="73" t="s">
        <v>301</v>
      </c>
      <c r="AJ21" s="28"/>
      <c r="AK21" s="29"/>
    </row>
    <row r="22" spans="1:37">
      <c r="A22" s="139">
        <v>20</v>
      </c>
      <c r="B22" s="139" cm="1">
        <f t="array" ref="B22">IFERROR(IF(A22=s1_id_korvattava1,INDEX($AG$3:$AG$19,MATCH(C22,$AF$3:$AF$19,0),1),IF(A22=s1_id_korvaava1,INDEX($AH$3:$AH$19,MATCH(C22,$AF$3:$AF$19,0),1),IF(A22=s1_id_korvattava2,INDEX($AI$3:$AI$19,MATCH(C22,$AF$3:$AF$19,0),1),IF(A22=s1_id_korvaava2,INDEX($AJ$3:$AJ$19,MATCH(C22,$AF$3:$AF$19,0),1),INDEX(Työkonekanta!$F$3:$F$27,MATCH('S1 Sähkö'!$A22,Työkonekanta!$A$3:$A$24,0),1))))),0)</f>
        <v>0</v>
      </c>
      <c r="C22" s="140">
        <v>2019</v>
      </c>
      <c r="D22" s="141" t="str">
        <f>IFERROR(INDEX(Työkonekanta!$D$3:$D$27,MATCH('S1 Sähkö'!$A22,Työkonekanta!$A$3:$A$24,0),1),"undefined")</f>
        <v>pom</v>
      </c>
      <c r="E22" s="145">
        <f>IFERROR(INDEX(Työkonekanta!$G$3:$G$27,MATCH($A22,Työkonekanta!$A$3:$A$24,0),1)*INDEX(Työkonekanta!$H$3:$H$27,MATCH($A22,Työkonekanta!$A$3:$A$24,0),1)*(1+s1_kerroin*($C22-2019))*$B22,0)</f>
        <v>0</v>
      </c>
      <c r="F22" s="145">
        <f t="shared" si="0"/>
        <v>0</v>
      </c>
      <c r="G22" s="145">
        <f t="shared" si="11"/>
        <v>0</v>
      </c>
      <c r="H22" s="145">
        <f t="shared" si="12"/>
        <v>0</v>
      </c>
      <c r="I22" s="145">
        <f t="shared" si="1"/>
        <v>0</v>
      </c>
      <c r="J22" s="145">
        <f t="shared" si="2"/>
        <v>0</v>
      </c>
      <c r="K22" s="142" t="str">
        <f t="shared" si="13"/>
        <v>l</v>
      </c>
      <c r="L22" s="146">
        <f>IFERROR(INDEX(Työkonekanta!$I$3:$I$27,MATCH('S1 Sähkö'!$A22,Työkonekanta!$A$3:$A$24,0),1)*(I22+J22)*f_adblue,0)</f>
        <v>0</v>
      </c>
      <c r="M22" s="146">
        <f t="shared" si="3"/>
        <v>0</v>
      </c>
      <c r="N22" s="143" t="str">
        <f>IF(tuulisähkö_vuosi&lt;='S1 Sähkö'!C22,"tuulisähkö",ostosähkö_nyt)</f>
        <v>jäännössähkö</v>
      </c>
      <c r="O22" s="147">
        <f>INDEX(Muuttujat!$J$5:$J$21,MATCH($C22,Muuttujat!$H$5:$H$21,0),1)</f>
        <v>69.24722222222222</v>
      </c>
      <c r="P22" s="342">
        <f>1-(INDEX(Muuttujat!$O$5:$O$21,MATCH($C22,Muuttujat!$N$5:$N$21,0),1))</f>
        <v>1</v>
      </c>
      <c r="Q22" s="342">
        <f>INDEX(Muuttujat!$O$5:$O$21,MATCH($C22,Muuttujat!$N$5:$N$21,0),1)</f>
        <v>0</v>
      </c>
      <c r="R22" s="148">
        <f>INDEX(Muuttujat!$P$5:$P$21,MATCH($C22,Muuttujat!$N$5:$N$21,0),1)</f>
        <v>0</v>
      </c>
      <c r="S22" s="149">
        <f t="shared" si="4"/>
        <v>0</v>
      </c>
      <c r="T22" s="150">
        <f t="shared" si="5"/>
        <v>0</v>
      </c>
      <c r="U22" s="150">
        <f t="shared" si="6"/>
        <v>0</v>
      </c>
      <c r="V22" s="150">
        <f>IFERROR(INDEX(Työkonekanta!$J$3:$J$27,MATCH($A22,Työkonekanta!$A$3:$A$24,0),1)*$B22*ef_li_ion_akku/1000/1000/INDEX(Työkonekanta!$K$3:$K$27,MATCH($A22,Työkonekanta!$A$3:$A$24,0)),0)</f>
        <v>0</v>
      </c>
      <c r="W22" s="149">
        <f t="shared" si="7"/>
        <v>0</v>
      </c>
      <c r="X22" s="150">
        <f t="shared" si="8"/>
        <v>0</v>
      </c>
      <c r="Y22" s="151">
        <f t="shared" si="9"/>
        <v>0</v>
      </c>
      <c r="Z22" s="152">
        <f t="shared" si="14"/>
        <v>0</v>
      </c>
      <c r="AA22" s="153">
        <f t="shared" si="15"/>
        <v>0</v>
      </c>
      <c r="AB22" s="153">
        <f t="shared" si="16"/>
        <v>0</v>
      </c>
      <c r="AC22" s="154">
        <f t="shared" si="10"/>
        <v>0</v>
      </c>
      <c r="AD22" s="156">
        <f t="shared" si="17"/>
        <v>0</v>
      </c>
      <c r="AE22" s="182"/>
      <c r="AF22" s="72" t="str" cm="1">
        <f t="array" ref="AF22">S1_baseline</f>
        <v>S0b</v>
      </c>
      <c r="AG22" s="72">
        <f>IF(AF22="S0a",0,IF(AF22="S0b",s0b_kasvu,0))</f>
        <v>0.01</v>
      </c>
      <c r="AJ22" s="28"/>
      <c r="AK22" s="29"/>
    </row>
    <row r="23" spans="1:37">
      <c r="A23" s="139">
        <v>21</v>
      </c>
      <c r="B23" s="139" cm="1">
        <f t="array" ref="B23">IFERROR(IF(A23=s1_id_korvattava1,INDEX($AG$3:$AG$19,MATCH(C23,$AF$3:$AF$19,0),1),IF(A23=s1_id_korvaava1,INDEX($AH$3:$AH$19,MATCH(C23,$AF$3:$AF$19,0),1),IF(A23=s1_id_korvattava2,INDEX($AI$3:$AI$19,MATCH(C23,$AF$3:$AF$19,0),1),IF(A23=s1_id_korvaava2,INDEX($AJ$3:$AJ$19,MATCH(C23,$AF$3:$AF$19,0),1),INDEX(Työkonekanta!$F$3:$F$27,MATCH('S1 Sähkö'!$A23,Työkonekanta!$A$3:$A$24,0),1))))),0)</f>
        <v>35</v>
      </c>
      <c r="C23" s="140">
        <v>2019</v>
      </c>
      <c r="D23" s="141" t="str">
        <f>IFERROR(INDEX(Työkonekanta!$D$3:$D$27,MATCH('S1 Sähkö'!$A23,Työkonekanta!$A$3:$A$24,0),1),"undefined")</f>
        <v>sähkö</v>
      </c>
      <c r="E23" s="145">
        <f>IFERROR(INDEX(Työkonekanta!$G$3:$G$27,MATCH($A23,Työkonekanta!$A$3:$A$24,0),1)*INDEX(Työkonekanta!$H$3:$H$27,MATCH($A23,Työkonekanta!$A$3:$A$24,0),1)*(1+s1_kerroin*($C23-2019))*$B23,0)</f>
        <v>407199.07407407404</v>
      </c>
      <c r="F23" s="145">
        <f t="shared" si="0"/>
        <v>0</v>
      </c>
      <c r="G23" s="145">
        <f t="shared" si="11"/>
        <v>0</v>
      </c>
      <c r="H23" s="145">
        <f t="shared" si="12"/>
        <v>0</v>
      </c>
      <c r="I23" s="145">
        <f t="shared" si="1"/>
        <v>0</v>
      </c>
      <c r="J23" s="145">
        <f t="shared" si="2"/>
        <v>0</v>
      </c>
      <c r="K23" s="142" t="str">
        <f t="shared" si="13"/>
        <v>kWh</v>
      </c>
      <c r="L23" s="146">
        <f>IFERROR(INDEX(Työkonekanta!$I$3:$I$27,MATCH('S1 Sähkö'!$A23,Työkonekanta!$A$3:$A$24,0),1)*(I23+J23)*f_adblue,0)</f>
        <v>0</v>
      </c>
      <c r="M23" s="146">
        <f t="shared" si="3"/>
        <v>1465916.6666666665</v>
      </c>
      <c r="N23" s="143" t="str">
        <f>IF(tuulisähkö_vuosi&lt;='S1 Sähkö'!C23,"tuulisähkö",ostosähkö_nyt)</f>
        <v>jäännössähkö</v>
      </c>
      <c r="O23" s="147">
        <f>INDEX(Muuttujat!$J$5:$J$21,MATCH($C23,Muuttujat!$H$5:$H$21,0),1)</f>
        <v>69.24722222222222</v>
      </c>
      <c r="P23" s="342">
        <f>1-(INDEX(Muuttujat!$O$5:$O$21,MATCH($C23,Muuttujat!$N$5:$N$21,0),1))</f>
        <v>1</v>
      </c>
      <c r="Q23" s="342">
        <f>INDEX(Muuttujat!$O$5:$O$21,MATCH($C23,Muuttujat!$N$5:$N$21,0),1)</f>
        <v>0</v>
      </c>
      <c r="R23" s="148">
        <f>INDEX(Muuttujat!$P$5:$P$21,MATCH($C23,Muuttujat!$N$5:$N$21,0),1)</f>
        <v>0</v>
      </c>
      <c r="S23" s="149">
        <f t="shared" si="4"/>
        <v>0</v>
      </c>
      <c r="T23" s="150">
        <f t="shared" si="5"/>
        <v>0</v>
      </c>
      <c r="U23" s="150">
        <f t="shared" si="6"/>
        <v>101.51065717592591</v>
      </c>
      <c r="V23" s="150">
        <f>IFERROR(INDEX(Työkonekanta!$J$3:$J$27,MATCH($A23,Työkonekanta!$A$3:$A$24,0),1)*$B23*ef_li_ion_akku/1000/1000/INDEX(Työkonekanta!$K$3:$K$27,MATCH($A23,Työkonekanta!$A$3:$A$24,0)),0)</f>
        <v>43.121723076923082</v>
      </c>
      <c r="W23" s="149">
        <f t="shared" si="7"/>
        <v>0</v>
      </c>
      <c r="X23" s="150">
        <f t="shared" si="8"/>
        <v>0</v>
      </c>
      <c r="Y23" s="151">
        <f t="shared" si="9"/>
        <v>0</v>
      </c>
      <c r="Z23" s="152">
        <f t="shared" si="14"/>
        <v>144.632380252849</v>
      </c>
      <c r="AA23" s="153">
        <f t="shared" si="15"/>
        <v>0</v>
      </c>
      <c r="AB23" s="153">
        <f t="shared" si="16"/>
        <v>0</v>
      </c>
      <c r="AC23" s="154">
        <f t="shared" si="10"/>
        <v>144.632380252849</v>
      </c>
      <c r="AD23" s="156">
        <f t="shared" si="17"/>
        <v>144.632380252849</v>
      </c>
      <c r="AE23" s="182"/>
      <c r="AG23" s="2"/>
      <c r="AJ23" s="28"/>
      <c r="AK23" s="29"/>
    </row>
    <row r="24" spans="1:37">
      <c r="A24" s="139">
        <v>22</v>
      </c>
      <c r="B24" s="139" cm="1">
        <f t="array" ref="B24">IFERROR(IF(A24=s1_id_korvattava1,INDEX($AG$3:$AG$19,MATCH(C24,$AF$3:$AF$19,0),1),IF(A24=s1_id_korvaava1,INDEX($AH$3:$AH$19,MATCH(C24,$AF$3:$AF$19,0),1),IF(A24=s1_id_korvattava2,INDEX($AI$3:$AI$19,MATCH(C24,$AF$3:$AF$19,0),1),IF(A24=s1_id_korvaava2,INDEX($AJ$3:$AJ$19,MATCH(C24,$AF$3:$AF$19,0),1),INDEX(Työkonekanta!$F$3:$F$27,MATCH('S1 Sähkö'!$A24,Työkonekanta!$A$3:$A$24,0),1))))),0)</f>
        <v>0</v>
      </c>
      <c r="C24" s="140">
        <v>2019</v>
      </c>
      <c r="D24" s="141" t="str">
        <f>IFERROR(INDEX(Työkonekanta!$D$3:$D$27,MATCH('S1 Sähkö'!$A24,Työkonekanta!$A$3:$A$24,0),1),"undefined")</f>
        <v>sähkö</v>
      </c>
      <c r="E24" s="145">
        <f>IFERROR(INDEX(Työkonekanta!$G$3:$G$27,MATCH($A24,Työkonekanta!$A$3:$A$24,0),1)*INDEX(Työkonekanta!$H$3:$H$27,MATCH($A24,Työkonekanta!$A$3:$A$24,0),1)*(1+s1_kerroin*($C24-2019))*$B24,0)</f>
        <v>0</v>
      </c>
      <c r="F24" s="145">
        <f t="shared" si="0"/>
        <v>0</v>
      </c>
      <c r="G24" s="145">
        <f t="shared" si="11"/>
        <v>0</v>
      </c>
      <c r="H24" s="145">
        <f t="shared" si="12"/>
        <v>0</v>
      </c>
      <c r="I24" s="145">
        <f t="shared" si="1"/>
        <v>0</v>
      </c>
      <c r="J24" s="145">
        <f t="shared" si="2"/>
        <v>0</v>
      </c>
      <c r="K24" s="142" t="str">
        <f t="shared" si="13"/>
        <v>kWh</v>
      </c>
      <c r="L24" s="146">
        <f>IFERROR(INDEX(Työkonekanta!$I$3:$I$27,MATCH('S1 Sähkö'!$A24,Työkonekanta!$A$3:$A$24,0),1)*(I24+J24)*f_adblue,0)</f>
        <v>0</v>
      </c>
      <c r="M24" s="146">
        <f t="shared" si="3"/>
        <v>0</v>
      </c>
      <c r="N24" s="143" t="str">
        <f>IF(tuulisähkö_vuosi&lt;='S1 Sähkö'!C24,"tuulisähkö",ostosähkö_nyt)</f>
        <v>jäännössähkö</v>
      </c>
      <c r="O24" s="147">
        <f>INDEX(Muuttujat!$J$5:$J$21,MATCH($C24,Muuttujat!$H$5:$H$21,0),1)</f>
        <v>69.24722222222222</v>
      </c>
      <c r="P24" s="342">
        <f>1-(INDEX(Muuttujat!$O$5:$O$21,MATCH($C24,Muuttujat!$N$5:$N$21,0),1))</f>
        <v>1</v>
      </c>
      <c r="Q24" s="342">
        <f>INDEX(Muuttujat!$O$5:$O$21,MATCH($C24,Muuttujat!$N$5:$N$21,0),1)</f>
        <v>0</v>
      </c>
      <c r="R24" s="148">
        <f>INDEX(Muuttujat!$P$5:$P$21,MATCH($C24,Muuttujat!$N$5:$N$21,0),1)</f>
        <v>0</v>
      </c>
      <c r="S24" s="149">
        <f t="shared" si="4"/>
        <v>0</v>
      </c>
      <c r="T24" s="150">
        <f t="shared" si="5"/>
        <v>0</v>
      </c>
      <c r="U24" s="150">
        <f t="shared" si="6"/>
        <v>0</v>
      </c>
      <c r="V24" s="150">
        <f>IFERROR(INDEX(Työkonekanta!$J$3:$J$27,MATCH($A24,Työkonekanta!$A$3:$A$24,0),1)*$B24*ef_li_ion_akku/1000/1000/INDEX(Työkonekanta!$K$3:$K$27,MATCH($A24,Työkonekanta!$A$3:$A$24,0)),0)</f>
        <v>0</v>
      </c>
      <c r="W24" s="149">
        <f t="shared" si="7"/>
        <v>0</v>
      </c>
      <c r="X24" s="150">
        <f t="shared" si="8"/>
        <v>0</v>
      </c>
      <c r="Y24" s="151">
        <f t="shared" si="9"/>
        <v>0</v>
      </c>
      <c r="Z24" s="152">
        <f t="shared" si="14"/>
        <v>0</v>
      </c>
      <c r="AA24" s="153">
        <f t="shared" si="15"/>
        <v>0</v>
      </c>
      <c r="AB24" s="153">
        <f t="shared" si="16"/>
        <v>0</v>
      </c>
      <c r="AC24" s="154">
        <f t="shared" si="10"/>
        <v>0</v>
      </c>
      <c r="AD24" s="156">
        <f t="shared" si="17"/>
        <v>0</v>
      </c>
      <c r="AE24" s="182"/>
      <c r="AJ24" s="28"/>
      <c r="AK24" s="29"/>
    </row>
    <row r="25" spans="1:37">
      <c r="A25" s="139">
        <v>23</v>
      </c>
      <c r="B25" s="139" cm="1">
        <f t="array" ref="B25">IFERROR(IF(A25=s1_id_korvattava1,INDEX($AG$3:$AG$19,MATCH(C25,$AF$3:$AF$19,0),1),IF(A25=s1_id_korvaava1,INDEX($AH$3:$AH$19,MATCH(C25,$AF$3:$AF$19,0),1),IF(A25=s1_id_korvattava2,INDEX($AI$3:$AI$19,MATCH(C25,$AF$3:$AF$19,0),1),IF(A25=s1_id_korvaava2,INDEX($AJ$3:$AJ$19,MATCH(C25,$AF$3:$AF$19,0),1),INDEX(Työkonekanta!$F$3:$F$27,MATCH('S1 Sähkö'!$A25,Työkonekanta!$A$3:$A$24,0),1))))),0)</f>
        <v>0</v>
      </c>
      <c r="C25" s="140">
        <v>2019</v>
      </c>
      <c r="D25" s="141" t="str">
        <f>IFERROR(INDEX(Työkonekanta!$D$3:$D$27,MATCH('S1 Sähkö'!$A25,Työkonekanta!$A$3:$A$24,0),1),"undefined")</f>
        <v>undefined</v>
      </c>
      <c r="E25" s="145">
        <f>IFERROR(INDEX(Työkonekanta!$G$3:$G$27,MATCH($A25,Työkonekanta!$A$3:$A$24,0),1)*INDEX(Työkonekanta!$H$3:$H$27,MATCH($A25,Työkonekanta!$A$3:$A$24,0),1)*(1+s1_kerroin*($C25-2019))*$B25,0)</f>
        <v>0</v>
      </c>
      <c r="F25" s="145">
        <f t="shared" si="0"/>
        <v>0</v>
      </c>
      <c r="G25" s="145">
        <f t="shared" si="11"/>
        <v>0</v>
      </c>
      <c r="H25" s="145">
        <f t="shared" si="12"/>
        <v>0</v>
      </c>
      <c r="I25" s="145">
        <f t="shared" si="1"/>
        <v>0</v>
      </c>
      <c r="J25" s="145">
        <f t="shared" si="2"/>
        <v>0</v>
      </c>
      <c r="K25" s="142" t="str">
        <f t="shared" si="13"/>
        <v>undefined</v>
      </c>
      <c r="L25" s="146">
        <f>IFERROR(INDEX(Työkonekanta!$I$3:$I$27,MATCH('S1 Sähkö'!$A25,Työkonekanta!$A$3:$A$24,0),1)*(I25+J25)*f_adblue,0)</f>
        <v>0</v>
      </c>
      <c r="M25" s="146">
        <f t="shared" si="3"/>
        <v>0</v>
      </c>
      <c r="N25" s="143" t="str">
        <f>IF(tuulisähkö_vuosi&lt;='S1 Sähkö'!C25,"tuulisähkö",ostosähkö_nyt)</f>
        <v>jäännössähkö</v>
      </c>
      <c r="O25" s="147">
        <f>INDEX(Muuttujat!$J$5:$J$21,MATCH($C25,Muuttujat!$H$5:$H$21,0),1)</f>
        <v>69.24722222222222</v>
      </c>
      <c r="P25" s="342">
        <f>1-(INDEX(Muuttujat!$O$5:$O$21,MATCH($C25,Muuttujat!$N$5:$N$21,0),1))</f>
        <v>1</v>
      </c>
      <c r="Q25" s="342">
        <f>INDEX(Muuttujat!$O$5:$O$21,MATCH($C25,Muuttujat!$N$5:$N$21,0),1)</f>
        <v>0</v>
      </c>
      <c r="R25" s="148">
        <f>INDEX(Muuttujat!$P$5:$P$21,MATCH($C25,Muuttujat!$N$5:$N$21,0),1)</f>
        <v>0</v>
      </c>
      <c r="S25" s="149">
        <f t="shared" si="4"/>
        <v>0</v>
      </c>
      <c r="T25" s="150">
        <f t="shared" si="5"/>
        <v>0</v>
      </c>
      <c r="U25" s="150">
        <f t="shared" si="6"/>
        <v>0</v>
      </c>
      <c r="V25" s="150">
        <f>IFERROR(INDEX(Työkonekanta!$J$3:$J$27,MATCH($A25,Työkonekanta!$A$3:$A$24,0),1)*$B25*ef_li_ion_akku/1000/1000/INDEX(Työkonekanta!$K$3:$K$27,MATCH($A25,Työkonekanta!$A$3:$A$24,0)),0)</f>
        <v>0</v>
      </c>
      <c r="W25" s="149">
        <f t="shared" si="7"/>
        <v>0</v>
      </c>
      <c r="X25" s="150">
        <f t="shared" si="8"/>
        <v>0</v>
      </c>
      <c r="Y25" s="151">
        <f t="shared" si="9"/>
        <v>0</v>
      </c>
      <c r="Z25" s="152">
        <f t="shared" si="14"/>
        <v>0</v>
      </c>
      <c r="AA25" s="153">
        <f t="shared" si="15"/>
        <v>0</v>
      </c>
      <c r="AB25" s="153">
        <f t="shared" si="16"/>
        <v>0</v>
      </c>
      <c r="AC25" s="154">
        <f t="shared" si="10"/>
        <v>0</v>
      </c>
      <c r="AD25" s="156">
        <f t="shared" si="17"/>
        <v>0</v>
      </c>
      <c r="AE25" s="182"/>
      <c r="AJ25" s="28"/>
      <c r="AK25" s="29"/>
    </row>
    <row r="26" spans="1:37">
      <c r="A26" s="139">
        <v>24</v>
      </c>
      <c r="B26" s="139" cm="1">
        <f t="array" ref="B26">IFERROR(IF(A26=s1_id_korvattava1,INDEX($AG$3:$AG$19,MATCH(C26,$AF$3:$AF$19,0),1),IF(A26=s1_id_korvaava1,INDEX($AH$3:$AH$19,MATCH(C26,$AF$3:$AF$19,0),1),IF(A26=s1_id_korvattava2,INDEX($AI$3:$AI$19,MATCH(C26,$AF$3:$AF$19,0),1),IF(A26=s1_id_korvaava2,INDEX($AJ$3:$AJ$19,MATCH(C26,$AF$3:$AF$19,0),1),INDEX(Työkonekanta!$F$3:$F$27,MATCH('S1 Sähkö'!$A26,Työkonekanta!$A$3:$A$24,0),1))))),0)</f>
        <v>0</v>
      </c>
      <c r="C26" s="140">
        <v>2019</v>
      </c>
      <c r="D26" s="141" t="str">
        <f>IFERROR(INDEX(Työkonekanta!$D$3:$D$27,MATCH('S1 Sähkö'!$A26,Työkonekanta!$A$3:$A$24,0),1),"undefined")</f>
        <v>undefined</v>
      </c>
      <c r="E26" s="145">
        <f>IFERROR(INDEX(Työkonekanta!$G$3:$G$27,MATCH($A26,Työkonekanta!$A$3:$A$24,0),1)*INDEX(Työkonekanta!$H$3:$H$27,MATCH($A26,Työkonekanta!$A$3:$A$24,0),1)*(1+s1_kerroin*($C26-2019))*$B26,0)</f>
        <v>0</v>
      </c>
      <c r="F26" s="145">
        <f t="shared" si="0"/>
        <v>0</v>
      </c>
      <c r="G26" s="145">
        <f t="shared" si="11"/>
        <v>0</v>
      </c>
      <c r="H26" s="145">
        <f t="shared" si="12"/>
        <v>0</v>
      </c>
      <c r="I26" s="145">
        <f t="shared" si="1"/>
        <v>0</v>
      </c>
      <c r="J26" s="145">
        <f t="shared" si="2"/>
        <v>0</v>
      </c>
      <c r="K26" s="142" t="str">
        <f t="shared" si="13"/>
        <v>undefined</v>
      </c>
      <c r="L26" s="146">
        <f>IFERROR(INDEX(Työkonekanta!$I$3:$I$27,MATCH('S1 Sähkö'!$A26,Työkonekanta!$A$3:$A$24,0),1)*(I26+J26)*f_adblue,0)</f>
        <v>0</v>
      </c>
      <c r="M26" s="146">
        <f t="shared" si="3"/>
        <v>0</v>
      </c>
      <c r="N26" s="143" t="str">
        <f>IF(tuulisähkö_vuosi&lt;='S1 Sähkö'!C26,"tuulisähkö",ostosähkö_nyt)</f>
        <v>jäännössähkö</v>
      </c>
      <c r="O26" s="147">
        <f>INDEX(Muuttujat!$J$5:$J$21,MATCH($C26,Muuttujat!$H$5:$H$21,0),1)</f>
        <v>69.24722222222222</v>
      </c>
      <c r="P26" s="342">
        <f>1-(INDEX(Muuttujat!$O$5:$O$21,MATCH($C26,Muuttujat!$N$5:$N$21,0),1))</f>
        <v>1</v>
      </c>
      <c r="Q26" s="342">
        <f>INDEX(Muuttujat!$O$5:$O$21,MATCH($C26,Muuttujat!$N$5:$N$21,0),1)</f>
        <v>0</v>
      </c>
      <c r="R26" s="148">
        <f>INDEX(Muuttujat!$P$5:$P$21,MATCH($C26,Muuttujat!$N$5:$N$21,0),1)</f>
        <v>0</v>
      </c>
      <c r="S26" s="149">
        <f t="shared" si="4"/>
        <v>0</v>
      </c>
      <c r="T26" s="150">
        <f t="shared" si="5"/>
        <v>0</v>
      </c>
      <c r="U26" s="150">
        <f t="shared" si="6"/>
        <v>0</v>
      </c>
      <c r="V26" s="150">
        <f>IFERROR(INDEX(Työkonekanta!$J$3:$J$27,MATCH($A26,Työkonekanta!$A$3:$A$24,0),1)*$B26*ef_li_ion_akku/1000/1000/INDEX(Työkonekanta!$K$3:$K$27,MATCH($A26,Työkonekanta!$A$3:$A$24,0)),0)</f>
        <v>0</v>
      </c>
      <c r="W26" s="149">
        <f t="shared" si="7"/>
        <v>0</v>
      </c>
      <c r="X26" s="150">
        <f t="shared" si="8"/>
        <v>0</v>
      </c>
      <c r="Y26" s="151">
        <f t="shared" si="9"/>
        <v>0</v>
      </c>
      <c r="Z26" s="152">
        <f t="shared" si="14"/>
        <v>0</v>
      </c>
      <c r="AA26" s="153">
        <f t="shared" si="15"/>
        <v>0</v>
      </c>
      <c r="AB26" s="153">
        <f t="shared" si="16"/>
        <v>0</v>
      </c>
      <c r="AC26" s="154">
        <f t="shared" si="10"/>
        <v>0</v>
      </c>
      <c r="AD26" s="156">
        <f t="shared" si="17"/>
        <v>0</v>
      </c>
      <c r="AE26" s="182"/>
      <c r="AJ26" s="28"/>
      <c r="AK26" s="29"/>
    </row>
    <row r="27" spans="1:37">
      <c r="A27" s="139">
        <v>25</v>
      </c>
      <c r="B27" s="139" cm="1">
        <f t="array" ref="B27">IFERROR(IF(A27=s1_id_korvattava1,INDEX($AG$3:$AG$19,MATCH(C27,$AF$3:$AF$19,0),1),IF(A27=s1_id_korvaava1,INDEX($AH$3:$AH$19,MATCH(C27,$AF$3:$AF$19,0),1),IF(A27=s1_id_korvattava2,INDEX($AI$3:$AI$19,MATCH(C27,$AF$3:$AF$19,0),1),IF(A27=s1_id_korvaava2,INDEX($AJ$3:$AJ$19,MATCH(C27,$AF$3:$AF$19,0),1),INDEX(Työkonekanta!$F$3:$F$27,MATCH('S1 Sähkö'!$A27,Työkonekanta!$A$3:$A$24,0),1))))),0)</f>
        <v>0</v>
      </c>
      <c r="C27" s="140">
        <v>2019</v>
      </c>
      <c r="D27" s="141" t="str">
        <f>IFERROR(INDEX(Työkonekanta!$D$3:$D$27,MATCH('S1 Sähkö'!$A27,Työkonekanta!$A$3:$A$24,0),1),"undefined")</f>
        <v>undefined</v>
      </c>
      <c r="E27" s="145">
        <f>IFERROR(INDEX(Työkonekanta!$G$3:$G$27,MATCH($A27,Työkonekanta!$A$3:$A$24,0),1)*INDEX(Työkonekanta!$H$3:$H$27,MATCH($A27,Työkonekanta!$A$3:$A$24,0),1)*(1+s1_kerroin*($C27-2019))*$B27,0)</f>
        <v>0</v>
      </c>
      <c r="F27" s="145">
        <f t="shared" si="0"/>
        <v>0</v>
      </c>
      <c r="G27" s="145">
        <f t="shared" si="11"/>
        <v>0</v>
      </c>
      <c r="H27" s="145">
        <f t="shared" si="12"/>
        <v>0</v>
      </c>
      <c r="I27" s="145">
        <f t="shared" si="1"/>
        <v>0</v>
      </c>
      <c r="J27" s="145">
        <f t="shared" si="2"/>
        <v>0</v>
      </c>
      <c r="K27" s="142" t="str">
        <f t="shared" si="13"/>
        <v>undefined</v>
      </c>
      <c r="L27" s="146">
        <f>IFERROR(INDEX(Työkonekanta!$I$3:$I$27,MATCH('S1 Sähkö'!$A27,Työkonekanta!$A$3:$A$24,0),1)*(I27+J27)*f_adblue,0)</f>
        <v>0</v>
      </c>
      <c r="M27" s="146">
        <f t="shared" si="3"/>
        <v>0</v>
      </c>
      <c r="N27" s="143" t="str">
        <f>IF(tuulisähkö_vuosi&lt;='S1 Sähkö'!C27,"tuulisähkö",ostosähkö_nyt)</f>
        <v>jäännössähkö</v>
      </c>
      <c r="O27" s="147">
        <f>INDEX(Muuttujat!$J$5:$J$21,MATCH($C27,Muuttujat!$H$5:$H$21,0),1)</f>
        <v>69.24722222222222</v>
      </c>
      <c r="P27" s="342">
        <f>1-(INDEX(Muuttujat!$O$5:$O$21,MATCH($C27,Muuttujat!$N$5:$N$21,0),1))</f>
        <v>1</v>
      </c>
      <c r="Q27" s="342">
        <f>INDEX(Muuttujat!$O$5:$O$21,MATCH($C27,Muuttujat!$N$5:$N$21,0),1)</f>
        <v>0</v>
      </c>
      <c r="R27" s="148">
        <f>INDEX(Muuttujat!$P$5:$P$21,MATCH($C27,Muuttujat!$N$5:$N$21,0),1)</f>
        <v>0</v>
      </c>
      <c r="S27" s="149">
        <f t="shared" si="4"/>
        <v>0</v>
      </c>
      <c r="T27" s="150">
        <f t="shared" si="5"/>
        <v>0</v>
      </c>
      <c r="U27" s="150">
        <f t="shared" si="6"/>
        <v>0</v>
      </c>
      <c r="V27" s="150">
        <f>IFERROR(INDEX(Työkonekanta!$J$3:$J$27,MATCH($A27,Työkonekanta!$A$3:$A$24,0),1)*$B27*ef_li_ion_akku/1000/1000/INDEX(Työkonekanta!$K$3:$K$27,MATCH($A27,Työkonekanta!$A$3:$A$24,0)),0)</f>
        <v>0</v>
      </c>
      <c r="W27" s="149">
        <f t="shared" si="7"/>
        <v>0</v>
      </c>
      <c r="X27" s="150">
        <f t="shared" si="8"/>
        <v>0</v>
      </c>
      <c r="Y27" s="151">
        <f t="shared" si="9"/>
        <v>0</v>
      </c>
      <c r="Z27" s="152">
        <f t="shared" si="14"/>
        <v>0</v>
      </c>
      <c r="AA27" s="153">
        <f t="shared" si="15"/>
        <v>0</v>
      </c>
      <c r="AB27" s="153">
        <f t="shared" si="16"/>
        <v>0</v>
      </c>
      <c r="AC27" s="154">
        <f t="shared" si="10"/>
        <v>0</v>
      </c>
      <c r="AD27" s="156">
        <f t="shared" si="17"/>
        <v>0</v>
      </c>
      <c r="AE27" s="182"/>
      <c r="AJ27" s="28"/>
      <c r="AK27" s="29"/>
    </row>
    <row r="28" spans="1:37">
      <c r="A28" s="139">
        <v>26</v>
      </c>
      <c r="B28" s="139" cm="1">
        <f t="array" ref="B28">IFERROR(IF(A28=s1_id_korvattava1,INDEX($AG$3:$AG$19,MATCH(C28,$AF$3:$AF$19,0),1),IF(A28=s1_id_korvaava1,INDEX($AH$3:$AH$19,MATCH(C28,$AF$3:$AF$19,0),1),IF(A28=s1_id_korvattava2,INDEX($AI$3:$AI$19,MATCH(C28,$AF$3:$AF$19,0),1),IF(A28=s1_id_korvaava2,INDEX($AJ$3:$AJ$19,MATCH(C28,$AF$3:$AF$19,0),1),INDEX(Työkonekanta!$F$3:$F$27,MATCH('S1 Sähkö'!$A28,Työkonekanta!$A$3:$A$24,0),1))))),0)</f>
        <v>0</v>
      </c>
      <c r="C28" s="140">
        <v>2019</v>
      </c>
      <c r="D28" s="141" t="str">
        <f>IFERROR(INDEX(Työkonekanta!$D$3:$D$27,MATCH('S1 Sähkö'!$A28,Työkonekanta!$A$3:$A$24,0),1),"undefined")</f>
        <v>undefined</v>
      </c>
      <c r="E28" s="145">
        <f>IFERROR(INDEX(Työkonekanta!$G$3:$G$27,MATCH($A28,Työkonekanta!$A$3:$A$24,0),1)*INDEX(Työkonekanta!$H$3:$H$27,MATCH($A28,Työkonekanta!$A$3:$A$24,0),1)*(1+s1_kerroin*($C28-2019))*$B28,0)</f>
        <v>0</v>
      </c>
      <c r="F28" s="145">
        <f t="shared" si="0"/>
        <v>0</v>
      </c>
      <c r="G28" s="145">
        <f t="shared" si="11"/>
        <v>0</v>
      </c>
      <c r="H28" s="145">
        <f t="shared" si="12"/>
        <v>0</v>
      </c>
      <c r="I28" s="145">
        <f t="shared" si="1"/>
        <v>0</v>
      </c>
      <c r="J28" s="145">
        <f t="shared" si="2"/>
        <v>0</v>
      </c>
      <c r="K28" s="142" t="str">
        <f t="shared" si="13"/>
        <v>undefined</v>
      </c>
      <c r="L28" s="146">
        <f>IFERROR(INDEX(Työkonekanta!$I$3:$I$27,MATCH('S1 Sähkö'!$A28,Työkonekanta!$A$3:$A$24,0),1)*(I28+J28)*f_adblue,0)</f>
        <v>0</v>
      </c>
      <c r="M28" s="146">
        <f t="shared" si="3"/>
        <v>0</v>
      </c>
      <c r="N28" s="143" t="str">
        <f>IF(tuulisähkö_vuosi&lt;='S1 Sähkö'!C28,"tuulisähkö",ostosähkö_nyt)</f>
        <v>jäännössähkö</v>
      </c>
      <c r="O28" s="147">
        <f>INDEX(Muuttujat!$J$5:$J$21,MATCH($C28,Muuttujat!$H$5:$H$21,0),1)</f>
        <v>69.24722222222222</v>
      </c>
      <c r="P28" s="342">
        <f>1-(INDEX(Muuttujat!$O$5:$O$21,MATCH($C28,Muuttujat!$N$5:$N$21,0),1))</f>
        <v>1</v>
      </c>
      <c r="Q28" s="342">
        <f>INDEX(Muuttujat!$O$5:$O$21,MATCH($C28,Muuttujat!$N$5:$N$21,0),1)</f>
        <v>0</v>
      </c>
      <c r="R28" s="148">
        <f>INDEX(Muuttujat!$P$5:$P$21,MATCH($C28,Muuttujat!$N$5:$N$21,0),1)</f>
        <v>0</v>
      </c>
      <c r="S28" s="149">
        <f t="shared" si="4"/>
        <v>0</v>
      </c>
      <c r="T28" s="150">
        <f t="shared" si="5"/>
        <v>0</v>
      </c>
      <c r="U28" s="150">
        <f t="shared" si="6"/>
        <v>0</v>
      </c>
      <c r="V28" s="150">
        <f>IFERROR(INDEX(Työkonekanta!$J$3:$J$27,MATCH($A28,Työkonekanta!$A$3:$A$24,0),1)*$B28*ef_li_ion_akku/1000/1000/INDEX(Työkonekanta!$K$3:$K$27,MATCH($A28,Työkonekanta!$A$3:$A$24,0)),0)</f>
        <v>0</v>
      </c>
      <c r="W28" s="149">
        <f t="shared" si="7"/>
        <v>0</v>
      </c>
      <c r="X28" s="150">
        <f t="shared" si="8"/>
        <v>0</v>
      </c>
      <c r="Y28" s="151">
        <f t="shared" si="9"/>
        <v>0</v>
      </c>
      <c r="Z28" s="152">
        <f t="shared" si="14"/>
        <v>0</v>
      </c>
      <c r="AA28" s="153">
        <f t="shared" si="15"/>
        <v>0</v>
      </c>
      <c r="AB28" s="153">
        <f t="shared" si="16"/>
        <v>0</v>
      </c>
      <c r="AC28" s="154">
        <f t="shared" si="10"/>
        <v>0</v>
      </c>
      <c r="AD28" s="156">
        <f t="shared" si="17"/>
        <v>0</v>
      </c>
      <c r="AE28" s="182"/>
      <c r="AJ28" s="28"/>
      <c r="AK28" s="29"/>
    </row>
    <row r="29" spans="1:37">
      <c r="A29" s="139">
        <v>27</v>
      </c>
      <c r="B29" s="139" cm="1">
        <f t="array" ref="B29">IFERROR(IF(A29=s1_id_korvattava1,INDEX($AG$3:$AG$19,MATCH(C29,$AF$3:$AF$19,0),1),IF(A29=s1_id_korvaava1,INDEX($AH$3:$AH$19,MATCH(C29,$AF$3:$AF$19,0),1),IF(A29=s1_id_korvattava2,INDEX($AI$3:$AI$19,MATCH(C29,$AF$3:$AF$19,0),1),IF(A29=s1_id_korvaava2,INDEX($AJ$3:$AJ$19,MATCH(C29,$AF$3:$AF$19,0),1),INDEX(Työkonekanta!$F$3:$F$27,MATCH('S1 Sähkö'!$A29,Työkonekanta!$A$3:$A$24,0),1))))),0)</f>
        <v>0</v>
      </c>
      <c r="C29" s="140">
        <v>2019</v>
      </c>
      <c r="D29" s="141" t="str">
        <f>IFERROR(INDEX(Työkonekanta!$D$3:$D$27,MATCH('S1 Sähkö'!$A29,Työkonekanta!$A$3:$A$24,0),1),"undefined")</f>
        <v>undefined</v>
      </c>
      <c r="E29" s="145">
        <f>IFERROR(INDEX(Työkonekanta!$G$3:$G$27,MATCH($A29,Työkonekanta!$A$3:$A$24,0),1)*INDEX(Työkonekanta!$H$3:$H$27,MATCH($A29,Työkonekanta!$A$3:$A$24,0),1)*(1+s1_kerroin*($C29-2019))*$B29,0)</f>
        <v>0</v>
      </c>
      <c r="F29" s="145">
        <f t="shared" si="0"/>
        <v>0</v>
      </c>
      <c r="G29" s="145">
        <f t="shared" si="11"/>
        <v>0</v>
      </c>
      <c r="H29" s="145">
        <f t="shared" si="12"/>
        <v>0</v>
      </c>
      <c r="I29" s="145">
        <f t="shared" si="1"/>
        <v>0</v>
      </c>
      <c r="J29" s="145">
        <f t="shared" si="2"/>
        <v>0</v>
      </c>
      <c r="K29" s="142" t="str">
        <f t="shared" si="13"/>
        <v>undefined</v>
      </c>
      <c r="L29" s="146">
        <f>IFERROR(INDEX(Työkonekanta!$I$3:$I$27,MATCH('S1 Sähkö'!$A29,Työkonekanta!$A$3:$A$24,0),1)*(I29+J29)*f_adblue,0)</f>
        <v>0</v>
      </c>
      <c r="M29" s="146">
        <f t="shared" si="3"/>
        <v>0</v>
      </c>
      <c r="N29" s="143" t="str">
        <f>IF(tuulisähkö_vuosi&lt;='S1 Sähkö'!C29,"tuulisähkö",ostosähkö_nyt)</f>
        <v>jäännössähkö</v>
      </c>
      <c r="O29" s="147">
        <f>INDEX(Muuttujat!$J$5:$J$21,MATCH($C29,Muuttujat!$H$5:$H$21,0),1)</f>
        <v>69.24722222222222</v>
      </c>
      <c r="P29" s="342">
        <f>1-(INDEX(Muuttujat!$O$5:$O$21,MATCH($C29,Muuttujat!$N$5:$N$21,0),1))</f>
        <v>1</v>
      </c>
      <c r="Q29" s="342">
        <f>INDEX(Muuttujat!$O$5:$O$21,MATCH($C29,Muuttujat!$N$5:$N$21,0),1)</f>
        <v>0</v>
      </c>
      <c r="R29" s="148">
        <f>INDEX(Muuttujat!$P$5:$P$21,MATCH($C29,Muuttujat!$N$5:$N$21,0),1)</f>
        <v>0</v>
      </c>
      <c r="S29" s="149">
        <f t="shared" si="4"/>
        <v>0</v>
      </c>
      <c r="T29" s="150">
        <f t="shared" si="5"/>
        <v>0</v>
      </c>
      <c r="U29" s="150">
        <f t="shared" si="6"/>
        <v>0</v>
      </c>
      <c r="V29" s="150">
        <f>IFERROR(INDEX(Työkonekanta!$J$3:$J$27,MATCH($A29,Työkonekanta!$A$3:$A$24,0),1)*$B29*ef_li_ion_akku/1000/1000/INDEX(Työkonekanta!$K$3:$K$27,MATCH($A29,Työkonekanta!$A$3:$A$24,0)),0)</f>
        <v>0</v>
      </c>
      <c r="W29" s="149">
        <f t="shared" si="7"/>
        <v>0</v>
      </c>
      <c r="X29" s="150">
        <f t="shared" si="8"/>
        <v>0</v>
      </c>
      <c r="Y29" s="151">
        <f t="shared" si="9"/>
        <v>0</v>
      </c>
      <c r="Z29" s="152">
        <f t="shared" si="14"/>
        <v>0</v>
      </c>
      <c r="AA29" s="153">
        <f t="shared" si="15"/>
        <v>0</v>
      </c>
      <c r="AB29" s="153">
        <f t="shared" si="16"/>
        <v>0</v>
      </c>
      <c r="AC29" s="154">
        <f t="shared" si="10"/>
        <v>0</v>
      </c>
      <c r="AD29" s="156">
        <f t="shared" si="17"/>
        <v>0</v>
      </c>
      <c r="AE29" s="182"/>
      <c r="AJ29" s="28"/>
      <c r="AK29" s="29"/>
    </row>
    <row r="30" spans="1:37">
      <c r="A30" s="139">
        <v>28</v>
      </c>
      <c r="B30" s="139" cm="1">
        <f t="array" ref="B30">IFERROR(IF(A30=s1_id_korvattava1,INDEX($AG$3:$AG$19,MATCH(C30,$AF$3:$AF$19,0),1),IF(A30=s1_id_korvaava1,INDEX($AH$3:$AH$19,MATCH(C30,$AF$3:$AF$19,0),1),IF(A30=s1_id_korvattava2,INDEX($AI$3:$AI$19,MATCH(C30,$AF$3:$AF$19,0),1),IF(A30=s1_id_korvaava2,INDEX($AJ$3:$AJ$19,MATCH(C30,$AF$3:$AF$19,0),1),INDEX(Työkonekanta!$F$3:$F$27,MATCH('S1 Sähkö'!$A30,Työkonekanta!$A$3:$A$24,0),1))))),0)</f>
        <v>0</v>
      </c>
      <c r="C30" s="140">
        <v>2019</v>
      </c>
      <c r="D30" s="141" t="str">
        <f>IFERROR(INDEX(Työkonekanta!$D$3:$D$27,MATCH('S1 Sähkö'!$A30,Työkonekanta!$A$3:$A$24,0),1),"undefined")</f>
        <v>undefined</v>
      </c>
      <c r="E30" s="145">
        <f>IFERROR(INDEX(Työkonekanta!$G$3:$G$27,MATCH($A30,Työkonekanta!$A$3:$A$24,0),1)*INDEX(Työkonekanta!$H$3:$H$27,MATCH($A30,Työkonekanta!$A$3:$A$24,0),1)*(1+s1_kerroin*($C30-2019))*$B30,0)</f>
        <v>0</v>
      </c>
      <c r="F30" s="145">
        <f t="shared" si="0"/>
        <v>0</v>
      </c>
      <c r="G30" s="145">
        <f t="shared" si="11"/>
        <v>0</v>
      </c>
      <c r="H30" s="145">
        <f t="shared" si="12"/>
        <v>0</v>
      </c>
      <c r="I30" s="145">
        <f t="shared" si="1"/>
        <v>0</v>
      </c>
      <c r="J30" s="145">
        <f t="shared" si="2"/>
        <v>0</v>
      </c>
      <c r="K30" s="142" t="str">
        <f t="shared" si="13"/>
        <v>undefined</v>
      </c>
      <c r="L30" s="146">
        <f>IFERROR(INDEX(Työkonekanta!$I$3:$I$27,MATCH('S1 Sähkö'!$A30,Työkonekanta!$A$3:$A$24,0),1)*(I30+J30)*f_adblue,0)</f>
        <v>0</v>
      </c>
      <c r="M30" s="146">
        <f t="shared" si="3"/>
        <v>0</v>
      </c>
      <c r="N30" s="143" t="str">
        <f>IF(tuulisähkö_vuosi&lt;='S1 Sähkö'!C30,"tuulisähkö",ostosähkö_nyt)</f>
        <v>jäännössähkö</v>
      </c>
      <c r="O30" s="147">
        <f>INDEX(Muuttujat!$J$5:$J$21,MATCH($C30,Muuttujat!$H$5:$H$21,0),1)</f>
        <v>69.24722222222222</v>
      </c>
      <c r="P30" s="342">
        <f>1-(INDEX(Muuttujat!$O$5:$O$21,MATCH($C30,Muuttujat!$N$5:$N$21,0),1))</f>
        <v>1</v>
      </c>
      <c r="Q30" s="342">
        <f>INDEX(Muuttujat!$O$5:$O$21,MATCH($C30,Muuttujat!$N$5:$N$21,0),1)</f>
        <v>0</v>
      </c>
      <c r="R30" s="148">
        <f>INDEX(Muuttujat!$P$5:$P$21,MATCH($C30,Muuttujat!$N$5:$N$21,0),1)</f>
        <v>0</v>
      </c>
      <c r="S30" s="149">
        <f t="shared" si="4"/>
        <v>0</v>
      </c>
      <c r="T30" s="150">
        <f t="shared" si="5"/>
        <v>0</v>
      </c>
      <c r="U30" s="150">
        <f t="shared" si="6"/>
        <v>0</v>
      </c>
      <c r="V30" s="150">
        <f>IFERROR(INDEX(Työkonekanta!$J$3:$J$27,MATCH($A30,Työkonekanta!$A$3:$A$24,0),1)*$B30*ef_li_ion_akku/1000/1000/INDEX(Työkonekanta!$K$3:$K$27,MATCH($A30,Työkonekanta!$A$3:$A$24,0)),0)</f>
        <v>0</v>
      </c>
      <c r="W30" s="149">
        <f t="shared" si="7"/>
        <v>0</v>
      </c>
      <c r="X30" s="150">
        <f t="shared" si="8"/>
        <v>0</v>
      </c>
      <c r="Y30" s="151">
        <f t="shared" si="9"/>
        <v>0</v>
      </c>
      <c r="Z30" s="152">
        <f t="shared" si="14"/>
        <v>0</v>
      </c>
      <c r="AA30" s="153">
        <f t="shared" si="15"/>
        <v>0</v>
      </c>
      <c r="AB30" s="153">
        <f t="shared" si="16"/>
        <v>0</v>
      </c>
      <c r="AC30" s="154">
        <f t="shared" si="10"/>
        <v>0</v>
      </c>
      <c r="AD30" s="156">
        <f t="shared" si="17"/>
        <v>0</v>
      </c>
      <c r="AE30" s="182"/>
      <c r="AJ30" s="28"/>
      <c r="AK30" s="29"/>
    </row>
    <row r="31" spans="1:37">
      <c r="A31" s="139">
        <v>29</v>
      </c>
      <c r="B31" s="139" cm="1">
        <f t="array" ref="B31">IFERROR(IF(A31=s1_id_korvattava1,INDEX($AG$3:$AG$19,MATCH(C31,$AF$3:$AF$19,0),1),IF(A31=s1_id_korvaava1,INDEX($AH$3:$AH$19,MATCH(C31,$AF$3:$AF$19,0),1),IF(A31=s1_id_korvattava2,INDEX($AI$3:$AI$19,MATCH(C31,$AF$3:$AF$19,0),1),IF(A31=s1_id_korvaava2,INDEX($AJ$3:$AJ$19,MATCH(C31,$AF$3:$AF$19,0),1),INDEX(Työkonekanta!$F$3:$F$27,MATCH('S1 Sähkö'!$A31,Työkonekanta!$A$3:$A$24,0),1))))),0)</f>
        <v>0</v>
      </c>
      <c r="C31" s="140">
        <v>2019</v>
      </c>
      <c r="D31" s="141" t="str">
        <f>IFERROR(INDEX(Työkonekanta!$D$3:$D$27,MATCH('S1 Sähkö'!$A31,Työkonekanta!$A$3:$A$24,0),1),"undefined")</f>
        <v>undefined</v>
      </c>
      <c r="E31" s="145">
        <f>IFERROR(INDEX(Työkonekanta!$G$3:$G$27,MATCH($A31,Työkonekanta!$A$3:$A$24,0),1)*INDEX(Työkonekanta!$H$3:$H$27,MATCH($A31,Työkonekanta!$A$3:$A$24,0),1)*(1+s1_kerroin*($C31-2019))*$B31,0)</f>
        <v>0</v>
      </c>
      <c r="F31" s="145">
        <f t="shared" si="0"/>
        <v>0</v>
      </c>
      <c r="G31" s="145">
        <f t="shared" si="11"/>
        <v>0</v>
      </c>
      <c r="H31" s="145">
        <f t="shared" si="12"/>
        <v>0</v>
      </c>
      <c r="I31" s="145">
        <f t="shared" si="1"/>
        <v>0</v>
      </c>
      <c r="J31" s="145">
        <f t="shared" si="2"/>
        <v>0</v>
      </c>
      <c r="K31" s="142" t="str">
        <f t="shared" si="13"/>
        <v>undefined</v>
      </c>
      <c r="L31" s="146">
        <f>IFERROR(INDEX(Työkonekanta!$I$3:$I$27,MATCH('S1 Sähkö'!$A31,Työkonekanta!$A$3:$A$24,0),1)*(I31+J31)*f_adblue,0)</f>
        <v>0</v>
      </c>
      <c r="M31" s="146">
        <f t="shared" si="3"/>
        <v>0</v>
      </c>
      <c r="N31" s="143" t="str">
        <f>IF(tuulisähkö_vuosi&lt;='S1 Sähkö'!C31,"tuulisähkö",ostosähkö_nyt)</f>
        <v>jäännössähkö</v>
      </c>
      <c r="O31" s="147">
        <f>INDEX(Muuttujat!$J$5:$J$21,MATCH($C31,Muuttujat!$H$5:$H$21,0),1)</f>
        <v>69.24722222222222</v>
      </c>
      <c r="P31" s="342">
        <f>1-(INDEX(Muuttujat!$O$5:$O$21,MATCH($C31,Muuttujat!$N$5:$N$21,0),1))</f>
        <v>1</v>
      </c>
      <c r="Q31" s="342">
        <f>INDEX(Muuttujat!$O$5:$O$21,MATCH($C31,Muuttujat!$N$5:$N$21,0),1)</f>
        <v>0</v>
      </c>
      <c r="R31" s="148">
        <f>INDEX(Muuttujat!$P$5:$P$21,MATCH($C31,Muuttujat!$N$5:$N$21,0),1)</f>
        <v>0</v>
      </c>
      <c r="S31" s="149">
        <f t="shared" si="4"/>
        <v>0</v>
      </c>
      <c r="T31" s="150">
        <f t="shared" si="5"/>
        <v>0</v>
      </c>
      <c r="U31" s="150">
        <f t="shared" si="6"/>
        <v>0</v>
      </c>
      <c r="V31" s="150">
        <f>IFERROR(INDEX(Työkonekanta!$J$3:$J$27,MATCH($A31,Työkonekanta!$A$3:$A$24,0),1)*$B31*ef_li_ion_akku/1000/1000/INDEX(Työkonekanta!$K$3:$K$27,MATCH($A31,Työkonekanta!$A$3:$A$24,0)),0)</f>
        <v>0</v>
      </c>
      <c r="W31" s="149">
        <f t="shared" si="7"/>
        <v>0</v>
      </c>
      <c r="X31" s="150">
        <f t="shared" si="8"/>
        <v>0</v>
      </c>
      <c r="Y31" s="151">
        <f t="shared" si="9"/>
        <v>0</v>
      </c>
      <c r="Z31" s="152">
        <f t="shared" si="14"/>
        <v>0</v>
      </c>
      <c r="AA31" s="153">
        <f t="shared" si="15"/>
        <v>0</v>
      </c>
      <c r="AB31" s="153">
        <f t="shared" si="16"/>
        <v>0</v>
      </c>
      <c r="AC31" s="154">
        <f t="shared" si="10"/>
        <v>0</v>
      </c>
      <c r="AD31" s="156">
        <f t="shared" si="17"/>
        <v>0</v>
      </c>
      <c r="AE31" s="182"/>
      <c r="AJ31" s="28"/>
      <c r="AK31" s="29"/>
    </row>
    <row r="32" spans="1:37">
      <c r="A32" s="139">
        <v>30</v>
      </c>
      <c r="B32" s="139" cm="1">
        <f t="array" ref="B32">IFERROR(IF(A32=s1_id_korvattava1,INDEX($AG$3:$AG$19,MATCH(C32,$AF$3:$AF$19,0),1),IF(A32=s1_id_korvaava1,INDEX($AH$3:$AH$19,MATCH(C32,$AF$3:$AF$19,0),1),IF(A32=s1_id_korvattava2,INDEX($AI$3:$AI$19,MATCH(C32,$AF$3:$AF$19,0),1),IF(A32=s1_id_korvaava2,INDEX($AJ$3:$AJ$19,MATCH(C32,$AF$3:$AF$19,0),1),INDEX(Työkonekanta!$F$3:$F$27,MATCH('S1 Sähkö'!$A32,Työkonekanta!$A$3:$A$24,0),1))))),0)</f>
        <v>0</v>
      </c>
      <c r="C32" s="140">
        <v>2019</v>
      </c>
      <c r="D32" s="141" t="str">
        <f>IFERROR(INDEX(Työkonekanta!$D$3:$D$27,MATCH('S1 Sähkö'!$A32,Työkonekanta!$A$3:$A$24,0),1),"undefined")</f>
        <v>undefined</v>
      </c>
      <c r="E32" s="145">
        <f>IFERROR(INDEX(Työkonekanta!$G$3:$G$27,MATCH($A32,Työkonekanta!$A$3:$A$24,0),1)*INDEX(Työkonekanta!$H$3:$H$27,MATCH($A32,Työkonekanta!$A$3:$A$24,0),1)*(1+s1_kerroin*($C32-2019))*$B32,0)</f>
        <v>0</v>
      </c>
      <c r="F32" s="145">
        <f t="shared" si="0"/>
        <v>0</v>
      </c>
      <c r="G32" s="145">
        <f t="shared" si="11"/>
        <v>0</v>
      </c>
      <c r="H32" s="145">
        <f t="shared" si="12"/>
        <v>0</v>
      </c>
      <c r="I32" s="145">
        <f t="shared" si="1"/>
        <v>0</v>
      </c>
      <c r="J32" s="145">
        <f t="shared" si="2"/>
        <v>0</v>
      </c>
      <c r="K32" s="142" t="str">
        <f t="shared" si="13"/>
        <v>undefined</v>
      </c>
      <c r="L32" s="146">
        <f>IFERROR(INDEX(Työkonekanta!$I$3:$I$27,MATCH('S1 Sähkö'!$A32,Työkonekanta!$A$3:$A$24,0),1)*(I32+J32)*f_adblue,0)</f>
        <v>0</v>
      </c>
      <c r="M32" s="146">
        <f t="shared" si="3"/>
        <v>0</v>
      </c>
      <c r="N32" s="143" t="str">
        <f>IF(tuulisähkö_vuosi&lt;='S1 Sähkö'!C32,"tuulisähkö",ostosähkö_nyt)</f>
        <v>jäännössähkö</v>
      </c>
      <c r="O32" s="147">
        <f>INDEX(Muuttujat!$J$5:$J$21,MATCH($C32,Muuttujat!$H$5:$H$21,0),1)</f>
        <v>69.24722222222222</v>
      </c>
      <c r="P32" s="342">
        <f>1-(INDEX(Muuttujat!$O$5:$O$21,MATCH($C32,Muuttujat!$N$5:$N$21,0),1))</f>
        <v>1</v>
      </c>
      <c r="Q32" s="342">
        <f>INDEX(Muuttujat!$O$5:$O$21,MATCH($C32,Muuttujat!$N$5:$N$21,0),1)</f>
        <v>0</v>
      </c>
      <c r="R32" s="148">
        <f>INDEX(Muuttujat!$P$5:$P$21,MATCH($C32,Muuttujat!$N$5:$N$21,0),1)</f>
        <v>0</v>
      </c>
      <c r="S32" s="149">
        <f t="shared" si="4"/>
        <v>0</v>
      </c>
      <c r="T32" s="150">
        <f t="shared" si="5"/>
        <v>0</v>
      </c>
      <c r="U32" s="150">
        <f t="shared" si="6"/>
        <v>0</v>
      </c>
      <c r="V32" s="150">
        <f>IFERROR(INDEX(Työkonekanta!$J$3:$J$27,MATCH($A32,Työkonekanta!$A$3:$A$24,0),1)*$B32*ef_li_ion_akku/1000/1000/INDEX(Työkonekanta!$K$3:$K$27,MATCH($A32,Työkonekanta!$A$3:$A$24,0)),0)</f>
        <v>0</v>
      </c>
      <c r="W32" s="149">
        <f t="shared" si="7"/>
        <v>0</v>
      </c>
      <c r="X32" s="150">
        <f t="shared" si="8"/>
        <v>0</v>
      </c>
      <c r="Y32" s="151">
        <f t="shared" si="9"/>
        <v>0</v>
      </c>
      <c r="Z32" s="152">
        <f t="shared" si="14"/>
        <v>0</v>
      </c>
      <c r="AA32" s="153">
        <f t="shared" si="15"/>
        <v>0</v>
      </c>
      <c r="AB32" s="153">
        <f t="shared" si="16"/>
        <v>0</v>
      </c>
      <c r="AC32" s="154">
        <f t="shared" si="10"/>
        <v>0</v>
      </c>
      <c r="AD32" s="156">
        <f t="shared" si="17"/>
        <v>0</v>
      </c>
      <c r="AE32" s="182"/>
      <c r="AJ32" s="28"/>
      <c r="AK32" s="29"/>
    </row>
    <row r="33" spans="1:33">
      <c r="A33" s="139">
        <v>1</v>
      </c>
      <c r="B33" s="139" cm="1">
        <f t="array" ref="B33">IFERROR(IF(A33=s1_id_korvattava1,INDEX($AG$3:$AG$19,MATCH(C33,$AF$3:$AF$19,0),1),IF(A33=s1_id_korvaava1,INDEX($AH$3:$AH$19,MATCH(C33,$AF$3:$AF$19,0),1),IF(A33=s1_id_korvattava2,INDEX($AI$3:$AI$19,MATCH(C33,$AF$3:$AF$19,0),1),IF(A33=s1_id_korvaava2,INDEX($AJ$3:$AJ$19,MATCH(C33,$AF$3:$AF$19,0),1),INDEX(Työkonekanta!$F$3:$F$27,MATCH('S1 Sähkö'!$A33,Työkonekanta!$A$3:$A$24,0),1))))),0)</f>
        <v>1</v>
      </c>
      <c r="C33" s="140">
        <v>2020</v>
      </c>
      <c r="D33" s="141" t="str">
        <f>IFERROR(INDEX(Työkonekanta!$D$3:$D$27,MATCH('S1 Sähkö'!$A33,Työkonekanta!$A$3:$A$24,0),1),"undefined")</f>
        <v>pom</v>
      </c>
      <c r="E33" s="145">
        <f>IFERROR(INDEX(Työkonekanta!$G$3:$G$27,MATCH($A33,Työkonekanta!$A$3:$A$24,0),1)*INDEX(Työkonekanta!$H$3:$H$27,MATCH($A33,Työkonekanta!$A$3:$A$24,0),1)*(1+s1_kerroin*($C33-2019))*$B33,0)</f>
        <v>10100</v>
      </c>
      <c r="F33" s="145">
        <f t="shared" si="0"/>
        <v>362590</v>
      </c>
      <c r="G33" s="145">
        <f t="shared" si="11"/>
        <v>362590</v>
      </c>
      <c r="H33" s="145">
        <f t="shared" si="12"/>
        <v>0</v>
      </c>
      <c r="I33" s="145">
        <f t="shared" si="1"/>
        <v>10100</v>
      </c>
      <c r="J33" s="145">
        <f t="shared" si="2"/>
        <v>0</v>
      </c>
      <c r="K33" s="142" t="str">
        <f t="shared" si="13"/>
        <v>l</v>
      </c>
      <c r="L33" s="146">
        <f>IFERROR(INDEX(Työkonekanta!$I$3:$I$27,MATCH('S1 Sähkö'!$A33,Työkonekanta!$A$3:$A$24,0),1)*(I33+J33)*f_adblue,0)</f>
        <v>505</v>
      </c>
      <c r="M33" s="146">
        <f t="shared" si="3"/>
        <v>0</v>
      </c>
      <c r="N33" s="143" t="str">
        <f>IF(tuulisähkö_vuosi&lt;='S1 Sähkö'!C33,"tuulisähkö",ostosähkö_nyt)</f>
        <v>jäännössähkö</v>
      </c>
      <c r="O33" s="147">
        <f>INDEX(Muuttujat!$J$5:$J$21,MATCH($C33,Muuttujat!$H$5:$H$21,0),1)</f>
        <v>68.554749999999999</v>
      </c>
      <c r="P33" s="342">
        <f>1-(INDEX(Muuttujat!$O$5:$O$21,MATCH($C33,Muuttujat!$N$5:$N$21,0),1))</f>
        <v>1</v>
      </c>
      <c r="Q33" s="342">
        <f>INDEX(Muuttujat!$O$5:$O$21,MATCH($C33,Muuttujat!$N$5:$N$21,0),1)</f>
        <v>0</v>
      </c>
      <c r="R33" s="148">
        <f>INDEX(Muuttujat!$P$5:$P$21,MATCH($C33,Muuttujat!$N$5:$N$21,0),1)</f>
        <v>0</v>
      </c>
      <c r="S33" s="149">
        <f t="shared" si="4"/>
        <v>6.8529509999999991</v>
      </c>
      <c r="T33" s="150">
        <f t="shared" si="5"/>
        <v>0</v>
      </c>
      <c r="U33" s="150">
        <f t="shared" si="6"/>
        <v>0</v>
      </c>
      <c r="V33" s="150">
        <f>IFERROR(INDEX(Työkonekanta!$J$3:$J$27,MATCH($A33,Työkonekanta!$A$3:$A$24,0),1)*$B33*ef_li_ion_akku/1000/1000/INDEX(Työkonekanta!$K$3:$K$27,MATCH($A33,Työkonekanta!$A$3:$A$24,0)),0)</f>
        <v>0</v>
      </c>
      <c r="W33" s="149">
        <f t="shared" si="7"/>
        <v>26.762134918859999</v>
      </c>
      <c r="X33" s="150">
        <f t="shared" si="8"/>
        <v>0.3209231166</v>
      </c>
      <c r="Y33" s="151">
        <f t="shared" si="9"/>
        <v>0.1313</v>
      </c>
      <c r="Z33" s="152">
        <f t="shared" si="14"/>
        <v>6.8529509999999991</v>
      </c>
      <c r="AA33" s="153">
        <f t="shared" si="15"/>
        <v>26.893434918859999</v>
      </c>
      <c r="AB33" s="153">
        <f t="shared" si="16"/>
        <v>27.214358035459998</v>
      </c>
      <c r="AC33" s="154">
        <f t="shared" si="10"/>
        <v>33.74638591886</v>
      </c>
      <c r="AD33" s="156">
        <f t="shared" si="17"/>
        <v>34.067309035459999</v>
      </c>
      <c r="AE33" s="182"/>
      <c r="AG33" s="2"/>
    </row>
    <row r="34" spans="1:33">
      <c r="A34" s="139">
        <v>2</v>
      </c>
      <c r="B34" s="139" cm="1">
        <f t="array" ref="B34">IFERROR(IF(A34=s1_id_korvattava1,INDEX($AG$3:$AG$19,MATCH(C34,$AF$3:$AF$19,0),1),IF(A34=s1_id_korvaava1,INDEX($AH$3:$AH$19,MATCH(C34,$AF$3:$AF$19,0),1),IF(A34=s1_id_korvattava2,INDEX($AI$3:$AI$19,MATCH(C34,$AF$3:$AF$19,0),1),IF(A34=s1_id_korvaava2,INDEX($AJ$3:$AJ$19,MATCH(C34,$AF$3:$AF$19,0),1),INDEX(Työkonekanta!$F$3:$F$27,MATCH('S1 Sähkö'!$A34,Työkonekanta!$A$3:$A$24,0),1))))),0)</f>
        <v>1</v>
      </c>
      <c r="C34" s="140">
        <v>2020</v>
      </c>
      <c r="D34" s="141" t="str">
        <f>IFERROR(INDEX(Työkonekanta!$D$3:$D$27,MATCH('S1 Sähkö'!$A34,Työkonekanta!$A$3:$A$24,0),1),"undefined")</f>
        <v>pom</v>
      </c>
      <c r="E34" s="145">
        <f>IFERROR(INDEX(Työkonekanta!$G$3:$G$27,MATCH($A34,Työkonekanta!$A$3:$A$24,0),1)*INDEX(Työkonekanta!$H$3:$H$27,MATCH($A34,Työkonekanta!$A$3:$A$24,0),1)*(1+s1_kerroin*($C34-2019))*$B34,0)</f>
        <v>10100</v>
      </c>
      <c r="F34" s="145">
        <f t="shared" si="0"/>
        <v>362590</v>
      </c>
      <c r="G34" s="145">
        <f t="shared" si="11"/>
        <v>362590</v>
      </c>
      <c r="H34" s="145">
        <f t="shared" si="12"/>
        <v>0</v>
      </c>
      <c r="I34" s="145">
        <f t="shared" si="1"/>
        <v>10100</v>
      </c>
      <c r="J34" s="145">
        <f t="shared" si="2"/>
        <v>0</v>
      </c>
      <c r="K34" s="142" t="str">
        <f t="shared" si="13"/>
        <v>l</v>
      </c>
      <c r="L34" s="146">
        <f>IFERROR(INDEX(Työkonekanta!$I$3:$I$27,MATCH('S1 Sähkö'!$A34,Työkonekanta!$A$3:$A$24,0),1)*(I34+J34)*f_adblue,0)</f>
        <v>505</v>
      </c>
      <c r="M34" s="146">
        <f t="shared" si="3"/>
        <v>0</v>
      </c>
      <c r="N34" s="143" t="str">
        <f>IF(tuulisähkö_vuosi&lt;='S1 Sähkö'!C34,"tuulisähkö",ostosähkö_nyt)</f>
        <v>jäännössähkö</v>
      </c>
      <c r="O34" s="147">
        <f>INDEX(Muuttujat!$J$5:$J$21,MATCH($C34,Muuttujat!$H$5:$H$21,0),1)</f>
        <v>68.554749999999999</v>
      </c>
      <c r="P34" s="342">
        <f>1-(INDEX(Muuttujat!$O$5:$O$21,MATCH($C34,Muuttujat!$N$5:$N$21,0),1))</f>
        <v>1</v>
      </c>
      <c r="Q34" s="342">
        <f>INDEX(Muuttujat!$O$5:$O$21,MATCH($C34,Muuttujat!$N$5:$N$21,0),1)</f>
        <v>0</v>
      </c>
      <c r="R34" s="148">
        <f>INDEX(Muuttujat!$P$5:$P$21,MATCH($C34,Muuttujat!$N$5:$N$21,0),1)</f>
        <v>0</v>
      </c>
      <c r="S34" s="149">
        <f t="shared" si="4"/>
        <v>6.8529509999999991</v>
      </c>
      <c r="T34" s="150">
        <f t="shared" si="5"/>
        <v>0</v>
      </c>
      <c r="U34" s="150">
        <f t="shared" si="6"/>
        <v>0</v>
      </c>
      <c r="V34" s="150">
        <f>IFERROR(INDEX(Työkonekanta!$J$3:$J$27,MATCH($A34,Työkonekanta!$A$3:$A$24,0),1)*$B34*ef_li_ion_akku/1000/1000/INDEX(Työkonekanta!$K$3:$K$27,MATCH($A34,Työkonekanta!$A$3:$A$24,0)),0)</f>
        <v>0</v>
      </c>
      <c r="W34" s="149">
        <f t="shared" si="7"/>
        <v>26.762134918859999</v>
      </c>
      <c r="X34" s="150">
        <f t="shared" si="8"/>
        <v>0.3209231166</v>
      </c>
      <c r="Y34" s="151">
        <f t="shared" si="9"/>
        <v>0.1313</v>
      </c>
      <c r="Z34" s="152">
        <f t="shared" si="14"/>
        <v>6.8529509999999991</v>
      </c>
      <c r="AA34" s="153">
        <f t="shared" si="15"/>
        <v>26.893434918859999</v>
      </c>
      <c r="AB34" s="153">
        <f t="shared" si="16"/>
        <v>27.214358035459998</v>
      </c>
      <c r="AC34" s="154">
        <f t="shared" si="10"/>
        <v>33.74638591886</v>
      </c>
      <c r="AD34" s="156">
        <f t="shared" si="17"/>
        <v>34.067309035459999</v>
      </c>
      <c r="AE34" s="182"/>
      <c r="AG34" s="2"/>
    </row>
    <row r="35" spans="1:33">
      <c r="A35" s="139">
        <v>3</v>
      </c>
      <c r="B35" s="139" cm="1">
        <f t="array" ref="B35">IFERROR(IF(A35=s1_id_korvattava1,INDEX($AG$3:$AG$19,MATCH(C35,$AF$3:$AF$19,0),1),IF(A35=s1_id_korvaava1,INDEX($AH$3:$AH$19,MATCH(C35,$AF$3:$AF$19,0),1),IF(A35=s1_id_korvattava2,INDEX($AI$3:$AI$19,MATCH(C35,$AF$3:$AF$19,0),1),IF(A35=s1_id_korvaava2,INDEX($AJ$3:$AJ$19,MATCH(C35,$AF$3:$AF$19,0),1),INDEX(Työkonekanta!$F$3:$F$27,MATCH('S1 Sähkö'!$A35,Työkonekanta!$A$3:$A$24,0),1))))),0)</f>
        <v>1</v>
      </c>
      <c r="C35" s="140">
        <v>2020</v>
      </c>
      <c r="D35" s="141" t="str">
        <f>IFERROR(INDEX(Työkonekanta!$D$3:$D$27,MATCH('S1 Sähkö'!$A35,Työkonekanta!$A$3:$A$24,0),1),"undefined")</f>
        <v>pom</v>
      </c>
      <c r="E35" s="145">
        <f>IFERROR(INDEX(Työkonekanta!$G$3:$G$27,MATCH($A35,Työkonekanta!$A$3:$A$24,0),1)*INDEX(Työkonekanta!$H$3:$H$27,MATCH($A35,Työkonekanta!$A$3:$A$24,0),1)*(1+s1_kerroin*($C35-2019))*$B35,0)</f>
        <v>10100</v>
      </c>
      <c r="F35" s="145">
        <f t="shared" si="0"/>
        <v>362590</v>
      </c>
      <c r="G35" s="145">
        <f t="shared" si="11"/>
        <v>362590</v>
      </c>
      <c r="H35" s="145">
        <f t="shared" si="12"/>
        <v>0</v>
      </c>
      <c r="I35" s="145">
        <f t="shared" si="1"/>
        <v>10100</v>
      </c>
      <c r="J35" s="145">
        <f t="shared" si="2"/>
        <v>0</v>
      </c>
      <c r="K35" s="142" t="str">
        <f t="shared" si="13"/>
        <v>l</v>
      </c>
      <c r="L35" s="146">
        <f>IFERROR(INDEX(Työkonekanta!$I$3:$I$27,MATCH('S1 Sähkö'!$A35,Työkonekanta!$A$3:$A$24,0),1)*(I35+J35)*f_adblue,0)</f>
        <v>505</v>
      </c>
      <c r="M35" s="146">
        <f t="shared" si="3"/>
        <v>0</v>
      </c>
      <c r="N35" s="143" t="str">
        <f>IF(tuulisähkö_vuosi&lt;='S1 Sähkö'!C35,"tuulisähkö",ostosähkö_nyt)</f>
        <v>jäännössähkö</v>
      </c>
      <c r="O35" s="147">
        <f>INDEX(Muuttujat!$J$5:$J$21,MATCH($C35,Muuttujat!$H$5:$H$21,0),1)</f>
        <v>68.554749999999999</v>
      </c>
      <c r="P35" s="342">
        <f>1-(INDEX(Muuttujat!$O$5:$O$21,MATCH($C35,Muuttujat!$N$5:$N$21,0),1))</f>
        <v>1</v>
      </c>
      <c r="Q35" s="342">
        <f>INDEX(Muuttujat!$O$5:$O$21,MATCH($C35,Muuttujat!$N$5:$N$21,0),1)</f>
        <v>0</v>
      </c>
      <c r="R35" s="148">
        <f>INDEX(Muuttujat!$P$5:$P$21,MATCH($C35,Muuttujat!$N$5:$N$21,0),1)</f>
        <v>0</v>
      </c>
      <c r="S35" s="149">
        <f t="shared" si="4"/>
        <v>6.8529509999999991</v>
      </c>
      <c r="T35" s="150">
        <f t="shared" si="5"/>
        <v>0</v>
      </c>
      <c r="U35" s="150">
        <f t="shared" si="6"/>
        <v>0</v>
      </c>
      <c r="V35" s="150">
        <f>IFERROR(INDEX(Työkonekanta!$J$3:$J$27,MATCH($A35,Työkonekanta!$A$3:$A$24,0),1)*$B35*ef_li_ion_akku/1000/1000/INDEX(Työkonekanta!$K$3:$K$27,MATCH($A35,Työkonekanta!$A$3:$A$24,0)),0)</f>
        <v>0</v>
      </c>
      <c r="W35" s="149">
        <f t="shared" si="7"/>
        <v>26.762134918859999</v>
      </c>
      <c r="X35" s="150">
        <f t="shared" si="8"/>
        <v>0.3209231166</v>
      </c>
      <c r="Y35" s="151">
        <f t="shared" si="9"/>
        <v>0.1313</v>
      </c>
      <c r="Z35" s="152">
        <f t="shared" si="14"/>
        <v>6.8529509999999991</v>
      </c>
      <c r="AA35" s="153">
        <f t="shared" si="15"/>
        <v>26.893434918859999</v>
      </c>
      <c r="AB35" s="153">
        <f t="shared" si="16"/>
        <v>27.214358035459998</v>
      </c>
      <c r="AC35" s="154">
        <f t="shared" si="10"/>
        <v>33.74638591886</v>
      </c>
      <c r="AD35" s="156">
        <f t="shared" si="17"/>
        <v>34.067309035459999</v>
      </c>
      <c r="AE35" s="182"/>
      <c r="AG35" s="2"/>
    </row>
    <row r="36" spans="1:33">
      <c r="A36" s="139">
        <v>4</v>
      </c>
      <c r="B36" s="139" cm="1">
        <f t="array" ref="B36">IFERROR(IF(A36=s1_id_korvattava1,INDEX($AG$3:$AG$19,MATCH(C36,$AF$3:$AF$19,0),1),IF(A36=s1_id_korvaava1,INDEX($AH$3:$AH$19,MATCH(C36,$AF$3:$AF$19,0),1),IF(A36=s1_id_korvattava2,INDEX($AI$3:$AI$19,MATCH(C36,$AF$3:$AF$19,0),1),IF(A36=s1_id_korvaava2,INDEX($AJ$3:$AJ$19,MATCH(C36,$AF$3:$AF$19,0),1),INDEX(Työkonekanta!$F$3:$F$27,MATCH('S1 Sähkö'!$A36,Työkonekanta!$A$3:$A$24,0),1))))),0)</f>
        <v>1</v>
      </c>
      <c r="C36" s="140">
        <v>2020</v>
      </c>
      <c r="D36" s="141" t="str">
        <f>IFERROR(INDEX(Työkonekanta!$D$3:$D$27,MATCH('S1 Sähkö'!$A36,Työkonekanta!$A$3:$A$24,0),1),"undefined")</f>
        <v>pom</v>
      </c>
      <c r="E36" s="145">
        <f>IFERROR(INDEX(Työkonekanta!$G$3:$G$27,MATCH($A36,Työkonekanta!$A$3:$A$24,0),1)*INDEX(Työkonekanta!$H$3:$H$27,MATCH($A36,Työkonekanta!$A$3:$A$24,0),1)*(1+s1_kerroin*($C36-2019))*$B36,0)</f>
        <v>10100</v>
      </c>
      <c r="F36" s="145">
        <f t="shared" si="0"/>
        <v>362590</v>
      </c>
      <c r="G36" s="145">
        <f t="shared" si="11"/>
        <v>362590</v>
      </c>
      <c r="H36" s="145">
        <f t="shared" si="12"/>
        <v>0</v>
      </c>
      <c r="I36" s="145">
        <f t="shared" si="1"/>
        <v>10100</v>
      </c>
      <c r="J36" s="145">
        <f t="shared" si="2"/>
        <v>0</v>
      </c>
      <c r="K36" s="142" t="str">
        <f t="shared" si="13"/>
        <v>l</v>
      </c>
      <c r="L36" s="146">
        <f>IFERROR(INDEX(Työkonekanta!$I$3:$I$27,MATCH('S1 Sähkö'!$A36,Työkonekanta!$A$3:$A$24,0),1)*(I36+J36)*f_adblue,0)</f>
        <v>505</v>
      </c>
      <c r="M36" s="146">
        <f t="shared" si="3"/>
        <v>0</v>
      </c>
      <c r="N36" s="143" t="str">
        <f>IF(tuulisähkö_vuosi&lt;='S1 Sähkö'!C36,"tuulisähkö",ostosähkö_nyt)</f>
        <v>jäännössähkö</v>
      </c>
      <c r="O36" s="147">
        <f>INDEX(Muuttujat!$J$5:$J$21,MATCH($C36,Muuttujat!$H$5:$H$21,0),1)</f>
        <v>68.554749999999999</v>
      </c>
      <c r="P36" s="342">
        <f>1-(INDEX(Muuttujat!$O$5:$O$21,MATCH($C36,Muuttujat!$N$5:$N$21,0),1))</f>
        <v>1</v>
      </c>
      <c r="Q36" s="342">
        <f>INDEX(Muuttujat!$O$5:$O$21,MATCH($C36,Muuttujat!$N$5:$N$21,0),1)</f>
        <v>0</v>
      </c>
      <c r="R36" s="148">
        <f>INDEX(Muuttujat!$P$5:$P$21,MATCH($C36,Muuttujat!$N$5:$N$21,0),1)</f>
        <v>0</v>
      </c>
      <c r="S36" s="149">
        <f t="shared" si="4"/>
        <v>6.8529509999999991</v>
      </c>
      <c r="T36" s="150">
        <f t="shared" si="5"/>
        <v>0</v>
      </c>
      <c r="U36" s="150">
        <f t="shared" si="6"/>
        <v>0</v>
      </c>
      <c r="V36" s="150">
        <f>IFERROR(INDEX(Työkonekanta!$J$3:$J$27,MATCH($A36,Työkonekanta!$A$3:$A$24,0),1)*$B36*ef_li_ion_akku/1000/1000/INDEX(Työkonekanta!$K$3:$K$27,MATCH($A36,Työkonekanta!$A$3:$A$24,0)),0)</f>
        <v>0</v>
      </c>
      <c r="W36" s="149">
        <f t="shared" si="7"/>
        <v>26.762134918859999</v>
      </c>
      <c r="X36" s="150">
        <f t="shared" si="8"/>
        <v>0.3209231166</v>
      </c>
      <c r="Y36" s="151">
        <f t="shared" si="9"/>
        <v>0.1313</v>
      </c>
      <c r="Z36" s="152">
        <f t="shared" si="14"/>
        <v>6.8529509999999991</v>
      </c>
      <c r="AA36" s="153">
        <f t="shared" si="15"/>
        <v>26.893434918859999</v>
      </c>
      <c r="AB36" s="153">
        <f t="shared" si="16"/>
        <v>27.214358035459998</v>
      </c>
      <c r="AC36" s="154">
        <f t="shared" si="10"/>
        <v>33.74638591886</v>
      </c>
      <c r="AD36" s="156">
        <f t="shared" si="17"/>
        <v>34.067309035459999</v>
      </c>
      <c r="AE36" s="182"/>
      <c r="AG36" s="2"/>
    </row>
    <row r="37" spans="1:33">
      <c r="A37" s="139">
        <v>5</v>
      </c>
      <c r="B37" s="139" cm="1">
        <f t="array" ref="B37">IFERROR(IF(A37=s1_id_korvattava1,INDEX($AG$3:$AG$19,MATCH(C37,$AF$3:$AF$19,0),1),IF(A37=s1_id_korvaava1,INDEX($AH$3:$AH$19,MATCH(C37,$AF$3:$AF$19,0),1),IF(A37=s1_id_korvattava2,INDEX($AI$3:$AI$19,MATCH(C37,$AF$3:$AF$19,0),1),IF(A37=s1_id_korvaava2,INDEX($AJ$3:$AJ$19,MATCH(C37,$AF$3:$AF$19,0),1),INDEX(Työkonekanta!$F$3:$F$27,MATCH('S1 Sähkö'!$A37,Työkonekanta!$A$3:$A$24,0),1))))),0)</f>
        <v>0</v>
      </c>
      <c r="C37" s="140">
        <v>2020</v>
      </c>
      <c r="D37" s="141" t="str">
        <f>IFERROR(INDEX(Työkonekanta!$D$3:$D$27,MATCH('S1 Sähkö'!$A37,Työkonekanta!$A$3:$A$24,0),1),"undefined")</f>
        <v>sähkö</v>
      </c>
      <c r="E37" s="145">
        <f>IFERROR(INDEX(Työkonekanta!$G$3:$G$27,MATCH($A37,Työkonekanta!$A$3:$A$24,0),1)*INDEX(Työkonekanta!$H$3:$H$27,MATCH($A37,Työkonekanta!$A$3:$A$24,0),1)*(1+s1_kerroin*($C37-2019))*$B37,0)</f>
        <v>0</v>
      </c>
      <c r="F37" s="145">
        <f t="shared" si="0"/>
        <v>0</v>
      </c>
      <c r="G37" s="145">
        <f t="shared" si="11"/>
        <v>0</v>
      </c>
      <c r="H37" s="145">
        <f t="shared" si="12"/>
        <v>0</v>
      </c>
      <c r="I37" s="145">
        <f t="shared" si="1"/>
        <v>0</v>
      </c>
      <c r="J37" s="145">
        <f t="shared" si="2"/>
        <v>0</v>
      </c>
      <c r="K37" s="142" t="str">
        <f t="shared" si="13"/>
        <v>kWh</v>
      </c>
      <c r="L37" s="146">
        <f>IFERROR(INDEX(Työkonekanta!$I$3:$I$27,MATCH('S1 Sähkö'!$A37,Työkonekanta!$A$3:$A$24,0),1)*(I37+J37)*f_adblue,0)</f>
        <v>0</v>
      </c>
      <c r="M37" s="146">
        <f t="shared" si="3"/>
        <v>0</v>
      </c>
      <c r="N37" s="143" t="str">
        <f>IF(tuulisähkö_vuosi&lt;='S1 Sähkö'!C37,"tuulisähkö",ostosähkö_nyt)</f>
        <v>jäännössähkö</v>
      </c>
      <c r="O37" s="147">
        <f>INDEX(Muuttujat!$J$5:$J$21,MATCH($C37,Muuttujat!$H$5:$H$21,0),1)</f>
        <v>68.554749999999999</v>
      </c>
      <c r="P37" s="342">
        <f>1-(INDEX(Muuttujat!$O$5:$O$21,MATCH($C37,Muuttujat!$N$5:$N$21,0),1))</f>
        <v>1</v>
      </c>
      <c r="Q37" s="342">
        <f>INDEX(Muuttujat!$O$5:$O$21,MATCH($C37,Muuttujat!$N$5:$N$21,0),1)</f>
        <v>0</v>
      </c>
      <c r="R37" s="148">
        <f>INDEX(Muuttujat!$P$5:$P$21,MATCH($C37,Muuttujat!$N$5:$N$21,0),1)</f>
        <v>0</v>
      </c>
      <c r="S37" s="149">
        <f t="shared" si="4"/>
        <v>0</v>
      </c>
      <c r="T37" s="150">
        <f t="shared" si="5"/>
        <v>0</v>
      </c>
      <c r="U37" s="150">
        <f t="shared" si="6"/>
        <v>0</v>
      </c>
      <c r="V37" s="150">
        <f>IFERROR(INDEX(Työkonekanta!$J$3:$J$27,MATCH($A37,Työkonekanta!$A$3:$A$24,0),1)*$B37*ef_li_ion_akku/1000/1000/INDEX(Työkonekanta!$K$3:$K$27,MATCH($A37,Työkonekanta!$A$3:$A$24,0)),0)</f>
        <v>0</v>
      </c>
      <c r="W37" s="149">
        <f t="shared" si="7"/>
        <v>0</v>
      </c>
      <c r="X37" s="150">
        <f t="shared" si="8"/>
        <v>0</v>
      </c>
      <c r="Y37" s="151">
        <f t="shared" si="9"/>
        <v>0</v>
      </c>
      <c r="Z37" s="152">
        <f t="shared" si="14"/>
        <v>0</v>
      </c>
      <c r="AA37" s="153">
        <f t="shared" si="15"/>
        <v>0</v>
      </c>
      <c r="AB37" s="153">
        <f t="shared" si="16"/>
        <v>0</v>
      </c>
      <c r="AC37" s="154">
        <f t="shared" si="10"/>
        <v>0</v>
      </c>
      <c r="AD37" s="156">
        <f t="shared" si="17"/>
        <v>0</v>
      </c>
      <c r="AE37" s="182"/>
      <c r="AG37" s="2"/>
    </row>
    <row r="38" spans="1:33">
      <c r="A38" s="139">
        <v>6</v>
      </c>
      <c r="B38" s="139" cm="1">
        <f t="array" ref="B38">IFERROR(IF(A38=s1_id_korvattava1,INDEX($AG$3:$AG$19,MATCH(C38,$AF$3:$AF$19,0),1),IF(A38=s1_id_korvaava1,INDEX($AH$3:$AH$19,MATCH(C38,$AF$3:$AF$19,0),1),IF(A38=s1_id_korvattava2,INDEX($AI$3:$AI$19,MATCH(C38,$AF$3:$AF$19,0),1),IF(A38=s1_id_korvaava2,INDEX($AJ$3:$AJ$19,MATCH(C38,$AF$3:$AF$19,0),1),INDEX(Työkonekanta!$F$3:$F$27,MATCH('S1 Sähkö'!$A38,Työkonekanta!$A$3:$A$24,0),1))))),0)</f>
        <v>0</v>
      </c>
      <c r="C38" s="140">
        <v>2020</v>
      </c>
      <c r="D38" s="141" t="str">
        <f>IFERROR(INDEX(Työkonekanta!$D$3:$D$27,MATCH('S1 Sähkö'!$A38,Työkonekanta!$A$3:$A$24,0),1),"undefined")</f>
        <v>sähkö</v>
      </c>
      <c r="E38" s="145">
        <f>IFERROR(INDEX(Työkonekanta!$G$3:$G$27,MATCH($A38,Työkonekanta!$A$3:$A$24,0),1)*INDEX(Työkonekanta!$H$3:$H$27,MATCH($A38,Työkonekanta!$A$3:$A$24,0),1)*(1+s1_kerroin*($C38-2019))*$B38,0)</f>
        <v>0</v>
      </c>
      <c r="F38" s="145">
        <f t="shared" si="0"/>
        <v>0</v>
      </c>
      <c r="G38" s="145">
        <f t="shared" si="11"/>
        <v>0</v>
      </c>
      <c r="H38" s="145">
        <f t="shared" si="12"/>
        <v>0</v>
      </c>
      <c r="I38" s="145">
        <f t="shared" si="1"/>
        <v>0</v>
      </c>
      <c r="J38" s="145">
        <f t="shared" si="2"/>
        <v>0</v>
      </c>
      <c r="K38" s="142" t="str">
        <f t="shared" si="13"/>
        <v>kWh</v>
      </c>
      <c r="L38" s="146">
        <f>IFERROR(INDEX(Työkonekanta!$I$3:$I$27,MATCH('S1 Sähkö'!$A38,Työkonekanta!$A$3:$A$24,0),1)*(I38+J38)*f_adblue,0)</f>
        <v>0</v>
      </c>
      <c r="M38" s="146">
        <f t="shared" si="3"/>
        <v>0</v>
      </c>
      <c r="N38" s="143" t="str">
        <f>IF(tuulisähkö_vuosi&lt;='S1 Sähkö'!C38,"tuulisähkö",ostosähkö_nyt)</f>
        <v>jäännössähkö</v>
      </c>
      <c r="O38" s="147">
        <f>INDEX(Muuttujat!$J$5:$J$21,MATCH($C38,Muuttujat!$H$5:$H$21,0),1)</f>
        <v>68.554749999999999</v>
      </c>
      <c r="P38" s="342">
        <f>1-(INDEX(Muuttujat!$O$5:$O$21,MATCH($C38,Muuttujat!$N$5:$N$21,0),1))</f>
        <v>1</v>
      </c>
      <c r="Q38" s="342">
        <f>INDEX(Muuttujat!$O$5:$O$21,MATCH($C38,Muuttujat!$N$5:$N$21,0),1)</f>
        <v>0</v>
      </c>
      <c r="R38" s="148">
        <f>INDEX(Muuttujat!$P$5:$P$21,MATCH($C38,Muuttujat!$N$5:$N$21,0),1)</f>
        <v>0</v>
      </c>
      <c r="S38" s="149">
        <f t="shared" si="4"/>
        <v>0</v>
      </c>
      <c r="T38" s="150">
        <f t="shared" si="5"/>
        <v>0</v>
      </c>
      <c r="U38" s="150">
        <f t="shared" si="6"/>
        <v>0</v>
      </c>
      <c r="V38" s="150">
        <f>IFERROR(INDEX(Työkonekanta!$J$3:$J$27,MATCH($A38,Työkonekanta!$A$3:$A$24,0),1)*$B38*ef_li_ion_akku/1000/1000/INDEX(Työkonekanta!$K$3:$K$27,MATCH($A38,Työkonekanta!$A$3:$A$24,0)),0)</f>
        <v>0</v>
      </c>
      <c r="W38" s="149">
        <f t="shared" si="7"/>
        <v>0</v>
      </c>
      <c r="X38" s="150">
        <f t="shared" si="8"/>
        <v>0</v>
      </c>
      <c r="Y38" s="151">
        <f t="shared" si="9"/>
        <v>0</v>
      </c>
      <c r="Z38" s="152">
        <f t="shared" si="14"/>
        <v>0</v>
      </c>
      <c r="AA38" s="153">
        <f t="shared" si="15"/>
        <v>0</v>
      </c>
      <c r="AB38" s="153">
        <f t="shared" si="16"/>
        <v>0</v>
      </c>
      <c r="AC38" s="154">
        <f t="shared" si="10"/>
        <v>0</v>
      </c>
      <c r="AD38" s="156">
        <f t="shared" si="17"/>
        <v>0</v>
      </c>
      <c r="AE38" s="182"/>
      <c r="AG38" s="2"/>
    </row>
    <row r="39" spans="1:33">
      <c r="A39" s="139">
        <v>7</v>
      </c>
      <c r="B39" s="139" cm="1">
        <f t="array" ref="B39">IFERROR(IF(A39=s1_id_korvattava1,INDEX($AG$3:$AG$19,MATCH(C39,$AF$3:$AF$19,0),1),IF(A39=s1_id_korvaava1,INDEX($AH$3:$AH$19,MATCH(C39,$AF$3:$AF$19,0),1),IF(A39=s1_id_korvattava2,INDEX($AI$3:$AI$19,MATCH(C39,$AF$3:$AF$19,0),1),IF(A39=s1_id_korvaava2,INDEX($AJ$3:$AJ$19,MATCH(C39,$AF$3:$AF$19,0),1),INDEX(Työkonekanta!$F$3:$F$27,MATCH('S1 Sähkö'!$A39,Työkonekanta!$A$3:$A$24,0),1))))),0)</f>
        <v>1</v>
      </c>
      <c r="C39" s="140">
        <v>2020</v>
      </c>
      <c r="D39" s="141" t="str">
        <f>IFERROR(INDEX(Työkonekanta!$D$3:$D$27,MATCH('S1 Sähkö'!$A39,Työkonekanta!$A$3:$A$24,0),1),"undefined")</f>
        <v>pom</v>
      </c>
      <c r="E39" s="145">
        <f>IFERROR(INDEX(Työkonekanta!$G$3:$G$27,MATCH($A39,Työkonekanta!$A$3:$A$24,0),1)*INDEX(Työkonekanta!$H$3:$H$27,MATCH($A39,Työkonekanta!$A$3:$A$24,0),1)*(1+s1_kerroin*($C39-2019))*$B39,0)</f>
        <v>10100</v>
      </c>
      <c r="F39" s="145">
        <f t="shared" si="0"/>
        <v>362590</v>
      </c>
      <c r="G39" s="145">
        <f t="shared" si="11"/>
        <v>362590</v>
      </c>
      <c r="H39" s="145">
        <f t="shared" si="12"/>
        <v>0</v>
      </c>
      <c r="I39" s="145">
        <f t="shared" si="1"/>
        <v>10100</v>
      </c>
      <c r="J39" s="145">
        <f t="shared" si="2"/>
        <v>0</v>
      </c>
      <c r="K39" s="142" t="str">
        <f t="shared" si="13"/>
        <v>l</v>
      </c>
      <c r="L39" s="146">
        <f>IFERROR(INDEX(Työkonekanta!$I$3:$I$27,MATCH('S1 Sähkö'!$A39,Työkonekanta!$A$3:$A$24,0),1)*(I39+J39)*f_adblue,0)</f>
        <v>0</v>
      </c>
      <c r="M39" s="146">
        <f t="shared" si="3"/>
        <v>0</v>
      </c>
      <c r="N39" s="143" t="str">
        <f>IF(tuulisähkö_vuosi&lt;='S1 Sähkö'!C39,"tuulisähkö",ostosähkö_nyt)</f>
        <v>jäännössähkö</v>
      </c>
      <c r="O39" s="147">
        <f>INDEX(Muuttujat!$J$5:$J$21,MATCH($C39,Muuttujat!$H$5:$H$21,0),1)</f>
        <v>68.554749999999999</v>
      </c>
      <c r="P39" s="342">
        <f>1-(INDEX(Muuttujat!$O$5:$O$21,MATCH($C39,Muuttujat!$N$5:$N$21,0),1))</f>
        <v>1</v>
      </c>
      <c r="Q39" s="342">
        <f>INDEX(Muuttujat!$O$5:$O$21,MATCH($C39,Muuttujat!$N$5:$N$21,0),1)</f>
        <v>0</v>
      </c>
      <c r="R39" s="148">
        <f>INDEX(Muuttujat!$P$5:$P$21,MATCH($C39,Muuttujat!$N$5:$N$21,0),1)</f>
        <v>0</v>
      </c>
      <c r="S39" s="149">
        <f t="shared" si="4"/>
        <v>6.8529509999999991</v>
      </c>
      <c r="T39" s="150">
        <f t="shared" si="5"/>
        <v>0</v>
      </c>
      <c r="U39" s="150">
        <f t="shared" si="6"/>
        <v>0</v>
      </c>
      <c r="V39" s="150">
        <f>IFERROR(INDEX(Työkonekanta!$J$3:$J$27,MATCH($A39,Työkonekanta!$A$3:$A$24,0),1)*$B39*ef_li_ion_akku/1000/1000/INDEX(Työkonekanta!$K$3:$K$27,MATCH($A39,Työkonekanta!$A$3:$A$24,0)),0)</f>
        <v>0</v>
      </c>
      <c r="W39" s="149">
        <f t="shared" si="7"/>
        <v>26.762134918859999</v>
      </c>
      <c r="X39" s="150">
        <f t="shared" si="8"/>
        <v>0.3209231166</v>
      </c>
      <c r="Y39" s="151">
        <f t="shared" si="9"/>
        <v>0</v>
      </c>
      <c r="Z39" s="152">
        <f t="shared" si="14"/>
        <v>6.8529509999999991</v>
      </c>
      <c r="AA39" s="153">
        <f t="shared" si="15"/>
        <v>26.762134918859999</v>
      </c>
      <c r="AB39" s="153">
        <f t="shared" si="16"/>
        <v>27.083058035459999</v>
      </c>
      <c r="AC39" s="154">
        <f t="shared" si="10"/>
        <v>33.615085918859997</v>
      </c>
      <c r="AD39" s="156">
        <f t="shared" si="17"/>
        <v>33.936009035459996</v>
      </c>
      <c r="AE39" s="182"/>
      <c r="AG39" s="2"/>
    </row>
    <row r="40" spans="1:33">
      <c r="A40" s="139">
        <v>8</v>
      </c>
      <c r="B40" s="139" cm="1">
        <f t="array" ref="B40">IFERROR(IF(A40=s1_id_korvattava1,INDEX($AG$3:$AG$19,MATCH(C40,$AF$3:$AF$19,0),1),IF(A40=s1_id_korvaava1,INDEX($AH$3:$AH$19,MATCH(C40,$AF$3:$AF$19,0),1),IF(A40=s1_id_korvattava2,INDEX($AI$3:$AI$19,MATCH(C40,$AF$3:$AF$19,0),1),IF(A40=s1_id_korvaava2,INDEX($AJ$3:$AJ$19,MATCH(C40,$AF$3:$AF$19,0),1),INDEX(Työkonekanta!$F$3:$F$27,MATCH('S1 Sähkö'!$A40,Työkonekanta!$A$3:$A$24,0),1))))),0)</f>
        <v>1</v>
      </c>
      <c r="C40" s="140">
        <v>2020</v>
      </c>
      <c r="D40" s="141" t="str">
        <f>IFERROR(INDEX(Työkonekanta!$D$3:$D$27,MATCH('S1 Sähkö'!$A40,Työkonekanta!$A$3:$A$24,0),1),"undefined")</f>
        <v>pom</v>
      </c>
      <c r="E40" s="145">
        <f>IFERROR(INDEX(Työkonekanta!$G$3:$G$27,MATCH($A40,Työkonekanta!$A$3:$A$24,0),1)*INDEX(Työkonekanta!$H$3:$H$27,MATCH($A40,Työkonekanta!$A$3:$A$24,0),1)*(1+s1_kerroin*($C40-2019))*$B40,0)</f>
        <v>10100</v>
      </c>
      <c r="F40" s="145">
        <f t="shared" si="0"/>
        <v>362590</v>
      </c>
      <c r="G40" s="145">
        <f t="shared" si="11"/>
        <v>362590</v>
      </c>
      <c r="H40" s="145">
        <f t="shared" si="12"/>
        <v>0</v>
      </c>
      <c r="I40" s="145">
        <f t="shared" si="1"/>
        <v>10100</v>
      </c>
      <c r="J40" s="145">
        <f t="shared" si="2"/>
        <v>0</v>
      </c>
      <c r="K40" s="142" t="str">
        <f t="shared" si="13"/>
        <v>l</v>
      </c>
      <c r="L40" s="146">
        <f>IFERROR(INDEX(Työkonekanta!$I$3:$I$27,MATCH('S1 Sähkö'!$A40,Työkonekanta!$A$3:$A$24,0),1)*(I40+J40)*f_adblue,0)</f>
        <v>505</v>
      </c>
      <c r="M40" s="146">
        <f t="shared" si="3"/>
        <v>0</v>
      </c>
      <c r="N40" s="143" t="str">
        <f>IF(tuulisähkö_vuosi&lt;='S1 Sähkö'!C40,"tuulisähkö",ostosähkö_nyt)</f>
        <v>jäännössähkö</v>
      </c>
      <c r="O40" s="147">
        <f>INDEX(Muuttujat!$J$5:$J$21,MATCH($C40,Muuttujat!$H$5:$H$21,0),1)</f>
        <v>68.554749999999999</v>
      </c>
      <c r="P40" s="342">
        <f>1-(INDEX(Muuttujat!$O$5:$O$21,MATCH($C40,Muuttujat!$N$5:$N$21,0),1))</f>
        <v>1</v>
      </c>
      <c r="Q40" s="342">
        <f>INDEX(Muuttujat!$O$5:$O$21,MATCH($C40,Muuttujat!$N$5:$N$21,0),1)</f>
        <v>0</v>
      </c>
      <c r="R40" s="148">
        <f>INDEX(Muuttujat!$P$5:$P$21,MATCH($C40,Muuttujat!$N$5:$N$21,0),1)</f>
        <v>0</v>
      </c>
      <c r="S40" s="149">
        <f t="shared" si="4"/>
        <v>6.8529509999999991</v>
      </c>
      <c r="T40" s="150">
        <f t="shared" si="5"/>
        <v>0</v>
      </c>
      <c r="U40" s="150">
        <f t="shared" si="6"/>
        <v>0</v>
      </c>
      <c r="V40" s="150">
        <f>IFERROR(INDEX(Työkonekanta!$J$3:$J$27,MATCH($A40,Työkonekanta!$A$3:$A$24,0),1)*$B40*ef_li_ion_akku/1000/1000/INDEX(Työkonekanta!$K$3:$K$27,MATCH($A40,Työkonekanta!$A$3:$A$24,0)),0)</f>
        <v>0</v>
      </c>
      <c r="W40" s="149">
        <f t="shared" si="7"/>
        <v>26.762134918859999</v>
      </c>
      <c r="X40" s="150">
        <f t="shared" si="8"/>
        <v>0.3209231166</v>
      </c>
      <c r="Y40" s="151">
        <f t="shared" si="9"/>
        <v>0.1313</v>
      </c>
      <c r="Z40" s="152">
        <f t="shared" si="14"/>
        <v>6.8529509999999991</v>
      </c>
      <c r="AA40" s="153">
        <f t="shared" si="15"/>
        <v>26.893434918859999</v>
      </c>
      <c r="AB40" s="153">
        <f t="shared" si="16"/>
        <v>27.214358035459998</v>
      </c>
      <c r="AC40" s="154">
        <f t="shared" si="10"/>
        <v>33.74638591886</v>
      </c>
      <c r="AD40" s="156">
        <f t="shared" si="17"/>
        <v>34.067309035459999</v>
      </c>
      <c r="AE40" s="182"/>
      <c r="AG40" s="2"/>
    </row>
    <row r="41" spans="1:33">
      <c r="A41" s="139">
        <v>9</v>
      </c>
      <c r="B41" s="139" cm="1">
        <f t="array" ref="B41">IFERROR(IF(A41=s1_id_korvattava1,INDEX($AG$3:$AG$19,MATCH(C41,$AF$3:$AF$19,0),1),IF(A41=s1_id_korvaava1,INDEX($AH$3:$AH$19,MATCH(C41,$AF$3:$AF$19,0),1),IF(A41=s1_id_korvattava2,INDEX($AI$3:$AI$19,MATCH(C41,$AF$3:$AF$19,0),1),IF(A41=s1_id_korvaava2,INDEX($AJ$3:$AJ$19,MATCH(C41,$AF$3:$AF$19,0),1),INDEX(Työkonekanta!$F$3:$F$27,MATCH('S1 Sähkö'!$A41,Työkonekanta!$A$3:$A$24,0),1))))),0)</f>
        <v>0</v>
      </c>
      <c r="C41" s="140">
        <v>2020</v>
      </c>
      <c r="D41" s="141" t="str">
        <f>IFERROR(INDEX(Työkonekanta!$D$3:$D$27,MATCH('S1 Sähkö'!$A41,Työkonekanta!$A$3:$A$24,0),1),"undefined")</f>
        <v>sähkö</v>
      </c>
      <c r="E41" s="145">
        <f>IFERROR(INDEX(Työkonekanta!$G$3:$G$27,MATCH($A41,Työkonekanta!$A$3:$A$24,0),1)*INDEX(Työkonekanta!$H$3:$H$27,MATCH($A41,Työkonekanta!$A$3:$A$24,0),1)*(1+s1_kerroin*($C41-2019))*$B41,0)</f>
        <v>0</v>
      </c>
      <c r="F41" s="145">
        <f t="shared" si="0"/>
        <v>0</v>
      </c>
      <c r="G41" s="145">
        <f t="shared" si="11"/>
        <v>0</v>
      </c>
      <c r="H41" s="145">
        <f t="shared" si="12"/>
        <v>0</v>
      </c>
      <c r="I41" s="145">
        <f t="shared" si="1"/>
        <v>0</v>
      </c>
      <c r="J41" s="145">
        <f t="shared" si="2"/>
        <v>0</v>
      </c>
      <c r="K41" s="142" t="str">
        <f t="shared" si="13"/>
        <v>kWh</v>
      </c>
      <c r="L41" s="146">
        <f>IFERROR(INDEX(Työkonekanta!$I$3:$I$27,MATCH('S1 Sähkö'!$A41,Työkonekanta!$A$3:$A$24,0),1)*(I41+J41)*f_adblue,0)</f>
        <v>0</v>
      </c>
      <c r="M41" s="146">
        <f t="shared" si="3"/>
        <v>0</v>
      </c>
      <c r="N41" s="143" t="str">
        <f>IF(tuulisähkö_vuosi&lt;='S1 Sähkö'!C41,"tuulisähkö",ostosähkö_nyt)</f>
        <v>jäännössähkö</v>
      </c>
      <c r="O41" s="147">
        <f>INDEX(Muuttujat!$J$5:$J$21,MATCH($C41,Muuttujat!$H$5:$H$21,0),1)</f>
        <v>68.554749999999999</v>
      </c>
      <c r="P41" s="342">
        <f>1-(INDEX(Muuttujat!$O$5:$O$21,MATCH($C41,Muuttujat!$N$5:$N$21,0),1))</f>
        <v>1</v>
      </c>
      <c r="Q41" s="342">
        <f>INDEX(Muuttujat!$O$5:$O$21,MATCH($C41,Muuttujat!$N$5:$N$21,0),1)</f>
        <v>0</v>
      </c>
      <c r="R41" s="148">
        <f>INDEX(Muuttujat!$P$5:$P$21,MATCH($C41,Muuttujat!$N$5:$N$21,0),1)</f>
        <v>0</v>
      </c>
      <c r="S41" s="149">
        <f t="shared" si="4"/>
        <v>0</v>
      </c>
      <c r="T41" s="150">
        <f t="shared" si="5"/>
        <v>0</v>
      </c>
      <c r="U41" s="150">
        <f t="shared" si="6"/>
        <v>0</v>
      </c>
      <c r="V41" s="150">
        <f>IFERROR(INDEX(Työkonekanta!$J$3:$J$27,MATCH($A41,Työkonekanta!$A$3:$A$24,0),1)*$B41*ef_li_ion_akku/1000/1000/INDEX(Työkonekanta!$K$3:$K$27,MATCH($A41,Työkonekanta!$A$3:$A$24,0)),0)</f>
        <v>0</v>
      </c>
      <c r="W41" s="149">
        <f t="shared" si="7"/>
        <v>0</v>
      </c>
      <c r="X41" s="150">
        <f t="shared" si="8"/>
        <v>0</v>
      </c>
      <c r="Y41" s="151">
        <f t="shared" si="9"/>
        <v>0</v>
      </c>
      <c r="Z41" s="152">
        <f t="shared" si="14"/>
        <v>0</v>
      </c>
      <c r="AA41" s="153">
        <f t="shared" si="15"/>
        <v>0</v>
      </c>
      <c r="AB41" s="153">
        <f t="shared" si="16"/>
        <v>0</v>
      </c>
      <c r="AC41" s="154">
        <f t="shared" si="10"/>
        <v>0</v>
      </c>
      <c r="AD41" s="156">
        <f t="shared" si="17"/>
        <v>0</v>
      </c>
      <c r="AE41" s="182"/>
      <c r="AG41" s="2"/>
    </row>
    <row r="42" spans="1:33">
      <c r="A42" s="139">
        <v>10</v>
      </c>
      <c r="B42" s="139" cm="1">
        <f t="array" ref="B42">IFERROR(IF(A42=s1_id_korvattava1,INDEX($AG$3:$AG$19,MATCH(C42,$AF$3:$AF$19,0),1),IF(A42=s1_id_korvaava1,INDEX($AH$3:$AH$19,MATCH(C42,$AF$3:$AF$19,0),1),IF(A42=s1_id_korvattava2,INDEX($AI$3:$AI$19,MATCH(C42,$AF$3:$AF$19,0),1),IF(A42=s1_id_korvaava2,INDEX($AJ$3:$AJ$19,MATCH(C42,$AF$3:$AF$19,0),1),INDEX(Työkonekanta!$F$3:$F$27,MATCH('S1 Sähkö'!$A42,Työkonekanta!$A$3:$A$24,0),1))))),0)</f>
        <v>0</v>
      </c>
      <c r="C42" s="140">
        <v>2020</v>
      </c>
      <c r="D42" s="141" t="str">
        <f>IFERROR(INDEX(Työkonekanta!$D$3:$D$27,MATCH('S1 Sähkö'!$A42,Työkonekanta!$A$3:$A$24,0),1),"undefined")</f>
        <v>sähkö</v>
      </c>
      <c r="E42" s="145">
        <f>IFERROR(INDEX(Työkonekanta!$G$3:$G$27,MATCH($A42,Työkonekanta!$A$3:$A$24,0),1)*INDEX(Työkonekanta!$H$3:$H$27,MATCH($A42,Työkonekanta!$A$3:$A$24,0),1)*(1+s1_kerroin*($C42-2019))*$B42,0)</f>
        <v>0</v>
      </c>
      <c r="F42" s="145">
        <f t="shared" si="0"/>
        <v>0</v>
      </c>
      <c r="G42" s="145">
        <f t="shared" si="11"/>
        <v>0</v>
      </c>
      <c r="H42" s="145">
        <f t="shared" si="12"/>
        <v>0</v>
      </c>
      <c r="I42" s="145">
        <f t="shared" si="1"/>
        <v>0</v>
      </c>
      <c r="J42" s="145">
        <f t="shared" si="2"/>
        <v>0</v>
      </c>
      <c r="K42" s="142" t="str">
        <f t="shared" si="13"/>
        <v>kWh</v>
      </c>
      <c r="L42" s="146">
        <f>IFERROR(INDEX(Työkonekanta!$I$3:$I$27,MATCH('S1 Sähkö'!$A42,Työkonekanta!$A$3:$A$24,0),1)*(I42+J42)*f_adblue,0)</f>
        <v>0</v>
      </c>
      <c r="M42" s="146">
        <f t="shared" si="3"/>
        <v>0</v>
      </c>
      <c r="N42" s="143" t="str">
        <f>IF(tuulisähkö_vuosi&lt;='S1 Sähkö'!C42,"tuulisähkö",ostosähkö_nyt)</f>
        <v>jäännössähkö</v>
      </c>
      <c r="O42" s="147">
        <f>INDEX(Muuttujat!$J$5:$J$21,MATCH($C42,Muuttujat!$H$5:$H$21,0),1)</f>
        <v>68.554749999999999</v>
      </c>
      <c r="P42" s="342">
        <f>1-(INDEX(Muuttujat!$O$5:$O$21,MATCH($C42,Muuttujat!$N$5:$N$21,0),1))</f>
        <v>1</v>
      </c>
      <c r="Q42" s="342">
        <f>INDEX(Muuttujat!$O$5:$O$21,MATCH($C42,Muuttujat!$N$5:$N$21,0),1)</f>
        <v>0</v>
      </c>
      <c r="R42" s="148">
        <f>INDEX(Muuttujat!$P$5:$P$21,MATCH($C42,Muuttujat!$N$5:$N$21,0),1)</f>
        <v>0</v>
      </c>
      <c r="S42" s="149">
        <f t="shared" si="4"/>
        <v>0</v>
      </c>
      <c r="T42" s="150">
        <f t="shared" si="5"/>
        <v>0</v>
      </c>
      <c r="U42" s="150">
        <f t="shared" si="6"/>
        <v>0</v>
      </c>
      <c r="V42" s="150">
        <f>IFERROR(INDEX(Työkonekanta!$J$3:$J$27,MATCH($A42,Työkonekanta!$A$3:$A$24,0),1)*$B42*ef_li_ion_akku/1000/1000/INDEX(Työkonekanta!$K$3:$K$27,MATCH($A42,Työkonekanta!$A$3:$A$24,0)),0)</f>
        <v>0</v>
      </c>
      <c r="W42" s="149">
        <f t="shared" si="7"/>
        <v>0</v>
      </c>
      <c r="X42" s="150">
        <f t="shared" si="8"/>
        <v>0</v>
      </c>
      <c r="Y42" s="151">
        <f t="shared" si="9"/>
        <v>0</v>
      </c>
      <c r="Z42" s="152">
        <f t="shared" si="14"/>
        <v>0</v>
      </c>
      <c r="AA42" s="153">
        <f t="shared" si="15"/>
        <v>0</v>
      </c>
      <c r="AB42" s="153">
        <f t="shared" si="16"/>
        <v>0</v>
      </c>
      <c r="AC42" s="154">
        <f t="shared" si="10"/>
        <v>0</v>
      </c>
      <c r="AD42" s="156">
        <f t="shared" si="17"/>
        <v>0</v>
      </c>
      <c r="AE42" s="182"/>
      <c r="AG42" s="2"/>
    </row>
    <row r="43" spans="1:33">
      <c r="A43" s="139">
        <v>11</v>
      </c>
      <c r="B43" s="139" cm="1">
        <f t="array" ref="B43">IFERROR(IF(A43=s1_id_korvattava1,INDEX($AG$3:$AG$19,MATCH(C43,$AF$3:$AF$19,0),1),IF(A43=s1_id_korvaava1,INDEX($AH$3:$AH$19,MATCH(C43,$AF$3:$AF$19,0),1),IF(A43=s1_id_korvattava2,INDEX($AI$3:$AI$19,MATCH(C43,$AF$3:$AF$19,0),1),IF(A43=s1_id_korvaava2,INDEX($AJ$3:$AJ$19,MATCH(C43,$AF$3:$AF$19,0),1),INDEX(Työkonekanta!$F$3:$F$27,MATCH('S1 Sähkö'!$A43,Työkonekanta!$A$3:$A$24,0),1))))),0)</f>
        <v>1</v>
      </c>
      <c r="C43" s="140">
        <v>2020</v>
      </c>
      <c r="D43" s="141" t="str">
        <f>IFERROR(INDEX(Työkonekanta!$D$3:$D$27,MATCH('S1 Sähkö'!$A43,Työkonekanta!$A$3:$A$24,0),1),"undefined")</f>
        <v>pom</v>
      </c>
      <c r="E43" s="145">
        <f>IFERROR(INDEX(Työkonekanta!$G$3:$G$27,MATCH($A43,Työkonekanta!$A$3:$A$24,0),1)*INDEX(Työkonekanta!$H$3:$H$27,MATCH($A43,Työkonekanta!$A$3:$A$24,0),1)*(1+s1_kerroin*($C43-2019))*$B43,0)</f>
        <v>10100</v>
      </c>
      <c r="F43" s="145">
        <f t="shared" si="0"/>
        <v>362590</v>
      </c>
      <c r="G43" s="145">
        <f t="shared" si="11"/>
        <v>362590</v>
      </c>
      <c r="H43" s="145">
        <f t="shared" si="12"/>
        <v>0</v>
      </c>
      <c r="I43" s="145">
        <f t="shared" si="1"/>
        <v>10100</v>
      </c>
      <c r="J43" s="145">
        <f t="shared" si="2"/>
        <v>0</v>
      </c>
      <c r="K43" s="142" t="str">
        <f t="shared" si="13"/>
        <v>l</v>
      </c>
      <c r="L43" s="146">
        <f>IFERROR(INDEX(Työkonekanta!$I$3:$I$27,MATCH('S1 Sähkö'!$A43,Työkonekanta!$A$3:$A$24,0),1)*(I43+J43)*f_adblue,0)</f>
        <v>505</v>
      </c>
      <c r="M43" s="146">
        <f t="shared" si="3"/>
        <v>0</v>
      </c>
      <c r="N43" s="143" t="str">
        <f>IF(tuulisähkö_vuosi&lt;='S1 Sähkö'!C43,"tuulisähkö",ostosähkö_nyt)</f>
        <v>jäännössähkö</v>
      </c>
      <c r="O43" s="147">
        <f>INDEX(Muuttujat!$J$5:$J$21,MATCH($C43,Muuttujat!$H$5:$H$21,0),1)</f>
        <v>68.554749999999999</v>
      </c>
      <c r="P43" s="342">
        <f>1-(INDEX(Muuttujat!$O$5:$O$21,MATCH($C43,Muuttujat!$N$5:$N$21,0),1))</f>
        <v>1</v>
      </c>
      <c r="Q43" s="342">
        <f>INDEX(Muuttujat!$O$5:$O$21,MATCH($C43,Muuttujat!$N$5:$N$21,0),1)</f>
        <v>0</v>
      </c>
      <c r="R43" s="148">
        <f>INDEX(Muuttujat!$P$5:$P$21,MATCH($C43,Muuttujat!$N$5:$N$21,0),1)</f>
        <v>0</v>
      </c>
      <c r="S43" s="149">
        <f t="shared" si="4"/>
        <v>6.8529509999999991</v>
      </c>
      <c r="T43" s="150">
        <f t="shared" si="5"/>
        <v>0</v>
      </c>
      <c r="U43" s="150">
        <f t="shared" si="6"/>
        <v>0</v>
      </c>
      <c r="V43" s="150">
        <f>IFERROR(INDEX(Työkonekanta!$J$3:$J$27,MATCH($A43,Työkonekanta!$A$3:$A$24,0),1)*$B43*ef_li_ion_akku/1000/1000/INDEX(Työkonekanta!$K$3:$K$27,MATCH($A43,Työkonekanta!$A$3:$A$24,0)),0)</f>
        <v>0</v>
      </c>
      <c r="W43" s="149">
        <f t="shared" si="7"/>
        <v>26.762134918859999</v>
      </c>
      <c r="X43" s="150">
        <f t="shared" si="8"/>
        <v>0.3209231166</v>
      </c>
      <c r="Y43" s="151">
        <f t="shared" si="9"/>
        <v>0.1313</v>
      </c>
      <c r="Z43" s="152">
        <f t="shared" si="14"/>
        <v>6.8529509999999991</v>
      </c>
      <c r="AA43" s="153">
        <f t="shared" si="15"/>
        <v>26.893434918859999</v>
      </c>
      <c r="AB43" s="153">
        <f t="shared" si="16"/>
        <v>27.214358035459998</v>
      </c>
      <c r="AC43" s="154">
        <f t="shared" si="10"/>
        <v>33.74638591886</v>
      </c>
      <c r="AD43" s="156">
        <f t="shared" si="17"/>
        <v>34.067309035459999</v>
      </c>
      <c r="AE43" s="182"/>
      <c r="AG43" s="2"/>
    </row>
    <row r="44" spans="1:33">
      <c r="A44" s="139">
        <v>12</v>
      </c>
      <c r="B44" s="139" cm="1">
        <f t="array" ref="B44">IFERROR(IF(A44=s1_id_korvattava1,INDEX($AG$3:$AG$19,MATCH(C44,$AF$3:$AF$19,0),1),IF(A44=s1_id_korvaava1,INDEX($AH$3:$AH$19,MATCH(C44,$AF$3:$AF$19,0),1),IF(A44=s1_id_korvattava2,INDEX($AI$3:$AI$19,MATCH(C44,$AF$3:$AF$19,0),1),IF(A44=s1_id_korvaava2,INDEX($AJ$3:$AJ$19,MATCH(C44,$AF$3:$AF$19,0),1),INDEX(Työkonekanta!$F$3:$F$27,MATCH('S1 Sähkö'!$A44,Työkonekanta!$A$3:$A$24,0),1))))),0)</f>
        <v>1</v>
      </c>
      <c r="C44" s="140">
        <v>2020</v>
      </c>
      <c r="D44" s="141" t="str">
        <f>IFERROR(INDEX(Työkonekanta!$D$3:$D$27,MATCH('S1 Sähkö'!$A44,Työkonekanta!$A$3:$A$24,0),1),"undefined")</f>
        <v>pom</v>
      </c>
      <c r="E44" s="145">
        <f>IFERROR(INDEX(Työkonekanta!$G$3:$G$27,MATCH($A44,Työkonekanta!$A$3:$A$24,0),1)*INDEX(Työkonekanta!$H$3:$H$27,MATCH($A44,Työkonekanta!$A$3:$A$24,0),1)*(1+s1_kerroin*($C44-2019))*$B44,0)</f>
        <v>10100</v>
      </c>
      <c r="F44" s="145">
        <f t="shared" si="0"/>
        <v>362590</v>
      </c>
      <c r="G44" s="145">
        <f t="shared" si="11"/>
        <v>362590</v>
      </c>
      <c r="H44" s="145">
        <f t="shared" si="12"/>
        <v>0</v>
      </c>
      <c r="I44" s="145">
        <f t="shared" si="1"/>
        <v>10100</v>
      </c>
      <c r="J44" s="145">
        <f t="shared" si="2"/>
        <v>0</v>
      </c>
      <c r="K44" s="142" t="str">
        <f t="shared" si="13"/>
        <v>l</v>
      </c>
      <c r="L44" s="146">
        <f>IFERROR(INDEX(Työkonekanta!$I$3:$I$27,MATCH('S1 Sähkö'!$A44,Työkonekanta!$A$3:$A$24,0),1)*(I44+J44)*f_adblue,0)</f>
        <v>505</v>
      </c>
      <c r="M44" s="146">
        <f t="shared" si="3"/>
        <v>0</v>
      </c>
      <c r="N44" s="143" t="str">
        <f>IF(tuulisähkö_vuosi&lt;='S1 Sähkö'!C44,"tuulisähkö",ostosähkö_nyt)</f>
        <v>jäännössähkö</v>
      </c>
      <c r="O44" s="147">
        <f>INDEX(Muuttujat!$J$5:$J$21,MATCH($C44,Muuttujat!$H$5:$H$21,0),1)</f>
        <v>68.554749999999999</v>
      </c>
      <c r="P44" s="342">
        <f>1-(INDEX(Muuttujat!$O$5:$O$21,MATCH($C44,Muuttujat!$N$5:$N$21,0),1))</f>
        <v>1</v>
      </c>
      <c r="Q44" s="342">
        <f>INDEX(Muuttujat!$O$5:$O$21,MATCH($C44,Muuttujat!$N$5:$N$21,0),1)</f>
        <v>0</v>
      </c>
      <c r="R44" s="148">
        <f>INDEX(Muuttujat!$P$5:$P$21,MATCH($C44,Muuttujat!$N$5:$N$21,0),1)</f>
        <v>0</v>
      </c>
      <c r="S44" s="149">
        <f t="shared" si="4"/>
        <v>6.8529509999999991</v>
      </c>
      <c r="T44" s="150">
        <f t="shared" si="5"/>
        <v>0</v>
      </c>
      <c r="U44" s="150">
        <f t="shared" si="6"/>
        <v>0</v>
      </c>
      <c r="V44" s="150">
        <f>IFERROR(INDEX(Työkonekanta!$J$3:$J$27,MATCH($A44,Työkonekanta!$A$3:$A$24,0),1)*$B44*ef_li_ion_akku/1000/1000/INDEX(Työkonekanta!$K$3:$K$27,MATCH($A44,Työkonekanta!$A$3:$A$24,0)),0)</f>
        <v>0</v>
      </c>
      <c r="W44" s="149">
        <f t="shared" si="7"/>
        <v>26.762134918859999</v>
      </c>
      <c r="X44" s="150">
        <f t="shared" si="8"/>
        <v>0.3209231166</v>
      </c>
      <c r="Y44" s="151">
        <f t="shared" si="9"/>
        <v>0.1313</v>
      </c>
      <c r="Z44" s="152">
        <f t="shared" si="14"/>
        <v>6.8529509999999991</v>
      </c>
      <c r="AA44" s="153">
        <f t="shared" si="15"/>
        <v>26.893434918859999</v>
      </c>
      <c r="AB44" s="153">
        <f t="shared" si="16"/>
        <v>27.214358035459998</v>
      </c>
      <c r="AC44" s="154">
        <f t="shared" si="10"/>
        <v>33.74638591886</v>
      </c>
      <c r="AD44" s="156">
        <f t="shared" si="17"/>
        <v>34.067309035459999</v>
      </c>
      <c r="AE44" s="182"/>
      <c r="AG44" s="2"/>
    </row>
    <row r="45" spans="1:33">
      <c r="A45" s="139">
        <v>13</v>
      </c>
      <c r="B45" s="139" cm="1">
        <f t="array" ref="B45">IFERROR(IF(A45=s1_id_korvattava1,INDEX($AG$3:$AG$19,MATCH(C45,$AF$3:$AF$19,0),1),IF(A45=s1_id_korvaava1,INDEX($AH$3:$AH$19,MATCH(C45,$AF$3:$AF$19,0),1),IF(A45=s1_id_korvattava2,INDEX($AI$3:$AI$19,MATCH(C45,$AF$3:$AF$19,0),1),IF(A45=s1_id_korvaava2,INDEX($AJ$3:$AJ$19,MATCH(C45,$AF$3:$AF$19,0),1),INDEX(Työkonekanta!$F$3:$F$27,MATCH('S1 Sähkö'!$A45,Työkonekanta!$A$3:$A$24,0),1))))),0)</f>
        <v>0</v>
      </c>
      <c r="C45" s="140">
        <v>2020</v>
      </c>
      <c r="D45" s="141" t="str">
        <f>IFERROR(INDEX(Työkonekanta!$D$3:$D$27,MATCH('S1 Sähkö'!$A45,Työkonekanta!$A$3:$A$24,0),1),"undefined")</f>
        <v>pom</v>
      </c>
      <c r="E45" s="145">
        <f>IFERROR(INDEX(Työkonekanta!$G$3:$G$27,MATCH($A45,Työkonekanta!$A$3:$A$24,0),1)*INDEX(Työkonekanta!$H$3:$H$27,MATCH($A45,Työkonekanta!$A$3:$A$24,0),1)*(1+s1_kerroin*($C45-2019))*$B45,0)</f>
        <v>0</v>
      </c>
      <c r="F45" s="145">
        <f t="shared" si="0"/>
        <v>0</v>
      </c>
      <c r="G45" s="145">
        <f t="shared" si="11"/>
        <v>0</v>
      </c>
      <c r="H45" s="145">
        <f t="shared" si="12"/>
        <v>0</v>
      </c>
      <c r="I45" s="145">
        <f t="shared" si="1"/>
        <v>0</v>
      </c>
      <c r="J45" s="145">
        <f t="shared" si="2"/>
        <v>0</v>
      </c>
      <c r="K45" s="142" t="str">
        <f t="shared" si="13"/>
        <v>l</v>
      </c>
      <c r="L45" s="146">
        <f>IFERROR(INDEX(Työkonekanta!$I$3:$I$27,MATCH('S1 Sähkö'!$A45,Työkonekanta!$A$3:$A$24,0),1)*(I45+J45)*f_adblue,0)</f>
        <v>0</v>
      </c>
      <c r="M45" s="146">
        <f t="shared" si="3"/>
        <v>0</v>
      </c>
      <c r="N45" s="143" t="str">
        <f>IF(tuulisähkö_vuosi&lt;='S1 Sähkö'!C45,"tuulisähkö",ostosähkö_nyt)</f>
        <v>jäännössähkö</v>
      </c>
      <c r="O45" s="147">
        <f>INDEX(Muuttujat!$J$5:$J$21,MATCH($C45,Muuttujat!$H$5:$H$21,0),1)</f>
        <v>68.554749999999999</v>
      </c>
      <c r="P45" s="342">
        <f>1-(INDEX(Muuttujat!$O$5:$O$21,MATCH($C45,Muuttujat!$N$5:$N$21,0),1))</f>
        <v>1</v>
      </c>
      <c r="Q45" s="342">
        <f>INDEX(Muuttujat!$O$5:$O$21,MATCH($C45,Muuttujat!$N$5:$N$21,0),1)</f>
        <v>0</v>
      </c>
      <c r="R45" s="148">
        <f>INDEX(Muuttujat!$P$5:$P$21,MATCH($C45,Muuttujat!$N$5:$N$21,0),1)</f>
        <v>0</v>
      </c>
      <c r="S45" s="149">
        <f t="shared" si="4"/>
        <v>0</v>
      </c>
      <c r="T45" s="150">
        <f t="shared" si="5"/>
        <v>0</v>
      </c>
      <c r="U45" s="150">
        <f t="shared" si="6"/>
        <v>0</v>
      </c>
      <c r="V45" s="150">
        <f>IFERROR(INDEX(Työkonekanta!$J$3:$J$27,MATCH($A45,Työkonekanta!$A$3:$A$24,0),1)*$B45*ef_li_ion_akku/1000/1000/INDEX(Työkonekanta!$K$3:$K$27,MATCH($A45,Työkonekanta!$A$3:$A$24,0)),0)</f>
        <v>0</v>
      </c>
      <c r="W45" s="149">
        <f t="shared" si="7"/>
        <v>0</v>
      </c>
      <c r="X45" s="150">
        <f t="shared" si="8"/>
        <v>0</v>
      </c>
      <c r="Y45" s="151">
        <f t="shared" si="9"/>
        <v>0</v>
      </c>
      <c r="Z45" s="152">
        <f t="shared" si="14"/>
        <v>0</v>
      </c>
      <c r="AA45" s="153">
        <f t="shared" si="15"/>
        <v>0</v>
      </c>
      <c r="AB45" s="153">
        <f t="shared" si="16"/>
        <v>0</v>
      </c>
      <c r="AC45" s="154">
        <f t="shared" si="10"/>
        <v>0</v>
      </c>
      <c r="AD45" s="156">
        <f t="shared" si="17"/>
        <v>0</v>
      </c>
      <c r="AE45" s="182"/>
      <c r="AG45" s="2"/>
    </row>
    <row r="46" spans="1:33">
      <c r="A46" s="139">
        <v>14</v>
      </c>
      <c r="B46" s="139" cm="1">
        <f t="array" ref="B46">IFERROR(IF(A46=s1_id_korvattava1,INDEX($AG$3:$AG$19,MATCH(C46,$AF$3:$AF$19,0),1),IF(A46=s1_id_korvaava1,INDEX($AH$3:$AH$19,MATCH(C46,$AF$3:$AF$19,0),1),IF(A46=s1_id_korvattava2,INDEX($AI$3:$AI$19,MATCH(C46,$AF$3:$AF$19,0),1),IF(A46=s1_id_korvaava2,INDEX($AJ$3:$AJ$19,MATCH(C46,$AF$3:$AF$19,0),1),INDEX(Työkonekanta!$F$3:$F$27,MATCH('S1 Sähkö'!$A46,Työkonekanta!$A$3:$A$24,0),1))))),0)</f>
        <v>0</v>
      </c>
      <c r="C46" s="140">
        <v>2020</v>
      </c>
      <c r="D46" s="141" t="str">
        <f>IFERROR(INDEX(Työkonekanta!$D$3:$D$27,MATCH('S1 Sähkö'!$A46,Työkonekanta!$A$3:$A$24,0),1),"undefined")</f>
        <v>pom</v>
      </c>
      <c r="E46" s="145">
        <f>IFERROR(INDEX(Työkonekanta!$G$3:$G$27,MATCH($A46,Työkonekanta!$A$3:$A$24,0),1)*INDEX(Työkonekanta!$H$3:$H$27,MATCH($A46,Työkonekanta!$A$3:$A$24,0),1)*(1+s1_kerroin*($C46-2019))*$B46,0)</f>
        <v>0</v>
      </c>
      <c r="F46" s="145">
        <f t="shared" si="0"/>
        <v>0</v>
      </c>
      <c r="G46" s="145">
        <f t="shared" si="11"/>
        <v>0</v>
      </c>
      <c r="H46" s="145">
        <f t="shared" si="12"/>
        <v>0</v>
      </c>
      <c r="I46" s="145">
        <f t="shared" si="1"/>
        <v>0</v>
      </c>
      <c r="J46" s="145">
        <f t="shared" si="2"/>
        <v>0</v>
      </c>
      <c r="K46" s="142" t="str">
        <f t="shared" si="13"/>
        <v>l</v>
      </c>
      <c r="L46" s="146">
        <f>IFERROR(INDEX(Työkonekanta!$I$3:$I$27,MATCH('S1 Sähkö'!$A46,Työkonekanta!$A$3:$A$24,0),1)*(I46+J46)*f_adblue,0)</f>
        <v>0</v>
      </c>
      <c r="M46" s="146">
        <f t="shared" si="3"/>
        <v>0</v>
      </c>
      <c r="N46" s="143" t="str">
        <f>IF(tuulisähkö_vuosi&lt;='S1 Sähkö'!C46,"tuulisähkö",ostosähkö_nyt)</f>
        <v>jäännössähkö</v>
      </c>
      <c r="O46" s="147">
        <f>INDEX(Muuttujat!$J$5:$J$21,MATCH($C46,Muuttujat!$H$5:$H$21,0),1)</f>
        <v>68.554749999999999</v>
      </c>
      <c r="P46" s="342">
        <f>1-(INDEX(Muuttujat!$O$5:$O$21,MATCH($C46,Muuttujat!$N$5:$N$21,0),1))</f>
        <v>1</v>
      </c>
      <c r="Q46" s="342">
        <f>INDEX(Muuttujat!$O$5:$O$21,MATCH($C46,Muuttujat!$N$5:$N$21,0),1)</f>
        <v>0</v>
      </c>
      <c r="R46" s="148">
        <f>INDEX(Muuttujat!$P$5:$P$21,MATCH($C46,Muuttujat!$N$5:$N$21,0),1)</f>
        <v>0</v>
      </c>
      <c r="S46" s="149">
        <f t="shared" si="4"/>
        <v>0</v>
      </c>
      <c r="T46" s="150">
        <f t="shared" si="5"/>
        <v>0</v>
      </c>
      <c r="U46" s="150">
        <f t="shared" si="6"/>
        <v>0</v>
      </c>
      <c r="V46" s="150">
        <f>IFERROR(INDEX(Työkonekanta!$J$3:$J$27,MATCH($A46,Työkonekanta!$A$3:$A$24,0),1)*$B46*ef_li_ion_akku/1000/1000/INDEX(Työkonekanta!$K$3:$K$27,MATCH($A46,Työkonekanta!$A$3:$A$24,0)),0)</f>
        <v>0</v>
      </c>
      <c r="W46" s="149">
        <f t="shared" si="7"/>
        <v>0</v>
      </c>
      <c r="X46" s="150">
        <f t="shared" si="8"/>
        <v>0</v>
      </c>
      <c r="Y46" s="151">
        <f t="shared" si="9"/>
        <v>0</v>
      </c>
      <c r="Z46" s="152">
        <f t="shared" si="14"/>
        <v>0</v>
      </c>
      <c r="AA46" s="153">
        <f t="shared" si="15"/>
        <v>0</v>
      </c>
      <c r="AB46" s="153">
        <f t="shared" si="16"/>
        <v>0</v>
      </c>
      <c r="AC46" s="154">
        <f t="shared" si="10"/>
        <v>0</v>
      </c>
      <c r="AD46" s="156">
        <f t="shared" si="17"/>
        <v>0</v>
      </c>
      <c r="AE46" s="182"/>
      <c r="AG46" s="2"/>
    </row>
    <row r="47" spans="1:33">
      <c r="A47" s="139">
        <v>15</v>
      </c>
      <c r="B47" s="139" cm="1">
        <f t="array" ref="B47">IFERROR(IF(A47=s1_id_korvattava1,INDEX($AG$3:$AG$19,MATCH(C47,$AF$3:$AF$19,0),1),IF(A47=s1_id_korvaava1,INDEX($AH$3:$AH$19,MATCH(C47,$AF$3:$AF$19,0),1),IF(A47=s1_id_korvattava2,INDEX($AI$3:$AI$19,MATCH(C47,$AF$3:$AF$19,0),1),IF(A47=s1_id_korvaava2,INDEX($AJ$3:$AJ$19,MATCH(C47,$AF$3:$AF$19,0),1),INDEX(Työkonekanta!$F$3:$F$27,MATCH('S1 Sähkö'!$A47,Työkonekanta!$A$3:$A$24,0),1))))),0)</f>
        <v>0</v>
      </c>
      <c r="C47" s="140">
        <v>2020</v>
      </c>
      <c r="D47" s="141" t="str">
        <f>IFERROR(INDEX(Työkonekanta!$D$3:$D$27,MATCH('S1 Sähkö'!$A47,Työkonekanta!$A$3:$A$24,0),1),"undefined")</f>
        <v>sähkö</v>
      </c>
      <c r="E47" s="145">
        <f>IFERROR(INDEX(Työkonekanta!$G$3:$G$27,MATCH($A47,Työkonekanta!$A$3:$A$24,0),1)*INDEX(Työkonekanta!$H$3:$H$27,MATCH($A47,Työkonekanta!$A$3:$A$24,0),1)*(1+s1_kerroin*($C47-2019))*$B47,0)</f>
        <v>0</v>
      </c>
      <c r="F47" s="145">
        <f t="shared" si="0"/>
        <v>0</v>
      </c>
      <c r="G47" s="145">
        <f t="shared" si="11"/>
        <v>0</v>
      </c>
      <c r="H47" s="145">
        <f t="shared" si="12"/>
        <v>0</v>
      </c>
      <c r="I47" s="145">
        <f t="shared" si="1"/>
        <v>0</v>
      </c>
      <c r="J47" s="145">
        <f t="shared" si="2"/>
        <v>0</v>
      </c>
      <c r="K47" s="142" t="str">
        <f t="shared" si="13"/>
        <v>kWh</v>
      </c>
      <c r="L47" s="146">
        <f>IFERROR(INDEX(Työkonekanta!$I$3:$I$27,MATCH('S1 Sähkö'!$A47,Työkonekanta!$A$3:$A$24,0),1)*(I47+J47)*f_adblue,0)</f>
        <v>0</v>
      </c>
      <c r="M47" s="146">
        <f t="shared" si="3"/>
        <v>0</v>
      </c>
      <c r="N47" s="143" t="str">
        <f>IF(tuulisähkö_vuosi&lt;='S1 Sähkö'!C47,"tuulisähkö",ostosähkö_nyt)</f>
        <v>jäännössähkö</v>
      </c>
      <c r="O47" s="147">
        <f>INDEX(Muuttujat!$J$5:$J$21,MATCH($C47,Muuttujat!$H$5:$H$21,0),1)</f>
        <v>68.554749999999999</v>
      </c>
      <c r="P47" s="342">
        <f>1-(INDEX(Muuttujat!$O$5:$O$21,MATCH($C47,Muuttujat!$N$5:$N$21,0),1))</f>
        <v>1</v>
      </c>
      <c r="Q47" s="342">
        <f>INDEX(Muuttujat!$O$5:$O$21,MATCH($C47,Muuttujat!$N$5:$N$21,0),1)</f>
        <v>0</v>
      </c>
      <c r="R47" s="148">
        <f>INDEX(Muuttujat!$P$5:$P$21,MATCH($C47,Muuttujat!$N$5:$N$21,0),1)</f>
        <v>0</v>
      </c>
      <c r="S47" s="149">
        <f t="shared" si="4"/>
        <v>0</v>
      </c>
      <c r="T47" s="150">
        <f t="shared" si="5"/>
        <v>0</v>
      </c>
      <c r="U47" s="150">
        <f t="shared" si="6"/>
        <v>0</v>
      </c>
      <c r="V47" s="150">
        <f>IFERROR(INDEX(Työkonekanta!$J$3:$J$27,MATCH($A47,Työkonekanta!$A$3:$A$24,0),1)*$B47*ef_li_ion_akku/1000/1000/INDEX(Työkonekanta!$K$3:$K$27,MATCH($A47,Työkonekanta!$A$3:$A$24,0)),0)</f>
        <v>0</v>
      </c>
      <c r="W47" s="149">
        <f t="shared" si="7"/>
        <v>0</v>
      </c>
      <c r="X47" s="150">
        <f t="shared" si="8"/>
        <v>0</v>
      </c>
      <c r="Y47" s="151">
        <f t="shared" si="9"/>
        <v>0</v>
      </c>
      <c r="Z47" s="152">
        <f t="shared" si="14"/>
        <v>0</v>
      </c>
      <c r="AA47" s="153">
        <f t="shared" si="15"/>
        <v>0</v>
      </c>
      <c r="AB47" s="153">
        <f t="shared" si="16"/>
        <v>0</v>
      </c>
      <c r="AC47" s="154">
        <f t="shared" si="10"/>
        <v>0</v>
      </c>
      <c r="AD47" s="156">
        <f t="shared" si="17"/>
        <v>0</v>
      </c>
      <c r="AE47" s="182"/>
      <c r="AG47" s="2"/>
    </row>
    <row r="48" spans="1:33">
      <c r="A48" s="139">
        <v>16</v>
      </c>
      <c r="B48" s="139" cm="1">
        <f t="array" ref="B48">IFERROR(IF(A48=s1_id_korvattava1,INDEX($AG$3:$AG$19,MATCH(C48,$AF$3:$AF$19,0),1),IF(A48=s1_id_korvaava1,INDEX($AH$3:$AH$19,MATCH(C48,$AF$3:$AF$19,0),1),IF(A48=s1_id_korvattava2,INDEX($AI$3:$AI$19,MATCH(C48,$AF$3:$AF$19,0),1),IF(A48=s1_id_korvaava2,INDEX($AJ$3:$AJ$19,MATCH(C48,$AF$3:$AF$19,0),1),INDEX(Työkonekanta!$F$3:$F$27,MATCH('S1 Sähkö'!$A48,Työkonekanta!$A$3:$A$24,0),1))))),0)</f>
        <v>0</v>
      </c>
      <c r="C48" s="140">
        <v>2020</v>
      </c>
      <c r="D48" s="141" t="str">
        <f>IFERROR(INDEX(Työkonekanta!$D$3:$D$27,MATCH('S1 Sähkö'!$A48,Työkonekanta!$A$3:$A$24,0),1),"undefined")</f>
        <v>sähkö</v>
      </c>
      <c r="E48" s="145">
        <f>IFERROR(INDEX(Työkonekanta!$G$3:$G$27,MATCH($A48,Työkonekanta!$A$3:$A$24,0),1)*INDEX(Työkonekanta!$H$3:$H$27,MATCH($A48,Työkonekanta!$A$3:$A$24,0),1)*(1+s1_kerroin*($C48-2019))*$B48,0)</f>
        <v>0</v>
      </c>
      <c r="F48" s="145">
        <f t="shared" si="0"/>
        <v>0</v>
      </c>
      <c r="G48" s="145">
        <f t="shared" si="11"/>
        <v>0</v>
      </c>
      <c r="H48" s="145">
        <f t="shared" si="12"/>
        <v>0</v>
      </c>
      <c r="I48" s="145">
        <f t="shared" si="1"/>
        <v>0</v>
      </c>
      <c r="J48" s="145">
        <f t="shared" si="2"/>
        <v>0</v>
      </c>
      <c r="K48" s="142" t="str">
        <f t="shared" si="13"/>
        <v>kWh</v>
      </c>
      <c r="L48" s="146">
        <f>IFERROR(INDEX(Työkonekanta!$I$3:$I$27,MATCH('S1 Sähkö'!$A48,Työkonekanta!$A$3:$A$24,0),1)*(I48+J48)*f_adblue,0)</f>
        <v>0</v>
      </c>
      <c r="M48" s="146">
        <f t="shared" si="3"/>
        <v>0</v>
      </c>
      <c r="N48" s="143" t="str">
        <f>IF(tuulisähkö_vuosi&lt;='S1 Sähkö'!C48,"tuulisähkö",ostosähkö_nyt)</f>
        <v>jäännössähkö</v>
      </c>
      <c r="O48" s="147">
        <f>INDEX(Muuttujat!$J$5:$J$21,MATCH($C48,Muuttujat!$H$5:$H$21,0),1)</f>
        <v>68.554749999999999</v>
      </c>
      <c r="P48" s="342">
        <f>1-(INDEX(Muuttujat!$O$5:$O$21,MATCH($C48,Muuttujat!$N$5:$N$21,0),1))</f>
        <v>1</v>
      </c>
      <c r="Q48" s="342">
        <f>INDEX(Muuttujat!$O$5:$O$21,MATCH($C48,Muuttujat!$N$5:$N$21,0),1)</f>
        <v>0</v>
      </c>
      <c r="R48" s="148">
        <f>INDEX(Muuttujat!$P$5:$P$21,MATCH($C48,Muuttujat!$N$5:$N$21,0),1)</f>
        <v>0</v>
      </c>
      <c r="S48" s="149">
        <f t="shared" si="4"/>
        <v>0</v>
      </c>
      <c r="T48" s="150">
        <f t="shared" si="5"/>
        <v>0</v>
      </c>
      <c r="U48" s="150">
        <f t="shared" si="6"/>
        <v>0</v>
      </c>
      <c r="V48" s="150">
        <f>IFERROR(INDEX(Työkonekanta!$J$3:$J$27,MATCH($A48,Työkonekanta!$A$3:$A$24,0),1)*$B48*ef_li_ion_akku/1000/1000/INDEX(Työkonekanta!$K$3:$K$27,MATCH($A48,Työkonekanta!$A$3:$A$24,0)),0)</f>
        <v>0</v>
      </c>
      <c r="W48" s="149">
        <f t="shared" si="7"/>
        <v>0</v>
      </c>
      <c r="X48" s="150">
        <f t="shared" si="8"/>
        <v>0</v>
      </c>
      <c r="Y48" s="151">
        <f t="shared" si="9"/>
        <v>0</v>
      </c>
      <c r="Z48" s="152">
        <f t="shared" si="14"/>
        <v>0</v>
      </c>
      <c r="AA48" s="153">
        <f t="shared" si="15"/>
        <v>0</v>
      </c>
      <c r="AB48" s="153">
        <f t="shared" si="16"/>
        <v>0</v>
      </c>
      <c r="AC48" s="154">
        <f t="shared" si="10"/>
        <v>0</v>
      </c>
      <c r="AD48" s="156">
        <f t="shared" si="17"/>
        <v>0</v>
      </c>
      <c r="AE48" s="182"/>
      <c r="AG48" s="2"/>
    </row>
    <row r="49" spans="1:37">
      <c r="A49" s="139">
        <v>17</v>
      </c>
      <c r="B49" s="139" cm="1">
        <f t="array" ref="B49">IFERROR(IF(A49=s1_id_korvattava1,INDEX($AG$3:$AG$19,MATCH(C49,$AF$3:$AF$19,0),1),IF(A49=s1_id_korvaava1,INDEX($AH$3:$AH$19,MATCH(C49,$AF$3:$AF$19,0),1),IF(A49=s1_id_korvattava2,INDEX($AI$3:$AI$19,MATCH(C49,$AF$3:$AF$19,0),1),IF(A49=s1_id_korvaava2,INDEX($AJ$3:$AJ$19,MATCH(C49,$AF$3:$AF$19,0),1),INDEX(Työkonekanta!$F$3:$F$27,MATCH('S1 Sähkö'!$A49,Työkonekanta!$A$3:$A$24,0),1))))),0)</f>
        <v>1</v>
      </c>
      <c r="C49" s="140">
        <v>2020</v>
      </c>
      <c r="D49" s="141" t="str">
        <f>IFERROR(INDEX(Työkonekanta!$D$3:$D$27,MATCH('S1 Sähkö'!$A49,Työkonekanta!$A$3:$A$24,0),1),"undefined")</f>
        <v>pom</v>
      </c>
      <c r="E49" s="145">
        <f>IFERROR(INDEX(Työkonekanta!$G$3:$G$27,MATCH($A49,Työkonekanta!$A$3:$A$24,0),1)*INDEX(Työkonekanta!$H$3:$H$27,MATCH($A49,Työkonekanta!$A$3:$A$24,0),1)*(1+s1_kerroin*($C49-2019))*$B49,0)</f>
        <v>10100</v>
      </c>
      <c r="F49" s="145">
        <f t="shared" si="0"/>
        <v>362590</v>
      </c>
      <c r="G49" s="145">
        <f t="shared" si="11"/>
        <v>362590</v>
      </c>
      <c r="H49" s="145">
        <f t="shared" si="12"/>
        <v>0</v>
      </c>
      <c r="I49" s="145">
        <f t="shared" si="1"/>
        <v>10100</v>
      </c>
      <c r="J49" s="145">
        <f t="shared" si="2"/>
        <v>0</v>
      </c>
      <c r="K49" s="142" t="str">
        <f t="shared" si="13"/>
        <v>l</v>
      </c>
      <c r="L49" s="146">
        <f>IFERROR(INDEX(Työkonekanta!$I$3:$I$27,MATCH('S1 Sähkö'!$A49,Työkonekanta!$A$3:$A$24,0),1)*(I49+J49)*f_adblue,0)</f>
        <v>505</v>
      </c>
      <c r="M49" s="146">
        <f t="shared" si="3"/>
        <v>0</v>
      </c>
      <c r="N49" s="143" t="str">
        <f>IF(tuulisähkö_vuosi&lt;='S1 Sähkö'!C49,"tuulisähkö",ostosähkö_nyt)</f>
        <v>jäännössähkö</v>
      </c>
      <c r="O49" s="147">
        <f>INDEX(Muuttujat!$J$5:$J$21,MATCH($C49,Muuttujat!$H$5:$H$21,0),1)</f>
        <v>68.554749999999999</v>
      </c>
      <c r="P49" s="342">
        <f>1-(INDEX(Muuttujat!$O$5:$O$21,MATCH($C49,Muuttujat!$N$5:$N$21,0),1))</f>
        <v>1</v>
      </c>
      <c r="Q49" s="342">
        <f>INDEX(Muuttujat!$O$5:$O$21,MATCH($C49,Muuttujat!$N$5:$N$21,0),1)</f>
        <v>0</v>
      </c>
      <c r="R49" s="148">
        <f>INDEX(Muuttujat!$P$5:$P$21,MATCH($C49,Muuttujat!$N$5:$N$21,0),1)</f>
        <v>0</v>
      </c>
      <c r="S49" s="149">
        <f t="shared" si="4"/>
        <v>6.8529509999999991</v>
      </c>
      <c r="T49" s="150">
        <f t="shared" si="5"/>
        <v>0</v>
      </c>
      <c r="U49" s="150">
        <f t="shared" si="6"/>
        <v>0</v>
      </c>
      <c r="V49" s="150">
        <f>IFERROR(INDEX(Työkonekanta!$J$3:$J$27,MATCH($A49,Työkonekanta!$A$3:$A$24,0),1)*$B49*ef_li_ion_akku/1000/1000/INDEX(Työkonekanta!$K$3:$K$27,MATCH($A49,Työkonekanta!$A$3:$A$24,0)),0)</f>
        <v>0</v>
      </c>
      <c r="W49" s="149">
        <f t="shared" si="7"/>
        <v>26.762134918859999</v>
      </c>
      <c r="X49" s="150">
        <f t="shared" si="8"/>
        <v>0.3209231166</v>
      </c>
      <c r="Y49" s="151">
        <f t="shared" si="9"/>
        <v>0.1313</v>
      </c>
      <c r="Z49" s="152">
        <f t="shared" si="14"/>
        <v>6.8529509999999991</v>
      </c>
      <c r="AA49" s="153">
        <f t="shared" si="15"/>
        <v>26.893434918859999</v>
      </c>
      <c r="AB49" s="153">
        <f t="shared" si="16"/>
        <v>27.214358035459998</v>
      </c>
      <c r="AC49" s="154">
        <f t="shared" si="10"/>
        <v>33.74638591886</v>
      </c>
      <c r="AD49" s="156">
        <f t="shared" si="17"/>
        <v>34.067309035459999</v>
      </c>
      <c r="AE49" s="182"/>
      <c r="AG49" s="2"/>
    </row>
    <row r="50" spans="1:37">
      <c r="A50" s="139">
        <v>18</v>
      </c>
      <c r="B50" s="139" cm="1">
        <f t="array" ref="B50">IFERROR(IF(A50=s1_id_korvattava1,INDEX($AG$3:$AG$19,MATCH(C50,$AF$3:$AF$19,0),1),IF(A50=s1_id_korvaava1,INDEX($AH$3:$AH$19,MATCH(C50,$AF$3:$AF$19,0),1),IF(A50=s1_id_korvattava2,INDEX($AI$3:$AI$19,MATCH(C50,$AF$3:$AF$19,0),1),IF(A50=s1_id_korvaava2,INDEX($AJ$3:$AJ$19,MATCH(C50,$AF$3:$AF$19,0),1),INDEX(Työkonekanta!$F$3:$F$27,MATCH('S1 Sähkö'!$A50,Työkonekanta!$A$3:$A$24,0),1))))),0)</f>
        <v>1</v>
      </c>
      <c r="C50" s="140">
        <v>2020</v>
      </c>
      <c r="D50" s="141" t="str">
        <f>IFERROR(INDEX(Työkonekanta!$D$3:$D$27,MATCH('S1 Sähkö'!$A50,Työkonekanta!$A$3:$A$24,0),1),"undefined")</f>
        <v>pom</v>
      </c>
      <c r="E50" s="145">
        <f>IFERROR(INDEX(Työkonekanta!$G$3:$G$27,MATCH($A50,Työkonekanta!$A$3:$A$24,0),1)*INDEX(Työkonekanta!$H$3:$H$27,MATCH($A50,Työkonekanta!$A$3:$A$24,0),1)*(1+s1_kerroin*($C50-2019))*$B50,0)</f>
        <v>10100</v>
      </c>
      <c r="F50" s="145">
        <f t="shared" si="0"/>
        <v>362590</v>
      </c>
      <c r="G50" s="145">
        <f t="shared" si="11"/>
        <v>362590</v>
      </c>
      <c r="H50" s="145">
        <f t="shared" si="12"/>
        <v>0</v>
      </c>
      <c r="I50" s="145">
        <f t="shared" si="1"/>
        <v>10100</v>
      </c>
      <c r="J50" s="145">
        <f t="shared" si="2"/>
        <v>0</v>
      </c>
      <c r="K50" s="142" t="str">
        <f t="shared" si="13"/>
        <v>l</v>
      </c>
      <c r="L50" s="146">
        <f>IFERROR(INDEX(Työkonekanta!$I$3:$I$27,MATCH('S1 Sähkö'!$A50,Työkonekanta!$A$3:$A$24,0),1)*(I50+J50)*f_adblue,0)</f>
        <v>404</v>
      </c>
      <c r="M50" s="146">
        <f t="shared" si="3"/>
        <v>0</v>
      </c>
      <c r="N50" s="143" t="str">
        <f>IF(tuulisähkö_vuosi&lt;='S1 Sähkö'!C50,"tuulisähkö",ostosähkö_nyt)</f>
        <v>jäännössähkö</v>
      </c>
      <c r="O50" s="147">
        <f>INDEX(Muuttujat!$J$5:$J$21,MATCH($C50,Muuttujat!$H$5:$H$21,0),1)</f>
        <v>68.554749999999999</v>
      </c>
      <c r="P50" s="342">
        <f>1-(INDEX(Muuttujat!$O$5:$O$21,MATCH($C50,Muuttujat!$N$5:$N$21,0),1))</f>
        <v>1</v>
      </c>
      <c r="Q50" s="342">
        <f>INDEX(Muuttujat!$O$5:$O$21,MATCH($C50,Muuttujat!$N$5:$N$21,0),1)</f>
        <v>0</v>
      </c>
      <c r="R50" s="148">
        <f>INDEX(Muuttujat!$P$5:$P$21,MATCH($C50,Muuttujat!$N$5:$N$21,0),1)</f>
        <v>0</v>
      </c>
      <c r="S50" s="149">
        <f t="shared" si="4"/>
        <v>6.8529509999999991</v>
      </c>
      <c r="T50" s="150">
        <f t="shared" si="5"/>
        <v>0</v>
      </c>
      <c r="U50" s="150">
        <f t="shared" si="6"/>
        <v>0</v>
      </c>
      <c r="V50" s="150">
        <f>IFERROR(INDEX(Työkonekanta!$J$3:$J$27,MATCH($A50,Työkonekanta!$A$3:$A$24,0),1)*$B50*ef_li_ion_akku/1000/1000/INDEX(Työkonekanta!$K$3:$K$27,MATCH($A50,Työkonekanta!$A$3:$A$24,0)),0)</f>
        <v>0</v>
      </c>
      <c r="W50" s="149">
        <f t="shared" si="7"/>
        <v>26.762134918859999</v>
      </c>
      <c r="X50" s="150">
        <f t="shared" si="8"/>
        <v>0.3209231166</v>
      </c>
      <c r="Y50" s="151">
        <f t="shared" si="9"/>
        <v>0.10504000000000001</v>
      </c>
      <c r="Z50" s="152">
        <f t="shared" si="14"/>
        <v>6.8529509999999991</v>
      </c>
      <c r="AA50" s="153">
        <f t="shared" si="15"/>
        <v>26.867174918859998</v>
      </c>
      <c r="AB50" s="153">
        <f t="shared" si="16"/>
        <v>27.188098035459998</v>
      </c>
      <c r="AC50" s="154">
        <f t="shared" si="10"/>
        <v>33.720125918859999</v>
      </c>
      <c r="AD50" s="156">
        <f t="shared" si="17"/>
        <v>34.041049035459999</v>
      </c>
      <c r="AE50" s="182"/>
      <c r="AG50" s="2"/>
    </row>
    <row r="51" spans="1:37">
      <c r="A51" s="139">
        <v>19</v>
      </c>
      <c r="B51" s="139" cm="1">
        <f t="array" ref="B51">IFERROR(IF(A51=s1_id_korvattava1,INDEX($AG$3:$AG$19,MATCH(C51,$AF$3:$AF$19,0),1),IF(A51=s1_id_korvaava1,INDEX($AH$3:$AH$19,MATCH(C51,$AF$3:$AF$19,0),1),IF(A51=s1_id_korvattava2,INDEX($AI$3:$AI$19,MATCH(C51,$AF$3:$AF$19,0),1),IF(A51=s1_id_korvaava2,INDEX($AJ$3:$AJ$19,MATCH(C51,$AF$3:$AF$19,0),1),INDEX(Työkonekanta!$F$3:$F$27,MATCH('S1 Sähkö'!$A51,Työkonekanta!$A$3:$A$24,0),1))))),0)</f>
        <v>0</v>
      </c>
      <c r="C51" s="140">
        <v>2020</v>
      </c>
      <c r="D51" s="141" t="str">
        <f>IFERROR(INDEX(Työkonekanta!$D$3:$D$27,MATCH('S1 Sähkö'!$A51,Työkonekanta!$A$3:$A$24,0),1),"undefined")</f>
        <v>pom</v>
      </c>
      <c r="E51" s="145">
        <f>IFERROR(INDEX(Työkonekanta!$G$3:$G$27,MATCH($A51,Työkonekanta!$A$3:$A$24,0),1)*INDEX(Työkonekanta!$H$3:$H$27,MATCH($A51,Työkonekanta!$A$3:$A$24,0),1)*(1+s1_kerroin*($C51-2019))*$B51,0)</f>
        <v>0</v>
      </c>
      <c r="F51" s="145">
        <f t="shared" si="0"/>
        <v>0</v>
      </c>
      <c r="G51" s="145">
        <f t="shared" si="11"/>
        <v>0</v>
      </c>
      <c r="H51" s="145">
        <f t="shared" si="12"/>
        <v>0</v>
      </c>
      <c r="I51" s="145">
        <f t="shared" si="1"/>
        <v>0</v>
      </c>
      <c r="J51" s="145">
        <f t="shared" si="2"/>
        <v>0</v>
      </c>
      <c r="K51" s="142" t="str">
        <f t="shared" si="13"/>
        <v>l</v>
      </c>
      <c r="L51" s="146">
        <f>IFERROR(INDEX(Työkonekanta!$I$3:$I$27,MATCH('S1 Sähkö'!$A51,Työkonekanta!$A$3:$A$24,0),1)*(I51+J51)*f_adblue,0)</f>
        <v>0</v>
      </c>
      <c r="M51" s="146">
        <f t="shared" si="3"/>
        <v>0</v>
      </c>
      <c r="N51" s="143" t="str">
        <f>IF(tuulisähkö_vuosi&lt;='S1 Sähkö'!C51,"tuulisähkö",ostosähkö_nyt)</f>
        <v>jäännössähkö</v>
      </c>
      <c r="O51" s="147">
        <f>INDEX(Muuttujat!$J$5:$J$21,MATCH($C51,Muuttujat!$H$5:$H$21,0),1)</f>
        <v>68.554749999999999</v>
      </c>
      <c r="P51" s="342">
        <f>1-(INDEX(Muuttujat!$O$5:$O$21,MATCH($C51,Muuttujat!$N$5:$N$21,0),1))</f>
        <v>1</v>
      </c>
      <c r="Q51" s="342">
        <f>INDEX(Muuttujat!$O$5:$O$21,MATCH($C51,Muuttujat!$N$5:$N$21,0),1)</f>
        <v>0</v>
      </c>
      <c r="R51" s="148">
        <f>INDEX(Muuttujat!$P$5:$P$21,MATCH($C51,Muuttujat!$N$5:$N$21,0),1)</f>
        <v>0</v>
      </c>
      <c r="S51" s="149">
        <f t="shared" si="4"/>
        <v>0</v>
      </c>
      <c r="T51" s="150">
        <f t="shared" si="5"/>
        <v>0</v>
      </c>
      <c r="U51" s="150">
        <f t="shared" si="6"/>
        <v>0</v>
      </c>
      <c r="V51" s="150">
        <f>IFERROR(INDEX(Työkonekanta!$J$3:$J$27,MATCH($A51,Työkonekanta!$A$3:$A$24,0),1)*$B51*ef_li_ion_akku/1000/1000/INDEX(Työkonekanta!$K$3:$K$27,MATCH($A51,Työkonekanta!$A$3:$A$24,0)),0)</f>
        <v>0</v>
      </c>
      <c r="W51" s="149">
        <f t="shared" si="7"/>
        <v>0</v>
      </c>
      <c r="X51" s="150">
        <f t="shared" si="8"/>
        <v>0</v>
      </c>
      <c r="Y51" s="151">
        <f t="shared" si="9"/>
        <v>0</v>
      </c>
      <c r="Z51" s="152">
        <f t="shared" si="14"/>
        <v>0</v>
      </c>
      <c r="AA51" s="153">
        <f t="shared" si="15"/>
        <v>0</v>
      </c>
      <c r="AB51" s="153">
        <f t="shared" si="16"/>
        <v>0</v>
      </c>
      <c r="AC51" s="154">
        <f t="shared" si="10"/>
        <v>0</v>
      </c>
      <c r="AD51" s="156">
        <f t="shared" si="17"/>
        <v>0</v>
      </c>
      <c r="AE51" s="182"/>
      <c r="AG51" s="2"/>
    </row>
    <row r="52" spans="1:37">
      <c r="A52" s="139">
        <v>20</v>
      </c>
      <c r="B52" s="139" cm="1">
        <f t="array" ref="B52">IFERROR(IF(A52=s1_id_korvattava1,INDEX($AG$3:$AG$19,MATCH(C52,$AF$3:$AF$19,0),1),IF(A52=s1_id_korvaava1,INDEX($AH$3:$AH$19,MATCH(C52,$AF$3:$AF$19,0),1),IF(A52=s1_id_korvattava2,INDEX($AI$3:$AI$19,MATCH(C52,$AF$3:$AF$19,0),1),IF(A52=s1_id_korvaava2,INDEX($AJ$3:$AJ$19,MATCH(C52,$AF$3:$AF$19,0),1),INDEX(Työkonekanta!$F$3:$F$27,MATCH('S1 Sähkö'!$A52,Työkonekanta!$A$3:$A$24,0),1))))),0)</f>
        <v>0</v>
      </c>
      <c r="C52" s="140">
        <v>2020</v>
      </c>
      <c r="D52" s="141" t="str">
        <f>IFERROR(INDEX(Työkonekanta!$D$3:$D$27,MATCH('S1 Sähkö'!$A52,Työkonekanta!$A$3:$A$24,0),1),"undefined")</f>
        <v>pom</v>
      </c>
      <c r="E52" s="145">
        <f>IFERROR(INDEX(Työkonekanta!$G$3:$G$27,MATCH($A52,Työkonekanta!$A$3:$A$24,0),1)*INDEX(Työkonekanta!$H$3:$H$27,MATCH($A52,Työkonekanta!$A$3:$A$24,0),1)*(1+s1_kerroin*($C52-2019))*$B52,0)</f>
        <v>0</v>
      </c>
      <c r="F52" s="145">
        <f t="shared" si="0"/>
        <v>0</v>
      </c>
      <c r="G52" s="145">
        <f t="shared" si="11"/>
        <v>0</v>
      </c>
      <c r="H52" s="145">
        <f t="shared" si="12"/>
        <v>0</v>
      </c>
      <c r="I52" s="145">
        <f t="shared" si="1"/>
        <v>0</v>
      </c>
      <c r="J52" s="145">
        <f t="shared" si="2"/>
        <v>0</v>
      </c>
      <c r="K52" s="142" t="str">
        <f t="shared" si="13"/>
        <v>l</v>
      </c>
      <c r="L52" s="146">
        <f>IFERROR(INDEX(Työkonekanta!$I$3:$I$27,MATCH('S1 Sähkö'!$A52,Työkonekanta!$A$3:$A$24,0),1)*(I52+J52)*f_adblue,0)</f>
        <v>0</v>
      </c>
      <c r="M52" s="146">
        <f t="shared" si="3"/>
        <v>0</v>
      </c>
      <c r="N52" s="143" t="str">
        <f>IF(tuulisähkö_vuosi&lt;='S1 Sähkö'!C52,"tuulisähkö",ostosähkö_nyt)</f>
        <v>jäännössähkö</v>
      </c>
      <c r="O52" s="147">
        <f>INDEX(Muuttujat!$J$5:$J$21,MATCH($C52,Muuttujat!$H$5:$H$21,0),1)</f>
        <v>68.554749999999999</v>
      </c>
      <c r="P52" s="342">
        <f>1-(INDEX(Muuttujat!$O$5:$O$21,MATCH($C52,Muuttujat!$N$5:$N$21,0),1))</f>
        <v>1</v>
      </c>
      <c r="Q52" s="342">
        <f>INDEX(Muuttujat!$O$5:$O$21,MATCH($C52,Muuttujat!$N$5:$N$21,0),1)</f>
        <v>0</v>
      </c>
      <c r="R52" s="148">
        <f>INDEX(Muuttujat!$P$5:$P$21,MATCH($C52,Muuttujat!$N$5:$N$21,0),1)</f>
        <v>0</v>
      </c>
      <c r="S52" s="149">
        <f t="shared" si="4"/>
        <v>0</v>
      </c>
      <c r="T52" s="150">
        <f t="shared" si="5"/>
        <v>0</v>
      </c>
      <c r="U52" s="150">
        <f t="shared" si="6"/>
        <v>0</v>
      </c>
      <c r="V52" s="150">
        <f>IFERROR(INDEX(Työkonekanta!$J$3:$J$27,MATCH($A52,Työkonekanta!$A$3:$A$24,0),1)*$B52*ef_li_ion_akku/1000/1000/INDEX(Työkonekanta!$K$3:$K$27,MATCH($A52,Työkonekanta!$A$3:$A$24,0)),0)</f>
        <v>0</v>
      </c>
      <c r="W52" s="149">
        <f t="shared" si="7"/>
        <v>0</v>
      </c>
      <c r="X52" s="150">
        <f t="shared" si="8"/>
        <v>0</v>
      </c>
      <c r="Y52" s="151">
        <f t="shared" si="9"/>
        <v>0</v>
      </c>
      <c r="Z52" s="152">
        <f t="shared" si="14"/>
        <v>0</v>
      </c>
      <c r="AA52" s="153">
        <f t="shared" si="15"/>
        <v>0</v>
      </c>
      <c r="AB52" s="153">
        <f t="shared" si="16"/>
        <v>0</v>
      </c>
      <c r="AC52" s="154">
        <f t="shared" si="10"/>
        <v>0</v>
      </c>
      <c r="AD52" s="156">
        <f t="shared" si="17"/>
        <v>0</v>
      </c>
      <c r="AE52" s="182"/>
      <c r="AG52" s="2"/>
    </row>
    <row r="53" spans="1:37">
      <c r="A53" s="139">
        <v>21</v>
      </c>
      <c r="B53" s="139" cm="1">
        <f t="array" ref="B53">IFERROR(IF(A53=s1_id_korvattava1,INDEX($AG$3:$AG$19,MATCH(C53,$AF$3:$AF$19,0),1),IF(A53=s1_id_korvaava1,INDEX($AH$3:$AH$19,MATCH(C53,$AF$3:$AF$19,0),1),IF(A53=s1_id_korvattava2,INDEX($AI$3:$AI$19,MATCH(C53,$AF$3:$AF$19,0),1),IF(A53=s1_id_korvaava2,INDEX($AJ$3:$AJ$19,MATCH(C53,$AF$3:$AF$19,0),1),INDEX(Työkonekanta!$F$3:$F$27,MATCH('S1 Sähkö'!$A53,Työkonekanta!$A$3:$A$24,0),1))))),0)</f>
        <v>35</v>
      </c>
      <c r="C53" s="140">
        <v>2020</v>
      </c>
      <c r="D53" s="141" t="str">
        <f>IFERROR(INDEX(Työkonekanta!$D$3:$D$27,MATCH('S1 Sähkö'!$A53,Työkonekanta!$A$3:$A$24,0),1),"undefined")</f>
        <v>sähkö</v>
      </c>
      <c r="E53" s="145">
        <f>IFERROR(INDEX(Työkonekanta!$G$3:$G$27,MATCH($A53,Työkonekanta!$A$3:$A$24,0),1)*INDEX(Työkonekanta!$H$3:$H$27,MATCH($A53,Työkonekanta!$A$3:$A$24,0),1)*(1+s1_kerroin*($C53-2019))*$B53,0)</f>
        <v>411271.06481481483</v>
      </c>
      <c r="F53" s="145">
        <f t="shared" si="0"/>
        <v>0</v>
      </c>
      <c r="G53" s="145">
        <f t="shared" si="11"/>
        <v>0</v>
      </c>
      <c r="H53" s="145">
        <f t="shared" si="12"/>
        <v>0</v>
      </c>
      <c r="I53" s="145">
        <f t="shared" si="1"/>
        <v>0</v>
      </c>
      <c r="J53" s="145">
        <f t="shared" si="2"/>
        <v>0</v>
      </c>
      <c r="K53" s="142" t="str">
        <f t="shared" si="13"/>
        <v>kWh</v>
      </c>
      <c r="L53" s="146">
        <f>IFERROR(INDEX(Työkonekanta!$I$3:$I$27,MATCH('S1 Sähkö'!$A53,Työkonekanta!$A$3:$A$24,0),1)*(I53+J53)*f_adblue,0)</f>
        <v>0</v>
      </c>
      <c r="M53" s="146">
        <f t="shared" si="3"/>
        <v>1480575.8333333335</v>
      </c>
      <c r="N53" s="143" t="str">
        <f>IF(tuulisähkö_vuosi&lt;='S1 Sähkö'!C53,"tuulisähkö",ostosähkö_nyt)</f>
        <v>jäännössähkö</v>
      </c>
      <c r="O53" s="147">
        <f>INDEX(Muuttujat!$J$5:$J$21,MATCH($C53,Muuttujat!$H$5:$H$21,0),1)</f>
        <v>68.554749999999999</v>
      </c>
      <c r="P53" s="342">
        <f>1-(INDEX(Muuttujat!$O$5:$O$21,MATCH($C53,Muuttujat!$N$5:$N$21,0),1))</f>
        <v>1</v>
      </c>
      <c r="Q53" s="342">
        <f>INDEX(Muuttujat!$O$5:$O$21,MATCH($C53,Muuttujat!$N$5:$N$21,0),1)</f>
        <v>0</v>
      </c>
      <c r="R53" s="148">
        <f>INDEX(Muuttujat!$P$5:$P$21,MATCH($C53,Muuttujat!$N$5:$N$21,0),1)</f>
        <v>0</v>
      </c>
      <c r="S53" s="149">
        <f t="shared" si="4"/>
        <v>0</v>
      </c>
      <c r="T53" s="150">
        <f t="shared" si="5"/>
        <v>0</v>
      </c>
      <c r="U53" s="150">
        <f t="shared" si="6"/>
        <v>101.50050611020835</v>
      </c>
      <c r="V53" s="150">
        <f>IFERROR(INDEX(Työkonekanta!$J$3:$J$27,MATCH($A53,Työkonekanta!$A$3:$A$24,0),1)*$B53*ef_li_ion_akku/1000/1000/INDEX(Työkonekanta!$K$3:$K$27,MATCH($A53,Työkonekanta!$A$3:$A$24,0)),0)</f>
        <v>43.121723076923082</v>
      </c>
      <c r="W53" s="149">
        <f t="shared" si="7"/>
        <v>0</v>
      </c>
      <c r="X53" s="150">
        <f t="shared" si="8"/>
        <v>0</v>
      </c>
      <c r="Y53" s="151">
        <f t="shared" si="9"/>
        <v>0</v>
      </c>
      <c r="Z53" s="152">
        <f t="shared" si="14"/>
        <v>144.62222918713144</v>
      </c>
      <c r="AA53" s="153">
        <f t="shared" si="15"/>
        <v>0</v>
      </c>
      <c r="AB53" s="153">
        <f t="shared" si="16"/>
        <v>0</v>
      </c>
      <c r="AC53" s="154">
        <f t="shared" si="10"/>
        <v>144.62222918713144</v>
      </c>
      <c r="AD53" s="156">
        <f t="shared" si="17"/>
        <v>144.62222918713144</v>
      </c>
      <c r="AE53" s="182"/>
      <c r="AG53" s="2"/>
    </row>
    <row r="54" spans="1:37">
      <c r="A54" s="139">
        <v>22</v>
      </c>
      <c r="B54" s="139" cm="1">
        <f t="array" ref="B54">IFERROR(IF(A54=s1_id_korvattava1,INDEX($AG$3:$AG$19,MATCH(C54,$AF$3:$AF$19,0),1),IF(A54=s1_id_korvaava1,INDEX($AH$3:$AH$19,MATCH(C54,$AF$3:$AF$19,0),1),IF(A54=s1_id_korvattava2,INDEX($AI$3:$AI$19,MATCH(C54,$AF$3:$AF$19,0),1),IF(A54=s1_id_korvaava2,INDEX($AJ$3:$AJ$19,MATCH(C54,$AF$3:$AF$19,0),1),INDEX(Työkonekanta!$F$3:$F$27,MATCH('S1 Sähkö'!$A54,Työkonekanta!$A$3:$A$24,0),1))))),0)</f>
        <v>0</v>
      </c>
      <c r="C54" s="140">
        <v>2020</v>
      </c>
      <c r="D54" s="141" t="str">
        <f>IFERROR(INDEX(Työkonekanta!$D$3:$D$27,MATCH('S1 Sähkö'!$A54,Työkonekanta!$A$3:$A$24,0),1),"undefined")</f>
        <v>sähkö</v>
      </c>
      <c r="E54" s="145">
        <f>IFERROR(INDEX(Työkonekanta!$G$3:$G$27,MATCH($A54,Työkonekanta!$A$3:$A$24,0),1)*INDEX(Työkonekanta!$H$3:$H$27,MATCH($A54,Työkonekanta!$A$3:$A$24,0),1)*(1+s1_kerroin*($C54-2019))*$B54,0)</f>
        <v>0</v>
      </c>
      <c r="F54" s="145">
        <f t="shared" si="0"/>
        <v>0</v>
      </c>
      <c r="G54" s="145">
        <f t="shared" si="11"/>
        <v>0</v>
      </c>
      <c r="H54" s="145">
        <f t="shared" si="12"/>
        <v>0</v>
      </c>
      <c r="I54" s="145">
        <f t="shared" si="1"/>
        <v>0</v>
      </c>
      <c r="J54" s="145">
        <f t="shared" si="2"/>
        <v>0</v>
      </c>
      <c r="K54" s="142" t="str">
        <f t="shared" si="13"/>
        <v>kWh</v>
      </c>
      <c r="L54" s="146">
        <f>IFERROR(INDEX(Työkonekanta!$I$3:$I$27,MATCH('S1 Sähkö'!$A54,Työkonekanta!$A$3:$A$24,0),1)*(I54+J54)*f_adblue,0)</f>
        <v>0</v>
      </c>
      <c r="M54" s="146">
        <f t="shared" si="3"/>
        <v>0</v>
      </c>
      <c r="N54" s="143" t="str">
        <f>IF(tuulisähkö_vuosi&lt;='S1 Sähkö'!C54,"tuulisähkö",ostosähkö_nyt)</f>
        <v>jäännössähkö</v>
      </c>
      <c r="O54" s="147">
        <f>INDEX(Muuttujat!$J$5:$J$21,MATCH($C54,Muuttujat!$H$5:$H$21,0),1)</f>
        <v>68.554749999999999</v>
      </c>
      <c r="P54" s="342">
        <f>1-(INDEX(Muuttujat!$O$5:$O$21,MATCH($C54,Muuttujat!$N$5:$N$21,0),1))</f>
        <v>1</v>
      </c>
      <c r="Q54" s="342">
        <f>INDEX(Muuttujat!$O$5:$O$21,MATCH($C54,Muuttujat!$N$5:$N$21,0),1)</f>
        <v>0</v>
      </c>
      <c r="R54" s="148">
        <f>INDEX(Muuttujat!$P$5:$P$21,MATCH($C54,Muuttujat!$N$5:$N$21,0),1)</f>
        <v>0</v>
      </c>
      <c r="S54" s="149">
        <f t="shared" si="4"/>
        <v>0</v>
      </c>
      <c r="T54" s="150">
        <f t="shared" si="5"/>
        <v>0</v>
      </c>
      <c r="U54" s="150">
        <f t="shared" si="6"/>
        <v>0</v>
      </c>
      <c r="V54" s="150">
        <f>IFERROR(INDEX(Työkonekanta!$J$3:$J$27,MATCH($A54,Työkonekanta!$A$3:$A$24,0),1)*$B54*ef_li_ion_akku/1000/1000/INDEX(Työkonekanta!$K$3:$K$27,MATCH($A54,Työkonekanta!$A$3:$A$24,0)),0)</f>
        <v>0</v>
      </c>
      <c r="W54" s="149">
        <f t="shared" si="7"/>
        <v>0</v>
      </c>
      <c r="X54" s="150">
        <f t="shared" si="8"/>
        <v>0</v>
      </c>
      <c r="Y54" s="151">
        <f t="shared" si="9"/>
        <v>0</v>
      </c>
      <c r="Z54" s="152">
        <f t="shared" si="14"/>
        <v>0</v>
      </c>
      <c r="AA54" s="153">
        <f t="shared" si="15"/>
        <v>0</v>
      </c>
      <c r="AB54" s="153">
        <f t="shared" si="16"/>
        <v>0</v>
      </c>
      <c r="AC54" s="154">
        <f t="shared" si="10"/>
        <v>0</v>
      </c>
      <c r="AD54" s="156">
        <f t="shared" si="17"/>
        <v>0</v>
      </c>
      <c r="AE54" s="182"/>
      <c r="AG54" s="2"/>
    </row>
    <row r="55" spans="1:37">
      <c r="A55" s="139">
        <v>23</v>
      </c>
      <c r="B55" s="139" cm="1">
        <f t="array" ref="B55">IFERROR(IF(A55=s1_id_korvattava1,INDEX($AG$3:$AG$19,MATCH(C55,$AF$3:$AF$19,0),1),IF(A55=s1_id_korvaava1,INDEX($AH$3:$AH$19,MATCH(C55,$AF$3:$AF$19,0),1),IF(A55=s1_id_korvattava2,INDEX($AI$3:$AI$19,MATCH(C55,$AF$3:$AF$19,0),1),IF(A55=s1_id_korvaava2,INDEX($AJ$3:$AJ$19,MATCH(C55,$AF$3:$AF$19,0),1),INDEX(Työkonekanta!$F$3:$F$27,MATCH('S1 Sähkö'!$A55,Työkonekanta!$A$3:$A$24,0),1))))),0)</f>
        <v>0</v>
      </c>
      <c r="C55" s="140">
        <v>2020</v>
      </c>
      <c r="D55" s="141" t="str">
        <f>IFERROR(INDEX(Työkonekanta!$D$3:$D$27,MATCH('S1 Sähkö'!$A55,Työkonekanta!$A$3:$A$24,0),1),"undefined")</f>
        <v>undefined</v>
      </c>
      <c r="E55" s="145">
        <f>IFERROR(INDEX(Työkonekanta!$G$3:$G$27,MATCH($A55,Työkonekanta!$A$3:$A$24,0),1)*INDEX(Työkonekanta!$H$3:$H$27,MATCH($A55,Työkonekanta!$A$3:$A$24,0),1)*(1+s1_kerroin*($C55-2019))*$B55,0)</f>
        <v>0</v>
      </c>
      <c r="F55" s="145">
        <f t="shared" si="0"/>
        <v>0</v>
      </c>
      <c r="G55" s="145">
        <f t="shared" si="11"/>
        <v>0</v>
      </c>
      <c r="H55" s="145">
        <f t="shared" si="12"/>
        <v>0</v>
      </c>
      <c r="I55" s="145">
        <f t="shared" si="1"/>
        <v>0</v>
      </c>
      <c r="J55" s="145">
        <f t="shared" si="2"/>
        <v>0</v>
      </c>
      <c r="K55" s="142" t="str">
        <f t="shared" si="13"/>
        <v>undefined</v>
      </c>
      <c r="L55" s="146">
        <f>IFERROR(INDEX(Työkonekanta!$I$3:$I$27,MATCH('S1 Sähkö'!$A55,Työkonekanta!$A$3:$A$24,0),1)*(I55+J55)*f_adblue,0)</f>
        <v>0</v>
      </c>
      <c r="M55" s="146">
        <f t="shared" si="3"/>
        <v>0</v>
      </c>
      <c r="N55" s="143" t="str">
        <f>IF(tuulisähkö_vuosi&lt;='S1 Sähkö'!C55,"tuulisähkö",ostosähkö_nyt)</f>
        <v>jäännössähkö</v>
      </c>
      <c r="O55" s="147">
        <f>INDEX(Muuttujat!$J$5:$J$21,MATCH($C55,Muuttujat!$H$5:$H$21,0),1)</f>
        <v>68.554749999999999</v>
      </c>
      <c r="P55" s="342">
        <f>1-(INDEX(Muuttujat!$O$5:$O$21,MATCH($C55,Muuttujat!$N$5:$N$21,0),1))</f>
        <v>1</v>
      </c>
      <c r="Q55" s="342">
        <f>INDEX(Muuttujat!$O$5:$O$21,MATCH($C55,Muuttujat!$N$5:$N$21,0),1)</f>
        <v>0</v>
      </c>
      <c r="R55" s="148">
        <f>INDEX(Muuttujat!$P$5:$P$21,MATCH($C55,Muuttujat!$N$5:$N$21,0),1)</f>
        <v>0</v>
      </c>
      <c r="S55" s="149">
        <f t="shared" si="4"/>
        <v>0</v>
      </c>
      <c r="T55" s="150">
        <f t="shared" si="5"/>
        <v>0</v>
      </c>
      <c r="U55" s="150">
        <f t="shared" si="6"/>
        <v>0</v>
      </c>
      <c r="V55" s="150">
        <f>IFERROR(INDEX(Työkonekanta!$J$3:$J$27,MATCH($A55,Työkonekanta!$A$3:$A$24,0),1)*$B55*ef_li_ion_akku/1000/1000/INDEX(Työkonekanta!$K$3:$K$27,MATCH($A55,Työkonekanta!$A$3:$A$24,0)),0)</f>
        <v>0</v>
      </c>
      <c r="W55" s="149">
        <f t="shared" si="7"/>
        <v>0</v>
      </c>
      <c r="X55" s="150">
        <f t="shared" si="8"/>
        <v>0</v>
      </c>
      <c r="Y55" s="151">
        <f t="shared" si="9"/>
        <v>0</v>
      </c>
      <c r="Z55" s="152">
        <f t="shared" si="14"/>
        <v>0</v>
      </c>
      <c r="AA55" s="153">
        <f t="shared" si="15"/>
        <v>0</v>
      </c>
      <c r="AB55" s="153">
        <f t="shared" si="16"/>
        <v>0</v>
      </c>
      <c r="AC55" s="154">
        <f t="shared" si="10"/>
        <v>0</v>
      </c>
      <c r="AD55" s="156">
        <f t="shared" si="17"/>
        <v>0</v>
      </c>
      <c r="AE55" s="182"/>
      <c r="AJ55" s="28"/>
      <c r="AK55" s="29"/>
    </row>
    <row r="56" spans="1:37">
      <c r="A56" s="139">
        <v>24</v>
      </c>
      <c r="B56" s="139" cm="1">
        <f t="array" ref="B56">IFERROR(IF(A56=s1_id_korvattava1,INDEX($AG$3:$AG$19,MATCH(C56,$AF$3:$AF$19,0),1),IF(A56=s1_id_korvaava1,INDEX($AH$3:$AH$19,MATCH(C56,$AF$3:$AF$19,0),1),IF(A56=s1_id_korvattava2,INDEX($AI$3:$AI$19,MATCH(C56,$AF$3:$AF$19,0),1),IF(A56=s1_id_korvaava2,INDEX($AJ$3:$AJ$19,MATCH(C56,$AF$3:$AF$19,0),1),INDEX(Työkonekanta!$F$3:$F$27,MATCH('S1 Sähkö'!$A56,Työkonekanta!$A$3:$A$24,0),1))))),0)</f>
        <v>0</v>
      </c>
      <c r="C56" s="140">
        <v>2020</v>
      </c>
      <c r="D56" s="141" t="str">
        <f>IFERROR(INDEX(Työkonekanta!$D$3:$D$27,MATCH('S1 Sähkö'!$A56,Työkonekanta!$A$3:$A$24,0),1),"undefined")</f>
        <v>undefined</v>
      </c>
      <c r="E56" s="145">
        <f>IFERROR(INDEX(Työkonekanta!$G$3:$G$27,MATCH($A56,Työkonekanta!$A$3:$A$24,0),1)*INDEX(Työkonekanta!$H$3:$H$27,MATCH($A56,Työkonekanta!$A$3:$A$24,0),1)*(1+s1_kerroin*($C56-2019))*$B56,0)</f>
        <v>0</v>
      </c>
      <c r="F56" s="145">
        <f t="shared" si="0"/>
        <v>0</v>
      </c>
      <c r="G56" s="145">
        <f t="shared" si="11"/>
        <v>0</v>
      </c>
      <c r="H56" s="145">
        <f t="shared" si="12"/>
        <v>0</v>
      </c>
      <c r="I56" s="145">
        <f t="shared" si="1"/>
        <v>0</v>
      </c>
      <c r="J56" s="145">
        <f t="shared" si="2"/>
        <v>0</v>
      </c>
      <c r="K56" s="142" t="str">
        <f t="shared" si="13"/>
        <v>undefined</v>
      </c>
      <c r="L56" s="146">
        <f>IFERROR(INDEX(Työkonekanta!$I$3:$I$27,MATCH('S1 Sähkö'!$A56,Työkonekanta!$A$3:$A$24,0),1)*(I56+J56)*f_adblue,0)</f>
        <v>0</v>
      </c>
      <c r="M56" s="146">
        <f t="shared" si="3"/>
        <v>0</v>
      </c>
      <c r="N56" s="143" t="str">
        <f>IF(tuulisähkö_vuosi&lt;='S1 Sähkö'!C56,"tuulisähkö",ostosähkö_nyt)</f>
        <v>jäännössähkö</v>
      </c>
      <c r="O56" s="147">
        <f>INDEX(Muuttujat!$J$5:$J$21,MATCH($C56,Muuttujat!$H$5:$H$21,0),1)</f>
        <v>68.554749999999999</v>
      </c>
      <c r="P56" s="342">
        <f>1-(INDEX(Muuttujat!$O$5:$O$21,MATCH($C56,Muuttujat!$N$5:$N$21,0),1))</f>
        <v>1</v>
      </c>
      <c r="Q56" s="342">
        <f>INDEX(Muuttujat!$O$5:$O$21,MATCH($C56,Muuttujat!$N$5:$N$21,0),1)</f>
        <v>0</v>
      </c>
      <c r="R56" s="148">
        <f>INDEX(Muuttujat!$P$5:$P$21,MATCH($C56,Muuttujat!$N$5:$N$21,0),1)</f>
        <v>0</v>
      </c>
      <c r="S56" s="149">
        <f t="shared" si="4"/>
        <v>0</v>
      </c>
      <c r="T56" s="150">
        <f t="shared" si="5"/>
        <v>0</v>
      </c>
      <c r="U56" s="150">
        <f t="shared" si="6"/>
        <v>0</v>
      </c>
      <c r="V56" s="150">
        <f>IFERROR(INDEX(Työkonekanta!$J$3:$J$27,MATCH($A56,Työkonekanta!$A$3:$A$24,0),1)*$B56*ef_li_ion_akku/1000/1000/INDEX(Työkonekanta!$K$3:$K$27,MATCH($A56,Työkonekanta!$A$3:$A$24,0)),0)</f>
        <v>0</v>
      </c>
      <c r="W56" s="149">
        <f t="shared" si="7"/>
        <v>0</v>
      </c>
      <c r="X56" s="150">
        <f t="shared" si="8"/>
        <v>0</v>
      </c>
      <c r="Y56" s="151">
        <f t="shared" si="9"/>
        <v>0</v>
      </c>
      <c r="Z56" s="152">
        <f t="shared" si="14"/>
        <v>0</v>
      </c>
      <c r="AA56" s="153">
        <f t="shared" si="15"/>
        <v>0</v>
      </c>
      <c r="AB56" s="153">
        <f t="shared" si="16"/>
        <v>0</v>
      </c>
      <c r="AC56" s="154">
        <f t="shared" si="10"/>
        <v>0</v>
      </c>
      <c r="AD56" s="156">
        <f t="shared" si="17"/>
        <v>0</v>
      </c>
      <c r="AE56" s="182"/>
      <c r="AJ56" s="28"/>
      <c r="AK56" s="29"/>
    </row>
    <row r="57" spans="1:37">
      <c r="A57" s="139">
        <v>25</v>
      </c>
      <c r="B57" s="139" cm="1">
        <f t="array" ref="B57">IFERROR(IF(A57=s1_id_korvattava1,INDEX($AG$3:$AG$19,MATCH(C57,$AF$3:$AF$19,0),1),IF(A57=s1_id_korvaava1,INDEX($AH$3:$AH$19,MATCH(C57,$AF$3:$AF$19,0),1),IF(A57=s1_id_korvattava2,INDEX($AI$3:$AI$19,MATCH(C57,$AF$3:$AF$19,0),1),IF(A57=s1_id_korvaava2,INDEX($AJ$3:$AJ$19,MATCH(C57,$AF$3:$AF$19,0),1),INDEX(Työkonekanta!$F$3:$F$27,MATCH('S1 Sähkö'!$A57,Työkonekanta!$A$3:$A$24,0),1))))),0)</f>
        <v>0</v>
      </c>
      <c r="C57" s="140">
        <v>2020</v>
      </c>
      <c r="D57" s="141" t="str">
        <f>IFERROR(INDEX(Työkonekanta!$D$3:$D$27,MATCH('S1 Sähkö'!$A57,Työkonekanta!$A$3:$A$24,0),1),"undefined")</f>
        <v>undefined</v>
      </c>
      <c r="E57" s="145">
        <f>IFERROR(INDEX(Työkonekanta!$G$3:$G$27,MATCH($A57,Työkonekanta!$A$3:$A$24,0),1)*INDEX(Työkonekanta!$H$3:$H$27,MATCH($A57,Työkonekanta!$A$3:$A$24,0),1)*(1+s1_kerroin*($C57-2019))*$B57,0)</f>
        <v>0</v>
      </c>
      <c r="F57" s="145">
        <f t="shared" si="0"/>
        <v>0</v>
      </c>
      <c r="G57" s="145">
        <f t="shared" si="11"/>
        <v>0</v>
      </c>
      <c r="H57" s="145">
        <f t="shared" si="12"/>
        <v>0</v>
      </c>
      <c r="I57" s="145">
        <f t="shared" si="1"/>
        <v>0</v>
      </c>
      <c r="J57" s="145">
        <f t="shared" si="2"/>
        <v>0</v>
      </c>
      <c r="K57" s="142" t="str">
        <f t="shared" si="13"/>
        <v>undefined</v>
      </c>
      <c r="L57" s="146">
        <f>IFERROR(INDEX(Työkonekanta!$I$3:$I$27,MATCH('S1 Sähkö'!$A57,Työkonekanta!$A$3:$A$24,0),1)*(I57+J57)*f_adblue,0)</f>
        <v>0</v>
      </c>
      <c r="M57" s="146">
        <f t="shared" si="3"/>
        <v>0</v>
      </c>
      <c r="N57" s="143" t="str">
        <f>IF(tuulisähkö_vuosi&lt;='S1 Sähkö'!C57,"tuulisähkö",ostosähkö_nyt)</f>
        <v>jäännössähkö</v>
      </c>
      <c r="O57" s="147">
        <f>INDEX(Muuttujat!$J$5:$J$21,MATCH($C57,Muuttujat!$H$5:$H$21,0),1)</f>
        <v>68.554749999999999</v>
      </c>
      <c r="P57" s="342">
        <f>1-(INDEX(Muuttujat!$O$5:$O$21,MATCH($C57,Muuttujat!$N$5:$N$21,0),1))</f>
        <v>1</v>
      </c>
      <c r="Q57" s="342">
        <f>INDEX(Muuttujat!$O$5:$O$21,MATCH($C57,Muuttujat!$N$5:$N$21,0),1)</f>
        <v>0</v>
      </c>
      <c r="R57" s="148">
        <f>INDEX(Muuttujat!$P$5:$P$21,MATCH($C57,Muuttujat!$N$5:$N$21,0),1)</f>
        <v>0</v>
      </c>
      <c r="S57" s="149">
        <f t="shared" si="4"/>
        <v>0</v>
      </c>
      <c r="T57" s="150">
        <f t="shared" si="5"/>
        <v>0</v>
      </c>
      <c r="U57" s="150">
        <f t="shared" si="6"/>
        <v>0</v>
      </c>
      <c r="V57" s="150">
        <f>IFERROR(INDEX(Työkonekanta!$J$3:$J$27,MATCH($A57,Työkonekanta!$A$3:$A$24,0),1)*$B57*ef_li_ion_akku/1000/1000/INDEX(Työkonekanta!$K$3:$K$27,MATCH($A57,Työkonekanta!$A$3:$A$24,0)),0)</f>
        <v>0</v>
      </c>
      <c r="W57" s="149">
        <f t="shared" si="7"/>
        <v>0</v>
      </c>
      <c r="X57" s="150">
        <f t="shared" si="8"/>
        <v>0</v>
      </c>
      <c r="Y57" s="151">
        <f t="shared" si="9"/>
        <v>0</v>
      </c>
      <c r="Z57" s="152">
        <f t="shared" si="14"/>
        <v>0</v>
      </c>
      <c r="AA57" s="153">
        <f t="shared" si="15"/>
        <v>0</v>
      </c>
      <c r="AB57" s="153">
        <f t="shared" si="16"/>
        <v>0</v>
      </c>
      <c r="AC57" s="154">
        <f t="shared" si="10"/>
        <v>0</v>
      </c>
      <c r="AD57" s="156">
        <f t="shared" si="17"/>
        <v>0</v>
      </c>
      <c r="AE57" s="182"/>
      <c r="AJ57" s="28"/>
      <c r="AK57" s="29"/>
    </row>
    <row r="58" spans="1:37">
      <c r="A58" s="139">
        <v>26</v>
      </c>
      <c r="B58" s="139" cm="1">
        <f t="array" ref="B58">IFERROR(IF(A58=s1_id_korvattava1,INDEX($AG$3:$AG$19,MATCH(C58,$AF$3:$AF$19,0),1),IF(A58=s1_id_korvaava1,INDEX($AH$3:$AH$19,MATCH(C58,$AF$3:$AF$19,0),1),IF(A58=s1_id_korvattava2,INDEX($AI$3:$AI$19,MATCH(C58,$AF$3:$AF$19,0),1),IF(A58=s1_id_korvaava2,INDEX($AJ$3:$AJ$19,MATCH(C58,$AF$3:$AF$19,0),1),INDEX(Työkonekanta!$F$3:$F$27,MATCH('S1 Sähkö'!$A58,Työkonekanta!$A$3:$A$24,0),1))))),0)</f>
        <v>0</v>
      </c>
      <c r="C58" s="140">
        <v>2020</v>
      </c>
      <c r="D58" s="141" t="str">
        <f>IFERROR(INDEX(Työkonekanta!$D$3:$D$27,MATCH('S1 Sähkö'!$A58,Työkonekanta!$A$3:$A$24,0),1),"undefined")</f>
        <v>undefined</v>
      </c>
      <c r="E58" s="145">
        <f>IFERROR(INDEX(Työkonekanta!$G$3:$G$27,MATCH($A58,Työkonekanta!$A$3:$A$24,0),1)*INDEX(Työkonekanta!$H$3:$H$27,MATCH($A58,Työkonekanta!$A$3:$A$24,0),1)*(1+s1_kerroin*($C58-2019))*$B58,0)</f>
        <v>0</v>
      </c>
      <c r="F58" s="145">
        <f t="shared" si="0"/>
        <v>0</v>
      </c>
      <c r="G58" s="145">
        <f t="shared" si="11"/>
        <v>0</v>
      </c>
      <c r="H58" s="145">
        <f t="shared" si="12"/>
        <v>0</v>
      </c>
      <c r="I58" s="145">
        <f t="shared" si="1"/>
        <v>0</v>
      </c>
      <c r="J58" s="145">
        <f t="shared" si="2"/>
        <v>0</v>
      </c>
      <c r="K58" s="142" t="str">
        <f t="shared" si="13"/>
        <v>undefined</v>
      </c>
      <c r="L58" s="146">
        <f>IFERROR(INDEX(Työkonekanta!$I$3:$I$27,MATCH('S1 Sähkö'!$A58,Työkonekanta!$A$3:$A$24,0),1)*(I58+J58)*f_adblue,0)</f>
        <v>0</v>
      </c>
      <c r="M58" s="146">
        <f t="shared" si="3"/>
        <v>0</v>
      </c>
      <c r="N58" s="143" t="str">
        <f>IF(tuulisähkö_vuosi&lt;='S1 Sähkö'!C58,"tuulisähkö",ostosähkö_nyt)</f>
        <v>jäännössähkö</v>
      </c>
      <c r="O58" s="147">
        <f>INDEX(Muuttujat!$J$5:$J$21,MATCH($C58,Muuttujat!$H$5:$H$21,0),1)</f>
        <v>68.554749999999999</v>
      </c>
      <c r="P58" s="342">
        <f>1-(INDEX(Muuttujat!$O$5:$O$21,MATCH($C58,Muuttujat!$N$5:$N$21,0),1))</f>
        <v>1</v>
      </c>
      <c r="Q58" s="342">
        <f>INDEX(Muuttujat!$O$5:$O$21,MATCH($C58,Muuttujat!$N$5:$N$21,0),1)</f>
        <v>0</v>
      </c>
      <c r="R58" s="148">
        <f>INDEX(Muuttujat!$P$5:$P$21,MATCH($C58,Muuttujat!$N$5:$N$21,0),1)</f>
        <v>0</v>
      </c>
      <c r="S58" s="149">
        <f t="shared" si="4"/>
        <v>0</v>
      </c>
      <c r="T58" s="150">
        <f t="shared" si="5"/>
        <v>0</v>
      </c>
      <c r="U58" s="150">
        <f t="shared" si="6"/>
        <v>0</v>
      </c>
      <c r="V58" s="150">
        <f>IFERROR(INDEX(Työkonekanta!$J$3:$J$27,MATCH($A58,Työkonekanta!$A$3:$A$24,0),1)*$B58*ef_li_ion_akku/1000/1000/INDEX(Työkonekanta!$K$3:$K$27,MATCH($A58,Työkonekanta!$A$3:$A$24,0)),0)</f>
        <v>0</v>
      </c>
      <c r="W58" s="149">
        <f t="shared" si="7"/>
        <v>0</v>
      </c>
      <c r="X58" s="150">
        <f t="shared" si="8"/>
        <v>0</v>
      </c>
      <c r="Y58" s="151">
        <f t="shared" si="9"/>
        <v>0</v>
      </c>
      <c r="Z58" s="152">
        <f t="shared" si="14"/>
        <v>0</v>
      </c>
      <c r="AA58" s="153">
        <f t="shared" si="15"/>
        <v>0</v>
      </c>
      <c r="AB58" s="153">
        <f t="shared" si="16"/>
        <v>0</v>
      </c>
      <c r="AC58" s="154">
        <f t="shared" si="10"/>
        <v>0</v>
      </c>
      <c r="AD58" s="156">
        <f t="shared" si="17"/>
        <v>0</v>
      </c>
      <c r="AE58" s="182"/>
      <c r="AJ58" s="28"/>
      <c r="AK58" s="29"/>
    </row>
    <row r="59" spans="1:37">
      <c r="A59" s="139">
        <v>27</v>
      </c>
      <c r="B59" s="139" cm="1">
        <f t="array" ref="B59">IFERROR(IF(A59=s1_id_korvattava1,INDEX($AG$3:$AG$19,MATCH(C59,$AF$3:$AF$19,0),1),IF(A59=s1_id_korvaava1,INDEX($AH$3:$AH$19,MATCH(C59,$AF$3:$AF$19,0),1),IF(A59=s1_id_korvattava2,INDEX($AI$3:$AI$19,MATCH(C59,$AF$3:$AF$19,0),1),IF(A59=s1_id_korvaava2,INDEX($AJ$3:$AJ$19,MATCH(C59,$AF$3:$AF$19,0),1),INDEX(Työkonekanta!$F$3:$F$27,MATCH('S1 Sähkö'!$A59,Työkonekanta!$A$3:$A$24,0),1))))),0)</f>
        <v>0</v>
      </c>
      <c r="C59" s="140">
        <v>2020</v>
      </c>
      <c r="D59" s="141" t="str">
        <f>IFERROR(INDEX(Työkonekanta!$D$3:$D$27,MATCH('S1 Sähkö'!$A59,Työkonekanta!$A$3:$A$24,0),1),"undefined")</f>
        <v>undefined</v>
      </c>
      <c r="E59" s="145">
        <f>IFERROR(INDEX(Työkonekanta!$G$3:$G$27,MATCH($A59,Työkonekanta!$A$3:$A$24,0),1)*INDEX(Työkonekanta!$H$3:$H$27,MATCH($A59,Työkonekanta!$A$3:$A$24,0),1)*(1+s1_kerroin*($C59-2019))*$B59,0)</f>
        <v>0</v>
      </c>
      <c r="F59" s="145">
        <f t="shared" si="0"/>
        <v>0</v>
      </c>
      <c r="G59" s="145">
        <f t="shared" si="11"/>
        <v>0</v>
      </c>
      <c r="H59" s="145">
        <f t="shared" si="12"/>
        <v>0</v>
      </c>
      <c r="I59" s="145">
        <f t="shared" si="1"/>
        <v>0</v>
      </c>
      <c r="J59" s="145">
        <f t="shared" si="2"/>
        <v>0</v>
      </c>
      <c r="K59" s="142" t="str">
        <f t="shared" si="13"/>
        <v>undefined</v>
      </c>
      <c r="L59" s="146">
        <f>IFERROR(INDEX(Työkonekanta!$I$3:$I$27,MATCH('S1 Sähkö'!$A59,Työkonekanta!$A$3:$A$24,0),1)*(I59+J59)*f_adblue,0)</f>
        <v>0</v>
      </c>
      <c r="M59" s="146">
        <f t="shared" si="3"/>
        <v>0</v>
      </c>
      <c r="N59" s="143" t="str">
        <f>IF(tuulisähkö_vuosi&lt;='S1 Sähkö'!C59,"tuulisähkö",ostosähkö_nyt)</f>
        <v>jäännössähkö</v>
      </c>
      <c r="O59" s="147">
        <f>INDEX(Muuttujat!$J$5:$J$21,MATCH($C59,Muuttujat!$H$5:$H$21,0),1)</f>
        <v>68.554749999999999</v>
      </c>
      <c r="P59" s="342">
        <f>1-(INDEX(Muuttujat!$O$5:$O$21,MATCH($C59,Muuttujat!$N$5:$N$21,0),1))</f>
        <v>1</v>
      </c>
      <c r="Q59" s="342">
        <f>INDEX(Muuttujat!$O$5:$O$21,MATCH($C59,Muuttujat!$N$5:$N$21,0),1)</f>
        <v>0</v>
      </c>
      <c r="R59" s="148">
        <f>INDEX(Muuttujat!$P$5:$P$21,MATCH($C59,Muuttujat!$N$5:$N$21,0),1)</f>
        <v>0</v>
      </c>
      <c r="S59" s="149">
        <f t="shared" si="4"/>
        <v>0</v>
      </c>
      <c r="T59" s="150">
        <f t="shared" si="5"/>
        <v>0</v>
      </c>
      <c r="U59" s="150">
        <f t="shared" si="6"/>
        <v>0</v>
      </c>
      <c r="V59" s="150">
        <f>IFERROR(INDEX(Työkonekanta!$J$3:$J$27,MATCH($A59,Työkonekanta!$A$3:$A$24,0),1)*$B59*ef_li_ion_akku/1000/1000/INDEX(Työkonekanta!$K$3:$K$27,MATCH($A59,Työkonekanta!$A$3:$A$24,0)),0)</f>
        <v>0</v>
      </c>
      <c r="W59" s="149">
        <f t="shared" si="7"/>
        <v>0</v>
      </c>
      <c r="X59" s="150">
        <f t="shared" si="8"/>
        <v>0</v>
      </c>
      <c r="Y59" s="151">
        <f t="shared" si="9"/>
        <v>0</v>
      </c>
      <c r="Z59" s="152">
        <f t="shared" si="14"/>
        <v>0</v>
      </c>
      <c r="AA59" s="153">
        <f t="shared" si="15"/>
        <v>0</v>
      </c>
      <c r="AB59" s="153">
        <f t="shared" si="16"/>
        <v>0</v>
      </c>
      <c r="AC59" s="154">
        <f t="shared" si="10"/>
        <v>0</v>
      </c>
      <c r="AD59" s="156">
        <f t="shared" si="17"/>
        <v>0</v>
      </c>
      <c r="AE59" s="182"/>
      <c r="AJ59" s="28"/>
      <c r="AK59" s="29"/>
    </row>
    <row r="60" spans="1:37">
      <c r="A60" s="139">
        <v>28</v>
      </c>
      <c r="B60" s="139" cm="1">
        <f t="array" ref="B60">IFERROR(IF(A60=s1_id_korvattava1,INDEX($AG$3:$AG$19,MATCH(C60,$AF$3:$AF$19,0),1),IF(A60=s1_id_korvaava1,INDEX($AH$3:$AH$19,MATCH(C60,$AF$3:$AF$19,0),1),IF(A60=s1_id_korvattava2,INDEX($AI$3:$AI$19,MATCH(C60,$AF$3:$AF$19,0),1),IF(A60=s1_id_korvaava2,INDEX($AJ$3:$AJ$19,MATCH(C60,$AF$3:$AF$19,0),1),INDEX(Työkonekanta!$F$3:$F$27,MATCH('S1 Sähkö'!$A60,Työkonekanta!$A$3:$A$24,0),1))))),0)</f>
        <v>0</v>
      </c>
      <c r="C60" s="140">
        <v>2020</v>
      </c>
      <c r="D60" s="141" t="str">
        <f>IFERROR(INDEX(Työkonekanta!$D$3:$D$27,MATCH('S1 Sähkö'!$A60,Työkonekanta!$A$3:$A$24,0),1),"undefined")</f>
        <v>undefined</v>
      </c>
      <c r="E60" s="145">
        <f>IFERROR(INDEX(Työkonekanta!$G$3:$G$27,MATCH($A60,Työkonekanta!$A$3:$A$24,0),1)*INDEX(Työkonekanta!$H$3:$H$27,MATCH($A60,Työkonekanta!$A$3:$A$24,0),1)*(1+s1_kerroin*($C60-2019))*$B60,0)</f>
        <v>0</v>
      </c>
      <c r="F60" s="145">
        <f t="shared" si="0"/>
        <v>0</v>
      </c>
      <c r="G60" s="145">
        <f t="shared" si="11"/>
        <v>0</v>
      </c>
      <c r="H60" s="145">
        <f t="shared" si="12"/>
        <v>0</v>
      </c>
      <c r="I60" s="145">
        <f t="shared" si="1"/>
        <v>0</v>
      </c>
      <c r="J60" s="145">
        <f t="shared" si="2"/>
        <v>0</v>
      </c>
      <c r="K60" s="142" t="str">
        <f t="shared" si="13"/>
        <v>undefined</v>
      </c>
      <c r="L60" s="146">
        <f>IFERROR(INDEX(Työkonekanta!$I$3:$I$27,MATCH('S1 Sähkö'!$A60,Työkonekanta!$A$3:$A$24,0),1)*(I60+J60)*f_adblue,0)</f>
        <v>0</v>
      </c>
      <c r="M60" s="146">
        <f t="shared" si="3"/>
        <v>0</v>
      </c>
      <c r="N60" s="143" t="str">
        <f>IF(tuulisähkö_vuosi&lt;='S1 Sähkö'!C60,"tuulisähkö",ostosähkö_nyt)</f>
        <v>jäännössähkö</v>
      </c>
      <c r="O60" s="147">
        <f>INDEX(Muuttujat!$J$5:$J$21,MATCH($C60,Muuttujat!$H$5:$H$21,0),1)</f>
        <v>68.554749999999999</v>
      </c>
      <c r="P60" s="342">
        <f>1-(INDEX(Muuttujat!$O$5:$O$21,MATCH($C60,Muuttujat!$N$5:$N$21,0),1))</f>
        <v>1</v>
      </c>
      <c r="Q60" s="342">
        <f>INDEX(Muuttujat!$O$5:$O$21,MATCH($C60,Muuttujat!$N$5:$N$21,0),1)</f>
        <v>0</v>
      </c>
      <c r="R60" s="148">
        <f>INDEX(Muuttujat!$P$5:$P$21,MATCH($C60,Muuttujat!$N$5:$N$21,0),1)</f>
        <v>0</v>
      </c>
      <c r="S60" s="149">
        <f t="shared" si="4"/>
        <v>0</v>
      </c>
      <c r="T60" s="150">
        <f t="shared" si="5"/>
        <v>0</v>
      </c>
      <c r="U60" s="150">
        <f t="shared" si="6"/>
        <v>0</v>
      </c>
      <c r="V60" s="150">
        <f>IFERROR(INDEX(Työkonekanta!$J$3:$J$27,MATCH($A60,Työkonekanta!$A$3:$A$24,0),1)*$B60*ef_li_ion_akku/1000/1000/INDEX(Työkonekanta!$K$3:$K$27,MATCH($A60,Työkonekanta!$A$3:$A$24,0)),0)</f>
        <v>0</v>
      </c>
      <c r="W60" s="149">
        <f t="shared" si="7"/>
        <v>0</v>
      </c>
      <c r="X60" s="150">
        <f t="shared" si="8"/>
        <v>0</v>
      </c>
      <c r="Y60" s="151">
        <f t="shared" si="9"/>
        <v>0</v>
      </c>
      <c r="Z60" s="152">
        <f t="shared" si="14"/>
        <v>0</v>
      </c>
      <c r="AA60" s="153">
        <f t="shared" si="15"/>
        <v>0</v>
      </c>
      <c r="AB60" s="153">
        <f t="shared" si="16"/>
        <v>0</v>
      </c>
      <c r="AC60" s="154">
        <f t="shared" si="10"/>
        <v>0</v>
      </c>
      <c r="AD60" s="156">
        <f t="shared" si="17"/>
        <v>0</v>
      </c>
      <c r="AE60" s="182"/>
      <c r="AJ60" s="28"/>
      <c r="AK60" s="29"/>
    </row>
    <row r="61" spans="1:37">
      <c r="A61" s="139">
        <v>29</v>
      </c>
      <c r="B61" s="139" cm="1">
        <f t="array" ref="B61">IFERROR(IF(A61=s1_id_korvattava1,INDEX($AG$3:$AG$19,MATCH(C61,$AF$3:$AF$19,0),1),IF(A61=s1_id_korvaava1,INDEX($AH$3:$AH$19,MATCH(C61,$AF$3:$AF$19,0),1),IF(A61=s1_id_korvattava2,INDEX($AI$3:$AI$19,MATCH(C61,$AF$3:$AF$19,0),1),IF(A61=s1_id_korvaava2,INDEX($AJ$3:$AJ$19,MATCH(C61,$AF$3:$AF$19,0),1),INDEX(Työkonekanta!$F$3:$F$27,MATCH('S1 Sähkö'!$A61,Työkonekanta!$A$3:$A$24,0),1))))),0)</f>
        <v>0</v>
      </c>
      <c r="C61" s="140">
        <v>2020</v>
      </c>
      <c r="D61" s="141" t="str">
        <f>IFERROR(INDEX(Työkonekanta!$D$3:$D$27,MATCH('S1 Sähkö'!$A61,Työkonekanta!$A$3:$A$24,0),1),"undefined")</f>
        <v>undefined</v>
      </c>
      <c r="E61" s="145">
        <f>IFERROR(INDEX(Työkonekanta!$G$3:$G$27,MATCH($A61,Työkonekanta!$A$3:$A$24,0),1)*INDEX(Työkonekanta!$H$3:$H$27,MATCH($A61,Työkonekanta!$A$3:$A$24,0),1)*(1+s1_kerroin*($C61-2019))*$B61,0)</f>
        <v>0</v>
      </c>
      <c r="F61" s="145">
        <f t="shared" si="0"/>
        <v>0</v>
      </c>
      <c r="G61" s="145">
        <f t="shared" si="11"/>
        <v>0</v>
      </c>
      <c r="H61" s="145">
        <f t="shared" si="12"/>
        <v>0</v>
      </c>
      <c r="I61" s="145">
        <f t="shared" si="1"/>
        <v>0</v>
      </c>
      <c r="J61" s="145">
        <f t="shared" si="2"/>
        <v>0</v>
      </c>
      <c r="K61" s="142" t="str">
        <f t="shared" si="13"/>
        <v>undefined</v>
      </c>
      <c r="L61" s="146">
        <f>IFERROR(INDEX(Työkonekanta!$I$3:$I$27,MATCH('S1 Sähkö'!$A61,Työkonekanta!$A$3:$A$24,0),1)*(I61+J61)*f_adblue,0)</f>
        <v>0</v>
      </c>
      <c r="M61" s="146">
        <f t="shared" si="3"/>
        <v>0</v>
      </c>
      <c r="N61" s="143" t="str">
        <f>IF(tuulisähkö_vuosi&lt;='S1 Sähkö'!C61,"tuulisähkö",ostosähkö_nyt)</f>
        <v>jäännössähkö</v>
      </c>
      <c r="O61" s="147">
        <f>INDEX(Muuttujat!$J$5:$J$21,MATCH($C61,Muuttujat!$H$5:$H$21,0),1)</f>
        <v>68.554749999999999</v>
      </c>
      <c r="P61" s="342">
        <f>1-(INDEX(Muuttujat!$O$5:$O$21,MATCH($C61,Muuttujat!$N$5:$N$21,0),1))</f>
        <v>1</v>
      </c>
      <c r="Q61" s="342">
        <f>INDEX(Muuttujat!$O$5:$O$21,MATCH($C61,Muuttujat!$N$5:$N$21,0),1)</f>
        <v>0</v>
      </c>
      <c r="R61" s="148">
        <f>INDEX(Muuttujat!$P$5:$P$21,MATCH($C61,Muuttujat!$N$5:$N$21,0),1)</f>
        <v>0</v>
      </c>
      <c r="S61" s="149">
        <f t="shared" si="4"/>
        <v>0</v>
      </c>
      <c r="T61" s="150">
        <f t="shared" si="5"/>
        <v>0</v>
      </c>
      <c r="U61" s="150">
        <f t="shared" si="6"/>
        <v>0</v>
      </c>
      <c r="V61" s="150">
        <f>IFERROR(INDEX(Työkonekanta!$J$3:$J$27,MATCH($A61,Työkonekanta!$A$3:$A$24,0),1)*$B61*ef_li_ion_akku/1000/1000/INDEX(Työkonekanta!$K$3:$K$27,MATCH($A61,Työkonekanta!$A$3:$A$24,0)),0)</f>
        <v>0</v>
      </c>
      <c r="W61" s="149">
        <f t="shared" si="7"/>
        <v>0</v>
      </c>
      <c r="X61" s="150">
        <f t="shared" si="8"/>
        <v>0</v>
      </c>
      <c r="Y61" s="151">
        <f t="shared" si="9"/>
        <v>0</v>
      </c>
      <c r="Z61" s="152">
        <f t="shared" si="14"/>
        <v>0</v>
      </c>
      <c r="AA61" s="153">
        <f t="shared" si="15"/>
        <v>0</v>
      </c>
      <c r="AB61" s="153">
        <f t="shared" si="16"/>
        <v>0</v>
      </c>
      <c r="AC61" s="154">
        <f t="shared" si="10"/>
        <v>0</v>
      </c>
      <c r="AD61" s="156">
        <f t="shared" si="17"/>
        <v>0</v>
      </c>
      <c r="AE61" s="182"/>
      <c r="AJ61" s="28"/>
      <c r="AK61" s="29"/>
    </row>
    <row r="62" spans="1:37">
      <c r="A62" s="139">
        <v>30</v>
      </c>
      <c r="B62" s="139" cm="1">
        <f t="array" ref="B62">IFERROR(IF(A62=s1_id_korvattava1,INDEX($AG$3:$AG$19,MATCH(C62,$AF$3:$AF$19,0),1),IF(A62=s1_id_korvaava1,INDEX($AH$3:$AH$19,MATCH(C62,$AF$3:$AF$19,0),1),IF(A62=s1_id_korvattava2,INDEX($AI$3:$AI$19,MATCH(C62,$AF$3:$AF$19,0),1),IF(A62=s1_id_korvaava2,INDEX($AJ$3:$AJ$19,MATCH(C62,$AF$3:$AF$19,0),1),INDEX(Työkonekanta!$F$3:$F$27,MATCH('S1 Sähkö'!$A62,Työkonekanta!$A$3:$A$24,0),1))))),0)</f>
        <v>0</v>
      </c>
      <c r="C62" s="140">
        <v>2020</v>
      </c>
      <c r="D62" s="141" t="str">
        <f>IFERROR(INDEX(Työkonekanta!$D$3:$D$27,MATCH('S1 Sähkö'!$A62,Työkonekanta!$A$3:$A$24,0),1),"undefined")</f>
        <v>undefined</v>
      </c>
      <c r="E62" s="145">
        <f>IFERROR(INDEX(Työkonekanta!$G$3:$G$27,MATCH($A62,Työkonekanta!$A$3:$A$24,0),1)*INDEX(Työkonekanta!$H$3:$H$27,MATCH($A62,Työkonekanta!$A$3:$A$24,0),1)*(1+s1_kerroin*($C62-2019))*$B62,0)</f>
        <v>0</v>
      </c>
      <c r="F62" s="145">
        <f t="shared" si="0"/>
        <v>0</v>
      </c>
      <c r="G62" s="145">
        <f t="shared" si="11"/>
        <v>0</v>
      </c>
      <c r="H62" s="145">
        <f t="shared" si="12"/>
        <v>0</v>
      </c>
      <c r="I62" s="145">
        <f t="shared" si="1"/>
        <v>0</v>
      </c>
      <c r="J62" s="145">
        <f t="shared" si="2"/>
        <v>0</v>
      </c>
      <c r="K62" s="142" t="str">
        <f t="shared" si="13"/>
        <v>undefined</v>
      </c>
      <c r="L62" s="146">
        <f>IFERROR(INDEX(Työkonekanta!$I$3:$I$27,MATCH('S1 Sähkö'!$A62,Työkonekanta!$A$3:$A$24,0),1)*(I62+J62)*f_adblue,0)</f>
        <v>0</v>
      </c>
      <c r="M62" s="146">
        <f t="shared" si="3"/>
        <v>0</v>
      </c>
      <c r="N62" s="143" t="str">
        <f>IF(tuulisähkö_vuosi&lt;='S1 Sähkö'!C62,"tuulisähkö",ostosähkö_nyt)</f>
        <v>jäännössähkö</v>
      </c>
      <c r="O62" s="147">
        <f>INDEX(Muuttujat!$J$5:$J$21,MATCH($C62,Muuttujat!$H$5:$H$21,0),1)</f>
        <v>68.554749999999999</v>
      </c>
      <c r="P62" s="342">
        <f>1-(INDEX(Muuttujat!$O$5:$O$21,MATCH($C62,Muuttujat!$N$5:$N$21,0),1))</f>
        <v>1</v>
      </c>
      <c r="Q62" s="342">
        <f>INDEX(Muuttujat!$O$5:$O$21,MATCH($C62,Muuttujat!$N$5:$N$21,0),1)</f>
        <v>0</v>
      </c>
      <c r="R62" s="148">
        <f>INDEX(Muuttujat!$P$5:$P$21,MATCH($C62,Muuttujat!$N$5:$N$21,0),1)</f>
        <v>0</v>
      </c>
      <c r="S62" s="149">
        <f t="shared" si="4"/>
        <v>0</v>
      </c>
      <c r="T62" s="150">
        <f t="shared" si="5"/>
        <v>0</v>
      </c>
      <c r="U62" s="150">
        <f t="shared" si="6"/>
        <v>0</v>
      </c>
      <c r="V62" s="150">
        <f>IFERROR(INDEX(Työkonekanta!$J$3:$J$27,MATCH($A62,Työkonekanta!$A$3:$A$24,0),1)*$B62*ef_li_ion_akku/1000/1000/INDEX(Työkonekanta!$K$3:$K$27,MATCH($A62,Työkonekanta!$A$3:$A$24,0)),0)</f>
        <v>0</v>
      </c>
      <c r="W62" s="149">
        <f t="shared" si="7"/>
        <v>0</v>
      </c>
      <c r="X62" s="150">
        <f t="shared" si="8"/>
        <v>0</v>
      </c>
      <c r="Y62" s="151">
        <f t="shared" si="9"/>
        <v>0</v>
      </c>
      <c r="Z62" s="152">
        <f t="shared" si="14"/>
        <v>0</v>
      </c>
      <c r="AA62" s="153">
        <f t="shared" si="15"/>
        <v>0</v>
      </c>
      <c r="AB62" s="153">
        <f t="shared" si="16"/>
        <v>0</v>
      </c>
      <c r="AC62" s="154">
        <f t="shared" si="10"/>
        <v>0</v>
      </c>
      <c r="AD62" s="156">
        <f t="shared" si="17"/>
        <v>0</v>
      </c>
      <c r="AE62" s="182"/>
      <c r="AJ62" s="28"/>
      <c r="AK62" s="29"/>
    </row>
    <row r="63" spans="1:37">
      <c r="A63" s="139">
        <v>1</v>
      </c>
      <c r="B63" s="139" cm="1">
        <f t="array" ref="B63">IFERROR(IF(A63=s1_id_korvattava1,INDEX($AG$3:$AG$19,MATCH(C63,$AF$3:$AF$19,0),1),IF(A63=s1_id_korvaava1,INDEX($AH$3:$AH$19,MATCH(C63,$AF$3:$AF$19,0),1),IF(A63=s1_id_korvattava2,INDEX($AI$3:$AI$19,MATCH(C63,$AF$3:$AF$19,0),1),IF(A63=s1_id_korvaava2,INDEX($AJ$3:$AJ$19,MATCH(C63,$AF$3:$AF$19,0),1),INDEX(Työkonekanta!$F$3:$F$27,MATCH('S1 Sähkö'!$A63,Työkonekanta!$A$3:$A$24,0),1))))),0)</f>
        <v>1</v>
      </c>
      <c r="C63" s="140">
        <v>2021</v>
      </c>
      <c r="D63" s="141" t="str">
        <f>IFERROR(INDEX(Työkonekanta!$D$3:$D$27,MATCH('S1 Sähkö'!$A63,Työkonekanta!$A$3:$A$24,0),1),"undefined")</f>
        <v>pom</v>
      </c>
      <c r="E63" s="145">
        <f>IFERROR(INDEX(Työkonekanta!$G$3:$G$27,MATCH($A63,Työkonekanta!$A$3:$A$24,0),1)*INDEX(Työkonekanta!$H$3:$H$27,MATCH($A63,Työkonekanta!$A$3:$A$24,0),1)*(1+s1_kerroin*($C63-2019))*$B63,0)</f>
        <v>10200</v>
      </c>
      <c r="F63" s="145">
        <f t="shared" si="0"/>
        <v>366180</v>
      </c>
      <c r="G63" s="145">
        <f t="shared" si="11"/>
        <v>355194.6</v>
      </c>
      <c r="H63" s="145">
        <f t="shared" si="12"/>
        <v>10985.4</v>
      </c>
      <c r="I63" s="145">
        <f t="shared" si="1"/>
        <v>9894</v>
      </c>
      <c r="J63" s="145">
        <f t="shared" si="2"/>
        <v>320.27405247813414</v>
      </c>
      <c r="K63" s="142" t="str">
        <f t="shared" si="13"/>
        <v>l</v>
      </c>
      <c r="L63" s="146">
        <f>IFERROR(INDEX(Työkonekanta!$I$3:$I$27,MATCH('S1 Sähkö'!$A63,Työkonekanta!$A$3:$A$24,0),1)*(I63+J63)*f_adblue,0)</f>
        <v>510.71370262390678</v>
      </c>
      <c r="M63" s="146">
        <f t="shared" si="3"/>
        <v>0</v>
      </c>
      <c r="N63" s="143" t="str">
        <f>IF(tuulisähkö_vuosi&lt;='S1 Sähkö'!C63,"tuulisähkö",ostosähkö_nyt)</f>
        <v>jäännössähkö</v>
      </c>
      <c r="O63" s="147">
        <f>INDEX(Muuttujat!$J$5:$J$21,MATCH($C63,Muuttujat!$H$5:$H$21,0),1)</f>
        <v>67.8692025</v>
      </c>
      <c r="P63" s="342">
        <f>1-(INDEX(Muuttujat!$O$5:$O$21,MATCH($C63,Muuttujat!$N$5:$N$21,0),1))</f>
        <v>0.97</v>
      </c>
      <c r="Q63" s="342">
        <f>INDEX(Muuttujat!$O$5:$O$21,MATCH($C63,Muuttujat!$N$5:$N$21,0),1)</f>
        <v>0.03</v>
      </c>
      <c r="R63" s="148">
        <f>INDEX(Muuttujat!$P$5:$P$21,MATCH($C63,Muuttujat!$N$5:$N$21,0),1)</f>
        <v>3.1355537414087732E-2</v>
      </c>
      <c r="S63" s="149">
        <f t="shared" si="4"/>
        <v>6.7131779399999996</v>
      </c>
      <c r="T63" s="150">
        <f t="shared" si="5"/>
        <v>0.68548895999999993</v>
      </c>
      <c r="U63" s="150">
        <f t="shared" si="6"/>
        <v>0</v>
      </c>
      <c r="V63" s="150">
        <f>IFERROR(INDEX(Työkonekanta!$J$3:$J$27,MATCH($A63,Työkonekanta!$A$3:$A$24,0),1)*$B63*ef_li_ion_akku/1000/1000/INDEX(Työkonekanta!$K$3:$K$27,MATCH($A63,Työkonekanta!$A$3:$A$24,0)),0)</f>
        <v>0</v>
      </c>
      <c r="W63" s="149">
        <f t="shared" si="7"/>
        <v>26.2162933551684</v>
      </c>
      <c r="X63" s="150">
        <f t="shared" si="8"/>
        <v>0.32410057319999996</v>
      </c>
      <c r="Y63" s="151">
        <f t="shared" si="9"/>
        <v>0.13278556268221575</v>
      </c>
      <c r="Z63" s="152">
        <f t="shared" si="14"/>
        <v>7.3986668999999994</v>
      </c>
      <c r="AA63" s="153">
        <f t="shared" si="15"/>
        <v>26.349078917850616</v>
      </c>
      <c r="AB63" s="153">
        <f t="shared" si="16"/>
        <v>26.673179491050615</v>
      </c>
      <c r="AC63" s="154">
        <f t="shared" si="10"/>
        <v>33.747745817850614</v>
      </c>
      <c r="AD63" s="156">
        <f t="shared" si="17"/>
        <v>34.071846391050613</v>
      </c>
      <c r="AE63" s="182"/>
      <c r="AG63" s="2"/>
    </row>
    <row r="64" spans="1:37">
      <c r="A64" s="139">
        <v>2</v>
      </c>
      <c r="B64" s="139" cm="1">
        <f t="array" ref="B64">IFERROR(IF(A64=s1_id_korvattava1,INDEX($AG$3:$AG$19,MATCH(C64,$AF$3:$AF$19,0),1),IF(A64=s1_id_korvaava1,INDEX($AH$3:$AH$19,MATCH(C64,$AF$3:$AF$19,0),1),IF(A64=s1_id_korvattava2,INDEX($AI$3:$AI$19,MATCH(C64,$AF$3:$AF$19,0),1),IF(A64=s1_id_korvaava2,INDEX($AJ$3:$AJ$19,MATCH(C64,$AF$3:$AF$19,0),1),INDEX(Työkonekanta!$F$3:$F$27,MATCH('S1 Sähkö'!$A64,Työkonekanta!$A$3:$A$24,0),1))))),0)</f>
        <v>1</v>
      </c>
      <c r="C64" s="140">
        <v>2021</v>
      </c>
      <c r="D64" s="141" t="str">
        <f>IFERROR(INDEX(Työkonekanta!$D$3:$D$27,MATCH('S1 Sähkö'!$A64,Työkonekanta!$A$3:$A$24,0),1),"undefined")</f>
        <v>pom</v>
      </c>
      <c r="E64" s="145">
        <f>IFERROR(INDEX(Työkonekanta!$G$3:$G$27,MATCH($A64,Työkonekanta!$A$3:$A$24,0),1)*INDEX(Työkonekanta!$H$3:$H$27,MATCH($A64,Työkonekanta!$A$3:$A$24,0),1)*(1+s1_kerroin*($C64-2019))*$B64,0)</f>
        <v>10200</v>
      </c>
      <c r="F64" s="145">
        <f t="shared" si="0"/>
        <v>366180</v>
      </c>
      <c r="G64" s="145">
        <f t="shared" si="11"/>
        <v>355194.6</v>
      </c>
      <c r="H64" s="145">
        <f t="shared" si="12"/>
        <v>10985.4</v>
      </c>
      <c r="I64" s="145">
        <f t="shared" si="1"/>
        <v>9894</v>
      </c>
      <c r="J64" s="145">
        <f t="shared" si="2"/>
        <v>320.27405247813414</v>
      </c>
      <c r="K64" s="142" t="str">
        <f t="shared" si="13"/>
        <v>l</v>
      </c>
      <c r="L64" s="146">
        <f>IFERROR(INDEX(Työkonekanta!$I$3:$I$27,MATCH('S1 Sähkö'!$A64,Työkonekanta!$A$3:$A$24,0),1)*(I64+J64)*f_adblue,0)</f>
        <v>510.71370262390678</v>
      </c>
      <c r="M64" s="146">
        <f t="shared" si="3"/>
        <v>0</v>
      </c>
      <c r="N64" s="143" t="str">
        <f>IF(tuulisähkö_vuosi&lt;='S1 Sähkö'!C64,"tuulisähkö",ostosähkö_nyt)</f>
        <v>jäännössähkö</v>
      </c>
      <c r="O64" s="147">
        <f>INDEX(Muuttujat!$J$5:$J$21,MATCH($C64,Muuttujat!$H$5:$H$21,0),1)</f>
        <v>67.8692025</v>
      </c>
      <c r="P64" s="342">
        <f>1-(INDEX(Muuttujat!$O$5:$O$21,MATCH($C64,Muuttujat!$N$5:$N$21,0),1))</f>
        <v>0.97</v>
      </c>
      <c r="Q64" s="342">
        <f>INDEX(Muuttujat!$O$5:$O$21,MATCH($C64,Muuttujat!$N$5:$N$21,0),1)</f>
        <v>0.03</v>
      </c>
      <c r="R64" s="148">
        <f>INDEX(Muuttujat!$P$5:$P$21,MATCH($C64,Muuttujat!$N$5:$N$21,0),1)</f>
        <v>3.1355537414087732E-2</v>
      </c>
      <c r="S64" s="149">
        <f t="shared" si="4"/>
        <v>6.7131779399999996</v>
      </c>
      <c r="T64" s="150">
        <f t="shared" si="5"/>
        <v>0.68548895999999993</v>
      </c>
      <c r="U64" s="150">
        <f t="shared" si="6"/>
        <v>0</v>
      </c>
      <c r="V64" s="150">
        <f>IFERROR(INDEX(Työkonekanta!$J$3:$J$27,MATCH($A64,Työkonekanta!$A$3:$A$24,0),1)*$B64*ef_li_ion_akku/1000/1000/INDEX(Työkonekanta!$K$3:$K$27,MATCH($A64,Työkonekanta!$A$3:$A$24,0)),0)</f>
        <v>0</v>
      </c>
      <c r="W64" s="149">
        <f t="shared" si="7"/>
        <v>26.2162933551684</v>
      </c>
      <c r="X64" s="150">
        <f t="shared" si="8"/>
        <v>0.32410057319999996</v>
      </c>
      <c r="Y64" s="151">
        <f t="shared" si="9"/>
        <v>0.13278556268221575</v>
      </c>
      <c r="Z64" s="152">
        <f t="shared" si="14"/>
        <v>7.3986668999999994</v>
      </c>
      <c r="AA64" s="153">
        <f t="shared" si="15"/>
        <v>26.349078917850616</v>
      </c>
      <c r="AB64" s="153">
        <f t="shared" si="16"/>
        <v>26.673179491050615</v>
      </c>
      <c r="AC64" s="154">
        <f t="shared" si="10"/>
        <v>33.747745817850614</v>
      </c>
      <c r="AD64" s="156">
        <f t="shared" si="17"/>
        <v>34.071846391050613</v>
      </c>
      <c r="AE64" s="182"/>
      <c r="AG64" s="2"/>
    </row>
    <row r="65" spans="1:33">
      <c r="A65" s="139">
        <v>3</v>
      </c>
      <c r="B65" s="139" cm="1">
        <f t="array" ref="B65">IFERROR(IF(A65=s1_id_korvattava1,INDEX($AG$3:$AG$19,MATCH(C65,$AF$3:$AF$19,0),1),IF(A65=s1_id_korvaava1,INDEX($AH$3:$AH$19,MATCH(C65,$AF$3:$AF$19,0),1),IF(A65=s1_id_korvattava2,INDEX($AI$3:$AI$19,MATCH(C65,$AF$3:$AF$19,0),1),IF(A65=s1_id_korvaava2,INDEX($AJ$3:$AJ$19,MATCH(C65,$AF$3:$AF$19,0),1),INDEX(Työkonekanta!$F$3:$F$27,MATCH('S1 Sähkö'!$A65,Työkonekanta!$A$3:$A$24,0),1))))),0)</f>
        <v>1</v>
      </c>
      <c r="C65" s="140">
        <v>2021</v>
      </c>
      <c r="D65" s="141" t="str">
        <f>IFERROR(INDEX(Työkonekanta!$D$3:$D$27,MATCH('S1 Sähkö'!$A65,Työkonekanta!$A$3:$A$24,0),1),"undefined")</f>
        <v>pom</v>
      </c>
      <c r="E65" s="145">
        <f>IFERROR(INDEX(Työkonekanta!$G$3:$G$27,MATCH($A65,Työkonekanta!$A$3:$A$24,0),1)*INDEX(Työkonekanta!$H$3:$H$27,MATCH($A65,Työkonekanta!$A$3:$A$24,0),1)*(1+s1_kerroin*($C65-2019))*$B65,0)</f>
        <v>10200</v>
      </c>
      <c r="F65" s="145">
        <f t="shared" si="0"/>
        <v>366180</v>
      </c>
      <c r="G65" s="145">
        <f t="shared" si="11"/>
        <v>355194.6</v>
      </c>
      <c r="H65" s="145">
        <f t="shared" si="12"/>
        <v>10985.4</v>
      </c>
      <c r="I65" s="145">
        <f t="shared" si="1"/>
        <v>9894</v>
      </c>
      <c r="J65" s="145">
        <f t="shared" si="2"/>
        <v>320.27405247813414</v>
      </c>
      <c r="K65" s="142" t="str">
        <f t="shared" si="13"/>
        <v>l</v>
      </c>
      <c r="L65" s="146">
        <f>IFERROR(INDEX(Työkonekanta!$I$3:$I$27,MATCH('S1 Sähkö'!$A65,Työkonekanta!$A$3:$A$24,0),1)*(I65+J65)*f_adblue,0)</f>
        <v>510.71370262390678</v>
      </c>
      <c r="M65" s="146">
        <f t="shared" si="3"/>
        <v>0</v>
      </c>
      <c r="N65" s="143" t="str">
        <f>IF(tuulisähkö_vuosi&lt;='S1 Sähkö'!C65,"tuulisähkö",ostosähkö_nyt)</f>
        <v>jäännössähkö</v>
      </c>
      <c r="O65" s="147">
        <f>INDEX(Muuttujat!$J$5:$J$21,MATCH($C65,Muuttujat!$H$5:$H$21,0),1)</f>
        <v>67.8692025</v>
      </c>
      <c r="P65" s="342">
        <f>1-(INDEX(Muuttujat!$O$5:$O$21,MATCH($C65,Muuttujat!$N$5:$N$21,0),1))</f>
        <v>0.97</v>
      </c>
      <c r="Q65" s="342">
        <f>INDEX(Muuttujat!$O$5:$O$21,MATCH($C65,Muuttujat!$N$5:$N$21,0),1)</f>
        <v>0.03</v>
      </c>
      <c r="R65" s="148">
        <f>INDEX(Muuttujat!$P$5:$P$21,MATCH($C65,Muuttujat!$N$5:$N$21,0),1)</f>
        <v>3.1355537414087732E-2</v>
      </c>
      <c r="S65" s="149">
        <f t="shared" si="4"/>
        <v>6.7131779399999996</v>
      </c>
      <c r="T65" s="150">
        <f t="shared" si="5"/>
        <v>0.68548895999999993</v>
      </c>
      <c r="U65" s="150">
        <f t="shared" si="6"/>
        <v>0</v>
      </c>
      <c r="V65" s="150">
        <f>IFERROR(INDEX(Työkonekanta!$J$3:$J$27,MATCH($A65,Työkonekanta!$A$3:$A$24,0),1)*$B65*ef_li_ion_akku/1000/1000/INDEX(Työkonekanta!$K$3:$K$27,MATCH($A65,Työkonekanta!$A$3:$A$24,0)),0)</f>
        <v>0</v>
      </c>
      <c r="W65" s="149">
        <f t="shared" si="7"/>
        <v>26.2162933551684</v>
      </c>
      <c r="X65" s="150">
        <f t="shared" si="8"/>
        <v>0.32410057319999996</v>
      </c>
      <c r="Y65" s="151">
        <f t="shared" si="9"/>
        <v>0.13278556268221575</v>
      </c>
      <c r="Z65" s="152">
        <f t="shared" si="14"/>
        <v>7.3986668999999994</v>
      </c>
      <c r="AA65" s="153">
        <f t="shared" si="15"/>
        <v>26.349078917850616</v>
      </c>
      <c r="AB65" s="153">
        <f t="shared" si="16"/>
        <v>26.673179491050615</v>
      </c>
      <c r="AC65" s="154">
        <f t="shared" si="10"/>
        <v>33.747745817850614</v>
      </c>
      <c r="AD65" s="156">
        <f t="shared" si="17"/>
        <v>34.071846391050613</v>
      </c>
      <c r="AE65" s="182"/>
      <c r="AG65" s="2"/>
    </row>
    <row r="66" spans="1:33">
      <c r="A66" s="139">
        <v>4</v>
      </c>
      <c r="B66" s="139" cm="1">
        <f t="array" ref="B66">IFERROR(IF(A66=s1_id_korvattava1,INDEX($AG$3:$AG$19,MATCH(C66,$AF$3:$AF$19,0),1),IF(A66=s1_id_korvaava1,INDEX($AH$3:$AH$19,MATCH(C66,$AF$3:$AF$19,0),1),IF(A66=s1_id_korvattava2,INDEX($AI$3:$AI$19,MATCH(C66,$AF$3:$AF$19,0),1),IF(A66=s1_id_korvaava2,INDEX($AJ$3:$AJ$19,MATCH(C66,$AF$3:$AF$19,0),1),INDEX(Työkonekanta!$F$3:$F$27,MATCH('S1 Sähkö'!$A66,Työkonekanta!$A$3:$A$24,0),1))))),0)</f>
        <v>1</v>
      </c>
      <c r="C66" s="140">
        <v>2021</v>
      </c>
      <c r="D66" s="141" t="str">
        <f>IFERROR(INDEX(Työkonekanta!$D$3:$D$27,MATCH('S1 Sähkö'!$A66,Työkonekanta!$A$3:$A$24,0),1),"undefined")</f>
        <v>pom</v>
      </c>
      <c r="E66" s="145">
        <f>IFERROR(INDEX(Työkonekanta!$G$3:$G$27,MATCH($A66,Työkonekanta!$A$3:$A$24,0),1)*INDEX(Työkonekanta!$H$3:$H$27,MATCH($A66,Työkonekanta!$A$3:$A$24,0),1)*(1+s1_kerroin*($C66-2019))*$B66,0)</f>
        <v>10200</v>
      </c>
      <c r="F66" s="145">
        <f t="shared" si="0"/>
        <v>366180</v>
      </c>
      <c r="G66" s="145">
        <f t="shared" si="11"/>
        <v>355194.6</v>
      </c>
      <c r="H66" s="145">
        <f t="shared" si="12"/>
        <v>10985.4</v>
      </c>
      <c r="I66" s="145">
        <f t="shared" si="1"/>
        <v>9894</v>
      </c>
      <c r="J66" s="145">
        <f t="shared" si="2"/>
        <v>320.27405247813414</v>
      </c>
      <c r="K66" s="142" t="str">
        <f t="shared" si="13"/>
        <v>l</v>
      </c>
      <c r="L66" s="146">
        <f>IFERROR(INDEX(Työkonekanta!$I$3:$I$27,MATCH('S1 Sähkö'!$A66,Työkonekanta!$A$3:$A$24,0),1)*(I66+J66)*f_adblue,0)</f>
        <v>510.71370262390678</v>
      </c>
      <c r="M66" s="146">
        <f t="shared" si="3"/>
        <v>0</v>
      </c>
      <c r="N66" s="143" t="str">
        <f>IF(tuulisähkö_vuosi&lt;='S1 Sähkö'!C66,"tuulisähkö",ostosähkö_nyt)</f>
        <v>jäännössähkö</v>
      </c>
      <c r="O66" s="147">
        <f>INDEX(Muuttujat!$J$5:$J$21,MATCH($C66,Muuttujat!$H$5:$H$21,0),1)</f>
        <v>67.8692025</v>
      </c>
      <c r="P66" s="342">
        <f>1-(INDEX(Muuttujat!$O$5:$O$21,MATCH($C66,Muuttujat!$N$5:$N$21,0),1))</f>
        <v>0.97</v>
      </c>
      <c r="Q66" s="342">
        <f>INDEX(Muuttujat!$O$5:$O$21,MATCH($C66,Muuttujat!$N$5:$N$21,0),1)</f>
        <v>0.03</v>
      </c>
      <c r="R66" s="148">
        <f>INDEX(Muuttujat!$P$5:$P$21,MATCH($C66,Muuttujat!$N$5:$N$21,0),1)</f>
        <v>3.1355537414087732E-2</v>
      </c>
      <c r="S66" s="149">
        <f t="shared" si="4"/>
        <v>6.7131779399999996</v>
      </c>
      <c r="T66" s="150">
        <f t="shared" si="5"/>
        <v>0.68548895999999993</v>
      </c>
      <c r="U66" s="150">
        <f t="shared" si="6"/>
        <v>0</v>
      </c>
      <c r="V66" s="150">
        <f>IFERROR(INDEX(Työkonekanta!$J$3:$J$27,MATCH($A66,Työkonekanta!$A$3:$A$24,0),1)*$B66*ef_li_ion_akku/1000/1000/INDEX(Työkonekanta!$K$3:$K$27,MATCH($A66,Työkonekanta!$A$3:$A$24,0)),0)</f>
        <v>0</v>
      </c>
      <c r="W66" s="149">
        <f t="shared" si="7"/>
        <v>26.2162933551684</v>
      </c>
      <c r="X66" s="150">
        <f t="shared" si="8"/>
        <v>0.32410057319999996</v>
      </c>
      <c r="Y66" s="151">
        <f t="shared" si="9"/>
        <v>0.13278556268221575</v>
      </c>
      <c r="Z66" s="152">
        <f t="shared" si="14"/>
        <v>7.3986668999999994</v>
      </c>
      <c r="AA66" s="153">
        <f t="shared" si="15"/>
        <v>26.349078917850616</v>
      </c>
      <c r="AB66" s="153">
        <f t="shared" si="16"/>
        <v>26.673179491050615</v>
      </c>
      <c r="AC66" s="154">
        <f t="shared" si="10"/>
        <v>33.747745817850614</v>
      </c>
      <c r="AD66" s="156">
        <f t="shared" si="17"/>
        <v>34.071846391050613</v>
      </c>
      <c r="AE66" s="182"/>
      <c r="AG66" s="2"/>
    </row>
    <row r="67" spans="1:33">
      <c r="A67" s="139">
        <v>5</v>
      </c>
      <c r="B67" s="139" cm="1">
        <f t="array" ref="B67">IFERROR(IF(A67=s1_id_korvattava1,INDEX($AG$3:$AG$19,MATCH(C67,$AF$3:$AF$19,0),1),IF(A67=s1_id_korvaava1,INDEX($AH$3:$AH$19,MATCH(C67,$AF$3:$AF$19,0),1),IF(A67=s1_id_korvattava2,INDEX($AI$3:$AI$19,MATCH(C67,$AF$3:$AF$19,0),1),IF(A67=s1_id_korvaava2,INDEX($AJ$3:$AJ$19,MATCH(C67,$AF$3:$AF$19,0),1),INDEX(Työkonekanta!$F$3:$F$27,MATCH('S1 Sähkö'!$A67,Työkonekanta!$A$3:$A$24,0),1))))),0)</f>
        <v>0</v>
      </c>
      <c r="C67" s="140">
        <v>2021</v>
      </c>
      <c r="D67" s="141" t="str">
        <f>IFERROR(INDEX(Työkonekanta!$D$3:$D$27,MATCH('S1 Sähkö'!$A67,Työkonekanta!$A$3:$A$24,0),1),"undefined")</f>
        <v>sähkö</v>
      </c>
      <c r="E67" s="145">
        <f>IFERROR(INDEX(Työkonekanta!$G$3:$G$27,MATCH($A67,Työkonekanta!$A$3:$A$24,0),1)*INDEX(Työkonekanta!$H$3:$H$27,MATCH($A67,Työkonekanta!$A$3:$A$24,0),1)*(1+s1_kerroin*($C67-2019))*$B67,0)</f>
        <v>0</v>
      </c>
      <c r="F67" s="145">
        <f t="shared" ref="F67:F130" si="22">IF(D67="pom",$E67*hv_pom,0)</f>
        <v>0</v>
      </c>
      <c r="G67" s="145">
        <f t="shared" si="11"/>
        <v>0</v>
      </c>
      <c r="H67" s="145">
        <f t="shared" si="12"/>
        <v>0</v>
      </c>
      <c r="I67" s="145">
        <f t="shared" ref="I67:I130" si="23">$G67/hv_pom</f>
        <v>0</v>
      </c>
      <c r="J67" s="145">
        <f t="shared" ref="J67:J130" si="24">$H67/hv_biodies</f>
        <v>0</v>
      </c>
      <c r="K67" s="142" t="str">
        <f t="shared" si="13"/>
        <v>kWh</v>
      </c>
      <c r="L67" s="146">
        <f>IFERROR(INDEX(Työkonekanta!$I$3:$I$27,MATCH('S1 Sähkö'!$A67,Työkonekanta!$A$3:$A$24,0),1)*(I67+J67)*f_adblue,0)</f>
        <v>0</v>
      </c>
      <c r="M67" s="146">
        <f t="shared" si="3"/>
        <v>0</v>
      </c>
      <c r="N67" s="143" t="str">
        <f>IF(tuulisähkö_vuosi&lt;='S1 Sähkö'!C67,"tuulisähkö",ostosähkö_nyt)</f>
        <v>jäännössähkö</v>
      </c>
      <c r="O67" s="147">
        <f>INDEX(Muuttujat!$J$5:$J$21,MATCH($C67,Muuttujat!$H$5:$H$21,0),1)</f>
        <v>67.8692025</v>
      </c>
      <c r="P67" s="342">
        <f>1-(INDEX(Muuttujat!$O$5:$O$21,MATCH($C67,Muuttujat!$N$5:$N$21,0),1))</f>
        <v>0.97</v>
      </c>
      <c r="Q67" s="342">
        <f>INDEX(Muuttujat!$O$5:$O$21,MATCH($C67,Muuttujat!$N$5:$N$21,0),1)</f>
        <v>0.03</v>
      </c>
      <c r="R67" s="148">
        <f>INDEX(Muuttujat!$P$5:$P$21,MATCH($C67,Muuttujat!$N$5:$N$21,0),1)</f>
        <v>3.1355537414087732E-2</v>
      </c>
      <c r="S67" s="149">
        <f t="shared" ref="S67:S130" si="25">wtt_ef_e_co2_dies*$G67/1000/1000</f>
        <v>0</v>
      </c>
      <c r="T67" s="150">
        <f t="shared" ref="T67:T130" si="26">wtt_ef_e_co2_biodies*$H67/1000/1000</f>
        <v>0</v>
      </c>
      <c r="U67" s="150">
        <f t="shared" ref="U67:U130" si="27">IF(N67="jäännössähkö",$O67,IF(N67="tuulisähkö",wtt_ef_e_co2_el_wind,0))*$M67/1000/1000</f>
        <v>0</v>
      </c>
      <c r="V67" s="150">
        <f>IFERROR(INDEX(Työkonekanta!$J$3:$J$27,MATCH($A67,Työkonekanta!$A$3:$A$24,0),1)*$B67*ef_li_ion_akku/1000/1000/INDEX(Työkonekanta!$K$3:$K$27,MATCH($A67,Työkonekanta!$A$3:$A$24,0)),0)</f>
        <v>0</v>
      </c>
      <c r="W67" s="149">
        <f t="shared" si="7"/>
        <v>0</v>
      </c>
      <c r="X67" s="150">
        <f t="shared" si="8"/>
        <v>0</v>
      </c>
      <c r="Y67" s="151">
        <f t="shared" si="9"/>
        <v>0</v>
      </c>
      <c r="Z67" s="152">
        <f t="shared" si="14"/>
        <v>0</v>
      </c>
      <c r="AA67" s="153">
        <f t="shared" si="15"/>
        <v>0</v>
      </c>
      <c r="AB67" s="153">
        <f t="shared" si="16"/>
        <v>0</v>
      </c>
      <c r="AC67" s="154">
        <f t="shared" si="10"/>
        <v>0</v>
      </c>
      <c r="AD67" s="156">
        <f t="shared" si="17"/>
        <v>0</v>
      </c>
      <c r="AE67" s="182"/>
      <c r="AG67" s="2"/>
    </row>
    <row r="68" spans="1:33">
      <c r="A68" s="139">
        <v>6</v>
      </c>
      <c r="B68" s="139" cm="1">
        <f t="array" ref="B68">IFERROR(IF(A68=s1_id_korvattava1,INDEX($AG$3:$AG$19,MATCH(C68,$AF$3:$AF$19,0),1),IF(A68=s1_id_korvaava1,INDEX($AH$3:$AH$19,MATCH(C68,$AF$3:$AF$19,0),1),IF(A68=s1_id_korvattava2,INDEX($AI$3:$AI$19,MATCH(C68,$AF$3:$AF$19,0),1),IF(A68=s1_id_korvaava2,INDEX($AJ$3:$AJ$19,MATCH(C68,$AF$3:$AF$19,0),1),INDEX(Työkonekanta!$F$3:$F$27,MATCH('S1 Sähkö'!$A68,Työkonekanta!$A$3:$A$24,0),1))))),0)</f>
        <v>0</v>
      </c>
      <c r="C68" s="140">
        <v>2021</v>
      </c>
      <c r="D68" s="141" t="str">
        <f>IFERROR(INDEX(Työkonekanta!$D$3:$D$27,MATCH('S1 Sähkö'!$A68,Työkonekanta!$A$3:$A$24,0),1),"undefined")</f>
        <v>sähkö</v>
      </c>
      <c r="E68" s="145">
        <f>IFERROR(INDEX(Työkonekanta!$G$3:$G$27,MATCH($A68,Työkonekanta!$A$3:$A$24,0),1)*INDEX(Työkonekanta!$H$3:$H$27,MATCH($A68,Työkonekanta!$A$3:$A$24,0),1)*(1+s1_kerroin*($C68-2019))*$B68,0)</f>
        <v>0</v>
      </c>
      <c r="F68" s="145">
        <f t="shared" si="22"/>
        <v>0</v>
      </c>
      <c r="G68" s="145">
        <f t="shared" ref="G68:G131" si="28">$F68*$P68</f>
        <v>0</v>
      </c>
      <c r="H68" s="145">
        <f t="shared" ref="H68:H131" si="29">$F68*$Q68</f>
        <v>0</v>
      </c>
      <c r="I68" s="145">
        <f t="shared" si="23"/>
        <v>0</v>
      </c>
      <c r="J68" s="145">
        <f t="shared" si="24"/>
        <v>0</v>
      </c>
      <c r="K68" s="142" t="str">
        <f t="shared" ref="K68:K131" si="30">IF($D68="sähkö","kWh",IF($D68="pom","l","undefined"))</f>
        <v>kWh</v>
      </c>
      <c r="L68" s="146">
        <f>IFERROR(INDEX(Työkonekanta!$I$3:$I$27,MATCH('S1 Sähkö'!$A68,Työkonekanta!$A$3:$A$24,0),1)*(I68+J68)*f_adblue,0)</f>
        <v>0</v>
      </c>
      <c r="M68" s="146">
        <f t="shared" si="3"/>
        <v>0</v>
      </c>
      <c r="N68" s="143" t="str">
        <f>IF(tuulisähkö_vuosi&lt;='S1 Sähkö'!C68,"tuulisähkö",ostosähkö_nyt)</f>
        <v>jäännössähkö</v>
      </c>
      <c r="O68" s="147">
        <f>INDEX(Muuttujat!$J$5:$J$21,MATCH($C68,Muuttujat!$H$5:$H$21,0),1)</f>
        <v>67.8692025</v>
      </c>
      <c r="P68" s="342">
        <f>1-(INDEX(Muuttujat!$O$5:$O$21,MATCH($C68,Muuttujat!$N$5:$N$21,0),1))</f>
        <v>0.97</v>
      </c>
      <c r="Q68" s="342">
        <f>INDEX(Muuttujat!$O$5:$O$21,MATCH($C68,Muuttujat!$N$5:$N$21,0),1)</f>
        <v>0.03</v>
      </c>
      <c r="R68" s="148">
        <f>INDEX(Muuttujat!$P$5:$P$21,MATCH($C68,Muuttujat!$N$5:$N$21,0),1)</f>
        <v>3.1355537414087732E-2</v>
      </c>
      <c r="S68" s="149">
        <f t="shared" si="25"/>
        <v>0</v>
      </c>
      <c r="T68" s="150">
        <f t="shared" si="26"/>
        <v>0</v>
      </c>
      <c r="U68" s="150">
        <f t="shared" si="27"/>
        <v>0</v>
      </c>
      <c r="V68" s="150">
        <f>IFERROR(INDEX(Työkonekanta!$J$3:$J$27,MATCH($A68,Työkonekanta!$A$3:$A$24,0),1)*$B68*ef_li_ion_akku/1000/1000/INDEX(Työkonekanta!$K$3:$K$27,MATCH($A68,Työkonekanta!$A$3:$A$24,0)),0)</f>
        <v>0</v>
      </c>
      <c r="W68" s="149">
        <f t="shared" si="7"/>
        <v>0</v>
      </c>
      <c r="X68" s="150">
        <f t="shared" si="8"/>
        <v>0</v>
      </c>
      <c r="Y68" s="151">
        <f t="shared" si="9"/>
        <v>0</v>
      </c>
      <c r="Z68" s="152">
        <f t="shared" ref="Z68:Z131" si="31">SUM($S68:$V68)</f>
        <v>0</v>
      </c>
      <c r="AA68" s="153">
        <f t="shared" ref="AA68:AA131" si="32">$W68+$Y68</f>
        <v>0</v>
      </c>
      <c r="AB68" s="153">
        <f t="shared" ref="AB68:AB131" si="33">SUM($W68:$Y68)</f>
        <v>0</v>
      </c>
      <c r="AC68" s="154">
        <f t="shared" si="10"/>
        <v>0</v>
      </c>
      <c r="AD68" s="156">
        <f t="shared" ref="AD68:AD131" si="34">$Z68+$AB68</f>
        <v>0</v>
      </c>
      <c r="AE68" s="182"/>
      <c r="AG68" s="2"/>
    </row>
    <row r="69" spans="1:33">
      <c r="A69" s="139">
        <v>7</v>
      </c>
      <c r="B69" s="139" cm="1">
        <f t="array" ref="B69">IFERROR(IF(A69=s1_id_korvattava1,INDEX($AG$3:$AG$19,MATCH(C69,$AF$3:$AF$19,0),1),IF(A69=s1_id_korvaava1,INDEX($AH$3:$AH$19,MATCH(C69,$AF$3:$AF$19,0),1),IF(A69=s1_id_korvattava2,INDEX($AI$3:$AI$19,MATCH(C69,$AF$3:$AF$19,0),1),IF(A69=s1_id_korvaava2,INDEX($AJ$3:$AJ$19,MATCH(C69,$AF$3:$AF$19,0),1),INDEX(Työkonekanta!$F$3:$F$27,MATCH('S1 Sähkö'!$A69,Työkonekanta!$A$3:$A$24,0),1))))),0)</f>
        <v>1</v>
      </c>
      <c r="C69" s="140">
        <v>2021</v>
      </c>
      <c r="D69" s="141" t="str">
        <f>IFERROR(INDEX(Työkonekanta!$D$3:$D$27,MATCH('S1 Sähkö'!$A69,Työkonekanta!$A$3:$A$24,0),1),"undefined")</f>
        <v>pom</v>
      </c>
      <c r="E69" s="145">
        <f>IFERROR(INDEX(Työkonekanta!$G$3:$G$27,MATCH($A69,Työkonekanta!$A$3:$A$24,0),1)*INDEX(Työkonekanta!$H$3:$H$27,MATCH($A69,Työkonekanta!$A$3:$A$24,0),1)*(1+s1_kerroin*($C69-2019))*$B69,0)</f>
        <v>10200</v>
      </c>
      <c r="F69" s="145">
        <f t="shared" si="22"/>
        <v>366180</v>
      </c>
      <c r="G69" s="145">
        <f t="shared" si="28"/>
        <v>355194.6</v>
      </c>
      <c r="H69" s="145">
        <f t="shared" si="29"/>
        <v>10985.4</v>
      </c>
      <c r="I69" s="145">
        <f t="shared" si="23"/>
        <v>9894</v>
      </c>
      <c r="J69" s="145">
        <f t="shared" si="24"/>
        <v>320.27405247813414</v>
      </c>
      <c r="K69" s="142" t="str">
        <f t="shared" si="30"/>
        <v>l</v>
      </c>
      <c r="L69" s="146">
        <f>IFERROR(INDEX(Työkonekanta!$I$3:$I$27,MATCH('S1 Sähkö'!$A69,Työkonekanta!$A$3:$A$24,0),1)*(I69+J69)*f_adblue,0)</f>
        <v>0</v>
      </c>
      <c r="M69" s="146">
        <f t="shared" si="3"/>
        <v>0</v>
      </c>
      <c r="N69" s="143" t="str">
        <f>IF(tuulisähkö_vuosi&lt;='S1 Sähkö'!C69,"tuulisähkö",ostosähkö_nyt)</f>
        <v>jäännössähkö</v>
      </c>
      <c r="O69" s="147">
        <f>INDEX(Muuttujat!$J$5:$J$21,MATCH($C69,Muuttujat!$H$5:$H$21,0),1)</f>
        <v>67.8692025</v>
      </c>
      <c r="P69" s="342">
        <f>1-(INDEX(Muuttujat!$O$5:$O$21,MATCH($C69,Muuttujat!$N$5:$N$21,0),1))</f>
        <v>0.97</v>
      </c>
      <c r="Q69" s="342">
        <f>INDEX(Muuttujat!$O$5:$O$21,MATCH($C69,Muuttujat!$N$5:$N$21,0),1)</f>
        <v>0.03</v>
      </c>
      <c r="R69" s="148">
        <f>INDEX(Muuttujat!$P$5:$P$21,MATCH($C69,Muuttujat!$N$5:$N$21,0),1)</f>
        <v>3.1355537414087732E-2</v>
      </c>
      <c r="S69" s="149">
        <f t="shared" si="25"/>
        <v>6.7131779399999996</v>
      </c>
      <c r="T69" s="150">
        <f t="shared" si="26"/>
        <v>0.68548895999999993</v>
      </c>
      <c r="U69" s="150">
        <f t="shared" si="27"/>
        <v>0</v>
      </c>
      <c r="V69" s="150">
        <f>IFERROR(INDEX(Työkonekanta!$J$3:$J$27,MATCH($A69,Työkonekanta!$A$3:$A$24,0),1)*$B69*ef_li_ion_akku/1000/1000/INDEX(Työkonekanta!$K$3:$K$27,MATCH($A69,Työkonekanta!$A$3:$A$24,0)),0)</f>
        <v>0</v>
      </c>
      <c r="W69" s="149">
        <f t="shared" si="7"/>
        <v>26.2162933551684</v>
      </c>
      <c r="X69" s="150">
        <f t="shared" si="8"/>
        <v>0.32410057319999996</v>
      </c>
      <c r="Y69" s="151">
        <f t="shared" si="9"/>
        <v>0</v>
      </c>
      <c r="Z69" s="152">
        <f t="shared" si="31"/>
        <v>7.3986668999999994</v>
      </c>
      <c r="AA69" s="153">
        <f t="shared" si="32"/>
        <v>26.2162933551684</v>
      </c>
      <c r="AB69" s="153">
        <f t="shared" si="33"/>
        <v>26.540393928368399</v>
      </c>
      <c r="AC69" s="154">
        <f t="shared" si="10"/>
        <v>33.614960255168398</v>
      </c>
      <c r="AD69" s="156">
        <f t="shared" si="34"/>
        <v>33.939060828368397</v>
      </c>
      <c r="AE69" s="182"/>
      <c r="AG69" s="2"/>
    </row>
    <row r="70" spans="1:33">
      <c r="A70" s="139">
        <v>8</v>
      </c>
      <c r="B70" s="139" cm="1">
        <f t="array" ref="B70">IFERROR(IF(A70=s1_id_korvattava1,INDEX($AG$3:$AG$19,MATCH(C70,$AF$3:$AF$19,0),1),IF(A70=s1_id_korvaava1,INDEX($AH$3:$AH$19,MATCH(C70,$AF$3:$AF$19,0),1),IF(A70=s1_id_korvattava2,INDEX($AI$3:$AI$19,MATCH(C70,$AF$3:$AF$19,0),1),IF(A70=s1_id_korvaava2,INDEX($AJ$3:$AJ$19,MATCH(C70,$AF$3:$AF$19,0),1),INDEX(Työkonekanta!$F$3:$F$27,MATCH('S1 Sähkö'!$A70,Työkonekanta!$A$3:$A$24,0),1))))),0)</f>
        <v>1</v>
      </c>
      <c r="C70" s="140">
        <v>2021</v>
      </c>
      <c r="D70" s="141" t="str">
        <f>IFERROR(INDEX(Työkonekanta!$D$3:$D$27,MATCH('S1 Sähkö'!$A70,Työkonekanta!$A$3:$A$24,0),1),"undefined")</f>
        <v>pom</v>
      </c>
      <c r="E70" s="145">
        <f>IFERROR(INDEX(Työkonekanta!$G$3:$G$27,MATCH($A70,Työkonekanta!$A$3:$A$24,0),1)*INDEX(Työkonekanta!$H$3:$H$27,MATCH($A70,Työkonekanta!$A$3:$A$24,0),1)*(1+s1_kerroin*($C70-2019))*$B70,0)</f>
        <v>10200</v>
      </c>
      <c r="F70" s="145">
        <f t="shared" si="22"/>
        <v>366180</v>
      </c>
      <c r="G70" s="145">
        <f t="shared" si="28"/>
        <v>355194.6</v>
      </c>
      <c r="H70" s="145">
        <f t="shared" si="29"/>
        <v>10985.4</v>
      </c>
      <c r="I70" s="145">
        <f t="shared" si="23"/>
        <v>9894</v>
      </c>
      <c r="J70" s="145">
        <f t="shared" si="24"/>
        <v>320.27405247813414</v>
      </c>
      <c r="K70" s="142" t="str">
        <f t="shared" si="30"/>
        <v>l</v>
      </c>
      <c r="L70" s="146">
        <f>IFERROR(INDEX(Työkonekanta!$I$3:$I$27,MATCH('S1 Sähkö'!$A70,Työkonekanta!$A$3:$A$24,0),1)*(I70+J70)*f_adblue,0)</f>
        <v>510.71370262390678</v>
      </c>
      <c r="M70" s="146">
        <f t="shared" si="3"/>
        <v>0</v>
      </c>
      <c r="N70" s="143" t="str">
        <f>IF(tuulisähkö_vuosi&lt;='S1 Sähkö'!C70,"tuulisähkö",ostosähkö_nyt)</f>
        <v>jäännössähkö</v>
      </c>
      <c r="O70" s="147">
        <f>INDEX(Muuttujat!$J$5:$J$21,MATCH($C70,Muuttujat!$H$5:$H$21,0),1)</f>
        <v>67.8692025</v>
      </c>
      <c r="P70" s="342">
        <f>1-(INDEX(Muuttujat!$O$5:$O$21,MATCH($C70,Muuttujat!$N$5:$N$21,0),1))</f>
        <v>0.97</v>
      </c>
      <c r="Q70" s="342">
        <f>INDEX(Muuttujat!$O$5:$O$21,MATCH($C70,Muuttujat!$N$5:$N$21,0),1)</f>
        <v>0.03</v>
      </c>
      <c r="R70" s="148">
        <f>INDEX(Muuttujat!$P$5:$P$21,MATCH($C70,Muuttujat!$N$5:$N$21,0),1)</f>
        <v>3.1355537414087732E-2</v>
      </c>
      <c r="S70" s="149">
        <f t="shared" si="25"/>
        <v>6.7131779399999996</v>
      </c>
      <c r="T70" s="150">
        <f t="shared" si="26"/>
        <v>0.68548895999999993</v>
      </c>
      <c r="U70" s="150">
        <f t="shared" si="27"/>
        <v>0</v>
      </c>
      <c r="V70" s="150">
        <f>IFERROR(INDEX(Työkonekanta!$J$3:$J$27,MATCH($A70,Työkonekanta!$A$3:$A$24,0),1)*$B70*ef_li_ion_akku/1000/1000/INDEX(Työkonekanta!$K$3:$K$27,MATCH($A70,Työkonekanta!$A$3:$A$24,0)),0)</f>
        <v>0</v>
      </c>
      <c r="W70" s="149">
        <f t="shared" si="7"/>
        <v>26.2162933551684</v>
      </c>
      <c r="X70" s="150">
        <f t="shared" si="8"/>
        <v>0.32410057319999996</v>
      </c>
      <c r="Y70" s="151">
        <f t="shared" si="9"/>
        <v>0.13278556268221575</v>
      </c>
      <c r="Z70" s="152">
        <f t="shared" si="31"/>
        <v>7.3986668999999994</v>
      </c>
      <c r="AA70" s="153">
        <f t="shared" si="32"/>
        <v>26.349078917850616</v>
      </c>
      <c r="AB70" s="153">
        <f t="shared" si="33"/>
        <v>26.673179491050615</v>
      </c>
      <c r="AC70" s="154">
        <f t="shared" si="10"/>
        <v>33.747745817850614</v>
      </c>
      <c r="AD70" s="156">
        <f t="shared" si="34"/>
        <v>34.071846391050613</v>
      </c>
      <c r="AE70" s="182"/>
      <c r="AG70" s="2"/>
    </row>
    <row r="71" spans="1:33">
      <c r="A71" s="139">
        <v>9</v>
      </c>
      <c r="B71" s="139" cm="1">
        <f t="array" ref="B71">IFERROR(IF(A71=s1_id_korvattava1,INDEX($AG$3:$AG$19,MATCH(C71,$AF$3:$AF$19,0),1),IF(A71=s1_id_korvaava1,INDEX($AH$3:$AH$19,MATCH(C71,$AF$3:$AF$19,0),1),IF(A71=s1_id_korvattava2,INDEX($AI$3:$AI$19,MATCH(C71,$AF$3:$AF$19,0),1),IF(A71=s1_id_korvaava2,INDEX($AJ$3:$AJ$19,MATCH(C71,$AF$3:$AF$19,0),1),INDEX(Työkonekanta!$F$3:$F$27,MATCH('S1 Sähkö'!$A71,Työkonekanta!$A$3:$A$24,0),1))))),0)</f>
        <v>0</v>
      </c>
      <c r="C71" s="140">
        <v>2021</v>
      </c>
      <c r="D71" s="141" t="str">
        <f>IFERROR(INDEX(Työkonekanta!$D$3:$D$27,MATCH('S1 Sähkö'!$A71,Työkonekanta!$A$3:$A$24,0),1),"undefined")</f>
        <v>sähkö</v>
      </c>
      <c r="E71" s="145">
        <f>IFERROR(INDEX(Työkonekanta!$G$3:$G$27,MATCH($A71,Työkonekanta!$A$3:$A$24,0),1)*INDEX(Työkonekanta!$H$3:$H$27,MATCH($A71,Työkonekanta!$A$3:$A$24,0),1)*(1+s1_kerroin*($C71-2019))*$B71,0)</f>
        <v>0</v>
      </c>
      <c r="F71" s="145">
        <f t="shared" si="22"/>
        <v>0</v>
      </c>
      <c r="G71" s="145">
        <f t="shared" si="28"/>
        <v>0</v>
      </c>
      <c r="H71" s="145">
        <f t="shared" si="29"/>
        <v>0</v>
      </c>
      <c r="I71" s="145">
        <f t="shared" si="23"/>
        <v>0</v>
      </c>
      <c r="J71" s="145">
        <f t="shared" si="24"/>
        <v>0</v>
      </c>
      <c r="K71" s="142" t="str">
        <f t="shared" si="30"/>
        <v>kWh</v>
      </c>
      <c r="L71" s="146">
        <f>IFERROR(INDEX(Työkonekanta!$I$3:$I$27,MATCH('S1 Sähkö'!$A71,Työkonekanta!$A$3:$A$24,0),1)*(I71+J71)*f_adblue,0)</f>
        <v>0</v>
      </c>
      <c r="M71" s="146">
        <f t="shared" si="3"/>
        <v>0</v>
      </c>
      <c r="N71" s="143" t="str">
        <f>IF(tuulisähkö_vuosi&lt;='S1 Sähkö'!C71,"tuulisähkö",ostosähkö_nyt)</f>
        <v>jäännössähkö</v>
      </c>
      <c r="O71" s="147">
        <f>INDEX(Muuttujat!$J$5:$J$21,MATCH($C71,Muuttujat!$H$5:$H$21,0),1)</f>
        <v>67.8692025</v>
      </c>
      <c r="P71" s="342">
        <f>1-(INDEX(Muuttujat!$O$5:$O$21,MATCH($C71,Muuttujat!$N$5:$N$21,0),1))</f>
        <v>0.97</v>
      </c>
      <c r="Q71" s="342">
        <f>INDEX(Muuttujat!$O$5:$O$21,MATCH($C71,Muuttujat!$N$5:$N$21,0),1)</f>
        <v>0.03</v>
      </c>
      <c r="R71" s="148">
        <f>INDEX(Muuttujat!$P$5:$P$21,MATCH($C71,Muuttujat!$N$5:$N$21,0),1)</f>
        <v>3.1355537414087732E-2</v>
      </c>
      <c r="S71" s="149">
        <f t="shared" si="25"/>
        <v>0</v>
      </c>
      <c r="T71" s="150">
        <f t="shared" si="26"/>
        <v>0</v>
      </c>
      <c r="U71" s="150">
        <f t="shared" si="27"/>
        <v>0</v>
      </c>
      <c r="V71" s="150">
        <f>IFERROR(INDEX(Työkonekanta!$J$3:$J$27,MATCH($A71,Työkonekanta!$A$3:$A$24,0),1)*$B71*ef_li_ion_akku/1000/1000/INDEX(Työkonekanta!$K$3:$K$27,MATCH($A71,Työkonekanta!$A$3:$A$24,0)),0)</f>
        <v>0</v>
      </c>
      <c r="W71" s="149">
        <f t="shared" si="7"/>
        <v>0</v>
      </c>
      <c r="X71" s="150">
        <f t="shared" si="8"/>
        <v>0</v>
      </c>
      <c r="Y71" s="151">
        <f t="shared" si="9"/>
        <v>0</v>
      </c>
      <c r="Z71" s="152">
        <f t="shared" si="31"/>
        <v>0</v>
      </c>
      <c r="AA71" s="153">
        <f t="shared" si="32"/>
        <v>0</v>
      </c>
      <c r="AB71" s="153">
        <f t="shared" si="33"/>
        <v>0</v>
      </c>
      <c r="AC71" s="154">
        <f t="shared" si="10"/>
        <v>0</v>
      </c>
      <c r="AD71" s="156">
        <f t="shared" si="34"/>
        <v>0</v>
      </c>
      <c r="AE71" s="182"/>
      <c r="AG71" s="2"/>
    </row>
    <row r="72" spans="1:33">
      <c r="A72" s="139">
        <v>10</v>
      </c>
      <c r="B72" s="139" cm="1">
        <f t="array" ref="B72">IFERROR(IF(A72=s1_id_korvattava1,INDEX($AG$3:$AG$19,MATCH(C72,$AF$3:$AF$19,0),1),IF(A72=s1_id_korvaava1,INDEX($AH$3:$AH$19,MATCH(C72,$AF$3:$AF$19,0),1),IF(A72=s1_id_korvattava2,INDEX($AI$3:$AI$19,MATCH(C72,$AF$3:$AF$19,0),1),IF(A72=s1_id_korvaava2,INDEX($AJ$3:$AJ$19,MATCH(C72,$AF$3:$AF$19,0),1),INDEX(Työkonekanta!$F$3:$F$27,MATCH('S1 Sähkö'!$A72,Työkonekanta!$A$3:$A$24,0),1))))),0)</f>
        <v>0</v>
      </c>
      <c r="C72" s="140">
        <v>2021</v>
      </c>
      <c r="D72" s="141" t="str">
        <f>IFERROR(INDEX(Työkonekanta!$D$3:$D$27,MATCH('S1 Sähkö'!$A72,Työkonekanta!$A$3:$A$24,0),1),"undefined")</f>
        <v>sähkö</v>
      </c>
      <c r="E72" s="145">
        <f>IFERROR(INDEX(Työkonekanta!$G$3:$G$27,MATCH($A72,Työkonekanta!$A$3:$A$24,0),1)*INDEX(Työkonekanta!$H$3:$H$27,MATCH($A72,Työkonekanta!$A$3:$A$24,0),1)*(1+s1_kerroin*($C72-2019))*$B72,0)</f>
        <v>0</v>
      </c>
      <c r="F72" s="145">
        <f t="shared" si="22"/>
        <v>0</v>
      </c>
      <c r="G72" s="145">
        <f t="shared" si="28"/>
        <v>0</v>
      </c>
      <c r="H72" s="145">
        <f t="shared" si="29"/>
        <v>0</v>
      </c>
      <c r="I72" s="145">
        <f t="shared" si="23"/>
        <v>0</v>
      </c>
      <c r="J72" s="145">
        <f t="shared" si="24"/>
        <v>0</v>
      </c>
      <c r="K72" s="142" t="str">
        <f t="shared" si="30"/>
        <v>kWh</v>
      </c>
      <c r="L72" s="146">
        <f>IFERROR(INDEX(Työkonekanta!$I$3:$I$27,MATCH('S1 Sähkö'!$A72,Työkonekanta!$A$3:$A$24,0),1)*(I72+J72)*f_adblue,0)</f>
        <v>0</v>
      </c>
      <c r="M72" s="146">
        <f t="shared" si="3"/>
        <v>0</v>
      </c>
      <c r="N72" s="143" t="str">
        <f>IF(tuulisähkö_vuosi&lt;='S1 Sähkö'!C72,"tuulisähkö",ostosähkö_nyt)</f>
        <v>jäännössähkö</v>
      </c>
      <c r="O72" s="147">
        <f>INDEX(Muuttujat!$J$5:$J$21,MATCH($C72,Muuttujat!$H$5:$H$21,0),1)</f>
        <v>67.8692025</v>
      </c>
      <c r="P72" s="342">
        <f>1-(INDEX(Muuttujat!$O$5:$O$21,MATCH($C72,Muuttujat!$N$5:$N$21,0),1))</f>
        <v>0.97</v>
      </c>
      <c r="Q72" s="342">
        <f>INDEX(Muuttujat!$O$5:$O$21,MATCH($C72,Muuttujat!$N$5:$N$21,0),1)</f>
        <v>0.03</v>
      </c>
      <c r="R72" s="148">
        <f>INDEX(Muuttujat!$P$5:$P$21,MATCH($C72,Muuttujat!$N$5:$N$21,0),1)</f>
        <v>3.1355537414087732E-2</v>
      </c>
      <c r="S72" s="149">
        <f t="shared" si="25"/>
        <v>0</v>
      </c>
      <c r="T72" s="150">
        <f t="shared" si="26"/>
        <v>0</v>
      </c>
      <c r="U72" s="150">
        <f t="shared" si="27"/>
        <v>0</v>
      </c>
      <c r="V72" s="150">
        <f>IFERROR(INDEX(Työkonekanta!$J$3:$J$27,MATCH($A72,Työkonekanta!$A$3:$A$24,0),1)*$B72*ef_li_ion_akku/1000/1000/INDEX(Työkonekanta!$K$3:$K$27,MATCH($A72,Työkonekanta!$A$3:$A$24,0)),0)</f>
        <v>0</v>
      </c>
      <c r="W72" s="149">
        <f t="shared" si="7"/>
        <v>0</v>
      </c>
      <c r="X72" s="150">
        <f t="shared" si="8"/>
        <v>0</v>
      </c>
      <c r="Y72" s="151">
        <f t="shared" si="9"/>
        <v>0</v>
      </c>
      <c r="Z72" s="152">
        <f t="shared" si="31"/>
        <v>0</v>
      </c>
      <c r="AA72" s="153">
        <f t="shared" si="32"/>
        <v>0</v>
      </c>
      <c r="AB72" s="153">
        <f t="shared" si="33"/>
        <v>0</v>
      </c>
      <c r="AC72" s="154">
        <f t="shared" si="10"/>
        <v>0</v>
      </c>
      <c r="AD72" s="156">
        <f t="shared" si="34"/>
        <v>0</v>
      </c>
      <c r="AE72" s="182"/>
      <c r="AG72" s="2"/>
    </row>
    <row r="73" spans="1:33">
      <c r="A73" s="139">
        <v>11</v>
      </c>
      <c r="B73" s="139" cm="1">
        <f t="array" ref="B73">IFERROR(IF(A73=s1_id_korvattava1,INDEX($AG$3:$AG$19,MATCH(C73,$AF$3:$AF$19,0),1),IF(A73=s1_id_korvaava1,INDEX($AH$3:$AH$19,MATCH(C73,$AF$3:$AF$19,0),1),IF(A73=s1_id_korvattava2,INDEX($AI$3:$AI$19,MATCH(C73,$AF$3:$AF$19,0),1),IF(A73=s1_id_korvaava2,INDEX($AJ$3:$AJ$19,MATCH(C73,$AF$3:$AF$19,0),1),INDEX(Työkonekanta!$F$3:$F$27,MATCH('S1 Sähkö'!$A73,Työkonekanta!$A$3:$A$24,0),1))))),0)</f>
        <v>1</v>
      </c>
      <c r="C73" s="140">
        <v>2021</v>
      </c>
      <c r="D73" s="141" t="str">
        <f>IFERROR(INDEX(Työkonekanta!$D$3:$D$27,MATCH('S1 Sähkö'!$A73,Työkonekanta!$A$3:$A$24,0),1),"undefined")</f>
        <v>pom</v>
      </c>
      <c r="E73" s="145">
        <f>IFERROR(INDEX(Työkonekanta!$G$3:$G$27,MATCH($A73,Työkonekanta!$A$3:$A$24,0),1)*INDEX(Työkonekanta!$H$3:$H$27,MATCH($A73,Työkonekanta!$A$3:$A$24,0),1)*(1+s1_kerroin*($C73-2019))*$B73,0)</f>
        <v>10200</v>
      </c>
      <c r="F73" s="145">
        <f t="shared" si="22"/>
        <v>366180</v>
      </c>
      <c r="G73" s="145">
        <f t="shared" si="28"/>
        <v>355194.6</v>
      </c>
      <c r="H73" s="145">
        <f t="shared" si="29"/>
        <v>10985.4</v>
      </c>
      <c r="I73" s="145">
        <f t="shared" si="23"/>
        <v>9894</v>
      </c>
      <c r="J73" s="145">
        <f t="shared" si="24"/>
        <v>320.27405247813414</v>
      </c>
      <c r="K73" s="142" t="str">
        <f t="shared" si="30"/>
        <v>l</v>
      </c>
      <c r="L73" s="146">
        <f>IFERROR(INDEX(Työkonekanta!$I$3:$I$27,MATCH('S1 Sähkö'!$A73,Työkonekanta!$A$3:$A$24,0),1)*(I73+J73)*f_adblue,0)</f>
        <v>510.71370262390678</v>
      </c>
      <c r="M73" s="146">
        <f t="shared" si="3"/>
        <v>0</v>
      </c>
      <c r="N73" s="143" t="str">
        <f>IF(tuulisähkö_vuosi&lt;='S1 Sähkö'!C73,"tuulisähkö",ostosähkö_nyt)</f>
        <v>jäännössähkö</v>
      </c>
      <c r="O73" s="147">
        <f>INDEX(Muuttujat!$J$5:$J$21,MATCH($C73,Muuttujat!$H$5:$H$21,0),1)</f>
        <v>67.8692025</v>
      </c>
      <c r="P73" s="342">
        <f>1-(INDEX(Muuttujat!$O$5:$O$21,MATCH($C73,Muuttujat!$N$5:$N$21,0),1))</f>
        <v>0.97</v>
      </c>
      <c r="Q73" s="342">
        <f>INDEX(Muuttujat!$O$5:$O$21,MATCH($C73,Muuttujat!$N$5:$N$21,0),1)</f>
        <v>0.03</v>
      </c>
      <c r="R73" s="148">
        <f>INDEX(Muuttujat!$P$5:$P$21,MATCH($C73,Muuttujat!$N$5:$N$21,0),1)</f>
        <v>3.1355537414087732E-2</v>
      </c>
      <c r="S73" s="149">
        <f t="shared" si="25"/>
        <v>6.7131779399999996</v>
      </c>
      <c r="T73" s="150">
        <f t="shared" si="26"/>
        <v>0.68548895999999993</v>
      </c>
      <c r="U73" s="150">
        <f t="shared" si="27"/>
        <v>0</v>
      </c>
      <c r="V73" s="150">
        <f>IFERROR(INDEX(Työkonekanta!$J$3:$J$27,MATCH($A73,Työkonekanta!$A$3:$A$24,0),1)*$B73*ef_li_ion_akku/1000/1000/INDEX(Työkonekanta!$K$3:$K$27,MATCH($A73,Työkonekanta!$A$3:$A$24,0)),0)</f>
        <v>0</v>
      </c>
      <c r="W73" s="149">
        <f t="shared" si="7"/>
        <v>26.2162933551684</v>
      </c>
      <c r="X73" s="150">
        <f t="shared" si="8"/>
        <v>0.32410057319999996</v>
      </c>
      <c r="Y73" s="151">
        <f t="shared" si="9"/>
        <v>0.13278556268221575</v>
      </c>
      <c r="Z73" s="152">
        <f t="shared" si="31"/>
        <v>7.3986668999999994</v>
      </c>
      <c r="AA73" s="153">
        <f t="shared" si="32"/>
        <v>26.349078917850616</v>
      </c>
      <c r="AB73" s="153">
        <f t="shared" si="33"/>
        <v>26.673179491050615</v>
      </c>
      <c r="AC73" s="154">
        <f t="shared" si="10"/>
        <v>33.747745817850614</v>
      </c>
      <c r="AD73" s="156">
        <f t="shared" si="34"/>
        <v>34.071846391050613</v>
      </c>
      <c r="AE73" s="182"/>
      <c r="AG73" s="2"/>
    </row>
    <row r="74" spans="1:33">
      <c r="A74" s="139">
        <v>12</v>
      </c>
      <c r="B74" s="139" cm="1">
        <f t="array" ref="B74">IFERROR(IF(A74=s1_id_korvattava1,INDEX($AG$3:$AG$19,MATCH(C74,$AF$3:$AF$19,0),1),IF(A74=s1_id_korvaava1,INDEX($AH$3:$AH$19,MATCH(C74,$AF$3:$AF$19,0),1),IF(A74=s1_id_korvattava2,INDEX($AI$3:$AI$19,MATCH(C74,$AF$3:$AF$19,0),1),IF(A74=s1_id_korvaava2,INDEX($AJ$3:$AJ$19,MATCH(C74,$AF$3:$AF$19,0),1),INDEX(Työkonekanta!$F$3:$F$27,MATCH('S1 Sähkö'!$A74,Työkonekanta!$A$3:$A$24,0),1))))),0)</f>
        <v>1</v>
      </c>
      <c r="C74" s="140">
        <v>2021</v>
      </c>
      <c r="D74" s="141" t="str">
        <f>IFERROR(INDEX(Työkonekanta!$D$3:$D$27,MATCH('S1 Sähkö'!$A74,Työkonekanta!$A$3:$A$24,0),1),"undefined")</f>
        <v>pom</v>
      </c>
      <c r="E74" s="145">
        <f>IFERROR(INDEX(Työkonekanta!$G$3:$G$27,MATCH($A74,Työkonekanta!$A$3:$A$24,0),1)*INDEX(Työkonekanta!$H$3:$H$27,MATCH($A74,Työkonekanta!$A$3:$A$24,0),1)*(1+s1_kerroin*($C74-2019))*$B74,0)</f>
        <v>10200</v>
      </c>
      <c r="F74" s="145">
        <f t="shared" si="22"/>
        <v>366180</v>
      </c>
      <c r="G74" s="145">
        <f t="shared" si="28"/>
        <v>355194.6</v>
      </c>
      <c r="H74" s="145">
        <f t="shared" si="29"/>
        <v>10985.4</v>
      </c>
      <c r="I74" s="145">
        <f t="shared" si="23"/>
        <v>9894</v>
      </c>
      <c r="J74" s="145">
        <f t="shared" si="24"/>
        <v>320.27405247813414</v>
      </c>
      <c r="K74" s="142" t="str">
        <f t="shared" si="30"/>
        <v>l</v>
      </c>
      <c r="L74" s="146">
        <f>IFERROR(INDEX(Työkonekanta!$I$3:$I$27,MATCH('S1 Sähkö'!$A74,Työkonekanta!$A$3:$A$24,0),1)*(I74+J74)*f_adblue,0)</f>
        <v>510.71370262390678</v>
      </c>
      <c r="M74" s="146">
        <f t="shared" si="3"/>
        <v>0</v>
      </c>
      <c r="N74" s="143" t="str">
        <f>IF(tuulisähkö_vuosi&lt;='S1 Sähkö'!C74,"tuulisähkö",ostosähkö_nyt)</f>
        <v>jäännössähkö</v>
      </c>
      <c r="O74" s="147">
        <f>INDEX(Muuttujat!$J$5:$J$21,MATCH($C74,Muuttujat!$H$5:$H$21,0),1)</f>
        <v>67.8692025</v>
      </c>
      <c r="P74" s="342">
        <f>1-(INDEX(Muuttujat!$O$5:$O$21,MATCH($C74,Muuttujat!$N$5:$N$21,0),1))</f>
        <v>0.97</v>
      </c>
      <c r="Q74" s="342">
        <f>INDEX(Muuttujat!$O$5:$O$21,MATCH($C74,Muuttujat!$N$5:$N$21,0),1)</f>
        <v>0.03</v>
      </c>
      <c r="R74" s="148">
        <f>INDEX(Muuttujat!$P$5:$P$21,MATCH($C74,Muuttujat!$N$5:$N$21,0),1)</f>
        <v>3.1355537414087732E-2</v>
      </c>
      <c r="S74" s="149">
        <f t="shared" si="25"/>
        <v>6.7131779399999996</v>
      </c>
      <c r="T74" s="150">
        <f t="shared" si="26"/>
        <v>0.68548895999999993</v>
      </c>
      <c r="U74" s="150">
        <f t="shared" si="27"/>
        <v>0</v>
      </c>
      <c r="V74" s="150">
        <f>IFERROR(INDEX(Työkonekanta!$J$3:$J$27,MATCH($A74,Työkonekanta!$A$3:$A$24,0),1)*$B74*ef_li_ion_akku/1000/1000/INDEX(Työkonekanta!$K$3:$K$27,MATCH($A74,Työkonekanta!$A$3:$A$24,0)),0)</f>
        <v>0</v>
      </c>
      <c r="W74" s="149">
        <f t="shared" si="7"/>
        <v>26.2162933551684</v>
      </c>
      <c r="X74" s="150">
        <f t="shared" si="8"/>
        <v>0.32410057319999996</v>
      </c>
      <c r="Y74" s="151">
        <f t="shared" si="9"/>
        <v>0.13278556268221575</v>
      </c>
      <c r="Z74" s="152">
        <f t="shared" si="31"/>
        <v>7.3986668999999994</v>
      </c>
      <c r="AA74" s="153">
        <f t="shared" si="32"/>
        <v>26.349078917850616</v>
      </c>
      <c r="AB74" s="153">
        <f t="shared" si="33"/>
        <v>26.673179491050615</v>
      </c>
      <c r="AC74" s="154">
        <f t="shared" si="10"/>
        <v>33.747745817850614</v>
      </c>
      <c r="AD74" s="156">
        <f t="shared" si="34"/>
        <v>34.071846391050613</v>
      </c>
      <c r="AE74" s="182"/>
      <c r="AG74" s="2"/>
    </row>
    <row r="75" spans="1:33">
      <c r="A75" s="139">
        <v>13</v>
      </c>
      <c r="B75" s="139" cm="1">
        <f t="array" ref="B75">IFERROR(IF(A75=s1_id_korvattava1,INDEX($AG$3:$AG$19,MATCH(C75,$AF$3:$AF$19,0),1),IF(A75=s1_id_korvaava1,INDEX($AH$3:$AH$19,MATCH(C75,$AF$3:$AF$19,0),1),IF(A75=s1_id_korvattava2,INDEX($AI$3:$AI$19,MATCH(C75,$AF$3:$AF$19,0),1),IF(A75=s1_id_korvaava2,INDEX($AJ$3:$AJ$19,MATCH(C75,$AF$3:$AF$19,0),1),INDEX(Työkonekanta!$F$3:$F$27,MATCH('S1 Sähkö'!$A75,Työkonekanta!$A$3:$A$24,0),1))))),0)</f>
        <v>0</v>
      </c>
      <c r="C75" s="140">
        <v>2021</v>
      </c>
      <c r="D75" s="141" t="str">
        <f>IFERROR(INDEX(Työkonekanta!$D$3:$D$27,MATCH('S1 Sähkö'!$A75,Työkonekanta!$A$3:$A$24,0),1),"undefined")</f>
        <v>pom</v>
      </c>
      <c r="E75" s="145">
        <f>IFERROR(INDEX(Työkonekanta!$G$3:$G$27,MATCH($A75,Työkonekanta!$A$3:$A$24,0),1)*INDEX(Työkonekanta!$H$3:$H$27,MATCH($A75,Työkonekanta!$A$3:$A$24,0),1)*(1+s1_kerroin*($C75-2019))*$B75,0)</f>
        <v>0</v>
      </c>
      <c r="F75" s="145">
        <f t="shared" si="22"/>
        <v>0</v>
      </c>
      <c r="G75" s="145">
        <f t="shared" si="28"/>
        <v>0</v>
      </c>
      <c r="H75" s="145">
        <f t="shared" si="29"/>
        <v>0</v>
      </c>
      <c r="I75" s="145">
        <f t="shared" si="23"/>
        <v>0</v>
      </c>
      <c r="J75" s="145">
        <f t="shared" si="24"/>
        <v>0</v>
      </c>
      <c r="K75" s="142" t="str">
        <f t="shared" si="30"/>
        <v>l</v>
      </c>
      <c r="L75" s="146">
        <f>IFERROR(INDEX(Työkonekanta!$I$3:$I$27,MATCH('S1 Sähkö'!$A75,Työkonekanta!$A$3:$A$24,0),1)*(I75+J75)*f_adblue,0)</f>
        <v>0</v>
      </c>
      <c r="M75" s="146">
        <f t="shared" si="3"/>
        <v>0</v>
      </c>
      <c r="N75" s="143" t="str">
        <f>IF(tuulisähkö_vuosi&lt;='S1 Sähkö'!C75,"tuulisähkö",ostosähkö_nyt)</f>
        <v>jäännössähkö</v>
      </c>
      <c r="O75" s="147">
        <f>INDEX(Muuttujat!$J$5:$J$21,MATCH($C75,Muuttujat!$H$5:$H$21,0),1)</f>
        <v>67.8692025</v>
      </c>
      <c r="P75" s="342">
        <f>1-(INDEX(Muuttujat!$O$5:$O$21,MATCH($C75,Muuttujat!$N$5:$N$21,0),1))</f>
        <v>0.97</v>
      </c>
      <c r="Q75" s="342">
        <f>INDEX(Muuttujat!$O$5:$O$21,MATCH($C75,Muuttujat!$N$5:$N$21,0),1)</f>
        <v>0.03</v>
      </c>
      <c r="R75" s="148">
        <f>INDEX(Muuttujat!$P$5:$P$21,MATCH($C75,Muuttujat!$N$5:$N$21,0),1)</f>
        <v>3.1355537414087732E-2</v>
      </c>
      <c r="S75" s="149">
        <f t="shared" si="25"/>
        <v>0</v>
      </c>
      <c r="T75" s="150">
        <f t="shared" si="26"/>
        <v>0</v>
      </c>
      <c r="U75" s="150">
        <f t="shared" si="27"/>
        <v>0</v>
      </c>
      <c r="V75" s="150">
        <f>IFERROR(INDEX(Työkonekanta!$J$3:$J$27,MATCH($A75,Työkonekanta!$A$3:$A$24,0),1)*$B75*ef_li_ion_akku/1000/1000/INDEX(Työkonekanta!$K$3:$K$27,MATCH($A75,Työkonekanta!$A$3:$A$24,0)),0)</f>
        <v>0</v>
      </c>
      <c r="W75" s="149">
        <f t="shared" si="7"/>
        <v>0</v>
      </c>
      <c r="X75" s="150">
        <f t="shared" si="8"/>
        <v>0</v>
      </c>
      <c r="Y75" s="151">
        <f t="shared" si="9"/>
        <v>0</v>
      </c>
      <c r="Z75" s="152">
        <f t="shared" si="31"/>
        <v>0</v>
      </c>
      <c r="AA75" s="153">
        <f t="shared" si="32"/>
        <v>0</v>
      </c>
      <c r="AB75" s="153">
        <f t="shared" si="33"/>
        <v>0</v>
      </c>
      <c r="AC75" s="154">
        <f t="shared" si="10"/>
        <v>0</v>
      </c>
      <c r="AD75" s="156">
        <f t="shared" si="34"/>
        <v>0</v>
      </c>
      <c r="AE75" s="182"/>
      <c r="AG75" s="2"/>
    </row>
    <row r="76" spans="1:33">
      <c r="A76" s="139">
        <v>14</v>
      </c>
      <c r="B76" s="139" cm="1">
        <f t="array" ref="B76">IFERROR(IF(A76=s1_id_korvattava1,INDEX($AG$3:$AG$19,MATCH(C76,$AF$3:$AF$19,0),1),IF(A76=s1_id_korvaava1,INDEX($AH$3:$AH$19,MATCH(C76,$AF$3:$AF$19,0),1),IF(A76=s1_id_korvattava2,INDEX($AI$3:$AI$19,MATCH(C76,$AF$3:$AF$19,0),1),IF(A76=s1_id_korvaava2,INDEX($AJ$3:$AJ$19,MATCH(C76,$AF$3:$AF$19,0),1),INDEX(Työkonekanta!$F$3:$F$27,MATCH('S1 Sähkö'!$A76,Työkonekanta!$A$3:$A$24,0),1))))),0)</f>
        <v>0</v>
      </c>
      <c r="C76" s="140">
        <v>2021</v>
      </c>
      <c r="D76" s="141" t="str">
        <f>IFERROR(INDEX(Työkonekanta!$D$3:$D$27,MATCH('S1 Sähkö'!$A76,Työkonekanta!$A$3:$A$24,0),1),"undefined")</f>
        <v>pom</v>
      </c>
      <c r="E76" s="145">
        <f>IFERROR(INDEX(Työkonekanta!$G$3:$G$27,MATCH($A76,Työkonekanta!$A$3:$A$24,0),1)*INDEX(Työkonekanta!$H$3:$H$27,MATCH($A76,Työkonekanta!$A$3:$A$24,0),1)*(1+s1_kerroin*($C76-2019))*$B76,0)</f>
        <v>0</v>
      </c>
      <c r="F76" s="145">
        <f t="shared" si="22"/>
        <v>0</v>
      </c>
      <c r="G76" s="145">
        <f t="shared" si="28"/>
        <v>0</v>
      </c>
      <c r="H76" s="145">
        <f t="shared" si="29"/>
        <v>0</v>
      </c>
      <c r="I76" s="145">
        <f t="shared" si="23"/>
        <v>0</v>
      </c>
      <c r="J76" s="145">
        <f t="shared" si="24"/>
        <v>0</v>
      </c>
      <c r="K76" s="142" t="str">
        <f t="shared" si="30"/>
        <v>l</v>
      </c>
      <c r="L76" s="146">
        <f>IFERROR(INDEX(Työkonekanta!$I$3:$I$27,MATCH('S1 Sähkö'!$A76,Työkonekanta!$A$3:$A$24,0),1)*(I76+J76)*f_adblue,0)</f>
        <v>0</v>
      </c>
      <c r="M76" s="146">
        <f t="shared" si="3"/>
        <v>0</v>
      </c>
      <c r="N76" s="143" t="str">
        <f>IF(tuulisähkö_vuosi&lt;='S1 Sähkö'!C76,"tuulisähkö",ostosähkö_nyt)</f>
        <v>jäännössähkö</v>
      </c>
      <c r="O76" s="147">
        <f>INDEX(Muuttujat!$J$5:$J$21,MATCH($C76,Muuttujat!$H$5:$H$21,0),1)</f>
        <v>67.8692025</v>
      </c>
      <c r="P76" s="342">
        <f>1-(INDEX(Muuttujat!$O$5:$O$21,MATCH($C76,Muuttujat!$N$5:$N$21,0),1))</f>
        <v>0.97</v>
      </c>
      <c r="Q76" s="342">
        <f>INDEX(Muuttujat!$O$5:$O$21,MATCH($C76,Muuttujat!$N$5:$N$21,0),1)</f>
        <v>0.03</v>
      </c>
      <c r="R76" s="148">
        <f>INDEX(Muuttujat!$P$5:$P$21,MATCH($C76,Muuttujat!$N$5:$N$21,0),1)</f>
        <v>3.1355537414087732E-2</v>
      </c>
      <c r="S76" s="149">
        <f t="shared" si="25"/>
        <v>0</v>
      </c>
      <c r="T76" s="150">
        <f t="shared" si="26"/>
        <v>0</v>
      </c>
      <c r="U76" s="150">
        <f t="shared" si="27"/>
        <v>0</v>
      </c>
      <c r="V76" s="150">
        <f>IFERROR(INDEX(Työkonekanta!$J$3:$J$27,MATCH($A76,Työkonekanta!$A$3:$A$24,0),1)*$B76*ef_li_ion_akku/1000/1000/INDEX(Työkonekanta!$K$3:$K$27,MATCH($A76,Työkonekanta!$A$3:$A$24,0)),0)</f>
        <v>0</v>
      </c>
      <c r="W76" s="149">
        <f t="shared" si="7"/>
        <v>0</v>
      </c>
      <c r="X76" s="150">
        <f t="shared" si="8"/>
        <v>0</v>
      </c>
      <c r="Y76" s="151">
        <f t="shared" si="9"/>
        <v>0</v>
      </c>
      <c r="Z76" s="152">
        <f t="shared" si="31"/>
        <v>0</v>
      </c>
      <c r="AA76" s="153">
        <f t="shared" si="32"/>
        <v>0</v>
      </c>
      <c r="AB76" s="153">
        <f t="shared" si="33"/>
        <v>0</v>
      </c>
      <c r="AC76" s="154">
        <f t="shared" si="10"/>
        <v>0</v>
      </c>
      <c r="AD76" s="156">
        <f t="shared" si="34"/>
        <v>0</v>
      </c>
      <c r="AE76" s="182"/>
      <c r="AG76" s="2"/>
    </row>
    <row r="77" spans="1:33">
      <c r="A77" s="139">
        <v>15</v>
      </c>
      <c r="B77" s="139" cm="1">
        <f t="array" ref="B77">IFERROR(IF(A77=s1_id_korvattava1,INDEX($AG$3:$AG$19,MATCH(C77,$AF$3:$AF$19,0),1),IF(A77=s1_id_korvaava1,INDEX($AH$3:$AH$19,MATCH(C77,$AF$3:$AF$19,0),1),IF(A77=s1_id_korvattava2,INDEX($AI$3:$AI$19,MATCH(C77,$AF$3:$AF$19,0),1),IF(A77=s1_id_korvaava2,INDEX($AJ$3:$AJ$19,MATCH(C77,$AF$3:$AF$19,0),1),INDEX(Työkonekanta!$F$3:$F$27,MATCH('S1 Sähkö'!$A77,Työkonekanta!$A$3:$A$24,0),1))))),0)</f>
        <v>0</v>
      </c>
      <c r="C77" s="140">
        <v>2021</v>
      </c>
      <c r="D77" s="141" t="str">
        <f>IFERROR(INDEX(Työkonekanta!$D$3:$D$27,MATCH('S1 Sähkö'!$A77,Työkonekanta!$A$3:$A$24,0),1),"undefined")</f>
        <v>sähkö</v>
      </c>
      <c r="E77" s="145">
        <f>IFERROR(INDEX(Työkonekanta!$G$3:$G$27,MATCH($A77,Työkonekanta!$A$3:$A$24,0),1)*INDEX(Työkonekanta!$H$3:$H$27,MATCH($A77,Työkonekanta!$A$3:$A$24,0),1)*(1+s1_kerroin*($C77-2019))*$B77,0)</f>
        <v>0</v>
      </c>
      <c r="F77" s="145">
        <f t="shared" si="22"/>
        <v>0</v>
      </c>
      <c r="G77" s="145">
        <f t="shared" si="28"/>
        <v>0</v>
      </c>
      <c r="H77" s="145">
        <f t="shared" si="29"/>
        <v>0</v>
      </c>
      <c r="I77" s="145">
        <f t="shared" si="23"/>
        <v>0</v>
      </c>
      <c r="J77" s="145">
        <f t="shared" si="24"/>
        <v>0</v>
      </c>
      <c r="K77" s="142" t="str">
        <f t="shared" si="30"/>
        <v>kWh</v>
      </c>
      <c r="L77" s="146">
        <f>IFERROR(INDEX(Työkonekanta!$I$3:$I$27,MATCH('S1 Sähkö'!$A77,Työkonekanta!$A$3:$A$24,0),1)*(I77+J77)*f_adblue,0)</f>
        <v>0</v>
      </c>
      <c r="M77" s="146">
        <f t="shared" si="3"/>
        <v>0</v>
      </c>
      <c r="N77" s="143" t="str">
        <f>IF(tuulisähkö_vuosi&lt;='S1 Sähkö'!C77,"tuulisähkö",ostosähkö_nyt)</f>
        <v>jäännössähkö</v>
      </c>
      <c r="O77" s="147">
        <f>INDEX(Muuttujat!$J$5:$J$21,MATCH($C77,Muuttujat!$H$5:$H$21,0),1)</f>
        <v>67.8692025</v>
      </c>
      <c r="P77" s="342">
        <f>1-(INDEX(Muuttujat!$O$5:$O$21,MATCH($C77,Muuttujat!$N$5:$N$21,0),1))</f>
        <v>0.97</v>
      </c>
      <c r="Q77" s="342">
        <f>INDEX(Muuttujat!$O$5:$O$21,MATCH($C77,Muuttujat!$N$5:$N$21,0),1)</f>
        <v>0.03</v>
      </c>
      <c r="R77" s="148">
        <f>INDEX(Muuttujat!$P$5:$P$21,MATCH($C77,Muuttujat!$N$5:$N$21,0),1)</f>
        <v>3.1355537414087732E-2</v>
      </c>
      <c r="S77" s="149">
        <f t="shared" si="25"/>
        <v>0</v>
      </c>
      <c r="T77" s="150">
        <f t="shared" si="26"/>
        <v>0</v>
      </c>
      <c r="U77" s="150">
        <f t="shared" si="27"/>
        <v>0</v>
      </c>
      <c r="V77" s="150">
        <f>IFERROR(INDEX(Työkonekanta!$J$3:$J$27,MATCH($A77,Työkonekanta!$A$3:$A$24,0),1)*$B77*ef_li_ion_akku/1000/1000/INDEX(Työkonekanta!$K$3:$K$27,MATCH($A77,Työkonekanta!$A$3:$A$24,0)),0)</f>
        <v>0</v>
      </c>
      <c r="W77" s="149">
        <f t="shared" si="7"/>
        <v>0</v>
      </c>
      <c r="X77" s="150">
        <f t="shared" si="8"/>
        <v>0</v>
      </c>
      <c r="Y77" s="151">
        <f t="shared" si="9"/>
        <v>0</v>
      </c>
      <c r="Z77" s="152">
        <f t="shared" si="31"/>
        <v>0</v>
      </c>
      <c r="AA77" s="153">
        <f t="shared" si="32"/>
        <v>0</v>
      </c>
      <c r="AB77" s="153">
        <f t="shared" si="33"/>
        <v>0</v>
      </c>
      <c r="AC77" s="154">
        <f t="shared" si="10"/>
        <v>0</v>
      </c>
      <c r="AD77" s="156">
        <f t="shared" si="34"/>
        <v>0</v>
      </c>
      <c r="AE77" s="182"/>
      <c r="AG77" s="2"/>
    </row>
    <row r="78" spans="1:33">
      <c r="A78" s="139">
        <v>16</v>
      </c>
      <c r="B78" s="139" cm="1">
        <f t="array" ref="B78">IFERROR(IF(A78=s1_id_korvattava1,INDEX($AG$3:$AG$19,MATCH(C78,$AF$3:$AF$19,0),1),IF(A78=s1_id_korvaava1,INDEX($AH$3:$AH$19,MATCH(C78,$AF$3:$AF$19,0),1),IF(A78=s1_id_korvattava2,INDEX($AI$3:$AI$19,MATCH(C78,$AF$3:$AF$19,0),1),IF(A78=s1_id_korvaava2,INDEX($AJ$3:$AJ$19,MATCH(C78,$AF$3:$AF$19,0),1),INDEX(Työkonekanta!$F$3:$F$27,MATCH('S1 Sähkö'!$A78,Työkonekanta!$A$3:$A$24,0),1))))),0)</f>
        <v>0</v>
      </c>
      <c r="C78" s="140">
        <v>2021</v>
      </c>
      <c r="D78" s="141" t="str">
        <f>IFERROR(INDEX(Työkonekanta!$D$3:$D$27,MATCH('S1 Sähkö'!$A78,Työkonekanta!$A$3:$A$24,0),1),"undefined")</f>
        <v>sähkö</v>
      </c>
      <c r="E78" s="145">
        <f>IFERROR(INDEX(Työkonekanta!$G$3:$G$27,MATCH($A78,Työkonekanta!$A$3:$A$24,0),1)*INDEX(Työkonekanta!$H$3:$H$27,MATCH($A78,Työkonekanta!$A$3:$A$24,0),1)*(1+s1_kerroin*($C78-2019))*$B78,0)</f>
        <v>0</v>
      </c>
      <c r="F78" s="145">
        <f t="shared" si="22"/>
        <v>0</v>
      </c>
      <c r="G78" s="145">
        <f t="shared" si="28"/>
        <v>0</v>
      </c>
      <c r="H78" s="145">
        <f t="shared" si="29"/>
        <v>0</v>
      </c>
      <c r="I78" s="145">
        <f t="shared" si="23"/>
        <v>0</v>
      </c>
      <c r="J78" s="145">
        <f t="shared" si="24"/>
        <v>0</v>
      </c>
      <c r="K78" s="142" t="str">
        <f t="shared" si="30"/>
        <v>kWh</v>
      </c>
      <c r="L78" s="146">
        <f>IFERROR(INDEX(Työkonekanta!$I$3:$I$27,MATCH('S1 Sähkö'!$A78,Työkonekanta!$A$3:$A$24,0),1)*(I78+J78)*f_adblue,0)</f>
        <v>0</v>
      </c>
      <c r="M78" s="146">
        <f t="shared" si="3"/>
        <v>0</v>
      </c>
      <c r="N78" s="143" t="str">
        <f>IF(tuulisähkö_vuosi&lt;='S1 Sähkö'!C78,"tuulisähkö",ostosähkö_nyt)</f>
        <v>jäännössähkö</v>
      </c>
      <c r="O78" s="147">
        <f>INDEX(Muuttujat!$J$5:$J$21,MATCH($C78,Muuttujat!$H$5:$H$21,0),1)</f>
        <v>67.8692025</v>
      </c>
      <c r="P78" s="342">
        <f>1-(INDEX(Muuttujat!$O$5:$O$21,MATCH($C78,Muuttujat!$N$5:$N$21,0),1))</f>
        <v>0.97</v>
      </c>
      <c r="Q78" s="342">
        <f>INDEX(Muuttujat!$O$5:$O$21,MATCH($C78,Muuttujat!$N$5:$N$21,0),1)</f>
        <v>0.03</v>
      </c>
      <c r="R78" s="148">
        <f>INDEX(Muuttujat!$P$5:$P$21,MATCH($C78,Muuttujat!$N$5:$N$21,0),1)</f>
        <v>3.1355537414087732E-2</v>
      </c>
      <c r="S78" s="149">
        <f t="shared" si="25"/>
        <v>0</v>
      </c>
      <c r="T78" s="150">
        <f t="shared" si="26"/>
        <v>0</v>
      </c>
      <c r="U78" s="150">
        <f t="shared" si="27"/>
        <v>0</v>
      </c>
      <c r="V78" s="150">
        <f>IFERROR(INDEX(Työkonekanta!$J$3:$J$27,MATCH($A78,Työkonekanta!$A$3:$A$24,0),1)*$B78*ef_li_ion_akku/1000/1000/INDEX(Työkonekanta!$K$3:$K$27,MATCH($A78,Työkonekanta!$A$3:$A$24,0)),0)</f>
        <v>0</v>
      </c>
      <c r="W78" s="149">
        <f t="shared" si="7"/>
        <v>0</v>
      </c>
      <c r="X78" s="150">
        <f t="shared" si="8"/>
        <v>0</v>
      </c>
      <c r="Y78" s="151">
        <f t="shared" si="9"/>
        <v>0</v>
      </c>
      <c r="Z78" s="152">
        <f t="shared" si="31"/>
        <v>0</v>
      </c>
      <c r="AA78" s="153">
        <f t="shared" si="32"/>
        <v>0</v>
      </c>
      <c r="AB78" s="153">
        <f t="shared" si="33"/>
        <v>0</v>
      </c>
      <c r="AC78" s="154">
        <f t="shared" si="10"/>
        <v>0</v>
      </c>
      <c r="AD78" s="156">
        <f t="shared" si="34"/>
        <v>0</v>
      </c>
      <c r="AE78" s="182"/>
      <c r="AG78" s="2"/>
    </row>
    <row r="79" spans="1:33">
      <c r="A79" s="139">
        <v>17</v>
      </c>
      <c r="B79" s="139" cm="1">
        <f t="array" ref="B79">IFERROR(IF(A79=s1_id_korvattava1,INDEX($AG$3:$AG$19,MATCH(C79,$AF$3:$AF$19,0),1),IF(A79=s1_id_korvaava1,INDEX($AH$3:$AH$19,MATCH(C79,$AF$3:$AF$19,0),1),IF(A79=s1_id_korvattava2,INDEX($AI$3:$AI$19,MATCH(C79,$AF$3:$AF$19,0),1),IF(A79=s1_id_korvaava2,INDEX($AJ$3:$AJ$19,MATCH(C79,$AF$3:$AF$19,0),1),INDEX(Työkonekanta!$F$3:$F$27,MATCH('S1 Sähkö'!$A79,Työkonekanta!$A$3:$A$24,0),1))))),0)</f>
        <v>0</v>
      </c>
      <c r="C79" s="140">
        <v>2021</v>
      </c>
      <c r="D79" s="141" t="str">
        <f>IFERROR(INDEX(Työkonekanta!$D$3:$D$27,MATCH('S1 Sähkö'!$A79,Työkonekanta!$A$3:$A$24,0),1),"undefined")</f>
        <v>pom</v>
      </c>
      <c r="E79" s="145">
        <f>IFERROR(INDEX(Työkonekanta!$G$3:$G$27,MATCH($A79,Työkonekanta!$A$3:$A$24,0),1)*INDEX(Työkonekanta!$H$3:$H$27,MATCH($A79,Työkonekanta!$A$3:$A$24,0),1)*(1+s1_kerroin*($C79-2019))*$B79,0)</f>
        <v>0</v>
      </c>
      <c r="F79" s="145">
        <f t="shared" si="22"/>
        <v>0</v>
      </c>
      <c r="G79" s="145">
        <f t="shared" si="28"/>
        <v>0</v>
      </c>
      <c r="H79" s="145">
        <f t="shared" si="29"/>
        <v>0</v>
      </c>
      <c r="I79" s="145">
        <f t="shared" si="23"/>
        <v>0</v>
      </c>
      <c r="J79" s="145">
        <f t="shared" si="24"/>
        <v>0</v>
      </c>
      <c r="K79" s="142" t="str">
        <f t="shared" si="30"/>
        <v>l</v>
      </c>
      <c r="L79" s="146">
        <f>IFERROR(INDEX(Työkonekanta!$I$3:$I$27,MATCH('S1 Sähkö'!$A79,Työkonekanta!$A$3:$A$24,0),1)*(I79+J79)*f_adblue,0)</f>
        <v>0</v>
      </c>
      <c r="M79" s="146">
        <f t="shared" si="3"/>
        <v>0</v>
      </c>
      <c r="N79" s="143" t="str">
        <f>IF(tuulisähkö_vuosi&lt;='S1 Sähkö'!C79,"tuulisähkö",ostosähkö_nyt)</f>
        <v>jäännössähkö</v>
      </c>
      <c r="O79" s="147">
        <f>INDEX(Muuttujat!$J$5:$J$21,MATCH($C79,Muuttujat!$H$5:$H$21,0),1)</f>
        <v>67.8692025</v>
      </c>
      <c r="P79" s="342">
        <f>1-(INDEX(Muuttujat!$O$5:$O$21,MATCH($C79,Muuttujat!$N$5:$N$21,0),1))</f>
        <v>0.97</v>
      </c>
      <c r="Q79" s="342">
        <f>INDEX(Muuttujat!$O$5:$O$21,MATCH($C79,Muuttujat!$N$5:$N$21,0),1)</f>
        <v>0.03</v>
      </c>
      <c r="R79" s="148">
        <f>INDEX(Muuttujat!$P$5:$P$21,MATCH($C79,Muuttujat!$N$5:$N$21,0),1)</f>
        <v>3.1355537414087732E-2</v>
      </c>
      <c r="S79" s="149">
        <f t="shared" si="25"/>
        <v>0</v>
      </c>
      <c r="T79" s="150">
        <f t="shared" si="26"/>
        <v>0</v>
      </c>
      <c r="U79" s="150">
        <f t="shared" si="27"/>
        <v>0</v>
      </c>
      <c r="V79" s="150">
        <f>IFERROR(INDEX(Työkonekanta!$J$3:$J$27,MATCH($A79,Työkonekanta!$A$3:$A$24,0),1)*$B79*ef_li_ion_akku/1000/1000/INDEX(Työkonekanta!$K$3:$K$27,MATCH($A79,Työkonekanta!$A$3:$A$24,0)),0)</f>
        <v>0</v>
      </c>
      <c r="W79" s="149">
        <f t="shared" si="7"/>
        <v>0</v>
      </c>
      <c r="X79" s="150">
        <f t="shared" si="8"/>
        <v>0</v>
      </c>
      <c r="Y79" s="151">
        <f t="shared" si="9"/>
        <v>0</v>
      </c>
      <c r="Z79" s="152">
        <f t="shared" si="31"/>
        <v>0</v>
      </c>
      <c r="AA79" s="153">
        <f t="shared" si="32"/>
        <v>0</v>
      </c>
      <c r="AB79" s="153">
        <f t="shared" si="33"/>
        <v>0</v>
      </c>
      <c r="AC79" s="154">
        <f t="shared" si="10"/>
        <v>0</v>
      </c>
      <c r="AD79" s="156">
        <f t="shared" si="34"/>
        <v>0</v>
      </c>
      <c r="AE79" s="182"/>
      <c r="AG79" s="2"/>
    </row>
    <row r="80" spans="1:33">
      <c r="A80" s="139">
        <v>18</v>
      </c>
      <c r="B80" s="139" cm="1">
        <f t="array" ref="B80">IFERROR(IF(A80=s1_id_korvattava1,INDEX($AG$3:$AG$19,MATCH(C80,$AF$3:$AF$19,0),1),IF(A80=s1_id_korvaava1,INDEX($AH$3:$AH$19,MATCH(C80,$AF$3:$AF$19,0),1),IF(A80=s1_id_korvattava2,INDEX($AI$3:$AI$19,MATCH(C80,$AF$3:$AF$19,0),1),IF(A80=s1_id_korvaava2,INDEX($AJ$3:$AJ$19,MATCH(C80,$AF$3:$AF$19,0),1),INDEX(Työkonekanta!$F$3:$F$27,MATCH('S1 Sähkö'!$A80,Työkonekanta!$A$3:$A$24,0),1))))),0)</f>
        <v>0</v>
      </c>
      <c r="C80" s="140">
        <v>2021</v>
      </c>
      <c r="D80" s="141" t="str">
        <f>IFERROR(INDEX(Työkonekanta!$D$3:$D$27,MATCH('S1 Sähkö'!$A80,Työkonekanta!$A$3:$A$24,0),1),"undefined")</f>
        <v>pom</v>
      </c>
      <c r="E80" s="145">
        <f>IFERROR(INDEX(Työkonekanta!$G$3:$G$27,MATCH($A80,Työkonekanta!$A$3:$A$24,0),1)*INDEX(Työkonekanta!$H$3:$H$27,MATCH($A80,Työkonekanta!$A$3:$A$24,0),1)*(1+s1_kerroin*($C80-2019))*$B80,0)</f>
        <v>0</v>
      </c>
      <c r="F80" s="145">
        <f t="shared" si="22"/>
        <v>0</v>
      </c>
      <c r="G80" s="145">
        <f t="shared" si="28"/>
        <v>0</v>
      </c>
      <c r="H80" s="145">
        <f t="shared" si="29"/>
        <v>0</v>
      </c>
      <c r="I80" s="145">
        <f t="shared" si="23"/>
        <v>0</v>
      </c>
      <c r="J80" s="145">
        <f t="shared" si="24"/>
        <v>0</v>
      </c>
      <c r="K80" s="142" t="str">
        <f t="shared" si="30"/>
        <v>l</v>
      </c>
      <c r="L80" s="146">
        <f>IFERROR(INDEX(Työkonekanta!$I$3:$I$27,MATCH('S1 Sähkö'!$A80,Työkonekanta!$A$3:$A$24,0),1)*(I80+J80)*f_adblue,0)</f>
        <v>0</v>
      </c>
      <c r="M80" s="146">
        <f t="shared" si="3"/>
        <v>0</v>
      </c>
      <c r="N80" s="143" t="str">
        <f>IF(tuulisähkö_vuosi&lt;='S1 Sähkö'!C80,"tuulisähkö",ostosähkö_nyt)</f>
        <v>jäännössähkö</v>
      </c>
      <c r="O80" s="147">
        <f>INDEX(Muuttujat!$J$5:$J$21,MATCH($C80,Muuttujat!$H$5:$H$21,0),1)</f>
        <v>67.8692025</v>
      </c>
      <c r="P80" s="342">
        <f>1-(INDEX(Muuttujat!$O$5:$O$21,MATCH($C80,Muuttujat!$N$5:$N$21,0),1))</f>
        <v>0.97</v>
      </c>
      <c r="Q80" s="342">
        <f>INDEX(Muuttujat!$O$5:$O$21,MATCH($C80,Muuttujat!$N$5:$N$21,0),1)</f>
        <v>0.03</v>
      </c>
      <c r="R80" s="148">
        <f>INDEX(Muuttujat!$P$5:$P$21,MATCH($C80,Muuttujat!$N$5:$N$21,0),1)</f>
        <v>3.1355537414087732E-2</v>
      </c>
      <c r="S80" s="149">
        <f t="shared" si="25"/>
        <v>0</v>
      </c>
      <c r="T80" s="150">
        <f t="shared" si="26"/>
        <v>0</v>
      </c>
      <c r="U80" s="150">
        <f t="shared" si="27"/>
        <v>0</v>
      </c>
      <c r="V80" s="150">
        <f>IFERROR(INDEX(Työkonekanta!$J$3:$J$27,MATCH($A80,Työkonekanta!$A$3:$A$24,0),1)*$B80*ef_li_ion_akku/1000/1000/INDEX(Työkonekanta!$K$3:$K$27,MATCH($A80,Työkonekanta!$A$3:$A$24,0)),0)</f>
        <v>0</v>
      </c>
      <c r="W80" s="149">
        <f t="shared" si="7"/>
        <v>0</v>
      </c>
      <c r="X80" s="150">
        <f t="shared" si="8"/>
        <v>0</v>
      </c>
      <c r="Y80" s="151">
        <f t="shared" si="9"/>
        <v>0</v>
      </c>
      <c r="Z80" s="152">
        <f t="shared" si="31"/>
        <v>0</v>
      </c>
      <c r="AA80" s="153">
        <f t="shared" si="32"/>
        <v>0</v>
      </c>
      <c r="AB80" s="153">
        <f t="shared" si="33"/>
        <v>0</v>
      </c>
      <c r="AC80" s="154">
        <f t="shared" si="10"/>
        <v>0</v>
      </c>
      <c r="AD80" s="156">
        <f t="shared" si="34"/>
        <v>0</v>
      </c>
      <c r="AE80" s="182"/>
      <c r="AG80" s="2"/>
    </row>
    <row r="81" spans="1:37">
      <c r="A81" s="139">
        <v>19</v>
      </c>
      <c r="B81" s="139" cm="1">
        <f t="array" ref="B81">IFERROR(IF(A81=s1_id_korvattava1,INDEX($AG$3:$AG$19,MATCH(C81,$AF$3:$AF$19,0),1),IF(A81=s1_id_korvaava1,INDEX($AH$3:$AH$19,MATCH(C81,$AF$3:$AF$19,0),1),IF(A81=s1_id_korvattava2,INDEX($AI$3:$AI$19,MATCH(C81,$AF$3:$AF$19,0),1),IF(A81=s1_id_korvaava2,INDEX($AJ$3:$AJ$19,MATCH(C81,$AF$3:$AF$19,0),1),INDEX(Työkonekanta!$F$3:$F$27,MATCH('S1 Sähkö'!$A81,Työkonekanta!$A$3:$A$24,0),1))))),0)</f>
        <v>0</v>
      </c>
      <c r="C81" s="140">
        <v>2021</v>
      </c>
      <c r="D81" s="141" t="str">
        <f>IFERROR(INDEX(Työkonekanta!$D$3:$D$27,MATCH('S1 Sähkö'!$A81,Työkonekanta!$A$3:$A$24,0),1),"undefined")</f>
        <v>pom</v>
      </c>
      <c r="E81" s="145">
        <f>IFERROR(INDEX(Työkonekanta!$G$3:$G$27,MATCH($A81,Työkonekanta!$A$3:$A$24,0),1)*INDEX(Työkonekanta!$H$3:$H$27,MATCH($A81,Työkonekanta!$A$3:$A$24,0),1)*(1+s1_kerroin*($C81-2019))*$B81,0)</f>
        <v>0</v>
      </c>
      <c r="F81" s="145">
        <f t="shared" si="22"/>
        <v>0</v>
      </c>
      <c r="G81" s="145">
        <f t="shared" si="28"/>
        <v>0</v>
      </c>
      <c r="H81" s="145">
        <f t="shared" si="29"/>
        <v>0</v>
      </c>
      <c r="I81" s="145">
        <f t="shared" si="23"/>
        <v>0</v>
      </c>
      <c r="J81" s="145">
        <f t="shared" si="24"/>
        <v>0</v>
      </c>
      <c r="K81" s="142" t="str">
        <f t="shared" si="30"/>
        <v>l</v>
      </c>
      <c r="L81" s="146">
        <f>IFERROR(INDEX(Työkonekanta!$I$3:$I$27,MATCH('S1 Sähkö'!$A81,Työkonekanta!$A$3:$A$24,0),1)*(I81+J81)*f_adblue,0)</f>
        <v>0</v>
      </c>
      <c r="M81" s="146">
        <f t="shared" si="3"/>
        <v>0</v>
      </c>
      <c r="N81" s="143" t="str">
        <f>IF(tuulisähkö_vuosi&lt;='S1 Sähkö'!C81,"tuulisähkö",ostosähkö_nyt)</f>
        <v>jäännössähkö</v>
      </c>
      <c r="O81" s="147">
        <f>INDEX(Muuttujat!$J$5:$J$21,MATCH($C81,Muuttujat!$H$5:$H$21,0),1)</f>
        <v>67.8692025</v>
      </c>
      <c r="P81" s="342">
        <f>1-(INDEX(Muuttujat!$O$5:$O$21,MATCH($C81,Muuttujat!$N$5:$N$21,0),1))</f>
        <v>0.97</v>
      </c>
      <c r="Q81" s="342">
        <f>INDEX(Muuttujat!$O$5:$O$21,MATCH($C81,Muuttujat!$N$5:$N$21,0),1)</f>
        <v>0.03</v>
      </c>
      <c r="R81" s="148">
        <f>INDEX(Muuttujat!$P$5:$P$21,MATCH($C81,Muuttujat!$N$5:$N$21,0),1)</f>
        <v>3.1355537414087732E-2</v>
      </c>
      <c r="S81" s="149">
        <f t="shared" si="25"/>
        <v>0</v>
      </c>
      <c r="T81" s="150">
        <f t="shared" si="26"/>
        <v>0</v>
      </c>
      <c r="U81" s="150">
        <f t="shared" si="27"/>
        <v>0</v>
      </c>
      <c r="V81" s="150">
        <f>IFERROR(INDEX(Työkonekanta!$J$3:$J$27,MATCH($A81,Työkonekanta!$A$3:$A$24,0),1)*$B81*ef_li_ion_akku/1000/1000/INDEX(Työkonekanta!$K$3:$K$27,MATCH($A81,Työkonekanta!$A$3:$A$24,0)),0)</f>
        <v>0</v>
      </c>
      <c r="W81" s="149">
        <f t="shared" si="7"/>
        <v>0</v>
      </c>
      <c r="X81" s="150">
        <f t="shared" si="8"/>
        <v>0</v>
      </c>
      <c r="Y81" s="151">
        <f t="shared" si="9"/>
        <v>0</v>
      </c>
      <c r="Z81" s="152">
        <f t="shared" si="31"/>
        <v>0</v>
      </c>
      <c r="AA81" s="153">
        <f t="shared" si="32"/>
        <v>0</v>
      </c>
      <c r="AB81" s="153">
        <f t="shared" si="33"/>
        <v>0</v>
      </c>
      <c r="AC81" s="154">
        <f t="shared" si="10"/>
        <v>0</v>
      </c>
      <c r="AD81" s="156">
        <f t="shared" si="34"/>
        <v>0</v>
      </c>
      <c r="AE81" s="182"/>
      <c r="AG81" s="2"/>
    </row>
    <row r="82" spans="1:37">
      <c r="A82" s="139">
        <v>20</v>
      </c>
      <c r="B82" s="139" cm="1">
        <f t="array" ref="B82">IFERROR(IF(A82=s1_id_korvattava1,INDEX($AG$3:$AG$19,MATCH(C82,$AF$3:$AF$19,0),1),IF(A82=s1_id_korvaava1,INDEX($AH$3:$AH$19,MATCH(C82,$AF$3:$AF$19,0),1),IF(A82=s1_id_korvattava2,INDEX($AI$3:$AI$19,MATCH(C82,$AF$3:$AF$19,0),1),IF(A82=s1_id_korvaava2,INDEX($AJ$3:$AJ$19,MATCH(C82,$AF$3:$AF$19,0),1),INDEX(Työkonekanta!$F$3:$F$27,MATCH('S1 Sähkö'!$A82,Työkonekanta!$A$3:$A$24,0),1))))),0)</f>
        <v>0</v>
      </c>
      <c r="C82" s="140">
        <v>2021</v>
      </c>
      <c r="D82" s="141" t="str">
        <f>IFERROR(INDEX(Työkonekanta!$D$3:$D$27,MATCH('S1 Sähkö'!$A82,Työkonekanta!$A$3:$A$24,0),1),"undefined")</f>
        <v>pom</v>
      </c>
      <c r="E82" s="145">
        <f>IFERROR(INDEX(Työkonekanta!$G$3:$G$27,MATCH($A82,Työkonekanta!$A$3:$A$24,0),1)*INDEX(Työkonekanta!$H$3:$H$27,MATCH($A82,Työkonekanta!$A$3:$A$24,0),1)*(1+s1_kerroin*($C82-2019))*$B82,0)</f>
        <v>0</v>
      </c>
      <c r="F82" s="145">
        <f t="shared" si="22"/>
        <v>0</v>
      </c>
      <c r="G82" s="145">
        <f t="shared" si="28"/>
        <v>0</v>
      </c>
      <c r="H82" s="145">
        <f t="shared" si="29"/>
        <v>0</v>
      </c>
      <c r="I82" s="145">
        <f t="shared" si="23"/>
        <v>0</v>
      </c>
      <c r="J82" s="145">
        <f t="shared" si="24"/>
        <v>0</v>
      </c>
      <c r="K82" s="142" t="str">
        <f t="shared" si="30"/>
        <v>l</v>
      </c>
      <c r="L82" s="146">
        <f>IFERROR(INDEX(Työkonekanta!$I$3:$I$27,MATCH('S1 Sähkö'!$A82,Työkonekanta!$A$3:$A$24,0),1)*(I82+J82)*f_adblue,0)</f>
        <v>0</v>
      </c>
      <c r="M82" s="146">
        <f t="shared" si="3"/>
        <v>0</v>
      </c>
      <c r="N82" s="143" t="str">
        <f>IF(tuulisähkö_vuosi&lt;='S1 Sähkö'!C82,"tuulisähkö",ostosähkö_nyt)</f>
        <v>jäännössähkö</v>
      </c>
      <c r="O82" s="147">
        <f>INDEX(Muuttujat!$J$5:$J$21,MATCH($C82,Muuttujat!$H$5:$H$21,0),1)</f>
        <v>67.8692025</v>
      </c>
      <c r="P82" s="342">
        <f>1-(INDEX(Muuttujat!$O$5:$O$21,MATCH($C82,Muuttujat!$N$5:$N$21,0),1))</f>
        <v>0.97</v>
      </c>
      <c r="Q82" s="342">
        <f>INDEX(Muuttujat!$O$5:$O$21,MATCH($C82,Muuttujat!$N$5:$N$21,0),1)</f>
        <v>0.03</v>
      </c>
      <c r="R82" s="148">
        <f>INDEX(Muuttujat!$P$5:$P$21,MATCH($C82,Muuttujat!$N$5:$N$21,0),1)</f>
        <v>3.1355537414087732E-2</v>
      </c>
      <c r="S82" s="149">
        <f t="shared" si="25"/>
        <v>0</v>
      </c>
      <c r="T82" s="150">
        <f t="shared" si="26"/>
        <v>0</v>
      </c>
      <c r="U82" s="150">
        <f t="shared" si="27"/>
        <v>0</v>
      </c>
      <c r="V82" s="150">
        <f>IFERROR(INDEX(Työkonekanta!$J$3:$J$27,MATCH($A82,Työkonekanta!$A$3:$A$24,0),1)*$B82*ef_li_ion_akku/1000/1000/INDEX(Työkonekanta!$K$3:$K$27,MATCH($A82,Työkonekanta!$A$3:$A$24,0)),0)</f>
        <v>0</v>
      </c>
      <c r="W82" s="149">
        <f t="shared" si="7"/>
        <v>0</v>
      </c>
      <c r="X82" s="150">
        <f t="shared" si="8"/>
        <v>0</v>
      </c>
      <c r="Y82" s="151">
        <f t="shared" si="9"/>
        <v>0</v>
      </c>
      <c r="Z82" s="152">
        <f t="shared" si="31"/>
        <v>0</v>
      </c>
      <c r="AA82" s="153">
        <f t="shared" si="32"/>
        <v>0</v>
      </c>
      <c r="AB82" s="153">
        <f t="shared" si="33"/>
        <v>0</v>
      </c>
      <c r="AC82" s="154">
        <f t="shared" si="10"/>
        <v>0</v>
      </c>
      <c r="AD82" s="156">
        <f t="shared" si="34"/>
        <v>0</v>
      </c>
      <c r="AE82" s="182"/>
      <c r="AG82" s="2"/>
    </row>
    <row r="83" spans="1:37">
      <c r="A83" s="139">
        <v>21</v>
      </c>
      <c r="B83" s="139" cm="1">
        <f t="array" ref="B83">IFERROR(IF(A83=s1_id_korvattava1,INDEX($AG$3:$AG$19,MATCH(C83,$AF$3:$AF$19,0),1),IF(A83=s1_id_korvaava1,INDEX($AH$3:$AH$19,MATCH(C83,$AF$3:$AF$19,0),1),IF(A83=s1_id_korvattava2,INDEX($AI$3:$AI$19,MATCH(C83,$AF$3:$AF$19,0),1),IF(A83=s1_id_korvaava2,INDEX($AJ$3:$AJ$19,MATCH(C83,$AF$3:$AF$19,0),1),INDEX(Työkonekanta!$F$3:$F$27,MATCH('S1 Sähkö'!$A83,Työkonekanta!$A$3:$A$24,0),1))))),0)</f>
        <v>36</v>
      </c>
      <c r="C83" s="140">
        <v>2021</v>
      </c>
      <c r="D83" s="141" t="str">
        <f>IFERROR(INDEX(Työkonekanta!$D$3:$D$27,MATCH('S1 Sähkö'!$A83,Työkonekanta!$A$3:$A$24,0),1),"undefined")</f>
        <v>sähkö</v>
      </c>
      <c r="E83" s="145">
        <f>IFERROR(INDEX(Työkonekanta!$G$3:$G$27,MATCH($A83,Työkonekanta!$A$3:$A$24,0),1)*INDEX(Työkonekanta!$H$3:$H$27,MATCH($A83,Työkonekanta!$A$3:$A$24,0),1)*(1+s1_kerroin*($C83-2019))*$B83,0)</f>
        <v>427210</v>
      </c>
      <c r="F83" s="145">
        <f t="shared" si="22"/>
        <v>0</v>
      </c>
      <c r="G83" s="145">
        <f t="shared" si="28"/>
        <v>0</v>
      </c>
      <c r="H83" s="145">
        <f t="shared" si="29"/>
        <v>0</v>
      </c>
      <c r="I83" s="145">
        <f t="shared" si="23"/>
        <v>0</v>
      </c>
      <c r="J83" s="145">
        <f t="shared" si="24"/>
        <v>0</v>
      </c>
      <c r="K83" s="142" t="str">
        <f t="shared" si="30"/>
        <v>kWh</v>
      </c>
      <c r="L83" s="146">
        <f>IFERROR(INDEX(Työkonekanta!$I$3:$I$27,MATCH('S1 Sähkö'!$A83,Työkonekanta!$A$3:$A$24,0),1)*(I83+J83)*f_adblue,0)</f>
        <v>0</v>
      </c>
      <c r="M83" s="146">
        <f t="shared" ref="M83:M146" si="35">IF($D83="sähkö",conv_kwh_mj*$E83,0)</f>
        <v>1537956</v>
      </c>
      <c r="N83" s="143" t="str">
        <f>IF(tuulisähkö_vuosi&lt;='S1 Sähkö'!C83,"tuulisähkö",ostosähkö_nyt)</f>
        <v>jäännössähkö</v>
      </c>
      <c r="O83" s="147">
        <f>INDEX(Muuttujat!$J$5:$J$21,MATCH($C83,Muuttujat!$H$5:$H$21,0),1)</f>
        <v>67.8692025</v>
      </c>
      <c r="P83" s="342">
        <f>1-(INDEX(Muuttujat!$O$5:$O$21,MATCH($C83,Muuttujat!$N$5:$N$21,0),1))</f>
        <v>0.97</v>
      </c>
      <c r="Q83" s="342">
        <f>INDEX(Muuttujat!$O$5:$O$21,MATCH($C83,Muuttujat!$N$5:$N$21,0),1)</f>
        <v>0.03</v>
      </c>
      <c r="R83" s="148">
        <f>INDEX(Muuttujat!$P$5:$P$21,MATCH($C83,Muuttujat!$N$5:$N$21,0),1)</f>
        <v>3.1355537414087732E-2</v>
      </c>
      <c r="S83" s="149">
        <f t="shared" si="25"/>
        <v>0</v>
      </c>
      <c r="T83" s="150">
        <f t="shared" si="26"/>
        <v>0</v>
      </c>
      <c r="U83" s="150">
        <f t="shared" si="27"/>
        <v>104.37984720009001</v>
      </c>
      <c r="V83" s="150">
        <f>IFERROR(INDEX(Työkonekanta!$J$3:$J$27,MATCH($A83,Työkonekanta!$A$3:$A$24,0),1)*$B83*ef_li_ion_akku/1000/1000/INDEX(Työkonekanta!$K$3:$K$27,MATCH($A83,Työkonekanta!$A$3:$A$24,0)),0)</f>
        <v>44.353772307692303</v>
      </c>
      <c r="W83" s="149">
        <f t="shared" ref="W83:W146" si="36">($I83*IF($D83="pom",ef_v_co2_pom,0))/1000/1000</f>
        <v>0</v>
      </c>
      <c r="X83" s="150">
        <f t="shared" ref="X83:X146" si="37">($E83*(IF($D83="pom",ef_v_ch4_pom,0)*gwp100_ch4+IF($D83="pom",ef_v_n2o_pom,0)*gwp100_n2o))/1000/1000</f>
        <v>0</v>
      </c>
      <c r="Y83" s="151">
        <f t="shared" ref="Y83:Y146" si="38">$L83*ef_v_co2_adblue/1000/1000</f>
        <v>0</v>
      </c>
      <c r="Z83" s="152">
        <f t="shared" si="31"/>
        <v>148.73361950778232</v>
      </c>
      <c r="AA83" s="153">
        <f t="shared" si="32"/>
        <v>0</v>
      </c>
      <c r="AB83" s="153">
        <f t="shared" si="33"/>
        <v>0</v>
      </c>
      <c r="AC83" s="154">
        <f t="shared" ref="AC83:AC146" si="39">$Z83+$AA83</f>
        <v>148.73361950778232</v>
      </c>
      <c r="AD83" s="156">
        <f t="shared" si="34"/>
        <v>148.73361950778232</v>
      </c>
      <c r="AE83" s="182"/>
      <c r="AG83" s="2"/>
    </row>
    <row r="84" spans="1:37">
      <c r="A84" s="139">
        <v>22</v>
      </c>
      <c r="B84" s="139" cm="1">
        <f t="array" ref="B84">IFERROR(IF(A84=s1_id_korvattava1,INDEX($AG$3:$AG$19,MATCH(C84,$AF$3:$AF$19,0),1),IF(A84=s1_id_korvaava1,INDEX($AH$3:$AH$19,MATCH(C84,$AF$3:$AF$19,0),1),IF(A84=s1_id_korvattava2,INDEX($AI$3:$AI$19,MATCH(C84,$AF$3:$AF$19,0),1),IF(A84=s1_id_korvaava2,INDEX($AJ$3:$AJ$19,MATCH(C84,$AF$3:$AF$19,0),1),INDEX(Työkonekanta!$F$3:$F$27,MATCH('S1 Sähkö'!$A84,Työkonekanta!$A$3:$A$24,0),1))))),0)</f>
        <v>1</v>
      </c>
      <c r="C84" s="140">
        <v>2021</v>
      </c>
      <c r="D84" s="141" t="str">
        <f>IFERROR(INDEX(Työkonekanta!$D$3:$D$27,MATCH('S1 Sähkö'!$A84,Työkonekanta!$A$3:$A$24,0),1),"undefined")</f>
        <v>sähkö</v>
      </c>
      <c r="E84" s="145">
        <f>IFERROR(INDEX(Työkonekanta!$G$3:$G$27,MATCH($A84,Työkonekanta!$A$3:$A$24,0),1)*INDEX(Työkonekanta!$H$3:$H$27,MATCH($A84,Työkonekanta!$A$3:$A$24,0),1)*(1+s1_kerroin*($C84-2019))*$B84,0)</f>
        <v>45433.444444444445</v>
      </c>
      <c r="F84" s="145">
        <f t="shared" si="22"/>
        <v>0</v>
      </c>
      <c r="G84" s="145">
        <f t="shared" si="28"/>
        <v>0</v>
      </c>
      <c r="H84" s="145">
        <f t="shared" si="29"/>
        <v>0</v>
      </c>
      <c r="I84" s="145">
        <f t="shared" si="23"/>
        <v>0</v>
      </c>
      <c r="J84" s="145">
        <f t="shared" si="24"/>
        <v>0</v>
      </c>
      <c r="K84" s="142" t="str">
        <f t="shared" si="30"/>
        <v>kWh</v>
      </c>
      <c r="L84" s="146">
        <f>IFERROR(INDEX(Työkonekanta!$I$3:$I$27,MATCH('S1 Sähkö'!$A84,Työkonekanta!$A$3:$A$24,0),1)*(I84+J84)*f_adblue,0)</f>
        <v>0</v>
      </c>
      <c r="M84" s="146">
        <f t="shared" si="35"/>
        <v>163560.4</v>
      </c>
      <c r="N84" s="143" t="str">
        <f>IF(tuulisähkö_vuosi&lt;='S1 Sähkö'!C84,"tuulisähkö",ostosähkö_nyt)</f>
        <v>jäännössähkö</v>
      </c>
      <c r="O84" s="147">
        <f>INDEX(Muuttujat!$J$5:$J$21,MATCH($C84,Muuttujat!$H$5:$H$21,0),1)</f>
        <v>67.8692025</v>
      </c>
      <c r="P84" s="342">
        <f>1-(INDEX(Muuttujat!$O$5:$O$21,MATCH($C84,Muuttujat!$N$5:$N$21,0),1))</f>
        <v>0.97</v>
      </c>
      <c r="Q84" s="342">
        <f>INDEX(Muuttujat!$O$5:$O$21,MATCH($C84,Muuttujat!$N$5:$N$21,0),1)</f>
        <v>0.03</v>
      </c>
      <c r="R84" s="148">
        <f>INDEX(Muuttujat!$P$5:$P$21,MATCH($C84,Muuttujat!$N$5:$N$21,0),1)</f>
        <v>3.1355537414087732E-2</v>
      </c>
      <c r="S84" s="149">
        <f t="shared" si="25"/>
        <v>0</v>
      </c>
      <c r="T84" s="150">
        <f t="shared" si="26"/>
        <v>0</v>
      </c>
      <c r="U84" s="150">
        <f t="shared" si="27"/>
        <v>11.100713908581</v>
      </c>
      <c r="V84" s="150">
        <f>IFERROR(INDEX(Työkonekanta!$J$3:$J$27,MATCH($A84,Työkonekanta!$A$3:$A$24,0),1)*$B84*ef_li_ion_akku/1000/1000/INDEX(Työkonekanta!$K$3:$K$27,MATCH($A84,Työkonekanta!$A$3:$A$24,0)),0)</f>
        <v>5.2676455384615384</v>
      </c>
      <c r="W84" s="149">
        <f t="shared" si="36"/>
        <v>0</v>
      </c>
      <c r="X84" s="150">
        <f t="shared" si="37"/>
        <v>0</v>
      </c>
      <c r="Y84" s="151">
        <f t="shared" si="38"/>
        <v>0</v>
      </c>
      <c r="Z84" s="152">
        <f t="shared" si="31"/>
        <v>16.368359447042536</v>
      </c>
      <c r="AA84" s="153">
        <f t="shared" si="32"/>
        <v>0</v>
      </c>
      <c r="AB84" s="153">
        <f t="shared" si="33"/>
        <v>0</v>
      </c>
      <c r="AC84" s="154">
        <f t="shared" si="39"/>
        <v>16.368359447042536</v>
      </c>
      <c r="AD84" s="156">
        <f t="shared" si="34"/>
        <v>16.368359447042536</v>
      </c>
      <c r="AE84" s="182"/>
      <c r="AG84" s="2"/>
    </row>
    <row r="85" spans="1:37">
      <c r="A85" s="139">
        <v>23</v>
      </c>
      <c r="B85" s="139" cm="1">
        <f t="array" ref="B85">IFERROR(IF(A85=s1_id_korvattava1,INDEX($AG$3:$AG$19,MATCH(C85,$AF$3:$AF$19,0),1),IF(A85=s1_id_korvaava1,INDEX($AH$3:$AH$19,MATCH(C85,$AF$3:$AF$19,0),1),IF(A85=s1_id_korvattava2,INDEX($AI$3:$AI$19,MATCH(C85,$AF$3:$AF$19,0),1),IF(A85=s1_id_korvaava2,INDEX($AJ$3:$AJ$19,MATCH(C85,$AF$3:$AF$19,0),1),INDEX(Työkonekanta!$F$3:$F$27,MATCH('S1 Sähkö'!$A85,Työkonekanta!$A$3:$A$24,0),1))))),0)</f>
        <v>0</v>
      </c>
      <c r="C85" s="140">
        <v>2021</v>
      </c>
      <c r="D85" s="141" t="str">
        <f>IFERROR(INDEX(Työkonekanta!$D$3:$D$27,MATCH('S1 Sähkö'!$A85,Työkonekanta!$A$3:$A$24,0),1),"undefined")</f>
        <v>undefined</v>
      </c>
      <c r="E85" s="145">
        <f>IFERROR(INDEX(Työkonekanta!$G$3:$G$27,MATCH($A85,Työkonekanta!$A$3:$A$24,0),1)*INDEX(Työkonekanta!$H$3:$H$27,MATCH($A85,Työkonekanta!$A$3:$A$24,0),1)*(1+s1_kerroin*($C85-2019))*$B85,0)</f>
        <v>0</v>
      </c>
      <c r="F85" s="145">
        <f t="shared" si="22"/>
        <v>0</v>
      </c>
      <c r="G85" s="145">
        <f t="shared" si="28"/>
        <v>0</v>
      </c>
      <c r="H85" s="145">
        <f t="shared" si="29"/>
        <v>0</v>
      </c>
      <c r="I85" s="145">
        <f t="shared" si="23"/>
        <v>0</v>
      </c>
      <c r="J85" s="145">
        <f t="shared" si="24"/>
        <v>0</v>
      </c>
      <c r="K85" s="142" t="str">
        <f t="shared" si="30"/>
        <v>undefined</v>
      </c>
      <c r="L85" s="146">
        <f>IFERROR(INDEX(Työkonekanta!$I$3:$I$27,MATCH('S1 Sähkö'!$A85,Työkonekanta!$A$3:$A$24,0),1)*(I85+J85)*f_adblue,0)</f>
        <v>0</v>
      </c>
      <c r="M85" s="146">
        <f t="shared" si="35"/>
        <v>0</v>
      </c>
      <c r="N85" s="143" t="str">
        <f>IF(tuulisähkö_vuosi&lt;='S1 Sähkö'!C85,"tuulisähkö",ostosähkö_nyt)</f>
        <v>jäännössähkö</v>
      </c>
      <c r="O85" s="147">
        <f>INDEX(Muuttujat!$J$5:$J$21,MATCH($C85,Muuttujat!$H$5:$H$21,0),1)</f>
        <v>67.8692025</v>
      </c>
      <c r="P85" s="342">
        <f>1-(INDEX(Muuttujat!$O$5:$O$21,MATCH($C85,Muuttujat!$N$5:$N$21,0),1))</f>
        <v>0.97</v>
      </c>
      <c r="Q85" s="342">
        <f>INDEX(Muuttujat!$O$5:$O$21,MATCH($C85,Muuttujat!$N$5:$N$21,0),1)</f>
        <v>0.03</v>
      </c>
      <c r="R85" s="148">
        <f>INDEX(Muuttujat!$P$5:$P$21,MATCH($C85,Muuttujat!$N$5:$N$21,0),1)</f>
        <v>3.1355537414087732E-2</v>
      </c>
      <c r="S85" s="149">
        <f t="shared" si="25"/>
        <v>0</v>
      </c>
      <c r="T85" s="150">
        <f t="shared" si="26"/>
        <v>0</v>
      </c>
      <c r="U85" s="150">
        <f t="shared" si="27"/>
        <v>0</v>
      </c>
      <c r="V85" s="150">
        <f>IFERROR(INDEX(Työkonekanta!$J$3:$J$27,MATCH($A85,Työkonekanta!$A$3:$A$24,0),1)*$B85*ef_li_ion_akku/1000/1000/INDEX(Työkonekanta!$K$3:$K$27,MATCH($A85,Työkonekanta!$A$3:$A$24,0)),0)</f>
        <v>0</v>
      </c>
      <c r="W85" s="149">
        <f t="shared" si="36"/>
        <v>0</v>
      </c>
      <c r="X85" s="150">
        <f t="shared" si="37"/>
        <v>0</v>
      </c>
      <c r="Y85" s="151">
        <f t="shared" si="38"/>
        <v>0</v>
      </c>
      <c r="Z85" s="152">
        <f t="shared" si="31"/>
        <v>0</v>
      </c>
      <c r="AA85" s="153">
        <f t="shared" si="32"/>
        <v>0</v>
      </c>
      <c r="AB85" s="153">
        <f t="shared" si="33"/>
        <v>0</v>
      </c>
      <c r="AC85" s="154">
        <f t="shared" si="39"/>
        <v>0</v>
      </c>
      <c r="AD85" s="156">
        <f t="shared" si="34"/>
        <v>0</v>
      </c>
      <c r="AE85" s="182"/>
      <c r="AJ85" s="28"/>
      <c r="AK85" s="29"/>
    </row>
    <row r="86" spans="1:37">
      <c r="A86" s="139">
        <v>24</v>
      </c>
      <c r="B86" s="139" cm="1">
        <f t="array" ref="B86">IFERROR(IF(A86=s1_id_korvattava1,INDEX($AG$3:$AG$19,MATCH(C86,$AF$3:$AF$19,0),1),IF(A86=s1_id_korvaava1,INDEX($AH$3:$AH$19,MATCH(C86,$AF$3:$AF$19,0),1),IF(A86=s1_id_korvattava2,INDEX($AI$3:$AI$19,MATCH(C86,$AF$3:$AF$19,0),1),IF(A86=s1_id_korvaava2,INDEX($AJ$3:$AJ$19,MATCH(C86,$AF$3:$AF$19,0),1),INDEX(Työkonekanta!$F$3:$F$27,MATCH('S1 Sähkö'!$A86,Työkonekanta!$A$3:$A$24,0),1))))),0)</f>
        <v>0</v>
      </c>
      <c r="C86" s="140">
        <v>2021</v>
      </c>
      <c r="D86" s="141" t="str">
        <f>IFERROR(INDEX(Työkonekanta!$D$3:$D$27,MATCH('S1 Sähkö'!$A86,Työkonekanta!$A$3:$A$24,0),1),"undefined")</f>
        <v>undefined</v>
      </c>
      <c r="E86" s="145">
        <f>IFERROR(INDEX(Työkonekanta!$G$3:$G$27,MATCH($A86,Työkonekanta!$A$3:$A$24,0),1)*INDEX(Työkonekanta!$H$3:$H$27,MATCH($A86,Työkonekanta!$A$3:$A$24,0),1)*(1+s1_kerroin*($C86-2019))*$B86,0)</f>
        <v>0</v>
      </c>
      <c r="F86" s="145">
        <f t="shared" si="22"/>
        <v>0</v>
      </c>
      <c r="G86" s="145">
        <f t="shared" si="28"/>
        <v>0</v>
      </c>
      <c r="H86" s="145">
        <f t="shared" si="29"/>
        <v>0</v>
      </c>
      <c r="I86" s="145">
        <f t="shared" si="23"/>
        <v>0</v>
      </c>
      <c r="J86" s="145">
        <f t="shared" si="24"/>
        <v>0</v>
      </c>
      <c r="K86" s="142" t="str">
        <f t="shared" si="30"/>
        <v>undefined</v>
      </c>
      <c r="L86" s="146">
        <f>IFERROR(INDEX(Työkonekanta!$I$3:$I$27,MATCH('S1 Sähkö'!$A86,Työkonekanta!$A$3:$A$24,0),1)*(I86+J86)*f_adblue,0)</f>
        <v>0</v>
      </c>
      <c r="M86" s="146">
        <f t="shared" si="35"/>
        <v>0</v>
      </c>
      <c r="N86" s="143" t="str">
        <f>IF(tuulisähkö_vuosi&lt;='S1 Sähkö'!C86,"tuulisähkö",ostosähkö_nyt)</f>
        <v>jäännössähkö</v>
      </c>
      <c r="O86" s="147">
        <f>INDEX(Muuttujat!$J$5:$J$21,MATCH($C86,Muuttujat!$H$5:$H$21,0),1)</f>
        <v>67.8692025</v>
      </c>
      <c r="P86" s="342">
        <f>1-(INDEX(Muuttujat!$O$5:$O$21,MATCH($C86,Muuttujat!$N$5:$N$21,0),1))</f>
        <v>0.97</v>
      </c>
      <c r="Q86" s="342">
        <f>INDEX(Muuttujat!$O$5:$O$21,MATCH($C86,Muuttujat!$N$5:$N$21,0),1)</f>
        <v>0.03</v>
      </c>
      <c r="R86" s="148">
        <f>INDEX(Muuttujat!$P$5:$P$21,MATCH($C86,Muuttujat!$N$5:$N$21,0),1)</f>
        <v>3.1355537414087732E-2</v>
      </c>
      <c r="S86" s="149">
        <f t="shared" si="25"/>
        <v>0</v>
      </c>
      <c r="T86" s="150">
        <f t="shared" si="26"/>
        <v>0</v>
      </c>
      <c r="U86" s="150">
        <f t="shared" si="27"/>
        <v>0</v>
      </c>
      <c r="V86" s="150">
        <f>IFERROR(INDEX(Työkonekanta!$J$3:$J$27,MATCH($A86,Työkonekanta!$A$3:$A$24,0),1)*$B86*ef_li_ion_akku/1000/1000/INDEX(Työkonekanta!$K$3:$K$27,MATCH($A86,Työkonekanta!$A$3:$A$24,0)),0)</f>
        <v>0</v>
      </c>
      <c r="W86" s="149">
        <f t="shared" si="36"/>
        <v>0</v>
      </c>
      <c r="X86" s="150">
        <f t="shared" si="37"/>
        <v>0</v>
      </c>
      <c r="Y86" s="151">
        <f t="shared" si="38"/>
        <v>0</v>
      </c>
      <c r="Z86" s="152">
        <f t="shared" si="31"/>
        <v>0</v>
      </c>
      <c r="AA86" s="153">
        <f t="shared" si="32"/>
        <v>0</v>
      </c>
      <c r="AB86" s="153">
        <f t="shared" si="33"/>
        <v>0</v>
      </c>
      <c r="AC86" s="154">
        <f t="shared" si="39"/>
        <v>0</v>
      </c>
      <c r="AD86" s="156">
        <f t="shared" si="34"/>
        <v>0</v>
      </c>
      <c r="AE86" s="182"/>
      <c r="AJ86" s="28"/>
      <c r="AK86" s="29"/>
    </row>
    <row r="87" spans="1:37">
      <c r="A87" s="139">
        <v>25</v>
      </c>
      <c r="B87" s="139" cm="1">
        <f t="array" ref="B87">IFERROR(IF(A87=s1_id_korvattava1,INDEX($AG$3:$AG$19,MATCH(C87,$AF$3:$AF$19,0),1),IF(A87=s1_id_korvaava1,INDEX($AH$3:$AH$19,MATCH(C87,$AF$3:$AF$19,0),1),IF(A87=s1_id_korvattava2,INDEX($AI$3:$AI$19,MATCH(C87,$AF$3:$AF$19,0),1),IF(A87=s1_id_korvaava2,INDEX($AJ$3:$AJ$19,MATCH(C87,$AF$3:$AF$19,0),1),INDEX(Työkonekanta!$F$3:$F$27,MATCH('S1 Sähkö'!$A87,Työkonekanta!$A$3:$A$24,0),1))))),0)</f>
        <v>0</v>
      </c>
      <c r="C87" s="140">
        <v>2021</v>
      </c>
      <c r="D87" s="141" t="str">
        <f>IFERROR(INDEX(Työkonekanta!$D$3:$D$27,MATCH('S1 Sähkö'!$A87,Työkonekanta!$A$3:$A$24,0),1),"undefined")</f>
        <v>undefined</v>
      </c>
      <c r="E87" s="145">
        <f>IFERROR(INDEX(Työkonekanta!$G$3:$G$27,MATCH($A87,Työkonekanta!$A$3:$A$24,0),1)*INDEX(Työkonekanta!$H$3:$H$27,MATCH($A87,Työkonekanta!$A$3:$A$24,0),1)*(1+s1_kerroin*($C87-2019))*$B87,0)</f>
        <v>0</v>
      </c>
      <c r="F87" s="145">
        <f t="shared" si="22"/>
        <v>0</v>
      </c>
      <c r="G87" s="145">
        <f t="shared" si="28"/>
        <v>0</v>
      </c>
      <c r="H87" s="145">
        <f t="shared" si="29"/>
        <v>0</v>
      </c>
      <c r="I87" s="145">
        <f t="shared" si="23"/>
        <v>0</v>
      </c>
      <c r="J87" s="145">
        <f t="shared" si="24"/>
        <v>0</v>
      </c>
      <c r="K87" s="142" t="str">
        <f t="shared" si="30"/>
        <v>undefined</v>
      </c>
      <c r="L87" s="146">
        <f>IFERROR(INDEX(Työkonekanta!$I$3:$I$27,MATCH('S1 Sähkö'!$A87,Työkonekanta!$A$3:$A$24,0),1)*(I87+J87)*f_adblue,0)</f>
        <v>0</v>
      </c>
      <c r="M87" s="146">
        <f t="shared" si="35"/>
        <v>0</v>
      </c>
      <c r="N87" s="143" t="str">
        <f>IF(tuulisähkö_vuosi&lt;='S1 Sähkö'!C87,"tuulisähkö",ostosähkö_nyt)</f>
        <v>jäännössähkö</v>
      </c>
      <c r="O87" s="147">
        <f>INDEX(Muuttujat!$J$5:$J$21,MATCH($C87,Muuttujat!$H$5:$H$21,0),1)</f>
        <v>67.8692025</v>
      </c>
      <c r="P87" s="342">
        <f>1-(INDEX(Muuttujat!$O$5:$O$21,MATCH($C87,Muuttujat!$N$5:$N$21,0),1))</f>
        <v>0.97</v>
      </c>
      <c r="Q87" s="342">
        <f>INDEX(Muuttujat!$O$5:$O$21,MATCH($C87,Muuttujat!$N$5:$N$21,0),1)</f>
        <v>0.03</v>
      </c>
      <c r="R87" s="148">
        <f>INDEX(Muuttujat!$P$5:$P$21,MATCH($C87,Muuttujat!$N$5:$N$21,0),1)</f>
        <v>3.1355537414087732E-2</v>
      </c>
      <c r="S87" s="149">
        <f t="shared" si="25"/>
        <v>0</v>
      </c>
      <c r="T87" s="150">
        <f t="shared" si="26"/>
        <v>0</v>
      </c>
      <c r="U87" s="150">
        <f t="shared" si="27"/>
        <v>0</v>
      </c>
      <c r="V87" s="150">
        <f>IFERROR(INDEX(Työkonekanta!$J$3:$J$27,MATCH($A87,Työkonekanta!$A$3:$A$24,0),1)*$B87*ef_li_ion_akku/1000/1000/INDEX(Työkonekanta!$K$3:$K$27,MATCH($A87,Työkonekanta!$A$3:$A$24,0)),0)</f>
        <v>0</v>
      </c>
      <c r="W87" s="149">
        <f t="shared" si="36"/>
        <v>0</v>
      </c>
      <c r="X87" s="150">
        <f t="shared" si="37"/>
        <v>0</v>
      </c>
      <c r="Y87" s="151">
        <f t="shared" si="38"/>
        <v>0</v>
      </c>
      <c r="Z87" s="152">
        <f t="shared" si="31"/>
        <v>0</v>
      </c>
      <c r="AA87" s="153">
        <f t="shared" si="32"/>
        <v>0</v>
      </c>
      <c r="AB87" s="153">
        <f t="shared" si="33"/>
        <v>0</v>
      </c>
      <c r="AC87" s="154">
        <f t="shared" si="39"/>
        <v>0</v>
      </c>
      <c r="AD87" s="156">
        <f t="shared" si="34"/>
        <v>0</v>
      </c>
      <c r="AE87" s="182"/>
      <c r="AJ87" s="28"/>
      <c r="AK87" s="29"/>
    </row>
    <row r="88" spans="1:37">
      <c r="A88" s="139">
        <v>26</v>
      </c>
      <c r="B88" s="139" cm="1">
        <f t="array" ref="B88">IFERROR(IF(A88=s1_id_korvattava1,INDEX($AG$3:$AG$19,MATCH(C88,$AF$3:$AF$19,0),1),IF(A88=s1_id_korvaava1,INDEX($AH$3:$AH$19,MATCH(C88,$AF$3:$AF$19,0),1),IF(A88=s1_id_korvattava2,INDEX($AI$3:$AI$19,MATCH(C88,$AF$3:$AF$19,0),1),IF(A88=s1_id_korvaava2,INDEX($AJ$3:$AJ$19,MATCH(C88,$AF$3:$AF$19,0),1),INDEX(Työkonekanta!$F$3:$F$27,MATCH('S1 Sähkö'!$A88,Työkonekanta!$A$3:$A$24,0),1))))),0)</f>
        <v>0</v>
      </c>
      <c r="C88" s="140">
        <v>2021</v>
      </c>
      <c r="D88" s="141" t="str">
        <f>IFERROR(INDEX(Työkonekanta!$D$3:$D$27,MATCH('S1 Sähkö'!$A88,Työkonekanta!$A$3:$A$24,0),1),"undefined")</f>
        <v>undefined</v>
      </c>
      <c r="E88" s="145">
        <f>IFERROR(INDEX(Työkonekanta!$G$3:$G$27,MATCH($A88,Työkonekanta!$A$3:$A$24,0),1)*INDEX(Työkonekanta!$H$3:$H$27,MATCH($A88,Työkonekanta!$A$3:$A$24,0),1)*(1+s1_kerroin*($C88-2019))*$B88,0)</f>
        <v>0</v>
      </c>
      <c r="F88" s="145">
        <f t="shared" si="22"/>
        <v>0</v>
      </c>
      <c r="G88" s="145">
        <f t="shared" si="28"/>
        <v>0</v>
      </c>
      <c r="H88" s="145">
        <f t="shared" si="29"/>
        <v>0</v>
      </c>
      <c r="I88" s="145">
        <f t="shared" si="23"/>
        <v>0</v>
      </c>
      <c r="J88" s="145">
        <f t="shared" si="24"/>
        <v>0</v>
      </c>
      <c r="K88" s="142" t="str">
        <f t="shared" si="30"/>
        <v>undefined</v>
      </c>
      <c r="L88" s="146">
        <f>IFERROR(INDEX(Työkonekanta!$I$3:$I$27,MATCH('S1 Sähkö'!$A88,Työkonekanta!$A$3:$A$24,0),1)*(I88+J88)*f_adblue,0)</f>
        <v>0</v>
      </c>
      <c r="M88" s="146">
        <f t="shared" si="35"/>
        <v>0</v>
      </c>
      <c r="N88" s="143" t="str">
        <f>IF(tuulisähkö_vuosi&lt;='S1 Sähkö'!C88,"tuulisähkö",ostosähkö_nyt)</f>
        <v>jäännössähkö</v>
      </c>
      <c r="O88" s="147">
        <f>INDEX(Muuttujat!$J$5:$J$21,MATCH($C88,Muuttujat!$H$5:$H$21,0),1)</f>
        <v>67.8692025</v>
      </c>
      <c r="P88" s="342">
        <f>1-(INDEX(Muuttujat!$O$5:$O$21,MATCH($C88,Muuttujat!$N$5:$N$21,0),1))</f>
        <v>0.97</v>
      </c>
      <c r="Q88" s="342">
        <f>INDEX(Muuttujat!$O$5:$O$21,MATCH($C88,Muuttujat!$N$5:$N$21,0),1)</f>
        <v>0.03</v>
      </c>
      <c r="R88" s="148">
        <f>INDEX(Muuttujat!$P$5:$P$21,MATCH($C88,Muuttujat!$N$5:$N$21,0),1)</f>
        <v>3.1355537414087732E-2</v>
      </c>
      <c r="S88" s="149">
        <f t="shared" si="25"/>
        <v>0</v>
      </c>
      <c r="T88" s="150">
        <f t="shared" si="26"/>
        <v>0</v>
      </c>
      <c r="U88" s="150">
        <f t="shared" si="27"/>
        <v>0</v>
      </c>
      <c r="V88" s="150">
        <f>IFERROR(INDEX(Työkonekanta!$J$3:$J$27,MATCH($A88,Työkonekanta!$A$3:$A$24,0),1)*$B88*ef_li_ion_akku/1000/1000/INDEX(Työkonekanta!$K$3:$K$27,MATCH($A88,Työkonekanta!$A$3:$A$24,0)),0)</f>
        <v>0</v>
      </c>
      <c r="W88" s="149">
        <f t="shared" si="36"/>
        <v>0</v>
      </c>
      <c r="X88" s="150">
        <f t="shared" si="37"/>
        <v>0</v>
      </c>
      <c r="Y88" s="151">
        <f t="shared" si="38"/>
        <v>0</v>
      </c>
      <c r="Z88" s="152">
        <f t="shared" si="31"/>
        <v>0</v>
      </c>
      <c r="AA88" s="153">
        <f t="shared" si="32"/>
        <v>0</v>
      </c>
      <c r="AB88" s="153">
        <f t="shared" si="33"/>
        <v>0</v>
      </c>
      <c r="AC88" s="154">
        <f t="shared" si="39"/>
        <v>0</v>
      </c>
      <c r="AD88" s="156">
        <f t="shared" si="34"/>
        <v>0</v>
      </c>
      <c r="AE88" s="182"/>
      <c r="AJ88" s="28"/>
      <c r="AK88" s="29"/>
    </row>
    <row r="89" spans="1:37">
      <c r="A89" s="139">
        <v>27</v>
      </c>
      <c r="B89" s="139" cm="1">
        <f t="array" ref="B89">IFERROR(IF(A89=s1_id_korvattava1,INDEX($AG$3:$AG$19,MATCH(C89,$AF$3:$AF$19,0),1),IF(A89=s1_id_korvaava1,INDEX($AH$3:$AH$19,MATCH(C89,$AF$3:$AF$19,0),1),IF(A89=s1_id_korvattava2,INDEX($AI$3:$AI$19,MATCH(C89,$AF$3:$AF$19,0),1),IF(A89=s1_id_korvaava2,INDEX($AJ$3:$AJ$19,MATCH(C89,$AF$3:$AF$19,0),1),INDEX(Työkonekanta!$F$3:$F$27,MATCH('S1 Sähkö'!$A89,Työkonekanta!$A$3:$A$24,0),1))))),0)</f>
        <v>0</v>
      </c>
      <c r="C89" s="140">
        <v>2021</v>
      </c>
      <c r="D89" s="141" t="str">
        <f>IFERROR(INDEX(Työkonekanta!$D$3:$D$27,MATCH('S1 Sähkö'!$A89,Työkonekanta!$A$3:$A$24,0),1),"undefined")</f>
        <v>undefined</v>
      </c>
      <c r="E89" s="145">
        <f>IFERROR(INDEX(Työkonekanta!$G$3:$G$27,MATCH($A89,Työkonekanta!$A$3:$A$24,0),1)*INDEX(Työkonekanta!$H$3:$H$27,MATCH($A89,Työkonekanta!$A$3:$A$24,0),1)*(1+s1_kerroin*($C89-2019))*$B89,0)</f>
        <v>0</v>
      </c>
      <c r="F89" s="145">
        <f t="shared" si="22"/>
        <v>0</v>
      </c>
      <c r="G89" s="145">
        <f t="shared" si="28"/>
        <v>0</v>
      </c>
      <c r="H89" s="145">
        <f t="shared" si="29"/>
        <v>0</v>
      </c>
      <c r="I89" s="145">
        <f t="shared" si="23"/>
        <v>0</v>
      </c>
      <c r="J89" s="145">
        <f t="shared" si="24"/>
        <v>0</v>
      </c>
      <c r="K89" s="142" t="str">
        <f t="shared" si="30"/>
        <v>undefined</v>
      </c>
      <c r="L89" s="146">
        <f>IFERROR(INDEX(Työkonekanta!$I$3:$I$27,MATCH('S1 Sähkö'!$A89,Työkonekanta!$A$3:$A$24,0),1)*(I89+J89)*f_adblue,0)</f>
        <v>0</v>
      </c>
      <c r="M89" s="146">
        <f t="shared" si="35"/>
        <v>0</v>
      </c>
      <c r="N89" s="143" t="str">
        <f>IF(tuulisähkö_vuosi&lt;='S1 Sähkö'!C89,"tuulisähkö",ostosähkö_nyt)</f>
        <v>jäännössähkö</v>
      </c>
      <c r="O89" s="147">
        <f>INDEX(Muuttujat!$J$5:$J$21,MATCH($C89,Muuttujat!$H$5:$H$21,0),1)</f>
        <v>67.8692025</v>
      </c>
      <c r="P89" s="342">
        <f>1-(INDEX(Muuttujat!$O$5:$O$21,MATCH($C89,Muuttujat!$N$5:$N$21,0),1))</f>
        <v>0.97</v>
      </c>
      <c r="Q89" s="342">
        <f>INDEX(Muuttujat!$O$5:$O$21,MATCH($C89,Muuttujat!$N$5:$N$21,0),1)</f>
        <v>0.03</v>
      </c>
      <c r="R89" s="148">
        <f>INDEX(Muuttujat!$P$5:$P$21,MATCH($C89,Muuttujat!$N$5:$N$21,0),1)</f>
        <v>3.1355537414087732E-2</v>
      </c>
      <c r="S89" s="149">
        <f t="shared" si="25"/>
        <v>0</v>
      </c>
      <c r="T89" s="150">
        <f t="shared" si="26"/>
        <v>0</v>
      </c>
      <c r="U89" s="150">
        <f t="shared" si="27"/>
        <v>0</v>
      </c>
      <c r="V89" s="150">
        <f>IFERROR(INDEX(Työkonekanta!$J$3:$J$27,MATCH($A89,Työkonekanta!$A$3:$A$24,0),1)*$B89*ef_li_ion_akku/1000/1000/INDEX(Työkonekanta!$K$3:$K$27,MATCH($A89,Työkonekanta!$A$3:$A$24,0)),0)</f>
        <v>0</v>
      </c>
      <c r="W89" s="149">
        <f t="shared" si="36"/>
        <v>0</v>
      </c>
      <c r="X89" s="150">
        <f t="shared" si="37"/>
        <v>0</v>
      </c>
      <c r="Y89" s="151">
        <f t="shared" si="38"/>
        <v>0</v>
      </c>
      <c r="Z89" s="152">
        <f t="shared" si="31"/>
        <v>0</v>
      </c>
      <c r="AA89" s="153">
        <f t="shared" si="32"/>
        <v>0</v>
      </c>
      <c r="AB89" s="153">
        <f t="shared" si="33"/>
        <v>0</v>
      </c>
      <c r="AC89" s="154">
        <f t="shared" si="39"/>
        <v>0</v>
      </c>
      <c r="AD89" s="156">
        <f t="shared" si="34"/>
        <v>0</v>
      </c>
      <c r="AE89" s="182"/>
      <c r="AJ89" s="28"/>
      <c r="AK89" s="29"/>
    </row>
    <row r="90" spans="1:37">
      <c r="A90" s="139">
        <v>28</v>
      </c>
      <c r="B90" s="139" cm="1">
        <f t="array" ref="B90">IFERROR(IF(A90=s1_id_korvattava1,INDEX($AG$3:$AG$19,MATCH(C90,$AF$3:$AF$19,0),1),IF(A90=s1_id_korvaava1,INDEX($AH$3:$AH$19,MATCH(C90,$AF$3:$AF$19,0),1),IF(A90=s1_id_korvattava2,INDEX($AI$3:$AI$19,MATCH(C90,$AF$3:$AF$19,0),1),IF(A90=s1_id_korvaava2,INDEX($AJ$3:$AJ$19,MATCH(C90,$AF$3:$AF$19,0),1),INDEX(Työkonekanta!$F$3:$F$27,MATCH('S1 Sähkö'!$A90,Työkonekanta!$A$3:$A$24,0),1))))),0)</f>
        <v>0</v>
      </c>
      <c r="C90" s="140">
        <v>2021</v>
      </c>
      <c r="D90" s="141" t="str">
        <f>IFERROR(INDEX(Työkonekanta!$D$3:$D$27,MATCH('S1 Sähkö'!$A90,Työkonekanta!$A$3:$A$24,0),1),"undefined")</f>
        <v>undefined</v>
      </c>
      <c r="E90" s="145">
        <f>IFERROR(INDEX(Työkonekanta!$G$3:$G$27,MATCH($A90,Työkonekanta!$A$3:$A$24,0),1)*INDEX(Työkonekanta!$H$3:$H$27,MATCH($A90,Työkonekanta!$A$3:$A$24,0),1)*(1+s1_kerroin*($C90-2019))*$B90,0)</f>
        <v>0</v>
      </c>
      <c r="F90" s="145">
        <f t="shared" si="22"/>
        <v>0</v>
      </c>
      <c r="G90" s="145">
        <f t="shared" si="28"/>
        <v>0</v>
      </c>
      <c r="H90" s="145">
        <f t="shared" si="29"/>
        <v>0</v>
      </c>
      <c r="I90" s="145">
        <f t="shared" si="23"/>
        <v>0</v>
      </c>
      <c r="J90" s="145">
        <f t="shared" si="24"/>
        <v>0</v>
      </c>
      <c r="K90" s="142" t="str">
        <f t="shared" si="30"/>
        <v>undefined</v>
      </c>
      <c r="L90" s="146">
        <f>IFERROR(INDEX(Työkonekanta!$I$3:$I$27,MATCH('S1 Sähkö'!$A90,Työkonekanta!$A$3:$A$24,0),1)*(I90+J90)*f_adblue,0)</f>
        <v>0</v>
      </c>
      <c r="M90" s="146">
        <f t="shared" si="35"/>
        <v>0</v>
      </c>
      <c r="N90" s="143" t="str">
        <f>IF(tuulisähkö_vuosi&lt;='S1 Sähkö'!C90,"tuulisähkö",ostosähkö_nyt)</f>
        <v>jäännössähkö</v>
      </c>
      <c r="O90" s="147">
        <f>INDEX(Muuttujat!$J$5:$J$21,MATCH($C90,Muuttujat!$H$5:$H$21,0),1)</f>
        <v>67.8692025</v>
      </c>
      <c r="P90" s="342">
        <f>1-(INDEX(Muuttujat!$O$5:$O$21,MATCH($C90,Muuttujat!$N$5:$N$21,0),1))</f>
        <v>0.97</v>
      </c>
      <c r="Q90" s="342">
        <f>INDEX(Muuttujat!$O$5:$O$21,MATCH($C90,Muuttujat!$N$5:$N$21,0),1)</f>
        <v>0.03</v>
      </c>
      <c r="R90" s="148">
        <f>INDEX(Muuttujat!$P$5:$P$21,MATCH($C90,Muuttujat!$N$5:$N$21,0),1)</f>
        <v>3.1355537414087732E-2</v>
      </c>
      <c r="S90" s="149">
        <f t="shared" si="25"/>
        <v>0</v>
      </c>
      <c r="T90" s="150">
        <f t="shared" si="26"/>
        <v>0</v>
      </c>
      <c r="U90" s="150">
        <f t="shared" si="27"/>
        <v>0</v>
      </c>
      <c r="V90" s="150">
        <f>IFERROR(INDEX(Työkonekanta!$J$3:$J$27,MATCH($A90,Työkonekanta!$A$3:$A$24,0),1)*$B90*ef_li_ion_akku/1000/1000/INDEX(Työkonekanta!$K$3:$K$27,MATCH($A90,Työkonekanta!$A$3:$A$24,0)),0)</f>
        <v>0</v>
      </c>
      <c r="W90" s="149">
        <f t="shared" si="36"/>
        <v>0</v>
      </c>
      <c r="X90" s="150">
        <f t="shared" si="37"/>
        <v>0</v>
      </c>
      <c r="Y90" s="151">
        <f t="shared" si="38"/>
        <v>0</v>
      </c>
      <c r="Z90" s="152">
        <f t="shared" si="31"/>
        <v>0</v>
      </c>
      <c r="AA90" s="153">
        <f t="shared" si="32"/>
        <v>0</v>
      </c>
      <c r="AB90" s="153">
        <f t="shared" si="33"/>
        <v>0</v>
      </c>
      <c r="AC90" s="154">
        <f t="shared" si="39"/>
        <v>0</v>
      </c>
      <c r="AD90" s="156">
        <f t="shared" si="34"/>
        <v>0</v>
      </c>
      <c r="AE90" s="182"/>
      <c r="AJ90" s="28"/>
      <c r="AK90" s="29"/>
    </row>
    <row r="91" spans="1:37">
      <c r="A91" s="139">
        <v>29</v>
      </c>
      <c r="B91" s="139" cm="1">
        <f t="array" ref="B91">IFERROR(IF(A91=s1_id_korvattava1,INDEX($AG$3:$AG$19,MATCH(C91,$AF$3:$AF$19,0),1),IF(A91=s1_id_korvaava1,INDEX($AH$3:$AH$19,MATCH(C91,$AF$3:$AF$19,0),1),IF(A91=s1_id_korvattava2,INDEX($AI$3:$AI$19,MATCH(C91,$AF$3:$AF$19,0),1),IF(A91=s1_id_korvaava2,INDEX($AJ$3:$AJ$19,MATCH(C91,$AF$3:$AF$19,0),1),INDEX(Työkonekanta!$F$3:$F$27,MATCH('S1 Sähkö'!$A91,Työkonekanta!$A$3:$A$24,0),1))))),0)</f>
        <v>0</v>
      </c>
      <c r="C91" s="140">
        <v>2021</v>
      </c>
      <c r="D91" s="141" t="str">
        <f>IFERROR(INDEX(Työkonekanta!$D$3:$D$27,MATCH('S1 Sähkö'!$A91,Työkonekanta!$A$3:$A$24,0),1),"undefined")</f>
        <v>undefined</v>
      </c>
      <c r="E91" s="145">
        <f>IFERROR(INDEX(Työkonekanta!$G$3:$G$27,MATCH($A91,Työkonekanta!$A$3:$A$24,0),1)*INDEX(Työkonekanta!$H$3:$H$27,MATCH($A91,Työkonekanta!$A$3:$A$24,0),1)*(1+s1_kerroin*($C91-2019))*$B91,0)</f>
        <v>0</v>
      </c>
      <c r="F91" s="145">
        <f t="shared" si="22"/>
        <v>0</v>
      </c>
      <c r="G91" s="145">
        <f t="shared" si="28"/>
        <v>0</v>
      </c>
      <c r="H91" s="145">
        <f t="shared" si="29"/>
        <v>0</v>
      </c>
      <c r="I91" s="145">
        <f t="shared" si="23"/>
        <v>0</v>
      </c>
      <c r="J91" s="145">
        <f t="shared" si="24"/>
        <v>0</v>
      </c>
      <c r="K91" s="142" t="str">
        <f t="shared" si="30"/>
        <v>undefined</v>
      </c>
      <c r="L91" s="146">
        <f>IFERROR(INDEX(Työkonekanta!$I$3:$I$27,MATCH('S1 Sähkö'!$A91,Työkonekanta!$A$3:$A$24,0),1)*(I91+J91)*f_adblue,0)</f>
        <v>0</v>
      </c>
      <c r="M91" s="146">
        <f t="shared" si="35"/>
        <v>0</v>
      </c>
      <c r="N91" s="143" t="str">
        <f>IF(tuulisähkö_vuosi&lt;='S1 Sähkö'!C91,"tuulisähkö",ostosähkö_nyt)</f>
        <v>jäännössähkö</v>
      </c>
      <c r="O91" s="147">
        <f>INDEX(Muuttujat!$J$5:$J$21,MATCH($C91,Muuttujat!$H$5:$H$21,0),1)</f>
        <v>67.8692025</v>
      </c>
      <c r="P91" s="342">
        <f>1-(INDEX(Muuttujat!$O$5:$O$21,MATCH($C91,Muuttujat!$N$5:$N$21,0),1))</f>
        <v>0.97</v>
      </c>
      <c r="Q91" s="342">
        <f>INDEX(Muuttujat!$O$5:$O$21,MATCH($C91,Muuttujat!$N$5:$N$21,0),1)</f>
        <v>0.03</v>
      </c>
      <c r="R91" s="148">
        <f>INDEX(Muuttujat!$P$5:$P$21,MATCH($C91,Muuttujat!$N$5:$N$21,0),1)</f>
        <v>3.1355537414087732E-2</v>
      </c>
      <c r="S91" s="149">
        <f t="shared" si="25"/>
        <v>0</v>
      </c>
      <c r="T91" s="150">
        <f t="shared" si="26"/>
        <v>0</v>
      </c>
      <c r="U91" s="150">
        <f t="shared" si="27"/>
        <v>0</v>
      </c>
      <c r="V91" s="150">
        <f>IFERROR(INDEX(Työkonekanta!$J$3:$J$27,MATCH($A91,Työkonekanta!$A$3:$A$24,0),1)*$B91*ef_li_ion_akku/1000/1000/INDEX(Työkonekanta!$K$3:$K$27,MATCH($A91,Työkonekanta!$A$3:$A$24,0)),0)</f>
        <v>0</v>
      </c>
      <c r="W91" s="149">
        <f t="shared" si="36"/>
        <v>0</v>
      </c>
      <c r="X91" s="150">
        <f t="shared" si="37"/>
        <v>0</v>
      </c>
      <c r="Y91" s="151">
        <f t="shared" si="38"/>
        <v>0</v>
      </c>
      <c r="Z91" s="152">
        <f t="shared" si="31"/>
        <v>0</v>
      </c>
      <c r="AA91" s="153">
        <f t="shared" si="32"/>
        <v>0</v>
      </c>
      <c r="AB91" s="153">
        <f t="shared" si="33"/>
        <v>0</v>
      </c>
      <c r="AC91" s="154">
        <f t="shared" si="39"/>
        <v>0</v>
      </c>
      <c r="AD91" s="156">
        <f t="shared" si="34"/>
        <v>0</v>
      </c>
      <c r="AE91" s="182"/>
      <c r="AJ91" s="28"/>
      <c r="AK91" s="29"/>
    </row>
    <row r="92" spans="1:37">
      <c r="A92" s="139">
        <v>30</v>
      </c>
      <c r="B92" s="139" cm="1">
        <f t="array" ref="B92">IFERROR(IF(A92=s1_id_korvattava1,INDEX($AG$3:$AG$19,MATCH(C92,$AF$3:$AF$19,0),1),IF(A92=s1_id_korvaava1,INDEX($AH$3:$AH$19,MATCH(C92,$AF$3:$AF$19,0),1),IF(A92=s1_id_korvattava2,INDEX($AI$3:$AI$19,MATCH(C92,$AF$3:$AF$19,0),1),IF(A92=s1_id_korvaava2,INDEX($AJ$3:$AJ$19,MATCH(C92,$AF$3:$AF$19,0),1),INDEX(Työkonekanta!$F$3:$F$27,MATCH('S1 Sähkö'!$A92,Työkonekanta!$A$3:$A$24,0),1))))),0)</f>
        <v>0</v>
      </c>
      <c r="C92" s="140">
        <v>2021</v>
      </c>
      <c r="D92" s="141" t="str">
        <f>IFERROR(INDEX(Työkonekanta!$D$3:$D$27,MATCH('S1 Sähkö'!$A92,Työkonekanta!$A$3:$A$24,0),1),"undefined")</f>
        <v>undefined</v>
      </c>
      <c r="E92" s="145">
        <f>IFERROR(INDEX(Työkonekanta!$G$3:$G$27,MATCH($A92,Työkonekanta!$A$3:$A$24,0),1)*INDEX(Työkonekanta!$H$3:$H$27,MATCH($A92,Työkonekanta!$A$3:$A$24,0),1)*(1+s1_kerroin*($C92-2019))*$B92,0)</f>
        <v>0</v>
      </c>
      <c r="F92" s="145">
        <f t="shared" si="22"/>
        <v>0</v>
      </c>
      <c r="G92" s="145">
        <f t="shared" si="28"/>
        <v>0</v>
      </c>
      <c r="H92" s="145">
        <f t="shared" si="29"/>
        <v>0</v>
      </c>
      <c r="I92" s="145">
        <f t="shared" si="23"/>
        <v>0</v>
      </c>
      <c r="J92" s="145">
        <f t="shared" si="24"/>
        <v>0</v>
      </c>
      <c r="K92" s="142" t="str">
        <f t="shared" si="30"/>
        <v>undefined</v>
      </c>
      <c r="L92" s="146">
        <f>IFERROR(INDEX(Työkonekanta!$I$3:$I$27,MATCH('S1 Sähkö'!$A92,Työkonekanta!$A$3:$A$24,0),1)*(I92+J92)*f_adblue,0)</f>
        <v>0</v>
      </c>
      <c r="M92" s="146">
        <f t="shared" si="35"/>
        <v>0</v>
      </c>
      <c r="N92" s="143" t="str">
        <f>IF(tuulisähkö_vuosi&lt;='S1 Sähkö'!C92,"tuulisähkö",ostosähkö_nyt)</f>
        <v>jäännössähkö</v>
      </c>
      <c r="O92" s="147">
        <f>INDEX(Muuttujat!$J$5:$J$21,MATCH($C92,Muuttujat!$H$5:$H$21,0),1)</f>
        <v>67.8692025</v>
      </c>
      <c r="P92" s="342">
        <f>1-(INDEX(Muuttujat!$O$5:$O$21,MATCH($C92,Muuttujat!$N$5:$N$21,0),1))</f>
        <v>0.97</v>
      </c>
      <c r="Q92" s="342">
        <f>INDEX(Muuttujat!$O$5:$O$21,MATCH($C92,Muuttujat!$N$5:$N$21,0),1)</f>
        <v>0.03</v>
      </c>
      <c r="R92" s="148">
        <f>INDEX(Muuttujat!$P$5:$P$21,MATCH($C92,Muuttujat!$N$5:$N$21,0),1)</f>
        <v>3.1355537414087732E-2</v>
      </c>
      <c r="S92" s="149">
        <f t="shared" si="25"/>
        <v>0</v>
      </c>
      <c r="T92" s="150">
        <f t="shared" si="26"/>
        <v>0</v>
      </c>
      <c r="U92" s="150">
        <f t="shared" si="27"/>
        <v>0</v>
      </c>
      <c r="V92" s="150">
        <f>IFERROR(INDEX(Työkonekanta!$J$3:$J$27,MATCH($A92,Työkonekanta!$A$3:$A$24,0),1)*$B92*ef_li_ion_akku/1000/1000/INDEX(Työkonekanta!$K$3:$K$27,MATCH($A92,Työkonekanta!$A$3:$A$24,0)),0)</f>
        <v>0</v>
      </c>
      <c r="W92" s="149">
        <f t="shared" si="36"/>
        <v>0</v>
      </c>
      <c r="X92" s="150">
        <f t="shared" si="37"/>
        <v>0</v>
      </c>
      <c r="Y92" s="151">
        <f t="shared" si="38"/>
        <v>0</v>
      </c>
      <c r="Z92" s="152">
        <f t="shared" si="31"/>
        <v>0</v>
      </c>
      <c r="AA92" s="153">
        <f t="shared" si="32"/>
        <v>0</v>
      </c>
      <c r="AB92" s="153">
        <f t="shared" si="33"/>
        <v>0</v>
      </c>
      <c r="AC92" s="154">
        <f t="shared" si="39"/>
        <v>0</v>
      </c>
      <c r="AD92" s="156">
        <f t="shared" si="34"/>
        <v>0</v>
      </c>
      <c r="AE92" s="182"/>
      <c r="AJ92" s="28"/>
      <c r="AK92" s="29"/>
    </row>
    <row r="93" spans="1:37">
      <c r="A93" s="139">
        <v>1</v>
      </c>
      <c r="B93" s="139" cm="1">
        <f t="array" ref="B93">IFERROR(IF(A93=s1_id_korvattava1,INDEX($AG$3:$AG$19,MATCH(C93,$AF$3:$AF$19,0),1),IF(A93=s1_id_korvaava1,INDEX($AH$3:$AH$19,MATCH(C93,$AF$3:$AF$19,0),1),IF(A93=s1_id_korvattava2,INDEX($AI$3:$AI$19,MATCH(C93,$AF$3:$AF$19,0),1),IF(A93=s1_id_korvaava2,INDEX($AJ$3:$AJ$19,MATCH(C93,$AF$3:$AF$19,0),1),INDEX(Työkonekanta!$F$3:$F$27,MATCH('S1 Sähkö'!$A93,Työkonekanta!$A$3:$A$24,0),1))))),0)</f>
        <v>1</v>
      </c>
      <c r="C93" s="140">
        <v>2022</v>
      </c>
      <c r="D93" s="141" t="str">
        <f>IFERROR(INDEX(Työkonekanta!$D$3:$D$27,MATCH('S1 Sähkö'!$A93,Työkonekanta!$A$3:$A$24,0),1),"undefined")</f>
        <v>pom</v>
      </c>
      <c r="E93" s="145">
        <f>IFERROR(INDEX(Työkonekanta!$G$3:$G$27,MATCH($A93,Työkonekanta!$A$3:$A$24,0),1)*INDEX(Työkonekanta!$H$3:$H$27,MATCH($A93,Työkonekanta!$A$3:$A$24,0),1)*(1+s1_kerroin*($C93-2019))*$B93,0)</f>
        <v>10300</v>
      </c>
      <c r="F93" s="145">
        <f t="shared" si="22"/>
        <v>369770</v>
      </c>
      <c r="G93" s="145">
        <f t="shared" si="28"/>
        <v>354979.2</v>
      </c>
      <c r="H93" s="145">
        <f t="shared" si="29"/>
        <v>14790.800000000001</v>
      </c>
      <c r="I93" s="145">
        <f t="shared" si="23"/>
        <v>9888</v>
      </c>
      <c r="J93" s="145">
        <f t="shared" si="24"/>
        <v>431.21865889212836</v>
      </c>
      <c r="K93" s="142" t="str">
        <f t="shared" si="30"/>
        <v>l</v>
      </c>
      <c r="L93" s="146">
        <f>IFERROR(INDEX(Työkonekanta!$I$3:$I$27,MATCH('S1 Sähkö'!$A93,Työkonekanta!$A$3:$A$24,0),1)*(I93+J93)*f_adblue,0)</f>
        <v>515.9609329446065</v>
      </c>
      <c r="M93" s="146">
        <f t="shared" si="35"/>
        <v>0</v>
      </c>
      <c r="N93" s="143" t="str">
        <f>IF(tuulisähkö_vuosi&lt;='S1 Sähkö'!C93,"tuulisähkö",ostosähkö_nyt)</f>
        <v>jäännössähkö</v>
      </c>
      <c r="O93" s="147">
        <f>INDEX(Muuttujat!$J$5:$J$21,MATCH($C93,Muuttujat!$H$5:$H$21,0),1)</f>
        <v>67.190510474999996</v>
      </c>
      <c r="P93" s="342">
        <f>1-(INDEX(Muuttujat!$O$5:$O$21,MATCH($C93,Muuttujat!$N$5:$N$21,0),1))</f>
        <v>0.96</v>
      </c>
      <c r="Q93" s="342">
        <f>INDEX(Muuttujat!$O$5:$O$21,MATCH($C93,Muuttujat!$N$5:$N$21,0),1)</f>
        <v>0.04</v>
      </c>
      <c r="R93" s="148">
        <f>INDEX(Muuttujat!$P$5:$P$21,MATCH($C93,Muuttujat!$N$5:$N$21,0),1)</f>
        <v>4.1787917527764125E-2</v>
      </c>
      <c r="S93" s="149">
        <f t="shared" si="25"/>
        <v>6.7091068800000002</v>
      </c>
      <c r="T93" s="150">
        <f t="shared" si="26"/>
        <v>0.92294591999999998</v>
      </c>
      <c r="U93" s="150">
        <f t="shared" si="27"/>
        <v>0</v>
      </c>
      <c r="V93" s="150">
        <f>IFERROR(INDEX(Työkonekanta!$J$3:$J$27,MATCH($A93,Työkonekanta!$A$3:$A$24,0),1)*$B93*ef_li_ion_akku/1000/1000/INDEX(Työkonekanta!$K$3:$K$27,MATCH($A93,Työkonekanta!$A$3:$A$24,0)),0)</f>
        <v>0</v>
      </c>
      <c r="W93" s="149">
        <f t="shared" si="36"/>
        <v>26.200395057196797</v>
      </c>
      <c r="X93" s="150">
        <f t="shared" si="37"/>
        <v>0.32727802980000004</v>
      </c>
      <c r="Y93" s="151">
        <f t="shared" si="38"/>
        <v>0.13414984256559767</v>
      </c>
      <c r="Z93" s="152">
        <f t="shared" si="31"/>
        <v>7.6320528000000003</v>
      </c>
      <c r="AA93" s="153">
        <f t="shared" si="32"/>
        <v>26.334544899762395</v>
      </c>
      <c r="AB93" s="153">
        <f t="shared" si="33"/>
        <v>26.661822929562394</v>
      </c>
      <c r="AC93" s="154">
        <f t="shared" si="39"/>
        <v>33.966597699762396</v>
      </c>
      <c r="AD93" s="156">
        <f t="shared" si="34"/>
        <v>34.293875729562394</v>
      </c>
      <c r="AE93" s="182"/>
      <c r="AG93" s="2"/>
    </row>
    <row r="94" spans="1:37">
      <c r="A94" s="139">
        <v>2</v>
      </c>
      <c r="B94" s="139" cm="1">
        <f t="array" ref="B94">IFERROR(IF(A94=s1_id_korvattava1,INDEX($AG$3:$AG$19,MATCH(C94,$AF$3:$AF$19,0),1),IF(A94=s1_id_korvaava1,INDEX($AH$3:$AH$19,MATCH(C94,$AF$3:$AF$19,0),1),IF(A94=s1_id_korvattava2,INDEX($AI$3:$AI$19,MATCH(C94,$AF$3:$AF$19,0),1),IF(A94=s1_id_korvaava2,INDEX($AJ$3:$AJ$19,MATCH(C94,$AF$3:$AF$19,0),1),INDEX(Työkonekanta!$F$3:$F$27,MATCH('S1 Sähkö'!$A94,Työkonekanta!$A$3:$A$24,0),1))))),0)</f>
        <v>1</v>
      </c>
      <c r="C94" s="140">
        <v>2022</v>
      </c>
      <c r="D94" s="141" t="str">
        <f>IFERROR(INDEX(Työkonekanta!$D$3:$D$27,MATCH('S1 Sähkö'!$A94,Työkonekanta!$A$3:$A$24,0),1),"undefined")</f>
        <v>pom</v>
      </c>
      <c r="E94" s="145">
        <f>IFERROR(INDEX(Työkonekanta!$G$3:$G$27,MATCH($A94,Työkonekanta!$A$3:$A$24,0),1)*INDEX(Työkonekanta!$H$3:$H$27,MATCH($A94,Työkonekanta!$A$3:$A$24,0),1)*(1+s1_kerroin*($C94-2019))*$B94,0)</f>
        <v>10300</v>
      </c>
      <c r="F94" s="145">
        <f t="shared" si="22"/>
        <v>369770</v>
      </c>
      <c r="G94" s="145">
        <f t="shared" si="28"/>
        <v>354979.2</v>
      </c>
      <c r="H94" s="145">
        <f t="shared" si="29"/>
        <v>14790.800000000001</v>
      </c>
      <c r="I94" s="145">
        <f t="shared" si="23"/>
        <v>9888</v>
      </c>
      <c r="J94" s="145">
        <f t="shared" si="24"/>
        <v>431.21865889212836</v>
      </c>
      <c r="K94" s="142" t="str">
        <f t="shared" si="30"/>
        <v>l</v>
      </c>
      <c r="L94" s="146">
        <f>IFERROR(INDEX(Työkonekanta!$I$3:$I$27,MATCH('S1 Sähkö'!$A94,Työkonekanta!$A$3:$A$24,0),1)*(I94+J94)*f_adblue,0)</f>
        <v>515.9609329446065</v>
      </c>
      <c r="M94" s="146">
        <f t="shared" si="35"/>
        <v>0</v>
      </c>
      <c r="N94" s="143" t="str">
        <f>IF(tuulisähkö_vuosi&lt;='S1 Sähkö'!C94,"tuulisähkö",ostosähkö_nyt)</f>
        <v>jäännössähkö</v>
      </c>
      <c r="O94" s="147">
        <f>INDEX(Muuttujat!$J$5:$J$21,MATCH($C94,Muuttujat!$H$5:$H$21,0),1)</f>
        <v>67.190510474999996</v>
      </c>
      <c r="P94" s="342">
        <f>1-(INDEX(Muuttujat!$O$5:$O$21,MATCH($C94,Muuttujat!$N$5:$N$21,0),1))</f>
        <v>0.96</v>
      </c>
      <c r="Q94" s="342">
        <f>INDEX(Muuttujat!$O$5:$O$21,MATCH($C94,Muuttujat!$N$5:$N$21,0),1)</f>
        <v>0.04</v>
      </c>
      <c r="R94" s="148">
        <f>INDEX(Muuttujat!$P$5:$P$21,MATCH($C94,Muuttujat!$N$5:$N$21,0),1)</f>
        <v>4.1787917527764125E-2</v>
      </c>
      <c r="S94" s="149">
        <f t="shared" si="25"/>
        <v>6.7091068800000002</v>
      </c>
      <c r="T94" s="150">
        <f t="shared" si="26"/>
        <v>0.92294591999999998</v>
      </c>
      <c r="U94" s="150">
        <f t="shared" si="27"/>
        <v>0</v>
      </c>
      <c r="V94" s="150">
        <f>IFERROR(INDEX(Työkonekanta!$J$3:$J$27,MATCH($A94,Työkonekanta!$A$3:$A$24,0),1)*$B94*ef_li_ion_akku/1000/1000/INDEX(Työkonekanta!$K$3:$K$27,MATCH($A94,Työkonekanta!$A$3:$A$24,0)),0)</f>
        <v>0</v>
      </c>
      <c r="W94" s="149">
        <f t="shared" si="36"/>
        <v>26.200395057196797</v>
      </c>
      <c r="X94" s="150">
        <f t="shared" si="37"/>
        <v>0.32727802980000004</v>
      </c>
      <c r="Y94" s="151">
        <f t="shared" si="38"/>
        <v>0.13414984256559767</v>
      </c>
      <c r="Z94" s="152">
        <f t="shared" si="31"/>
        <v>7.6320528000000003</v>
      </c>
      <c r="AA94" s="153">
        <f t="shared" si="32"/>
        <v>26.334544899762395</v>
      </c>
      <c r="AB94" s="153">
        <f t="shared" si="33"/>
        <v>26.661822929562394</v>
      </c>
      <c r="AC94" s="154">
        <f t="shared" si="39"/>
        <v>33.966597699762396</v>
      </c>
      <c r="AD94" s="156">
        <f t="shared" si="34"/>
        <v>34.293875729562394</v>
      </c>
      <c r="AE94" s="182"/>
      <c r="AG94" s="2"/>
    </row>
    <row r="95" spans="1:37">
      <c r="A95" s="139">
        <v>3</v>
      </c>
      <c r="B95" s="139" cm="1">
        <f t="array" ref="B95">IFERROR(IF(A95=s1_id_korvattava1,INDEX($AG$3:$AG$19,MATCH(C95,$AF$3:$AF$19,0),1),IF(A95=s1_id_korvaava1,INDEX($AH$3:$AH$19,MATCH(C95,$AF$3:$AF$19,0),1),IF(A95=s1_id_korvattava2,INDEX($AI$3:$AI$19,MATCH(C95,$AF$3:$AF$19,0),1),IF(A95=s1_id_korvaava2,INDEX($AJ$3:$AJ$19,MATCH(C95,$AF$3:$AF$19,0),1),INDEX(Työkonekanta!$F$3:$F$27,MATCH('S1 Sähkö'!$A95,Työkonekanta!$A$3:$A$24,0),1))))),0)</f>
        <v>1</v>
      </c>
      <c r="C95" s="140">
        <v>2022</v>
      </c>
      <c r="D95" s="141" t="str">
        <f>IFERROR(INDEX(Työkonekanta!$D$3:$D$27,MATCH('S1 Sähkö'!$A95,Työkonekanta!$A$3:$A$24,0),1),"undefined")</f>
        <v>pom</v>
      </c>
      <c r="E95" s="145">
        <f>IFERROR(INDEX(Työkonekanta!$G$3:$G$27,MATCH($A95,Työkonekanta!$A$3:$A$24,0),1)*INDEX(Työkonekanta!$H$3:$H$27,MATCH($A95,Työkonekanta!$A$3:$A$24,0),1)*(1+s1_kerroin*($C95-2019))*$B95,0)</f>
        <v>10300</v>
      </c>
      <c r="F95" s="145">
        <f t="shared" si="22"/>
        <v>369770</v>
      </c>
      <c r="G95" s="145">
        <f t="shared" si="28"/>
        <v>354979.2</v>
      </c>
      <c r="H95" s="145">
        <f t="shared" si="29"/>
        <v>14790.800000000001</v>
      </c>
      <c r="I95" s="145">
        <f t="shared" si="23"/>
        <v>9888</v>
      </c>
      <c r="J95" s="145">
        <f t="shared" si="24"/>
        <v>431.21865889212836</v>
      </c>
      <c r="K95" s="142" t="str">
        <f t="shared" si="30"/>
        <v>l</v>
      </c>
      <c r="L95" s="146">
        <f>IFERROR(INDEX(Työkonekanta!$I$3:$I$27,MATCH('S1 Sähkö'!$A95,Työkonekanta!$A$3:$A$24,0),1)*(I95+J95)*f_adblue,0)</f>
        <v>515.9609329446065</v>
      </c>
      <c r="M95" s="146">
        <f t="shared" si="35"/>
        <v>0</v>
      </c>
      <c r="N95" s="143" t="str">
        <f>IF(tuulisähkö_vuosi&lt;='S1 Sähkö'!C95,"tuulisähkö",ostosähkö_nyt)</f>
        <v>jäännössähkö</v>
      </c>
      <c r="O95" s="147">
        <f>INDEX(Muuttujat!$J$5:$J$21,MATCH($C95,Muuttujat!$H$5:$H$21,0),1)</f>
        <v>67.190510474999996</v>
      </c>
      <c r="P95" s="342">
        <f>1-(INDEX(Muuttujat!$O$5:$O$21,MATCH($C95,Muuttujat!$N$5:$N$21,0),1))</f>
        <v>0.96</v>
      </c>
      <c r="Q95" s="342">
        <f>INDEX(Muuttujat!$O$5:$O$21,MATCH($C95,Muuttujat!$N$5:$N$21,0),1)</f>
        <v>0.04</v>
      </c>
      <c r="R95" s="148">
        <f>INDEX(Muuttujat!$P$5:$P$21,MATCH($C95,Muuttujat!$N$5:$N$21,0),1)</f>
        <v>4.1787917527764125E-2</v>
      </c>
      <c r="S95" s="149">
        <f t="shared" si="25"/>
        <v>6.7091068800000002</v>
      </c>
      <c r="T95" s="150">
        <f t="shared" si="26"/>
        <v>0.92294591999999998</v>
      </c>
      <c r="U95" s="150">
        <f t="shared" si="27"/>
        <v>0</v>
      </c>
      <c r="V95" s="150">
        <f>IFERROR(INDEX(Työkonekanta!$J$3:$J$27,MATCH($A95,Työkonekanta!$A$3:$A$24,0),1)*$B95*ef_li_ion_akku/1000/1000/INDEX(Työkonekanta!$K$3:$K$27,MATCH($A95,Työkonekanta!$A$3:$A$24,0)),0)</f>
        <v>0</v>
      </c>
      <c r="W95" s="149">
        <f t="shared" si="36"/>
        <v>26.200395057196797</v>
      </c>
      <c r="X95" s="150">
        <f t="shared" si="37"/>
        <v>0.32727802980000004</v>
      </c>
      <c r="Y95" s="151">
        <f t="shared" si="38"/>
        <v>0.13414984256559767</v>
      </c>
      <c r="Z95" s="152">
        <f t="shared" si="31"/>
        <v>7.6320528000000003</v>
      </c>
      <c r="AA95" s="153">
        <f t="shared" si="32"/>
        <v>26.334544899762395</v>
      </c>
      <c r="AB95" s="153">
        <f t="shared" si="33"/>
        <v>26.661822929562394</v>
      </c>
      <c r="AC95" s="154">
        <f t="shared" si="39"/>
        <v>33.966597699762396</v>
      </c>
      <c r="AD95" s="156">
        <f t="shared" si="34"/>
        <v>34.293875729562394</v>
      </c>
      <c r="AE95" s="182"/>
      <c r="AG95" s="2"/>
    </row>
    <row r="96" spans="1:37">
      <c r="A96" s="139">
        <v>4</v>
      </c>
      <c r="B96" s="139" cm="1">
        <f t="array" ref="B96">IFERROR(IF(A96=s1_id_korvattava1,INDEX($AG$3:$AG$19,MATCH(C96,$AF$3:$AF$19,0),1),IF(A96=s1_id_korvaava1,INDEX($AH$3:$AH$19,MATCH(C96,$AF$3:$AF$19,0),1),IF(A96=s1_id_korvattava2,INDEX($AI$3:$AI$19,MATCH(C96,$AF$3:$AF$19,0),1),IF(A96=s1_id_korvaava2,INDEX($AJ$3:$AJ$19,MATCH(C96,$AF$3:$AF$19,0),1),INDEX(Työkonekanta!$F$3:$F$27,MATCH('S1 Sähkö'!$A96,Työkonekanta!$A$3:$A$24,0),1))))),0)</f>
        <v>1</v>
      </c>
      <c r="C96" s="140">
        <v>2022</v>
      </c>
      <c r="D96" s="141" t="str">
        <f>IFERROR(INDEX(Työkonekanta!$D$3:$D$27,MATCH('S1 Sähkö'!$A96,Työkonekanta!$A$3:$A$24,0),1),"undefined")</f>
        <v>pom</v>
      </c>
      <c r="E96" s="145">
        <f>IFERROR(INDEX(Työkonekanta!$G$3:$G$27,MATCH($A96,Työkonekanta!$A$3:$A$24,0),1)*INDEX(Työkonekanta!$H$3:$H$27,MATCH($A96,Työkonekanta!$A$3:$A$24,0),1)*(1+s1_kerroin*($C96-2019))*$B96,0)</f>
        <v>10300</v>
      </c>
      <c r="F96" s="145">
        <f t="shared" si="22"/>
        <v>369770</v>
      </c>
      <c r="G96" s="145">
        <f t="shared" si="28"/>
        <v>354979.2</v>
      </c>
      <c r="H96" s="145">
        <f t="shared" si="29"/>
        <v>14790.800000000001</v>
      </c>
      <c r="I96" s="145">
        <f t="shared" si="23"/>
        <v>9888</v>
      </c>
      <c r="J96" s="145">
        <f t="shared" si="24"/>
        <v>431.21865889212836</v>
      </c>
      <c r="K96" s="142" t="str">
        <f t="shared" si="30"/>
        <v>l</v>
      </c>
      <c r="L96" s="146">
        <f>IFERROR(INDEX(Työkonekanta!$I$3:$I$27,MATCH('S1 Sähkö'!$A96,Työkonekanta!$A$3:$A$24,0),1)*(I96+J96)*f_adblue,0)</f>
        <v>515.9609329446065</v>
      </c>
      <c r="M96" s="146">
        <f t="shared" si="35"/>
        <v>0</v>
      </c>
      <c r="N96" s="143" t="str">
        <f>IF(tuulisähkö_vuosi&lt;='S1 Sähkö'!C96,"tuulisähkö",ostosähkö_nyt)</f>
        <v>jäännössähkö</v>
      </c>
      <c r="O96" s="147">
        <f>INDEX(Muuttujat!$J$5:$J$21,MATCH($C96,Muuttujat!$H$5:$H$21,0),1)</f>
        <v>67.190510474999996</v>
      </c>
      <c r="P96" s="342">
        <f>1-(INDEX(Muuttujat!$O$5:$O$21,MATCH($C96,Muuttujat!$N$5:$N$21,0),1))</f>
        <v>0.96</v>
      </c>
      <c r="Q96" s="342">
        <f>INDEX(Muuttujat!$O$5:$O$21,MATCH($C96,Muuttujat!$N$5:$N$21,0),1)</f>
        <v>0.04</v>
      </c>
      <c r="R96" s="148">
        <f>INDEX(Muuttujat!$P$5:$P$21,MATCH($C96,Muuttujat!$N$5:$N$21,0),1)</f>
        <v>4.1787917527764125E-2</v>
      </c>
      <c r="S96" s="149">
        <f t="shared" si="25"/>
        <v>6.7091068800000002</v>
      </c>
      <c r="T96" s="150">
        <f t="shared" si="26"/>
        <v>0.92294591999999998</v>
      </c>
      <c r="U96" s="150">
        <f t="shared" si="27"/>
        <v>0</v>
      </c>
      <c r="V96" s="150">
        <f>IFERROR(INDEX(Työkonekanta!$J$3:$J$27,MATCH($A96,Työkonekanta!$A$3:$A$24,0),1)*$B96*ef_li_ion_akku/1000/1000/INDEX(Työkonekanta!$K$3:$K$27,MATCH($A96,Työkonekanta!$A$3:$A$24,0)),0)</f>
        <v>0</v>
      </c>
      <c r="W96" s="149">
        <f t="shared" si="36"/>
        <v>26.200395057196797</v>
      </c>
      <c r="X96" s="150">
        <f t="shared" si="37"/>
        <v>0.32727802980000004</v>
      </c>
      <c r="Y96" s="151">
        <f t="shared" si="38"/>
        <v>0.13414984256559767</v>
      </c>
      <c r="Z96" s="152">
        <f t="shared" si="31"/>
        <v>7.6320528000000003</v>
      </c>
      <c r="AA96" s="153">
        <f t="shared" si="32"/>
        <v>26.334544899762395</v>
      </c>
      <c r="AB96" s="153">
        <f t="shared" si="33"/>
        <v>26.661822929562394</v>
      </c>
      <c r="AC96" s="154">
        <f t="shared" si="39"/>
        <v>33.966597699762396</v>
      </c>
      <c r="AD96" s="156">
        <f t="shared" si="34"/>
        <v>34.293875729562394</v>
      </c>
      <c r="AE96" s="182"/>
      <c r="AG96" s="2"/>
    </row>
    <row r="97" spans="1:33">
      <c r="A97" s="139">
        <v>5</v>
      </c>
      <c r="B97" s="139" cm="1">
        <f t="array" ref="B97">IFERROR(IF(A97=s1_id_korvattava1,INDEX($AG$3:$AG$19,MATCH(C97,$AF$3:$AF$19,0),1),IF(A97=s1_id_korvaava1,INDEX($AH$3:$AH$19,MATCH(C97,$AF$3:$AF$19,0),1),IF(A97=s1_id_korvattava2,INDEX($AI$3:$AI$19,MATCH(C97,$AF$3:$AF$19,0),1),IF(A97=s1_id_korvaava2,INDEX($AJ$3:$AJ$19,MATCH(C97,$AF$3:$AF$19,0),1),INDEX(Työkonekanta!$F$3:$F$27,MATCH('S1 Sähkö'!$A97,Työkonekanta!$A$3:$A$24,0),1))))),0)</f>
        <v>0</v>
      </c>
      <c r="C97" s="140">
        <v>2022</v>
      </c>
      <c r="D97" s="141" t="str">
        <f>IFERROR(INDEX(Työkonekanta!$D$3:$D$27,MATCH('S1 Sähkö'!$A97,Työkonekanta!$A$3:$A$24,0),1),"undefined")</f>
        <v>sähkö</v>
      </c>
      <c r="E97" s="145">
        <f>IFERROR(INDEX(Työkonekanta!$G$3:$G$27,MATCH($A97,Työkonekanta!$A$3:$A$24,0),1)*INDEX(Työkonekanta!$H$3:$H$27,MATCH($A97,Työkonekanta!$A$3:$A$24,0),1)*(1+s1_kerroin*($C97-2019))*$B97,0)</f>
        <v>0</v>
      </c>
      <c r="F97" s="145">
        <f t="shared" si="22"/>
        <v>0</v>
      </c>
      <c r="G97" s="145">
        <f t="shared" si="28"/>
        <v>0</v>
      </c>
      <c r="H97" s="145">
        <f t="shared" si="29"/>
        <v>0</v>
      </c>
      <c r="I97" s="145">
        <f t="shared" si="23"/>
        <v>0</v>
      </c>
      <c r="J97" s="145">
        <f t="shared" si="24"/>
        <v>0</v>
      </c>
      <c r="K97" s="142" t="str">
        <f t="shared" si="30"/>
        <v>kWh</v>
      </c>
      <c r="L97" s="146">
        <f>IFERROR(INDEX(Työkonekanta!$I$3:$I$27,MATCH('S1 Sähkö'!$A97,Työkonekanta!$A$3:$A$24,0),1)*(I97+J97)*f_adblue,0)</f>
        <v>0</v>
      </c>
      <c r="M97" s="146">
        <f t="shared" si="35"/>
        <v>0</v>
      </c>
      <c r="N97" s="143" t="str">
        <f>IF(tuulisähkö_vuosi&lt;='S1 Sähkö'!C97,"tuulisähkö",ostosähkö_nyt)</f>
        <v>jäännössähkö</v>
      </c>
      <c r="O97" s="147">
        <f>INDEX(Muuttujat!$J$5:$J$21,MATCH($C97,Muuttujat!$H$5:$H$21,0),1)</f>
        <v>67.190510474999996</v>
      </c>
      <c r="P97" s="342">
        <f>1-(INDEX(Muuttujat!$O$5:$O$21,MATCH($C97,Muuttujat!$N$5:$N$21,0),1))</f>
        <v>0.96</v>
      </c>
      <c r="Q97" s="342">
        <f>INDEX(Muuttujat!$O$5:$O$21,MATCH($C97,Muuttujat!$N$5:$N$21,0),1)</f>
        <v>0.04</v>
      </c>
      <c r="R97" s="148">
        <f>INDEX(Muuttujat!$P$5:$P$21,MATCH($C97,Muuttujat!$N$5:$N$21,0),1)</f>
        <v>4.1787917527764125E-2</v>
      </c>
      <c r="S97" s="149">
        <f t="shared" si="25"/>
        <v>0</v>
      </c>
      <c r="T97" s="150">
        <f t="shared" si="26"/>
        <v>0</v>
      </c>
      <c r="U97" s="150">
        <f t="shared" si="27"/>
        <v>0</v>
      </c>
      <c r="V97" s="150">
        <f>IFERROR(INDEX(Työkonekanta!$J$3:$J$27,MATCH($A97,Työkonekanta!$A$3:$A$24,0),1)*$B97*ef_li_ion_akku/1000/1000/INDEX(Työkonekanta!$K$3:$K$27,MATCH($A97,Työkonekanta!$A$3:$A$24,0)),0)</f>
        <v>0</v>
      </c>
      <c r="W97" s="149">
        <f t="shared" si="36"/>
        <v>0</v>
      </c>
      <c r="X97" s="150">
        <f t="shared" si="37"/>
        <v>0</v>
      </c>
      <c r="Y97" s="151">
        <f t="shared" si="38"/>
        <v>0</v>
      </c>
      <c r="Z97" s="152">
        <f t="shared" si="31"/>
        <v>0</v>
      </c>
      <c r="AA97" s="153">
        <f t="shared" si="32"/>
        <v>0</v>
      </c>
      <c r="AB97" s="153">
        <f t="shared" si="33"/>
        <v>0</v>
      </c>
      <c r="AC97" s="154">
        <f t="shared" si="39"/>
        <v>0</v>
      </c>
      <c r="AD97" s="156">
        <f t="shared" si="34"/>
        <v>0</v>
      </c>
      <c r="AE97" s="182"/>
      <c r="AG97" s="2"/>
    </row>
    <row r="98" spans="1:33">
      <c r="A98" s="139">
        <v>6</v>
      </c>
      <c r="B98" s="139" cm="1">
        <f t="array" ref="B98">IFERROR(IF(A98=s1_id_korvattava1,INDEX($AG$3:$AG$19,MATCH(C98,$AF$3:$AF$19,0),1),IF(A98=s1_id_korvaava1,INDEX($AH$3:$AH$19,MATCH(C98,$AF$3:$AF$19,0),1),IF(A98=s1_id_korvattava2,INDEX($AI$3:$AI$19,MATCH(C98,$AF$3:$AF$19,0),1),IF(A98=s1_id_korvaava2,INDEX($AJ$3:$AJ$19,MATCH(C98,$AF$3:$AF$19,0),1),INDEX(Työkonekanta!$F$3:$F$27,MATCH('S1 Sähkö'!$A98,Työkonekanta!$A$3:$A$24,0),1))))),0)</f>
        <v>0</v>
      </c>
      <c r="C98" s="140">
        <v>2022</v>
      </c>
      <c r="D98" s="141" t="str">
        <f>IFERROR(INDEX(Työkonekanta!$D$3:$D$27,MATCH('S1 Sähkö'!$A98,Työkonekanta!$A$3:$A$24,0),1),"undefined")</f>
        <v>sähkö</v>
      </c>
      <c r="E98" s="145">
        <f>IFERROR(INDEX(Työkonekanta!$G$3:$G$27,MATCH($A98,Työkonekanta!$A$3:$A$24,0),1)*INDEX(Työkonekanta!$H$3:$H$27,MATCH($A98,Työkonekanta!$A$3:$A$24,0),1)*(1+s1_kerroin*($C98-2019))*$B98,0)</f>
        <v>0</v>
      </c>
      <c r="F98" s="145">
        <f t="shared" si="22"/>
        <v>0</v>
      </c>
      <c r="G98" s="145">
        <f t="shared" si="28"/>
        <v>0</v>
      </c>
      <c r="H98" s="145">
        <f t="shared" si="29"/>
        <v>0</v>
      </c>
      <c r="I98" s="145">
        <f t="shared" si="23"/>
        <v>0</v>
      </c>
      <c r="J98" s="145">
        <f t="shared" si="24"/>
        <v>0</v>
      </c>
      <c r="K98" s="142" t="str">
        <f t="shared" si="30"/>
        <v>kWh</v>
      </c>
      <c r="L98" s="146">
        <f>IFERROR(INDEX(Työkonekanta!$I$3:$I$27,MATCH('S1 Sähkö'!$A98,Työkonekanta!$A$3:$A$24,0),1)*(I98+J98)*f_adblue,0)</f>
        <v>0</v>
      </c>
      <c r="M98" s="146">
        <f t="shared" si="35"/>
        <v>0</v>
      </c>
      <c r="N98" s="143" t="str">
        <f>IF(tuulisähkö_vuosi&lt;='S1 Sähkö'!C98,"tuulisähkö",ostosähkö_nyt)</f>
        <v>jäännössähkö</v>
      </c>
      <c r="O98" s="147">
        <f>INDEX(Muuttujat!$J$5:$J$21,MATCH($C98,Muuttujat!$H$5:$H$21,0),1)</f>
        <v>67.190510474999996</v>
      </c>
      <c r="P98" s="342">
        <f>1-(INDEX(Muuttujat!$O$5:$O$21,MATCH($C98,Muuttujat!$N$5:$N$21,0),1))</f>
        <v>0.96</v>
      </c>
      <c r="Q98" s="342">
        <f>INDEX(Muuttujat!$O$5:$O$21,MATCH($C98,Muuttujat!$N$5:$N$21,0),1)</f>
        <v>0.04</v>
      </c>
      <c r="R98" s="148">
        <f>INDEX(Muuttujat!$P$5:$P$21,MATCH($C98,Muuttujat!$N$5:$N$21,0),1)</f>
        <v>4.1787917527764125E-2</v>
      </c>
      <c r="S98" s="149">
        <f t="shared" si="25"/>
        <v>0</v>
      </c>
      <c r="T98" s="150">
        <f t="shared" si="26"/>
        <v>0</v>
      </c>
      <c r="U98" s="150">
        <f t="shared" si="27"/>
        <v>0</v>
      </c>
      <c r="V98" s="150">
        <f>IFERROR(INDEX(Työkonekanta!$J$3:$J$27,MATCH($A98,Työkonekanta!$A$3:$A$24,0),1)*$B98*ef_li_ion_akku/1000/1000/INDEX(Työkonekanta!$K$3:$K$27,MATCH($A98,Työkonekanta!$A$3:$A$24,0)),0)</f>
        <v>0</v>
      </c>
      <c r="W98" s="149">
        <f t="shared" si="36"/>
        <v>0</v>
      </c>
      <c r="X98" s="150">
        <f t="shared" si="37"/>
        <v>0</v>
      </c>
      <c r="Y98" s="151">
        <f t="shared" si="38"/>
        <v>0</v>
      </c>
      <c r="Z98" s="152">
        <f t="shared" si="31"/>
        <v>0</v>
      </c>
      <c r="AA98" s="153">
        <f t="shared" si="32"/>
        <v>0</v>
      </c>
      <c r="AB98" s="153">
        <f t="shared" si="33"/>
        <v>0</v>
      </c>
      <c r="AC98" s="154">
        <f t="shared" si="39"/>
        <v>0</v>
      </c>
      <c r="AD98" s="156">
        <f t="shared" si="34"/>
        <v>0</v>
      </c>
      <c r="AE98" s="182"/>
      <c r="AG98" s="2"/>
    </row>
    <row r="99" spans="1:33">
      <c r="A99" s="139">
        <v>7</v>
      </c>
      <c r="B99" s="139" cm="1">
        <f t="array" ref="B99">IFERROR(IF(A99=s1_id_korvattava1,INDEX($AG$3:$AG$19,MATCH(C99,$AF$3:$AF$19,0),1),IF(A99=s1_id_korvaava1,INDEX($AH$3:$AH$19,MATCH(C99,$AF$3:$AF$19,0),1),IF(A99=s1_id_korvattava2,INDEX($AI$3:$AI$19,MATCH(C99,$AF$3:$AF$19,0),1),IF(A99=s1_id_korvaava2,INDEX($AJ$3:$AJ$19,MATCH(C99,$AF$3:$AF$19,0),1),INDEX(Työkonekanta!$F$3:$F$27,MATCH('S1 Sähkö'!$A99,Työkonekanta!$A$3:$A$24,0),1))))),0)</f>
        <v>1</v>
      </c>
      <c r="C99" s="140">
        <v>2022</v>
      </c>
      <c r="D99" s="141" t="str">
        <f>IFERROR(INDEX(Työkonekanta!$D$3:$D$27,MATCH('S1 Sähkö'!$A99,Työkonekanta!$A$3:$A$24,0),1),"undefined")</f>
        <v>pom</v>
      </c>
      <c r="E99" s="145">
        <f>IFERROR(INDEX(Työkonekanta!$G$3:$G$27,MATCH($A99,Työkonekanta!$A$3:$A$24,0),1)*INDEX(Työkonekanta!$H$3:$H$27,MATCH($A99,Työkonekanta!$A$3:$A$24,0),1)*(1+s1_kerroin*($C99-2019))*$B99,0)</f>
        <v>10300</v>
      </c>
      <c r="F99" s="145">
        <f t="shared" si="22"/>
        <v>369770</v>
      </c>
      <c r="G99" s="145">
        <f t="shared" si="28"/>
        <v>354979.2</v>
      </c>
      <c r="H99" s="145">
        <f t="shared" si="29"/>
        <v>14790.800000000001</v>
      </c>
      <c r="I99" s="145">
        <f t="shared" si="23"/>
        <v>9888</v>
      </c>
      <c r="J99" s="145">
        <f t="shared" si="24"/>
        <v>431.21865889212836</v>
      </c>
      <c r="K99" s="142" t="str">
        <f t="shared" si="30"/>
        <v>l</v>
      </c>
      <c r="L99" s="146">
        <f>IFERROR(INDEX(Työkonekanta!$I$3:$I$27,MATCH('S1 Sähkö'!$A99,Työkonekanta!$A$3:$A$24,0),1)*(I99+J99)*f_adblue,0)</f>
        <v>0</v>
      </c>
      <c r="M99" s="146">
        <f t="shared" si="35"/>
        <v>0</v>
      </c>
      <c r="N99" s="143" t="str">
        <f>IF(tuulisähkö_vuosi&lt;='S1 Sähkö'!C99,"tuulisähkö",ostosähkö_nyt)</f>
        <v>jäännössähkö</v>
      </c>
      <c r="O99" s="147">
        <f>INDEX(Muuttujat!$J$5:$J$21,MATCH($C99,Muuttujat!$H$5:$H$21,0),1)</f>
        <v>67.190510474999996</v>
      </c>
      <c r="P99" s="342">
        <f>1-(INDEX(Muuttujat!$O$5:$O$21,MATCH($C99,Muuttujat!$N$5:$N$21,0),1))</f>
        <v>0.96</v>
      </c>
      <c r="Q99" s="342">
        <f>INDEX(Muuttujat!$O$5:$O$21,MATCH($C99,Muuttujat!$N$5:$N$21,0),1)</f>
        <v>0.04</v>
      </c>
      <c r="R99" s="148">
        <f>INDEX(Muuttujat!$P$5:$P$21,MATCH($C99,Muuttujat!$N$5:$N$21,0),1)</f>
        <v>4.1787917527764125E-2</v>
      </c>
      <c r="S99" s="149">
        <f t="shared" si="25"/>
        <v>6.7091068800000002</v>
      </c>
      <c r="T99" s="150">
        <f t="shared" si="26"/>
        <v>0.92294591999999998</v>
      </c>
      <c r="U99" s="150">
        <f t="shared" si="27"/>
        <v>0</v>
      </c>
      <c r="V99" s="150">
        <f>IFERROR(INDEX(Työkonekanta!$J$3:$J$27,MATCH($A99,Työkonekanta!$A$3:$A$24,0),1)*$B99*ef_li_ion_akku/1000/1000/INDEX(Työkonekanta!$K$3:$K$27,MATCH($A99,Työkonekanta!$A$3:$A$24,0)),0)</f>
        <v>0</v>
      </c>
      <c r="W99" s="149">
        <f t="shared" si="36"/>
        <v>26.200395057196797</v>
      </c>
      <c r="X99" s="150">
        <f t="shared" si="37"/>
        <v>0.32727802980000004</v>
      </c>
      <c r="Y99" s="151">
        <f t="shared" si="38"/>
        <v>0</v>
      </c>
      <c r="Z99" s="152">
        <f t="shared" si="31"/>
        <v>7.6320528000000003</v>
      </c>
      <c r="AA99" s="153">
        <f t="shared" si="32"/>
        <v>26.200395057196797</v>
      </c>
      <c r="AB99" s="153">
        <f t="shared" si="33"/>
        <v>26.527673086996796</v>
      </c>
      <c r="AC99" s="154">
        <f t="shared" si="39"/>
        <v>33.832447857196797</v>
      </c>
      <c r="AD99" s="156">
        <f t="shared" si="34"/>
        <v>34.159725886996796</v>
      </c>
      <c r="AE99" s="182"/>
      <c r="AG99" s="2"/>
    </row>
    <row r="100" spans="1:33">
      <c r="A100" s="139">
        <v>8</v>
      </c>
      <c r="B100" s="139" cm="1">
        <f t="array" ref="B100">IFERROR(IF(A100=s1_id_korvattava1,INDEX($AG$3:$AG$19,MATCH(C100,$AF$3:$AF$19,0),1),IF(A100=s1_id_korvaava1,INDEX($AH$3:$AH$19,MATCH(C100,$AF$3:$AF$19,0),1),IF(A100=s1_id_korvattava2,INDEX($AI$3:$AI$19,MATCH(C100,$AF$3:$AF$19,0),1),IF(A100=s1_id_korvaava2,INDEX($AJ$3:$AJ$19,MATCH(C100,$AF$3:$AF$19,0),1),INDEX(Työkonekanta!$F$3:$F$27,MATCH('S1 Sähkö'!$A100,Työkonekanta!$A$3:$A$24,0),1))))),0)</f>
        <v>1</v>
      </c>
      <c r="C100" s="140">
        <v>2022</v>
      </c>
      <c r="D100" s="141" t="str">
        <f>IFERROR(INDEX(Työkonekanta!$D$3:$D$27,MATCH('S1 Sähkö'!$A100,Työkonekanta!$A$3:$A$24,0),1),"undefined")</f>
        <v>pom</v>
      </c>
      <c r="E100" s="145">
        <f>IFERROR(INDEX(Työkonekanta!$G$3:$G$27,MATCH($A100,Työkonekanta!$A$3:$A$24,0),1)*INDEX(Työkonekanta!$H$3:$H$27,MATCH($A100,Työkonekanta!$A$3:$A$24,0),1)*(1+s1_kerroin*($C100-2019))*$B100,0)</f>
        <v>10300</v>
      </c>
      <c r="F100" s="145">
        <f t="shared" si="22"/>
        <v>369770</v>
      </c>
      <c r="G100" s="145">
        <f t="shared" si="28"/>
        <v>354979.2</v>
      </c>
      <c r="H100" s="145">
        <f t="shared" si="29"/>
        <v>14790.800000000001</v>
      </c>
      <c r="I100" s="145">
        <f t="shared" si="23"/>
        <v>9888</v>
      </c>
      <c r="J100" s="145">
        <f t="shared" si="24"/>
        <v>431.21865889212836</v>
      </c>
      <c r="K100" s="142" t="str">
        <f t="shared" si="30"/>
        <v>l</v>
      </c>
      <c r="L100" s="146">
        <f>IFERROR(INDEX(Työkonekanta!$I$3:$I$27,MATCH('S1 Sähkö'!$A100,Työkonekanta!$A$3:$A$24,0),1)*(I100+J100)*f_adblue,0)</f>
        <v>515.9609329446065</v>
      </c>
      <c r="M100" s="146">
        <f t="shared" si="35"/>
        <v>0</v>
      </c>
      <c r="N100" s="143" t="str">
        <f>IF(tuulisähkö_vuosi&lt;='S1 Sähkö'!C100,"tuulisähkö",ostosähkö_nyt)</f>
        <v>jäännössähkö</v>
      </c>
      <c r="O100" s="147">
        <f>INDEX(Muuttujat!$J$5:$J$21,MATCH($C100,Muuttujat!$H$5:$H$21,0),1)</f>
        <v>67.190510474999996</v>
      </c>
      <c r="P100" s="342">
        <f>1-(INDEX(Muuttujat!$O$5:$O$21,MATCH($C100,Muuttujat!$N$5:$N$21,0),1))</f>
        <v>0.96</v>
      </c>
      <c r="Q100" s="342">
        <f>INDEX(Muuttujat!$O$5:$O$21,MATCH($C100,Muuttujat!$N$5:$N$21,0),1)</f>
        <v>0.04</v>
      </c>
      <c r="R100" s="148">
        <f>INDEX(Muuttujat!$P$5:$P$21,MATCH($C100,Muuttujat!$N$5:$N$21,0),1)</f>
        <v>4.1787917527764125E-2</v>
      </c>
      <c r="S100" s="149">
        <f t="shared" si="25"/>
        <v>6.7091068800000002</v>
      </c>
      <c r="T100" s="150">
        <f t="shared" si="26"/>
        <v>0.92294591999999998</v>
      </c>
      <c r="U100" s="150">
        <f t="shared" si="27"/>
        <v>0</v>
      </c>
      <c r="V100" s="150">
        <f>IFERROR(INDEX(Työkonekanta!$J$3:$J$27,MATCH($A100,Työkonekanta!$A$3:$A$24,0),1)*$B100*ef_li_ion_akku/1000/1000/INDEX(Työkonekanta!$K$3:$K$27,MATCH($A100,Työkonekanta!$A$3:$A$24,0)),0)</f>
        <v>0</v>
      </c>
      <c r="W100" s="149">
        <f t="shared" si="36"/>
        <v>26.200395057196797</v>
      </c>
      <c r="X100" s="150">
        <f t="shared" si="37"/>
        <v>0.32727802980000004</v>
      </c>
      <c r="Y100" s="151">
        <f t="shared" si="38"/>
        <v>0.13414984256559767</v>
      </c>
      <c r="Z100" s="152">
        <f t="shared" si="31"/>
        <v>7.6320528000000003</v>
      </c>
      <c r="AA100" s="153">
        <f t="shared" si="32"/>
        <v>26.334544899762395</v>
      </c>
      <c r="AB100" s="153">
        <f t="shared" si="33"/>
        <v>26.661822929562394</v>
      </c>
      <c r="AC100" s="154">
        <f t="shared" si="39"/>
        <v>33.966597699762396</v>
      </c>
      <c r="AD100" s="156">
        <f t="shared" si="34"/>
        <v>34.293875729562394</v>
      </c>
      <c r="AE100" s="182"/>
      <c r="AG100" s="2"/>
    </row>
    <row r="101" spans="1:33">
      <c r="A101" s="139">
        <v>9</v>
      </c>
      <c r="B101" s="139" cm="1">
        <f t="array" ref="B101">IFERROR(IF(A101=s1_id_korvattava1,INDEX($AG$3:$AG$19,MATCH(C101,$AF$3:$AF$19,0),1),IF(A101=s1_id_korvaava1,INDEX($AH$3:$AH$19,MATCH(C101,$AF$3:$AF$19,0),1),IF(A101=s1_id_korvattava2,INDEX($AI$3:$AI$19,MATCH(C101,$AF$3:$AF$19,0),1),IF(A101=s1_id_korvaava2,INDEX($AJ$3:$AJ$19,MATCH(C101,$AF$3:$AF$19,0),1),INDEX(Työkonekanta!$F$3:$F$27,MATCH('S1 Sähkö'!$A101,Työkonekanta!$A$3:$A$24,0),1))))),0)</f>
        <v>0</v>
      </c>
      <c r="C101" s="140">
        <v>2022</v>
      </c>
      <c r="D101" s="141" t="str">
        <f>IFERROR(INDEX(Työkonekanta!$D$3:$D$27,MATCH('S1 Sähkö'!$A101,Työkonekanta!$A$3:$A$24,0),1),"undefined")</f>
        <v>sähkö</v>
      </c>
      <c r="E101" s="145">
        <f>IFERROR(INDEX(Työkonekanta!$G$3:$G$27,MATCH($A101,Työkonekanta!$A$3:$A$24,0),1)*INDEX(Työkonekanta!$H$3:$H$27,MATCH($A101,Työkonekanta!$A$3:$A$24,0),1)*(1+s1_kerroin*($C101-2019))*$B101,0)</f>
        <v>0</v>
      </c>
      <c r="F101" s="145">
        <f t="shared" si="22"/>
        <v>0</v>
      </c>
      <c r="G101" s="145">
        <f t="shared" si="28"/>
        <v>0</v>
      </c>
      <c r="H101" s="145">
        <f t="shared" si="29"/>
        <v>0</v>
      </c>
      <c r="I101" s="145">
        <f t="shared" si="23"/>
        <v>0</v>
      </c>
      <c r="J101" s="145">
        <f t="shared" si="24"/>
        <v>0</v>
      </c>
      <c r="K101" s="142" t="str">
        <f t="shared" si="30"/>
        <v>kWh</v>
      </c>
      <c r="L101" s="146">
        <f>IFERROR(INDEX(Työkonekanta!$I$3:$I$27,MATCH('S1 Sähkö'!$A101,Työkonekanta!$A$3:$A$24,0),1)*(I101+J101)*f_adblue,0)</f>
        <v>0</v>
      </c>
      <c r="M101" s="146">
        <f t="shared" si="35"/>
        <v>0</v>
      </c>
      <c r="N101" s="143" t="str">
        <f>IF(tuulisähkö_vuosi&lt;='S1 Sähkö'!C101,"tuulisähkö",ostosähkö_nyt)</f>
        <v>jäännössähkö</v>
      </c>
      <c r="O101" s="147">
        <f>INDEX(Muuttujat!$J$5:$J$21,MATCH($C101,Muuttujat!$H$5:$H$21,0),1)</f>
        <v>67.190510474999996</v>
      </c>
      <c r="P101" s="342">
        <f>1-(INDEX(Muuttujat!$O$5:$O$21,MATCH($C101,Muuttujat!$N$5:$N$21,0),1))</f>
        <v>0.96</v>
      </c>
      <c r="Q101" s="342">
        <f>INDEX(Muuttujat!$O$5:$O$21,MATCH($C101,Muuttujat!$N$5:$N$21,0),1)</f>
        <v>0.04</v>
      </c>
      <c r="R101" s="148">
        <f>INDEX(Muuttujat!$P$5:$P$21,MATCH($C101,Muuttujat!$N$5:$N$21,0),1)</f>
        <v>4.1787917527764125E-2</v>
      </c>
      <c r="S101" s="149">
        <f t="shared" si="25"/>
        <v>0</v>
      </c>
      <c r="T101" s="150">
        <f t="shared" si="26"/>
        <v>0</v>
      </c>
      <c r="U101" s="150">
        <f t="shared" si="27"/>
        <v>0</v>
      </c>
      <c r="V101" s="150">
        <f>IFERROR(INDEX(Työkonekanta!$J$3:$J$27,MATCH($A101,Työkonekanta!$A$3:$A$24,0),1)*$B101*ef_li_ion_akku/1000/1000/INDEX(Työkonekanta!$K$3:$K$27,MATCH($A101,Työkonekanta!$A$3:$A$24,0)),0)</f>
        <v>0</v>
      </c>
      <c r="W101" s="149">
        <f t="shared" si="36"/>
        <v>0</v>
      </c>
      <c r="X101" s="150">
        <f t="shared" si="37"/>
        <v>0</v>
      </c>
      <c r="Y101" s="151">
        <f t="shared" si="38"/>
        <v>0</v>
      </c>
      <c r="Z101" s="152">
        <f t="shared" si="31"/>
        <v>0</v>
      </c>
      <c r="AA101" s="153">
        <f t="shared" si="32"/>
        <v>0</v>
      </c>
      <c r="AB101" s="153">
        <f t="shared" si="33"/>
        <v>0</v>
      </c>
      <c r="AC101" s="154">
        <f t="shared" si="39"/>
        <v>0</v>
      </c>
      <c r="AD101" s="156">
        <f t="shared" si="34"/>
        <v>0</v>
      </c>
      <c r="AE101" s="182"/>
      <c r="AG101" s="2"/>
    </row>
    <row r="102" spans="1:33">
      <c r="A102" s="139">
        <v>10</v>
      </c>
      <c r="B102" s="139" cm="1">
        <f t="array" ref="B102">IFERROR(IF(A102=s1_id_korvattava1,INDEX($AG$3:$AG$19,MATCH(C102,$AF$3:$AF$19,0),1),IF(A102=s1_id_korvaava1,INDEX($AH$3:$AH$19,MATCH(C102,$AF$3:$AF$19,0),1),IF(A102=s1_id_korvattava2,INDEX($AI$3:$AI$19,MATCH(C102,$AF$3:$AF$19,0),1),IF(A102=s1_id_korvaava2,INDEX($AJ$3:$AJ$19,MATCH(C102,$AF$3:$AF$19,0),1),INDEX(Työkonekanta!$F$3:$F$27,MATCH('S1 Sähkö'!$A102,Työkonekanta!$A$3:$A$24,0),1))))),0)</f>
        <v>0</v>
      </c>
      <c r="C102" s="140">
        <v>2022</v>
      </c>
      <c r="D102" s="141" t="str">
        <f>IFERROR(INDEX(Työkonekanta!$D$3:$D$27,MATCH('S1 Sähkö'!$A102,Työkonekanta!$A$3:$A$24,0),1),"undefined")</f>
        <v>sähkö</v>
      </c>
      <c r="E102" s="145">
        <f>IFERROR(INDEX(Työkonekanta!$G$3:$G$27,MATCH($A102,Työkonekanta!$A$3:$A$24,0),1)*INDEX(Työkonekanta!$H$3:$H$27,MATCH($A102,Työkonekanta!$A$3:$A$24,0),1)*(1+s1_kerroin*($C102-2019))*$B102,0)</f>
        <v>0</v>
      </c>
      <c r="F102" s="145">
        <f t="shared" si="22"/>
        <v>0</v>
      </c>
      <c r="G102" s="145">
        <f t="shared" si="28"/>
        <v>0</v>
      </c>
      <c r="H102" s="145">
        <f t="shared" si="29"/>
        <v>0</v>
      </c>
      <c r="I102" s="145">
        <f t="shared" si="23"/>
        <v>0</v>
      </c>
      <c r="J102" s="145">
        <f t="shared" si="24"/>
        <v>0</v>
      </c>
      <c r="K102" s="142" t="str">
        <f t="shared" si="30"/>
        <v>kWh</v>
      </c>
      <c r="L102" s="146">
        <f>IFERROR(INDEX(Työkonekanta!$I$3:$I$27,MATCH('S1 Sähkö'!$A102,Työkonekanta!$A$3:$A$24,0),1)*(I102+J102)*f_adblue,0)</f>
        <v>0</v>
      </c>
      <c r="M102" s="146">
        <f t="shared" si="35"/>
        <v>0</v>
      </c>
      <c r="N102" s="143" t="str">
        <f>IF(tuulisähkö_vuosi&lt;='S1 Sähkö'!C102,"tuulisähkö",ostosähkö_nyt)</f>
        <v>jäännössähkö</v>
      </c>
      <c r="O102" s="147">
        <f>INDEX(Muuttujat!$J$5:$J$21,MATCH($C102,Muuttujat!$H$5:$H$21,0),1)</f>
        <v>67.190510474999996</v>
      </c>
      <c r="P102" s="342">
        <f>1-(INDEX(Muuttujat!$O$5:$O$21,MATCH($C102,Muuttujat!$N$5:$N$21,0),1))</f>
        <v>0.96</v>
      </c>
      <c r="Q102" s="342">
        <f>INDEX(Muuttujat!$O$5:$O$21,MATCH($C102,Muuttujat!$N$5:$N$21,0),1)</f>
        <v>0.04</v>
      </c>
      <c r="R102" s="148">
        <f>INDEX(Muuttujat!$P$5:$P$21,MATCH($C102,Muuttujat!$N$5:$N$21,0),1)</f>
        <v>4.1787917527764125E-2</v>
      </c>
      <c r="S102" s="149">
        <f t="shared" si="25"/>
        <v>0</v>
      </c>
      <c r="T102" s="150">
        <f t="shared" si="26"/>
        <v>0</v>
      </c>
      <c r="U102" s="150">
        <f t="shared" si="27"/>
        <v>0</v>
      </c>
      <c r="V102" s="150">
        <f>IFERROR(INDEX(Työkonekanta!$J$3:$J$27,MATCH($A102,Työkonekanta!$A$3:$A$24,0),1)*$B102*ef_li_ion_akku/1000/1000/INDEX(Työkonekanta!$K$3:$K$27,MATCH($A102,Työkonekanta!$A$3:$A$24,0)),0)</f>
        <v>0</v>
      </c>
      <c r="W102" s="149">
        <f t="shared" si="36"/>
        <v>0</v>
      </c>
      <c r="X102" s="150">
        <f t="shared" si="37"/>
        <v>0</v>
      </c>
      <c r="Y102" s="151">
        <f t="shared" si="38"/>
        <v>0</v>
      </c>
      <c r="Z102" s="152">
        <f t="shared" si="31"/>
        <v>0</v>
      </c>
      <c r="AA102" s="153">
        <f t="shared" si="32"/>
        <v>0</v>
      </c>
      <c r="AB102" s="153">
        <f t="shared" si="33"/>
        <v>0</v>
      </c>
      <c r="AC102" s="154">
        <f t="shared" si="39"/>
        <v>0</v>
      </c>
      <c r="AD102" s="156">
        <f t="shared" si="34"/>
        <v>0</v>
      </c>
      <c r="AE102" s="182"/>
      <c r="AG102" s="2"/>
    </row>
    <row r="103" spans="1:33">
      <c r="A103" s="139">
        <v>11</v>
      </c>
      <c r="B103" s="139" cm="1">
        <f t="array" ref="B103">IFERROR(IF(A103=s1_id_korvattava1,INDEX($AG$3:$AG$19,MATCH(C103,$AF$3:$AF$19,0),1),IF(A103=s1_id_korvaava1,INDEX($AH$3:$AH$19,MATCH(C103,$AF$3:$AF$19,0),1),IF(A103=s1_id_korvattava2,INDEX($AI$3:$AI$19,MATCH(C103,$AF$3:$AF$19,0),1),IF(A103=s1_id_korvaava2,INDEX($AJ$3:$AJ$19,MATCH(C103,$AF$3:$AF$19,0),1),INDEX(Työkonekanta!$F$3:$F$27,MATCH('S1 Sähkö'!$A103,Työkonekanta!$A$3:$A$24,0),1))))),0)</f>
        <v>1</v>
      </c>
      <c r="C103" s="140">
        <v>2022</v>
      </c>
      <c r="D103" s="141" t="str">
        <f>IFERROR(INDEX(Työkonekanta!$D$3:$D$27,MATCH('S1 Sähkö'!$A103,Työkonekanta!$A$3:$A$24,0),1),"undefined")</f>
        <v>pom</v>
      </c>
      <c r="E103" s="145">
        <f>IFERROR(INDEX(Työkonekanta!$G$3:$G$27,MATCH($A103,Työkonekanta!$A$3:$A$24,0),1)*INDEX(Työkonekanta!$H$3:$H$27,MATCH($A103,Työkonekanta!$A$3:$A$24,0),1)*(1+s1_kerroin*($C103-2019))*$B103,0)</f>
        <v>10300</v>
      </c>
      <c r="F103" s="145">
        <f t="shared" si="22"/>
        <v>369770</v>
      </c>
      <c r="G103" s="145">
        <f t="shared" si="28"/>
        <v>354979.2</v>
      </c>
      <c r="H103" s="145">
        <f t="shared" si="29"/>
        <v>14790.800000000001</v>
      </c>
      <c r="I103" s="145">
        <f t="shared" si="23"/>
        <v>9888</v>
      </c>
      <c r="J103" s="145">
        <f t="shared" si="24"/>
        <v>431.21865889212836</v>
      </c>
      <c r="K103" s="142" t="str">
        <f t="shared" si="30"/>
        <v>l</v>
      </c>
      <c r="L103" s="146">
        <f>IFERROR(INDEX(Työkonekanta!$I$3:$I$27,MATCH('S1 Sähkö'!$A103,Työkonekanta!$A$3:$A$24,0),1)*(I103+J103)*f_adblue,0)</f>
        <v>515.9609329446065</v>
      </c>
      <c r="M103" s="146">
        <f t="shared" si="35"/>
        <v>0</v>
      </c>
      <c r="N103" s="143" t="str">
        <f>IF(tuulisähkö_vuosi&lt;='S1 Sähkö'!C103,"tuulisähkö",ostosähkö_nyt)</f>
        <v>jäännössähkö</v>
      </c>
      <c r="O103" s="147">
        <f>INDEX(Muuttujat!$J$5:$J$21,MATCH($C103,Muuttujat!$H$5:$H$21,0),1)</f>
        <v>67.190510474999996</v>
      </c>
      <c r="P103" s="342">
        <f>1-(INDEX(Muuttujat!$O$5:$O$21,MATCH($C103,Muuttujat!$N$5:$N$21,0),1))</f>
        <v>0.96</v>
      </c>
      <c r="Q103" s="342">
        <f>INDEX(Muuttujat!$O$5:$O$21,MATCH($C103,Muuttujat!$N$5:$N$21,0),1)</f>
        <v>0.04</v>
      </c>
      <c r="R103" s="148">
        <f>INDEX(Muuttujat!$P$5:$P$21,MATCH($C103,Muuttujat!$N$5:$N$21,0),1)</f>
        <v>4.1787917527764125E-2</v>
      </c>
      <c r="S103" s="149">
        <f t="shared" si="25"/>
        <v>6.7091068800000002</v>
      </c>
      <c r="T103" s="150">
        <f t="shared" si="26"/>
        <v>0.92294591999999998</v>
      </c>
      <c r="U103" s="150">
        <f t="shared" si="27"/>
        <v>0</v>
      </c>
      <c r="V103" s="150">
        <f>IFERROR(INDEX(Työkonekanta!$J$3:$J$27,MATCH($A103,Työkonekanta!$A$3:$A$24,0),1)*$B103*ef_li_ion_akku/1000/1000/INDEX(Työkonekanta!$K$3:$K$27,MATCH($A103,Työkonekanta!$A$3:$A$24,0)),0)</f>
        <v>0</v>
      </c>
      <c r="W103" s="149">
        <f t="shared" si="36"/>
        <v>26.200395057196797</v>
      </c>
      <c r="X103" s="150">
        <f t="shared" si="37"/>
        <v>0.32727802980000004</v>
      </c>
      <c r="Y103" s="151">
        <f t="shared" si="38"/>
        <v>0.13414984256559767</v>
      </c>
      <c r="Z103" s="152">
        <f t="shared" si="31"/>
        <v>7.6320528000000003</v>
      </c>
      <c r="AA103" s="153">
        <f t="shared" si="32"/>
        <v>26.334544899762395</v>
      </c>
      <c r="AB103" s="153">
        <f t="shared" si="33"/>
        <v>26.661822929562394</v>
      </c>
      <c r="AC103" s="154">
        <f t="shared" si="39"/>
        <v>33.966597699762396</v>
      </c>
      <c r="AD103" s="156">
        <f t="shared" si="34"/>
        <v>34.293875729562394</v>
      </c>
      <c r="AE103" s="182"/>
      <c r="AG103" s="2"/>
    </row>
    <row r="104" spans="1:33">
      <c r="A104" s="139">
        <v>12</v>
      </c>
      <c r="B104" s="139" cm="1">
        <f t="array" ref="B104">IFERROR(IF(A104=s1_id_korvattava1,INDEX($AG$3:$AG$19,MATCH(C104,$AF$3:$AF$19,0),1),IF(A104=s1_id_korvaava1,INDEX($AH$3:$AH$19,MATCH(C104,$AF$3:$AF$19,0),1),IF(A104=s1_id_korvattava2,INDEX($AI$3:$AI$19,MATCH(C104,$AF$3:$AF$19,0),1),IF(A104=s1_id_korvaava2,INDEX($AJ$3:$AJ$19,MATCH(C104,$AF$3:$AF$19,0),1),INDEX(Työkonekanta!$F$3:$F$27,MATCH('S1 Sähkö'!$A104,Työkonekanta!$A$3:$A$24,0),1))))),0)</f>
        <v>1</v>
      </c>
      <c r="C104" s="140">
        <v>2022</v>
      </c>
      <c r="D104" s="141" t="str">
        <f>IFERROR(INDEX(Työkonekanta!$D$3:$D$27,MATCH('S1 Sähkö'!$A104,Työkonekanta!$A$3:$A$24,0),1),"undefined")</f>
        <v>pom</v>
      </c>
      <c r="E104" s="145">
        <f>IFERROR(INDEX(Työkonekanta!$G$3:$G$27,MATCH($A104,Työkonekanta!$A$3:$A$24,0),1)*INDEX(Työkonekanta!$H$3:$H$27,MATCH($A104,Työkonekanta!$A$3:$A$24,0),1)*(1+s1_kerroin*($C104-2019))*$B104,0)</f>
        <v>10300</v>
      </c>
      <c r="F104" s="145">
        <f t="shared" si="22"/>
        <v>369770</v>
      </c>
      <c r="G104" s="145">
        <f t="shared" si="28"/>
        <v>354979.2</v>
      </c>
      <c r="H104" s="145">
        <f t="shared" si="29"/>
        <v>14790.800000000001</v>
      </c>
      <c r="I104" s="145">
        <f t="shared" si="23"/>
        <v>9888</v>
      </c>
      <c r="J104" s="145">
        <f t="shared" si="24"/>
        <v>431.21865889212836</v>
      </c>
      <c r="K104" s="142" t="str">
        <f t="shared" si="30"/>
        <v>l</v>
      </c>
      <c r="L104" s="146">
        <f>IFERROR(INDEX(Työkonekanta!$I$3:$I$27,MATCH('S1 Sähkö'!$A104,Työkonekanta!$A$3:$A$24,0),1)*(I104+J104)*f_adblue,0)</f>
        <v>515.9609329446065</v>
      </c>
      <c r="M104" s="146">
        <f t="shared" si="35"/>
        <v>0</v>
      </c>
      <c r="N104" s="143" t="str">
        <f>IF(tuulisähkö_vuosi&lt;='S1 Sähkö'!C104,"tuulisähkö",ostosähkö_nyt)</f>
        <v>jäännössähkö</v>
      </c>
      <c r="O104" s="147">
        <f>INDEX(Muuttujat!$J$5:$J$21,MATCH($C104,Muuttujat!$H$5:$H$21,0),1)</f>
        <v>67.190510474999996</v>
      </c>
      <c r="P104" s="342">
        <f>1-(INDEX(Muuttujat!$O$5:$O$21,MATCH($C104,Muuttujat!$N$5:$N$21,0),1))</f>
        <v>0.96</v>
      </c>
      <c r="Q104" s="342">
        <f>INDEX(Muuttujat!$O$5:$O$21,MATCH($C104,Muuttujat!$N$5:$N$21,0),1)</f>
        <v>0.04</v>
      </c>
      <c r="R104" s="148">
        <f>INDEX(Muuttujat!$P$5:$P$21,MATCH($C104,Muuttujat!$N$5:$N$21,0),1)</f>
        <v>4.1787917527764125E-2</v>
      </c>
      <c r="S104" s="149">
        <f t="shared" si="25"/>
        <v>6.7091068800000002</v>
      </c>
      <c r="T104" s="150">
        <f t="shared" si="26"/>
        <v>0.92294591999999998</v>
      </c>
      <c r="U104" s="150">
        <f t="shared" si="27"/>
        <v>0</v>
      </c>
      <c r="V104" s="150">
        <f>IFERROR(INDEX(Työkonekanta!$J$3:$J$27,MATCH($A104,Työkonekanta!$A$3:$A$24,0),1)*$B104*ef_li_ion_akku/1000/1000/INDEX(Työkonekanta!$K$3:$K$27,MATCH($A104,Työkonekanta!$A$3:$A$24,0)),0)</f>
        <v>0</v>
      </c>
      <c r="W104" s="149">
        <f t="shared" si="36"/>
        <v>26.200395057196797</v>
      </c>
      <c r="X104" s="150">
        <f t="shared" si="37"/>
        <v>0.32727802980000004</v>
      </c>
      <c r="Y104" s="151">
        <f t="shared" si="38"/>
        <v>0.13414984256559767</v>
      </c>
      <c r="Z104" s="152">
        <f t="shared" si="31"/>
        <v>7.6320528000000003</v>
      </c>
      <c r="AA104" s="153">
        <f t="shared" si="32"/>
        <v>26.334544899762395</v>
      </c>
      <c r="AB104" s="153">
        <f t="shared" si="33"/>
        <v>26.661822929562394</v>
      </c>
      <c r="AC104" s="154">
        <f t="shared" si="39"/>
        <v>33.966597699762396</v>
      </c>
      <c r="AD104" s="156">
        <f t="shared" si="34"/>
        <v>34.293875729562394</v>
      </c>
      <c r="AE104" s="182"/>
      <c r="AG104" s="2"/>
    </row>
    <row r="105" spans="1:33">
      <c r="A105" s="139">
        <v>13</v>
      </c>
      <c r="B105" s="139" cm="1">
        <f t="array" ref="B105">IFERROR(IF(A105=s1_id_korvattava1,INDEX($AG$3:$AG$19,MATCH(C105,$AF$3:$AF$19,0),1),IF(A105=s1_id_korvaava1,INDEX($AH$3:$AH$19,MATCH(C105,$AF$3:$AF$19,0),1),IF(A105=s1_id_korvattava2,INDEX($AI$3:$AI$19,MATCH(C105,$AF$3:$AF$19,0),1),IF(A105=s1_id_korvaava2,INDEX($AJ$3:$AJ$19,MATCH(C105,$AF$3:$AF$19,0),1),INDEX(Työkonekanta!$F$3:$F$27,MATCH('S1 Sähkö'!$A105,Työkonekanta!$A$3:$A$24,0),1))))),0)</f>
        <v>0</v>
      </c>
      <c r="C105" s="140">
        <v>2022</v>
      </c>
      <c r="D105" s="141" t="str">
        <f>IFERROR(INDEX(Työkonekanta!$D$3:$D$27,MATCH('S1 Sähkö'!$A105,Työkonekanta!$A$3:$A$24,0),1),"undefined")</f>
        <v>pom</v>
      </c>
      <c r="E105" s="145">
        <f>IFERROR(INDEX(Työkonekanta!$G$3:$G$27,MATCH($A105,Työkonekanta!$A$3:$A$24,0),1)*INDEX(Työkonekanta!$H$3:$H$27,MATCH($A105,Työkonekanta!$A$3:$A$24,0),1)*(1+s1_kerroin*($C105-2019))*$B105,0)</f>
        <v>0</v>
      </c>
      <c r="F105" s="145">
        <f t="shared" si="22"/>
        <v>0</v>
      </c>
      <c r="G105" s="145">
        <f t="shared" si="28"/>
        <v>0</v>
      </c>
      <c r="H105" s="145">
        <f t="shared" si="29"/>
        <v>0</v>
      </c>
      <c r="I105" s="145">
        <f t="shared" si="23"/>
        <v>0</v>
      </c>
      <c r="J105" s="145">
        <f t="shared" si="24"/>
        <v>0</v>
      </c>
      <c r="K105" s="142" t="str">
        <f t="shared" si="30"/>
        <v>l</v>
      </c>
      <c r="L105" s="146">
        <f>IFERROR(INDEX(Työkonekanta!$I$3:$I$27,MATCH('S1 Sähkö'!$A105,Työkonekanta!$A$3:$A$24,0),1)*(I105+J105)*f_adblue,0)</f>
        <v>0</v>
      </c>
      <c r="M105" s="146">
        <f t="shared" si="35"/>
        <v>0</v>
      </c>
      <c r="N105" s="143" t="str">
        <f>IF(tuulisähkö_vuosi&lt;='S1 Sähkö'!C105,"tuulisähkö",ostosähkö_nyt)</f>
        <v>jäännössähkö</v>
      </c>
      <c r="O105" s="147">
        <f>INDEX(Muuttujat!$J$5:$J$21,MATCH($C105,Muuttujat!$H$5:$H$21,0),1)</f>
        <v>67.190510474999996</v>
      </c>
      <c r="P105" s="342">
        <f>1-(INDEX(Muuttujat!$O$5:$O$21,MATCH($C105,Muuttujat!$N$5:$N$21,0),1))</f>
        <v>0.96</v>
      </c>
      <c r="Q105" s="342">
        <f>INDEX(Muuttujat!$O$5:$O$21,MATCH($C105,Muuttujat!$N$5:$N$21,0),1)</f>
        <v>0.04</v>
      </c>
      <c r="R105" s="148">
        <f>INDEX(Muuttujat!$P$5:$P$21,MATCH($C105,Muuttujat!$N$5:$N$21,0),1)</f>
        <v>4.1787917527764125E-2</v>
      </c>
      <c r="S105" s="149">
        <f t="shared" si="25"/>
        <v>0</v>
      </c>
      <c r="T105" s="150">
        <f t="shared" si="26"/>
        <v>0</v>
      </c>
      <c r="U105" s="150">
        <f t="shared" si="27"/>
        <v>0</v>
      </c>
      <c r="V105" s="150">
        <f>IFERROR(INDEX(Työkonekanta!$J$3:$J$27,MATCH($A105,Työkonekanta!$A$3:$A$24,0),1)*$B105*ef_li_ion_akku/1000/1000/INDEX(Työkonekanta!$K$3:$K$27,MATCH($A105,Työkonekanta!$A$3:$A$24,0)),0)</f>
        <v>0</v>
      </c>
      <c r="W105" s="149">
        <f t="shared" si="36"/>
        <v>0</v>
      </c>
      <c r="X105" s="150">
        <f t="shared" si="37"/>
        <v>0</v>
      </c>
      <c r="Y105" s="151">
        <f t="shared" si="38"/>
        <v>0</v>
      </c>
      <c r="Z105" s="152">
        <f t="shared" si="31"/>
        <v>0</v>
      </c>
      <c r="AA105" s="153">
        <f t="shared" si="32"/>
        <v>0</v>
      </c>
      <c r="AB105" s="153">
        <f t="shared" si="33"/>
        <v>0</v>
      </c>
      <c r="AC105" s="154">
        <f t="shared" si="39"/>
        <v>0</v>
      </c>
      <c r="AD105" s="156">
        <f t="shared" si="34"/>
        <v>0</v>
      </c>
      <c r="AE105" s="182"/>
      <c r="AG105" s="2"/>
    </row>
    <row r="106" spans="1:33">
      <c r="A106" s="139">
        <v>14</v>
      </c>
      <c r="B106" s="139" cm="1">
        <f t="array" ref="B106">IFERROR(IF(A106=s1_id_korvattava1,INDEX($AG$3:$AG$19,MATCH(C106,$AF$3:$AF$19,0),1),IF(A106=s1_id_korvaava1,INDEX($AH$3:$AH$19,MATCH(C106,$AF$3:$AF$19,0),1),IF(A106=s1_id_korvattava2,INDEX($AI$3:$AI$19,MATCH(C106,$AF$3:$AF$19,0),1),IF(A106=s1_id_korvaava2,INDEX($AJ$3:$AJ$19,MATCH(C106,$AF$3:$AF$19,0),1),INDEX(Työkonekanta!$F$3:$F$27,MATCH('S1 Sähkö'!$A106,Työkonekanta!$A$3:$A$24,0),1))))),0)</f>
        <v>0</v>
      </c>
      <c r="C106" s="140">
        <v>2022</v>
      </c>
      <c r="D106" s="141" t="str">
        <f>IFERROR(INDEX(Työkonekanta!$D$3:$D$27,MATCH('S1 Sähkö'!$A106,Työkonekanta!$A$3:$A$24,0),1),"undefined")</f>
        <v>pom</v>
      </c>
      <c r="E106" s="145">
        <f>IFERROR(INDEX(Työkonekanta!$G$3:$G$27,MATCH($A106,Työkonekanta!$A$3:$A$24,0),1)*INDEX(Työkonekanta!$H$3:$H$27,MATCH($A106,Työkonekanta!$A$3:$A$24,0),1)*(1+s1_kerroin*($C106-2019))*$B106,0)</f>
        <v>0</v>
      </c>
      <c r="F106" s="145">
        <f t="shared" si="22"/>
        <v>0</v>
      </c>
      <c r="G106" s="145">
        <f t="shared" si="28"/>
        <v>0</v>
      </c>
      <c r="H106" s="145">
        <f t="shared" si="29"/>
        <v>0</v>
      </c>
      <c r="I106" s="145">
        <f t="shared" si="23"/>
        <v>0</v>
      </c>
      <c r="J106" s="145">
        <f t="shared" si="24"/>
        <v>0</v>
      </c>
      <c r="K106" s="142" t="str">
        <f t="shared" si="30"/>
        <v>l</v>
      </c>
      <c r="L106" s="146">
        <f>IFERROR(INDEX(Työkonekanta!$I$3:$I$27,MATCH('S1 Sähkö'!$A106,Työkonekanta!$A$3:$A$24,0),1)*(I106+J106)*f_adblue,0)</f>
        <v>0</v>
      </c>
      <c r="M106" s="146">
        <f t="shared" si="35"/>
        <v>0</v>
      </c>
      <c r="N106" s="143" t="str">
        <f>IF(tuulisähkö_vuosi&lt;='S1 Sähkö'!C106,"tuulisähkö",ostosähkö_nyt)</f>
        <v>jäännössähkö</v>
      </c>
      <c r="O106" s="147">
        <f>INDEX(Muuttujat!$J$5:$J$21,MATCH($C106,Muuttujat!$H$5:$H$21,0),1)</f>
        <v>67.190510474999996</v>
      </c>
      <c r="P106" s="342">
        <f>1-(INDEX(Muuttujat!$O$5:$O$21,MATCH($C106,Muuttujat!$N$5:$N$21,0),1))</f>
        <v>0.96</v>
      </c>
      <c r="Q106" s="342">
        <f>INDEX(Muuttujat!$O$5:$O$21,MATCH($C106,Muuttujat!$N$5:$N$21,0),1)</f>
        <v>0.04</v>
      </c>
      <c r="R106" s="148">
        <f>INDEX(Muuttujat!$P$5:$P$21,MATCH($C106,Muuttujat!$N$5:$N$21,0),1)</f>
        <v>4.1787917527764125E-2</v>
      </c>
      <c r="S106" s="149">
        <f t="shared" si="25"/>
        <v>0</v>
      </c>
      <c r="T106" s="150">
        <f t="shared" si="26"/>
        <v>0</v>
      </c>
      <c r="U106" s="150">
        <f t="shared" si="27"/>
        <v>0</v>
      </c>
      <c r="V106" s="150">
        <f>IFERROR(INDEX(Työkonekanta!$J$3:$J$27,MATCH($A106,Työkonekanta!$A$3:$A$24,0),1)*$B106*ef_li_ion_akku/1000/1000/INDEX(Työkonekanta!$K$3:$K$27,MATCH($A106,Työkonekanta!$A$3:$A$24,0)),0)</f>
        <v>0</v>
      </c>
      <c r="W106" s="149">
        <f t="shared" si="36"/>
        <v>0</v>
      </c>
      <c r="X106" s="150">
        <f t="shared" si="37"/>
        <v>0</v>
      </c>
      <c r="Y106" s="151">
        <f t="shared" si="38"/>
        <v>0</v>
      </c>
      <c r="Z106" s="152">
        <f t="shared" si="31"/>
        <v>0</v>
      </c>
      <c r="AA106" s="153">
        <f t="shared" si="32"/>
        <v>0</v>
      </c>
      <c r="AB106" s="153">
        <f t="shared" si="33"/>
        <v>0</v>
      </c>
      <c r="AC106" s="154">
        <f t="shared" si="39"/>
        <v>0</v>
      </c>
      <c r="AD106" s="156">
        <f t="shared" si="34"/>
        <v>0</v>
      </c>
      <c r="AE106" s="182"/>
      <c r="AG106" s="2"/>
    </row>
    <row r="107" spans="1:33">
      <c r="A107" s="139">
        <v>15</v>
      </c>
      <c r="B107" s="139" cm="1">
        <f t="array" ref="B107">IFERROR(IF(A107=s1_id_korvattava1,INDEX($AG$3:$AG$19,MATCH(C107,$AF$3:$AF$19,0),1),IF(A107=s1_id_korvaava1,INDEX($AH$3:$AH$19,MATCH(C107,$AF$3:$AF$19,0),1),IF(A107=s1_id_korvattava2,INDEX($AI$3:$AI$19,MATCH(C107,$AF$3:$AF$19,0),1),IF(A107=s1_id_korvaava2,INDEX($AJ$3:$AJ$19,MATCH(C107,$AF$3:$AF$19,0),1),INDEX(Työkonekanta!$F$3:$F$27,MATCH('S1 Sähkö'!$A107,Työkonekanta!$A$3:$A$24,0),1))))),0)</f>
        <v>0</v>
      </c>
      <c r="C107" s="140">
        <v>2022</v>
      </c>
      <c r="D107" s="141" t="str">
        <f>IFERROR(INDEX(Työkonekanta!$D$3:$D$27,MATCH('S1 Sähkö'!$A107,Työkonekanta!$A$3:$A$24,0),1),"undefined")</f>
        <v>sähkö</v>
      </c>
      <c r="E107" s="145">
        <f>IFERROR(INDEX(Työkonekanta!$G$3:$G$27,MATCH($A107,Työkonekanta!$A$3:$A$24,0),1)*INDEX(Työkonekanta!$H$3:$H$27,MATCH($A107,Työkonekanta!$A$3:$A$24,0),1)*(1+s1_kerroin*($C107-2019))*$B107,0)</f>
        <v>0</v>
      </c>
      <c r="F107" s="145">
        <f t="shared" si="22"/>
        <v>0</v>
      </c>
      <c r="G107" s="145">
        <f t="shared" si="28"/>
        <v>0</v>
      </c>
      <c r="H107" s="145">
        <f t="shared" si="29"/>
        <v>0</v>
      </c>
      <c r="I107" s="145">
        <f t="shared" si="23"/>
        <v>0</v>
      </c>
      <c r="J107" s="145">
        <f t="shared" si="24"/>
        <v>0</v>
      </c>
      <c r="K107" s="142" t="str">
        <f t="shared" si="30"/>
        <v>kWh</v>
      </c>
      <c r="L107" s="146">
        <f>IFERROR(INDEX(Työkonekanta!$I$3:$I$27,MATCH('S1 Sähkö'!$A107,Työkonekanta!$A$3:$A$24,0),1)*(I107+J107)*f_adblue,0)</f>
        <v>0</v>
      </c>
      <c r="M107" s="146">
        <f t="shared" si="35"/>
        <v>0</v>
      </c>
      <c r="N107" s="143" t="str">
        <f>IF(tuulisähkö_vuosi&lt;='S1 Sähkö'!C107,"tuulisähkö",ostosähkö_nyt)</f>
        <v>jäännössähkö</v>
      </c>
      <c r="O107" s="147">
        <f>INDEX(Muuttujat!$J$5:$J$21,MATCH($C107,Muuttujat!$H$5:$H$21,0),1)</f>
        <v>67.190510474999996</v>
      </c>
      <c r="P107" s="342">
        <f>1-(INDEX(Muuttujat!$O$5:$O$21,MATCH($C107,Muuttujat!$N$5:$N$21,0),1))</f>
        <v>0.96</v>
      </c>
      <c r="Q107" s="342">
        <f>INDEX(Muuttujat!$O$5:$O$21,MATCH($C107,Muuttujat!$N$5:$N$21,0),1)</f>
        <v>0.04</v>
      </c>
      <c r="R107" s="148">
        <f>INDEX(Muuttujat!$P$5:$P$21,MATCH($C107,Muuttujat!$N$5:$N$21,0),1)</f>
        <v>4.1787917527764125E-2</v>
      </c>
      <c r="S107" s="149">
        <f t="shared" si="25"/>
        <v>0</v>
      </c>
      <c r="T107" s="150">
        <f t="shared" si="26"/>
        <v>0</v>
      </c>
      <c r="U107" s="150">
        <f t="shared" si="27"/>
        <v>0</v>
      </c>
      <c r="V107" s="150">
        <f>IFERROR(INDEX(Työkonekanta!$J$3:$J$27,MATCH($A107,Työkonekanta!$A$3:$A$24,0),1)*$B107*ef_li_ion_akku/1000/1000/INDEX(Työkonekanta!$K$3:$K$27,MATCH($A107,Työkonekanta!$A$3:$A$24,0)),0)</f>
        <v>0</v>
      </c>
      <c r="W107" s="149">
        <f t="shared" si="36"/>
        <v>0</v>
      </c>
      <c r="X107" s="150">
        <f t="shared" si="37"/>
        <v>0</v>
      </c>
      <c r="Y107" s="151">
        <f t="shared" si="38"/>
        <v>0</v>
      </c>
      <c r="Z107" s="152">
        <f t="shared" si="31"/>
        <v>0</v>
      </c>
      <c r="AA107" s="153">
        <f t="shared" si="32"/>
        <v>0</v>
      </c>
      <c r="AB107" s="153">
        <f t="shared" si="33"/>
        <v>0</v>
      </c>
      <c r="AC107" s="154">
        <f t="shared" si="39"/>
        <v>0</v>
      </c>
      <c r="AD107" s="156">
        <f t="shared" si="34"/>
        <v>0</v>
      </c>
      <c r="AE107" s="182"/>
      <c r="AG107" s="2"/>
    </row>
    <row r="108" spans="1:33">
      <c r="A108" s="139">
        <v>16</v>
      </c>
      <c r="B108" s="139" cm="1">
        <f t="array" ref="B108">IFERROR(IF(A108=s1_id_korvattava1,INDEX($AG$3:$AG$19,MATCH(C108,$AF$3:$AF$19,0),1),IF(A108=s1_id_korvaava1,INDEX($AH$3:$AH$19,MATCH(C108,$AF$3:$AF$19,0),1),IF(A108=s1_id_korvattava2,INDEX($AI$3:$AI$19,MATCH(C108,$AF$3:$AF$19,0),1),IF(A108=s1_id_korvaava2,INDEX($AJ$3:$AJ$19,MATCH(C108,$AF$3:$AF$19,0),1),INDEX(Työkonekanta!$F$3:$F$27,MATCH('S1 Sähkö'!$A108,Työkonekanta!$A$3:$A$24,0),1))))),0)</f>
        <v>0</v>
      </c>
      <c r="C108" s="140">
        <v>2022</v>
      </c>
      <c r="D108" s="141" t="str">
        <f>IFERROR(INDEX(Työkonekanta!$D$3:$D$27,MATCH('S1 Sähkö'!$A108,Työkonekanta!$A$3:$A$24,0),1),"undefined")</f>
        <v>sähkö</v>
      </c>
      <c r="E108" s="145">
        <f>IFERROR(INDEX(Työkonekanta!$G$3:$G$27,MATCH($A108,Työkonekanta!$A$3:$A$24,0),1)*INDEX(Työkonekanta!$H$3:$H$27,MATCH($A108,Työkonekanta!$A$3:$A$24,0),1)*(1+s1_kerroin*($C108-2019))*$B108,0)</f>
        <v>0</v>
      </c>
      <c r="F108" s="145">
        <f t="shared" si="22"/>
        <v>0</v>
      </c>
      <c r="G108" s="145">
        <f t="shared" si="28"/>
        <v>0</v>
      </c>
      <c r="H108" s="145">
        <f t="shared" si="29"/>
        <v>0</v>
      </c>
      <c r="I108" s="145">
        <f t="shared" si="23"/>
        <v>0</v>
      </c>
      <c r="J108" s="145">
        <f t="shared" si="24"/>
        <v>0</v>
      </c>
      <c r="K108" s="142" t="str">
        <f t="shared" si="30"/>
        <v>kWh</v>
      </c>
      <c r="L108" s="146">
        <f>IFERROR(INDEX(Työkonekanta!$I$3:$I$27,MATCH('S1 Sähkö'!$A108,Työkonekanta!$A$3:$A$24,0),1)*(I108+J108)*f_adblue,0)</f>
        <v>0</v>
      </c>
      <c r="M108" s="146">
        <f t="shared" si="35"/>
        <v>0</v>
      </c>
      <c r="N108" s="143" t="str">
        <f>IF(tuulisähkö_vuosi&lt;='S1 Sähkö'!C108,"tuulisähkö",ostosähkö_nyt)</f>
        <v>jäännössähkö</v>
      </c>
      <c r="O108" s="147">
        <f>INDEX(Muuttujat!$J$5:$J$21,MATCH($C108,Muuttujat!$H$5:$H$21,0),1)</f>
        <v>67.190510474999996</v>
      </c>
      <c r="P108" s="342">
        <f>1-(INDEX(Muuttujat!$O$5:$O$21,MATCH($C108,Muuttujat!$N$5:$N$21,0),1))</f>
        <v>0.96</v>
      </c>
      <c r="Q108" s="342">
        <f>INDEX(Muuttujat!$O$5:$O$21,MATCH($C108,Muuttujat!$N$5:$N$21,0),1)</f>
        <v>0.04</v>
      </c>
      <c r="R108" s="148">
        <f>INDEX(Muuttujat!$P$5:$P$21,MATCH($C108,Muuttujat!$N$5:$N$21,0),1)</f>
        <v>4.1787917527764125E-2</v>
      </c>
      <c r="S108" s="149">
        <f t="shared" si="25"/>
        <v>0</v>
      </c>
      <c r="T108" s="150">
        <f t="shared" si="26"/>
        <v>0</v>
      </c>
      <c r="U108" s="150">
        <f t="shared" si="27"/>
        <v>0</v>
      </c>
      <c r="V108" s="150">
        <f>IFERROR(INDEX(Työkonekanta!$J$3:$J$27,MATCH($A108,Työkonekanta!$A$3:$A$24,0),1)*$B108*ef_li_ion_akku/1000/1000/INDEX(Työkonekanta!$K$3:$K$27,MATCH($A108,Työkonekanta!$A$3:$A$24,0)),0)</f>
        <v>0</v>
      </c>
      <c r="W108" s="149">
        <f t="shared" si="36"/>
        <v>0</v>
      </c>
      <c r="X108" s="150">
        <f t="shared" si="37"/>
        <v>0</v>
      </c>
      <c r="Y108" s="151">
        <f t="shared" si="38"/>
        <v>0</v>
      </c>
      <c r="Z108" s="152">
        <f t="shared" si="31"/>
        <v>0</v>
      </c>
      <c r="AA108" s="153">
        <f t="shared" si="32"/>
        <v>0</v>
      </c>
      <c r="AB108" s="153">
        <f t="shared" si="33"/>
        <v>0</v>
      </c>
      <c r="AC108" s="154">
        <f t="shared" si="39"/>
        <v>0</v>
      </c>
      <c r="AD108" s="156">
        <f t="shared" si="34"/>
        <v>0</v>
      </c>
      <c r="AE108" s="182"/>
      <c r="AG108" s="2"/>
    </row>
    <row r="109" spans="1:33">
      <c r="A109" s="139">
        <v>17</v>
      </c>
      <c r="B109" s="139" cm="1">
        <f t="array" ref="B109">IFERROR(IF(A109=s1_id_korvattava1,INDEX($AG$3:$AG$19,MATCH(C109,$AF$3:$AF$19,0),1),IF(A109=s1_id_korvaava1,INDEX($AH$3:$AH$19,MATCH(C109,$AF$3:$AF$19,0),1),IF(A109=s1_id_korvattava2,INDEX($AI$3:$AI$19,MATCH(C109,$AF$3:$AF$19,0),1),IF(A109=s1_id_korvaava2,INDEX($AJ$3:$AJ$19,MATCH(C109,$AF$3:$AF$19,0),1),INDEX(Työkonekanta!$F$3:$F$27,MATCH('S1 Sähkö'!$A109,Työkonekanta!$A$3:$A$24,0),1))))),0)</f>
        <v>0</v>
      </c>
      <c r="C109" s="140">
        <v>2022</v>
      </c>
      <c r="D109" s="141" t="str">
        <f>IFERROR(INDEX(Työkonekanta!$D$3:$D$27,MATCH('S1 Sähkö'!$A109,Työkonekanta!$A$3:$A$24,0),1),"undefined")</f>
        <v>pom</v>
      </c>
      <c r="E109" s="145">
        <f>IFERROR(INDEX(Työkonekanta!$G$3:$G$27,MATCH($A109,Työkonekanta!$A$3:$A$24,0),1)*INDEX(Työkonekanta!$H$3:$H$27,MATCH($A109,Työkonekanta!$A$3:$A$24,0),1)*(1+s1_kerroin*($C109-2019))*$B109,0)</f>
        <v>0</v>
      </c>
      <c r="F109" s="145">
        <f t="shared" si="22"/>
        <v>0</v>
      </c>
      <c r="G109" s="145">
        <f t="shared" si="28"/>
        <v>0</v>
      </c>
      <c r="H109" s="145">
        <f t="shared" si="29"/>
        <v>0</v>
      </c>
      <c r="I109" s="145">
        <f t="shared" si="23"/>
        <v>0</v>
      </c>
      <c r="J109" s="145">
        <f t="shared" si="24"/>
        <v>0</v>
      </c>
      <c r="K109" s="142" t="str">
        <f t="shared" si="30"/>
        <v>l</v>
      </c>
      <c r="L109" s="146">
        <f>IFERROR(INDEX(Työkonekanta!$I$3:$I$27,MATCH('S1 Sähkö'!$A109,Työkonekanta!$A$3:$A$24,0),1)*(I109+J109)*f_adblue,0)</f>
        <v>0</v>
      </c>
      <c r="M109" s="146">
        <f t="shared" si="35"/>
        <v>0</v>
      </c>
      <c r="N109" s="143" t="str">
        <f>IF(tuulisähkö_vuosi&lt;='S1 Sähkö'!C109,"tuulisähkö",ostosähkö_nyt)</f>
        <v>jäännössähkö</v>
      </c>
      <c r="O109" s="147">
        <f>INDEX(Muuttujat!$J$5:$J$21,MATCH($C109,Muuttujat!$H$5:$H$21,0),1)</f>
        <v>67.190510474999996</v>
      </c>
      <c r="P109" s="342">
        <f>1-(INDEX(Muuttujat!$O$5:$O$21,MATCH($C109,Muuttujat!$N$5:$N$21,0),1))</f>
        <v>0.96</v>
      </c>
      <c r="Q109" s="342">
        <f>INDEX(Muuttujat!$O$5:$O$21,MATCH($C109,Muuttujat!$N$5:$N$21,0),1)</f>
        <v>0.04</v>
      </c>
      <c r="R109" s="148">
        <f>INDEX(Muuttujat!$P$5:$P$21,MATCH($C109,Muuttujat!$N$5:$N$21,0),1)</f>
        <v>4.1787917527764125E-2</v>
      </c>
      <c r="S109" s="149">
        <f t="shared" si="25"/>
        <v>0</v>
      </c>
      <c r="T109" s="150">
        <f t="shared" si="26"/>
        <v>0</v>
      </c>
      <c r="U109" s="150">
        <f t="shared" si="27"/>
        <v>0</v>
      </c>
      <c r="V109" s="150">
        <f>IFERROR(INDEX(Työkonekanta!$J$3:$J$27,MATCH($A109,Työkonekanta!$A$3:$A$24,0),1)*$B109*ef_li_ion_akku/1000/1000/INDEX(Työkonekanta!$K$3:$K$27,MATCH($A109,Työkonekanta!$A$3:$A$24,0)),0)</f>
        <v>0</v>
      </c>
      <c r="W109" s="149">
        <f t="shared" si="36"/>
        <v>0</v>
      </c>
      <c r="X109" s="150">
        <f t="shared" si="37"/>
        <v>0</v>
      </c>
      <c r="Y109" s="151">
        <f t="shared" si="38"/>
        <v>0</v>
      </c>
      <c r="Z109" s="152">
        <f t="shared" si="31"/>
        <v>0</v>
      </c>
      <c r="AA109" s="153">
        <f t="shared" si="32"/>
        <v>0</v>
      </c>
      <c r="AB109" s="153">
        <f t="shared" si="33"/>
        <v>0</v>
      </c>
      <c r="AC109" s="154">
        <f t="shared" si="39"/>
        <v>0</v>
      </c>
      <c r="AD109" s="156">
        <f t="shared" si="34"/>
        <v>0</v>
      </c>
      <c r="AE109" s="182"/>
      <c r="AG109" s="2"/>
    </row>
    <row r="110" spans="1:33">
      <c r="A110" s="139">
        <v>18</v>
      </c>
      <c r="B110" s="139" cm="1">
        <f t="array" ref="B110">IFERROR(IF(A110=s1_id_korvattava1,INDEX($AG$3:$AG$19,MATCH(C110,$AF$3:$AF$19,0),1),IF(A110=s1_id_korvaava1,INDEX($AH$3:$AH$19,MATCH(C110,$AF$3:$AF$19,0),1),IF(A110=s1_id_korvattava2,INDEX($AI$3:$AI$19,MATCH(C110,$AF$3:$AF$19,0),1),IF(A110=s1_id_korvaava2,INDEX($AJ$3:$AJ$19,MATCH(C110,$AF$3:$AF$19,0),1),INDEX(Työkonekanta!$F$3:$F$27,MATCH('S1 Sähkö'!$A110,Työkonekanta!$A$3:$A$24,0),1))))),0)</f>
        <v>0</v>
      </c>
      <c r="C110" s="140">
        <v>2022</v>
      </c>
      <c r="D110" s="141" t="str">
        <f>IFERROR(INDEX(Työkonekanta!$D$3:$D$27,MATCH('S1 Sähkö'!$A110,Työkonekanta!$A$3:$A$24,0),1),"undefined")</f>
        <v>pom</v>
      </c>
      <c r="E110" s="145">
        <f>IFERROR(INDEX(Työkonekanta!$G$3:$G$27,MATCH($A110,Työkonekanta!$A$3:$A$24,0),1)*INDEX(Työkonekanta!$H$3:$H$27,MATCH($A110,Työkonekanta!$A$3:$A$24,0),1)*(1+s1_kerroin*($C110-2019))*$B110,0)</f>
        <v>0</v>
      </c>
      <c r="F110" s="145">
        <f t="shared" si="22"/>
        <v>0</v>
      </c>
      <c r="G110" s="145">
        <f t="shared" si="28"/>
        <v>0</v>
      </c>
      <c r="H110" s="145">
        <f t="shared" si="29"/>
        <v>0</v>
      </c>
      <c r="I110" s="145">
        <f t="shared" si="23"/>
        <v>0</v>
      </c>
      <c r="J110" s="145">
        <f t="shared" si="24"/>
        <v>0</v>
      </c>
      <c r="K110" s="142" t="str">
        <f t="shared" si="30"/>
        <v>l</v>
      </c>
      <c r="L110" s="146">
        <f>IFERROR(INDEX(Työkonekanta!$I$3:$I$27,MATCH('S1 Sähkö'!$A110,Työkonekanta!$A$3:$A$24,0),1)*(I110+J110)*f_adblue,0)</f>
        <v>0</v>
      </c>
      <c r="M110" s="146">
        <f t="shared" si="35"/>
        <v>0</v>
      </c>
      <c r="N110" s="143" t="str">
        <f>IF(tuulisähkö_vuosi&lt;='S1 Sähkö'!C110,"tuulisähkö",ostosähkö_nyt)</f>
        <v>jäännössähkö</v>
      </c>
      <c r="O110" s="147">
        <f>INDEX(Muuttujat!$J$5:$J$21,MATCH($C110,Muuttujat!$H$5:$H$21,0),1)</f>
        <v>67.190510474999996</v>
      </c>
      <c r="P110" s="342">
        <f>1-(INDEX(Muuttujat!$O$5:$O$21,MATCH($C110,Muuttujat!$N$5:$N$21,0),1))</f>
        <v>0.96</v>
      </c>
      <c r="Q110" s="342">
        <f>INDEX(Muuttujat!$O$5:$O$21,MATCH($C110,Muuttujat!$N$5:$N$21,0),1)</f>
        <v>0.04</v>
      </c>
      <c r="R110" s="148">
        <f>INDEX(Muuttujat!$P$5:$P$21,MATCH($C110,Muuttujat!$N$5:$N$21,0),1)</f>
        <v>4.1787917527764125E-2</v>
      </c>
      <c r="S110" s="149">
        <f t="shared" si="25"/>
        <v>0</v>
      </c>
      <c r="T110" s="150">
        <f t="shared" si="26"/>
        <v>0</v>
      </c>
      <c r="U110" s="150">
        <f t="shared" si="27"/>
        <v>0</v>
      </c>
      <c r="V110" s="150">
        <f>IFERROR(INDEX(Työkonekanta!$J$3:$J$27,MATCH($A110,Työkonekanta!$A$3:$A$24,0),1)*$B110*ef_li_ion_akku/1000/1000/INDEX(Työkonekanta!$K$3:$K$27,MATCH($A110,Työkonekanta!$A$3:$A$24,0)),0)</f>
        <v>0</v>
      </c>
      <c r="W110" s="149">
        <f t="shared" si="36"/>
        <v>0</v>
      </c>
      <c r="X110" s="150">
        <f t="shared" si="37"/>
        <v>0</v>
      </c>
      <c r="Y110" s="151">
        <f t="shared" si="38"/>
        <v>0</v>
      </c>
      <c r="Z110" s="152">
        <f t="shared" si="31"/>
        <v>0</v>
      </c>
      <c r="AA110" s="153">
        <f t="shared" si="32"/>
        <v>0</v>
      </c>
      <c r="AB110" s="153">
        <f t="shared" si="33"/>
        <v>0</v>
      </c>
      <c r="AC110" s="154">
        <f t="shared" si="39"/>
        <v>0</v>
      </c>
      <c r="AD110" s="156">
        <f t="shared" si="34"/>
        <v>0</v>
      </c>
      <c r="AE110" s="182"/>
      <c r="AG110" s="2"/>
    </row>
    <row r="111" spans="1:33">
      <c r="A111" s="139">
        <v>19</v>
      </c>
      <c r="B111" s="139" cm="1">
        <f t="array" ref="B111">IFERROR(IF(A111=s1_id_korvattava1,INDEX($AG$3:$AG$19,MATCH(C111,$AF$3:$AF$19,0),1),IF(A111=s1_id_korvaava1,INDEX($AH$3:$AH$19,MATCH(C111,$AF$3:$AF$19,0),1),IF(A111=s1_id_korvattava2,INDEX($AI$3:$AI$19,MATCH(C111,$AF$3:$AF$19,0),1),IF(A111=s1_id_korvaava2,INDEX($AJ$3:$AJ$19,MATCH(C111,$AF$3:$AF$19,0),1),INDEX(Työkonekanta!$F$3:$F$27,MATCH('S1 Sähkö'!$A111,Työkonekanta!$A$3:$A$24,0),1))))),0)</f>
        <v>0</v>
      </c>
      <c r="C111" s="140">
        <v>2022</v>
      </c>
      <c r="D111" s="141" t="str">
        <f>IFERROR(INDEX(Työkonekanta!$D$3:$D$27,MATCH('S1 Sähkö'!$A111,Työkonekanta!$A$3:$A$24,0),1),"undefined")</f>
        <v>pom</v>
      </c>
      <c r="E111" s="145">
        <f>IFERROR(INDEX(Työkonekanta!$G$3:$G$27,MATCH($A111,Työkonekanta!$A$3:$A$24,0),1)*INDEX(Työkonekanta!$H$3:$H$27,MATCH($A111,Työkonekanta!$A$3:$A$24,0),1)*(1+s1_kerroin*($C111-2019))*$B111,0)</f>
        <v>0</v>
      </c>
      <c r="F111" s="145">
        <f t="shared" si="22"/>
        <v>0</v>
      </c>
      <c r="G111" s="145">
        <f t="shared" si="28"/>
        <v>0</v>
      </c>
      <c r="H111" s="145">
        <f t="shared" si="29"/>
        <v>0</v>
      </c>
      <c r="I111" s="145">
        <f t="shared" si="23"/>
        <v>0</v>
      </c>
      <c r="J111" s="145">
        <f t="shared" si="24"/>
        <v>0</v>
      </c>
      <c r="K111" s="142" t="str">
        <f t="shared" si="30"/>
        <v>l</v>
      </c>
      <c r="L111" s="146">
        <f>IFERROR(INDEX(Työkonekanta!$I$3:$I$27,MATCH('S1 Sähkö'!$A111,Työkonekanta!$A$3:$A$24,0),1)*(I111+J111)*f_adblue,0)</f>
        <v>0</v>
      </c>
      <c r="M111" s="146">
        <f t="shared" si="35"/>
        <v>0</v>
      </c>
      <c r="N111" s="143" t="str">
        <f>IF(tuulisähkö_vuosi&lt;='S1 Sähkö'!C111,"tuulisähkö",ostosähkö_nyt)</f>
        <v>jäännössähkö</v>
      </c>
      <c r="O111" s="147">
        <f>INDEX(Muuttujat!$J$5:$J$21,MATCH($C111,Muuttujat!$H$5:$H$21,0),1)</f>
        <v>67.190510474999996</v>
      </c>
      <c r="P111" s="342">
        <f>1-(INDEX(Muuttujat!$O$5:$O$21,MATCH($C111,Muuttujat!$N$5:$N$21,0),1))</f>
        <v>0.96</v>
      </c>
      <c r="Q111" s="342">
        <f>INDEX(Muuttujat!$O$5:$O$21,MATCH($C111,Muuttujat!$N$5:$N$21,0),1)</f>
        <v>0.04</v>
      </c>
      <c r="R111" s="148">
        <f>INDEX(Muuttujat!$P$5:$P$21,MATCH($C111,Muuttujat!$N$5:$N$21,0),1)</f>
        <v>4.1787917527764125E-2</v>
      </c>
      <c r="S111" s="149">
        <f t="shared" si="25"/>
        <v>0</v>
      </c>
      <c r="T111" s="150">
        <f t="shared" si="26"/>
        <v>0</v>
      </c>
      <c r="U111" s="150">
        <f t="shared" si="27"/>
        <v>0</v>
      </c>
      <c r="V111" s="150">
        <f>IFERROR(INDEX(Työkonekanta!$J$3:$J$27,MATCH($A111,Työkonekanta!$A$3:$A$24,0),1)*$B111*ef_li_ion_akku/1000/1000/INDEX(Työkonekanta!$K$3:$K$27,MATCH($A111,Työkonekanta!$A$3:$A$24,0)),0)</f>
        <v>0</v>
      </c>
      <c r="W111" s="149">
        <f t="shared" si="36"/>
        <v>0</v>
      </c>
      <c r="X111" s="150">
        <f t="shared" si="37"/>
        <v>0</v>
      </c>
      <c r="Y111" s="151">
        <f t="shared" si="38"/>
        <v>0</v>
      </c>
      <c r="Z111" s="152">
        <f t="shared" si="31"/>
        <v>0</v>
      </c>
      <c r="AA111" s="153">
        <f t="shared" si="32"/>
        <v>0</v>
      </c>
      <c r="AB111" s="153">
        <f t="shared" si="33"/>
        <v>0</v>
      </c>
      <c r="AC111" s="154">
        <f t="shared" si="39"/>
        <v>0</v>
      </c>
      <c r="AD111" s="156">
        <f t="shared" si="34"/>
        <v>0</v>
      </c>
      <c r="AE111" s="182"/>
      <c r="AG111" s="2"/>
    </row>
    <row r="112" spans="1:33">
      <c r="A112" s="139">
        <v>20</v>
      </c>
      <c r="B112" s="139" cm="1">
        <f t="array" ref="B112">IFERROR(IF(A112=s1_id_korvattava1,INDEX($AG$3:$AG$19,MATCH(C112,$AF$3:$AF$19,0),1),IF(A112=s1_id_korvaava1,INDEX($AH$3:$AH$19,MATCH(C112,$AF$3:$AF$19,0),1),IF(A112=s1_id_korvattava2,INDEX($AI$3:$AI$19,MATCH(C112,$AF$3:$AF$19,0),1),IF(A112=s1_id_korvaava2,INDEX($AJ$3:$AJ$19,MATCH(C112,$AF$3:$AF$19,0),1),INDEX(Työkonekanta!$F$3:$F$27,MATCH('S1 Sähkö'!$A112,Työkonekanta!$A$3:$A$24,0),1))))),0)</f>
        <v>0</v>
      </c>
      <c r="C112" s="140">
        <v>2022</v>
      </c>
      <c r="D112" s="141" t="str">
        <f>IFERROR(INDEX(Työkonekanta!$D$3:$D$27,MATCH('S1 Sähkö'!$A112,Työkonekanta!$A$3:$A$24,0),1),"undefined")</f>
        <v>pom</v>
      </c>
      <c r="E112" s="145">
        <f>IFERROR(INDEX(Työkonekanta!$G$3:$G$27,MATCH($A112,Työkonekanta!$A$3:$A$24,0),1)*INDEX(Työkonekanta!$H$3:$H$27,MATCH($A112,Työkonekanta!$A$3:$A$24,0),1)*(1+s1_kerroin*($C112-2019))*$B112,0)</f>
        <v>0</v>
      </c>
      <c r="F112" s="145">
        <f t="shared" si="22"/>
        <v>0</v>
      </c>
      <c r="G112" s="145">
        <f t="shared" si="28"/>
        <v>0</v>
      </c>
      <c r="H112" s="145">
        <f t="shared" si="29"/>
        <v>0</v>
      </c>
      <c r="I112" s="145">
        <f t="shared" si="23"/>
        <v>0</v>
      </c>
      <c r="J112" s="145">
        <f t="shared" si="24"/>
        <v>0</v>
      </c>
      <c r="K112" s="142" t="str">
        <f t="shared" si="30"/>
        <v>l</v>
      </c>
      <c r="L112" s="146">
        <f>IFERROR(INDEX(Työkonekanta!$I$3:$I$27,MATCH('S1 Sähkö'!$A112,Työkonekanta!$A$3:$A$24,0),1)*(I112+J112)*f_adblue,0)</f>
        <v>0</v>
      </c>
      <c r="M112" s="146">
        <f t="shared" si="35"/>
        <v>0</v>
      </c>
      <c r="N112" s="143" t="str">
        <f>IF(tuulisähkö_vuosi&lt;='S1 Sähkö'!C112,"tuulisähkö",ostosähkö_nyt)</f>
        <v>jäännössähkö</v>
      </c>
      <c r="O112" s="147">
        <f>INDEX(Muuttujat!$J$5:$J$21,MATCH($C112,Muuttujat!$H$5:$H$21,0),1)</f>
        <v>67.190510474999996</v>
      </c>
      <c r="P112" s="342">
        <f>1-(INDEX(Muuttujat!$O$5:$O$21,MATCH($C112,Muuttujat!$N$5:$N$21,0),1))</f>
        <v>0.96</v>
      </c>
      <c r="Q112" s="342">
        <f>INDEX(Muuttujat!$O$5:$O$21,MATCH($C112,Muuttujat!$N$5:$N$21,0),1)</f>
        <v>0.04</v>
      </c>
      <c r="R112" s="148">
        <f>INDEX(Muuttujat!$P$5:$P$21,MATCH($C112,Muuttujat!$N$5:$N$21,0),1)</f>
        <v>4.1787917527764125E-2</v>
      </c>
      <c r="S112" s="149">
        <f t="shared" si="25"/>
        <v>0</v>
      </c>
      <c r="T112" s="150">
        <f t="shared" si="26"/>
        <v>0</v>
      </c>
      <c r="U112" s="150">
        <f t="shared" si="27"/>
        <v>0</v>
      </c>
      <c r="V112" s="150">
        <f>IFERROR(INDEX(Työkonekanta!$J$3:$J$27,MATCH($A112,Työkonekanta!$A$3:$A$24,0),1)*$B112*ef_li_ion_akku/1000/1000/INDEX(Työkonekanta!$K$3:$K$27,MATCH($A112,Työkonekanta!$A$3:$A$24,0)),0)</f>
        <v>0</v>
      </c>
      <c r="W112" s="149">
        <f t="shared" si="36"/>
        <v>0</v>
      </c>
      <c r="X112" s="150">
        <f t="shared" si="37"/>
        <v>0</v>
      </c>
      <c r="Y112" s="151">
        <f t="shared" si="38"/>
        <v>0</v>
      </c>
      <c r="Z112" s="152">
        <f t="shared" si="31"/>
        <v>0</v>
      </c>
      <c r="AA112" s="153">
        <f t="shared" si="32"/>
        <v>0</v>
      </c>
      <c r="AB112" s="153">
        <f t="shared" si="33"/>
        <v>0</v>
      </c>
      <c r="AC112" s="154">
        <f t="shared" si="39"/>
        <v>0</v>
      </c>
      <c r="AD112" s="156">
        <f t="shared" si="34"/>
        <v>0</v>
      </c>
      <c r="AE112" s="182"/>
      <c r="AG112" s="2"/>
    </row>
    <row r="113" spans="1:37">
      <c r="A113" s="139">
        <v>21</v>
      </c>
      <c r="B113" s="139" cm="1">
        <f t="array" ref="B113">IFERROR(IF(A113=s1_id_korvattava1,INDEX($AG$3:$AG$19,MATCH(C113,$AF$3:$AF$19,0),1),IF(A113=s1_id_korvaava1,INDEX($AH$3:$AH$19,MATCH(C113,$AF$3:$AF$19,0),1),IF(A113=s1_id_korvattava2,INDEX($AI$3:$AI$19,MATCH(C113,$AF$3:$AF$19,0),1),IF(A113=s1_id_korvaava2,INDEX($AJ$3:$AJ$19,MATCH(C113,$AF$3:$AF$19,0),1),INDEX(Työkonekanta!$F$3:$F$27,MATCH('S1 Sähkö'!$A113,Työkonekanta!$A$3:$A$24,0),1))))),0)</f>
        <v>36</v>
      </c>
      <c r="C113" s="140">
        <v>2022</v>
      </c>
      <c r="D113" s="141" t="str">
        <f>IFERROR(INDEX(Työkonekanta!$D$3:$D$27,MATCH('S1 Sähkö'!$A113,Työkonekanta!$A$3:$A$24,0),1),"undefined")</f>
        <v>sähkö</v>
      </c>
      <c r="E113" s="145">
        <f>IFERROR(INDEX(Työkonekanta!$G$3:$G$27,MATCH($A113,Työkonekanta!$A$3:$A$24,0),1)*INDEX(Työkonekanta!$H$3:$H$27,MATCH($A113,Työkonekanta!$A$3:$A$24,0),1)*(1+s1_kerroin*($C113-2019))*$B113,0)</f>
        <v>431398.33333333331</v>
      </c>
      <c r="F113" s="145">
        <f t="shared" si="22"/>
        <v>0</v>
      </c>
      <c r="G113" s="145">
        <f t="shared" si="28"/>
        <v>0</v>
      </c>
      <c r="H113" s="145">
        <f t="shared" si="29"/>
        <v>0</v>
      </c>
      <c r="I113" s="145">
        <f t="shared" si="23"/>
        <v>0</v>
      </c>
      <c r="J113" s="145">
        <f t="shared" si="24"/>
        <v>0</v>
      </c>
      <c r="K113" s="142" t="str">
        <f t="shared" si="30"/>
        <v>kWh</v>
      </c>
      <c r="L113" s="146">
        <f>IFERROR(INDEX(Työkonekanta!$I$3:$I$27,MATCH('S1 Sähkö'!$A113,Työkonekanta!$A$3:$A$24,0),1)*(I113+J113)*f_adblue,0)</f>
        <v>0</v>
      </c>
      <c r="M113" s="146">
        <f t="shared" si="35"/>
        <v>1553034</v>
      </c>
      <c r="N113" s="143" t="str">
        <f>IF(tuulisähkö_vuosi&lt;='S1 Sähkö'!C113,"tuulisähkö",ostosähkö_nyt)</f>
        <v>jäännössähkö</v>
      </c>
      <c r="O113" s="147">
        <f>INDEX(Muuttujat!$J$5:$J$21,MATCH($C113,Muuttujat!$H$5:$H$21,0),1)</f>
        <v>67.190510474999996</v>
      </c>
      <c r="P113" s="342">
        <f>1-(INDEX(Muuttujat!$O$5:$O$21,MATCH($C113,Muuttujat!$N$5:$N$21,0),1))</f>
        <v>0.96</v>
      </c>
      <c r="Q113" s="342">
        <f>INDEX(Muuttujat!$O$5:$O$21,MATCH($C113,Muuttujat!$N$5:$N$21,0),1)</f>
        <v>0.04</v>
      </c>
      <c r="R113" s="148">
        <f>INDEX(Muuttujat!$P$5:$P$21,MATCH($C113,Muuttujat!$N$5:$N$21,0),1)</f>
        <v>4.1787917527764125E-2</v>
      </c>
      <c r="S113" s="149">
        <f t="shared" si="25"/>
        <v>0</v>
      </c>
      <c r="T113" s="150">
        <f t="shared" si="26"/>
        <v>0</v>
      </c>
      <c r="U113" s="150">
        <f t="shared" si="27"/>
        <v>104.34914724503115</v>
      </c>
      <c r="V113" s="150">
        <f>IFERROR(INDEX(Työkonekanta!$J$3:$J$27,MATCH($A113,Työkonekanta!$A$3:$A$24,0),1)*$B113*ef_li_ion_akku/1000/1000/INDEX(Työkonekanta!$K$3:$K$27,MATCH($A113,Työkonekanta!$A$3:$A$24,0)),0)</f>
        <v>44.353772307692303</v>
      </c>
      <c r="W113" s="149">
        <f t="shared" si="36"/>
        <v>0</v>
      </c>
      <c r="X113" s="150">
        <f t="shared" si="37"/>
        <v>0</v>
      </c>
      <c r="Y113" s="151">
        <f t="shared" si="38"/>
        <v>0</v>
      </c>
      <c r="Z113" s="152">
        <f t="shared" si="31"/>
        <v>148.70291955272344</v>
      </c>
      <c r="AA113" s="153">
        <f t="shared" si="32"/>
        <v>0</v>
      </c>
      <c r="AB113" s="153">
        <f t="shared" si="33"/>
        <v>0</v>
      </c>
      <c r="AC113" s="154">
        <f t="shared" si="39"/>
        <v>148.70291955272344</v>
      </c>
      <c r="AD113" s="156">
        <f t="shared" si="34"/>
        <v>148.70291955272344</v>
      </c>
      <c r="AE113" s="182"/>
      <c r="AG113" s="2"/>
    </row>
    <row r="114" spans="1:37">
      <c r="A114" s="139">
        <v>22</v>
      </c>
      <c r="B114" s="139" cm="1">
        <f t="array" ref="B114">IFERROR(IF(A114=s1_id_korvattava1,INDEX($AG$3:$AG$19,MATCH(C114,$AF$3:$AF$19,0),1),IF(A114=s1_id_korvaava1,INDEX($AH$3:$AH$19,MATCH(C114,$AF$3:$AF$19,0),1),IF(A114=s1_id_korvattava2,INDEX($AI$3:$AI$19,MATCH(C114,$AF$3:$AF$19,0),1),IF(A114=s1_id_korvaava2,INDEX($AJ$3:$AJ$19,MATCH(C114,$AF$3:$AF$19,0),1),INDEX(Työkonekanta!$F$3:$F$27,MATCH('S1 Sähkö'!$A114,Työkonekanta!$A$3:$A$24,0),1))))),0)</f>
        <v>1</v>
      </c>
      <c r="C114" s="140">
        <v>2022</v>
      </c>
      <c r="D114" s="141" t="str">
        <f>IFERROR(INDEX(Työkonekanta!$D$3:$D$27,MATCH('S1 Sähkö'!$A114,Työkonekanta!$A$3:$A$24,0),1),"undefined")</f>
        <v>sähkö</v>
      </c>
      <c r="E114" s="145">
        <f>IFERROR(INDEX(Työkonekanta!$G$3:$G$27,MATCH($A114,Työkonekanta!$A$3:$A$24,0),1)*INDEX(Työkonekanta!$H$3:$H$27,MATCH($A114,Työkonekanta!$A$3:$A$24,0),1)*(1+s1_kerroin*($C114-2019))*$B114,0)</f>
        <v>45878.870370370372</v>
      </c>
      <c r="F114" s="145">
        <f t="shared" si="22"/>
        <v>0</v>
      </c>
      <c r="G114" s="145">
        <f t="shared" si="28"/>
        <v>0</v>
      </c>
      <c r="H114" s="145">
        <f t="shared" si="29"/>
        <v>0</v>
      </c>
      <c r="I114" s="145">
        <f t="shared" si="23"/>
        <v>0</v>
      </c>
      <c r="J114" s="145">
        <f t="shared" si="24"/>
        <v>0</v>
      </c>
      <c r="K114" s="142" t="str">
        <f t="shared" si="30"/>
        <v>kWh</v>
      </c>
      <c r="L114" s="146">
        <f>IFERROR(INDEX(Työkonekanta!$I$3:$I$27,MATCH('S1 Sähkö'!$A114,Työkonekanta!$A$3:$A$24,0),1)*(I114+J114)*f_adblue,0)</f>
        <v>0</v>
      </c>
      <c r="M114" s="146">
        <f t="shared" si="35"/>
        <v>165163.93333333335</v>
      </c>
      <c r="N114" s="143" t="str">
        <f>IF(tuulisähkö_vuosi&lt;='S1 Sähkö'!C114,"tuulisähkö",ostosähkö_nyt)</f>
        <v>jäännössähkö</v>
      </c>
      <c r="O114" s="147">
        <f>INDEX(Muuttujat!$J$5:$J$21,MATCH($C114,Muuttujat!$H$5:$H$21,0),1)</f>
        <v>67.190510474999996</v>
      </c>
      <c r="P114" s="342">
        <f>1-(INDEX(Muuttujat!$O$5:$O$21,MATCH($C114,Muuttujat!$N$5:$N$21,0),1))</f>
        <v>0.96</v>
      </c>
      <c r="Q114" s="342">
        <f>INDEX(Muuttujat!$O$5:$O$21,MATCH($C114,Muuttujat!$N$5:$N$21,0),1)</f>
        <v>0.04</v>
      </c>
      <c r="R114" s="148">
        <f>INDEX(Muuttujat!$P$5:$P$21,MATCH($C114,Muuttujat!$N$5:$N$21,0),1)</f>
        <v>4.1787917527764125E-2</v>
      </c>
      <c r="S114" s="149">
        <f t="shared" si="25"/>
        <v>0</v>
      </c>
      <c r="T114" s="150">
        <f t="shared" si="26"/>
        <v>0</v>
      </c>
      <c r="U114" s="150">
        <f t="shared" si="27"/>
        <v>11.097448992725536</v>
      </c>
      <c r="V114" s="150">
        <f>IFERROR(INDEX(Työkonekanta!$J$3:$J$27,MATCH($A114,Työkonekanta!$A$3:$A$24,0),1)*$B114*ef_li_ion_akku/1000/1000/INDEX(Työkonekanta!$K$3:$K$27,MATCH($A114,Työkonekanta!$A$3:$A$24,0)),0)</f>
        <v>5.2676455384615384</v>
      </c>
      <c r="W114" s="149">
        <f t="shared" si="36"/>
        <v>0</v>
      </c>
      <c r="X114" s="150">
        <f t="shared" si="37"/>
        <v>0</v>
      </c>
      <c r="Y114" s="151">
        <f t="shared" si="38"/>
        <v>0</v>
      </c>
      <c r="Z114" s="152">
        <f t="shared" si="31"/>
        <v>16.365094531187076</v>
      </c>
      <c r="AA114" s="153">
        <f t="shared" si="32"/>
        <v>0</v>
      </c>
      <c r="AB114" s="153">
        <f t="shared" si="33"/>
        <v>0</v>
      </c>
      <c r="AC114" s="154">
        <f t="shared" si="39"/>
        <v>16.365094531187076</v>
      </c>
      <c r="AD114" s="156">
        <f t="shared" si="34"/>
        <v>16.365094531187076</v>
      </c>
      <c r="AE114" s="182"/>
      <c r="AG114" s="2"/>
    </row>
    <row r="115" spans="1:37">
      <c r="A115" s="139">
        <v>23</v>
      </c>
      <c r="B115" s="139" cm="1">
        <f t="array" ref="B115">IFERROR(IF(A115=s1_id_korvattava1,INDEX($AG$3:$AG$19,MATCH(C115,$AF$3:$AF$19,0),1),IF(A115=s1_id_korvaava1,INDEX($AH$3:$AH$19,MATCH(C115,$AF$3:$AF$19,0),1),IF(A115=s1_id_korvattava2,INDEX($AI$3:$AI$19,MATCH(C115,$AF$3:$AF$19,0),1),IF(A115=s1_id_korvaava2,INDEX($AJ$3:$AJ$19,MATCH(C115,$AF$3:$AF$19,0),1),INDEX(Työkonekanta!$F$3:$F$27,MATCH('S1 Sähkö'!$A115,Työkonekanta!$A$3:$A$24,0),1))))),0)</f>
        <v>0</v>
      </c>
      <c r="C115" s="140">
        <v>2022</v>
      </c>
      <c r="D115" s="141" t="str">
        <f>IFERROR(INDEX(Työkonekanta!$D$3:$D$27,MATCH('S1 Sähkö'!$A115,Työkonekanta!$A$3:$A$24,0),1),"undefined")</f>
        <v>undefined</v>
      </c>
      <c r="E115" s="145">
        <f>IFERROR(INDEX(Työkonekanta!$G$3:$G$27,MATCH($A115,Työkonekanta!$A$3:$A$24,0),1)*INDEX(Työkonekanta!$H$3:$H$27,MATCH($A115,Työkonekanta!$A$3:$A$24,0),1)*(1+s1_kerroin*($C115-2019))*$B115,0)</f>
        <v>0</v>
      </c>
      <c r="F115" s="145">
        <f t="shared" si="22"/>
        <v>0</v>
      </c>
      <c r="G115" s="145">
        <f t="shared" si="28"/>
        <v>0</v>
      </c>
      <c r="H115" s="145">
        <f t="shared" si="29"/>
        <v>0</v>
      </c>
      <c r="I115" s="145">
        <f t="shared" si="23"/>
        <v>0</v>
      </c>
      <c r="J115" s="145">
        <f t="shared" si="24"/>
        <v>0</v>
      </c>
      <c r="K115" s="142" t="str">
        <f t="shared" si="30"/>
        <v>undefined</v>
      </c>
      <c r="L115" s="146">
        <f>IFERROR(INDEX(Työkonekanta!$I$3:$I$27,MATCH('S1 Sähkö'!$A115,Työkonekanta!$A$3:$A$24,0),1)*(I115+J115)*f_adblue,0)</f>
        <v>0</v>
      </c>
      <c r="M115" s="146">
        <f t="shared" si="35"/>
        <v>0</v>
      </c>
      <c r="N115" s="143" t="str">
        <f>IF(tuulisähkö_vuosi&lt;='S1 Sähkö'!C115,"tuulisähkö",ostosähkö_nyt)</f>
        <v>jäännössähkö</v>
      </c>
      <c r="O115" s="147">
        <f>INDEX(Muuttujat!$J$5:$J$21,MATCH($C115,Muuttujat!$H$5:$H$21,0),1)</f>
        <v>67.190510474999996</v>
      </c>
      <c r="P115" s="342">
        <f>1-(INDEX(Muuttujat!$O$5:$O$21,MATCH($C115,Muuttujat!$N$5:$N$21,0),1))</f>
        <v>0.96</v>
      </c>
      <c r="Q115" s="342">
        <f>INDEX(Muuttujat!$O$5:$O$21,MATCH($C115,Muuttujat!$N$5:$N$21,0),1)</f>
        <v>0.04</v>
      </c>
      <c r="R115" s="148">
        <f>INDEX(Muuttujat!$P$5:$P$21,MATCH($C115,Muuttujat!$N$5:$N$21,0),1)</f>
        <v>4.1787917527764125E-2</v>
      </c>
      <c r="S115" s="149">
        <f t="shared" si="25"/>
        <v>0</v>
      </c>
      <c r="T115" s="150">
        <f t="shared" si="26"/>
        <v>0</v>
      </c>
      <c r="U115" s="150">
        <f t="shared" si="27"/>
        <v>0</v>
      </c>
      <c r="V115" s="150">
        <f>IFERROR(INDEX(Työkonekanta!$J$3:$J$27,MATCH($A115,Työkonekanta!$A$3:$A$24,0),1)*$B115*ef_li_ion_akku/1000/1000/INDEX(Työkonekanta!$K$3:$K$27,MATCH($A115,Työkonekanta!$A$3:$A$24,0)),0)</f>
        <v>0</v>
      </c>
      <c r="W115" s="149">
        <f t="shared" si="36"/>
        <v>0</v>
      </c>
      <c r="X115" s="150">
        <f t="shared" si="37"/>
        <v>0</v>
      </c>
      <c r="Y115" s="151">
        <f t="shared" si="38"/>
        <v>0</v>
      </c>
      <c r="Z115" s="152">
        <f t="shared" si="31"/>
        <v>0</v>
      </c>
      <c r="AA115" s="153">
        <f t="shared" si="32"/>
        <v>0</v>
      </c>
      <c r="AB115" s="153">
        <f t="shared" si="33"/>
        <v>0</v>
      </c>
      <c r="AC115" s="154">
        <f t="shared" si="39"/>
        <v>0</v>
      </c>
      <c r="AD115" s="156">
        <f t="shared" si="34"/>
        <v>0</v>
      </c>
      <c r="AE115" s="182"/>
      <c r="AJ115" s="28"/>
      <c r="AK115" s="29"/>
    </row>
    <row r="116" spans="1:37">
      <c r="A116" s="139">
        <v>24</v>
      </c>
      <c r="B116" s="139" cm="1">
        <f t="array" ref="B116">IFERROR(IF(A116=s1_id_korvattava1,INDEX($AG$3:$AG$19,MATCH(C116,$AF$3:$AF$19,0),1),IF(A116=s1_id_korvaava1,INDEX($AH$3:$AH$19,MATCH(C116,$AF$3:$AF$19,0),1),IF(A116=s1_id_korvattava2,INDEX($AI$3:$AI$19,MATCH(C116,$AF$3:$AF$19,0),1),IF(A116=s1_id_korvaava2,INDEX($AJ$3:$AJ$19,MATCH(C116,$AF$3:$AF$19,0),1),INDEX(Työkonekanta!$F$3:$F$27,MATCH('S1 Sähkö'!$A116,Työkonekanta!$A$3:$A$24,0),1))))),0)</f>
        <v>0</v>
      </c>
      <c r="C116" s="140">
        <v>2022</v>
      </c>
      <c r="D116" s="141" t="str">
        <f>IFERROR(INDEX(Työkonekanta!$D$3:$D$27,MATCH('S1 Sähkö'!$A116,Työkonekanta!$A$3:$A$24,0),1),"undefined")</f>
        <v>undefined</v>
      </c>
      <c r="E116" s="145">
        <f>IFERROR(INDEX(Työkonekanta!$G$3:$G$27,MATCH($A116,Työkonekanta!$A$3:$A$24,0),1)*INDEX(Työkonekanta!$H$3:$H$27,MATCH($A116,Työkonekanta!$A$3:$A$24,0),1)*(1+s1_kerroin*($C116-2019))*$B116,0)</f>
        <v>0</v>
      </c>
      <c r="F116" s="145">
        <f t="shared" si="22"/>
        <v>0</v>
      </c>
      <c r="G116" s="145">
        <f t="shared" si="28"/>
        <v>0</v>
      </c>
      <c r="H116" s="145">
        <f t="shared" si="29"/>
        <v>0</v>
      </c>
      <c r="I116" s="145">
        <f t="shared" si="23"/>
        <v>0</v>
      </c>
      <c r="J116" s="145">
        <f t="shared" si="24"/>
        <v>0</v>
      </c>
      <c r="K116" s="142" t="str">
        <f t="shared" si="30"/>
        <v>undefined</v>
      </c>
      <c r="L116" s="146">
        <f>IFERROR(INDEX(Työkonekanta!$I$3:$I$27,MATCH('S1 Sähkö'!$A116,Työkonekanta!$A$3:$A$24,0),1)*(I116+J116)*f_adblue,0)</f>
        <v>0</v>
      </c>
      <c r="M116" s="146">
        <f t="shared" si="35"/>
        <v>0</v>
      </c>
      <c r="N116" s="143" t="str">
        <f>IF(tuulisähkö_vuosi&lt;='S1 Sähkö'!C116,"tuulisähkö",ostosähkö_nyt)</f>
        <v>jäännössähkö</v>
      </c>
      <c r="O116" s="147">
        <f>INDEX(Muuttujat!$J$5:$J$21,MATCH($C116,Muuttujat!$H$5:$H$21,0),1)</f>
        <v>67.190510474999996</v>
      </c>
      <c r="P116" s="342">
        <f>1-(INDEX(Muuttujat!$O$5:$O$21,MATCH($C116,Muuttujat!$N$5:$N$21,0),1))</f>
        <v>0.96</v>
      </c>
      <c r="Q116" s="342">
        <f>INDEX(Muuttujat!$O$5:$O$21,MATCH($C116,Muuttujat!$N$5:$N$21,0),1)</f>
        <v>0.04</v>
      </c>
      <c r="R116" s="148">
        <f>INDEX(Muuttujat!$P$5:$P$21,MATCH($C116,Muuttujat!$N$5:$N$21,0),1)</f>
        <v>4.1787917527764125E-2</v>
      </c>
      <c r="S116" s="149">
        <f t="shared" si="25"/>
        <v>0</v>
      </c>
      <c r="T116" s="150">
        <f t="shared" si="26"/>
        <v>0</v>
      </c>
      <c r="U116" s="150">
        <f t="shared" si="27"/>
        <v>0</v>
      </c>
      <c r="V116" s="150">
        <f>IFERROR(INDEX(Työkonekanta!$J$3:$J$27,MATCH($A116,Työkonekanta!$A$3:$A$24,0),1)*$B116*ef_li_ion_akku/1000/1000/INDEX(Työkonekanta!$K$3:$K$27,MATCH($A116,Työkonekanta!$A$3:$A$24,0)),0)</f>
        <v>0</v>
      </c>
      <c r="W116" s="149">
        <f t="shared" si="36"/>
        <v>0</v>
      </c>
      <c r="X116" s="150">
        <f t="shared" si="37"/>
        <v>0</v>
      </c>
      <c r="Y116" s="151">
        <f t="shared" si="38"/>
        <v>0</v>
      </c>
      <c r="Z116" s="152">
        <f t="shared" si="31"/>
        <v>0</v>
      </c>
      <c r="AA116" s="153">
        <f t="shared" si="32"/>
        <v>0</v>
      </c>
      <c r="AB116" s="153">
        <f t="shared" si="33"/>
        <v>0</v>
      </c>
      <c r="AC116" s="154">
        <f t="shared" si="39"/>
        <v>0</v>
      </c>
      <c r="AD116" s="156">
        <f t="shared" si="34"/>
        <v>0</v>
      </c>
      <c r="AE116" s="182"/>
      <c r="AJ116" s="28"/>
      <c r="AK116" s="29"/>
    </row>
    <row r="117" spans="1:37">
      <c r="A117" s="139">
        <v>25</v>
      </c>
      <c r="B117" s="139" cm="1">
        <f t="array" ref="B117">IFERROR(IF(A117=s1_id_korvattava1,INDEX($AG$3:$AG$19,MATCH(C117,$AF$3:$AF$19,0),1),IF(A117=s1_id_korvaava1,INDEX($AH$3:$AH$19,MATCH(C117,$AF$3:$AF$19,0),1),IF(A117=s1_id_korvattava2,INDEX($AI$3:$AI$19,MATCH(C117,$AF$3:$AF$19,0),1),IF(A117=s1_id_korvaava2,INDEX($AJ$3:$AJ$19,MATCH(C117,$AF$3:$AF$19,0),1),INDEX(Työkonekanta!$F$3:$F$27,MATCH('S1 Sähkö'!$A117,Työkonekanta!$A$3:$A$24,0),1))))),0)</f>
        <v>0</v>
      </c>
      <c r="C117" s="140">
        <v>2022</v>
      </c>
      <c r="D117" s="141" t="str">
        <f>IFERROR(INDEX(Työkonekanta!$D$3:$D$27,MATCH('S1 Sähkö'!$A117,Työkonekanta!$A$3:$A$24,0),1),"undefined")</f>
        <v>undefined</v>
      </c>
      <c r="E117" s="145">
        <f>IFERROR(INDEX(Työkonekanta!$G$3:$G$27,MATCH($A117,Työkonekanta!$A$3:$A$24,0),1)*INDEX(Työkonekanta!$H$3:$H$27,MATCH($A117,Työkonekanta!$A$3:$A$24,0),1)*(1+s1_kerroin*($C117-2019))*$B117,0)</f>
        <v>0</v>
      </c>
      <c r="F117" s="145">
        <f t="shared" si="22"/>
        <v>0</v>
      </c>
      <c r="G117" s="145">
        <f t="shared" si="28"/>
        <v>0</v>
      </c>
      <c r="H117" s="145">
        <f t="shared" si="29"/>
        <v>0</v>
      </c>
      <c r="I117" s="145">
        <f t="shared" si="23"/>
        <v>0</v>
      </c>
      <c r="J117" s="145">
        <f t="shared" si="24"/>
        <v>0</v>
      </c>
      <c r="K117" s="142" t="str">
        <f t="shared" si="30"/>
        <v>undefined</v>
      </c>
      <c r="L117" s="146">
        <f>IFERROR(INDEX(Työkonekanta!$I$3:$I$27,MATCH('S1 Sähkö'!$A117,Työkonekanta!$A$3:$A$24,0),1)*(I117+J117)*f_adblue,0)</f>
        <v>0</v>
      </c>
      <c r="M117" s="146">
        <f t="shared" si="35"/>
        <v>0</v>
      </c>
      <c r="N117" s="143" t="str">
        <f>IF(tuulisähkö_vuosi&lt;='S1 Sähkö'!C117,"tuulisähkö",ostosähkö_nyt)</f>
        <v>jäännössähkö</v>
      </c>
      <c r="O117" s="147">
        <f>INDEX(Muuttujat!$J$5:$J$21,MATCH($C117,Muuttujat!$H$5:$H$21,0),1)</f>
        <v>67.190510474999996</v>
      </c>
      <c r="P117" s="342">
        <f>1-(INDEX(Muuttujat!$O$5:$O$21,MATCH($C117,Muuttujat!$N$5:$N$21,0),1))</f>
        <v>0.96</v>
      </c>
      <c r="Q117" s="342">
        <f>INDEX(Muuttujat!$O$5:$O$21,MATCH($C117,Muuttujat!$N$5:$N$21,0),1)</f>
        <v>0.04</v>
      </c>
      <c r="R117" s="148">
        <f>INDEX(Muuttujat!$P$5:$P$21,MATCH($C117,Muuttujat!$N$5:$N$21,0),1)</f>
        <v>4.1787917527764125E-2</v>
      </c>
      <c r="S117" s="149">
        <f t="shared" si="25"/>
        <v>0</v>
      </c>
      <c r="T117" s="150">
        <f t="shared" si="26"/>
        <v>0</v>
      </c>
      <c r="U117" s="150">
        <f t="shared" si="27"/>
        <v>0</v>
      </c>
      <c r="V117" s="150">
        <f>IFERROR(INDEX(Työkonekanta!$J$3:$J$27,MATCH($A117,Työkonekanta!$A$3:$A$24,0),1)*$B117*ef_li_ion_akku/1000/1000/INDEX(Työkonekanta!$K$3:$K$27,MATCH($A117,Työkonekanta!$A$3:$A$24,0)),0)</f>
        <v>0</v>
      </c>
      <c r="W117" s="149">
        <f t="shared" si="36"/>
        <v>0</v>
      </c>
      <c r="X117" s="150">
        <f t="shared" si="37"/>
        <v>0</v>
      </c>
      <c r="Y117" s="151">
        <f t="shared" si="38"/>
        <v>0</v>
      </c>
      <c r="Z117" s="152">
        <f t="shared" si="31"/>
        <v>0</v>
      </c>
      <c r="AA117" s="153">
        <f t="shared" si="32"/>
        <v>0</v>
      </c>
      <c r="AB117" s="153">
        <f t="shared" si="33"/>
        <v>0</v>
      </c>
      <c r="AC117" s="154">
        <f t="shared" si="39"/>
        <v>0</v>
      </c>
      <c r="AD117" s="156">
        <f t="shared" si="34"/>
        <v>0</v>
      </c>
      <c r="AE117" s="182"/>
      <c r="AJ117" s="28"/>
      <c r="AK117" s="29"/>
    </row>
    <row r="118" spans="1:37">
      <c r="A118" s="139">
        <v>26</v>
      </c>
      <c r="B118" s="139" cm="1">
        <f t="array" ref="B118">IFERROR(IF(A118=s1_id_korvattava1,INDEX($AG$3:$AG$19,MATCH(C118,$AF$3:$AF$19,0),1),IF(A118=s1_id_korvaava1,INDEX($AH$3:$AH$19,MATCH(C118,$AF$3:$AF$19,0),1),IF(A118=s1_id_korvattava2,INDEX($AI$3:$AI$19,MATCH(C118,$AF$3:$AF$19,0),1),IF(A118=s1_id_korvaava2,INDEX($AJ$3:$AJ$19,MATCH(C118,$AF$3:$AF$19,0),1),INDEX(Työkonekanta!$F$3:$F$27,MATCH('S1 Sähkö'!$A118,Työkonekanta!$A$3:$A$24,0),1))))),0)</f>
        <v>0</v>
      </c>
      <c r="C118" s="140">
        <v>2022</v>
      </c>
      <c r="D118" s="141" t="str">
        <f>IFERROR(INDEX(Työkonekanta!$D$3:$D$27,MATCH('S1 Sähkö'!$A118,Työkonekanta!$A$3:$A$24,0),1),"undefined")</f>
        <v>undefined</v>
      </c>
      <c r="E118" s="145">
        <f>IFERROR(INDEX(Työkonekanta!$G$3:$G$27,MATCH($A118,Työkonekanta!$A$3:$A$24,0),1)*INDEX(Työkonekanta!$H$3:$H$27,MATCH($A118,Työkonekanta!$A$3:$A$24,0),1)*(1+s1_kerroin*($C118-2019))*$B118,0)</f>
        <v>0</v>
      </c>
      <c r="F118" s="145">
        <f t="shared" si="22"/>
        <v>0</v>
      </c>
      <c r="G118" s="145">
        <f t="shared" si="28"/>
        <v>0</v>
      </c>
      <c r="H118" s="145">
        <f t="shared" si="29"/>
        <v>0</v>
      </c>
      <c r="I118" s="145">
        <f t="shared" si="23"/>
        <v>0</v>
      </c>
      <c r="J118" s="145">
        <f t="shared" si="24"/>
        <v>0</v>
      </c>
      <c r="K118" s="142" t="str">
        <f t="shared" si="30"/>
        <v>undefined</v>
      </c>
      <c r="L118" s="146">
        <f>IFERROR(INDEX(Työkonekanta!$I$3:$I$27,MATCH('S1 Sähkö'!$A118,Työkonekanta!$A$3:$A$24,0),1)*(I118+J118)*f_adblue,0)</f>
        <v>0</v>
      </c>
      <c r="M118" s="146">
        <f t="shared" si="35"/>
        <v>0</v>
      </c>
      <c r="N118" s="143" t="str">
        <f>IF(tuulisähkö_vuosi&lt;='S1 Sähkö'!C118,"tuulisähkö",ostosähkö_nyt)</f>
        <v>jäännössähkö</v>
      </c>
      <c r="O118" s="147">
        <f>INDEX(Muuttujat!$J$5:$J$21,MATCH($C118,Muuttujat!$H$5:$H$21,0),1)</f>
        <v>67.190510474999996</v>
      </c>
      <c r="P118" s="342">
        <f>1-(INDEX(Muuttujat!$O$5:$O$21,MATCH($C118,Muuttujat!$N$5:$N$21,0),1))</f>
        <v>0.96</v>
      </c>
      <c r="Q118" s="342">
        <f>INDEX(Muuttujat!$O$5:$O$21,MATCH($C118,Muuttujat!$N$5:$N$21,0),1)</f>
        <v>0.04</v>
      </c>
      <c r="R118" s="148">
        <f>INDEX(Muuttujat!$P$5:$P$21,MATCH($C118,Muuttujat!$N$5:$N$21,0),1)</f>
        <v>4.1787917527764125E-2</v>
      </c>
      <c r="S118" s="149">
        <f t="shared" si="25"/>
        <v>0</v>
      </c>
      <c r="T118" s="150">
        <f t="shared" si="26"/>
        <v>0</v>
      </c>
      <c r="U118" s="150">
        <f t="shared" si="27"/>
        <v>0</v>
      </c>
      <c r="V118" s="150">
        <f>IFERROR(INDEX(Työkonekanta!$J$3:$J$27,MATCH($A118,Työkonekanta!$A$3:$A$24,0),1)*$B118*ef_li_ion_akku/1000/1000/INDEX(Työkonekanta!$K$3:$K$27,MATCH($A118,Työkonekanta!$A$3:$A$24,0)),0)</f>
        <v>0</v>
      </c>
      <c r="W118" s="149">
        <f t="shared" si="36"/>
        <v>0</v>
      </c>
      <c r="X118" s="150">
        <f t="shared" si="37"/>
        <v>0</v>
      </c>
      <c r="Y118" s="151">
        <f t="shared" si="38"/>
        <v>0</v>
      </c>
      <c r="Z118" s="152">
        <f t="shared" si="31"/>
        <v>0</v>
      </c>
      <c r="AA118" s="153">
        <f t="shared" si="32"/>
        <v>0</v>
      </c>
      <c r="AB118" s="153">
        <f t="shared" si="33"/>
        <v>0</v>
      </c>
      <c r="AC118" s="154">
        <f t="shared" si="39"/>
        <v>0</v>
      </c>
      <c r="AD118" s="156">
        <f t="shared" si="34"/>
        <v>0</v>
      </c>
      <c r="AE118" s="182"/>
      <c r="AJ118" s="28"/>
      <c r="AK118" s="29"/>
    </row>
    <row r="119" spans="1:37">
      <c r="A119" s="139">
        <v>27</v>
      </c>
      <c r="B119" s="139" cm="1">
        <f t="array" ref="B119">IFERROR(IF(A119=s1_id_korvattava1,INDEX($AG$3:$AG$19,MATCH(C119,$AF$3:$AF$19,0),1),IF(A119=s1_id_korvaava1,INDEX($AH$3:$AH$19,MATCH(C119,$AF$3:$AF$19,0),1),IF(A119=s1_id_korvattava2,INDEX($AI$3:$AI$19,MATCH(C119,$AF$3:$AF$19,0),1),IF(A119=s1_id_korvaava2,INDEX($AJ$3:$AJ$19,MATCH(C119,$AF$3:$AF$19,0),1),INDEX(Työkonekanta!$F$3:$F$27,MATCH('S1 Sähkö'!$A119,Työkonekanta!$A$3:$A$24,0),1))))),0)</f>
        <v>0</v>
      </c>
      <c r="C119" s="140">
        <v>2022</v>
      </c>
      <c r="D119" s="141" t="str">
        <f>IFERROR(INDEX(Työkonekanta!$D$3:$D$27,MATCH('S1 Sähkö'!$A119,Työkonekanta!$A$3:$A$24,0),1),"undefined")</f>
        <v>undefined</v>
      </c>
      <c r="E119" s="145">
        <f>IFERROR(INDEX(Työkonekanta!$G$3:$G$27,MATCH($A119,Työkonekanta!$A$3:$A$24,0),1)*INDEX(Työkonekanta!$H$3:$H$27,MATCH($A119,Työkonekanta!$A$3:$A$24,0),1)*(1+s1_kerroin*($C119-2019))*$B119,0)</f>
        <v>0</v>
      </c>
      <c r="F119" s="145">
        <f t="shared" si="22"/>
        <v>0</v>
      </c>
      <c r="G119" s="145">
        <f t="shared" si="28"/>
        <v>0</v>
      </c>
      <c r="H119" s="145">
        <f t="shared" si="29"/>
        <v>0</v>
      </c>
      <c r="I119" s="145">
        <f t="shared" si="23"/>
        <v>0</v>
      </c>
      <c r="J119" s="145">
        <f t="shared" si="24"/>
        <v>0</v>
      </c>
      <c r="K119" s="142" t="str">
        <f t="shared" si="30"/>
        <v>undefined</v>
      </c>
      <c r="L119" s="146">
        <f>IFERROR(INDEX(Työkonekanta!$I$3:$I$27,MATCH('S1 Sähkö'!$A119,Työkonekanta!$A$3:$A$24,0),1)*(I119+J119)*f_adblue,0)</f>
        <v>0</v>
      </c>
      <c r="M119" s="146">
        <f t="shared" si="35"/>
        <v>0</v>
      </c>
      <c r="N119" s="143" t="str">
        <f>IF(tuulisähkö_vuosi&lt;='S1 Sähkö'!C119,"tuulisähkö",ostosähkö_nyt)</f>
        <v>jäännössähkö</v>
      </c>
      <c r="O119" s="147">
        <f>INDEX(Muuttujat!$J$5:$J$21,MATCH($C119,Muuttujat!$H$5:$H$21,0),1)</f>
        <v>67.190510474999996</v>
      </c>
      <c r="P119" s="342">
        <f>1-(INDEX(Muuttujat!$O$5:$O$21,MATCH($C119,Muuttujat!$N$5:$N$21,0),1))</f>
        <v>0.96</v>
      </c>
      <c r="Q119" s="342">
        <f>INDEX(Muuttujat!$O$5:$O$21,MATCH($C119,Muuttujat!$N$5:$N$21,0),1)</f>
        <v>0.04</v>
      </c>
      <c r="R119" s="148">
        <f>INDEX(Muuttujat!$P$5:$P$21,MATCH($C119,Muuttujat!$N$5:$N$21,0),1)</f>
        <v>4.1787917527764125E-2</v>
      </c>
      <c r="S119" s="149">
        <f t="shared" si="25"/>
        <v>0</v>
      </c>
      <c r="T119" s="150">
        <f t="shared" si="26"/>
        <v>0</v>
      </c>
      <c r="U119" s="150">
        <f t="shared" si="27"/>
        <v>0</v>
      </c>
      <c r="V119" s="150">
        <f>IFERROR(INDEX(Työkonekanta!$J$3:$J$27,MATCH($A119,Työkonekanta!$A$3:$A$24,0),1)*$B119*ef_li_ion_akku/1000/1000/INDEX(Työkonekanta!$K$3:$K$27,MATCH($A119,Työkonekanta!$A$3:$A$24,0)),0)</f>
        <v>0</v>
      </c>
      <c r="W119" s="149">
        <f t="shared" si="36"/>
        <v>0</v>
      </c>
      <c r="X119" s="150">
        <f t="shared" si="37"/>
        <v>0</v>
      </c>
      <c r="Y119" s="151">
        <f t="shared" si="38"/>
        <v>0</v>
      </c>
      <c r="Z119" s="152">
        <f t="shared" si="31"/>
        <v>0</v>
      </c>
      <c r="AA119" s="153">
        <f t="shared" si="32"/>
        <v>0</v>
      </c>
      <c r="AB119" s="153">
        <f t="shared" si="33"/>
        <v>0</v>
      </c>
      <c r="AC119" s="154">
        <f t="shared" si="39"/>
        <v>0</v>
      </c>
      <c r="AD119" s="156">
        <f t="shared" si="34"/>
        <v>0</v>
      </c>
      <c r="AE119" s="182"/>
      <c r="AJ119" s="28"/>
      <c r="AK119" s="29"/>
    </row>
    <row r="120" spans="1:37">
      <c r="A120" s="139">
        <v>28</v>
      </c>
      <c r="B120" s="139" cm="1">
        <f t="array" ref="B120">IFERROR(IF(A120=s1_id_korvattava1,INDEX($AG$3:$AG$19,MATCH(C120,$AF$3:$AF$19,0),1),IF(A120=s1_id_korvaava1,INDEX($AH$3:$AH$19,MATCH(C120,$AF$3:$AF$19,0),1),IF(A120=s1_id_korvattava2,INDEX($AI$3:$AI$19,MATCH(C120,$AF$3:$AF$19,0),1),IF(A120=s1_id_korvaava2,INDEX($AJ$3:$AJ$19,MATCH(C120,$AF$3:$AF$19,0),1),INDEX(Työkonekanta!$F$3:$F$27,MATCH('S1 Sähkö'!$A120,Työkonekanta!$A$3:$A$24,0),1))))),0)</f>
        <v>0</v>
      </c>
      <c r="C120" s="140">
        <v>2022</v>
      </c>
      <c r="D120" s="141" t="str">
        <f>IFERROR(INDEX(Työkonekanta!$D$3:$D$27,MATCH('S1 Sähkö'!$A120,Työkonekanta!$A$3:$A$24,0),1),"undefined")</f>
        <v>undefined</v>
      </c>
      <c r="E120" s="145">
        <f>IFERROR(INDEX(Työkonekanta!$G$3:$G$27,MATCH($A120,Työkonekanta!$A$3:$A$24,0),1)*INDEX(Työkonekanta!$H$3:$H$27,MATCH($A120,Työkonekanta!$A$3:$A$24,0),1)*(1+s1_kerroin*($C120-2019))*$B120,0)</f>
        <v>0</v>
      </c>
      <c r="F120" s="145">
        <f t="shared" si="22"/>
        <v>0</v>
      </c>
      <c r="G120" s="145">
        <f t="shared" si="28"/>
        <v>0</v>
      </c>
      <c r="H120" s="145">
        <f t="shared" si="29"/>
        <v>0</v>
      </c>
      <c r="I120" s="145">
        <f t="shared" si="23"/>
        <v>0</v>
      </c>
      <c r="J120" s="145">
        <f t="shared" si="24"/>
        <v>0</v>
      </c>
      <c r="K120" s="142" t="str">
        <f t="shared" si="30"/>
        <v>undefined</v>
      </c>
      <c r="L120" s="146">
        <f>IFERROR(INDEX(Työkonekanta!$I$3:$I$27,MATCH('S1 Sähkö'!$A120,Työkonekanta!$A$3:$A$24,0),1)*(I120+J120)*f_adblue,0)</f>
        <v>0</v>
      </c>
      <c r="M120" s="146">
        <f t="shared" si="35"/>
        <v>0</v>
      </c>
      <c r="N120" s="143" t="str">
        <f>IF(tuulisähkö_vuosi&lt;='S1 Sähkö'!C120,"tuulisähkö",ostosähkö_nyt)</f>
        <v>jäännössähkö</v>
      </c>
      <c r="O120" s="147">
        <f>INDEX(Muuttujat!$J$5:$J$21,MATCH($C120,Muuttujat!$H$5:$H$21,0),1)</f>
        <v>67.190510474999996</v>
      </c>
      <c r="P120" s="342">
        <f>1-(INDEX(Muuttujat!$O$5:$O$21,MATCH($C120,Muuttujat!$N$5:$N$21,0),1))</f>
        <v>0.96</v>
      </c>
      <c r="Q120" s="342">
        <f>INDEX(Muuttujat!$O$5:$O$21,MATCH($C120,Muuttujat!$N$5:$N$21,0),1)</f>
        <v>0.04</v>
      </c>
      <c r="R120" s="148">
        <f>INDEX(Muuttujat!$P$5:$P$21,MATCH($C120,Muuttujat!$N$5:$N$21,0),1)</f>
        <v>4.1787917527764125E-2</v>
      </c>
      <c r="S120" s="149">
        <f t="shared" si="25"/>
        <v>0</v>
      </c>
      <c r="T120" s="150">
        <f t="shared" si="26"/>
        <v>0</v>
      </c>
      <c r="U120" s="150">
        <f t="shared" si="27"/>
        <v>0</v>
      </c>
      <c r="V120" s="150">
        <f>IFERROR(INDEX(Työkonekanta!$J$3:$J$27,MATCH($A120,Työkonekanta!$A$3:$A$24,0),1)*$B120*ef_li_ion_akku/1000/1000/INDEX(Työkonekanta!$K$3:$K$27,MATCH($A120,Työkonekanta!$A$3:$A$24,0)),0)</f>
        <v>0</v>
      </c>
      <c r="W120" s="149">
        <f t="shared" si="36"/>
        <v>0</v>
      </c>
      <c r="X120" s="150">
        <f t="shared" si="37"/>
        <v>0</v>
      </c>
      <c r="Y120" s="151">
        <f t="shared" si="38"/>
        <v>0</v>
      </c>
      <c r="Z120" s="152">
        <f t="shared" si="31"/>
        <v>0</v>
      </c>
      <c r="AA120" s="153">
        <f t="shared" si="32"/>
        <v>0</v>
      </c>
      <c r="AB120" s="153">
        <f t="shared" si="33"/>
        <v>0</v>
      </c>
      <c r="AC120" s="154">
        <f t="shared" si="39"/>
        <v>0</v>
      </c>
      <c r="AD120" s="156">
        <f t="shared" si="34"/>
        <v>0</v>
      </c>
      <c r="AE120" s="182"/>
      <c r="AJ120" s="28"/>
      <c r="AK120" s="29"/>
    </row>
    <row r="121" spans="1:37">
      <c r="A121" s="139">
        <v>29</v>
      </c>
      <c r="B121" s="139" cm="1">
        <f t="array" ref="B121">IFERROR(IF(A121=s1_id_korvattava1,INDEX($AG$3:$AG$19,MATCH(C121,$AF$3:$AF$19,0),1),IF(A121=s1_id_korvaava1,INDEX($AH$3:$AH$19,MATCH(C121,$AF$3:$AF$19,0),1),IF(A121=s1_id_korvattava2,INDEX($AI$3:$AI$19,MATCH(C121,$AF$3:$AF$19,0),1),IF(A121=s1_id_korvaava2,INDEX($AJ$3:$AJ$19,MATCH(C121,$AF$3:$AF$19,0),1),INDEX(Työkonekanta!$F$3:$F$27,MATCH('S1 Sähkö'!$A121,Työkonekanta!$A$3:$A$24,0),1))))),0)</f>
        <v>0</v>
      </c>
      <c r="C121" s="140">
        <v>2022</v>
      </c>
      <c r="D121" s="141" t="str">
        <f>IFERROR(INDEX(Työkonekanta!$D$3:$D$27,MATCH('S1 Sähkö'!$A121,Työkonekanta!$A$3:$A$24,0),1),"undefined")</f>
        <v>undefined</v>
      </c>
      <c r="E121" s="145">
        <f>IFERROR(INDEX(Työkonekanta!$G$3:$G$27,MATCH($A121,Työkonekanta!$A$3:$A$24,0),1)*INDEX(Työkonekanta!$H$3:$H$27,MATCH($A121,Työkonekanta!$A$3:$A$24,0),1)*(1+s1_kerroin*($C121-2019))*$B121,0)</f>
        <v>0</v>
      </c>
      <c r="F121" s="145">
        <f t="shared" si="22"/>
        <v>0</v>
      </c>
      <c r="G121" s="145">
        <f t="shared" si="28"/>
        <v>0</v>
      </c>
      <c r="H121" s="145">
        <f t="shared" si="29"/>
        <v>0</v>
      </c>
      <c r="I121" s="145">
        <f t="shared" si="23"/>
        <v>0</v>
      </c>
      <c r="J121" s="145">
        <f t="shared" si="24"/>
        <v>0</v>
      </c>
      <c r="K121" s="142" t="str">
        <f t="shared" si="30"/>
        <v>undefined</v>
      </c>
      <c r="L121" s="146">
        <f>IFERROR(INDEX(Työkonekanta!$I$3:$I$27,MATCH('S1 Sähkö'!$A121,Työkonekanta!$A$3:$A$24,0),1)*(I121+J121)*f_adblue,0)</f>
        <v>0</v>
      </c>
      <c r="M121" s="146">
        <f t="shared" si="35"/>
        <v>0</v>
      </c>
      <c r="N121" s="143" t="str">
        <f>IF(tuulisähkö_vuosi&lt;='S1 Sähkö'!C121,"tuulisähkö",ostosähkö_nyt)</f>
        <v>jäännössähkö</v>
      </c>
      <c r="O121" s="147">
        <f>INDEX(Muuttujat!$J$5:$J$21,MATCH($C121,Muuttujat!$H$5:$H$21,0),1)</f>
        <v>67.190510474999996</v>
      </c>
      <c r="P121" s="342">
        <f>1-(INDEX(Muuttujat!$O$5:$O$21,MATCH($C121,Muuttujat!$N$5:$N$21,0),1))</f>
        <v>0.96</v>
      </c>
      <c r="Q121" s="342">
        <f>INDEX(Muuttujat!$O$5:$O$21,MATCH($C121,Muuttujat!$N$5:$N$21,0),1)</f>
        <v>0.04</v>
      </c>
      <c r="R121" s="148">
        <f>INDEX(Muuttujat!$P$5:$P$21,MATCH($C121,Muuttujat!$N$5:$N$21,0),1)</f>
        <v>4.1787917527764125E-2</v>
      </c>
      <c r="S121" s="149">
        <f t="shared" si="25"/>
        <v>0</v>
      </c>
      <c r="T121" s="150">
        <f t="shared" si="26"/>
        <v>0</v>
      </c>
      <c r="U121" s="150">
        <f t="shared" si="27"/>
        <v>0</v>
      </c>
      <c r="V121" s="150">
        <f>IFERROR(INDEX(Työkonekanta!$J$3:$J$27,MATCH($A121,Työkonekanta!$A$3:$A$24,0),1)*$B121*ef_li_ion_akku/1000/1000/INDEX(Työkonekanta!$K$3:$K$27,MATCH($A121,Työkonekanta!$A$3:$A$24,0)),0)</f>
        <v>0</v>
      </c>
      <c r="W121" s="149">
        <f t="shared" si="36"/>
        <v>0</v>
      </c>
      <c r="X121" s="150">
        <f t="shared" si="37"/>
        <v>0</v>
      </c>
      <c r="Y121" s="151">
        <f t="shared" si="38"/>
        <v>0</v>
      </c>
      <c r="Z121" s="152">
        <f t="shared" si="31"/>
        <v>0</v>
      </c>
      <c r="AA121" s="153">
        <f t="shared" si="32"/>
        <v>0</v>
      </c>
      <c r="AB121" s="153">
        <f t="shared" si="33"/>
        <v>0</v>
      </c>
      <c r="AC121" s="154">
        <f t="shared" si="39"/>
        <v>0</v>
      </c>
      <c r="AD121" s="156">
        <f t="shared" si="34"/>
        <v>0</v>
      </c>
      <c r="AE121" s="182"/>
      <c r="AJ121" s="28"/>
      <c r="AK121" s="29"/>
    </row>
    <row r="122" spans="1:37">
      <c r="A122" s="139">
        <v>30</v>
      </c>
      <c r="B122" s="139" cm="1">
        <f t="array" ref="B122">IFERROR(IF(A122=s1_id_korvattava1,INDEX($AG$3:$AG$19,MATCH(C122,$AF$3:$AF$19,0),1),IF(A122=s1_id_korvaava1,INDEX($AH$3:$AH$19,MATCH(C122,$AF$3:$AF$19,0),1),IF(A122=s1_id_korvattava2,INDEX($AI$3:$AI$19,MATCH(C122,$AF$3:$AF$19,0),1),IF(A122=s1_id_korvaava2,INDEX($AJ$3:$AJ$19,MATCH(C122,$AF$3:$AF$19,0),1),INDEX(Työkonekanta!$F$3:$F$27,MATCH('S1 Sähkö'!$A122,Työkonekanta!$A$3:$A$24,0),1))))),0)</f>
        <v>0</v>
      </c>
      <c r="C122" s="140">
        <v>2022</v>
      </c>
      <c r="D122" s="141" t="str">
        <f>IFERROR(INDEX(Työkonekanta!$D$3:$D$27,MATCH('S1 Sähkö'!$A122,Työkonekanta!$A$3:$A$24,0),1),"undefined")</f>
        <v>undefined</v>
      </c>
      <c r="E122" s="145">
        <f>IFERROR(INDEX(Työkonekanta!$G$3:$G$27,MATCH($A122,Työkonekanta!$A$3:$A$24,0),1)*INDEX(Työkonekanta!$H$3:$H$27,MATCH($A122,Työkonekanta!$A$3:$A$24,0),1)*(1+s1_kerroin*($C122-2019))*$B122,0)</f>
        <v>0</v>
      </c>
      <c r="F122" s="145">
        <f t="shared" si="22"/>
        <v>0</v>
      </c>
      <c r="G122" s="145">
        <f t="shared" si="28"/>
        <v>0</v>
      </c>
      <c r="H122" s="145">
        <f t="shared" si="29"/>
        <v>0</v>
      </c>
      <c r="I122" s="145">
        <f t="shared" si="23"/>
        <v>0</v>
      </c>
      <c r="J122" s="145">
        <f t="shared" si="24"/>
        <v>0</v>
      </c>
      <c r="K122" s="142" t="str">
        <f t="shared" si="30"/>
        <v>undefined</v>
      </c>
      <c r="L122" s="146">
        <f>IFERROR(INDEX(Työkonekanta!$I$3:$I$27,MATCH('S1 Sähkö'!$A122,Työkonekanta!$A$3:$A$24,0),1)*(I122+J122)*f_adblue,0)</f>
        <v>0</v>
      </c>
      <c r="M122" s="146">
        <f t="shared" si="35"/>
        <v>0</v>
      </c>
      <c r="N122" s="143" t="str">
        <f>IF(tuulisähkö_vuosi&lt;='S1 Sähkö'!C122,"tuulisähkö",ostosähkö_nyt)</f>
        <v>jäännössähkö</v>
      </c>
      <c r="O122" s="147">
        <f>INDEX(Muuttujat!$J$5:$J$21,MATCH($C122,Muuttujat!$H$5:$H$21,0),1)</f>
        <v>67.190510474999996</v>
      </c>
      <c r="P122" s="342">
        <f>1-(INDEX(Muuttujat!$O$5:$O$21,MATCH($C122,Muuttujat!$N$5:$N$21,0),1))</f>
        <v>0.96</v>
      </c>
      <c r="Q122" s="342">
        <f>INDEX(Muuttujat!$O$5:$O$21,MATCH($C122,Muuttujat!$N$5:$N$21,0),1)</f>
        <v>0.04</v>
      </c>
      <c r="R122" s="148">
        <f>INDEX(Muuttujat!$P$5:$P$21,MATCH($C122,Muuttujat!$N$5:$N$21,0),1)</f>
        <v>4.1787917527764125E-2</v>
      </c>
      <c r="S122" s="149">
        <f t="shared" si="25"/>
        <v>0</v>
      </c>
      <c r="T122" s="150">
        <f t="shared" si="26"/>
        <v>0</v>
      </c>
      <c r="U122" s="150">
        <f t="shared" si="27"/>
        <v>0</v>
      </c>
      <c r="V122" s="150">
        <f>IFERROR(INDEX(Työkonekanta!$J$3:$J$27,MATCH($A122,Työkonekanta!$A$3:$A$24,0),1)*$B122*ef_li_ion_akku/1000/1000/INDEX(Työkonekanta!$K$3:$K$27,MATCH($A122,Työkonekanta!$A$3:$A$24,0)),0)</f>
        <v>0</v>
      </c>
      <c r="W122" s="149">
        <f t="shared" si="36"/>
        <v>0</v>
      </c>
      <c r="X122" s="150">
        <f t="shared" si="37"/>
        <v>0</v>
      </c>
      <c r="Y122" s="151">
        <f t="shared" si="38"/>
        <v>0</v>
      </c>
      <c r="Z122" s="152">
        <f t="shared" si="31"/>
        <v>0</v>
      </c>
      <c r="AA122" s="153">
        <f t="shared" si="32"/>
        <v>0</v>
      </c>
      <c r="AB122" s="153">
        <f t="shared" si="33"/>
        <v>0</v>
      </c>
      <c r="AC122" s="154">
        <f t="shared" si="39"/>
        <v>0</v>
      </c>
      <c r="AD122" s="156">
        <f t="shared" si="34"/>
        <v>0</v>
      </c>
      <c r="AE122" s="182"/>
      <c r="AJ122" s="28"/>
      <c r="AK122" s="29"/>
    </row>
    <row r="123" spans="1:37">
      <c r="A123" s="139">
        <v>1</v>
      </c>
      <c r="B123" s="139" cm="1">
        <f t="array" ref="B123">IFERROR(IF(A123=s1_id_korvattava1,INDEX($AG$3:$AG$19,MATCH(C123,$AF$3:$AF$19,0),1),IF(A123=s1_id_korvaava1,INDEX($AH$3:$AH$19,MATCH(C123,$AF$3:$AF$19,0),1),IF(A123=s1_id_korvattava2,INDEX($AI$3:$AI$19,MATCH(C123,$AF$3:$AF$19,0),1),IF(A123=s1_id_korvaava2,INDEX($AJ$3:$AJ$19,MATCH(C123,$AF$3:$AF$19,0),1),INDEX(Työkonekanta!$F$3:$F$27,MATCH('S1 Sähkö'!$A123,Työkonekanta!$A$3:$A$24,0),1))))),0)</f>
        <v>1</v>
      </c>
      <c r="C123" s="140">
        <v>2023</v>
      </c>
      <c r="D123" s="141" t="str">
        <f>IFERROR(INDEX(Työkonekanta!$D$3:$D$27,MATCH('S1 Sähkö'!$A123,Työkonekanta!$A$3:$A$24,0),1),"undefined")</f>
        <v>pom</v>
      </c>
      <c r="E123" s="145">
        <f>IFERROR(INDEX(Työkonekanta!$G$3:$G$27,MATCH($A123,Työkonekanta!$A$3:$A$24,0),1)*INDEX(Työkonekanta!$H$3:$H$27,MATCH($A123,Työkonekanta!$A$3:$A$24,0),1)*(1+s1_kerroin*($C123-2019))*$B123,0)</f>
        <v>10400</v>
      </c>
      <c r="F123" s="145">
        <f t="shared" si="22"/>
        <v>373360</v>
      </c>
      <c r="G123" s="145">
        <f t="shared" si="28"/>
        <v>354692</v>
      </c>
      <c r="H123" s="145">
        <f t="shared" si="29"/>
        <v>18668</v>
      </c>
      <c r="I123" s="145">
        <f t="shared" si="23"/>
        <v>9880</v>
      </c>
      <c r="J123" s="145">
        <f t="shared" si="24"/>
        <v>544.25655976676387</v>
      </c>
      <c r="K123" s="142" t="str">
        <f t="shared" si="30"/>
        <v>l</v>
      </c>
      <c r="L123" s="146">
        <f>IFERROR(INDEX(Työkonekanta!$I$3:$I$27,MATCH('S1 Sähkö'!$A123,Työkonekanta!$A$3:$A$24,0),1)*(I123+J123)*f_adblue,0)</f>
        <v>521.21282798833818</v>
      </c>
      <c r="M123" s="146">
        <f t="shared" si="35"/>
        <v>0</v>
      </c>
      <c r="N123" s="143" t="str">
        <f>IF(tuulisähkö_vuosi&lt;='S1 Sähkö'!C123,"tuulisähkö",ostosähkö_nyt)</f>
        <v>jäännössähkö</v>
      </c>
      <c r="O123" s="147">
        <f>INDEX(Muuttujat!$J$5:$J$21,MATCH($C123,Muuttujat!$H$5:$H$21,0),1)</f>
        <v>66.51860537025</v>
      </c>
      <c r="P123" s="342">
        <f>1-(INDEX(Muuttujat!$O$5:$O$21,MATCH($C123,Muuttujat!$N$5:$N$21,0),1))</f>
        <v>0.95</v>
      </c>
      <c r="Q123" s="342">
        <f>INDEX(Muuttujat!$O$5:$O$21,MATCH($C123,Muuttujat!$N$5:$N$21,0),1)</f>
        <v>0.05</v>
      </c>
      <c r="R123" s="148">
        <f>INDEX(Muuttujat!$P$5:$P$21,MATCH($C123,Muuttujat!$N$5:$N$21,0),1)</f>
        <v>5.2210587442409327E-2</v>
      </c>
      <c r="S123" s="149">
        <f t="shared" si="25"/>
        <v>6.7036787999999996</v>
      </c>
      <c r="T123" s="150">
        <f t="shared" si="26"/>
        <v>1.1648832</v>
      </c>
      <c r="U123" s="150">
        <f t="shared" si="27"/>
        <v>0</v>
      </c>
      <c r="V123" s="150">
        <f>IFERROR(INDEX(Työkonekanta!$J$3:$J$27,MATCH($A123,Työkonekanta!$A$3:$A$24,0),1)*$B123*ef_li_ion_akku/1000/1000/INDEX(Työkonekanta!$K$3:$K$27,MATCH($A123,Työkonekanta!$A$3:$A$24,0)),0)</f>
        <v>0</v>
      </c>
      <c r="W123" s="149">
        <f t="shared" si="36"/>
        <v>26.179197326567998</v>
      </c>
      <c r="X123" s="150">
        <f t="shared" si="37"/>
        <v>0.3304554864</v>
      </c>
      <c r="Y123" s="151">
        <f t="shared" si="38"/>
        <v>0.13551533527696794</v>
      </c>
      <c r="Z123" s="152">
        <f t="shared" si="31"/>
        <v>7.8685619999999998</v>
      </c>
      <c r="AA123" s="153">
        <f t="shared" si="32"/>
        <v>26.314712661844965</v>
      </c>
      <c r="AB123" s="153">
        <f t="shared" si="33"/>
        <v>26.645168148244966</v>
      </c>
      <c r="AC123" s="154">
        <f t="shared" si="39"/>
        <v>34.183274661844962</v>
      </c>
      <c r="AD123" s="156">
        <f t="shared" si="34"/>
        <v>34.513730148244967</v>
      </c>
      <c r="AE123" s="182"/>
      <c r="AG123" s="2"/>
    </row>
    <row r="124" spans="1:37">
      <c r="A124" s="139">
        <v>2</v>
      </c>
      <c r="B124" s="139" cm="1">
        <f t="array" ref="B124">IFERROR(IF(A124=s1_id_korvattava1,INDEX($AG$3:$AG$19,MATCH(C124,$AF$3:$AF$19,0),1),IF(A124=s1_id_korvaava1,INDEX($AH$3:$AH$19,MATCH(C124,$AF$3:$AF$19,0),1),IF(A124=s1_id_korvattava2,INDEX($AI$3:$AI$19,MATCH(C124,$AF$3:$AF$19,0),1),IF(A124=s1_id_korvaava2,INDEX($AJ$3:$AJ$19,MATCH(C124,$AF$3:$AF$19,0),1),INDEX(Työkonekanta!$F$3:$F$27,MATCH('S1 Sähkö'!$A124,Työkonekanta!$A$3:$A$24,0),1))))),0)</f>
        <v>1</v>
      </c>
      <c r="C124" s="140">
        <v>2023</v>
      </c>
      <c r="D124" s="141" t="str">
        <f>IFERROR(INDEX(Työkonekanta!$D$3:$D$27,MATCH('S1 Sähkö'!$A124,Työkonekanta!$A$3:$A$24,0),1),"undefined")</f>
        <v>pom</v>
      </c>
      <c r="E124" s="145">
        <f>IFERROR(INDEX(Työkonekanta!$G$3:$G$27,MATCH($A124,Työkonekanta!$A$3:$A$24,0),1)*INDEX(Työkonekanta!$H$3:$H$27,MATCH($A124,Työkonekanta!$A$3:$A$24,0),1)*(1+s1_kerroin*($C124-2019))*$B124,0)</f>
        <v>10400</v>
      </c>
      <c r="F124" s="145">
        <f t="shared" si="22"/>
        <v>373360</v>
      </c>
      <c r="G124" s="145">
        <f t="shared" si="28"/>
        <v>354692</v>
      </c>
      <c r="H124" s="145">
        <f t="shared" si="29"/>
        <v>18668</v>
      </c>
      <c r="I124" s="145">
        <f t="shared" si="23"/>
        <v>9880</v>
      </c>
      <c r="J124" s="145">
        <f t="shared" si="24"/>
        <v>544.25655976676387</v>
      </c>
      <c r="K124" s="142" t="str">
        <f t="shared" si="30"/>
        <v>l</v>
      </c>
      <c r="L124" s="146">
        <f>IFERROR(INDEX(Työkonekanta!$I$3:$I$27,MATCH('S1 Sähkö'!$A124,Työkonekanta!$A$3:$A$24,0),1)*(I124+J124)*f_adblue,0)</f>
        <v>521.21282798833818</v>
      </c>
      <c r="M124" s="146">
        <f t="shared" si="35"/>
        <v>0</v>
      </c>
      <c r="N124" s="143" t="str">
        <f>IF(tuulisähkö_vuosi&lt;='S1 Sähkö'!C124,"tuulisähkö",ostosähkö_nyt)</f>
        <v>jäännössähkö</v>
      </c>
      <c r="O124" s="147">
        <f>INDEX(Muuttujat!$J$5:$J$21,MATCH($C124,Muuttujat!$H$5:$H$21,0),1)</f>
        <v>66.51860537025</v>
      </c>
      <c r="P124" s="342">
        <f>1-(INDEX(Muuttujat!$O$5:$O$21,MATCH($C124,Muuttujat!$N$5:$N$21,0),1))</f>
        <v>0.95</v>
      </c>
      <c r="Q124" s="342">
        <f>INDEX(Muuttujat!$O$5:$O$21,MATCH($C124,Muuttujat!$N$5:$N$21,0),1)</f>
        <v>0.05</v>
      </c>
      <c r="R124" s="148">
        <f>INDEX(Muuttujat!$P$5:$P$21,MATCH($C124,Muuttujat!$N$5:$N$21,0),1)</f>
        <v>5.2210587442409327E-2</v>
      </c>
      <c r="S124" s="149">
        <f t="shared" si="25"/>
        <v>6.7036787999999996</v>
      </c>
      <c r="T124" s="150">
        <f t="shared" si="26"/>
        <v>1.1648832</v>
      </c>
      <c r="U124" s="150">
        <f t="shared" si="27"/>
        <v>0</v>
      </c>
      <c r="V124" s="150">
        <f>IFERROR(INDEX(Työkonekanta!$J$3:$J$27,MATCH($A124,Työkonekanta!$A$3:$A$24,0),1)*$B124*ef_li_ion_akku/1000/1000/INDEX(Työkonekanta!$K$3:$K$27,MATCH($A124,Työkonekanta!$A$3:$A$24,0)),0)</f>
        <v>0</v>
      </c>
      <c r="W124" s="149">
        <f t="shared" si="36"/>
        <v>26.179197326567998</v>
      </c>
      <c r="X124" s="150">
        <f t="shared" si="37"/>
        <v>0.3304554864</v>
      </c>
      <c r="Y124" s="151">
        <f t="shared" si="38"/>
        <v>0.13551533527696794</v>
      </c>
      <c r="Z124" s="152">
        <f t="shared" si="31"/>
        <v>7.8685619999999998</v>
      </c>
      <c r="AA124" s="153">
        <f t="shared" si="32"/>
        <v>26.314712661844965</v>
      </c>
      <c r="AB124" s="153">
        <f t="shared" si="33"/>
        <v>26.645168148244966</v>
      </c>
      <c r="AC124" s="154">
        <f t="shared" si="39"/>
        <v>34.183274661844962</v>
      </c>
      <c r="AD124" s="156">
        <f t="shared" si="34"/>
        <v>34.513730148244967</v>
      </c>
      <c r="AE124" s="182"/>
      <c r="AG124" s="2"/>
    </row>
    <row r="125" spans="1:37">
      <c r="A125" s="139">
        <v>3</v>
      </c>
      <c r="B125" s="139" cm="1">
        <f t="array" ref="B125">IFERROR(IF(A125=s1_id_korvattava1,INDEX($AG$3:$AG$19,MATCH(C125,$AF$3:$AF$19,0),1),IF(A125=s1_id_korvaava1,INDEX($AH$3:$AH$19,MATCH(C125,$AF$3:$AF$19,0),1),IF(A125=s1_id_korvattava2,INDEX($AI$3:$AI$19,MATCH(C125,$AF$3:$AF$19,0),1),IF(A125=s1_id_korvaava2,INDEX($AJ$3:$AJ$19,MATCH(C125,$AF$3:$AF$19,0),1),INDEX(Työkonekanta!$F$3:$F$27,MATCH('S1 Sähkö'!$A125,Työkonekanta!$A$3:$A$24,0),1))))),0)</f>
        <v>1</v>
      </c>
      <c r="C125" s="140">
        <v>2023</v>
      </c>
      <c r="D125" s="141" t="str">
        <f>IFERROR(INDEX(Työkonekanta!$D$3:$D$27,MATCH('S1 Sähkö'!$A125,Työkonekanta!$A$3:$A$24,0),1),"undefined")</f>
        <v>pom</v>
      </c>
      <c r="E125" s="145">
        <f>IFERROR(INDEX(Työkonekanta!$G$3:$G$27,MATCH($A125,Työkonekanta!$A$3:$A$24,0),1)*INDEX(Työkonekanta!$H$3:$H$27,MATCH($A125,Työkonekanta!$A$3:$A$24,0),1)*(1+s1_kerroin*($C125-2019))*$B125,0)</f>
        <v>10400</v>
      </c>
      <c r="F125" s="145">
        <f t="shared" si="22"/>
        <v>373360</v>
      </c>
      <c r="G125" s="145">
        <f t="shared" si="28"/>
        <v>354692</v>
      </c>
      <c r="H125" s="145">
        <f t="shared" si="29"/>
        <v>18668</v>
      </c>
      <c r="I125" s="145">
        <f t="shared" si="23"/>
        <v>9880</v>
      </c>
      <c r="J125" s="145">
        <f t="shared" si="24"/>
        <v>544.25655976676387</v>
      </c>
      <c r="K125" s="142" t="str">
        <f t="shared" si="30"/>
        <v>l</v>
      </c>
      <c r="L125" s="146">
        <f>IFERROR(INDEX(Työkonekanta!$I$3:$I$27,MATCH('S1 Sähkö'!$A125,Työkonekanta!$A$3:$A$24,0),1)*(I125+J125)*f_adblue,0)</f>
        <v>521.21282798833818</v>
      </c>
      <c r="M125" s="146">
        <f t="shared" si="35"/>
        <v>0</v>
      </c>
      <c r="N125" s="143" t="str">
        <f>IF(tuulisähkö_vuosi&lt;='S1 Sähkö'!C125,"tuulisähkö",ostosähkö_nyt)</f>
        <v>jäännössähkö</v>
      </c>
      <c r="O125" s="147">
        <f>INDEX(Muuttujat!$J$5:$J$21,MATCH($C125,Muuttujat!$H$5:$H$21,0),1)</f>
        <v>66.51860537025</v>
      </c>
      <c r="P125" s="342">
        <f>1-(INDEX(Muuttujat!$O$5:$O$21,MATCH($C125,Muuttujat!$N$5:$N$21,0),1))</f>
        <v>0.95</v>
      </c>
      <c r="Q125" s="342">
        <f>INDEX(Muuttujat!$O$5:$O$21,MATCH($C125,Muuttujat!$N$5:$N$21,0),1)</f>
        <v>0.05</v>
      </c>
      <c r="R125" s="148">
        <f>INDEX(Muuttujat!$P$5:$P$21,MATCH($C125,Muuttujat!$N$5:$N$21,0),1)</f>
        <v>5.2210587442409327E-2</v>
      </c>
      <c r="S125" s="149">
        <f t="shared" si="25"/>
        <v>6.7036787999999996</v>
      </c>
      <c r="T125" s="150">
        <f t="shared" si="26"/>
        <v>1.1648832</v>
      </c>
      <c r="U125" s="150">
        <f t="shared" si="27"/>
        <v>0</v>
      </c>
      <c r="V125" s="150">
        <f>IFERROR(INDEX(Työkonekanta!$J$3:$J$27,MATCH($A125,Työkonekanta!$A$3:$A$24,0),1)*$B125*ef_li_ion_akku/1000/1000/INDEX(Työkonekanta!$K$3:$K$27,MATCH($A125,Työkonekanta!$A$3:$A$24,0)),0)</f>
        <v>0</v>
      </c>
      <c r="W125" s="149">
        <f t="shared" si="36"/>
        <v>26.179197326567998</v>
      </c>
      <c r="X125" s="150">
        <f t="shared" si="37"/>
        <v>0.3304554864</v>
      </c>
      <c r="Y125" s="151">
        <f t="shared" si="38"/>
        <v>0.13551533527696794</v>
      </c>
      <c r="Z125" s="152">
        <f t="shared" si="31"/>
        <v>7.8685619999999998</v>
      </c>
      <c r="AA125" s="153">
        <f t="shared" si="32"/>
        <v>26.314712661844965</v>
      </c>
      <c r="AB125" s="153">
        <f t="shared" si="33"/>
        <v>26.645168148244966</v>
      </c>
      <c r="AC125" s="154">
        <f t="shared" si="39"/>
        <v>34.183274661844962</v>
      </c>
      <c r="AD125" s="156">
        <f t="shared" si="34"/>
        <v>34.513730148244967</v>
      </c>
      <c r="AE125" s="182"/>
      <c r="AG125" s="2"/>
    </row>
    <row r="126" spans="1:37">
      <c r="A126" s="139">
        <v>4</v>
      </c>
      <c r="B126" s="139" cm="1">
        <f t="array" ref="B126">IFERROR(IF(A126=s1_id_korvattava1,INDEX($AG$3:$AG$19,MATCH(C126,$AF$3:$AF$19,0),1),IF(A126=s1_id_korvaava1,INDEX($AH$3:$AH$19,MATCH(C126,$AF$3:$AF$19,0),1),IF(A126=s1_id_korvattava2,INDEX($AI$3:$AI$19,MATCH(C126,$AF$3:$AF$19,0),1),IF(A126=s1_id_korvaava2,INDEX($AJ$3:$AJ$19,MATCH(C126,$AF$3:$AF$19,0),1),INDEX(Työkonekanta!$F$3:$F$27,MATCH('S1 Sähkö'!$A126,Työkonekanta!$A$3:$A$24,0),1))))),0)</f>
        <v>1</v>
      </c>
      <c r="C126" s="140">
        <v>2023</v>
      </c>
      <c r="D126" s="141" t="str">
        <f>IFERROR(INDEX(Työkonekanta!$D$3:$D$27,MATCH('S1 Sähkö'!$A126,Työkonekanta!$A$3:$A$24,0),1),"undefined")</f>
        <v>pom</v>
      </c>
      <c r="E126" s="145">
        <f>IFERROR(INDEX(Työkonekanta!$G$3:$G$27,MATCH($A126,Työkonekanta!$A$3:$A$24,0),1)*INDEX(Työkonekanta!$H$3:$H$27,MATCH($A126,Työkonekanta!$A$3:$A$24,0),1)*(1+s1_kerroin*($C126-2019))*$B126,0)</f>
        <v>10400</v>
      </c>
      <c r="F126" s="145">
        <f t="shared" si="22"/>
        <v>373360</v>
      </c>
      <c r="G126" s="145">
        <f t="shared" si="28"/>
        <v>354692</v>
      </c>
      <c r="H126" s="145">
        <f t="shared" si="29"/>
        <v>18668</v>
      </c>
      <c r="I126" s="145">
        <f t="shared" si="23"/>
        <v>9880</v>
      </c>
      <c r="J126" s="145">
        <f t="shared" si="24"/>
        <v>544.25655976676387</v>
      </c>
      <c r="K126" s="142" t="str">
        <f t="shared" si="30"/>
        <v>l</v>
      </c>
      <c r="L126" s="146">
        <f>IFERROR(INDEX(Työkonekanta!$I$3:$I$27,MATCH('S1 Sähkö'!$A126,Työkonekanta!$A$3:$A$24,0),1)*(I126+J126)*f_adblue,0)</f>
        <v>521.21282798833818</v>
      </c>
      <c r="M126" s="146">
        <f t="shared" si="35"/>
        <v>0</v>
      </c>
      <c r="N126" s="143" t="str">
        <f>IF(tuulisähkö_vuosi&lt;='S1 Sähkö'!C126,"tuulisähkö",ostosähkö_nyt)</f>
        <v>jäännössähkö</v>
      </c>
      <c r="O126" s="147">
        <f>INDEX(Muuttujat!$J$5:$J$21,MATCH($C126,Muuttujat!$H$5:$H$21,0),1)</f>
        <v>66.51860537025</v>
      </c>
      <c r="P126" s="342">
        <f>1-(INDEX(Muuttujat!$O$5:$O$21,MATCH($C126,Muuttujat!$N$5:$N$21,0),1))</f>
        <v>0.95</v>
      </c>
      <c r="Q126" s="342">
        <f>INDEX(Muuttujat!$O$5:$O$21,MATCH($C126,Muuttujat!$N$5:$N$21,0),1)</f>
        <v>0.05</v>
      </c>
      <c r="R126" s="148">
        <f>INDEX(Muuttujat!$P$5:$P$21,MATCH($C126,Muuttujat!$N$5:$N$21,0),1)</f>
        <v>5.2210587442409327E-2</v>
      </c>
      <c r="S126" s="149">
        <f t="shared" si="25"/>
        <v>6.7036787999999996</v>
      </c>
      <c r="T126" s="150">
        <f t="shared" si="26"/>
        <v>1.1648832</v>
      </c>
      <c r="U126" s="150">
        <f t="shared" si="27"/>
        <v>0</v>
      </c>
      <c r="V126" s="150">
        <f>IFERROR(INDEX(Työkonekanta!$J$3:$J$27,MATCH($A126,Työkonekanta!$A$3:$A$24,0),1)*$B126*ef_li_ion_akku/1000/1000/INDEX(Työkonekanta!$K$3:$K$27,MATCH($A126,Työkonekanta!$A$3:$A$24,0)),0)</f>
        <v>0</v>
      </c>
      <c r="W126" s="149">
        <f t="shared" si="36"/>
        <v>26.179197326567998</v>
      </c>
      <c r="X126" s="150">
        <f t="shared" si="37"/>
        <v>0.3304554864</v>
      </c>
      <c r="Y126" s="151">
        <f t="shared" si="38"/>
        <v>0.13551533527696794</v>
      </c>
      <c r="Z126" s="152">
        <f t="shared" si="31"/>
        <v>7.8685619999999998</v>
      </c>
      <c r="AA126" s="153">
        <f t="shared" si="32"/>
        <v>26.314712661844965</v>
      </c>
      <c r="AB126" s="153">
        <f t="shared" si="33"/>
        <v>26.645168148244966</v>
      </c>
      <c r="AC126" s="154">
        <f t="shared" si="39"/>
        <v>34.183274661844962</v>
      </c>
      <c r="AD126" s="156">
        <f t="shared" si="34"/>
        <v>34.513730148244967</v>
      </c>
      <c r="AE126" s="182"/>
      <c r="AG126" s="2"/>
    </row>
    <row r="127" spans="1:37">
      <c r="A127" s="139">
        <v>5</v>
      </c>
      <c r="B127" s="139" cm="1">
        <f t="array" ref="B127">IFERROR(IF(A127=s1_id_korvattava1,INDEX($AG$3:$AG$19,MATCH(C127,$AF$3:$AF$19,0),1),IF(A127=s1_id_korvaava1,INDEX($AH$3:$AH$19,MATCH(C127,$AF$3:$AF$19,0),1),IF(A127=s1_id_korvattava2,INDEX($AI$3:$AI$19,MATCH(C127,$AF$3:$AF$19,0),1),IF(A127=s1_id_korvaava2,INDEX($AJ$3:$AJ$19,MATCH(C127,$AF$3:$AF$19,0),1),INDEX(Työkonekanta!$F$3:$F$27,MATCH('S1 Sähkö'!$A127,Työkonekanta!$A$3:$A$24,0),1))))),0)</f>
        <v>0</v>
      </c>
      <c r="C127" s="140">
        <v>2023</v>
      </c>
      <c r="D127" s="141" t="str">
        <f>IFERROR(INDEX(Työkonekanta!$D$3:$D$27,MATCH('S1 Sähkö'!$A127,Työkonekanta!$A$3:$A$24,0),1),"undefined")</f>
        <v>sähkö</v>
      </c>
      <c r="E127" s="145">
        <f>IFERROR(INDEX(Työkonekanta!$G$3:$G$27,MATCH($A127,Työkonekanta!$A$3:$A$24,0),1)*INDEX(Työkonekanta!$H$3:$H$27,MATCH($A127,Työkonekanta!$A$3:$A$24,0),1)*(1+s1_kerroin*($C127-2019))*$B127,0)</f>
        <v>0</v>
      </c>
      <c r="F127" s="145">
        <f t="shared" si="22"/>
        <v>0</v>
      </c>
      <c r="G127" s="145">
        <f t="shared" si="28"/>
        <v>0</v>
      </c>
      <c r="H127" s="145">
        <f t="shared" si="29"/>
        <v>0</v>
      </c>
      <c r="I127" s="145">
        <f t="shared" si="23"/>
        <v>0</v>
      </c>
      <c r="J127" s="145">
        <f t="shared" si="24"/>
        <v>0</v>
      </c>
      <c r="K127" s="142" t="str">
        <f t="shared" si="30"/>
        <v>kWh</v>
      </c>
      <c r="L127" s="146">
        <f>IFERROR(INDEX(Työkonekanta!$I$3:$I$27,MATCH('S1 Sähkö'!$A127,Työkonekanta!$A$3:$A$24,0),1)*(I127+J127)*f_adblue,0)</f>
        <v>0</v>
      </c>
      <c r="M127" s="146">
        <f t="shared" si="35"/>
        <v>0</v>
      </c>
      <c r="N127" s="143" t="str">
        <f>IF(tuulisähkö_vuosi&lt;='S1 Sähkö'!C127,"tuulisähkö",ostosähkö_nyt)</f>
        <v>jäännössähkö</v>
      </c>
      <c r="O127" s="147">
        <f>INDEX(Muuttujat!$J$5:$J$21,MATCH($C127,Muuttujat!$H$5:$H$21,0),1)</f>
        <v>66.51860537025</v>
      </c>
      <c r="P127" s="342">
        <f>1-(INDEX(Muuttujat!$O$5:$O$21,MATCH($C127,Muuttujat!$N$5:$N$21,0),1))</f>
        <v>0.95</v>
      </c>
      <c r="Q127" s="342">
        <f>INDEX(Muuttujat!$O$5:$O$21,MATCH($C127,Muuttujat!$N$5:$N$21,0),1)</f>
        <v>0.05</v>
      </c>
      <c r="R127" s="148">
        <f>INDEX(Muuttujat!$P$5:$P$21,MATCH($C127,Muuttujat!$N$5:$N$21,0),1)</f>
        <v>5.2210587442409327E-2</v>
      </c>
      <c r="S127" s="149">
        <f t="shared" si="25"/>
        <v>0</v>
      </c>
      <c r="T127" s="150">
        <f t="shared" si="26"/>
        <v>0</v>
      </c>
      <c r="U127" s="150">
        <f t="shared" si="27"/>
        <v>0</v>
      </c>
      <c r="V127" s="150">
        <f>IFERROR(INDEX(Työkonekanta!$J$3:$J$27,MATCH($A127,Työkonekanta!$A$3:$A$24,0),1)*$B127*ef_li_ion_akku/1000/1000/INDEX(Työkonekanta!$K$3:$K$27,MATCH($A127,Työkonekanta!$A$3:$A$24,0)),0)</f>
        <v>0</v>
      </c>
      <c r="W127" s="149">
        <f t="shared" si="36"/>
        <v>0</v>
      </c>
      <c r="X127" s="150">
        <f t="shared" si="37"/>
        <v>0</v>
      </c>
      <c r="Y127" s="151">
        <f t="shared" si="38"/>
        <v>0</v>
      </c>
      <c r="Z127" s="152">
        <f t="shared" si="31"/>
        <v>0</v>
      </c>
      <c r="AA127" s="153">
        <f t="shared" si="32"/>
        <v>0</v>
      </c>
      <c r="AB127" s="153">
        <f t="shared" si="33"/>
        <v>0</v>
      </c>
      <c r="AC127" s="154">
        <f t="shared" si="39"/>
        <v>0</v>
      </c>
      <c r="AD127" s="156">
        <f t="shared" si="34"/>
        <v>0</v>
      </c>
      <c r="AE127" s="182"/>
      <c r="AG127" s="2"/>
    </row>
    <row r="128" spans="1:37">
      <c r="A128" s="139">
        <v>6</v>
      </c>
      <c r="B128" s="139" cm="1">
        <f t="array" ref="B128">IFERROR(IF(A128=s1_id_korvattava1,INDEX($AG$3:$AG$19,MATCH(C128,$AF$3:$AF$19,0),1),IF(A128=s1_id_korvaava1,INDEX($AH$3:$AH$19,MATCH(C128,$AF$3:$AF$19,0),1),IF(A128=s1_id_korvattava2,INDEX($AI$3:$AI$19,MATCH(C128,$AF$3:$AF$19,0),1),IF(A128=s1_id_korvaava2,INDEX($AJ$3:$AJ$19,MATCH(C128,$AF$3:$AF$19,0),1),INDEX(Työkonekanta!$F$3:$F$27,MATCH('S1 Sähkö'!$A128,Työkonekanta!$A$3:$A$24,0),1))))),0)</f>
        <v>0</v>
      </c>
      <c r="C128" s="140">
        <v>2023</v>
      </c>
      <c r="D128" s="141" t="str">
        <f>IFERROR(INDEX(Työkonekanta!$D$3:$D$27,MATCH('S1 Sähkö'!$A128,Työkonekanta!$A$3:$A$24,0),1),"undefined")</f>
        <v>sähkö</v>
      </c>
      <c r="E128" s="145">
        <f>IFERROR(INDEX(Työkonekanta!$G$3:$G$27,MATCH($A128,Työkonekanta!$A$3:$A$24,0),1)*INDEX(Työkonekanta!$H$3:$H$27,MATCH($A128,Työkonekanta!$A$3:$A$24,0),1)*(1+s1_kerroin*($C128-2019))*$B128,0)</f>
        <v>0</v>
      </c>
      <c r="F128" s="145">
        <f t="shared" si="22"/>
        <v>0</v>
      </c>
      <c r="G128" s="145">
        <f t="shared" si="28"/>
        <v>0</v>
      </c>
      <c r="H128" s="145">
        <f t="shared" si="29"/>
        <v>0</v>
      </c>
      <c r="I128" s="145">
        <f t="shared" si="23"/>
        <v>0</v>
      </c>
      <c r="J128" s="145">
        <f t="shared" si="24"/>
        <v>0</v>
      </c>
      <c r="K128" s="142" t="str">
        <f t="shared" si="30"/>
        <v>kWh</v>
      </c>
      <c r="L128" s="146">
        <f>IFERROR(INDEX(Työkonekanta!$I$3:$I$27,MATCH('S1 Sähkö'!$A128,Työkonekanta!$A$3:$A$24,0),1)*(I128+J128)*f_adblue,0)</f>
        <v>0</v>
      </c>
      <c r="M128" s="146">
        <f t="shared" si="35"/>
        <v>0</v>
      </c>
      <c r="N128" s="143" t="str">
        <f>IF(tuulisähkö_vuosi&lt;='S1 Sähkö'!C128,"tuulisähkö",ostosähkö_nyt)</f>
        <v>jäännössähkö</v>
      </c>
      <c r="O128" s="147">
        <f>INDEX(Muuttujat!$J$5:$J$21,MATCH($C128,Muuttujat!$H$5:$H$21,0),1)</f>
        <v>66.51860537025</v>
      </c>
      <c r="P128" s="342">
        <f>1-(INDEX(Muuttujat!$O$5:$O$21,MATCH($C128,Muuttujat!$N$5:$N$21,0),1))</f>
        <v>0.95</v>
      </c>
      <c r="Q128" s="342">
        <f>INDEX(Muuttujat!$O$5:$O$21,MATCH($C128,Muuttujat!$N$5:$N$21,0),1)</f>
        <v>0.05</v>
      </c>
      <c r="R128" s="148">
        <f>INDEX(Muuttujat!$P$5:$P$21,MATCH($C128,Muuttujat!$N$5:$N$21,0),1)</f>
        <v>5.2210587442409327E-2</v>
      </c>
      <c r="S128" s="149">
        <f t="shared" si="25"/>
        <v>0</v>
      </c>
      <c r="T128" s="150">
        <f t="shared" si="26"/>
        <v>0</v>
      </c>
      <c r="U128" s="150">
        <f t="shared" si="27"/>
        <v>0</v>
      </c>
      <c r="V128" s="150">
        <f>IFERROR(INDEX(Työkonekanta!$J$3:$J$27,MATCH($A128,Työkonekanta!$A$3:$A$24,0),1)*$B128*ef_li_ion_akku/1000/1000/INDEX(Työkonekanta!$K$3:$K$27,MATCH($A128,Työkonekanta!$A$3:$A$24,0)),0)</f>
        <v>0</v>
      </c>
      <c r="W128" s="149">
        <f t="shared" si="36"/>
        <v>0</v>
      </c>
      <c r="X128" s="150">
        <f t="shared" si="37"/>
        <v>0</v>
      </c>
      <c r="Y128" s="151">
        <f t="shared" si="38"/>
        <v>0</v>
      </c>
      <c r="Z128" s="152">
        <f t="shared" si="31"/>
        <v>0</v>
      </c>
      <c r="AA128" s="153">
        <f t="shared" si="32"/>
        <v>0</v>
      </c>
      <c r="AB128" s="153">
        <f t="shared" si="33"/>
        <v>0</v>
      </c>
      <c r="AC128" s="154">
        <f t="shared" si="39"/>
        <v>0</v>
      </c>
      <c r="AD128" s="156">
        <f t="shared" si="34"/>
        <v>0</v>
      </c>
      <c r="AE128" s="182"/>
      <c r="AG128" s="2"/>
    </row>
    <row r="129" spans="1:33">
      <c r="A129" s="139">
        <v>7</v>
      </c>
      <c r="B129" s="139" cm="1">
        <f t="array" ref="B129">IFERROR(IF(A129=s1_id_korvattava1,INDEX($AG$3:$AG$19,MATCH(C129,$AF$3:$AF$19,0),1),IF(A129=s1_id_korvaava1,INDEX($AH$3:$AH$19,MATCH(C129,$AF$3:$AF$19,0),1),IF(A129=s1_id_korvattava2,INDEX($AI$3:$AI$19,MATCH(C129,$AF$3:$AF$19,0),1),IF(A129=s1_id_korvaava2,INDEX($AJ$3:$AJ$19,MATCH(C129,$AF$3:$AF$19,0),1),INDEX(Työkonekanta!$F$3:$F$27,MATCH('S1 Sähkö'!$A129,Työkonekanta!$A$3:$A$24,0),1))))),0)</f>
        <v>1</v>
      </c>
      <c r="C129" s="140">
        <v>2023</v>
      </c>
      <c r="D129" s="141" t="str">
        <f>IFERROR(INDEX(Työkonekanta!$D$3:$D$27,MATCH('S1 Sähkö'!$A129,Työkonekanta!$A$3:$A$24,0),1),"undefined")</f>
        <v>pom</v>
      </c>
      <c r="E129" s="145">
        <f>IFERROR(INDEX(Työkonekanta!$G$3:$G$27,MATCH($A129,Työkonekanta!$A$3:$A$24,0),1)*INDEX(Työkonekanta!$H$3:$H$27,MATCH($A129,Työkonekanta!$A$3:$A$24,0),1)*(1+s1_kerroin*($C129-2019))*$B129,0)</f>
        <v>10400</v>
      </c>
      <c r="F129" s="145">
        <f t="shared" si="22"/>
        <v>373360</v>
      </c>
      <c r="G129" s="145">
        <f t="shared" si="28"/>
        <v>354692</v>
      </c>
      <c r="H129" s="145">
        <f t="shared" si="29"/>
        <v>18668</v>
      </c>
      <c r="I129" s="145">
        <f t="shared" si="23"/>
        <v>9880</v>
      </c>
      <c r="J129" s="145">
        <f t="shared" si="24"/>
        <v>544.25655976676387</v>
      </c>
      <c r="K129" s="142" t="str">
        <f t="shared" si="30"/>
        <v>l</v>
      </c>
      <c r="L129" s="146">
        <f>IFERROR(INDEX(Työkonekanta!$I$3:$I$27,MATCH('S1 Sähkö'!$A129,Työkonekanta!$A$3:$A$24,0),1)*(I129+J129)*f_adblue,0)</f>
        <v>0</v>
      </c>
      <c r="M129" s="146">
        <f t="shared" si="35"/>
        <v>0</v>
      </c>
      <c r="N129" s="143" t="str">
        <f>IF(tuulisähkö_vuosi&lt;='S1 Sähkö'!C129,"tuulisähkö",ostosähkö_nyt)</f>
        <v>jäännössähkö</v>
      </c>
      <c r="O129" s="147">
        <f>INDEX(Muuttujat!$J$5:$J$21,MATCH($C129,Muuttujat!$H$5:$H$21,0),1)</f>
        <v>66.51860537025</v>
      </c>
      <c r="P129" s="342">
        <f>1-(INDEX(Muuttujat!$O$5:$O$21,MATCH($C129,Muuttujat!$N$5:$N$21,0),1))</f>
        <v>0.95</v>
      </c>
      <c r="Q129" s="342">
        <f>INDEX(Muuttujat!$O$5:$O$21,MATCH($C129,Muuttujat!$N$5:$N$21,0),1)</f>
        <v>0.05</v>
      </c>
      <c r="R129" s="148">
        <f>INDEX(Muuttujat!$P$5:$P$21,MATCH($C129,Muuttujat!$N$5:$N$21,0),1)</f>
        <v>5.2210587442409327E-2</v>
      </c>
      <c r="S129" s="149">
        <f t="shared" si="25"/>
        <v>6.7036787999999996</v>
      </c>
      <c r="T129" s="150">
        <f t="shared" si="26"/>
        <v>1.1648832</v>
      </c>
      <c r="U129" s="150">
        <f t="shared" si="27"/>
        <v>0</v>
      </c>
      <c r="V129" s="150">
        <f>IFERROR(INDEX(Työkonekanta!$J$3:$J$27,MATCH($A129,Työkonekanta!$A$3:$A$24,0),1)*$B129*ef_li_ion_akku/1000/1000/INDEX(Työkonekanta!$K$3:$K$27,MATCH($A129,Työkonekanta!$A$3:$A$24,0)),0)</f>
        <v>0</v>
      </c>
      <c r="W129" s="149">
        <f t="shared" si="36"/>
        <v>26.179197326567998</v>
      </c>
      <c r="X129" s="150">
        <f t="shared" si="37"/>
        <v>0.3304554864</v>
      </c>
      <c r="Y129" s="151">
        <f t="shared" si="38"/>
        <v>0</v>
      </c>
      <c r="Z129" s="152">
        <f t="shared" si="31"/>
        <v>7.8685619999999998</v>
      </c>
      <c r="AA129" s="153">
        <f t="shared" si="32"/>
        <v>26.179197326567998</v>
      </c>
      <c r="AB129" s="153">
        <f t="shared" si="33"/>
        <v>26.509652812968</v>
      </c>
      <c r="AC129" s="154">
        <f t="shared" si="39"/>
        <v>34.047759326567999</v>
      </c>
      <c r="AD129" s="156">
        <f t="shared" si="34"/>
        <v>34.378214812967997</v>
      </c>
      <c r="AE129" s="182"/>
      <c r="AG129" s="2"/>
    </row>
    <row r="130" spans="1:33">
      <c r="A130" s="139">
        <v>8</v>
      </c>
      <c r="B130" s="139" cm="1">
        <f t="array" ref="B130">IFERROR(IF(A130=s1_id_korvattava1,INDEX($AG$3:$AG$19,MATCH(C130,$AF$3:$AF$19,0),1),IF(A130=s1_id_korvaava1,INDEX($AH$3:$AH$19,MATCH(C130,$AF$3:$AF$19,0),1),IF(A130=s1_id_korvattava2,INDEX($AI$3:$AI$19,MATCH(C130,$AF$3:$AF$19,0),1),IF(A130=s1_id_korvaava2,INDEX($AJ$3:$AJ$19,MATCH(C130,$AF$3:$AF$19,0),1),INDEX(Työkonekanta!$F$3:$F$27,MATCH('S1 Sähkö'!$A130,Työkonekanta!$A$3:$A$24,0),1))))),0)</f>
        <v>1</v>
      </c>
      <c r="C130" s="140">
        <v>2023</v>
      </c>
      <c r="D130" s="141" t="str">
        <f>IFERROR(INDEX(Työkonekanta!$D$3:$D$27,MATCH('S1 Sähkö'!$A130,Työkonekanta!$A$3:$A$24,0),1),"undefined")</f>
        <v>pom</v>
      </c>
      <c r="E130" s="145">
        <f>IFERROR(INDEX(Työkonekanta!$G$3:$G$27,MATCH($A130,Työkonekanta!$A$3:$A$24,0),1)*INDEX(Työkonekanta!$H$3:$H$27,MATCH($A130,Työkonekanta!$A$3:$A$24,0),1)*(1+s1_kerroin*($C130-2019))*$B130,0)</f>
        <v>10400</v>
      </c>
      <c r="F130" s="145">
        <f t="shared" si="22"/>
        <v>373360</v>
      </c>
      <c r="G130" s="145">
        <f t="shared" si="28"/>
        <v>354692</v>
      </c>
      <c r="H130" s="145">
        <f t="shared" si="29"/>
        <v>18668</v>
      </c>
      <c r="I130" s="145">
        <f t="shared" si="23"/>
        <v>9880</v>
      </c>
      <c r="J130" s="145">
        <f t="shared" si="24"/>
        <v>544.25655976676387</v>
      </c>
      <c r="K130" s="142" t="str">
        <f t="shared" si="30"/>
        <v>l</v>
      </c>
      <c r="L130" s="146">
        <f>IFERROR(INDEX(Työkonekanta!$I$3:$I$27,MATCH('S1 Sähkö'!$A130,Työkonekanta!$A$3:$A$24,0),1)*(I130+J130)*f_adblue,0)</f>
        <v>521.21282798833818</v>
      </c>
      <c r="M130" s="146">
        <f t="shared" si="35"/>
        <v>0</v>
      </c>
      <c r="N130" s="143" t="str">
        <f>IF(tuulisähkö_vuosi&lt;='S1 Sähkö'!C130,"tuulisähkö",ostosähkö_nyt)</f>
        <v>jäännössähkö</v>
      </c>
      <c r="O130" s="147">
        <f>INDEX(Muuttujat!$J$5:$J$21,MATCH($C130,Muuttujat!$H$5:$H$21,0),1)</f>
        <v>66.51860537025</v>
      </c>
      <c r="P130" s="342">
        <f>1-(INDEX(Muuttujat!$O$5:$O$21,MATCH($C130,Muuttujat!$N$5:$N$21,0),1))</f>
        <v>0.95</v>
      </c>
      <c r="Q130" s="342">
        <f>INDEX(Muuttujat!$O$5:$O$21,MATCH($C130,Muuttujat!$N$5:$N$21,0),1)</f>
        <v>0.05</v>
      </c>
      <c r="R130" s="148">
        <f>INDEX(Muuttujat!$P$5:$P$21,MATCH($C130,Muuttujat!$N$5:$N$21,0),1)</f>
        <v>5.2210587442409327E-2</v>
      </c>
      <c r="S130" s="149">
        <f t="shared" si="25"/>
        <v>6.7036787999999996</v>
      </c>
      <c r="T130" s="150">
        <f t="shared" si="26"/>
        <v>1.1648832</v>
      </c>
      <c r="U130" s="150">
        <f t="shared" si="27"/>
        <v>0</v>
      </c>
      <c r="V130" s="150">
        <f>IFERROR(INDEX(Työkonekanta!$J$3:$J$27,MATCH($A130,Työkonekanta!$A$3:$A$24,0),1)*$B130*ef_li_ion_akku/1000/1000/INDEX(Työkonekanta!$K$3:$K$27,MATCH($A130,Työkonekanta!$A$3:$A$24,0)),0)</f>
        <v>0</v>
      </c>
      <c r="W130" s="149">
        <f t="shared" si="36"/>
        <v>26.179197326567998</v>
      </c>
      <c r="X130" s="150">
        <f t="shared" si="37"/>
        <v>0.3304554864</v>
      </c>
      <c r="Y130" s="151">
        <f t="shared" si="38"/>
        <v>0.13551533527696794</v>
      </c>
      <c r="Z130" s="152">
        <f t="shared" si="31"/>
        <v>7.8685619999999998</v>
      </c>
      <c r="AA130" s="153">
        <f t="shared" si="32"/>
        <v>26.314712661844965</v>
      </c>
      <c r="AB130" s="153">
        <f t="shared" si="33"/>
        <v>26.645168148244966</v>
      </c>
      <c r="AC130" s="154">
        <f t="shared" si="39"/>
        <v>34.183274661844962</v>
      </c>
      <c r="AD130" s="156">
        <f t="shared" si="34"/>
        <v>34.513730148244967</v>
      </c>
      <c r="AE130" s="182"/>
      <c r="AG130" s="2"/>
    </row>
    <row r="131" spans="1:33">
      <c r="A131" s="139">
        <v>9</v>
      </c>
      <c r="B131" s="139" cm="1">
        <f t="array" ref="B131">IFERROR(IF(A131=s1_id_korvattava1,INDEX($AG$3:$AG$19,MATCH(C131,$AF$3:$AF$19,0),1),IF(A131=s1_id_korvaava1,INDEX($AH$3:$AH$19,MATCH(C131,$AF$3:$AF$19,0),1),IF(A131=s1_id_korvattava2,INDEX($AI$3:$AI$19,MATCH(C131,$AF$3:$AF$19,0),1),IF(A131=s1_id_korvaava2,INDEX($AJ$3:$AJ$19,MATCH(C131,$AF$3:$AF$19,0),1),INDEX(Työkonekanta!$F$3:$F$27,MATCH('S1 Sähkö'!$A131,Työkonekanta!$A$3:$A$24,0),1))))),0)</f>
        <v>0</v>
      </c>
      <c r="C131" s="140">
        <v>2023</v>
      </c>
      <c r="D131" s="141" t="str">
        <f>IFERROR(INDEX(Työkonekanta!$D$3:$D$27,MATCH('S1 Sähkö'!$A131,Työkonekanta!$A$3:$A$24,0),1),"undefined")</f>
        <v>sähkö</v>
      </c>
      <c r="E131" s="145">
        <f>IFERROR(INDEX(Työkonekanta!$G$3:$G$27,MATCH($A131,Työkonekanta!$A$3:$A$24,0),1)*INDEX(Työkonekanta!$H$3:$H$27,MATCH($A131,Työkonekanta!$A$3:$A$24,0),1)*(1+s1_kerroin*($C131-2019))*$B131,0)</f>
        <v>0</v>
      </c>
      <c r="F131" s="145">
        <f t="shared" ref="F131:F194" si="40">IF(D131="pom",$E131*hv_pom,0)</f>
        <v>0</v>
      </c>
      <c r="G131" s="145">
        <f t="shared" si="28"/>
        <v>0</v>
      </c>
      <c r="H131" s="145">
        <f t="shared" si="29"/>
        <v>0</v>
      </c>
      <c r="I131" s="145">
        <f t="shared" ref="I131:I194" si="41">$G131/hv_pom</f>
        <v>0</v>
      </c>
      <c r="J131" s="145">
        <f t="shared" ref="J131:J194" si="42">$H131/hv_biodies</f>
        <v>0</v>
      </c>
      <c r="K131" s="142" t="str">
        <f t="shared" si="30"/>
        <v>kWh</v>
      </c>
      <c r="L131" s="146">
        <f>IFERROR(INDEX(Työkonekanta!$I$3:$I$27,MATCH('S1 Sähkö'!$A131,Työkonekanta!$A$3:$A$24,0),1)*(I131+J131)*f_adblue,0)</f>
        <v>0</v>
      </c>
      <c r="M131" s="146">
        <f t="shared" si="35"/>
        <v>0</v>
      </c>
      <c r="N131" s="143" t="str">
        <f>IF(tuulisähkö_vuosi&lt;='S1 Sähkö'!C131,"tuulisähkö",ostosähkö_nyt)</f>
        <v>jäännössähkö</v>
      </c>
      <c r="O131" s="147">
        <f>INDEX(Muuttujat!$J$5:$J$21,MATCH($C131,Muuttujat!$H$5:$H$21,0),1)</f>
        <v>66.51860537025</v>
      </c>
      <c r="P131" s="342">
        <f>1-(INDEX(Muuttujat!$O$5:$O$21,MATCH($C131,Muuttujat!$N$5:$N$21,0),1))</f>
        <v>0.95</v>
      </c>
      <c r="Q131" s="342">
        <f>INDEX(Muuttujat!$O$5:$O$21,MATCH($C131,Muuttujat!$N$5:$N$21,0),1)</f>
        <v>0.05</v>
      </c>
      <c r="R131" s="148">
        <f>INDEX(Muuttujat!$P$5:$P$21,MATCH($C131,Muuttujat!$N$5:$N$21,0),1)</f>
        <v>5.2210587442409327E-2</v>
      </c>
      <c r="S131" s="149">
        <f t="shared" ref="S131:S194" si="43">wtt_ef_e_co2_dies*$G131/1000/1000</f>
        <v>0</v>
      </c>
      <c r="T131" s="150">
        <f t="shared" ref="T131:T194" si="44">wtt_ef_e_co2_biodies*$H131/1000/1000</f>
        <v>0</v>
      </c>
      <c r="U131" s="150">
        <f t="shared" ref="U131:U194" si="45">IF(N131="jäännössähkö",$O131,IF(N131="tuulisähkö",wtt_ef_e_co2_el_wind,0))*$M131/1000/1000</f>
        <v>0</v>
      </c>
      <c r="V131" s="150">
        <f>IFERROR(INDEX(Työkonekanta!$J$3:$J$27,MATCH($A131,Työkonekanta!$A$3:$A$24,0),1)*$B131*ef_li_ion_akku/1000/1000/INDEX(Työkonekanta!$K$3:$K$27,MATCH($A131,Työkonekanta!$A$3:$A$24,0)),0)</f>
        <v>0</v>
      </c>
      <c r="W131" s="149">
        <f t="shared" si="36"/>
        <v>0</v>
      </c>
      <c r="X131" s="150">
        <f t="shared" si="37"/>
        <v>0</v>
      </c>
      <c r="Y131" s="151">
        <f t="shared" si="38"/>
        <v>0</v>
      </c>
      <c r="Z131" s="152">
        <f t="shared" si="31"/>
        <v>0</v>
      </c>
      <c r="AA131" s="153">
        <f t="shared" si="32"/>
        <v>0</v>
      </c>
      <c r="AB131" s="153">
        <f t="shared" si="33"/>
        <v>0</v>
      </c>
      <c r="AC131" s="154">
        <f t="shared" si="39"/>
        <v>0</v>
      </c>
      <c r="AD131" s="156">
        <f t="shared" si="34"/>
        <v>0</v>
      </c>
      <c r="AE131" s="182"/>
      <c r="AG131" s="2"/>
    </row>
    <row r="132" spans="1:33">
      <c r="A132" s="139">
        <v>10</v>
      </c>
      <c r="B132" s="139" cm="1">
        <f t="array" ref="B132">IFERROR(IF(A132=s1_id_korvattava1,INDEX($AG$3:$AG$19,MATCH(C132,$AF$3:$AF$19,0),1),IF(A132=s1_id_korvaava1,INDEX($AH$3:$AH$19,MATCH(C132,$AF$3:$AF$19,0),1),IF(A132=s1_id_korvattava2,INDEX($AI$3:$AI$19,MATCH(C132,$AF$3:$AF$19,0),1),IF(A132=s1_id_korvaava2,INDEX($AJ$3:$AJ$19,MATCH(C132,$AF$3:$AF$19,0),1),INDEX(Työkonekanta!$F$3:$F$27,MATCH('S1 Sähkö'!$A132,Työkonekanta!$A$3:$A$24,0),1))))),0)</f>
        <v>0</v>
      </c>
      <c r="C132" s="140">
        <v>2023</v>
      </c>
      <c r="D132" s="141" t="str">
        <f>IFERROR(INDEX(Työkonekanta!$D$3:$D$27,MATCH('S1 Sähkö'!$A132,Työkonekanta!$A$3:$A$24,0),1),"undefined")</f>
        <v>sähkö</v>
      </c>
      <c r="E132" s="145">
        <f>IFERROR(INDEX(Työkonekanta!$G$3:$G$27,MATCH($A132,Työkonekanta!$A$3:$A$24,0),1)*INDEX(Työkonekanta!$H$3:$H$27,MATCH($A132,Työkonekanta!$A$3:$A$24,0),1)*(1+s1_kerroin*($C132-2019))*$B132,0)</f>
        <v>0</v>
      </c>
      <c r="F132" s="145">
        <f t="shared" si="40"/>
        <v>0</v>
      </c>
      <c r="G132" s="145">
        <f t="shared" ref="G132:G195" si="46">$F132*$P132</f>
        <v>0</v>
      </c>
      <c r="H132" s="145">
        <f t="shared" ref="H132:H195" si="47">$F132*$Q132</f>
        <v>0</v>
      </c>
      <c r="I132" s="145">
        <f t="shared" si="41"/>
        <v>0</v>
      </c>
      <c r="J132" s="145">
        <f t="shared" si="42"/>
        <v>0</v>
      </c>
      <c r="K132" s="142" t="str">
        <f t="shared" ref="K132:K195" si="48">IF($D132="sähkö","kWh",IF($D132="pom","l","undefined"))</f>
        <v>kWh</v>
      </c>
      <c r="L132" s="146">
        <f>IFERROR(INDEX(Työkonekanta!$I$3:$I$27,MATCH('S1 Sähkö'!$A132,Työkonekanta!$A$3:$A$24,0),1)*(I132+J132)*f_adblue,0)</f>
        <v>0</v>
      </c>
      <c r="M132" s="146">
        <f t="shared" si="35"/>
        <v>0</v>
      </c>
      <c r="N132" s="143" t="str">
        <f>IF(tuulisähkö_vuosi&lt;='S1 Sähkö'!C132,"tuulisähkö",ostosähkö_nyt)</f>
        <v>jäännössähkö</v>
      </c>
      <c r="O132" s="147">
        <f>INDEX(Muuttujat!$J$5:$J$21,MATCH($C132,Muuttujat!$H$5:$H$21,0),1)</f>
        <v>66.51860537025</v>
      </c>
      <c r="P132" s="342">
        <f>1-(INDEX(Muuttujat!$O$5:$O$21,MATCH($C132,Muuttujat!$N$5:$N$21,0),1))</f>
        <v>0.95</v>
      </c>
      <c r="Q132" s="342">
        <f>INDEX(Muuttujat!$O$5:$O$21,MATCH($C132,Muuttujat!$N$5:$N$21,0),1)</f>
        <v>0.05</v>
      </c>
      <c r="R132" s="148">
        <f>INDEX(Muuttujat!$P$5:$P$21,MATCH($C132,Muuttujat!$N$5:$N$21,0),1)</f>
        <v>5.2210587442409327E-2</v>
      </c>
      <c r="S132" s="149">
        <f t="shared" si="43"/>
        <v>0</v>
      </c>
      <c r="T132" s="150">
        <f t="shared" si="44"/>
        <v>0</v>
      </c>
      <c r="U132" s="150">
        <f t="shared" si="45"/>
        <v>0</v>
      </c>
      <c r="V132" s="150">
        <f>IFERROR(INDEX(Työkonekanta!$J$3:$J$27,MATCH($A132,Työkonekanta!$A$3:$A$24,0),1)*$B132*ef_li_ion_akku/1000/1000/INDEX(Työkonekanta!$K$3:$K$27,MATCH($A132,Työkonekanta!$A$3:$A$24,0)),0)</f>
        <v>0</v>
      </c>
      <c r="W132" s="149">
        <f t="shared" si="36"/>
        <v>0</v>
      </c>
      <c r="X132" s="150">
        <f t="shared" si="37"/>
        <v>0</v>
      </c>
      <c r="Y132" s="151">
        <f t="shared" si="38"/>
        <v>0</v>
      </c>
      <c r="Z132" s="152">
        <f t="shared" ref="Z132:Z195" si="49">SUM($S132:$V132)</f>
        <v>0</v>
      </c>
      <c r="AA132" s="153">
        <f t="shared" ref="AA132:AA195" si="50">$W132+$Y132</f>
        <v>0</v>
      </c>
      <c r="AB132" s="153">
        <f t="shared" ref="AB132:AB195" si="51">SUM($W132:$Y132)</f>
        <v>0</v>
      </c>
      <c r="AC132" s="154">
        <f t="shared" si="39"/>
        <v>0</v>
      </c>
      <c r="AD132" s="156">
        <f t="shared" ref="AD132:AD195" si="52">$Z132+$AB132</f>
        <v>0</v>
      </c>
      <c r="AE132" s="182"/>
      <c r="AG132" s="2"/>
    </row>
    <row r="133" spans="1:33">
      <c r="A133" s="139">
        <v>11</v>
      </c>
      <c r="B133" s="139" cm="1">
        <f t="array" ref="B133">IFERROR(IF(A133=s1_id_korvattava1,INDEX($AG$3:$AG$19,MATCH(C133,$AF$3:$AF$19,0),1),IF(A133=s1_id_korvaava1,INDEX($AH$3:$AH$19,MATCH(C133,$AF$3:$AF$19,0),1),IF(A133=s1_id_korvattava2,INDEX($AI$3:$AI$19,MATCH(C133,$AF$3:$AF$19,0),1),IF(A133=s1_id_korvaava2,INDEX($AJ$3:$AJ$19,MATCH(C133,$AF$3:$AF$19,0),1),INDEX(Työkonekanta!$F$3:$F$27,MATCH('S1 Sähkö'!$A133,Työkonekanta!$A$3:$A$24,0),1))))),0)</f>
        <v>1</v>
      </c>
      <c r="C133" s="140">
        <v>2023</v>
      </c>
      <c r="D133" s="141" t="str">
        <f>IFERROR(INDEX(Työkonekanta!$D$3:$D$27,MATCH('S1 Sähkö'!$A133,Työkonekanta!$A$3:$A$24,0),1),"undefined")</f>
        <v>pom</v>
      </c>
      <c r="E133" s="145">
        <f>IFERROR(INDEX(Työkonekanta!$G$3:$G$27,MATCH($A133,Työkonekanta!$A$3:$A$24,0),1)*INDEX(Työkonekanta!$H$3:$H$27,MATCH($A133,Työkonekanta!$A$3:$A$24,0),1)*(1+s1_kerroin*($C133-2019))*$B133,0)</f>
        <v>10400</v>
      </c>
      <c r="F133" s="145">
        <f t="shared" si="40"/>
        <v>373360</v>
      </c>
      <c r="G133" s="145">
        <f t="shared" si="46"/>
        <v>354692</v>
      </c>
      <c r="H133" s="145">
        <f t="shared" si="47"/>
        <v>18668</v>
      </c>
      <c r="I133" s="145">
        <f t="shared" si="41"/>
        <v>9880</v>
      </c>
      <c r="J133" s="145">
        <f t="shared" si="42"/>
        <v>544.25655976676387</v>
      </c>
      <c r="K133" s="142" t="str">
        <f t="shared" si="48"/>
        <v>l</v>
      </c>
      <c r="L133" s="146">
        <f>IFERROR(INDEX(Työkonekanta!$I$3:$I$27,MATCH('S1 Sähkö'!$A133,Työkonekanta!$A$3:$A$24,0),1)*(I133+J133)*f_adblue,0)</f>
        <v>521.21282798833818</v>
      </c>
      <c r="M133" s="146">
        <f t="shared" si="35"/>
        <v>0</v>
      </c>
      <c r="N133" s="143" t="str">
        <f>IF(tuulisähkö_vuosi&lt;='S1 Sähkö'!C133,"tuulisähkö",ostosähkö_nyt)</f>
        <v>jäännössähkö</v>
      </c>
      <c r="O133" s="147">
        <f>INDEX(Muuttujat!$J$5:$J$21,MATCH($C133,Muuttujat!$H$5:$H$21,0),1)</f>
        <v>66.51860537025</v>
      </c>
      <c r="P133" s="342">
        <f>1-(INDEX(Muuttujat!$O$5:$O$21,MATCH($C133,Muuttujat!$N$5:$N$21,0),1))</f>
        <v>0.95</v>
      </c>
      <c r="Q133" s="342">
        <f>INDEX(Muuttujat!$O$5:$O$21,MATCH($C133,Muuttujat!$N$5:$N$21,0),1)</f>
        <v>0.05</v>
      </c>
      <c r="R133" s="148">
        <f>INDEX(Muuttujat!$P$5:$P$21,MATCH($C133,Muuttujat!$N$5:$N$21,0),1)</f>
        <v>5.2210587442409327E-2</v>
      </c>
      <c r="S133" s="149">
        <f t="shared" si="43"/>
        <v>6.7036787999999996</v>
      </c>
      <c r="T133" s="150">
        <f t="shared" si="44"/>
        <v>1.1648832</v>
      </c>
      <c r="U133" s="150">
        <f t="shared" si="45"/>
        <v>0</v>
      </c>
      <c r="V133" s="150">
        <f>IFERROR(INDEX(Työkonekanta!$J$3:$J$27,MATCH($A133,Työkonekanta!$A$3:$A$24,0),1)*$B133*ef_li_ion_akku/1000/1000/INDEX(Työkonekanta!$K$3:$K$27,MATCH($A133,Työkonekanta!$A$3:$A$24,0)),0)</f>
        <v>0</v>
      </c>
      <c r="W133" s="149">
        <f t="shared" si="36"/>
        <v>26.179197326567998</v>
      </c>
      <c r="X133" s="150">
        <f t="shared" si="37"/>
        <v>0.3304554864</v>
      </c>
      <c r="Y133" s="151">
        <f t="shared" si="38"/>
        <v>0.13551533527696794</v>
      </c>
      <c r="Z133" s="152">
        <f t="shared" si="49"/>
        <v>7.8685619999999998</v>
      </c>
      <c r="AA133" s="153">
        <f t="shared" si="50"/>
        <v>26.314712661844965</v>
      </c>
      <c r="AB133" s="153">
        <f t="shared" si="51"/>
        <v>26.645168148244966</v>
      </c>
      <c r="AC133" s="154">
        <f t="shared" si="39"/>
        <v>34.183274661844962</v>
      </c>
      <c r="AD133" s="156">
        <f t="shared" si="52"/>
        <v>34.513730148244967</v>
      </c>
      <c r="AE133" s="182"/>
      <c r="AG133" s="2"/>
    </row>
    <row r="134" spans="1:33">
      <c r="A134" s="139">
        <v>12</v>
      </c>
      <c r="B134" s="139" cm="1">
        <f t="array" ref="B134">IFERROR(IF(A134=s1_id_korvattava1,INDEX($AG$3:$AG$19,MATCH(C134,$AF$3:$AF$19,0),1),IF(A134=s1_id_korvaava1,INDEX($AH$3:$AH$19,MATCH(C134,$AF$3:$AF$19,0),1),IF(A134=s1_id_korvattava2,INDEX($AI$3:$AI$19,MATCH(C134,$AF$3:$AF$19,0),1),IF(A134=s1_id_korvaava2,INDEX($AJ$3:$AJ$19,MATCH(C134,$AF$3:$AF$19,0),1),INDEX(Työkonekanta!$F$3:$F$27,MATCH('S1 Sähkö'!$A134,Työkonekanta!$A$3:$A$24,0),1))))),0)</f>
        <v>1</v>
      </c>
      <c r="C134" s="140">
        <v>2023</v>
      </c>
      <c r="D134" s="141" t="str">
        <f>IFERROR(INDEX(Työkonekanta!$D$3:$D$27,MATCH('S1 Sähkö'!$A134,Työkonekanta!$A$3:$A$24,0),1),"undefined")</f>
        <v>pom</v>
      </c>
      <c r="E134" s="145">
        <f>IFERROR(INDEX(Työkonekanta!$G$3:$G$27,MATCH($A134,Työkonekanta!$A$3:$A$24,0),1)*INDEX(Työkonekanta!$H$3:$H$27,MATCH($A134,Työkonekanta!$A$3:$A$24,0),1)*(1+s1_kerroin*($C134-2019))*$B134,0)</f>
        <v>10400</v>
      </c>
      <c r="F134" s="145">
        <f t="shared" si="40"/>
        <v>373360</v>
      </c>
      <c r="G134" s="145">
        <f t="shared" si="46"/>
        <v>354692</v>
      </c>
      <c r="H134" s="145">
        <f t="shared" si="47"/>
        <v>18668</v>
      </c>
      <c r="I134" s="145">
        <f t="shared" si="41"/>
        <v>9880</v>
      </c>
      <c r="J134" s="145">
        <f t="shared" si="42"/>
        <v>544.25655976676387</v>
      </c>
      <c r="K134" s="142" t="str">
        <f t="shared" si="48"/>
        <v>l</v>
      </c>
      <c r="L134" s="146">
        <f>IFERROR(INDEX(Työkonekanta!$I$3:$I$27,MATCH('S1 Sähkö'!$A134,Työkonekanta!$A$3:$A$24,0),1)*(I134+J134)*f_adblue,0)</f>
        <v>521.21282798833818</v>
      </c>
      <c r="M134" s="146">
        <f t="shared" si="35"/>
        <v>0</v>
      </c>
      <c r="N134" s="143" t="str">
        <f>IF(tuulisähkö_vuosi&lt;='S1 Sähkö'!C134,"tuulisähkö",ostosähkö_nyt)</f>
        <v>jäännössähkö</v>
      </c>
      <c r="O134" s="147">
        <f>INDEX(Muuttujat!$J$5:$J$21,MATCH($C134,Muuttujat!$H$5:$H$21,0),1)</f>
        <v>66.51860537025</v>
      </c>
      <c r="P134" s="342">
        <f>1-(INDEX(Muuttujat!$O$5:$O$21,MATCH($C134,Muuttujat!$N$5:$N$21,0),1))</f>
        <v>0.95</v>
      </c>
      <c r="Q134" s="342">
        <f>INDEX(Muuttujat!$O$5:$O$21,MATCH($C134,Muuttujat!$N$5:$N$21,0),1)</f>
        <v>0.05</v>
      </c>
      <c r="R134" s="148">
        <f>INDEX(Muuttujat!$P$5:$P$21,MATCH($C134,Muuttujat!$N$5:$N$21,0),1)</f>
        <v>5.2210587442409327E-2</v>
      </c>
      <c r="S134" s="149">
        <f t="shared" si="43"/>
        <v>6.7036787999999996</v>
      </c>
      <c r="T134" s="150">
        <f t="shared" si="44"/>
        <v>1.1648832</v>
      </c>
      <c r="U134" s="150">
        <f t="shared" si="45"/>
        <v>0</v>
      </c>
      <c r="V134" s="150">
        <f>IFERROR(INDEX(Työkonekanta!$J$3:$J$27,MATCH($A134,Työkonekanta!$A$3:$A$24,0),1)*$B134*ef_li_ion_akku/1000/1000/INDEX(Työkonekanta!$K$3:$K$27,MATCH($A134,Työkonekanta!$A$3:$A$24,0)),0)</f>
        <v>0</v>
      </c>
      <c r="W134" s="149">
        <f t="shared" si="36"/>
        <v>26.179197326567998</v>
      </c>
      <c r="X134" s="150">
        <f t="shared" si="37"/>
        <v>0.3304554864</v>
      </c>
      <c r="Y134" s="151">
        <f t="shared" si="38"/>
        <v>0.13551533527696794</v>
      </c>
      <c r="Z134" s="152">
        <f t="shared" si="49"/>
        <v>7.8685619999999998</v>
      </c>
      <c r="AA134" s="153">
        <f t="shared" si="50"/>
        <v>26.314712661844965</v>
      </c>
      <c r="AB134" s="153">
        <f t="shared" si="51"/>
        <v>26.645168148244966</v>
      </c>
      <c r="AC134" s="154">
        <f t="shared" si="39"/>
        <v>34.183274661844962</v>
      </c>
      <c r="AD134" s="156">
        <f t="shared" si="52"/>
        <v>34.513730148244967</v>
      </c>
      <c r="AE134" s="182"/>
      <c r="AG134" s="2"/>
    </row>
    <row r="135" spans="1:33">
      <c r="A135" s="139">
        <v>13</v>
      </c>
      <c r="B135" s="139" cm="1">
        <f t="array" ref="B135">IFERROR(IF(A135=s1_id_korvattava1,INDEX($AG$3:$AG$19,MATCH(C135,$AF$3:$AF$19,0),1),IF(A135=s1_id_korvaava1,INDEX($AH$3:$AH$19,MATCH(C135,$AF$3:$AF$19,0),1),IF(A135=s1_id_korvattava2,INDEX($AI$3:$AI$19,MATCH(C135,$AF$3:$AF$19,0),1),IF(A135=s1_id_korvaava2,INDEX($AJ$3:$AJ$19,MATCH(C135,$AF$3:$AF$19,0),1),INDEX(Työkonekanta!$F$3:$F$27,MATCH('S1 Sähkö'!$A135,Työkonekanta!$A$3:$A$24,0),1))))),0)</f>
        <v>0</v>
      </c>
      <c r="C135" s="140">
        <v>2023</v>
      </c>
      <c r="D135" s="141" t="str">
        <f>IFERROR(INDEX(Työkonekanta!$D$3:$D$27,MATCH('S1 Sähkö'!$A135,Työkonekanta!$A$3:$A$24,0),1),"undefined")</f>
        <v>pom</v>
      </c>
      <c r="E135" s="145">
        <f>IFERROR(INDEX(Työkonekanta!$G$3:$G$27,MATCH($A135,Työkonekanta!$A$3:$A$24,0),1)*INDEX(Työkonekanta!$H$3:$H$27,MATCH($A135,Työkonekanta!$A$3:$A$24,0),1)*(1+s1_kerroin*($C135-2019))*$B135,0)</f>
        <v>0</v>
      </c>
      <c r="F135" s="145">
        <f t="shared" si="40"/>
        <v>0</v>
      </c>
      <c r="G135" s="145">
        <f t="shared" si="46"/>
        <v>0</v>
      </c>
      <c r="H135" s="145">
        <f t="shared" si="47"/>
        <v>0</v>
      </c>
      <c r="I135" s="145">
        <f t="shared" si="41"/>
        <v>0</v>
      </c>
      <c r="J135" s="145">
        <f t="shared" si="42"/>
        <v>0</v>
      </c>
      <c r="K135" s="142" t="str">
        <f t="shared" si="48"/>
        <v>l</v>
      </c>
      <c r="L135" s="146">
        <f>IFERROR(INDEX(Työkonekanta!$I$3:$I$27,MATCH('S1 Sähkö'!$A135,Työkonekanta!$A$3:$A$24,0),1)*(I135+J135)*f_adblue,0)</f>
        <v>0</v>
      </c>
      <c r="M135" s="146">
        <f t="shared" si="35"/>
        <v>0</v>
      </c>
      <c r="N135" s="143" t="str">
        <f>IF(tuulisähkö_vuosi&lt;='S1 Sähkö'!C135,"tuulisähkö",ostosähkö_nyt)</f>
        <v>jäännössähkö</v>
      </c>
      <c r="O135" s="147">
        <f>INDEX(Muuttujat!$J$5:$J$21,MATCH($C135,Muuttujat!$H$5:$H$21,0),1)</f>
        <v>66.51860537025</v>
      </c>
      <c r="P135" s="342">
        <f>1-(INDEX(Muuttujat!$O$5:$O$21,MATCH($C135,Muuttujat!$N$5:$N$21,0),1))</f>
        <v>0.95</v>
      </c>
      <c r="Q135" s="342">
        <f>INDEX(Muuttujat!$O$5:$O$21,MATCH($C135,Muuttujat!$N$5:$N$21,0),1)</f>
        <v>0.05</v>
      </c>
      <c r="R135" s="148">
        <f>INDEX(Muuttujat!$P$5:$P$21,MATCH($C135,Muuttujat!$N$5:$N$21,0),1)</f>
        <v>5.2210587442409327E-2</v>
      </c>
      <c r="S135" s="149">
        <f t="shared" si="43"/>
        <v>0</v>
      </c>
      <c r="T135" s="150">
        <f t="shared" si="44"/>
        <v>0</v>
      </c>
      <c r="U135" s="150">
        <f t="shared" si="45"/>
        <v>0</v>
      </c>
      <c r="V135" s="150">
        <f>IFERROR(INDEX(Työkonekanta!$J$3:$J$27,MATCH($A135,Työkonekanta!$A$3:$A$24,0),1)*$B135*ef_li_ion_akku/1000/1000/INDEX(Työkonekanta!$K$3:$K$27,MATCH($A135,Työkonekanta!$A$3:$A$24,0)),0)</f>
        <v>0</v>
      </c>
      <c r="W135" s="149">
        <f t="shared" si="36"/>
        <v>0</v>
      </c>
      <c r="X135" s="150">
        <f t="shared" si="37"/>
        <v>0</v>
      </c>
      <c r="Y135" s="151">
        <f t="shared" si="38"/>
        <v>0</v>
      </c>
      <c r="Z135" s="152">
        <f t="shared" si="49"/>
        <v>0</v>
      </c>
      <c r="AA135" s="153">
        <f t="shared" si="50"/>
        <v>0</v>
      </c>
      <c r="AB135" s="153">
        <f t="shared" si="51"/>
        <v>0</v>
      </c>
      <c r="AC135" s="154">
        <f t="shared" si="39"/>
        <v>0</v>
      </c>
      <c r="AD135" s="156">
        <f t="shared" si="52"/>
        <v>0</v>
      </c>
      <c r="AE135" s="182"/>
      <c r="AG135" s="2"/>
    </row>
    <row r="136" spans="1:33">
      <c r="A136" s="139">
        <v>14</v>
      </c>
      <c r="B136" s="139" cm="1">
        <f t="array" ref="B136">IFERROR(IF(A136=s1_id_korvattava1,INDEX($AG$3:$AG$19,MATCH(C136,$AF$3:$AF$19,0),1),IF(A136=s1_id_korvaava1,INDEX($AH$3:$AH$19,MATCH(C136,$AF$3:$AF$19,0),1),IF(A136=s1_id_korvattava2,INDEX($AI$3:$AI$19,MATCH(C136,$AF$3:$AF$19,0),1),IF(A136=s1_id_korvaava2,INDEX($AJ$3:$AJ$19,MATCH(C136,$AF$3:$AF$19,0),1),INDEX(Työkonekanta!$F$3:$F$27,MATCH('S1 Sähkö'!$A136,Työkonekanta!$A$3:$A$24,0),1))))),0)</f>
        <v>0</v>
      </c>
      <c r="C136" s="140">
        <v>2023</v>
      </c>
      <c r="D136" s="141" t="str">
        <f>IFERROR(INDEX(Työkonekanta!$D$3:$D$27,MATCH('S1 Sähkö'!$A136,Työkonekanta!$A$3:$A$24,0),1),"undefined")</f>
        <v>pom</v>
      </c>
      <c r="E136" s="145">
        <f>IFERROR(INDEX(Työkonekanta!$G$3:$G$27,MATCH($A136,Työkonekanta!$A$3:$A$24,0),1)*INDEX(Työkonekanta!$H$3:$H$27,MATCH($A136,Työkonekanta!$A$3:$A$24,0),1)*(1+s1_kerroin*($C136-2019))*$B136,0)</f>
        <v>0</v>
      </c>
      <c r="F136" s="145">
        <f t="shared" si="40"/>
        <v>0</v>
      </c>
      <c r="G136" s="145">
        <f t="shared" si="46"/>
        <v>0</v>
      </c>
      <c r="H136" s="145">
        <f t="shared" si="47"/>
        <v>0</v>
      </c>
      <c r="I136" s="145">
        <f t="shared" si="41"/>
        <v>0</v>
      </c>
      <c r="J136" s="145">
        <f t="shared" si="42"/>
        <v>0</v>
      </c>
      <c r="K136" s="142" t="str">
        <f t="shared" si="48"/>
        <v>l</v>
      </c>
      <c r="L136" s="146">
        <f>IFERROR(INDEX(Työkonekanta!$I$3:$I$27,MATCH('S1 Sähkö'!$A136,Työkonekanta!$A$3:$A$24,0),1)*(I136+J136)*f_adblue,0)</f>
        <v>0</v>
      </c>
      <c r="M136" s="146">
        <f t="shared" si="35"/>
        <v>0</v>
      </c>
      <c r="N136" s="143" t="str">
        <f>IF(tuulisähkö_vuosi&lt;='S1 Sähkö'!C136,"tuulisähkö",ostosähkö_nyt)</f>
        <v>jäännössähkö</v>
      </c>
      <c r="O136" s="147">
        <f>INDEX(Muuttujat!$J$5:$J$21,MATCH($C136,Muuttujat!$H$5:$H$21,0),1)</f>
        <v>66.51860537025</v>
      </c>
      <c r="P136" s="342">
        <f>1-(INDEX(Muuttujat!$O$5:$O$21,MATCH($C136,Muuttujat!$N$5:$N$21,0),1))</f>
        <v>0.95</v>
      </c>
      <c r="Q136" s="342">
        <f>INDEX(Muuttujat!$O$5:$O$21,MATCH($C136,Muuttujat!$N$5:$N$21,0),1)</f>
        <v>0.05</v>
      </c>
      <c r="R136" s="148">
        <f>INDEX(Muuttujat!$P$5:$P$21,MATCH($C136,Muuttujat!$N$5:$N$21,0),1)</f>
        <v>5.2210587442409327E-2</v>
      </c>
      <c r="S136" s="149">
        <f t="shared" si="43"/>
        <v>0</v>
      </c>
      <c r="T136" s="150">
        <f t="shared" si="44"/>
        <v>0</v>
      </c>
      <c r="U136" s="150">
        <f t="shared" si="45"/>
        <v>0</v>
      </c>
      <c r="V136" s="150">
        <f>IFERROR(INDEX(Työkonekanta!$J$3:$J$27,MATCH($A136,Työkonekanta!$A$3:$A$24,0),1)*$B136*ef_li_ion_akku/1000/1000/INDEX(Työkonekanta!$K$3:$K$27,MATCH($A136,Työkonekanta!$A$3:$A$24,0)),0)</f>
        <v>0</v>
      </c>
      <c r="W136" s="149">
        <f t="shared" si="36"/>
        <v>0</v>
      </c>
      <c r="X136" s="150">
        <f t="shared" si="37"/>
        <v>0</v>
      </c>
      <c r="Y136" s="151">
        <f t="shared" si="38"/>
        <v>0</v>
      </c>
      <c r="Z136" s="152">
        <f t="shared" si="49"/>
        <v>0</v>
      </c>
      <c r="AA136" s="153">
        <f t="shared" si="50"/>
        <v>0</v>
      </c>
      <c r="AB136" s="153">
        <f t="shared" si="51"/>
        <v>0</v>
      </c>
      <c r="AC136" s="154">
        <f t="shared" si="39"/>
        <v>0</v>
      </c>
      <c r="AD136" s="156">
        <f t="shared" si="52"/>
        <v>0</v>
      </c>
      <c r="AE136" s="182"/>
      <c r="AG136" s="2"/>
    </row>
    <row r="137" spans="1:33">
      <c r="A137" s="139">
        <v>15</v>
      </c>
      <c r="B137" s="139" cm="1">
        <f t="array" ref="B137">IFERROR(IF(A137=s1_id_korvattava1,INDEX($AG$3:$AG$19,MATCH(C137,$AF$3:$AF$19,0),1),IF(A137=s1_id_korvaava1,INDEX($AH$3:$AH$19,MATCH(C137,$AF$3:$AF$19,0),1),IF(A137=s1_id_korvattava2,INDEX($AI$3:$AI$19,MATCH(C137,$AF$3:$AF$19,0),1),IF(A137=s1_id_korvaava2,INDEX($AJ$3:$AJ$19,MATCH(C137,$AF$3:$AF$19,0),1),INDEX(Työkonekanta!$F$3:$F$27,MATCH('S1 Sähkö'!$A137,Työkonekanta!$A$3:$A$24,0),1))))),0)</f>
        <v>0</v>
      </c>
      <c r="C137" s="140">
        <v>2023</v>
      </c>
      <c r="D137" s="141" t="str">
        <f>IFERROR(INDEX(Työkonekanta!$D$3:$D$27,MATCH('S1 Sähkö'!$A137,Työkonekanta!$A$3:$A$24,0),1),"undefined")</f>
        <v>sähkö</v>
      </c>
      <c r="E137" s="145">
        <f>IFERROR(INDEX(Työkonekanta!$G$3:$G$27,MATCH($A137,Työkonekanta!$A$3:$A$24,0),1)*INDEX(Työkonekanta!$H$3:$H$27,MATCH($A137,Työkonekanta!$A$3:$A$24,0),1)*(1+s1_kerroin*($C137-2019))*$B137,0)</f>
        <v>0</v>
      </c>
      <c r="F137" s="145">
        <f t="shared" si="40"/>
        <v>0</v>
      </c>
      <c r="G137" s="145">
        <f t="shared" si="46"/>
        <v>0</v>
      </c>
      <c r="H137" s="145">
        <f t="shared" si="47"/>
        <v>0</v>
      </c>
      <c r="I137" s="145">
        <f t="shared" si="41"/>
        <v>0</v>
      </c>
      <c r="J137" s="145">
        <f t="shared" si="42"/>
        <v>0</v>
      </c>
      <c r="K137" s="142" t="str">
        <f t="shared" si="48"/>
        <v>kWh</v>
      </c>
      <c r="L137" s="146">
        <f>IFERROR(INDEX(Työkonekanta!$I$3:$I$27,MATCH('S1 Sähkö'!$A137,Työkonekanta!$A$3:$A$24,0),1)*(I137+J137)*f_adblue,0)</f>
        <v>0</v>
      </c>
      <c r="M137" s="146">
        <f t="shared" si="35"/>
        <v>0</v>
      </c>
      <c r="N137" s="143" t="str">
        <f>IF(tuulisähkö_vuosi&lt;='S1 Sähkö'!C137,"tuulisähkö",ostosähkö_nyt)</f>
        <v>jäännössähkö</v>
      </c>
      <c r="O137" s="147">
        <f>INDEX(Muuttujat!$J$5:$J$21,MATCH($C137,Muuttujat!$H$5:$H$21,0),1)</f>
        <v>66.51860537025</v>
      </c>
      <c r="P137" s="342">
        <f>1-(INDEX(Muuttujat!$O$5:$O$21,MATCH($C137,Muuttujat!$N$5:$N$21,0),1))</f>
        <v>0.95</v>
      </c>
      <c r="Q137" s="342">
        <f>INDEX(Muuttujat!$O$5:$O$21,MATCH($C137,Muuttujat!$N$5:$N$21,0),1)</f>
        <v>0.05</v>
      </c>
      <c r="R137" s="148">
        <f>INDEX(Muuttujat!$P$5:$P$21,MATCH($C137,Muuttujat!$N$5:$N$21,0),1)</f>
        <v>5.2210587442409327E-2</v>
      </c>
      <c r="S137" s="149">
        <f t="shared" si="43"/>
        <v>0</v>
      </c>
      <c r="T137" s="150">
        <f t="shared" si="44"/>
        <v>0</v>
      </c>
      <c r="U137" s="150">
        <f t="shared" si="45"/>
        <v>0</v>
      </c>
      <c r="V137" s="150">
        <f>IFERROR(INDEX(Työkonekanta!$J$3:$J$27,MATCH($A137,Työkonekanta!$A$3:$A$24,0),1)*$B137*ef_li_ion_akku/1000/1000/INDEX(Työkonekanta!$K$3:$K$27,MATCH($A137,Työkonekanta!$A$3:$A$24,0)),0)</f>
        <v>0</v>
      </c>
      <c r="W137" s="149">
        <f t="shared" si="36"/>
        <v>0</v>
      </c>
      <c r="X137" s="150">
        <f t="shared" si="37"/>
        <v>0</v>
      </c>
      <c r="Y137" s="151">
        <f t="shared" si="38"/>
        <v>0</v>
      </c>
      <c r="Z137" s="152">
        <f t="shared" si="49"/>
        <v>0</v>
      </c>
      <c r="AA137" s="153">
        <f t="shared" si="50"/>
        <v>0</v>
      </c>
      <c r="AB137" s="153">
        <f t="shared" si="51"/>
        <v>0</v>
      </c>
      <c r="AC137" s="154">
        <f t="shared" si="39"/>
        <v>0</v>
      </c>
      <c r="AD137" s="156">
        <f t="shared" si="52"/>
        <v>0</v>
      </c>
      <c r="AE137" s="182"/>
      <c r="AG137" s="2"/>
    </row>
    <row r="138" spans="1:33">
      <c r="A138" s="139">
        <v>16</v>
      </c>
      <c r="B138" s="139" cm="1">
        <f t="array" ref="B138">IFERROR(IF(A138=s1_id_korvattava1,INDEX($AG$3:$AG$19,MATCH(C138,$AF$3:$AF$19,0),1),IF(A138=s1_id_korvaava1,INDEX($AH$3:$AH$19,MATCH(C138,$AF$3:$AF$19,0),1),IF(A138=s1_id_korvattava2,INDEX($AI$3:$AI$19,MATCH(C138,$AF$3:$AF$19,0),1),IF(A138=s1_id_korvaava2,INDEX($AJ$3:$AJ$19,MATCH(C138,$AF$3:$AF$19,0),1),INDEX(Työkonekanta!$F$3:$F$27,MATCH('S1 Sähkö'!$A138,Työkonekanta!$A$3:$A$24,0),1))))),0)</f>
        <v>0</v>
      </c>
      <c r="C138" s="140">
        <v>2023</v>
      </c>
      <c r="D138" s="141" t="str">
        <f>IFERROR(INDEX(Työkonekanta!$D$3:$D$27,MATCH('S1 Sähkö'!$A138,Työkonekanta!$A$3:$A$24,0),1),"undefined")</f>
        <v>sähkö</v>
      </c>
      <c r="E138" s="145">
        <f>IFERROR(INDEX(Työkonekanta!$G$3:$G$27,MATCH($A138,Työkonekanta!$A$3:$A$24,0),1)*INDEX(Työkonekanta!$H$3:$H$27,MATCH($A138,Työkonekanta!$A$3:$A$24,0),1)*(1+s1_kerroin*($C138-2019))*$B138,0)</f>
        <v>0</v>
      </c>
      <c r="F138" s="145">
        <f t="shared" si="40"/>
        <v>0</v>
      </c>
      <c r="G138" s="145">
        <f t="shared" si="46"/>
        <v>0</v>
      </c>
      <c r="H138" s="145">
        <f t="shared" si="47"/>
        <v>0</v>
      </c>
      <c r="I138" s="145">
        <f t="shared" si="41"/>
        <v>0</v>
      </c>
      <c r="J138" s="145">
        <f t="shared" si="42"/>
        <v>0</v>
      </c>
      <c r="K138" s="142" t="str">
        <f t="shared" si="48"/>
        <v>kWh</v>
      </c>
      <c r="L138" s="146">
        <f>IFERROR(INDEX(Työkonekanta!$I$3:$I$27,MATCH('S1 Sähkö'!$A138,Työkonekanta!$A$3:$A$24,0),1)*(I138+J138)*f_adblue,0)</f>
        <v>0</v>
      </c>
      <c r="M138" s="146">
        <f t="shared" si="35"/>
        <v>0</v>
      </c>
      <c r="N138" s="143" t="str">
        <f>IF(tuulisähkö_vuosi&lt;='S1 Sähkö'!C138,"tuulisähkö",ostosähkö_nyt)</f>
        <v>jäännössähkö</v>
      </c>
      <c r="O138" s="147">
        <f>INDEX(Muuttujat!$J$5:$J$21,MATCH($C138,Muuttujat!$H$5:$H$21,0),1)</f>
        <v>66.51860537025</v>
      </c>
      <c r="P138" s="342">
        <f>1-(INDEX(Muuttujat!$O$5:$O$21,MATCH($C138,Muuttujat!$N$5:$N$21,0),1))</f>
        <v>0.95</v>
      </c>
      <c r="Q138" s="342">
        <f>INDEX(Muuttujat!$O$5:$O$21,MATCH($C138,Muuttujat!$N$5:$N$21,0),1)</f>
        <v>0.05</v>
      </c>
      <c r="R138" s="148">
        <f>INDEX(Muuttujat!$P$5:$P$21,MATCH($C138,Muuttujat!$N$5:$N$21,0),1)</f>
        <v>5.2210587442409327E-2</v>
      </c>
      <c r="S138" s="149">
        <f t="shared" si="43"/>
        <v>0</v>
      </c>
      <c r="T138" s="150">
        <f t="shared" si="44"/>
        <v>0</v>
      </c>
      <c r="U138" s="150">
        <f t="shared" si="45"/>
        <v>0</v>
      </c>
      <c r="V138" s="150">
        <f>IFERROR(INDEX(Työkonekanta!$J$3:$J$27,MATCH($A138,Työkonekanta!$A$3:$A$24,0),1)*$B138*ef_li_ion_akku/1000/1000/INDEX(Työkonekanta!$K$3:$K$27,MATCH($A138,Työkonekanta!$A$3:$A$24,0)),0)</f>
        <v>0</v>
      </c>
      <c r="W138" s="149">
        <f t="shared" si="36"/>
        <v>0</v>
      </c>
      <c r="X138" s="150">
        <f t="shared" si="37"/>
        <v>0</v>
      </c>
      <c r="Y138" s="151">
        <f t="shared" si="38"/>
        <v>0</v>
      </c>
      <c r="Z138" s="152">
        <f t="shared" si="49"/>
        <v>0</v>
      </c>
      <c r="AA138" s="153">
        <f t="shared" si="50"/>
        <v>0</v>
      </c>
      <c r="AB138" s="153">
        <f t="shared" si="51"/>
        <v>0</v>
      </c>
      <c r="AC138" s="154">
        <f t="shared" si="39"/>
        <v>0</v>
      </c>
      <c r="AD138" s="156">
        <f t="shared" si="52"/>
        <v>0</v>
      </c>
      <c r="AE138" s="182"/>
      <c r="AG138" s="2"/>
    </row>
    <row r="139" spans="1:33">
      <c r="A139" s="139">
        <v>17</v>
      </c>
      <c r="B139" s="139" cm="1">
        <f t="array" ref="B139">IFERROR(IF(A139=s1_id_korvattava1,INDEX($AG$3:$AG$19,MATCH(C139,$AF$3:$AF$19,0),1),IF(A139=s1_id_korvaava1,INDEX($AH$3:$AH$19,MATCH(C139,$AF$3:$AF$19,0),1),IF(A139=s1_id_korvattava2,INDEX($AI$3:$AI$19,MATCH(C139,$AF$3:$AF$19,0),1),IF(A139=s1_id_korvaava2,INDEX($AJ$3:$AJ$19,MATCH(C139,$AF$3:$AF$19,0),1),INDEX(Työkonekanta!$F$3:$F$27,MATCH('S1 Sähkö'!$A139,Työkonekanta!$A$3:$A$24,0),1))))),0)</f>
        <v>0</v>
      </c>
      <c r="C139" s="140">
        <v>2023</v>
      </c>
      <c r="D139" s="141" t="str">
        <f>IFERROR(INDEX(Työkonekanta!$D$3:$D$27,MATCH('S1 Sähkö'!$A139,Työkonekanta!$A$3:$A$24,0),1),"undefined")</f>
        <v>pom</v>
      </c>
      <c r="E139" s="145">
        <f>IFERROR(INDEX(Työkonekanta!$G$3:$G$27,MATCH($A139,Työkonekanta!$A$3:$A$24,0),1)*INDEX(Työkonekanta!$H$3:$H$27,MATCH($A139,Työkonekanta!$A$3:$A$24,0),1)*(1+s1_kerroin*($C139-2019))*$B139,0)</f>
        <v>0</v>
      </c>
      <c r="F139" s="145">
        <f t="shared" si="40"/>
        <v>0</v>
      </c>
      <c r="G139" s="145">
        <f t="shared" si="46"/>
        <v>0</v>
      </c>
      <c r="H139" s="145">
        <f t="shared" si="47"/>
        <v>0</v>
      </c>
      <c r="I139" s="145">
        <f t="shared" si="41"/>
        <v>0</v>
      </c>
      <c r="J139" s="145">
        <f t="shared" si="42"/>
        <v>0</v>
      </c>
      <c r="K139" s="142" t="str">
        <f t="shared" si="48"/>
        <v>l</v>
      </c>
      <c r="L139" s="146">
        <f>IFERROR(INDEX(Työkonekanta!$I$3:$I$27,MATCH('S1 Sähkö'!$A139,Työkonekanta!$A$3:$A$24,0),1)*(I139+J139)*f_adblue,0)</f>
        <v>0</v>
      </c>
      <c r="M139" s="146">
        <f t="shared" si="35"/>
        <v>0</v>
      </c>
      <c r="N139" s="143" t="str">
        <f>IF(tuulisähkö_vuosi&lt;='S1 Sähkö'!C139,"tuulisähkö",ostosähkö_nyt)</f>
        <v>jäännössähkö</v>
      </c>
      <c r="O139" s="147">
        <f>INDEX(Muuttujat!$J$5:$J$21,MATCH($C139,Muuttujat!$H$5:$H$21,0),1)</f>
        <v>66.51860537025</v>
      </c>
      <c r="P139" s="342">
        <f>1-(INDEX(Muuttujat!$O$5:$O$21,MATCH($C139,Muuttujat!$N$5:$N$21,0),1))</f>
        <v>0.95</v>
      </c>
      <c r="Q139" s="342">
        <f>INDEX(Muuttujat!$O$5:$O$21,MATCH($C139,Muuttujat!$N$5:$N$21,0),1)</f>
        <v>0.05</v>
      </c>
      <c r="R139" s="148">
        <f>INDEX(Muuttujat!$P$5:$P$21,MATCH($C139,Muuttujat!$N$5:$N$21,0),1)</f>
        <v>5.2210587442409327E-2</v>
      </c>
      <c r="S139" s="149">
        <f t="shared" si="43"/>
        <v>0</v>
      </c>
      <c r="T139" s="150">
        <f t="shared" si="44"/>
        <v>0</v>
      </c>
      <c r="U139" s="150">
        <f t="shared" si="45"/>
        <v>0</v>
      </c>
      <c r="V139" s="150">
        <f>IFERROR(INDEX(Työkonekanta!$J$3:$J$27,MATCH($A139,Työkonekanta!$A$3:$A$24,0),1)*$B139*ef_li_ion_akku/1000/1000/INDEX(Työkonekanta!$K$3:$K$27,MATCH($A139,Työkonekanta!$A$3:$A$24,0)),0)</f>
        <v>0</v>
      </c>
      <c r="W139" s="149">
        <f t="shared" si="36"/>
        <v>0</v>
      </c>
      <c r="X139" s="150">
        <f t="shared" si="37"/>
        <v>0</v>
      </c>
      <c r="Y139" s="151">
        <f t="shared" si="38"/>
        <v>0</v>
      </c>
      <c r="Z139" s="152">
        <f t="shared" si="49"/>
        <v>0</v>
      </c>
      <c r="AA139" s="153">
        <f t="shared" si="50"/>
        <v>0</v>
      </c>
      <c r="AB139" s="153">
        <f t="shared" si="51"/>
        <v>0</v>
      </c>
      <c r="AC139" s="154">
        <f t="shared" si="39"/>
        <v>0</v>
      </c>
      <c r="AD139" s="156">
        <f t="shared" si="52"/>
        <v>0</v>
      </c>
      <c r="AE139" s="182"/>
      <c r="AG139" s="2"/>
    </row>
    <row r="140" spans="1:33">
      <c r="A140" s="139">
        <v>18</v>
      </c>
      <c r="B140" s="139" cm="1">
        <f t="array" ref="B140">IFERROR(IF(A140=s1_id_korvattava1,INDEX($AG$3:$AG$19,MATCH(C140,$AF$3:$AF$19,0),1),IF(A140=s1_id_korvaava1,INDEX($AH$3:$AH$19,MATCH(C140,$AF$3:$AF$19,0),1),IF(A140=s1_id_korvattava2,INDEX($AI$3:$AI$19,MATCH(C140,$AF$3:$AF$19,0),1),IF(A140=s1_id_korvaava2,INDEX($AJ$3:$AJ$19,MATCH(C140,$AF$3:$AF$19,0),1),INDEX(Työkonekanta!$F$3:$F$27,MATCH('S1 Sähkö'!$A140,Työkonekanta!$A$3:$A$24,0),1))))),0)</f>
        <v>0</v>
      </c>
      <c r="C140" s="140">
        <v>2023</v>
      </c>
      <c r="D140" s="141" t="str">
        <f>IFERROR(INDEX(Työkonekanta!$D$3:$D$27,MATCH('S1 Sähkö'!$A140,Työkonekanta!$A$3:$A$24,0),1),"undefined")</f>
        <v>pom</v>
      </c>
      <c r="E140" s="145">
        <f>IFERROR(INDEX(Työkonekanta!$G$3:$G$27,MATCH($A140,Työkonekanta!$A$3:$A$24,0),1)*INDEX(Työkonekanta!$H$3:$H$27,MATCH($A140,Työkonekanta!$A$3:$A$24,0),1)*(1+s1_kerroin*($C140-2019))*$B140,0)</f>
        <v>0</v>
      </c>
      <c r="F140" s="145">
        <f t="shared" si="40"/>
        <v>0</v>
      </c>
      <c r="G140" s="145">
        <f t="shared" si="46"/>
        <v>0</v>
      </c>
      <c r="H140" s="145">
        <f t="shared" si="47"/>
        <v>0</v>
      </c>
      <c r="I140" s="145">
        <f t="shared" si="41"/>
        <v>0</v>
      </c>
      <c r="J140" s="145">
        <f t="shared" si="42"/>
        <v>0</v>
      </c>
      <c r="K140" s="142" t="str">
        <f t="shared" si="48"/>
        <v>l</v>
      </c>
      <c r="L140" s="146">
        <f>IFERROR(INDEX(Työkonekanta!$I$3:$I$27,MATCH('S1 Sähkö'!$A140,Työkonekanta!$A$3:$A$24,0),1)*(I140+J140)*f_adblue,0)</f>
        <v>0</v>
      </c>
      <c r="M140" s="146">
        <f t="shared" si="35"/>
        <v>0</v>
      </c>
      <c r="N140" s="143" t="str">
        <f>IF(tuulisähkö_vuosi&lt;='S1 Sähkö'!C140,"tuulisähkö",ostosähkö_nyt)</f>
        <v>jäännössähkö</v>
      </c>
      <c r="O140" s="147">
        <f>INDEX(Muuttujat!$J$5:$J$21,MATCH($C140,Muuttujat!$H$5:$H$21,0),1)</f>
        <v>66.51860537025</v>
      </c>
      <c r="P140" s="342">
        <f>1-(INDEX(Muuttujat!$O$5:$O$21,MATCH($C140,Muuttujat!$N$5:$N$21,0),1))</f>
        <v>0.95</v>
      </c>
      <c r="Q140" s="342">
        <f>INDEX(Muuttujat!$O$5:$O$21,MATCH($C140,Muuttujat!$N$5:$N$21,0),1)</f>
        <v>0.05</v>
      </c>
      <c r="R140" s="148">
        <f>INDEX(Muuttujat!$P$5:$P$21,MATCH($C140,Muuttujat!$N$5:$N$21,0),1)</f>
        <v>5.2210587442409327E-2</v>
      </c>
      <c r="S140" s="149">
        <f t="shared" si="43"/>
        <v>0</v>
      </c>
      <c r="T140" s="150">
        <f t="shared" si="44"/>
        <v>0</v>
      </c>
      <c r="U140" s="150">
        <f t="shared" si="45"/>
        <v>0</v>
      </c>
      <c r="V140" s="150">
        <f>IFERROR(INDEX(Työkonekanta!$J$3:$J$27,MATCH($A140,Työkonekanta!$A$3:$A$24,0),1)*$B140*ef_li_ion_akku/1000/1000/INDEX(Työkonekanta!$K$3:$K$27,MATCH($A140,Työkonekanta!$A$3:$A$24,0)),0)</f>
        <v>0</v>
      </c>
      <c r="W140" s="149">
        <f t="shared" si="36"/>
        <v>0</v>
      </c>
      <c r="X140" s="150">
        <f t="shared" si="37"/>
        <v>0</v>
      </c>
      <c r="Y140" s="151">
        <f t="shared" si="38"/>
        <v>0</v>
      </c>
      <c r="Z140" s="152">
        <f t="shared" si="49"/>
        <v>0</v>
      </c>
      <c r="AA140" s="153">
        <f t="shared" si="50"/>
        <v>0</v>
      </c>
      <c r="AB140" s="153">
        <f t="shared" si="51"/>
        <v>0</v>
      </c>
      <c r="AC140" s="154">
        <f t="shared" si="39"/>
        <v>0</v>
      </c>
      <c r="AD140" s="156">
        <f t="shared" si="52"/>
        <v>0</v>
      </c>
      <c r="AE140" s="182"/>
      <c r="AG140" s="2"/>
    </row>
    <row r="141" spans="1:33">
      <c r="A141" s="139">
        <v>19</v>
      </c>
      <c r="B141" s="139" cm="1">
        <f t="array" ref="B141">IFERROR(IF(A141=s1_id_korvattava1,INDEX($AG$3:$AG$19,MATCH(C141,$AF$3:$AF$19,0),1),IF(A141=s1_id_korvaava1,INDEX($AH$3:$AH$19,MATCH(C141,$AF$3:$AF$19,0),1),IF(A141=s1_id_korvattava2,INDEX($AI$3:$AI$19,MATCH(C141,$AF$3:$AF$19,0),1),IF(A141=s1_id_korvaava2,INDEX($AJ$3:$AJ$19,MATCH(C141,$AF$3:$AF$19,0),1),INDEX(Työkonekanta!$F$3:$F$27,MATCH('S1 Sähkö'!$A141,Työkonekanta!$A$3:$A$24,0),1))))),0)</f>
        <v>0</v>
      </c>
      <c r="C141" s="140">
        <v>2023</v>
      </c>
      <c r="D141" s="141" t="str">
        <f>IFERROR(INDEX(Työkonekanta!$D$3:$D$27,MATCH('S1 Sähkö'!$A141,Työkonekanta!$A$3:$A$24,0),1),"undefined")</f>
        <v>pom</v>
      </c>
      <c r="E141" s="145">
        <f>IFERROR(INDEX(Työkonekanta!$G$3:$G$27,MATCH($A141,Työkonekanta!$A$3:$A$24,0),1)*INDEX(Työkonekanta!$H$3:$H$27,MATCH($A141,Työkonekanta!$A$3:$A$24,0),1)*(1+s1_kerroin*($C141-2019))*$B141,0)</f>
        <v>0</v>
      </c>
      <c r="F141" s="145">
        <f t="shared" si="40"/>
        <v>0</v>
      </c>
      <c r="G141" s="145">
        <f t="shared" si="46"/>
        <v>0</v>
      </c>
      <c r="H141" s="145">
        <f t="shared" si="47"/>
        <v>0</v>
      </c>
      <c r="I141" s="145">
        <f t="shared" si="41"/>
        <v>0</v>
      </c>
      <c r="J141" s="145">
        <f t="shared" si="42"/>
        <v>0</v>
      </c>
      <c r="K141" s="142" t="str">
        <f t="shared" si="48"/>
        <v>l</v>
      </c>
      <c r="L141" s="146">
        <f>IFERROR(INDEX(Työkonekanta!$I$3:$I$27,MATCH('S1 Sähkö'!$A141,Työkonekanta!$A$3:$A$24,0),1)*(I141+J141)*f_adblue,0)</f>
        <v>0</v>
      </c>
      <c r="M141" s="146">
        <f t="shared" si="35"/>
        <v>0</v>
      </c>
      <c r="N141" s="143" t="str">
        <f>IF(tuulisähkö_vuosi&lt;='S1 Sähkö'!C141,"tuulisähkö",ostosähkö_nyt)</f>
        <v>jäännössähkö</v>
      </c>
      <c r="O141" s="147">
        <f>INDEX(Muuttujat!$J$5:$J$21,MATCH($C141,Muuttujat!$H$5:$H$21,0),1)</f>
        <v>66.51860537025</v>
      </c>
      <c r="P141" s="342">
        <f>1-(INDEX(Muuttujat!$O$5:$O$21,MATCH($C141,Muuttujat!$N$5:$N$21,0),1))</f>
        <v>0.95</v>
      </c>
      <c r="Q141" s="342">
        <f>INDEX(Muuttujat!$O$5:$O$21,MATCH($C141,Muuttujat!$N$5:$N$21,0),1)</f>
        <v>0.05</v>
      </c>
      <c r="R141" s="148">
        <f>INDEX(Muuttujat!$P$5:$P$21,MATCH($C141,Muuttujat!$N$5:$N$21,0),1)</f>
        <v>5.2210587442409327E-2</v>
      </c>
      <c r="S141" s="149">
        <f t="shared" si="43"/>
        <v>0</v>
      </c>
      <c r="T141" s="150">
        <f t="shared" si="44"/>
        <v>0</v>
      </c>
      <c r="U141" s="150">
        <f t="shared" si="45"/>
        <v>0</v>
      </c>
      <c r="V141" s="150">
        <f>IFERROR(INDEX(Työkonekanta!$J$3:$J$27,MATCH($A141,Työkonekanta!$A$3:$A$24,0),1)*$B141*ef_li_ion_akku/1000/1000/INDEX(Työkonekanta!$K$3:$K$27,MATCH($A141,Työkonekanta!$A$3:$A$24,0)),0)</f>
        <v>0</v>
      </c>
      <c r="W141" s="149">
        <f t="shared" si="36"/>
        <v>0</v>
      </c>
      <c r="X141" s="150">
        <f t="shared" si="37"/>
        <v>0</v>
      </c>
      <c r="Y141" s="151">
        <f t="shared" si="38"/>
        <v>0</v>
      </c>
      <c r="Z141" s="152">
        <f t="shared" si="49"/>
        <v>0</v>
      </c>
      <c r="AA141" s="153">
        <f t="shared" si="50"/>
        <v>0</v>
      </c>
      <c r="AB141" s="153">
        <f t="shared" si="51"/>
        <v>0</v>
      </c>
      <c r="AC141" s="154">
        <f t="shared" si="39"/>
        <v>0</v>
      </c>
      <c r="AD141" s="156">
        <f t="shared" si="52"/>
        <v>0</v>
      </c>
      <c r="AE141" s="182"/>
      <c r="AG141" s="2"/>
    </row>
    <row r="142" spans="1:33">
      <c r="A142" s="139">
        <v>20</v>
      </c>
      <c r="B142" s="139" cm="1">
        <f t="array" ref="B142">IFERROR(IF(A142=s1_id_korvattava1,INDEX($AG$3:$AG$19,MATCH(C142,$AF$3:$AF$19,0),1),IF(A142=s1_id_korvaava1,INDEX($AH$3:$AH$19,MATCH(C142,$AF$3:$AF$19,0),1),IF(A142=s1_id_korvattava2,INDEX($AI$3:$AI$19,MATCH(C142,$AF$3:$AF$19,0),1),IF(A142=s1_id_korvaava2,INDEX($AJ$3:$AJ$19,MATCH(C142,$AF$3:$AF$19,0),1),INDEX(Työkonekanta!$F$3:$F$27,MATCH('S1 Sähkö'!$A142,Työkonekanta!$A$3:$A$24,0),1))))),0)</f>
        <v>0</v>
      </c>
      <c r="C142" s="140">
        <v>2023</v>
      </c>
      <c r="D142" s="141" t="str">
        <f>IFERROR(INDEX(Työkonekanta!$D$3:$D$27,MATCH('S1 Sähkö'!$A142,Työkonekanta!$A$3:$A$24,0),1),"undefined")</f>
        <v>pom</v>
      </c>
      <c r="E142" s="145">
        <f>IFERROR(INDEX(Työkonekanta!$G$3:$G$27,MATCH($A142,Työkonekanta!$A$3:$A$24,0),1)*INDEX(Työkonekanta!$H$3:$H$27,MATCH($A142,Työkonekanta!$A$3:$A$24,0),1)*(1+s1_kerroin*($C142-2019))*$B142,0)</f>
        <v>0</v>
      </c>
      <c r="F142" s="145">
        <f t="shared" si="40"/>
        <v>0</v>
      </c>
      <c r="G142" s="145">
        <f t="shared" si="46"/>
        <v>0</v>
      </c>
      <c r="H142" s="145">
        <f t="shared" si="47"/>
        <v>0</v>
      </c>
      <c r="I142" s="145">
        <f t="shared" si="41"/>
        <v>0</v>
      </c>
      <c r="J142" s="145">
        <f t="shared" si="42"/>
        <v>0</v>
      </c>
      <c r="K142" s="142" t="str">
        <f t="shared" si="48"/>
        <v>l</v>
      </c>
      <c r="L142" s="146">
        <f>IFERROR(INDEX(Työkonekanta!$I$3:$I$27,MATCH('S1 Sähkö'!$A142,Työkonekanta!$A$3:$A$24,0),1)*(I142+J142)*f_adblue,0)</f>
        <v>0</v>
      </c>
      <c r="M142" s="146">
        <f t="shared" si="35"/>
        <v>0</v>
      </c>
      <c r="N142" s="143" t="str">
        <f>IF(tuulisähkö_vuosi&lt;='S1 Sähkö'!C142,"tuulisähkö",ostosähkö_nyt)</f>
        <v>jäännössähkö</v>
      </c>
      <c r="O142" s="147">
        <f>INDEX(Muuttujat!$J$5:$J$21,MATCH($C142,Muuttujat!$H$5:$H$21,0),1)</f>
        <v>66.51860537025</v>
      </c>
      <c r="P142" s="342">
        <f>1-(INDEX(Muuttujat!$O$5:$O$21,MATCH($C142,Muuttujat!$N$5:$N$21,0),1))</f>
        <v>0.95</v>
      </c>
      <c r="Q142" s="342">
        <f>INDEX(Muuttujat!$O$5:$O$21,MATCH($C142,Muuttujat!$N$5:$N$21,0),1)</f>
        <v>0.05</v>
      </c>
      <c r="R142" s="148">
        <f>INDEX(Muuttujat!$P$5:$P$21,MATCH($C142,Muuttujat!$N$5:$N$21,0),1)</f>
        <v>5.2210587442409327E-2</v>
      </c>
      <c r="S142" s="149">
        <f t="shared" si="43"/>
        <v>0</v>
      </c>
      <c r="T142" s="150">
        <f t="shared" si="44"/>
        <v>0</v>
      </c>
      <c r="U142" s="150">
        <f t="shared" si="45"/>
        <v>0</v>
      </c>
      <c r="V142" s="150">
        <f>IFERROR(INDEX(Työkonekanta!$J$3:$J$27,MATCH($A142,Työkonekanta!$A$3:$A$24,0),1)*$B142*ef_li_ion_akku/1000/1000/INDEX(Työkonekanta!$K$3:$K$27,MATCH($A142,Työkonekanta!$A$3:$A$24,0)),0)</f>
        <v>0</v>
      </c>
      <c r="W142" s="149">
        <f t="shared" si="36"/>
        <v>0</v>
      </c>
      <c r="X142" s="150">
        <f t="shared" si="37"/>
        <v>0</v>
      </c>
      <c r="Y142" s="151">
        <f t="shared" si="38"/>
        <v>0</v>
      </c>
      <c r="Z142" s="152">
        <f t="shared" si="49"/>
        <v>0</v>
      </c>
      <c r="AA142" s="153">
        <f t="shared" si="50"/>
        <v>0</v>
      </c>
      <c r="AB142" s="153">
        <f t="shared" si="51"/>
        <v>0</v>
      </c>
      <c r="AC142" s="154">
        <f t="shared" si="39"/>
        <v>0</v>
      </c>
      <c r="AD142" s="156">
        <f t="shared" si="52"/>
        <v>0</v>
      </c>
      <c r="AE142" s="182"/>
      <c r="AG142" s="2"/>
    </row>
    <row r="143" spans="1:33">
      <c r="A143" s="139">
        <v>21</v>
      </c>
      <c r="B143" s="139" cm="1">
        <f t="array" ref="B143">IFERROR(IF(A143=s1_id_korvattava1,INDEX($AG$3:$AG$19,MATCH(C143,$AF$3:$AF$19,0),1),IF(A143=s1_id_korvaava1,INDEX($AH$3:$AH$19,MATCH(C143,$AF$3:$AF$19,0),1),IF(A143=s1_id_korvattava2,INDEX($AI$3:$AI$19,MATCH(C143,$AF$3:$AF$19,0),1),IF(A143=s1_id_korvaava2,INDEX($AJ$3:$AJ$19,MATCH(C143,$AF$3:$AF$19,0),1),INDEX(Työkonekanta!$F$3:$F$27,MATCH('S1 Sähkö'!$A143,Työkonekanta!$A$3:$A$24,0),1))))),0)</f>
        <v>36</v>
      </c>
      <c r="C143" s="140">
        <v>2023</v>
      </c>
      <c r="D143" s="141" t="str">
        <f>IFERROR(INDEX(Työkonekanta!$D$3:$D$27,MATCH('S1 Sähkö'!$A143,Työkonekanta!$A$3:$A$24,0),1),"undefined")</f>
        <v>sähkö</v>
      </c>
      <c r="E143" s="145">
        <f>IFERROR(INDEX(Työkonekanta!$G$3:$G$27,MATCH($A143,Työkonekanta!$A$3:$A$24,0),1)*INDEX(Työkonekanta!$H$3:$H$27,MATCH($A143,Työkonekanta!$A$3:$A$24,0),1)*(1+s1_kerroin*($C143-2019))*$B143,0)</f>
        <v>435586.66666666669</v>
      </c>
      <c r="F143" s="145">
        <f t="shared" si="40"/>
        <v>0</v>
      </c>
      <c r="G143" s="145">
        <f t="shared" si="46"/>
        <v>0</v>
      </c>
      <c r="H143" s="145">
        <f t="shared" si="47"/>
        <v>0</v>
      </c>
      <c r="I143" s="145">
        <f t="shared" si="41"/>
        <v>0</v>
      </c>
      <c r="J143" s="145">
        <f t="shared" si="42"/>
        <v>0</v>
      </c>
      <c r="K143" s="142" t="str">
        <f t="shared" si="48"/>
        <v>kWh</v>
      </c>
      <c r="L143" s="146">
        <f>IFERROR(INDEX(Työkonekanta!$I$3:$I$27,MATCH('S1 Sähkö'!$A143,Työkonekanta!$A$3:$A$24,0),1)*(I143+J143)*f_adblue,0)</f>
        <v>0</v>
      </c>
      <c r="M143" s="146">
        <f t="shared" si="35"/>
        <v>1568112</v>
      </c>
      <c r="N143" s="143" t="str">
        <f>IF(tuulisähkö_vuosi&lt;='S1 Sähkö'!C143,"tuulisähkö",ostosähkö_nyt)</f>
        <v>jäännössähkö</v>
      </c>
      <c r="O143" s="147">
        <f>INDEX(Muuttujat!$J$5:$J$21,MATCH($C143,Muuttujat!$H$5:$H$21,0),1)</f>
        <v>66.51860537025</v>
      </c>
      <c r="P143" s="342">
        <f>1-(INDEX(Muuttujat!$O$5:$O$21,MATCH($C143,Muuttujat!$N$5:$N$21,0),1))</f>
        <v>0.95</v>
      </c>
      <c r="Q143" s="342">
        <f>INDEX(Muuttujat!$O$5:$O$21,MATCH($C143,Muuttujat!$N$5:$N$21,0),1)</f>
        <v>0.05</v>
      </c>
      <c r="R143" s="148">
        <f>INDEX(Muuttujat!$P$5:$P$21,MATCH($C143,Muuttujat!$N$5:$N$21,0),1)</f>
        <v>5.2210587442409327E-2</v>
      </c>
      <c r="S143" s="149">
        <f t="shared" si="43"/>
        <v>0</v>
      </c>
      <c r="T143" s="150">
        <f t="shared" si="44"/>
        <v>0</v>
      </c>
      <c r="U143" s="150">
        <f t="shared" si="45"/>
        <v>104.30862330435347</v>
      </c>
      <c r="V143" s="150">
        <f>IFERROR(INDEX(Työkonekanta!$J$3:$J$27,MATCH($A143,Työkonekanta!$A$3:$A$24,0),1)*$B143*ef_li_ion_akku/1000/1000/INDEX(Työkonekanta!$K$3:$K$27,MATCH($A143,Työkonekanta!$A$3:$A$24,0)),0)</f>
        <v>44.353772307692303</v>
      </c>
      <c r="W143" s="149">
        <f t="shared" si="36"/>
        <v>0</v>
      </c>
      <c r="X143" s="150">
        <f t="shared" si="37"/>
        <v>0</v>
      </c>
      <c r="Y143" s="151">
        <f t="shared" si="38"/>
        <v>0</v>
      </c>
      <c r="Z143" s="152">
        <f t="shared" si="49"/>
        <v>148.66239561204577</v>
      </c>
      <c r="AA143" s="153">
        <f t="shared" si="50"/>
        <v>0</v>
      </c>
      <c r="AB143" s="153">
        <f t="shared" si="51"/>
        <v>0</v>
      </c>
      <c r="AC143" s="154">
        <f t="shared" si="39"/>
        <v>148.66239561204577</v>
      </c>
      <c r="AD143" s="156">
        <f t="shared" si="52"/>
        <v>148.66239561204577</v>
      </c>
      <c r="AE143" s="182"/>
      <c r="AG143" s="2"/>
    </row>
    <row r="144" spans="1:33">
      <c r="A144" s="139">
        <v>22</v>
      </c>
      <c r="B144" s="139" cm="1">
        <f t="array" ref="B144">IFERROR(IF(A144=s1_id_korvattava1,INDEX($AG$3:$AG$19,MATCH(C144,$AF$3:$AF$19,0),1),IF(A144=s1_id_korvaava1,INDEX($AH$3:$AH$19,MATCH(C144,$AF$3:$AF$19,0),1),IF(A144=s1_id_korvattava2,INDEX($AI$3:$AI$19,MATCH(C144,$AF$3:$AF$19,0),1),IF(A144=s1_id_korvaava2,INDEX($AJ$3:$AJ$19,MATCH(C144,$AF$3:$AF$19,0),1),INDEX(Työkonekanta!$F$3:$F$27,MATCH('S1 Sähkö'!$A144,Työkonekanta!$A$3:$A$24,0),1))))),0)</f>
        <v>1</v>
      </c>
      <c r="C144" s="140">
        <v>2023</v>
      </c>
      <c r="D144" s="141" t="str">
        <f>IFERROR(INDEX(Työkonekanta!$D$3:$D$27,MATCH('S1 Sähkö'!$A144,Työkonekanta!$A$3:$A$24,0),1),"undefined")</f>
        <v>sähkö</v>
      </c>
      <c r="E144" s="145">
        <f>IFERROR(INDEX(Työkonekanta!$G$3:$G$27,MATCH($A144,Työkonekanta!$A$3:$A$24,0),1)*INDEX(Työkonekanta!$H$3:$H$27,MATCH($A144,Työkonekanta!$A$3:$A$24,0),1)*(1+s1_kerroin*($C144-2019))*$B144,0)</f>
        <v>46324.296296296299</v>
      </c>
      <c r="F144" s="145">
        <f t="shared" si="40"/>
        <v>0</v>
      </c>
      <c r="G144" s="145">
        <f t="shared" si="46"/>
        <v>0</v>
      </c>
      <c r="H144" s="145">
        <f t="shared" si="47"/>
        <v>0</v>
      </c>
      <c r="I144" s="145">
        <f t="shared" si="41"/>
        <v>0</v>
      </c>
      <c r="J144" s="145">
        <f t="shared" si="42"/>
        <v>0</v>
      </c>
      <c r="K144" s="142" t="str">
        <f t="shared" si="48"/>
        <v>kWh</v>
      </c>
      <c r="L144" s="146">
        <f>IFERROR(INDEX(Työkonekanta!$I$3:$I$27,MATCH('S1 Sähkö'!$A144,Työkonekanta!$A$3:$A$24,0),1)*(I144+J144)*f_adblue,0)</f>
        <v>0</v>
      </c>
      <c r="M144" s="146">
        <f t="shared" si="35"/>
        <v>166767.46666666667</v>
      </c>
      <c r="N144" s="143" t="str">
        <f>IF(tuulisähkö_vuosi&lt;='S1 Sähkö'!C144,"tuulisähkö",ostosähkö_nyt)</f>
        <v>jäännössähkö</v>
      </c>
      <c r="O144" s="147">
        <f>INDEX(Muuttujat!$J$5:$J$21,MATCH($C144,Muuttujat!$H$5:$H$21,0),1)</f>
        <v>66.51860537025</v>
      </c>
      <c r="P144" s="342">
        <f>1-(INDEX(Muuttujat!$O$5:$O$21,MATCH($C144,Muuttujat!$N$5:$N$21,0),1))</f>
        <v>0.95</v>
      </c>
      <c r="Q144" s="342">
        <f>INDEX(Muuttujat!$O$5:$O$21,MATCH($C144,Muuttujat!$N$5:$N$21,0),1)</f>
        <v>0.05</v>
      </c>
      <c r="R144" s="148">
        <f>INDEX(Muuttujat!$P$5:$P$21,MATCH($C144,Muuttujat!$N$5:$N$21,0),1)</f>
        <v>5.2210587442409327E-2</v>
      </c>
      <c r="S144" s="149">
        <f t="shared" si="43"/>
        <v>0</v>
      </c>
      <c r="T144" s="150">
        <f t="shared" si="44"/>
        <v>0</v>
      </c>
      <c r="U144" s="150">
        <f t="shared" si="45"/>
        <v>11.09313930379632</v>
      </c>
      <c r="V144" s="150">
        <f>IFERROR(INDEX(Työkonekanta!$J$3:$J$27,MATCH($A144,Työkonekanta!$A$3:$A$24,0),1)*$B144*ef_li_ion_akku/1000/1000/INDEX(Työkonekanta!$K$3:$K$27,MATCH($A144,Työkonekanta!$A$3:$A$24,0)),0)</f>
        <v>5.2676455384615384</v>
      </c>
      <c r="W144" s="149">
        <f t="shared" si="36"/>
        <v>0</v>
      </c>
      <c r="X144" s="150">
        <f t="shared" si="37"/>
        <v>0</v>
      </c>
      <c r="Y144" s="151">
        <f t="shared" si="38"/>
        <v>0</v>
      </c>
      <c r="Z144" s="152">
        <f t="shared" si="49"/>
        <v>16.360784842257857</v>
      </c>
      <c r="AA144" s="153">
        <f t="shared" si="50"/>
        <v>0</v>
      </c>
      <c r="AB144" s="153">
        <f t="shared" si="51"/>
        <v>0</v>
      </c>
      <c r="AC144" s="154">
        <f t="shared" si="39"/>
        <v>16.360784842257857</v>
      </c>
      <c r="AD144" s="156">
        <f t="shared" si="52"/>
        <v>16.360784842257857</v>
      </c>
      <c r="AE144" s="182"/>
      <c r="AG144" s="2"/>
    </row>
    <row r="145" spans="1:37">
      <c r="A145" s="139">
        <v>23</v>
      </c>
      <c r="B145" s="139" cm="1">
        <f t="array" ref="B145">IFERROR(IF(A145=s1_id_korvattava1,INDEX($AG$3:$AG$19,MATCH(C145,$AF$3:$AF$19,0),1),IF(A145=s1_id_korvaava1,INDEX($AH$3:$AH$19,MATCH(C145,$AF$3:$AF$19,0),1),IF(A145=s1_id_korvattava2,INDEX($AI$3:$AI$19,MATCH(C145,$AF$3:$AF$19,0),1),IF(A145=s1_id_korvaava2,INDEX($AJ$3:$AJ$19,MATCH(C145,$AF$3:$AF$19,0),1),INDEX(Työkonekanta!$F$3:$F$27,MATCH('S1 Sähkö'!$A145,Työkonekanta!$A$3:$A$24,0),1))))),0)</f>
        <v>0</v>
      </c>
      <c r="C145" s="140">
        <v>2023</v>
      </c>
      <c r="D145" s="141" t="str">
        <f>IFERROR(INDEX(Työkonekanta!$D$3:$D$27,MATCH('S1 Sähkö'!$A145,Työkonekanta!$A$3:$A$24,0),1),"undefined")</f>
        <v>undefined</v>
      </c>
      <c r="E145" s="145">
        <f>IFERROR(INDEX(Työkonekanta!$G$3:$G$27,MATCH($A145,Työkonekanta!$A$3:$A$24,0),1)*INDEX(Työkonekanta!$H$3:$H$27,MATCH($A145,Työkonekanta!$A$3:$A$24,0),1)*(1+s1_kerroin*($C145-2019))*$B145,0)</f>
        <v>0</v>
      </c>
      <c r="F145" s="145">
        <f t="shared" si="40"/>
        <v>0</v>
      </c>
      <c r="G145" s="145">
        <f t="shared" si="46"/>
        <v>0</v>
      </c>
      <c r="H145" s="145">
        <f t="shared" si="47"/>
        <v>0</v>
      </c>
      <c r="I145" s="145">
        <f t="shared" si="41"/>
        <v>0</v>
      </c>
      <c r="J145" s="145">
        <f t="shared" si="42"/>
        <v>0</v>
      </c>
      <c r="K145" s="142" t="str">
        <f t="shared" si="48"/>
        <v>undefined</v>
      </c>
      <c r="L145" s="146">
        <f>IFERROR(INDEX(Työkonekanta!$I$3:$I$27,MATCH('S1 Sähkö'!$A145,Työkonekanta!$A$3:$A$24,0),1)*(I145+J145)*f_adblue,0)</f>
        <v>0</v>
      </c>
      <c r="M145" s="146">
        <f t="shared" si="35"/>
        <v>0</v>
      </c>
      <c r="N145" s="143" t="str">
        <f>IF(tuulisähkö_vuosi&lt;='S1 Sähkö'!C145,"tuulisähkö",ostosähkö_nyt)</f>
        <v>jäännössähkö</v>
      </c>
      <c r="O145" s="147">
        <f>INDEX(Muuttujat!$J$5:$J$21,MATCH($C145,Muuttujat!$H$5:$H$21,0),1)</f>
        <v>66.51860537025</v>
      </c>
      <c r="P145" s="342">
        <f>1-(INDEX(Muuttujat!$O$5:$O$21,MATCH($C145,Muuttujat!$N$5:$N$21,0),1))</f>
        <v>0.95</v>
      </c>
      <c r="Q145" s="342">
        <f>INDEX(Muuttujat!$O$5:$O$21,MATCH($C145,Muuttujat!$N$5:$N$21,0),1)</f>
        <v>0.05</v>
      </c>
      <c r="R145" s="148">
        <f>INDEX(Muuttujat!$P$5:$P$21,MATCH($C145,Muuttujat!$N$5:$N$21,0),1)</f>
        <v>5.2210587442409327E-2</v>
      </c>
      <c r="S145" s="149">
        <f t="shared" si="43"/>
        <v>0</v>
      </c>
      <c r="T145" s="150">
        <f t="shared" si="44"/>
        <v>0</v>
      </c>
      <c r="U145" s="150">
        <f t="shared" si="45"/>
        <v>0</v>
      </c>
      <c r="V145" s="150">
        <f>IFERROR(INDEX(Työkonekanta!$J$3:$J$27,MATCH($A145,Työkonekanta!$A$3:$A$24,0),1)*$B145*ef_li_ion_akku/1000/1000/INDEX(Työkonekanta!$K$3:$K$27,MATCH($A145,Työkonekanta!$A$3:$A$24,0)),0)</f>
        <v>0</v>
      </c>
      <c r="W145" s="149">
        <f t="shared" si="36"/>
        <v>0</v>
      </c>
      <c r="X145" s="150">
        <f t="shared" si="37"/>
        <v>0</v>
      </c>
      <c r="Y145" s="151">
        <f t="shared" si="38"/>
        <v>0</v>
      </c>
      <c r="Z145" s="152">
        <f t="shared" si="49"/>
        <v>0</v>
      </c>
      <c r="AA145" s="153">
        <f t="shared" si="50"/>
        <v>0</v>
      </c>
      <c r="AB145" s="153">
        <f t="shared" si="51"/>
        <v>0</v>
      </c>
      <c r="AC145" s="154">
        <f t="shared" si="39"/>
        <v>0</v>
      </c>
      <c r="AD145" s="156">
        <f t="shared" si="52"/>
        <v>0</v>
      </c>
      <c r="AE145" s="182"/>
      <c r="AJ145" s="28"/>
      <c r="AK145" s="29"/>
    </row>
    <row r="146" spans="1:37">
      <c r="A146" s="139">
        <v>24</v>
      </c>
      <c r="B146" s="139" cm="1">
        <f t="array" ref="B146">IFERROR(IF(A146=s1_id_korvattava1,INDEX($AG$3:$AG$19,MATCH(C146,$AF$3:$AF$19,0),1),IF(A146=s1_id_korvaava1,INDEX($AH$3:$AH$19,MATCH(C146,$AF$3:$AF$19,0),1),IF(A146=s1_id_korvattava2,INDEX($AI$3:$AI$19,MATCH(C146,$AF$3:$AF$19,0),1),IF(A146=s1_id_korvaava2,INDEX($AJ$3:$AJ$19,MATCH(C146,$AF$3:$AF$19,0),1),INDEX(Työkonekanta!$F$3:$F$27,MATCH('S1 Sähkö'!$A146,Työkonekanta!$A$3:$A$24,0),1))))),0)</f>
        <v>0</v>
      </c>
      <c r="C146" s="140">
        <v>2023</v>
      </c>
      <c r="D146" s="141" t="str">
        <f>IFERROR(INDEX(Työkonekanta!$D$3:$D$27,MATCH('S1 Sähkö'!$A146,Työkonekanta!$A$3:$A$24,0),1),"undefined")</f>
        <v>undefined</v>
      </c>
      <c r="E146" s="145">
        <f>IFERROR(INDEX(Työkonekanta!$G$3:$G$27,MATCH($A146,Työkonekanta!$A$3:$A$24,0),1)*INDEX(Työkonekanta!$H$3:$H$27,MATCH($A146,Työkonekanta!$A$3:$A$24,0),1)*(1+s1_kerroin*($C146-2019))*$B146,0)</f>
        <v>0</v>
      </c>
      <c r="F146" s="145">
        <f t="shared" si="40"/>
        <v>0</v>
      </c>
      <c r="G146" s="145">
        <f t="shared" si="46"/>
        <v>0</v>
      </c>
      <c r="H146" s="145">
        <f t="shared" si="47"/>
        <v>0</v>
      </c>
      <c r="I146" s="145">
        <f t="shared" si="41"/>
        <v>0</v>
      </c>
      <c r="J146" s="145">
        <f t="shared" si="42"/>
        <v>0</v>
      </c>
      <c r="K146" s="142" t="str">
        <f t="shared" si="48"/>
        <v>undefined</v>
      </c>
      <c r="L146" s="146">
        <f>IFERROR(INDEX(Työkonekanta!$I$3:$I$27,MATCH('S1 Sähkö'!$A146,Työkonekanta!$A$3:$A$24,0),1)*(I146+J146)*f_adblue,0)</f>
        <v>0</v>
      </c>
      <c r="M146" s="146">
        <f t="shared" si="35"/>
        <v>0</v>
      </c>
      <c r="N146" s="143" t="str">
        <f>IF(tuulisähkö_vuosi&lt;='S1 Sähkö'!C146,"tuulisähkö",ostosähkö_nyt)</f>
        <v>jäännössähkö</v>
      </c>
      <c r="O146" s="147">
        <f>INDEX(Muuttujat!$J$5:$J$21,MATCH($C146,Muuttujat!$H$5:$H$21,0),1)</f>
        <v>66.51860537025</v>
      </c>
      <c r="P146" s="342">
        <f>1-(INDEX(Muuttujat!$O$5:$O$21,MATCH($C146,Muuttujat!$N$5:$N$21,0),1))</f>
        <v>0.95</v>
      </c>
      <c r="Q146" s="342">
        <f>INDEX(Muuttujat!$O$5:$O$21,MATCH($C146,Muuttujat!$N$5:$N$21,0),1)</f>
        <v>0.05</v>
      </c>
      <c r="R146" s="148">
        <f>INDEX(Muuttujat!$P$5:$P$21,MATCH($C146,Muuttujat!$N$5:$N$21,0),1)</f>
        <v>5.2210587442409327E-2</v>
      </c>
      <c r="S146" s="149">
        <f t="shared" si="43"/>
        <v>0</v>
      </c>
      <c r="T146" s="150">
        <f t="shared" si="44"/>
        <v>0</v>
      </c>
      <c r="U146" s="150">
        <f t="shared" si="45"/>
        <v>0</v>
      </c>
      <c r="V146" s="150">
        <f>IFERROR(INDEX(Työkonekanta!$J$3:$J$27,MATCH($A146,Työkonekanta!$A$3:$A$24,0),1)*$B146*ef_li_ion_akku/1000/1000/INDEX(Työkonekanta!$K$3:$K$27,MATCH($A146,Työkonekanta!$A$3:$A$24,0)),0)</f>
        <v>0</v>
      </c>
      <c r="W146" s="149">
        <f t="shared" si="36"/>
        <v>0</v>
      </c>
      <c r="X146" s="150">
        <f t="shared" si="37"/>
        <v>0</v>
      </c>
      <c r="Y146" s="151">
        <f t="shared" si="38"/>
        <v>0</v>
      </c>
      <c r="Z146" s="152">
        <f t="shared" si="49"/>
        <v>0</v>
      </c>
      <c r="AA146" s="153">
        <f t="shared" si="50"/>
        <v>0</v>
      </c>
      <c r="AB146" s="153">
        <f t="shared" si="51"/>
        <v>0</v>
      </c>
      <c r="AC146" s="154">
        <f t="shared" si="39"/>
        <v>0</v>
      </c>
      <c r="AD146" s="156">
        <f t="shared" si="52"/>
        <v>0</v>
      </c>
      <c r="AE146" s="182"/>
      <c r="AJ146" s="28"/>
      <c r="AK146" s="29"/>
    </row>
    <row r="147" spans="1:37">
      <c r="A147" s="139">
        <v>25</v>
      </c>
      <c r="B147" s="139" cm="1">
        <f t="array" ref="B147">IFERROR(IF(A147=s1_id_korvattava1,INDEX($AG$3:$AG$19,MATCH(C147,$AF$3:$AF$19,0),1),IF(A147=s1_id_korvaava1,INDEX($AH$3:$AH$19,MATCH(C147,$AF$3:$AF$19,0),1),IF(A147=s1_id_korvattava2,INDEX($AI$3:$AI$19,MATCH(C147,$AF$3:$AF$19,0),1),IF(A147=s1_id_korvaava2,INDEX($AJ$3:$AJ$19,MATCH(C147,$AF$3:$AF$19,0),1),INDEX(Työkonekanta!$F$3:$F$27,MATCH('S1 Sähkö'!$A147,Työkonekanta!$A$3:$A$24,0),1))))),0)</f>
        <v>0</v>
      </c>
      <c r="C147" s="140">
        <v>2023</v>
      </c>
      <c r="D147" s="141" t="str">
        <f>IFERROR(INDEX(Työkonekanta!$D$3:$D$27,MATCH('S1 Sähkö'!$A147,Työkonekanta!$A$3:$A$24,0),1),"undefined")</f>
        <v>undefined</v>
      </c>
      <c r="E147" s="145">
        <f>IFERROR(INDEX(Työkonekanta!$G$3:$G$27,MATCH($A147,Työkonekanta!$A$3:$A$24,0),1)*INDEX(Työkonekanta!$H$3:$H$27,MATCH($A147,Työkonekanta!$A$3:$A$24,0),1)*(1+s1_kerroin*($C147-2019))*$B147,0)</f>
        <v>0</v>
      </c>
      <c r="F147" s="145">
        <f t="shared" si="40"/>
        <v>0</v>
      </c>
      <c r="G147" s="145">
        <f t="shared" si="46"/>
        <v>0</v>
      </c>
      <c r="H147" s="145">
        <f t="shared" si="47"/>
        <v>0</v>
      </c>
      <c r="I147" s="145">
        <f t="shared" si="41"/>
        <v>0</v>
      </c>
      <c r="J147" s="145">
        <f t="shared" si="42"/>
        <v>0</v>
      </c>
      <c r="K147" s="142" t="str">
        <f t="shared" si="48"/>
        <v>undefined</v>
      </c>
      <c r="L147" s="146">
        <f>IFERROR(INDEX(Työkonekanta!$I$3:$I$27,MATCH('S1 Sähkö'!$A147,Työkonekanta!$A$3:$A$24,0),1)*(I147+J147)*f_adblue,0)</f>
        <v>0</v>
      </c>
      <c r="M147" s="146">
        <f t="shared" ref="M147:M210" si="53">IF($D147="sähkö",conv_kwh_mj*$E147,0)</f>
        <v>0</v>
      </c>
      <c r="N147" s="143" t="str">
        <f>IF(tuulisähkö_vuosi&lt;='S1 Sähkö'!C147,"tuulisähkö",ostosähkö_nyt)</f>
        <v>jäännössähkö</v>
      </c>
      <c r="O147" s="147">
        <f>INDEX(Muuttujat!$J$5:$J$21,MATCH($C147,Muuttujat!$H$5:$H$21,0),1)</f>
        <v>66.51860537025</v>
      </c>
      <c r="P147" s="342">
        <f>1-(INDEX(Muuttujat!$O$5:$O$21,MATCH($C147,Muuttujat!$N$5:$N$21,0),1))</f>
        <v>0.95</v>
      </c>
      <c r="Q147" s="342">
        <f>INDEX(Muuttujat!$O$5:$O$21,MATCH($C147,Muuttujat!$N$5:$N$21,0),1)</f>
        <v>0.05</v>
      </c>
      <c r="R147" s="148">
        <f>INDEX(Muuttujat!$P$5:$P$21,MATCH($C147,Muuttujat!$N$5:$N$21,0),1)</f>
        <v>5.2210587442409327E-2</v>
      </c>
      <c r="S147" s="149">
        <f t="shared" si="43"/>
        <v>0</v>
      </c>
      <c r="T147" s="150">
        <f t="shared" si="44"/>
        <v>0</v>
      </c>
      <c r="U147" s="150">
        <f t="shared" si="45"/>
        <v>0</v>
      </c>
      <c r="V147" s="150">
        <f>IFERROR(INDEX(Työkonekanta!$J$3:$J$27,MATCH($A147,Työkonekanta!$A$3:$A$24,0),1)*$B147*ef_li_ion_akku/1000/1000/INDEX(Työkonekanta!$K$3:$K$27,MATCH($A147,Työkonekanta!$A$3:$A$24,0)),0)</f>
        <v>0</v>
      </c>
      <c r="W147" s="149">
        <f t="shared" ref="W147:W210" si="54">($I147*IF($D147="pom",ef_v_co2_pom,0))/1000/1000</f>
        <v>0</v>
      </c>
      <c r="X147" s="150">
        <f t="shared" ref="X147:X210" si="55">($E147*(IF($D147="pom",ef_v_ch4_pom,0)*gwp100_ch4+IF($D147="pom",ef_v_n2o_pom,0)*gwp100_n2o))/1000/1000</f>
        <v>0</v>
      </c>
      <c r="Y147" s="151">
        <f t="shared" ref="Y147:Y210" si="56">$L147*ef_v_co2_adblue/1000/1000</f>
        <v>0</v>
      </c>
      <c r="Z147" s="152">
        <f t="shared" si="49"/>
        <v>0</v>
      </c>
      <c r="AA147" s="153">
        <f t="shared" si="50"/>
        <v>0</v>
      </c>
      <c r="AB147" s="153">
        <f t="shared" si="51"/>
        <v>0</v>
      </c>
      <c r="AC147" s="154">
        <f t="shared" ref="AC147:AC210" si="57">$Z147+$AA147</f>
        <v>0</v>
      </c>
      <c r="AD147" s="156">
        <f t="shared" si="52"/>
        <v>0</v>
      </c>
      <c r="AE147" s="182"/>
      <c r="AJ147" s="28"/>
      <c r="AK147" s="29"/>
    </row>
    <row r="148" spans="1:37">
      <c r="A148" s="139">
        <v>26</v>
      </c>
      <c r="B148" s="139" cm="1">
        <f t="array" ref="B148">IFERROR(IF(A148=s1_id_korvattava1,INDEX($AG$3:$AG$19,MATCH(C148,$AF$3:$AF$19,0),1),IF(A148=s1_id_korvaava1,INDEX($AH$3:$AH$19,MATCH(C148,$AF$3:$AF$19,0),1),IF(A148=s1_id_korvattava2,INDEX($AI$3:$AI$19,MATCH(C148,$AF$3:$AF$19,0),1),IF(A148=s1_id_korvaava2,INDEX($AJ$3:$AJ$19,MATCH(C148,$AF$3:$AF$19,0),1),INDEX(Työkonekanta!$F$3:$F$27,MATCH('S1 Sähkö'!$A148,Työkonekanta!$A$3:$A$24,0),1))))),0)</f>
        <v>0</v>
      </c>
      <c r="C148" s="140">
        <v>2023</v>
      </c>
      <c r="D148" s="141" t="str">
        <f>IFERROR(INDEX(Työkonekanta!$D$3:$D$27,MATCH('S1 Sähkö'!$A148,Työkonekanta!$A$3:$A$24,0),1),"undefined")</f>
        <v>undefined</v>
      </c>
      <c r="E148" s="145">
        <f>IFERROR(INDEX(Työkonekanta!$G$3:$G$27,MATCH($A148,Työkonekanta!$A$3:$A$24,0),1)*INDEX(Työkonekanta!$H$3:$H$27,MATCH($A148,Työkonekanta!$A$3:$A$24,0),1)*(1+s1_kerroin*($C148-2019))*$B148,0)</f>
        <v>0</v>
      </c>
      <c r="F148" s="145">
        <f t="shared" si="40"/>
        <v>0</v>
      </c>
      <c r="G148" s="145">
        <f t="shared" si="46"/>
        <v>0</v>
      </c>
      <c r="H148" s="145">
        <f t="shared" si="47"/>
        <v>0</v>
      </c>
      <c r="I148" s="145">
        <f t="shared" si="41"/>
        <v>0</v>
      </c>
      <c r="J148" s="145">
        <f t="shared" si="42"/>
        <v>0</v>
      </c>
      <c r="K148" s="142" t="str">
        <f t="shared" si="48"/>
        <v>undefined</v>
      </c>
      <c r="L148" s="146">
        <f>IFERROR(INDEX(Työkonekanta!$I$3:$I$27,MATCH('S1 Sähkö'!$A148,Työkonekanta!$A$3:$A$24,0),1)*(I148+J148)*f_adblue,0)</f>
        <v>0</v>
      </c>
      <c r="M148" s="146">
        <f t="shared" si="53"/>
        <v>0</v>
      </c>
      <c r="N148" s="143" t="str">
        <f>IF(tuulisähkö_vuosi&lt;='S1 Sähkö'!C148,"tuulisähkö",ostosähkö_nyt)</f>
        <v>jäännössähkö</v>
      </c>
      <c r="O148" s="147">
        <f>INDEX(Muuttujat!$J$5:$J$21,MATCH($C148,Muuttujat!$H$5:$H$21,0),1)</f>
        <v>66.51860537025</v>
      </c>
      <c r="P148" s="342">
        <f>1-(INDEX(Muuttujat!$O$5:$O$21,MATCH($C148,Muuttujat!$N$5:$N$21,0),1))</f>
        <v>0.95</v>
      </c>
      <c r="Q148" s="342">
        <f>INDEX(Muuttujat!$O$5:$O$21,MATCH($C148,Muuttujat!$N$5:$N$21,0),1)</f>
        <v>0.05</v>
      </c>
      <c r="R148" s="148">
        <f>INDEX(Muuttujat!$P$5:$P$21,MATCH($C148,Muuttujat!$N$5:$N$21,0),1)</f>
        <v>5.2210587442409327E-2</v>
      </c>
      <c r="S148" s="149">
        <f t="shared" si="43"/>
        <v>0</v>
      </c>
      <c r="T148" s="150">
        <f t="shared" si="44"/>
        <v>0</v>
      </c>
      <c r="U148" s="150">
        <f t="shared" si="45"/>
        <v>0</v>
      </c>
      <c r="V148" s="150">
        <f>IFERROR(INDEX(Työkonekanta!$J$3:$J$27,MATCH($A148,Työkonekanta!$A$3:$A$24,0),1)*$B148*ef_li_ion_akku/1000/1000/INDEX(Työkonekanta!$K$3:$K$27,MATCH($A148,Työkonekanta!$A$3:$A$24,0)),0)</f>
        <v>0</v>
      </c>
      <c r="W148" s="149">
        <f t="shared" si="54"/>
        <v>0</v>
      </c>
      <c r="X148" s="150">
        <f t="shared" si="55"/>
        <v>0</v>
      </c>
      <c r="Y148" s="151">
        <f t="shared" si="56"/>
        <v>0</v>
      </c>
      <c r="Z148" s="152">
        <f t="shared" si="49"/>
        <v>0</v>
      </c>
      <c r="AA148" s="153">
        <f t="shared" si="50"/>
        <v>0</v>
      </c>
      <c r="AB148" s="153">
        <f t="shared" si="51"/>
        <v>0</v>
      </c>
      <c r="AC148" s="154">
        <f t="shared" si="57"/>
        <v>0</v>
      </c>
      <c r="AD148" s="156">
        <f t="shared" si="52"/>
        <v>0</v>
      </c>
      <c r="AE148" s="182"/>
      <c r="AJ148" s="28"/>
      <c r="AK148" s="29"/>
    </row>
    <row r="149" spans="1:37">
      <c r="A149" s="139">
        <v>27</v>
      </c>
      <c r="B149" s="139" cm="1">
        <f t="array" ref="B149">IFERROR(IF(A149=s1_id_korvattava1,INDEX($AG$3:$AG$19,MATCH(C149,$AF$3:$AF$19,0),1),IF(A149=s1_id_korvaava1,INDEX($AH$3:$AH$19,MATCH(C149,$AF$3:$AF$19,0),1),IF(A149=s1_id_korvattava2,INDEX($AI$3:$AI$19,MATCH(C149,$AF$3:$AF$19,0),1),IF(A149=s1_id_korvaava2,INDEX($AJ$3:$AJ$19,MATCH(C149,$AF$3:$AF$19,0),1),INDEX(Työkonekanta!$F$3:$F$27,MATCH('S1 Sähkö'!$A149,Työkonekanta!$A$3:$A$24,0),1))))),0)</f>
        <v>0</v>
      </c>
      <c r="C149" s="140">
        <v>2023</v>
      </c>
      <c r="D149" s="141" t="str">
        <f>IFERROR(INDEX(Työkonekanta!$D$3:$D$27,MATCH('S1 Sähkö'!$A149,Työkonekanta!$A$3:$A$24,0),1),"undefined")</f>
        <v>undefined</v>
      </c>
      <c r="E149" s="145">
        <f>IFERROR(INDEX(Työkonekanta!$G$3:$G$27,MATCH($A149,Työkonekanta!$A$3:$A$24,0),1)*INDEX(Työkonekanta!$H$3:$H$27,MATCH($A149,Työkonekanta!$A$3:$A$24,0),1)*(1+s1_kerroin*($C149-2019))*$B149,0)</f>
        <v>0</v>
      </c>
      <c r="F149" s="145">
        <f t="shared" si="40"/>
        <v>0</v>
      </c>
      <c r="G149" s="145">
        <f t="shared" si="46"/>
        <v>0</v>
      </c>
      <c r="H149" s="145">
        <f t="shared" si="47"/>
        <v>0</v>
      </c>
      <c r="I149" s="145">
        <f t="shared" si="41"/>
        <v>0</v>
      </c>
      <c r="J149" s="145">
        <f t="shared" si="42"/>
        <v>0</v>
      </c>
      <c r="K149" s="142" t="str">
        <f t="shared" si="48"/>
        <v>undefined</v>
      </c>
      <c r="L149" s="146">
        <f>IFERROR(INDEX(Työkonekanta!$I$3:$I$27,MATCH('S1 Sähkö'!$A149,Työkonekanta!$A$3:$A$24,0),1)*(I149+J149)*f_adblue,0)</f>
        <v>0</v>
      </c>
      <c r="M149" s="146">
        <f t="shared" si="53"/>
        <v>0</v>
      </c>
      <c r="N149" s="143" t="str">
        <f>IF(tuulisähkö_vuosi&lt;='S1 Sähkö'!C149,"tuulisähkö",ostosähkö_nyt)</f>
        <v>jäännössähkö</v>
      </c>
      <c r="O149" s="147">
        <f>INDEX(Muuttujat!$J$5:$J$21,MATCH($C149,Muuttujat!$H$5:$H$21,0),1)</f>
        <v>66.51860537025</v>
      </c>
      <c r="P149" s="342">
        <f>1-(INDEX(Muuttujat!$O$5:$O$21,MATCH($C149,Muuttujat!$N$5:$N$21,0),1))</f>
        <v>0.95</v>
      </c>
      <c r="Q149" s="342">
        <f>INDEX(Muuttujat!$O$5:$O$21,MATCH($C149,Muuttujat!$N$5:$N$21,0),1)</f>
        <v>0.05</v>
      </c>
      <c r="R149" s="148">
        <f>INDEX(Muuttujat!$P$5:$P$21,MATCH($C149,Muuttujat!$N$5:$N$21,0),1)</f>
        <v>5.2210587442409327E-2</v>
      </c>
      <c r="S149" s="149">
        <f t="shared" si="43"/>
        <v>0</v>
      </c>
      <c r="T149" s="150">
        <f t="shared" si="44"/>
        <v>0</v>
      </c>
      <c r="U149" s="150">
        <f t="shared" si="45"/>
        <v>0</v>
      </c>
      <c r="V149" s="150">
        <f>IFERROR(INDEX(Työkonekanta!$J$3:$J$27,MATCH($A149,Työkonekanta!$A$3:$A$24,0),1)*$B149*ef_li_ion_akku/1000/1000/INDEX(Työkonekanta!$K$3:$K$27,MATCH($A149,Työkonekanta!$A$3:$A$24,0)),0)</f>
        <v>0</v>
      </c>
      <c r="W149" s="149">
        <f t="shared" si="54"/>
        <v>0</v>
      </c>
      <c r="X149" s="150">
        <f t="shared" si="55"/>
        <v>0</v>
      </c>
      <c r="Y149" s="151">
        <f t="shared" si="56"/>
        <v>0</v>
      </c>
      <c r="Z149" s="152">
        <f t="shared" si="49"/>
        <v>0</v>
      </c>
      <c r="AA149" s="153">
        <f t="shared" si="50"/>
        <v>0</v>
      </c>
      <c r="AB149" s="153">
        <f t="shared" si="51"/>
        <v>0</v>
      </c>
      <c r="AC149" s="154">
        <f t="shared" si="57"/>
        <v>0</v>
      </c>
      <c r="AD149" s="156">
        <f t="shared" si="52"/>
        <v>0</v>
      </c>
      <c r="AE149" s="182"/>
      <c r="AJ149" s="28"/>
      <c r="AK149" s="29"/>
    </row>
    <row r="150" spans="1:37">
      <c r="A150" s="139">
        <v>28</v>
      </c>
      <c r="B150" s="139" cm="1">
        <f t="array" ref="B150">IFERROR(IF(A150=s1_id_korvattava1,INDEX($AG$3:$AG$19,MATCH(C150,$AF$3:$AF$19,0),1),IF(A150=s1_id_korvaava1,INDEX($AH$3:$AH$19,MATCH(C150,$AF$3:$AF$19,0),1),IF(A150=s1_id_korvattava2,INDEX($AI$3:$AI$19,MATCH(C150,$AF$3:$AF$19,0),1),IF(A150=s1_id_korvaava2,INDEX($AJ$3:$AJ$19,MATCH(C150,$AF$3:$AF$19,0),1),INDEX(Työkonekanta!$F$3:$F$27,MATCH('S1 Sähkö'!$A150,Työkonekanta!$A$3:$A$24,0),1))))),0)</f>
        <v>0</v>
      </c>
      <c r="C150" s="140">
        <v>2023</v>
      </c>
      <c r="D150" s="141" t="str">
        <f>IFERROR(INDEX(Työkonekanta!$D$3:$D$27,MATCH('S1 Sähkö'!$A150,Työkonekanta!$A$3:$A$24,0),1),"undefined")</f>
        <v>undefined</v>
      </c>
      <c r="E150" s="145">
        <f>IFERROR(INDEX(Työkonekanta!$G$3:$G$27,MATCH($A150,Työkonekanta!$A$3:$A$24,0),1)*INDEX(Työkonekanta!$H$3:$H$27,MATCH($A150,Työkonekanta!$A$3:$A$24,0),1)*(1+s1_kerroin*($C150-2019))*$B150,0)</f>
        <v>0</v>
      </c>
      <c r="F150" s="145">
        <f t="shared" si="40"/>
        <v>0</v>
      </c>
      <c r="G150" s="145">
        <f t="shared" si="46"/>
        <v>0</v>
      </c>
      <c r="H150" s="145">
        <f t="shared" si="47"/>
        <v>0</v>
      </c>
      <c r="I150" s="145">
        <f t="shared" si="41"/>
        <v>0</v>
      </c>
      <c r="J150" s="145">
        <f t="shared" si="42"/>
        <v>0</v>
      </c>
      <c r="K150" s="142" t="str">
        <f t="shared" si="48"/>
        <v>undefined</v>
      </c>
      <c r="L150" s="146">
        <f>IFERROR(INDEX(Työkonekanta!$I$3:$I$27,MATCH('S1 Sähkö'!$A150,Työkonekanta!$A$3:$A$24,0),1)*(I150+J150)*f_adblue,0)</f>
        <v>0</v>
      </c>
      <c r="M150" s="146">
        <f t="shared" si="53"/>
        <v>0</v>
      </c>
      <c r="N150" s="143" t="str">
        <f>IF(tuulisähkö_vuosi&lt;='S1 Sähkö'!C150,"tuulisähkö",ostosähkö_nyt)</f>
        <v>jäännössähkö</v>
      </c>
      <c r="O150" s="147">
        <f>INDEX(Muuttujat!$J$5:$J$21,MATCH($C150,Muuttujat!$H$5:$H$21,0),1)</f>
        <v>66.51860537025</v>
      </c>
      <c r="P150" s="342">
        <f>1-(INDEX(Muuttujat!$O$5:$O$21,MATCH($C150,Muuttujat!$N$5:$N$21,0),1))</f>
        <v>0.95</v>
      </c>
      <c r="Q150" s="342">
        <f>INDEX(Muuttujat!$O$5:$O$21,MATCH($C150,Muuttujat!$N$5:$N$21,0),1)</f>
        <v>0.05</v>
      </c>
      <c r="R150" s="148">
        <f>INDEX(Muuttujat!$P$5:$P$21,MATCH($C150,Muuttujat!$N$5:$N$21,0),1)</f>
        <v>5.2210587442409327E-2</v>
      </c>
      <c r="S150" s="149">
        <f t="shared" si="43"/>
        <v>0</v>
      </c>
      <c r="T150" s="150">
        <f t="shared" si="44"/>
        <v>0</v>
      </c>
      <c r="U150" s="150">
        <f t="shared" si="45"/>
        <v>0</v>
      </c>
      <c r="V150" s="150">
        <f>IFERROR(INDEX(Työkonekanta!$J$3:$J$27,MATCH($A150,Työkonekanta!$A$3:$A$24,0),1)*$B150*ef_li_ion_akku/1000/1000/INDEX(Työkonekanta!$K$3:$K$27,MATCH($A150,Työkonekanta!$A$3:$A$24,0)),0)</f>
        <v>0</v>
      </c>
      <c r="W150" s="149">
        <f t="shared" si="54"/>
        <v>0</v>
      </c>
      <c r="X150" s="150">
        <f t="shared" si="55"/>
        <v>0</v>
      </c>
      <c r="Y150" s="151">
        <f t="shared" si="56"/>
        <v>0</v>
      </c>
      <c r="Z150" s="152">
        <f t="shared" si="49"/>
        <v>0</v>
      </c>
      <c r="AA150" s="153">
        <f t="shared" si="50"/>
        <v>0</v>
      </c>
      <c r="AB150" s="153">
        <f t="shared" si="51"/>
        <v>0</v>
      </c>
      <c r="AC150" s="154">
        <f t="shared" si="57"/>
        <v>0</v>
      </c>
      <c r="AD150" s="156">
        <f t="shared" si="52"/>
        <v>0</v>
      </c>
      <c r="AE150" s="182"/>
      <c r="AJ150" s="28"/>
      <c r="AK150" s="29"/>
    </row>
    <row r="151" spans="1:37">
      <c r="A151" s="139">
        <v>29</v>
      </c>
      <c r="B151" s="139" cm="1">
        <f t="array" ref="B151">IFERROR(IF(A151=s1_id_korvattava1,INDEX($AG$3:$AG$19,MATCH(C151,$AF$3:$AF$19,0),1),IF(A151=s1_id_korvaava1,INDEX($AH$3:$AH$19,MATCH(C151,$AF$3:$AF$19,0),1),IF(A151=s1_id_korvattava2,INDEX($AI$3:$AI$19,MATCH(C151,$AF$3:$AF$19,0),1),IF(A151=s1_id_korvaava2,INDEX($AJ$3:$AJ$19,MATCH(C151,$AF$3:$AF$19,0),1),INDEX(Työkonekanta!$F$3:$F$27,MATCH('S1 Sähkö'!$A151,Työkonekanta!$A$3:$A$24,0),1))))),0)</f>
        <v>0</v>
      </c>
      <c r="C151" s="140">
        <v>2023</v>
      </c>
      <c r="D151" s="141" t="str">
        <f>IFERROR(INDEX(Työkonekanta!$D$3:$D$27,MATCH('S1 Sähkö'!$A151,Työkonekanta!$A$3:$A$24,0),1),"undefined")</f>
        <v>undefined</v>
      </c>
      <c r="E151" s="145">
        <f>IFERROR(INDEX(Työkonekanta!$G$3:$G$27,MATCH($A151,Työkonekanta!$A$3:$A$24,0),1)*INDEX(Työkonekanta!$H$3:$H$27,MATCH($A151,Työkonekanta!$A$3:$A$24,0),1)*(1+s1_kerroin*($C151-2019))*$B151,0)</f>
        <v>0</v>
      </c>
      <c r="F151" s="145">
        <f t="shared" si="40"/>
        <v>0</v>
      </c>
      <c r="G151" s="145">
        <f t="shared" si="46"/>
        <v>0</v>
      </c>
      <c r="H151" s="145">
        <f t="shared" si="47"/>
        <v>0</v>
      </c>
      <c r="I151" s="145">
        <f t="shared" si="41"/>
        <v>0</v>
      </c>
      <c r="J151" s="145">
        <f t="shared" si="42"/>
        <v>0</v>
      </c>
      <c r="K151" s="142" t="str">
        <f t="shared" si="48"/>
        <v>undefined</v>
      </c>
      <c r="L151" s="146">
        <f>IFERROR(INDEX(Työkonekanta!$I$3:$I$27,MATCH('S1 Sähkö'!$A151,Työkonekanta!$A$3:$A$24,0),1)*(I151+J151)*f_adblue,0)</f>
        <v>0</v>
      </c>
      <c r="M151" s="146">
        <f t="shared" si="53"/>
        <v>0</v>
      </c>
      <c r="N151" s="143" t="str">
        <f>IF(tuulisähkö_vuosi&lt;='S1 Sähkö'!C151,"tuulisähkö",ostosähkö_nyt)</f>
        <v>jäännössähkö</v>
      </c>
      <c r="O151" s="147">
        <f>INDEX(Muuttujat!$J$5:$J$21,MATCH($C151,Muuttujat!$H$5:$H$21,0),1)</f>
        <v>66.51860537025</v>
      </c>
      <c r="P151" s="342">
        <f>1-(INDEX(Muuttujat!$O$5:$O$21,MATCH($C151,Muuttujat!$N$5:$N$21,0),1))</f>
        <v>0.95</v>
      </c>
      <c r="Q151" s="342">
        <f>INDEX(Muuttujat!$O$5:$O$21,MATCH($C151,Muuttujat!$N$5:$N$21,0),1)</f>
        <v>0.05</v>
      </c>
      <c r="R151" s="148">
        <f>INDEX(Muuttujat!$P$5:$P$21,MATCH($C151,Muuttujat!$N$5:$N$21,0),1)</f>
        <v>5.2210587442409327E-2</v>
      </c>
      <c r="S151" s="149">
        <f t="shared" si="43"/>
        <v>0</v>
      </c>
      <c r="T151" s="150">
        <f t="shared" si="44"/>
        <v>0</v>
      </c>
      <c r="U151" s="150">
        <f t="shared" si="45"/>
        <v>0</v>
      </c>
      <c r="V151" s="150">
        <f>IFERROR(INDEX(Työkonekanta!$J$3:$J$27,MATCH($A151,Työkonekanta!$A$3:$A$24,0),1)*$B151*ef_li_ion_akku/1000/1000/INDEX(Työkonekanta!$K$3:$K$27,MATCH($A151,Työkonekanta!$A$3:$A$24,0)),0)</f>
        <v>0</v>
      </c>
      <c r="W151" s="149">
        <f t="shared" si="54"/>
        <v>0</v>
      </c>
      <c r="X151" s="150">
        <f t="shared" si="55"/>
        <v>0</v>
      </c>
      <c r="Y151" s="151">
        <f t="shared" si="56"/>
        <v>0</v>
      </c>
      <c r="Z151" s="152">
        <f t="shared" si="49"/>
        <v>0</v>
      </c>
      <c r="AA151" s="153">
        <f t="shared" si="50"/>
        <v>0</v>
      </c>
      <c r="AB151" s="153">
        <f t="shared" si="51"/>
        <v>0</v>
      </c>
      <c r="AC151" s="154">
        <f t="shared" si="57"/>
        <v>0</v>
      </c>
      <c r="AD151" s="156">
        <f t="shared" si="52"/>
        <v>0</v>
      </c>
      <c r="AE151" s="182"/>
      <c r="AJ151" s="28"/>
      <c r="AK151" s="29"/>
    </row>
    <row r="152" spans="1:37">
      <c r="A152" s="139">
        <v>30</v>
      </c>
      <c r="B152" s="139" cm="1">
        <f t="array" ref="B152">IFERROR(IF(A152=s1_id_korvattava1,INDEX($AG$3:$AG$19,MATCH(C152,$AF$3:$AF$19,0),1),IF(A152=s1_id_korvaava1,INDEX($AH$3:$AH$19,MATCH(C152,$AF$3:$AF$19,0),1),IF(A152=s1_id_korvattava2,INDEX($AI$3:$AI$19,MATCH(C152,$AF$3:$AF$19,0),1),IF(A152=s1_id_korvaava2,INDEX($AJ$3:$AJ$19,MATCH(C152,$AF$3:$AF$19,0),1),INDEX(Työkonekanta!$F$3:$F$27,MATCH('S1 Sähkö'!$A152,Työkonekanta!$A$3:$A$24,0),1))))),0)</f>
        <v>0</v>
      </c>
      <c r="C152" s="140">
        <v>2023</v>
      </c>
      <c r="D152" s="141" t="str">
        <f>IFERROR(INDEX(Työkonekanta!$D$3:$D$27,MATCH('S1 Sähkö'!$A152,Työkonekanta!$A$3:$A$24,0),1),"undefined")</f>
        <v>undefined</v>
      </c>
      <c r="E152" s="145">
        <f>IFERROR(INDEX(Työkonekanta!$G$3:$G$27,MATCH($A152,Työkonekanta!$A$3:$A$24,0),1)*INDEX(Työkonekanta!$H$3:$H$27,MATCH($A152,Työkonekanta!$A$3:$A$24,0),1)*(1+s1_kerroin*($C152-2019))*$B152,0)</f>
        <v>0</v>
      </c>
      <c r="F152" s="145">
        <f t="shared" si="40"/>
        <v>0</v>
      </c>
      <c r="G152" s="145">
        <f t="shared" si="46"/>
        <v>0</v>
      </c>
      <c r="H152" s="145">
        <f t="shared" si="47"/>
        <v>0</v>
      </c>
      <c r="I152" s="145">
        <f t="shared" si="41"/>
        <v>0</v>
      </c>
      <c r="J152" s="145">
        <f t="shared" si="42"/>
        <v>0</v>
      </c>
      <c r="K152" s="142" t="str">
        <f t="shared" si="48"/>
        <v>undefined</v>
      </c>
      <c r="L152" s="146">
        <f>IFERROR(INDEX(Työkonekanta!$I$3:$I$27,MATCH('S1 Sähkö'!$A152,Työkonekanta!$A$3:$A$24,0),1)*(I152+J152)*f_adblue,0)</f>
        <v>0</v>
      </c>
      <c r="M152" s="146">
        <f t="shared" si="53"/>
        <v>0</v>
      </c>
      <c r="N152" s="143" t="str">
        <f>IF(tuulisähkö_vuosi&lt;='S1 Sähkö'!C152,"tuulisähkö",ostosähkö_nyt)</f>
        <v>jäännössähkö</v>
      </c>
      <c r="O152" s="147">
        <f>INDEX(Muuttujat!$J$5:$J$21,MATCH($C152,Muuttujat!$H$5:$H$21,0),1)</f>
        <v>66.51860537025</v>
      </c>
      <c r="P152" s="342">
        <f>1-(INDEX(Muuttujat!$O$5:$O$21,MATCH($C152,Muuttujat!$N$5:$N$21,0),1))</f>
        <v>0.95</v>
      </c>
      <c r="Q152" s="342">
        <f>INDEX(Muuttujat!$O$5:$O$21,MATCH($C152,Muuttujat!$N$5:$N$21,0),1)</f>
        <v>0.05</v>
      </c>
      <c r="R152" s="148">
        <f>INDEX(Muuttujat!$P$5:$P$21,MATCH($C152,Muuttujat!$N$5:$N$21,0),1)</f>
        <v>5.2210587442409327E-2</v>
      </c>
      <c r="S152" s="149">
        <f t="shared" si="43"/>
        <v>0</v>
      </c>
      <c r="T152" s="150">
        <f t="shared" si="44"/>
        <v>0</v>
      </c>
      <c r="U152" s="150">
        <f t="shared" si="45"/>
        <v>0</v>
      </c>
      <c r="V152" s="150">
        <f>IFERROR(INDEX(Työkonekanta!$J$3:$J$27,MATCH($A152,Työkonekanta!$A$3:$A$24,0),1)*$B152*ef_li_ion_akku/1000/1000/INDEX(Työkonekanta!$K$3:$K$27,MATCH($A152,Työkonekanta!$A$3:$A$24,0)),0)</f>
        <v>0</v>
      </c>
      <c r="W152" s="149">
        <f t="shared" si="54"/>
        <v>0</v>
      </c>
      <c r="X152" s="150">
        <f t="shared" si="55"/>
        <v>0</v>
      </c>
      <c r="Y152" s="151">
        <f t="shared" si="56"/>
        <v>0</v>
      </c>
      <c r="Z152" s="152">
        <f t="shared" si="49"/>
        <v>0</v>
      </c>
      <c r="AA152" s="153">
        <f t="shared" si="50"/>
        <v>0</v>
      </c>
      <c r="AB152" s="153">
        <f t="shared" si="51"/>
        <v>0</v>
      </c>
      <c r="AC152" s="154">
        <f t="shared" si="57"/>
        <v>0</v>
      </c>
      <c r="AD152" s="156">
        <f t="shared" si="52"/>
        <v>0</v>
      </c>
      <c r="AE152" s="182"/>
      <c r="AJ152" s="28"/>
      <c r="AK152" s="29"/>
    </row>
    <row r="153" spans="1:37">
      <c r="A153" s="139">
        <v>1</v>
      </c>
      <c r="B153" s="139" cm="1">
        <f t="array" ref="B153">IFERROR(IF(A153=s1_id_korvattava1,INDEX($AG$3:$AG$19,MATCH(C153,$AF$3:$AF$19,0),1),IF(A153=s1_id_korvaava1,INDEX($AH$3:$AH$19,MATCH(C153,$AF$3:$AF$19,0),1),IF(A153=s1_id_korvattava2,INDEX($AI$3:$AI$19,MATCH(C153,$AF$3:$AF$19,0),1),IF(A153=s1_id_korvaava2,INDEX($AJ$3:$AJ$19,MATCH(C153,$AF$3:$AF$19,0),1),INDEX(Työkonekanta!$F$3:$F$27,MATCH('S1 Sähkö'!$A153,Työkonekanta!$A$3:$A$24,0),1))))),0)</f>
        <v>1</v>
      </c>
      <c r="C153" s="140">
        <v>2024</v>
      </c>
      <c r="D153" s="141" t="str">
        <f>IFERROR(INDEX(Työkonekanta!$D$3:$D$27,MATCH('S1 Sähkö'!$A153,Työkonekanta!$A$3:$A$24,0),1),"undefined")</f>
        <v>pom</v>
      </c>
      <c r="E153" s="145">
        <f>IFERROR(INDEX(Työkonekanta!$G$3:$G$27,MATCH($A153,Työkonekanta!$A$3:$A$24,0),1)*INDEX(Työkonekanta!$H$3:$H$27,MATCH($A153,Työkonekanta!$A$3:$A$24,0),1)*(1+s1_kerroin*($C153-2019))*$B153,0)</f>
        <v>10500</v>
      </c>
      <c r="F153" s="145">
        <f t="shared" si="40"/>
        <v>376950</v>
      </c>
      <c r="G153" s="145">
        <f t="shared" si="46"/>
        <v>354333</v>
      </c>
      <c r="H153" s="145">
        <f t="shared" si="47"/>
        <v>22617</v>
      </c>
      <c r="I153" s="145">
        <f t="shared" si="41"/>
        <v>9870</v>
      </c>
      <c r="J153" s="145">
        <f t="shared" si="42"/>
        <v>659.38775510204084</v>
      </c>
      <c r="K153" s="142" t="str">
        <f t="shared" si="48"/>
        <v>l</v>
      </c>
      <c r="L153" s="146">
        <f>IFERROR(INDEX(Työkonekanta!$I$3:$I$27,MATCH('S1 Sähkö'!$A153,Työkonekanta!$A$3:$A$24,0),1)*(I153+J153)*f_adblue,0)</f>
        <v>526.46938775510205</v>
      </c>
      <c r="M153" s="146">
        <f t="shared" si="53"/>
        <v>0</v>
      </c>
      <c r="N153" s="143" t="str">
        <f>IF(tuulisähkö_vuosi&lt;='S1 Sähkö'!C153,"tuulisähkö",ostosähkö_nyt)</f>
        <v>jäännössähkö</v>
      </c>
      <c r="O153" s="147">
        <f>INDEX(Muuttujat!$J$5:$J$21,MATCH($C153,Muuttujat!$H$5:$H$21,0),1)</f>
        <v>65.853419316547502</v>
      </c>
      <c r="P153" s="342">
        <f>1-(INDEX(Muuttujat!$O$5:$O$21,MATCH($C153,Muuttujat!$N$5:$N$21,0),1))</f>
        <v>0.94</v>
      </c>
      <c r="Q153" s="342">
        <f>INDEX(Muuttujat!$O$5:$O$21,MATCH($C153,Muuttujat!$N$5:$N$21,0),1)</f>
        <v>0.06</v>
      </c>
      <c r="R153" s="148">
        <f>INDEX(Muuttujat!$P$5:$P$21,MATCH($C153,Muuttujat!$N$5:$N$21,0),1)</f>
        <v>6.2623560726971367E-2</v>
      </c>
      <c r="S153" s="149">
        <f t="shared" si="43"/>
        <v>6.6968936999999995</v>
      </c>
      <c r="T153" s="150">
        <f t="shared" si="44"/>
        <v>1.4113008</v>
      </c>
      <c r="U153" s="150">
        <f t="shared" si="45"/>
        <v>0</v>
      </c>
      <c r="V153" s="150">
        <f>IFERROR(INDEX(Työkonekanta!$J$3:$J$27,MATCH($A153,Työkonekanta!$A$3:$A$24,0),1)*$B153*ef_li_ion_akku/1000/1000/INDEX(Työkonekanta!$K$3:$K$27,MATCH($A153,Työkonekanta!$A$3:$A$24,0)),0)</f>
        <v>0</v>
      </c>
      <c r="W153" s="149">
        <f t="shared" si="54"/>
        <v>26.152700163281999</v>
      </c>
      <c r="X153" s="150">
        <f t="shared" si="55"/>
        <v>0.33363294300000002</v>
      </c>
      <c r="Y153" s="151">
        <f t="shared" si="56"/>
        <v>0.13688204081632654</v>
      </c>
      <c r="Z153" s="152">
        <f t="shared" si="49"/>
        <v>8.1081944999999997</v>
      </c>
      <c r="AA153" s="153">
        <f t="shared" si="50"/>
        <v>26.289582204098327</v>
      </c>
      <c r="AB153" s="153">
        <f t="shared" si="51"/>
        <v>26.623215147098328</v>
      </c>
      <c r="AC153" s="154">
        <f t="shared" si="57"/>
        <v>34.397776704098327</v>
      </c>
      <c r="AD153" s="156">
        <f t="shared" si="52"/>
        <v>34.731409647098332</v>
      </c>
      <c r="AE153" s="182"/>
      <c r="AG153" s="2"/>
    </row>
    <row r="154" spans="1:37">
      <c r="A154" s="139">
        <v>2</v>
      </c>
      <c r="B154" s="139" cm="1">
        <f t="array" ref="B154">IFERROR(IF(A154=s1_id_korvattava1,INDEX($AG$3:$AG$19,MATCH(C154,$AF$3:$AF$19,0),1),IF(A154=s1_id_korvaava1,INDEX($AH$3:$AH$19,MATCH(C154,$AF$3:$AF$19,0),1),IF(A154=s1_id_korvattava2,INDEX($AI$3:$AI$19,MATCH(C154,$AF$3:$AF$19,0),1),IF(A154=s1_id_korvaava2,INDEX($AJ$3:$AJ$19,MATCH(C154,$AF$3:$AF$19,0),1),INDEX(Työkonekanta!$F$3:$F$27,MATCH('S1 Sähkö'!$A154,Työkonekanta!$A$3:$A$24,0),1))))),0)</f>
        <v>1</v>
      </c>
      <c r="C154" s="140">
        <v>2024</v>
      </c>
      <c r="D154" s="141" t="str">
        <f>IFERROR(INDEX(Työkonekanta!$D$3:$D$27,MATCH('S1 Sähkö'!$A154,Työkonekanta!$A$3:$A$24,0),1),"undefined")</f>
        <v>pom</v>
      </c>
      <c r="E154" s="145">
        <f>IFERROR(INDEX(Työkonekanta!$G$3:$G$27,MATCH($A154,Työkonekanta!$A$3:$A$24,0),1)*INDEX(Työkonekanta!$H$3:$H$27,MATCH($A154,Työkonekanta!$A$3:$A$24,0),1)*(1+s1_kerroin*($C154-2019))*$B154,0)</f>
        <v>10500</v>
      </c>
      <c r="F154" s="145">
        <f t="shared" si="40"/>
        <v>376950</v>
      </c>
      <c r="G154" s="145">
        <f t="shared" si="46"/>
        <v>354333</v>
      </c>
      <c r="H154" s="145">
        <f t="shared" si="47"/>
        <v>22617</v>
      </c>
      <c r="I154" s="145">
        <f t="shared" si="41"/>
        <v>9870</v>
      </c>
      <c r="J154" s="145">
        <f t="shared" si="42"/>
        <v>659.38775510204084</v>
      </c>
      <c r="K154" s="142" t="str">
        <f t="shared" si="48"/>
        <v>l</v>
      </c>
      <c r="L154" s="146">
        <f>IFERROR(INDEX(Työkonekanta!$I$3:$I$27,MATCH('S1 Sähkö'!$A154,Työkonekanta!$A$3:$A$24,0),1)*(I154+J154)*f_adblue,0)</f>
        <v>526.46938775510205</v>
      </c>
      <c r="M154" s="146">
        <f t="shared" si="53"/>
        <v>0</v>
      </c>
      <c r="N154" s="143" t="str">
        <f>IF(tuulisähkö_vuosi&lt;='S1 Sähkö'!C154,"tuulisähkö",ostosähkö_nyt)</f>
        <v>jäännössähkö</v>
      </c>
      <c r="O154" s="147">
        <f>INDEX(Muuttujat!$J$5:$J$21,MATCH($C154,Muuttujat!$H$5:$H$21,0),1)</f>
        <v>65.853419316547502</v>
      </c>
      <c r="P154" s="342">
        <f>1-(INDEX(Muuttujat!$O$5:$O$21,MATCH($C154,Muuttujat!$N$5:$N$21,0),1))</f>
        <v>0.94</v>
      </c>
      <c r="Q154" s="342">
        <f>INDEX(Muuttujat!$O$5:$O$21,MATCH($C154,Muuttujat!$N$5:$N$21,0),1)</f>
        <v>0.06</v>
      </c>
      <c r="R154" s="148">
        <f>INDEX(Muuttujat!$P$5:$P$21,MATCH($C154,Muuttujat!$N$5:$N$21,0),1)</f>
        <v>6.2623560726971367E-2</v>
      </c>
      <c r="S154" s="149">
        <f t="shared" si="43"/>
        <v>6.6968936999999995</v>
      </c>
      <c r="T154" s="150">
        <f t="shared" si="44"/>
        <v>1.4113008</v>
      </c>
      <c r="U154" s="150">
        <f t="shared" si="45"/>
        <v>0</v>
      </c>
      <c r="V154" s="150">
        <f>IFERROR(INDEX(Työkonekanta!$J$3:$J$27,MATCH($A154,Työkonekanta!$A$3:$A$24,0),1)*$B154*ef_li_ion_akku/1000/1000/INDEX(Työkonekanta!$K$3:$K$27,MATCH($A154,Työkonekanta!$A$3:$A$24,0)),0)</f>
        <v>0</v>
      </c>
      <c r="W154" s="149">
        <f t="shared" si="54"/>
        <v>26.152700163281999</v>
      </c>
      <c r="X154" s="150">
        <f t="shared" si="55"/>
        <v>0.33363294300000002</v>
      </c>
      <c r="Y154" s="151">
        <f t="shared" si="56"/>
        <v>0.13688204081632654</v>
      </c>
      <c r="Z154" s="152">
        <f t="shared" si="49"/>
        <v>8.1081944999999997</v>
      </c>
      <c r="AA154" s="153">
        <f t="shared" si="50"/>
        <v>26.289582204098327</v>
      </c>
      <c r="AB154" s="153">
        <f t="shared" si="51"/>
        <v>26.623215147098328</v>
      </c>
      <c r="AC154" s="154">
        <f t="shared" si="57"/>
        <v>34.397776704098327</v>
      </c>
      <c r="AD154" s="156">
        <f t="shared" si="52"/>
        <v>34.731409647098332</v>
      </c>
      <c r="AE154" s="182"/>
      <c r="AG154" s="2"/>
    </row>
    <row r="155" spans="1:37">
      <c r="A155" s="139">
        <v>3</v>
      </c>
      <c r="B155" s="139" cm="1">
        <f t="array" ref="B155">IFERROR(IF(A155=s1_id_korvattava1,INDEX($AG$3:$AG$19,MATCH(C155,$AF$3:$AF$19,0),1),IF(A155=s1_id_korvaava1,INDEX($AH$3:$AH$19,MATCH(C155,$AF$3:$AF$19,0),1),IF(A155=s1_id_korvattava2,INDEX($AI$3:$AI$19,MATCH(C155,$AF$3:$AF$19,0),1),IF(A155=s1_id_korvaava2,INDEX($AJ$3:$AJ$19,MATCH(C155,$AF$3:$AF$19,0),1),INDEX(Työkonekanta!$F$3:$F$27,MATCH('S1 Sähkö'!$A155,Työkonekanta!$A$3:$A$24,0),1))))),0)</f>
        <v>1</v>
      </c>
      <c r="C155" s="140">
        <v>2024</v>
      </c>
      <c r="D155" s="141" t="str">
        <f>IFERROR(INDEX(Työkonekanta!$D$3:$D$27,MATCH('S1 Sähkö'!$A155,Työkonekanta!$A$3:$A$24,0),1),"undefined")</f>
        <v>pom</v>
      </c>
      <c r="E155" s="145">
        <f>IFERROR(INDEX(Työkonekanta!$G$3:$G$27,MATCH($A155,Työkonekanta!$A$3:$A$24,0),1)*INDEX(Työkonekanta!$H$3:$H$27,MATCH($A155,Työkonekanta!$A$3:$A$24,0),1)*(1+s1_kerroin*($C155-2019))*$B155,0)</f>
        <v>10500</v>
      </c>
      <c r="F155" s="145">
        <f t="shared" si="40"/>
        <v>376950</v>
      </c>
      <c r="G155" s="145">
        <f t="shared" si="46"/>
        <v>354333</v>
      </c>
      <c r="H155" s="145">
        <f t="shared" si="47"/>
        <v>22617</v>
      </c>
      <c r="I155" s="145">
        <f t="shared" si="41"/>
        <v>9870</v>
      </c>
      <c r="J155" s="145">
        <f t="shared" si="42"/>
        <v>659.38775510204084</v>
      </c>
      <c r="K155" s="142" t="str">
        <f t="shared" si="48"/>
        <v>l</v>
      </c>
      <c r="L155" s="146">
        <f>IFERROR(INDEX(Työkonekanta!$I$3:$I$27,MATCH('S1 Sähkö'!$A155,Työkonekanta!$A$3:$A$24,0),1)*(I155+J155)*f_adblue,0)</f>
        <v>526.46938775510205</v>
      </c>
      <c r="M155" s="146">
        <f t="shared" si="53"/>
        <v>0</v>
      </c>
      <c r="N155" s="143" t="str">
        <f>IF(tuulisähkö_vuosi&lt;='S1 Sähkö'!C155,"tuulisähkö",ostosähkö_nyt)</f>
        <v>jäännössähkö</v>
      </c>
      <c r="O155" s="147">
        <f>INDEX(Muuttujat!$J$5:$J$21,MATCH($C155,Muuttujat!$H$5:$H$21,0),1)</f>
        <v>65.853419316547502</v>
      </c>
      <c r="P155" s="342">
        <f>1-(INDEX(Muuttujat!$O$5:$O$21,MATCH($C155,Muuttujat!$N$5:$N$21,0),1))</f>
        <v>0.94</v>
      </c>
      <c r="Q155" s="342">
        <f>INDEX(Muuttujat!$O$5:$O$21,MATCH($C155,Muuttujat!$N$5:$N$21,0),1)</f>
        <v>0.06</v>
      </c>
      <c r="R155" s="148">
        <f>INDEX(Muuttujat!$P$5:$P$21,MATCH($C155,Muuttujat!$N$5:$N$21,0),1)</f>
        <v>6.2623560726971367E-2</v>
      </c>
      <c r="S155" s="149">
        <f t="shared" si="43"/>
        <v>6.6968936999999995</v>
      </c>
      <c r="T155" s="150">
        <f t="shared" si="44"/>
        <v>1.4113008</v>
      </c>
      <c r="U155" s="150">
        <f t="shared" si="45"/>
        <v>0</v>
      </c>
      <c r="V155" s="150">
        <f>IFERROR(INDEX(Työkonekanta!$J$3:$J$27,MATCH($A155,Työkonekanta!$A$3:$A$24,0),1)*$B155*ef_li_ion_akku/1000/1000/INDEX(Työkonekanta!$K$3:$K$27,MATCH($A155,Työkonekanta!$A$3:$A$24,0)),0)</f>
        <v>0</v>
      </c>
      <c r="W155" s="149">
        <f t="shared" si="54"/>
        <v>26.152700163281999</v>
      </c>
      <c r="X155" s="150">
        <f t="shared" si="55"/>
        <v>0.33363294300000002</v>
      </c>
      <c r="Y155" s="151">
        <f t="shared" si="56"/>
        <v>0.13688204081632654</v>
      </c>
      <c r="Z155" s="152">
        <f t="shared" si="49"/>
        <v>8.1081944999999997</v>
      </c>
      <c r="AA155" s="153">
        <f t="shared" si="50"/>
        <v>26.289582204098327</v>
      </c>
      <c r="AB155" s="153">
        <f t="shared" si="51"/>
        <v>26.623215147098328</v>
      </c>
      <c r="AC155" s="154">
        <f t="shared" si="57"/>
        <v>34.397776704098327</v>
      </c>
      <c r="AD155" s="156">
        <f t="shared" si="52"/>
        <v>34.731409647098332</v>
      </c>
      <c r="AE155" s="182"/>
      <c r="AG155" s="2"/>
    </row>
    <row r="156" spans="1:37">
      <c r="A156" s="139">
        <v>4</v>
      </c>
      <c r="B156" s="139" cm="1">
        <f t="array" ref="B156">IFERROR(IF(A156=s1_id_korvattava1,INDEX($AG$3:$AG$19,MATCH(C156,$AF$3:$AF$19,0),1),IF(A156=s1_id_korvaava1,INDEX($AH$3:$AH$19,MATCH(C156,$AF$3:$AF$19,0),1),IF(A156=s1_id_korvattava2,INDEX($AI$3:$AI$19,MATCH(C156,$AF$3:$AF$19,0),1),IF(A156=s1_id_korvaava2,INDEX($AJ$3:$AJ$19,MATCH(C156,$AF$3:$AF$19,0),1),INDEX(Työkonekanta!$F$3:$F$27,MATCH('S1 Sähkö'!$A156,Työkonekanta!$A$3:$A$24,0),1))))),0)</f>
        <v>1</v>
      </c>
      <c r="C156" s="140">
        <v>2024</v>
      </c>
      <c r="D156" s="141" t="str">
        <f>IFERROR(INDEX(Työkonekanta!$D$3:$D$27,MATCH('S1 Sähkö'!$A156,Työkonekanta!$A$3:$A$24,0),1),"undefined")</f>
        <v>pom</v>
      </c>
      <c r="E156" s="145">
        <f>IFERROR(INDEX(Työkonekanta!$G$3:$G$27,MATCH($A156,Työkonekanta!$A$3:$A$24,0),1)*INDEX(Työkonekanta!$H$3:$H$27,MATCH($A156,Työkonekanta!$A$3:$A$24,0),1)*(1+s1_kerroin*($C156-2019))*$B156,0)</f>
        <v>10500</v>
      </c>
      <c r="F156" s="145">
        <f t="shared" si="40"/>
        <v>376950</v>
      </c>
      <c r="G156" s="145">
        <f t="shared" si="46"/>
        <v>354333</v>
      </c>
      <c r="H156" s="145">
        <f t="shared" si="47"/>
        <v>22617</v>
      </c>
      <c r="I156" s="145">
        <f t="shared" si="41"/>
        <v>9870</v>
      </c>
      <c r="J156" s="145">
        <f t="shared" si="42"/>
        <v>659.38775510204084</v>
      </c>
      <c r="K156" s="142" t="str">
        <f t="shared" si="48"/>
        <v>l</v>
      </c>
      <c r="L156" s="146">
        <f>IFERROR(INDEX(Työkonekanta!$I$3:$I$27,MATCH('S1 Sähkö'!$A156,Työkonekanta!$A$3:$A$24,0),1)*(I156+J156)*f_adblue,0)</f>
        <v>526.46938775510205</v>
      </c>
      <c r="M156" s="146">
        <f t="shared" si="53"/>
        <v>0</v>
      </c>
      <c r="N156" s="143" t="str">
        <f>IF(tuulisähkö_vuosi&lt;='S1 Sähkö'!C156,"tuulisähkö",ostosähkö_nyt)</f>
        <v>jäännössähkö</v>
      </c>
      <c r="O156" s="147">
        <f>INDEX(Muuttujat!$J$5:$J$21,MATCH($C156,Muuttujat!$H$5:$H$21,0),1)</f>
        <v>65.853419316547502</v>
      </c>
      <c r="P156" s="342">
        <f>1-(INDEX(Muuttujat!$O$5:$O$21,MATCH($C156,Muuttujat!$N$5:$N$21,0),1))</f>
        <v>0.94</v>
      </c>
      <c r="Q156" s="342">
        <f>INDEX(Muuttujat!$O$5:$O$21,MATCH($C156,Muuttujat!$N$5:$N$21,0),1)</f>
        <v>0.06</v>
      </c>
      <c r="R156" s="148">
        <f>INDEX(Muuttujat!$P$5:$P$21,MATCH($C156,Muuttujat!$N$5:$N$21,0),1)</f>
        <v>6.2623560726971367E-2</v>
      </c>
      <c r="S156" s="149">
        <f t="shared" si="43"/>
        <v>6.6968936999999995</v>
      </c>
      <c r="T156" s="150">
        <f t="shared" si="44"/>
        <v>1.4113008</v>
      </c>
      <c r="U156" s="150">
        <f t="shared" si="45"/>
        <v>0</v>
      </c>
      <c r="V156" s="150">
        <f>IFERROR(INDEX(Työkonekanta!$J$3:$J$27,MATCH($A156,Työkonekanta!$A$3:$A$24,0),1)*$B156*ef_li_ion_akku/1000/1000/INDEX(Työkonekanta!$K$3:$K$27,MATCH($A156,Työkonekanta!$A$3:$A$24,0)),0)</f>
        <v>0</v>
      </c>
      <c r="W156" s="149">
        <f t="shared" si="54"/>
        <v>26.152700163281999</v>
      </c>
      <c r="X156" s="150">
        <f t="shared" si="55"/>
        <v>0.33363294300000002</v>
      </c>
      <c r="Y156" s="151">
        <f t="shared" si="56"/>
        <v>0.13688204081632654</v>
      </c>
      <c r="Z156" s="152">
        <f t="shared" si="49"/>
        <v>8.1081944999999997</v>
      </c>
      <c r="AA156" s="153">
        <f t="shared" si="50"/>
        <v>26.289582204098327</v>
      </c>
      <c r="AB156" s="153">
        <f t="shared" si="51"/>
        <v>26.623215147098328</v>
      </c>
      <c r="AC156" s="154">
        <f t="shared" si="57"/>
        <v>34.397776704098327</v>
      </c>
      <c r="AD156" s="156">
        <f t="shared" si="52"/>
        <v>34.731409647098332</v>
      </c>
      <c r="AE156" s="182"/>
      <c r="AG156" s="2"/>
    </row>
    <row r="157" spans="1:37">
      <c r="A157" s="139">
        <v>5</v>
      </c>
      <c r="B157" s="139" cm="1">
        <f t="array" ref="B157">IFERROR(IF(A157=s1_id_korvattava1,INDEX($AG$3:$AG$19,MATCH(C157,$AF$3:$AF$19,0),1),IF(A157=s1_id_korvaava1,INDEX($AH$3:$AH$19,MATCH(C157,$AF$3:$AF$19,0),1),IF(A157=s1_id_korvattava2,INDEX($AI$3:$AI$19,MATCH(C157,$AF$3:$AF$19,0),1),IF(A157=s1_id_korvaava2,INDEX($AJ$3:$AJ$19,MATCH(C157,$AF$3:$AF$19,0),1),INDEX(Työkonekanta!$F$3:$F$27,MATCH('S1 Sähkö'!$A157,Työkonekanta!$A$3:$A$24,0),1))))),0)</f>
        <v>0</v>
      </c>
      <c r="C157" s="140">
        <v>2024</v>
      </c>
      <c r="D157" s="141" t="str">
        <f>IFERROR(INDEX(Työkonekanta!$D$3:$D$27,MATCH('S1 Sähkö'!$A157,Työkonekanta!$A$3:$A$24,0),1),"undefined")</f>
        <v>sähkö</v>
      </c>
      <c r="E157" s="145">
        <f>IFERROR(INDEX(Työkonekanta!$G$3:$G$27,MATCH($A157,Työkonekanta!$A$3:$A$24,0),1)*INDEX(Työkonekanta!$H$3:$H$27,MATCH($A157,Työkonekanta!$A$3:$A$24,0),1)*(1+s1_kerroin*($C157-2019))*$B157,0)</f>
        <v>0</v>
      </c>
      <c r="F157" s="145">
        <f t="shared" si="40"/>
        <v>0</v>
      </c>
      <c r="G157" s="145">
        <f t="shared" si="46"/>
        <v>0</v>
      </c>
      <c r="H157" s="145">
        <f t="shared" si="47"/>
        <v>0</v>
      </c>
      <c r="I157" s="145">
        <f t="shared" si="41"/>
        <v>0</v>
      </c>
      <c r="J157" s="145">
        <f t="shared" si="42"/>
        <v>0</v>
      </c>
      <c r="K157" s="142" t="str">
        <f t="shared" si="48"/>
        <v>kWh</v>
      </c>
      <c r="L157" s="146">
        <f>IFERROR(INDEX(Työkonekanta!$I$3:$I$27,MATCH('S1 Sähkö'!$A157,Työkonekanta!$A$3:$A$24,0),1)*(I157+J157)*f_adblue,0)</f>
        <v>0</v>
      </c>
      <c r="M157" s="146">
        <f t="shared" si="53"/>
        <v>0</v>
      </c>
      <c r="N157" s="143" t="str">
        <f>IF(tuulisähkö_vuosi&lt;='S1 Sähkö'!C157,"tuulisähkö",ostosähkö_nyt)</f>
        <v>jäännössähkö</v>
      </c>
      <c r="O157" s="147">
        <f>INDEX(Muuttujat!$J$5:$J$21,MATCH($C157,Muuttujat!$H$5:$H$21,0),1)</f>
        <v>65.853419316547502</v>
      </c>
      <c r="P157" s="342">
        <f>1-(INDEX(Muuttujat!$O$5:$O$21,MATCH($C157,Muuttujat!$N$5:$N$21,0),1))</f>
        <v>0.94</v>
      </c>
      <c r="Q157" s="342">
        <f>INDEX(Muuttujat!$O$5:$O$21,MATCH($C157,Muuttujat!$N$5:$N$21,0),1)</f>
        <v>0.06</v>
      </c>
      <c r="R157" s="148">
        <f>INDEX(Muuttujat!$P$5:$P$21,MATCH($C157,Muuttujat!$N$5:$N$21,0),1)</f>
        <v>6.2623560726971367E-2</v>
      </c>
      <c r="S157" s="149">
        <f t="shared" si="43"/>
        <v>0</v>
      </c>
      <c r="T157" s="150">
        <f t="shared" si="44"/>
        <v>0</v>
      </c>
      <c r="U157" s="150">
        <f t="shared" si="45"/>
        <v>0</v>
      </c>
      <c r="V157" s="150">
        <f>IFERROR(INDEX(Työkonekanta!$J$3:$J$27,MATCH($A157,Työkonekanta!$A$3:$A$24,0),1)*$B157*ef_li_ion_akku/1000/1000/INDEX(Työkonekanta!$K$3:$K$27,MATCH($A157,Työkonekanta!$A$3:$A$24,0)),0)</f>
        <v>0</v>
      </c>
      <c r="W157" s="149">
        <f t="shared" si="54"/>
        <v>0</v>
      </c>
      <c r="X157" s="150">
        <f t="shared" si="55"/>
        <v>0</v>
      </c>
      <c r="Y157" s="151">
        <f t="shared" si="56"/>
        <v>0</v>
      </c>
      <c r="Z157" s="152">
        <f t="shared" si="49"/>
        <v>0</v>
      </c>
      <c r="AA157" s="153">
        <f t="shared" si="50"/>
        <v>0</v>
      </c>
      <c r="AB157" s="153">
        <f t="shared" si="51"/>
        <v>0</v>
      </c>
      <c r="AC157" s="154">
        <f t="shared" si="57"/>
        <v>0</v>
      </c>
      <c r="AD157" s="156">
        <f t="shared" si="52"/>
        <v>0</v>
      </c>
      <c r="AE157" s="182"/>
      <c r="AG157" s="2"/>
    </row>
    <row r="158" spans="1:37">
      <c r="A158" s="139">
        <v>6</v>
      </c>
      <c r="B158" s="139" cm="1">
        <f t="array" ref="B158">IFERROR(IF(A158=s1_id_korvattava1,INDEX($AG$3:$AG$19,MATCH(C158,$AF$3:$AF$19,0),1),IF(A158=s1_id_korvaava1,INDEX($AH$3:$AH$19,MATCH(C158,$AF$3:$AF$19,0),1),IF(A158=s1_id_korvattava2,INDEX($AI$3:$AI$19,MATCH(C158,$AF$3:$AF$19,0),1),IF(A158=s1_id_korvaava2,INDEX($AJ$3:$AJ$19,MATCH(C158,$AF$3:$AF$19,0),1),INDEX(Työkonekanta!$F$3:$F$27,MATCH('S1 Sähkö'!$A158,Työkonekanta!$A$3:$A$24,0),1))))),0)</f>
        <v>0</v>
      </c>
      <c r="C158" s="140">
        <v>2024</v>
      </c>
      <c r="D158" s="141" t="str">
        <f>IFERROR(INDEX(Työkonekanta!$D$3:$D$27,MATCH('S1 Sähkö'!$A158,Työkonekanta!$A$3:$A$24,0),1),"undefined")</f>
        <v>sähkö</v>
      </c>
      <c r="E158" s="145">
        <f>IFERROR(INDEX(Työkonekanta!$G$3:$G$27,MATCH($A158,Työkonekanta!$A$3:$A$24,0),1)*INDEX(Työkonekanta!$H$3:$H$27,MATCH($A158,Työkonekanta!$A$3:$A$24,0),1)*(1+s1_kerroin*($C158-2019))*$B158,0)</f>
        <v>0</v>
      </c>
      <c r="F158" s="145">
        <f t="shared" si="40"/>
        <v>0</v>
      </c>
      <c r="G158" s="145">
        <f t="shared" si="46"/>
        <v>0</v>
      </c>
      <c r="H158" s="145">
        <f t="shared" si="47"/>
        <v>0</v>
      </c>
      <c r="I158" s="145">
        <f t="shared" si="41"/>
        <v>0</v>
      </c>
      <c r="J158" s="145">
        <f t="shared" si="42"/>
        <v>0</v>
      </c>
      <c r="K158" s="142" t="str">
        <f t="shared" si="48"/>
        <v>kWh</v>
      </c>
      <c r="L158" s="146">
        <f>IFERROR(INDEX(Työkonekanta!$I$3:$I$27,MATCH('S1 Sähkö'!$A158,Työkonekanta!$A$3:$A$24,0),1)*(I158+J158)*f_adblue,0)</f>
        <v>0</v>
      </c>
      <c r="M158" s="146">
        <f t="shared" si="53"/>
        <v>0</v>
      </c>
      <c r="N158" s="143" t="str">
        <f>IF(tuulisähkö_vuosi&lt;='S1 Sähkö'!C158,"tuulisähkö",ostosähkö_nyt)</f>
        <v>jäännössähkö</v>
      </c>
      <c r="O158" s="147">
        <f>INDEX(Muuttujat!$J$5:$J$21,MATCH($C158,Muuttujat!$H$5:$H$21,0),1)</f>
        <v>65.853419316547502</v>
      </c>
      <c r="P158" s="342">
        <f>1-(INDEX(Muuttujat!$O$5:$O$21,MATCH($C158,Muuttujat!$N$5:$N$21,0),1))</f>
        <v>0.94</v>
      </c>
      <c r="Q158" s="342">
        <f>INDEX(Muuttujat!$O$5:$O$21,MATCH($C158,Muuttujat!$N$5:$N$21,0),1)</f>
        <v>0.06</v>
      </c>
      <c r="R158" s="148">
        <f>INDEX(Muuttujat!$P$5:$P$21,MATCH($C158,Muuttujat!$N$5:$N$21,0),1)</f>
        <v>6.2623560726971367E-2</v>
      </c>
      <c r="S158" s="149">
        <f t="shared" si="43"/>
        <v>0</v>
      </c>
      <c r="T158" s="150">
        <f t="shared" si="44"/>
        <v>0</v>
      </c>
      <c r="U158" s="150">
        <f t="shared" si="45"/>
        <v>0</v>
      </c>
      <c r="V158" s="150">
        <f>IFERROR(INDEX(Työkonekanta!$J$3:$J$27,MATCH($A158,Työkonekanta!$A$3:$A$24,0),1)*$B158*ef_li_ion_akku/1000/1000/INDEX(Työkonekanta!$K$3:$K$27,MATCH($A158,Työkonekanta!$A$3:$A$24,0)),0)</f>
        <v>0</v>
      </c>
      <c r="W158" s="149">
        <f t="shared" si="54"/>
        <v>0</v>
      </c>
      <c r="X158" s="150">
        <f t="shared" si="55"/>
        <v>0</v>
      </c>
      <c r="Y158" s="151">
        <f t="shared" si="56"/>
        <v>0</v>
      </c>
      <c r="Z158" s="152">
        <f t="shared" si="49"/>
        <v>0</v>
      </c>
      <c r="AA158" s="153">
        <f t="shared" si="50"/>
        <v>0</v>
      </c>
      <c r="AB158" s="153">
        <f t="shared" si="51"/>
        <v>0</v>
      </c>
      <c r="AC158" s="154">
        <f t="shared" si="57"/>
        <v>0</v>
      </c>
      <c r="AD158" s="156">
        <f t="shared" si="52"/>
        <v>0</v>
      </c>
      <c r="AE158" s="182"/>
      <c r="AG158" s="2"/>
    </row>
    <row r="159" spans="1:37">
      <c r="A159" s="139">
        <v>7</v>
      </c>
      <c r="B159" s="139" cm="1">
        <f t="array" ref="B159">IFERROR(IF(A159=s1_id_korvattava1,INDEX($AG$3:$AG$19,MATCH(C159,$AF$3:$AF$19,0),1),IF(A159=s1_id_korvaava1,INDEX($AH$3:$AH$19,MATCH(C159,$AF$3:$AF$19,0),1),IF(A159=s1_id_korvattava2,INDEX($AI$3:$AI$19,MATCH(C159,$AF$3:$AF$19,0),1),IF(A159=s1_id_korvaava2,INDEX($AJ$3:$AJ$19,MATCH(C159,$AF$3:$AF$19,0),1),INDEX(Työkonekanta!$F$3:$F$27,MATCH('S1 Sähkö'!$A159,Työkonekanta!$A$3:$A$24,0),1))))),0)</f>
        <v>1</v>
      </c>
      <c r="C159" s="140">
        <v>2024</v>
      </c>
      <c r="D159" s="141" t="str">
        <f>IFERROR(INDEX(Työkonekanta!$D$3:$D$27,MATCH('S1 Sähkö'!$A159,Työkonekanta!$A$3:$A$24,0),1),"undefined")</f>
        <v>pom</v>
      </c>
      <c r="E159" s="145">
        <f>IFERROR(INDEX(Työkonekanta!$G$3:$G$27,MATCH($A159,Työkonekanta!$A$3:$A$24,0),1)*INDEX(Työkonekanta!$H$3:$H$27,MATCH($A159,Työkonekanta!$A$3:$A$24,0),1)*(1+s1_kerroin*($C159-2019))*$B159,0)</f>
        <v>10500</v>
      </c>
      <c r="F159" s="145">
        <f t="shared" si="40"/>
        <v>376950</v>
      </c>
      <c r="G159" s="145">
        <f t="shared" si="46"/>
        <v>354333</v>
      </c>
      <c r="H159" s="145">
        <f t="shared" si="47"/>
        <v>22617</v>
      </c>
      <c r="I159" s="145">
        <f t="shared" si="41"/>
        <v>9870</v>
      </c>
      <c r="J159" s="145">
        <f t="shared" si="42"/>
        <v>659.38775510204084</v>
      </c>
      <c r="K159" s="142" t="str">
        <f t="shared" si="48"/>
        <v>l</v>
      </c>
      <c r="L159" s="146">
        <f>IFERROR(INDEX(Työkonekanta!$I$3:$I$27,MATCH('S1 Sähkö'!$A159,Työkonekanta!$A$3:$A$24,0),1)*(I159+J159)*f_adblue,0)</f>
        <v>0</v>
      </c>
      <c r="M159" s="146">
        <f t="shared" si="53"/>
        <v>0</v>
      </c>
      <c r="N159" s="143" t="str">
        <f>IF(tuulisähkö_vuosi&lt;='S1 Sähkö'!C159,"tuulisähkö",ostosähkö_nyt)</f>
        <v>jäännössähkö</v>
      </c>
      <c r="O159" s="147">
        <f>INDEX(Muuttujat!$J$5:$J$21,MATCH($C159,Muuttujat!$H$5:$H$21,0),1)</f>
        <v>65.853419316547502</v>
      </c>
      <c r="P159" s="342">
        <f>1-(INDEX(Muuttujat!$O$5:$O$21,MATCH($C159,Muuttujat!$N$5:$N$21,0),1))</f>
        <v>0.94</v>
      </c>
      <c r="Q159" s="342">
        <f>INDEX(Muuttujat!$O$5:$O$21,MATCH($C159,Muuttujat!$N$5:$N$21,0),1)</f>
        <v>0.06</v>
      </c>
      <c r="R159" s="148">
        <f>INDEX(Muuttujat!$P$5:$P$21,MATCH($C159,Muuttujat!$N$5:$N$21,0),1)</f>
        <v>6.2623560726971367E-2</v>
      </c>
      <c r="S159" s="149">
        <f t="shared" si="43"/>
        <v>6.6968936999999995</v>
      </c>
      <c r="T159" s="150">
        <f t="shared" si="44"/>
        <v>1.4113008</v>
      </c>
      <c r="U159" s="150">
        <f t="shared" si="45"/>
        <v>0</v>
      </c>
      <c r="V159" s="150">
        <f>IFERROR(INDEX(Työkonekanta!$J$3:$J$27,MATCH($A159,Työkonekanta!$A$3:$A$24,0),1)*$B159*ef_li_ion_akku/1000/1000/INDEX(Työkonekanta!$K$3:$K$27,MATCH($A159,Työkonekanta!$A$3:$A$24,0)),0)</f>
        <v>0</v>
      </c>
      <c r="W159" s="149">
        <f t="shared" si="54"/>
        <v>26.152700163281999</v>
      </c>
      <c r="X159" s="150">
        <f t="shared" si="55"/>
        <v>0.33363294300000002</v>
      </c>
      <c r="Y159" s="151">
        <f t="shared" si="56"/>
        <v>0</v>
      </c>
      <c r="Z159" s="152">
        <f t="shared" si="49"/>
        <v>8.1081944999999997</v>
      </c>
      <c r="AA159" s="153">
        <f t="shared" si="50"/>
        <v>26.152700163281999</v>
      </c>
      <c r="AB159" s="153">
        <f t="shared" si="51"/>
        <v>26.486333106282</v>
      </c>
      <c r="AC159" s="154">
        <f t="shared" si="57"/>
        <v>34.260894663282002</v>
      </c>
      <c r="AD159" s="156">
        <f t="shared" si="52"/>
        <v>34.594527606282</v>
      </c>
      <c r="AE159" s="182"/>
      <c r="AG159" s="2"/>
    </row>
    <row r="160" spans="1:37">
      <c r="A160" s="139">
        <v>8</v>
      </c>
      <c r="B160" s="139" cm="1">
        <f t="array" ref="B160">IFERROR(IF(A160=s1_id_korvattava1,INDEX($AG$3:$AG$19,MATCH(C160,$AF$3:$AF$19,0),1),IF(A160=s1_id_korvaava1,INDEX($AH$3:$AH$19,MATCH(C160,$AF$3:$AF$19,0),1),IF(A160=s1_id_korvattava2,INDEX($AI$3:$AI$19,MATCH(C160,$AF$3:$AF$19,0),1),IF(A160=s1_id_korvaava2,INDEX($AJ$3:$AJ$19,MATCH(C160,$AF$3:$AF$19,0),1),INDEX(Työkonekanta!$F$3:$F$27,MATCH('S1 Sähkö'!$A160,Työkonekanta!$A$3:$A$24,0),1))))),0)</f>
        <v>1</v>
      </c>
      <c r="C160" s="140">
        <v>2024</v>
      </c>
      <c r="D160" s="141" t="str">
        <f>IFERROR(INDEX(Työkonekanta!$D$3:$D$27,MATCH('S1 Sähkö'!$A160,Työkonekanta!$A$3:$A$24,0),1),"undefined")</f>
        <v>pom</v>
      </c>
      <c r="E160" s="145">
        <f>IFERROR(INDEX(Työkonekanta!$G$3:$G$27,MATCH($A160,Työkonekanta!$A$3:$A$24,0),1)*INDEX(Työkonekanta!$H$3:$H$27,MATCH($A160,Työkonekanta!$A$3:$A$24,0),1)*(1+s1_kerroin*($C160-2019))*$B160,0)</f>
        <v>10500</v>
      </c>
      <c r="F160" s="145">
        <f t="shared" si="40"/>
        <v>376950</v>
      </c>
      <c r="G160" s="145">
        <f t="shared" si="46"/>
        <v>354333</v>
      </c>
      <c r="H160" s="145">
        <f t="shared" si="47"/>
        <v>22617</v>
      </c>
      <c r="I160" s="145">
        <f t="shared" si="41"/>
        <v>9870</v>
      </c>
      <c r="J160" s="145">
        <f t="shared" si="42"/>
        <v>659.38775510204084</v>
      </c>
      <c r="K160" s="142" t="str">
        <f t="shared" si="48"/>
        <v>l</v>
      </c>
      <c r="L160" s="146">
        <f>IFERROR(INDEX(Työkonekanta!$I$3:$I$27,MATCH('S1 Sähkö'!$A160,Työkonekanta!$A$3:$A$24,0),1)*(I160+J160)*f_adblue,0)</f>
        <v>526.46938775510205</v>
      </c>
      <c r="M160" s="146">
        <f t="shared" si="53"/>
        <v>0</v>
      </c>
      <c r="N160" s="143" t="str">
        <f>IF(tuulisähkö_vuosi&lt;='S1 Sähkö'!C160,"tuulisähkö",ostosähkö_nyt)</f>
        <v>jäännössähkö</v>
      </c>
      <c r="O160" s="147">
        <f>INDEX(Muuttujat!$J$5:$J$21,MATCH($C160,Muuttujat!$H$5:$H$21,0),1)</f>
        <v>65.853419316547502</v>
      </c>
      <c r="P160" s="342">
        <f>1-(INDEX(Muuttujat!$O$5:$O$21,MATCH($C160,Muuttujat!$N$5:$N$21,0),1))</f>
        <v>0.94</v>
      </c>
      <c r="Q160" s="342">
        <f>INDEX(Muuttujat!$O$5:$O$21,MATCH($C160,Muuttujat!$N$5:$N$21,0),1)</f>
        <v>0.06</v>
      </c>
      <c r="R160" s="148">
        <f>INDEX(Muuttujat!$P$5:$P$21,MATCH($C160,Muuttujat!$N$5:$N$21,0),1)</f>
        <v>6.2623560726971367E-2</v>
      </c>
      <c r="S160" s="149">
        <f t="shared" si="43"/>
        <v>6.6968936999999995</v>
      </c>
      <c r="T160" s="150">
        <f t="shared" si="44"/>
        <v>1.4113008</v>
      </c>
      <c r="U160" s="150">
        <f t="shared" si="45"/>
        <v>0</v>
      </c>
      <c r="V160" s="150">
        <f>IFERROR(INDEX(Työkonekanta!$J$3:$J$27,MATCH($A160,Työkonekanta!$A$3:$A$24,0),1)*$B160*ef_li_ion_akku/1000/1000/INDEX(Työkonekanta!$K$3:$K$27,MATCH($A160,Työkonekanta!$A$3:$A$24,0)),0)</f>
        <v>0</v>
      </c>
      <c r="W160" s="149">
        <f t="shared" si="54"/>
        <v>26.152700163281999</v>
      </c>
      <c r="X160" s="150">
        <f t="shared" si="55"/>
        <v>0.33363294300000002</v>
      </c>
      <c r="Y160" s="151">
        <f t="shared" si="56"/>
        <v>0.13688204081632654</v>
      </c>
      <c r="Z160" s="152">
        <f t="shared" si="49"/>
        <v>8.1081944999999997</v>
      </c>
      <c r="AA160" s="153">
        <f t="shared" si="50"/>
        <v>26.289582204098327</v>
      </c>
      <c r="AB160" s="153">
        <f t="shared" si="51"/>
        <v>26.623215147098328</v>
      </c>
      <c r="AC160" s="154">
        <f t="shared" si="57"/>
        <v>34.397776704098327</v>
      </c>
      <c r="AD160" s="156">
        <f t="shared" si="52"/>
        <v>34.731409647098332</v>
      </c>
      <c r="AE160" s="182"/>
      <c r="AG160" s="2"/>
    </row>
    <row r="161" spans="1:37">
      <c r="A161" s="139">
        <v>9</v>
      </c>
      <c r="B161" s="139" cm="1">
        <f t="array" ref="B161">IFERROR(IF(A161=s1_id_korvattava1,INDEX($AG$3:$AG$19,MATCH(C161,$AF$3:$AF$19,0),1),IF(A161=s1_id_korvaava1,INDEX($AH$3:$AH$19,MATCH(C161,$AF$3:$AF$19,0),1),IF(A161=s1_id_korvattava2,INDEX($AI$3:$AI$19,MATCH(C161,$AF$3:$AF$19,0),1),IF(A161=s1_id_korvaava2,INDEX($AJ$3:$AJ$19,MATCH(C161,$AF$3:$AF$19,0),1),INDEX(Työkonekanta!$F$3:$F$27,MATCH('S1 Sähkö'!$A161,Työkonekanta!$A$3:$A$24,0),1))))),0)</f>
        <v>0</v>
      </c>
      <c r="C161" s="140">
        <v>2024</v>
      </c>
      <c r="D161" s="141" t="str">
        <f>IFERROR(INDEX(Työkonekanta!$D$3:$D$27,MATCH('S1 Sähkö'!$A161,Työkonekanta!$A$3:$A$24,0),1),"undefined")</f>
        <v>sähkö</v>
      </c>
      <c r="E161" s="145">
        <f>IFERROR(INDEX(Työkonekanta!$G$3:$G$27,MATCH($A161,Työkonekanta!$A$3:$A$24,0),1)*INDEX(Työkonekanta!$H$3:$H$27,MATCH($A161,Työkonekanta!$A$3:$A$24,0),1)*(1+s1_kerroin*($C161-2019))*$B161,0)</f>
        <v>0</v>
      </c>
      <c r="F161" s="145">
        <f t="shared" si="40"/>
        <v>0</v>
      </c>
      <c r="G161" s="145">
        <f t="shared" si="46"/>
        <v>0</v>
      </c>
      <c r="H161" s="145">
        <f t="shared" si="47"/>
        <v>0</v>
      </c>
      <c r="I161" s="145">
        <f t="shared" si="41"/>
        <v>0</v>
      </c>
      <c r="J161" s="145">
        <f t="shared" si="42"/>
        <v>0</v>
      </c>
      <c r="K161" s="142" t="str">
        <f t="shared" si="48"/>
        <v>kWh</v>
      </c>
      <c r="L161" s="146">
        <f>IFERROR(INDEX(Työkonekanta!$I$3:$I$27,MATCH('S1 Sähkö'!$A161,Työkonekanta!$A$3:$A$24,0),1)*(I161+J161)*f_adblue,0)</f>
        <v>0</v>
      </c>
      <c r="M161" s="146">
        <f t="shared" si="53"/>
        <v>0</v>
      </c>
      <c r="N161" s="143" t="str">
        <f>IF(tuulisähkö_vuosi&lt;='S1 Sähkö'!C161,"tuulisähkö",ostosähkö_nyt)</f>
        <v>jäännössähkö</v>
      </c>
      <c r="O161" s="147">
        <f>INDEX(Muuttujat!$J$5:$J$21,MATCH($C161,Muuttujat!$H$5:$H$21,0),1)</f>
        <v>65.853419316547502</v>
      </c>
      <c r="P161" s="342">
        <f>1-(INDEX(Muuttujat!$O$5:$O$21,MATCH($C161,Muuttujat!$N$5:$N$21,0),1))</f>
        <v>0.94</v>
      </c>
      <c r="Q161" s="342">
        <f>INDEX(Muuttujat!$O$5:$O$21,MATCH($C161,Muuttujat!$N$5:$N$21,0),1)</f>
        <v>0.06</v>
      </c>
      <c r="R161" s="148">
        <f>INDEX(Muuttujat!$P$5:$P$21,MATCH($C161,Muuttujat!$N$5:$N$21,0),1)</f>
        <v>6.2623560726971367E-2</v>
      </c>
      <c r="S161" s="149">
        <f t="shared" si="43"/>
        <v>0</v>
      </c>
      <c r="T161" s="150">
        <f t="shared" si="44"/>
        <v>0</v>
      </c>
      <c r="U161" s="150">
        <f t="shared" si="45"/>
        <v>0</v>
      </c>
      <c r="V161" s="150">
        <f>IFERROR(INDEX(Työkonekanta!$J$3:$J$27,MATCH($A161,Työkonekanta!$A$3:$A$24,0),1)*$B161*ef_li_ion_akku/1000/1000/INDEX(Työkonekanta!$K$3:$K$27,MATCH($A161,Työkonekanta!$A$3:$A$24,0)),0)</f>
        <v>0</v>
      </c>
      <c r="W161" s="149">
        <f t="shared" si="54"/>
        <v>0</v>
      </c>
      <c r="X161" s="150">
        <f t="shared" si="55"/>
        <v>0</v>
      </c>
      <c r="Y161" s="151">
        <f t="shared" si="56"/>
        <v>0</v>
      </c>
      <c r="Z161" s="152">
        <f t="shared" si="49"/>
        <v>0</v>
      </c>
      <c r="AA161" s="153">
        <f t="shared" si="50"/>
        <v>0</v>
      </c>
      <c r="AB161" s="153">
        <f t="shared" si="51"/>
        <v>0</v>
      </c>
      <c r="AC161" s="154">
        <f t="shared" si="57"/>
        <v>0</v>
      </c>
      <c r="AD161" s="156">
        <f t="shared" si="52"/>
        <v>0</v>
      </c>
      <c r="AE161" s="182"/>
      <c r="AG161" s="2"/>
    </row>
    <row r="162" spans="1:37">
      <c r="A162" s="139">
        <v>10</v>
      </c>
      <c r="B162" s="139" cm="1">
        <f t="array" ref="B162">IFERROR(IF(A162=s1_id_korvattava1,INDEX($AG$3:$AG$19,MATCH(C162,$AF$3:$AF$19,0),1),IF(A162=s1_id_korvaava1,INDEX($AH$3:$AH$19,MATCH(C162,$AF$3:$AF$19,0),1),IF(A162=s1_id_korvattava2,INDEX($AI$3:$AI$19,MATCH(C162,$AF$3:$AF$19,0),1),IF(A162=s1_id_korvaava2,INDEX($AJ$3:$AJ$19,MATCH(C162,$AF$3:$AF$19,0),1),INDEX(Työkonekanta!$F$3:$F$27,MATCH('S1 Sähkö'!$A162,Työkonekanta!$A$3:$A$24,0),1))))),0)</f>
        <v>0</v>
      </c>
      <c r="C162" s="140">
        <v>2024</v>
      </c>
      <c r="D162" s="141" t="str">
        <f>IFERROR(INDEX(Työkonekanta!$D$3:$D$27,MATCH('S1 Sähkö'!$A162,Työkonekanta!$A$3:$A$24,0),1),"undefined")</f>
        <v>sähkö</v>
      </c>
      <c r="E162" s="145">
        <f>IFERROR(INDEX(Työkonekanta!$G$3:$G$27,MATCH($A162,Työkonekanta!$A$3:$A$24,0),1)*INDEX(Työkonekanta!$H$3:$H$27,MATCH($A162,Työkonekanta!$A$3:$A$24,0),1)*(1+s1_kerroin*($C162-2019))*$B162,0)</f>
        <v>0</v>
      </c>
      <c r="F162" s="145">
        <f t="shared" si="40"/>
        <v>0</v>
      </c>
      <c r="G162" s="145">
        <f t="shared" si="46"/>
        <v>0</v>
      </c>
      <c r="H162" s="145">
        <f t="shared" si="47"/>
        <v>0</v>
      </c>
      <c r="I162" s="145">
        <f t="shared" si="41"/>
        <v>0</v>
      </c>
      <c r="J162" s="145">
        <f t="shared" si="42"/>
        <v>0</v>
      </c>
      <c r="K162" s="142" t="str">
        <f t="shared" si="48"/>
        <v>kWh</v>
      </c>
      <c r="L162" s="146">
        <f>IFERROR(INDEX(Työkonekanta!$I$3:$I$27,MATCH('S1 Sähkö'!$A162,Työkonekanta!$A$3:$A$24,0),1)*(I162+J162)*f_adblue,0)</f>
        <v>0</v>
      </c>
      <c r="M162" s="146">
        <f t="shared" si="53"/>
        <v>0</v>
      </c>
      <c r="N162" s="143" t="str">
        <f>IF(tuulisähkö_vuosi&lt;='S1 Sähkö'!C162,"tuulisähkö",ostosähkö_nyt)</f>
        <v>jäännössähkö</v>
      </c>
      <c r="O162" s="147">
        <f>INDEX(Muuttujat!$J$5:$J$21,MATCH($C162,Muuttujat!$H$5:$H$21,0),1)</f>
        <v>65.853419316547502</v>
      </c>
      <c r="P162" s="342">
        <f>1-(INDEX(Muuttujat!$O$5:$O$21,MATCH($C162,Muuttujat!$N$5:$N$21,0),1))</f>
        <v>0.94</v>
      </c>
      <c r="Q162" s="342">
        <f>INDEX(Muuttujat!$O$5:$O$21,MATCH($C162,Muuttujat!$N$5:$N$21,0),1)</f>
        <v>0.06</v>
      </c>
      <c r="R162" s="148">
        <f>INDEX(Muuttujat!$P$5:$P$21,MATCH($C162,Muuttujat!$N$5:$N$21,0),1)</f>
        <v>6.2623560726971367E-2</v>
      </c>
      <c r="S162" s="149">
        <f t="shared" si="43"/>
        <v>0</v>
      </c>
      <c r="T162" s="150">
        <f t="shared" si="44"/>
        <v>0</v>
      </c>
      <c r="U162" s="150">
        <f t="shared" si="45"/>
        <v>0</v>
      </c>
      <c r="V162" s="150">
        <f>IFERROR(INDEX(Työkonekanta!$J$3:$J$27,MATCH($A162,Työkonekanta!$A$3:$A$24,0),1)*$B162*ef_li_ion_akku/1000/1000/INDEX(Työkonekanta!$K$3:$K$27,MATCH($A162,Työkonekanta!$A$3:$A$24,0)),0)</f>
        <v>0</v>
      </c>
      <c r="W162" s="149">
        <f t="shared" si="54"/>
        <v>0</v>
      </c>
      <c r="X162" s="150">
        <f t="shared" si="55"/>
        <v>0</v>
      </c>
      <c r="Y162" s="151">
        <f t="shared" si="56"/>
        <v>0</v>
      </c>
      <c r="Z162" s="152">
        <f t="shared" si="49"/>
        <v>0</v>
      </c>
      <c r="AA162" s="153">
        <f t="shared" si="50"/>
        <v>0</v>
      </c>
      <c r="AB162" s="153">
        <f t="shared" si="51"/>
        <v>0</v>
      </c>
      <c r="AC162" s="154">
        <f t="shared" si="57"/>
        <v>0</v>
      </c>
      <c r="AD162" s="156">
        <f t="shared" si="52"/>
        <v>0</v>
      </c>
      <c r="AE162" s="182"/>
      <c r="AG162" s="2"/>
    </row>
    <row r="163" spans="1:37">
      <c r="A163" s="139">
        <v>11</v>
      </c>
      <c r="B163" s="139" cm="1">
        <f t="array" ref="B163">IFERROR(IF(A163=s1_id_korvattava1,INDEX($AG$3:$AG$19,MATCH(C163,$AF$3:$AF$19,0),1),IF(A163=s1_id_korvaava1,INDEX($AH$3:$AH$19,MATCH(C163,$AF$3:$AF$19,0),1),IF(A163=s1_id_korvattava2,INDEX($AI$3:$AI$19,MATCH(C163,$AF$3:$AF$19,0),1),IF(A163=s1_id_korvaava2,INDEX($AJ$3:$AJ$19,MATCH(C163,$AF$3:$AF$19,0),1),INDEX(Työkonekanta!$F$3:$F$27,MATCH('S1 Sähkö'!$A163,Työkonekanta!$A$3:$A$24,0),1))))),0)</f>
        <v>1</v>
      </c>
      <c r="C163" s="140">
        <v>2024</v>
      </c>
      <c r="D163" s="141" t="str">
        <f>IFERROR(INDEX(Työkonekanta!$D$3:$D$27,MATCH('S1 Sähkö'!$A163,Työkonekanta!$A$3:$A$24,0),1),"undefined")</f>
        <v>pom</v>
      </c>
      <c r="E163" s="145">
        <f>IFERROR(INDEX(Työkonekanta!$G$3:$G$27,MATCH($A163,Työkonekanta!$A$3:$A$24,0),1)*INDEX(Työkonekanta!$H$3:$H$27,MATCH($A163,Työkonekanta!$A$3:$A$24,0),1)*(1+s1_kerroin*($C163-2019))*$B163,0)</f>
        <v>10500</v>
      </c>
      <c r="F163" s="145">
        <f t="shared" si="40"/>
        <v>376950</v>
      </c>
      <c r="G163" s="145">
        <f t="shared" si="46"/>
        <v>354333</v>
      </c>
      <c r="H163" s="145">
        <f t="shared" si="47"/>
        <v>22617</v>
      </c>
      <c r="I163" s="145">
        <f t="shared" si="41"/>
        <v>9870</v>
      </c>
      <c r="J163" s="145">
        <f t="shared" si="42"/>
        <v>659.38775510204084</v>
      </c>
      <c r="K163" s="142" t="str">
        <f t="shared" si="48"/>
        <v>l</v>
      </c>
      <c r="L163" s="146">
        <f>IFERROR(INDEX(Työkonekanta!$I$3:$I$27,MATCH('S1 Sähkö'!$A163,Työkonekanta!$A$3:$A$24,0),1)*(I163+J163)*f_adblue,0)</f>
        <v>526.46938775510205</v>
      </c>
      <c r="M163" s="146">
        <f t="shared" si="53"/>
        <v>0</v>
      </c>
      <c r="N163" s="143" t="str">
        <f>IF(tuulisähkö_vuosi&lt;='S1 Sähkö'!C163,"tuulisähkö",ostosähkö_nyt)</f>
        <v>jäännössähkö</v>
      </c>
      <c r="O163" s="147">
        <f>INDEX(Muuttujat!$J$5:$J$21,MATCH($C163,Muuttujat!$H$5:$H$21,0),1)</f>
        <v>65.853419316547502</v>
      </c>
      <c r="P163" s="342">
        <f>1-(INDEX(Muuttujat!$O$5:$O$21,MATCH($C163,Muuttujat!$N$5:$N$21,0),1))</f>
        <v>0.94</v>
      </c>
      <c r="Q163" s="342">
        <f>INDEX(Muuttujat!$O$5:$O$21,MATCH($C163,Muuttujat!$N$5:$N$21,0),1)</f>
        <v>0.06</v>
      </c>
      <c r="R163" s="148">
        <f>INDEX(Muuttujat!$P$5:$P$21,MATCH($C163,Muuttujat!$N$5:$N$21,0),1)</f>
        <v>6.2623560726971367E-2</v>
      </c>
      <c r="S163" s="149">
        <f t="shared" si="43"/>
        <v>6.6968936999999995</v>
      </c>
      <c r="T163" s="150">
        <f t="shared" si="44"/>
        <v>1.4113008</v>
      </c>
      <c r="U163" s="150">
        <f t="shared" si="45"/>
        <v>0</v>
      </c>
      <c r="V163" s="150">
        <f>IFERROR(INDEX(Työkonekanta!$J$3:$J$27,MATCH($A163,Työkonekanta!$A$3:$A$24,0),1)*$B163*ef_li_ion_akku/1000/1000/INDEX(Työkonekanta!$K$3:$K$27,MATCH($A163,Työkonekanta!$A$3:$A$24,0)),0)</f>
        <v>0</v>
      </c>
      <c r="W163" s="149">
        <f t="shared" si="54"/>
        <v>26.152700163281999</v>
      </c>
      <c r="X163" s="150">
        <f t="shared" si="55"/>
        <v>0.33363294300000002</v>
      </c>
      <c r="Y163" s="151">
        <f t="shared" si="56"/>
        <v>0.13688204081632654</v>
      </c>
      <c r="Z163" s="152">
        <f t="shared" si="49"/>
        <v>8.1081944999999997</v>
      </c>
      <c r="AA163" s="153">
        <f t="shared" si="50"/>
        <v>26.289582204098327</v>
      </c>
      <c r="AB163" s="153">
        <f t="shared" si="51"/>
        <v>26.623215147098328</v>
      </c>
      <c r="AC163" s="154">
        <f t="shared" si="57"/>
        <v>34.397776704098327</v>
      </c>
      <c r="AD163" s="156">
        <f t="shared" si="52"/>
        <v>34.731409647098332</v>
      </c>
      <c r="AE163" s="182"/>
      <c r="AG163" s="2"/>
    </row>
    <row r="164" spans="1:37">
      <c r="A164" s="139">
        <v>12</v>
      </c>
      <c r="B164" s="139" cm="1">
        <f t="array" ref="B164">IFERROR(IF(A164=s1_id_korvattava1,INDEX($AG$3:$AG$19,MATCH(C164,$AF$3:$AF$19,0),1),IF(A164=s1_id_korvaava1,INDEX($AH$3:$AH$19,MATCH(C164,$AF$3:$AF$19,0),1),IF(A164=s1_id_korvattava2,INDEX($AI$3:$AI$19,MATCH(C164,$AF$3:$AF$19,0),1),IF(A164=s1_id_korvaava2,INDEX($AJ$3:$AJ$19,MATCH(C164,$AF$3:$AF$19,0),1),INDEX(Työkonekanta!$F$3:$F$27,MATCH('S1 Sähkö'!$A164,Työkonekanta!$A$3:$A$24,0),1))))),0)</f>
        <v>1</v>
      </c>
      <c r="C164" s="140">
        <v>2024</v>
      </c>
      <c r="D164" s="141" t="str">
        <f>IFERROR(INDEX(Työkonekanta!$D$3:$D$27,MATCH('S1 Sähkö'!$A164,Työkonekanta!$A$3:$A$24,0),1),"undefined")</f>
        <v>pom</v>
      </c>
      <c r="E164" s="145">
        <f>IFERROR(INDEX(Työkonekanta!$G$3:$G$27,MATCH($A164,Työkonekanta!$A$3:$A$24,0),1)*INDEX(Työkonekanta!$H$3:$H$27,MATCH($A164,Työkonekanta!$A$3:$A$24,0),1)*(1+s1_kerroin*($C164-2019))*$B164,0)</f>
        <v>10500</v>
      </c>
      <c r="F164" s="145">
        <f t="shared" si="40"/>
        <v>376950</v>
      </c>
      <c r="G164" s="145">
        <f t="shared" si="46"/>
        <v>354333</v>
      </c>
      <c r="H164" s="145">
        <f t="shared" si="47"/>
        <v>22617</v>
      </c>
      <c r="I164" s="145">
        <f t="shared" si="41"/>
        <v>9870</v>
      </c>
      <c r="J164" s="145">
        <f t="shared" si="42"/>
        <v>659.38775510204084</v>
      </c>
      <c r="K164" s="142" t="str">
        <f t="shared" si="48"/>
        <v>l</v>
      </c>
      <c r="L164" s="146">
        <f>IFERROR(INDEX(Työkonekanta!$I$3:$I$27,MATCH('S1 Sähkö'!$A164,Työkonekanta!$A$3:$A$24,0),1)*(I164+J164)*f_adblue,0)</f>
        <v>526.46938775510205</v>
      </c>
      <c r="M164" s="146">
        <f t="shared" si="53"/>
        <v>0</v>
      </c>
      <c r="N164" s="143" t="str">
        <f>IF(tuulisähkö_vuosi&lt;='S1 Sähkö'!C164,"tuulisähkö",ostosähkö_nyt)</f>
        <v>jäännössähkö</v>
      </c>
      <c r="O164" s="147">
        <f>INDEX(Muuttujat!$J$5:$J$21,MATCH($C164,Muuttujat!$H$5:$H$21,0),1)</f>
        <v>65.853419316547502</v>
      </c>
      <c r="P164" s="342">
        <f>1-(INDEX(Muuttujat!$O$5:$O$21,MATCH($C164,Muuttujat!$N$5:$N$21,0),1))</f>
        <v>0.94</v>
      </c>
      <c r="Q164" s="342">
        <f>INDEX(Muuttujat!$O$5:$O$21,MATCH($C164,Muuttujat!$N$5:$N$21,0),1)</f>
        <v>0.06</v>
      </c>
      <c r="R164" s="148">
        <f>INDEX(Muuttujat!$P$5:$P$21,MATCH($C164,Muuttujat!$N$5:$N$21,0),1)</f>
        <v>6.2623560726971367E-2</v>
      </c>
      <c r="S164" s="149">
        <f t="shared" si="43"/>
        <v>6.6968936999999995</v>
      </c>
      <c r="T164" s="150">
        <f t="shared" si="44"/>
        <v>1.4113008</v>
      </c>
      <c r="U164" s="150">
        <f t="shared" si="45"/>
        <v>0</v>
      </c>
      <c r="V164" s="150">
        <f>IFERROR(INDEX(Työkonekanta!$J$3:$J$27,MATCH($A164,Työkonekanta!$A$3:$A$24,0),1)*$B164*ef_li_ion_akku/1000/1000/INDEX(Työkonekanta!$K$3:$K$27,MATCH($A164,Työkonekanta!$A$3:$A$24,0)),0)</f>
        <v>0</v>
      </c>
      <c r="W164" s="149">
        <f t="shared" si="54"/>
        <v>26.152700163281999</v>
      </c>
      <c r="X164" s="150">
        <f t="shared" si="55"/>
        <v>0.33363294300000002</v>
      </c>
      <c r="Y164" s="151">
        <f t="shared" si="56"/>
        <v>0.13688204081632654</v>
      </c>
      <c r="Z164" s="152">
        <f t="shared" si="49"/>
        <v>8.1081944999999997</v>
      </c>
      <c r="AA164" s="153">
        <f t="shared" si="50"/>
        <v>26.289582204098327</v>
      </c>
      <c r="AB164" s="153">
        <f t="shared" si="51"/>
        <v>26.623215147098328</v>
      </c>
      <c r="AC164" s="154">
        <f t="shared" si="57"/>
        <v>34.397776704098327</v>
      </c>
      <c r="AD164" s="156">
        <f t="shared" si="52"/>
        <v>34.731409647098332</v>
      </c>
      <c r="AE164" s="182"/>
      <c r="AG164" s="2"/>
    </row>
    <row r="165" spans="1:37">
      <c r="A165" s="139">
        <v>13</v>
      </c>
      <c r="B165" s="139" cm="1">
        <f t="array" ref="B165">IFERROR(IF(A165=s1_id_korvattava1,INDEX($AG$3:$AG$19,MATCH(C165,$AF$3:$AF$19,0),1),IF(A165=s1_id_korvaava1,INDEX($AH$3:$AH$19,MATCH(C165,$AF$3:$AF$19,0),1),IF(A165=s1_id_korvattava2,INDEX($AI$3:$AI$19,MATCH(C165,$AF$3:$AF$19,0),1),IF(A165=s1_id_korvaava2,INDEX($AJ$3:$AJ$19,MATCH(C165,$AF$3:$AF$19,0),1),INDEX(Työkonekanta!$F$3:$F$27,MATCH('S1 Sähkö'!$A165,Työkonekanta!$A$3:$A$24,0),1))))),0)</f>
        <v>0</v>
      </c>
      <c r="C165" s="140">
        <v>2024</v>
      </c>
      <c r="D165" s="141" t="str">
        <f>IFERROR(INDEX(Työkonekanta!$D$3:$D$27,MATCH('S1 Sähkö'!$A165,Työkonekanta!$A$3:$A$24,0),1),"undefined")</f>
        <v>pom</v>
      </c>
      <c r="E165" s="145">
        <f>IFERROR(INDEX(Työkonekanta!$G$3:$G$27,MATCH($A165,Työkonekanta!$A$3:$A$24,0),1)*INDEX(Työkonekanta!$H$3:$H$27,MATCH($A165,Työkonekanta!$A$3:$A$24,0),1)*(1+s1_kerroin*($C165-2019))*$B165,0)</f>
        <v>0</v>
      </c>
      <c r="F165" s="145">
        <f t="shared" si="40"/>
        <v>0</v>
      </c>
      <c r="G165" s="145">
        <f t="shared" si="46"/>
        <v>0</v>
      </c>
      <c r="H165" s="145">
        <f t="shared" si="47"/>
        <v>0</v>
      </c>
      <c r="I165" s="145">
        <f t="shared" si="41"/>
        <v>0</v>
      </c>
      <c r="J165" s="145">
        <f t="shared" si="42"/>
        <v>0</v>
      </c>
      <c r="K165" s="142" t="str">
        <f t="shared" si="48"/>
        <v>l</v>
      </c>
      <c r="L165" s="146">
        <f>IFERROR(INDEX(Työkonekanta!$I$3:$I$27,MATCH('S1 Sähkö'!$A165,Työkonekanta!$A$3:$A$24,0),1)*(I165+J165)*f_adblue,0)</f>
        <v>0</v>
      </c>
      <c r="M165" s="146">
        <f t="shared" si="53"/>
        <v>0</v>
      </c>
      <c r="N165" s="143" t="str">
        <f>IF(tuulisähkö_vuosi&lt;='S1 Sähkö'!C165,"tuulisähkö",ostosähkö_nyt)</f>
        <v>jäännössähkö</v>
      </c>
      <c r="O165" s="147">
        <f>INDEX(Muuttujat!$J$5:$J$21,MATCH($C165,Muuttujat!$H$5:$H$21,0),1)</f>
        <v>65.853419316547502</v>
      </c>
      <c r="P165" s="342">
        <f>1-(INDEX(Muuttujat!$O$5:$O$21,MATCH($C165,Muuttujat!$N$5:$N$21,0),1))</f>
        <v>0.94</v>
      </c>
      <c r="Q165" s="342">
        <f>INDEX(Muuttujat!$O$5:$O$21,MATCH($C165,Muuttujat!$N$5:$N$21,0),1)</f>
        <v>0.06</v>
      </c>
      <c r="R165" s="148">
        <f>INDEX(Muuttujat!$P$5:$P$21,MATCH($C165,Muuttujat!$N$5:$N$21,0),1)</f>
        <v>6.2623560726971367E-2</v>
      </c>
      <c r="S165" s="149">
        <f t="shared" si="43"/>
        <v>0</v>
      </c>
      <c r="T165" s="150">
        <f t="shared" si="44"/>
        <v>0</v>
      </c>
      <c r="U165" s="150">
        <f t="shared" si="45"/>
        <v>0</v>
      </c>
      <c r="V165" s="150">
        <f>IFERROR(INDEX(Työkonekanta!$J$3:$J$27,MATCH($A165,Työkonekanta!$A$3:$A$24,0),1)*$B165*ef_li_ion_akku/1000/1000/INDEX(Työkonekanta!$K$3:$K$27,MATCH($A165,Työkonekanta!$A$3:$A$24,0)),0)</f>
        <v>0</v>
      </c>
      <c r="W165" s="149">
        <f t="shared" si="54"/>
        <v>0</v>
      </c>
      <c r="X165" s="150">
        <f t="shared" si="55"/>
        <v>0</v>
      </c>
      <c r="Y165" s="151">
        <f t="shared" si="56"/>
        <v>0</v>
      </c>
      <c r="Z165" s="152">
        <f t="shared" si="49"/>
        <v>0</v>
      </c>
      <c r="AA165" s="153">
        <f t="shared" si="50"/>
        <v>0</v>
      </c>
      <c r="AB165" s="153">
        <f t="shared" si="51"/>
        <v>0</v>
      </c>
      <c r="AC165" s="154">
        <f t="shared" si="57"/>
        <v>0</v>
      </c>
      <c r="AD165" s="156">
        <f t="shared" si="52"/>
        <v>0</v>
      </c>
      <c r="AE165" s="182"/>
      <c r="AG165" s="2"/>
    </row>
    <row r="166" spans="1:37">
      <c r="A166" s="139">
        <v>14</v>
      </c>
      <c r="B166" s="139" cm="1">
        <f t="array" ref="B166">IFERROR(IF(A166=s1_id_korvattava1,INDEX($AG$3:$AG$19,MATCH(C166,$AF$3:$AF$19,0),1),IF(A166=s1_id_korvaava1,INDEX($AH$3:$AH$19,MATCH(C166,$AF$3:$AF$19,0),1),IF(A166=s1_id_korvattava2,INDEX($AI$3:$AI$19,MATCH(C166,$AF$3:$AF$19,0),1),IF(A166=s1_id_korvaava2,INDEX($AJ$3:$AJ$19,MATCH(C166,$AF$3:$AF$19,0),1),INDEX(Työkonekanta!$F$3:$F$27,MATCH('S1 Sähkö'!$A166,Työkonekanta!$A$3:$A$24,0),1))))),0)</f>
        <v>0</v>
      </c>
      <c r="C166" s="140">
        <v>2024</v>
      </c>
      <c r="D166" s="141" t="str">
        <f>IFERROR(INDEX(Työkonekanta!$D$3:$D$27,MATCH('S1 Sähkö'!$A166,Työkonekanta!$A$3:$A$24,0),1),"undefined")</f>
        <v>pom</v>
      </c>
      <c r="E166" s="145">
        <f>IFERROR(INDEX(Työkonekanta!$G$3:$G$27,MATCH($A166,Työkonekanta!$A$3:$A$24,0),1)*INDEX(Työkonekanta!$H$3:$H$27,MATCH($A166,Työkonekanta!$A$3:$A$24,0),1)*(1+s1_kerroin*($C166-2019))*$B166,0)</f>
        <v>0</v>
      </c>
      <c r="F166" s="145">
        <f t="shared" si="40"/>
        <v>0</v>
      </c>
      <c r="G166" s="145">
        <f t="shared" si="46"/>
        <v>0</v>
      </c>
      <c r="H166" s="145">
        <f t="shared" si="47"/>
        <v>0</v>
      </c>
      <c r="I166" s="145">
        <f t="shared" si="41"/>
        <v>0</v>
      </c>
      <c r="J166" s="145">
        <f t="shared" si="42"/>
        <v>0</v>
      </c>
      <c r="K166" s="142" t="str">
        <f t="shared" si="48"/>
        <v>l</v>
      </c>
      <c r="L166" s="146">
        <f>IFERROR(INDEX(Työkonekanta!$I$3:$I$27,MATCH('S1 Sähkö'!$A166,Työkonekanta!$A$3:$A$24,0),1)*(I166+J166)*f_adblue,0)</f>
        <v>0</v>
      </c>
      <c r="M166" s="146">
        <f t="shared" si="53"/>
        <v>0</v>
      </c>
      <c r="N166" s="143" t="str">
        <f>IF(tuulisähkö_vuosi&lt;='S1 Sähkö'!C166,"tuulisähkö",ostosähkö_nyt)</f>
        <v>jäännössähkö</v>
      </c>
      <c r="O166" s="147">
        <f>INDEX(Muuttujat!$J$5:$J$21,MATCH($C166,Muuttujat!$H$5:$H$21,0),1)</f>
        <v>65.853419316547502</v>
      </c>
      <c r="P166" s="342">
        <f>1-(INDEX(Muuttujat!$O$5:$O$21,MATCH($C166,Muuttujat!$N$5:$N$21,0),1))</f>
        <v>0.94</v>
      </c>
      <c r="Q166" s="342">
        <f>INDEX(Muuttujat!$O$5:$O$21,MATCH($C166,Muuttujat!$N$5:$N$21,0),1)</f>
        <v>0.06</v>
      </c>
      <c r="R166" s="148">
        <f>INDEX(Muuttujat!$P$5:$P$21,MATCH($C166,Muuttujat!$N$5:$N$21,0),1)</f>
        <v>6.2623560726971367E-2</v>
      </c>
      <c r="S166" s="149">
        <f t="shared" si="43"/>
        <v>0</v>
      </c>
      <c r="T166" s="150">
        <f t="shared" si="44"/>
        <v>0</v>
      </c>
      <c r="U166" s="150">
        <f t="shared" si="45"/>
        <v>0</v>
      </c>
      <c r="V166" s="150">
        <f>IFERROR(INDEX(Työkonekanta!$J$3:$J$27,MATCH($A166,Työkonekanta!$A$3:$A$24,0),1)*$B166*ef_li_ion_akku/1000/1000/INDEX(Työkonekanta!$K$3:$K$27,MATCH($A166,Työkonekanta!$A$3:$A$24,0)),0)</f>
        <v>0</v>
      </c>
      <c r="W166" s="149">
        <f t="shared" si="54"/>
        <v>0</v>
      </c>
      <c r="X166" s="150">
        <f t="shared" si="55"/>
        <v>0</v>
      </c>
      <c r="Y166" s="151">
        <f t="shared" si="56"/>
        <v>0</v>
      </c>
      <c r="Z166" s="152">
        <f t="shared" si="49"/>
        <v>0</v>
      </c>
      <c r="AA166" s="153">
        <f t="shared" si="50"/>
        <v>0</v>
      </c>
      <c r="AB166" s="153">
        <f t="shared" si="51"/>
        <v>0</v>
      </c>
      <c r="AC166" s="154">
        <f t="shared" si="57"/>
        <v>0</v>
      </c>
      <c r="AD166" s="156">
        <f t="shared" si="52"/>
        <v>0</v>
      </c>
      <c r="AE166" s="182"/>
      <c r="AG166" s="2"/>
    </row>
    <row r="167" spans="1:37">
      <c r="A167" s="139">
        <v>15</v>
      </c>
      <c r="B167" s="139" cm="1">
        <f t="array" ref="B167">IFERROR(IF(A167=s1_id_korvattava1,INDEX($AG$3:$AG$19,MATCH(C167,$AF$3:$AF$19,0),1),IF(A167=s1_id_korvaava1,INDEX($AH$3:$AH$19,MATCH(C167,$AF$3:$AF$19,0),1),IF(A167=s1_id_korvattava2,INDEX($AI$3:$AI$19,MATCH(C167,$AF$3:$AF$19,0),1),IF(A167=s1_id_korvaava2,INDEX($AJ$3:$AJ$19,MATCH(C167,$AF$3:$AF$19,0),1),INDEX(Työkonekanta!$F$3:$F$27,MATCH('S1 Sähkö'!$A167,Työkonekanta!$A$3:$A$24,0),1))))),0)</f>
        <v>0</v>
      </c>
      <c r="C167" s="140">
        <v>2024</v>
      </c>
      <c r="D167" s="141" t="str">
        <f>IFERROR(INDEX(Työkonekanta!$D$3:$D$27,MATCH('S1 Sähkö'!$A167,Työkonekanta!$A$3:$A$24,0),1),"undefined")</f>
        <v>sähkö</v>
      </c>
      <c r="E167" s="145">
        <f>IFERROR(INDEX(Työkonekanta!$G$3:$G$27,MATCH($A167,Työkonekanta!$A$3:$A$24,0),1)*INDEX(Työkonekanta!$H$3:$H$27,MATCH($A167,Työkonekanta!$A$3:$A$24,0),1)*(1+s1_kerroin*($C167-2019))*$B167,0)</f>
        <v>0</v>
      </c>
      <c r="F167" s="145">
        <f t="shared" si="40"/>
        <v>0</v>
      </c>
      <c r="G167" s="145">
        <f t="shared" si="46"/>
        <v>0</v>
      </c>
      <c r="H167" s="145">
        <f t="shared" si="47"/>
        <v>0</v>
      </c>
      <c r="I167" s="145">
        <f t="shared" si="41"/>
        <v>0</v>
      </c>
      <c r="J167" s="145">
        <f t="shared" si="42"/>
        <v>0</v>
      </c>
      <c r="K167" s="142" t="str">
        <f t="shared" si="48"/>
        <v>kWh</v>
      </c>
      <c r="L167" s="146">
        <f>IFERROR(INDEX(Työkonekanta!$I$3:$I$27,MATCH('S1 Sähkö'!$A167,Työkonekanta!$A$3:$A$24,0),1)*(I167+J167)*f_adblue,0)</f>
        <v>0</v>
      </c>
      <c r="M167" s="146">
        <f t="shared" si="53"/>
        <v>0</v>
      </c>
      <c r="N167" s="143" t="str">
        <f>IF(tuulisähkö_vuosi&lt;='S1 Sähkö'!C167,"tuulisähkö",ostosähkö_nyt)</f>
        <v>jäännössähkö</v>
      </c>
      <c r="O167" s="147">
        <f>INDEX(Muuttujat!$J$5:$J$21,MATCH($C167,Muuttujat!$H$5:$H$21,0),1)</f>
        <v>65.853419316547502</v>
      </c>
      <c r="P167" s="342">
        <f>1-(INDEX(Muuttujat!$O$5:$O$21,MATCH($C167,Muuttujat!$N$5:$N$21,0),1))</f>
        <v>0.94</v>
      </c>
      <c r="Q167" s="342">
        <f>INDEX(Muuttujat!$O$5:$O$21,MATCH($C167,Muuttujat!$N$5:$N$21,0),1)</f>
        <v>0.06</v>
      </c>
      <c r="R167" s="148">
        <f>INDEX(Muuttujat!$P$5:$P$21,MATCH($C167,Muuttujat!$N$5:$N$21,0),1)</f>
        <v>6.2623560726971367E-2</v>
      </c>
      <c r="S167" s="149">
        <f t="shared" si="43"/>
        <v>0</v>
      </c>
      <c r="T167" s="150">
        <f t="shared" si="44"/>
        <v>0</v>
      </c>
      <c r="U167" s="150">
        <f t="shared" si="45"/>
        <v>0</v>
      </c>
      <c r="V167" s="150">
        <f>IFERROR(INDEX(Työkonekanta!$J$3:$J$27,MATCH($A167,Työkonekanta!$A$3:$A$24,0),1)*$B167*ef_li_ion_akku/1000/1000/INDEX(Työkonekanta!$K$3:$K$27,MATCH($A167,Työkonekanta!$A$3:$A$24,0)),0)</f>
        <v>0</v>
      </c>
      <c r="W167" s="149">
        <f t="shared" si="54"/>
        <v>0</v>
      </c>
      <c r="X167" s="150">
        <f t="shared" si="55"/>
        <v>0</v>
      </c>
      <c r="Y167" s="151">
        <f t="shared" si="56"/>
        <v>0</v>
      </c>
      <c r="Z167" s="152">
        <f t="shared" si="49"/>
        <v>0</v>
      </c>
      <c r="AA167" s="153">
        <f t="shared" si="50"/>
        <v>0</v>
      </c>
      <c r="AB167" s="153">
        <f t="shared" si="51"/>
        <v>0</v>
      </c>
      <c r="AC167" s="154">
        <f t="shared" si="57"/>
        <v>0</v>
      </c>
      <c r="AD167" s="156">
        <f t="shared" si="52"/>
        <v>0</v>
      </c>
      <c r="AE167" s="182"/>
      <c r="AG167" s="2"/>
    </row>
    <row r="168" spans="1:37">
      <c r="A168" s="139">
        <v>16</v>
      </c>
      <c r="B168" s="139" cm="1">
        <f t="array" ref="B168">IFERROR(IF(A168=s1_id_korvattava1,INDEX($AG$3:$AG$19,MATCH(C168,$AF$3:$AF$19,0),1),IF(A168=s1_id_korvaava1,INDEX($AH$3:$AH$19,MATCH(C168,$AF$3:$AF$19,0),1),IF(A168=s1_id_korvattava2,INDEX($AI$3:$AI$19,MATCH(C168,$AF$3:$AF$19,0),1),IF(A168=s1_id_korvaava2,INDEX($AJ$3:$AJ$19,MATCH(C168,$AF$3:$AF$19,0),1),INDEX(Työkonekanta!$F$3:$F$27,MATCH('S1 Sähkö'!$A168,Työkonekanta!$A$3:$A$24,0),1))))),0)</f>
        <v>0</v>
      </c>
      <c r="C168" s="140">
        <v>2024</v>
      </c>
      <c r="D168" s="141" t="str">
        <f>IFERROR(INDEX(Työkonekanta!$D$3:$D$27,MATCH('S1 Sähkö'!$A168,Työkonekanta!$A$3:$A$24,0),1),"undefined")</f>
        <v>sähkö</v>
      </c>
      <c r="E168" s="145">
        <f>IFERROR(INDEX(Työkonekanta!$G$3:$G$27,MATCH($A168,Työkonekanta!$A$3:$A$24,0),1)*INDEX(Työkonekanta!$H$3:$H$27,MATCH($A168,Työkonekanta!$A$3:$A$24,0),1)*(1+s1_kerroin*($C168-2019))*$B168,0)</f>
        <v>0</v>
      </c>
      <c r="F168" s="145">
        <f t="shared" si="40"/>
        <v>0</v>
      </c>
      <c r="G168" s="145">
        <f t="shared" si="46"/>
        <v>0</v>
      </c>
      <c r="H168" s="145">
        <f t="shared" si="47"/>
        <v>0</v>
      </c>
      <c r="I168" s="145">
        <f t="shared" si="41"/>
        <v>0</v>
      </c>
      <c r="J168" s="145">
        <f t="shared" si="42"/>
        <v>0</v>
      </c>
      <c r="K168" s="142" t="str">
        <f t="shared" si="48"/>
        <v>kWh</v>
      </c>
      <c r="L168" s="146">
        <f>IFERROR(INDEX(Työkonekanta!$I$3:$I$27,MATCH('S1 Sähkö'!$A168,Työkonekanta!$A$3:$A$24,0),1)*(I168+J168)*f_adblue,0)</f>
        <v>0</v>
      </c>
      <c r="M168" s="146">
        <f t="shared" si="53"/>
        <v>0</v>
      </c>
      <c r="N168" s="143" t="str">
        <f>IF(tuulisähkö_vuosi&lt;='S1 Sähkö'!C168,"tuulisähkö",ostosähkö_nyt)</f>
        <v>jäännössähkö</v>
      </c>
      <c r="O168" s="147">
        <f>INDEX(Muuttujat!$J$5:$J$21,MATCH($C168,Muuttujat!$H$5:$H$21,0),1)</f>
        <v>65.853419316547502</v>
      </c>
      <c r="P168" s="342">
        <f>1-(INDEX(Muuttujat!$O$5:$O$21,MATCH($C168,Muuttujat!$N$5:$N$21,0),1))</f>
        <v>0.94</v>
      </c>
      <c r="Q168" s="342">
        <f>INDEX(Muuttujat!$O$5:$O$21,MATCH($C168,Muuttujat!$N$5:$N$21,0),1)</f>
        <v>0.06</v>
      </c>
      <c r="R168" s="148">
        <f>INDEX(Muuttujat!$P$5:$P$21,MATCH($C168,Muuttujat!$N$5:$N$21,0),1)</f>
        <v>6.2623560726971367E-2</v>
      </c>
      <c r="S168" s="149">
        <f t="shared" si="43"/>
        <v>0</v>
      </c>
      <c r="T168" s="150">
        <f t="shared" si="44"/>
        <v>0</v>
      </c>
      <c r="U168" s="150">
        <f t="shared" si="45"/>
        <v>0</v>
      </c>
      <c r="V168" s="150">
        <f>IFERROR(INDEX(Työkonekanta!$J$3:$J$27,MATCH($A168,Työkonekanta!$A$3:$A$24,0),1)*$B168*ef_li_ion_akku/1000/1000/INDEX(Työkonekanta!$K$3:$K$27,MATCH($A168,Työkonekanta!$A$3:$A$24,0)),0)</f>
        <v>0</v>
      </c>
      <c r="W168" s="149">
        <f t="shared" si="54"/>
        <v>0</v>
      </c>
      <c r="X168" s="150">
        <f t="shared" si="55"/>
        <v>0</v>
      </c>
      <c r="Y168" s="151">
        <f t="shared" si="56"/>
        <v>0</v>
      </c>
      <c r="Z168" s="152">
        <f t="shared" si="49"/>
        <v>0</v>
      </c>
      <c r="AA168" s="153">
        <f t="shared" si="50"/>
        <v>0</v>
      </c>
      <c r="AB168" s="153">
        <f t="shared" si="51"/>
        <v>0</v>
      </c>
      <c r="AC168" s="154">
        <f t="shared" si="57"/>
        <v>0</v>
      </c>
      <c r="AD168" s="156">
        <f t="shared" si="52"/>
        <v>0</v>
      </c>
      <c r="AE168" s="182"/>
      <c r="AG168" s="2"/>
    </row>
    <row r="169" spans="1:37">
      <c r="A169" s="139">
        <v>17</v>
      </c>
      <c r="B169" s="139" cm="1">
        <f t="array" ref="B169">IFERROR(IF(A169=s1_id_korvattava1,INDEX($AG$3:$AG$19,MATCH(C169,$AF$3:$AF$19,0),1),IF(A169=s1_id_korvaava1,INDEX($AH$3:$AH$19,MATCH(C169,$AF$3:$AF$19,0),1),IF(A169=s1_id_korvattava2,INDEX($AI$3:$AI$19,MATCH(C169,$AF$3:$AF$19,0),1),IF(A169=s1_id_korvaava2,INDEX($AJ$3:$AJ$19,MATCH(C169,$AF$3:$AF$19,0),1),INDEX(Työkonekanta!$F$3:$F$27,MATCH('S1 Sähkö'!$A169,Työkonekanta!$A$3:$A$24,0),1))))),0)</f>
        <v>0</v>
      </c>
      <c r="C169" s="140">
        <v>2024</v>
      </c>
      <c r="D169" s="141" t="str">
        <f>IFERROR(INDEX(Työkonekanta!$D$3:$D$27,MATCH('S1 Sähkö'!$A169,Työkonekanta!$A$3:$A$24,0),1),"undefined")</f>
        <v>pom</v>
      </c>
      <c r="E169" s="145">
        <f>IFERROR(INDEX(Työkonekanta!$G$3:$G$27,MATCH($A169,Työkonekanta!$A$3:$A$24,0),1)*INDEX(Työkonekanta!$H$3:$H$27,MATCH($A169,Työkonekanta!$A$3:$A$24,0),1)*(1+s1_kerroin*($C169-2019))*$B169,0)</f>
        <v>0</v>
      </c>
      <c r="F169" s="145">
        <f t="shared" si="40"/>
        <v>0</v>
      </c>
      <c r="G169" s="145">
        <f t="shared" si="46"/>
        <v>0</v>
      </c>
      <c r="H169" s="145">
        <f t="shared" si="47"/>
        <v>0</v>
      </c>
      <c r="I169" s="145">
        <f t="shared" si="41"/>
        <v>0</v>
      </c>
      <c r="J169" s="145">
        <f t="shared" si="42"/>
        <v>0</v>
      </c>
      <c r="K169" s="142" t="str">
        <f t="shared" si="48"/>
        <v>l</v>
      </c>
      <c r="L169" s="146">
        <f>IFERROR(INDEX(Työkonekanta!$I$3:$I$27,MATCH('S1 Sähkö'!$A169,Työkonekanta!$A$3:$A$24,0),1)*(I169+J169)*f_adblue,0)</f>
        <v>0</v>
      </c>
      <c r="M169" s="146">
        <f t="shared" si="53"/>
        <v>0</v>
      </c>
      <c r="N169" s="143" t="str">
        <f>IF(tuulisähkö_vuosi&lt;='S1 Sähkö'!C169,"tuulisähkö",ostosähkö_nyt)</f>
        <v>jäännössähkö</v>
      </c>
      <c r="O169" s="147">
        <f>INDEX(Muuttujat!$J$5:$J$21,MATCH($C169,Muuttujat!$H$5:$H$21,0),1)</f>
        <v>65.853419316547502</v>
      </c>
      <c r="P169" s="342">
        <f>1-(INDEX(Muuttujat!$O$5:$O$21,MATCH($C169,Muuttujat!$N$5:$N$21,0),1))</f>
        <v>0.94</v>
      </c>
      <c r="Q169" s="342">
        <f>INDEX(Muuttujat!$O$5:$O$21,MATCH($C169,Muuttujat!$N$5:$N$21,0),1)</f>
        <v>0.06</v>
      </c>
      <c r="R169" s="148">
        <f>INDEX(Muuttujat!$P$5:$P$21,MATCH($C169,Muuttujat!$N$5:$N$21,0),1)</f>
        <v>6.2623560726971367E-2</v>
      </c>
      <c r="S169" s="149">
        <f t="shared" si="43"/>
        <v>0</v>
      </c>
      <c r="T169" s="150">
        <f t="shared" si="44"/>
        <v>0</v>
      </c>
      <c r="U169" s="150">
        <f t="shared" si="45"/>
        <v>0</v>
      </c>
      <c r="V169" s="150">
        <f>IFERROR(INDEX(Työkonekanta!$J$3:$J$27,MATCH($A169,Työkonekanta!$A$3:$A$24,0),1)*$B169*ef_li_ion_akku/1000/1000/INDEX(Työkonekanta!$K$3:$K$27,MATCH($A169,Työkonekanta!$A$3:$A$24,0)),0)</f>
        <v>0</v>
      </c>
      <c r="W169" s="149">
        <f t="shared" si="54"/>
        <v>0</v>
      </c>
      <c r="X169" s="150">
        <f t="shared" si="55"/>
        <v>0</v>
      </c>
      <c r="Y169" s="151">
        <f t="shared" si="56"/>
        <v>0</v>
      </c>
      <c r="Z169" s="152">
        <f t="shared" si="49"/>
        <v>0</v>
      </c>
      <c r="AA169" s="153">
        <f t="shared" si="50"/>
        <v>0</v>
      </c>
      <c r="AB169" s="153">
        <f t="shared" si="51"/>
        <v>0</v>
      </c>
      <c r="AC169" s="154">
        <f t="shared" si="57"/>
        <v>0</v>
      </c>
      <c r="AD169" s="156">
        <f t="shared" si="52"/>
        <v>0</v>
      </c>
      <c r="AE169" s="182"/>
      <c r="AG169" s="2"/>
    </row>
    <row r="170" spans="1:37">
      <c r="A170" s="139">
        <v>18</v>
      </c>
      <c r="B170" s="139" cm="1">
        <f t="array" ref="B170">IFERROR(IF(A170=s1_id_korvattava1,INDEX($AG$3:$AG$19,MATCH(C170,$AF$3:$AF$19,0),1),IF(A170=s1_id_korvaava1,INDEX($AH$3:$AH$19,MATCH(C170,$AF$3:$AF$19,0),1),IF(A170=s1_id_korvattava2,INDEX($AI$3:$AI$19,MATCH(C170,$AF$3:$AF$19,0),1),IF(A170=s1_id_korvaava2,INDEX($AJ$3:$AJ$19,MATCH(C170,$AF$3:$AF$19,0),1),INDEX(Työkonekanta!$F$3:$F$27,MATCH('S1 Sähkö'!$A170,Työkonekanta!$A$3:$A$24,0),1))))),0)</f>
        <v>0</v>
      </c>
      <c r="C170" s="140">
        <v>2024</v>
      </c>
      <c r="D170" s="141" t="str">
        <f>IFERROR(INDEX(Työkonekanta!$D$3:$D$27,MATCH('S1 Sähkö'!$A170,Työkonekanta!$A$3:$A$24,0),1),"undefined")</f>
        <v>pom</v>
      </c>
      <c r="E170" s="145">
        <f>IFERROR(INDEX(Työkonekanta!$G$3:$G$27,MATCH($A170,Työkonekanta!$A$3:$A$24,0),1)*INDEX(Työkonekanta!$H$3:$H$27,MATCH($A170,Työkonekanta!$A$3:$A$24,0),1)*(1+s1_kerroin*($C170-2019))*$B170,0)</f>
        <v>0</v>
      </c>
      <c r="F170" s="145">
        <f t="shared" si="40"/>
        <v>0</v>
      </c>
      <c r="G170" s="145">
        <f t="shared" si="46"/>
        <v>0</v>
      </c>
      <c r="H170" s="145">
        <f t="shared" si="47"/>
        <v>0</v>
      </c>
      <c r="I170" s="145">
        <f t="shared" si="41"/>
        <v>0</v>
      </c>
      <c r="J170" s="145">
        <f t="shared" si="42"/>
        <v>0</v>
      </c>
      <c r="K170" s="142" t="str">
        <f t="shared" si="48"/>
        <v>l</v>
      </c>
      <c r="L170" s="146">
        <f>IFERROR(INDEX(Työkonekanta!$I$3:$I$27,MATCH('S1 Sähkö'!$A170,Työkonekanta!$A$3:$A$24,0),1)*(I170+J170)*f_adblue,0)</f>
        <v>0</v>
      </c>
      <c r="M170" s="146">
        <f t="shared" si="53"/>
        <v>0</v>
      </c>
      <c r="N170" s="143" t="str">
        <f>IF(tuulisähkö_vuosi&lt;='S1 Sähkö'!C170,"tuulisähkö",ostosähkö_nyt)</f>
        <v>jäännössähkö</v>
      </c>
      <c r="O170" s="147">
        <f>INDEX(Muuttujat!$J$5:$J$21,MATCH($C170,Muuttujat!$H$5:$H$21,0),1)</f>
        <v>65.853419316547502</v>
      </c>
      <c r="P170" s="342">
        <f>1-(INDEX(Muuttujat!$O$5:$O$21,MATCH($C170,Muuttujat!$N$5:$N$21,0),1))</f>
        <v>0.94</v>
      </c>
      <c r="Q170" s="342">
        <f>INDEX(Muuttujat!$O$5:$O$21,MATCH($C170,Muuttujat!$N$5:$N$21,0),1)</f>
        <v>0.06</v>
      </c>
      <c r="R170" s="148">
        <f>INDEX(Muuttujat!$P$5:$P$21,MATCH($C170,Muuttujat!$N$5:$N$21,0),1)</f>
        <v>6.2623560726971367E-2</v>
      </c>
      <c r="S170" s="149">
        <f t="shared" si="43"/>
        <v>0</v>
      </c>
      <c r="T170" s="150">
        <f t="shared" si="44"/>
        <v>0</v>
      </c>
      <c r="U170" s="150">
        <f t="shared" si="45"/>
        <v>0</v>
      </c>
      <c r="V170" s="150">
        <f>IFERROR(INDEX(Työkonekanta!$J$3:$J$27,MATCH($A170,Työkonekanta!$A$3:$A$24,0),1)*$B170*ef_li_ion_akku/1000/1000/INDEX(Työkonekanta!$K$3:$K$27,MATCH($A170,Työkonekanta!$A$3:$A$24,0)),0)</f>
        <v>0</v>
      </c>
      <c r="W170" s="149">
        <f t="shared" si="54"/>
        <v>0</v>
      </c>
      <c r="X170" s="150">
        <f t="shared" si="55"/>
        <v>0</v>
      </c>
      <c r="Y170" s="151">
        <f t="shared" si="56"/>
        <v>0</v>
      </c>
      <c r="Z170" s="152">
        <f t="shared" si="49"/>
        <v>0</v>
      </c>
      <c r="AA170" s="153">
        <f t="shared" si="50"/>
        <v>0</v>
      </c>
      <c r="AB170" s="153">
        <f t="shared" si="51"/>
        <v>0</v>
      </c>
      <c r="AC170" s="154">
        <f t="shared" si="57"/>
        <v>0</v>
      </c>
      <c r="AD170" s="156">
        <f t="shared" si="52"/>
        <v>0</v>
      </c>
      <c r="AE170" s="182"/>
      <c r="AG170" s="2"/>
    </row>
    <row r="171" spans="1:37">
      <c r="A171" s="139">
        <v>19</v>
      </c>
      <c r="B171" s="139" cm="1">
        <f t="array" ref="B171">IFERROR(IF(A171=s1_id_korvattava1,INDEX($AG$3:$AG$19,MATCH(C171,$AF$3:$AF$19,0),1),IF(A171=s1_id_korvaava1,INDEX($AH$3:$AH$19,MATCH(C171,$AF$3:$AF$19,0),1),IF(A171=s1_id_korvattava2,INDEX($AI$3:$AI$19,MATCH(C171,$AF$3:$AF$19,0),1),IF(A171=s1_id_korvaava2,INDEX($AJ$3:$AJ$19,MATCH(C171,$AF$3:$AF$19,0),1),INDEX(Työkonekanta!$F$3:$F$27,MATCH('S1 Sähkö'!$A171,Työkonekanta!$A$3:$A$24,0),1))))),0)</f>
        <v>0</v>
      </c>
      <c r="C171" s="140">
        <v>2024</v>
      </c>
      <c r="D171" s="141" t="str">
        <f>IFERROR(INDEX(Työkonekanta!$D$3:$D$27,MATCH('S1 Sähkö'!$A171,Työkonekanta!$A$3:$A$24,0),1),"undefined")</f>
        <v>pom</v>
      </c>
      <c r="E171" s="145">
        <f>IFERROR(INDEX(Työkonekanta!$G$3:$G$27,MATCH($A171,Työkonekanta!$A$3:$A$24,0),1)*INDEX(Työkonekanta!$H$3:$H$27,MATCH($A171,Työkonekanta!$A$3:$A$24,0),1)*(1+s1_kerroin*($C171-2019))*$B171,0)</f>
        <v>0</v>
      </c>
      <c r="F171" s="145">
        <f t="shared" si="40"/>
        <v>0</v>
      </c>
      <c r="G171" s="145">
        <f t="shared" si="46"/>
        <v>0</v>
      </c>
      <c r="H171" s="145">
        <f t="shared" si="47"/>
        <v>0</v>
      </c>
      <c r="I171" s="145">
        <f t="shared" si="41"/>
        <v>0</v>
      </c>
      <c r="J171" s="145">
        <f t="shared" si="42"/>
        <v>0</v>
      </c>
      <c r="K171" s="142" t="str">
        <f t="shared" si="48"/>
        <v>l</v>
      </c>
      <c r="L171" s="146">
        <f>IFERROR(INDEX(Työkonekanta!$I$3:$I$27,MATCH('S1 Sähkö'!$A171,Työkonekanta!$A$3:$A$24,0),1)*(I171+J171)*f_adblue,0)</f>
        <v>0</v>
      </c>
      <c r="M171" s="146">
        <f t="shared" si="53"/>
        <v>0</v>
      </c>
      <c r="N171" s="143" t="str">
        <f>IF(tuulisähkö_vuosi&lt;='S1 Sähkö'!C171,"tuulisähkö",ostosähkö_nyt)</f>
        <v>jäännössähkö</v>
      </c>
      <c r="O171" s="147">
        <f>INDEX(Muuttujat!$J$5:$J$21,MATCH($C171,Muuttujat!$H$5:$H$21,0),1)</f>
        <v>65.853419316547502</v>
      </c>
      <c r="P171" s="342">
        <f>1-(INDEX(Muuttujat!$O$5:$O$21,MATCH($C171,Muuttujat!$N$5:$N$21,0),1))</f>
        <v>0.94</v>
      </c>
      <c r="Q171" s="342">
        <f>INDEX(Muuttujat!$O$5:$O$21,MATCH($C171,Muuttujat!$N$5:$N$21,0),1)</f>
        <v>0.06</v>
      </c>
      <c r="R171" s="148">
        <f>INDEX(Muuttujat!$P$5:$P$21,MATCH($C171,Muuttujat!$N$5:$N$21,0),1)</f>
        <v>6.2623560726971367E-2</v>
      </c>
      <c r="S171" s="149">
        <f t="shared" si="43"/>
        <v>0</v>
      </c>
      <c r="T171" s="150">
        <f t="shared" si="44"/>
        <v>0</v>
      </c>
      <c r="U171" s="150">
        <f t="shared" si="45"/>
        <v>0</v>
      </c>
      <c r="V171" s="150">
        <f>IFERROR(INDEX(Työkonekanta!$J$3:$J$27,MATCH($A171,Työkonekanta!$A$3:$A$24,0),1)*$B171*ef_li_ion_akku/1000/1000/INDEX(Työkonekanta!$K$3:$K$27,MATCH($A171,Työkonekanta!$A$3:$A$24,0)),0)</f>
        <v>0</v>
      </c>
      <c r="W171" s="149">
        <f t="shared" si="54"/>
        <v>0</v>
      </c>
      <c r="X171" s="150">
        <f t="shared" si="55"/>
        <v>0</v>
      </c>
      <c r="Y171" s="151">
        <f t="shared" si="56"/>
        <v>0</v>
      </c>
      <c r="Z171" s="152">
        <f t="shared" si="49"/>
        <v>0</v>
      </c>
      <c r="AA171" s="153">
        <f t="shared" si="50"/>
        <v>0</v>
      </c>
      <c r="AB171" s="153">
        <f t="shared" si="51"/>
        <v>0</v>
      </c>
      <c r="AC171" s="154">
        <f t="shared" si="57"/>
        <v>0</v>
      </c>
      <c r="AD171" s="156">
        <f t="shared" si="52"/>
        <v>0</v>
      </c>
      <c r="AE171" s="182"/>
      <c r="AG171" s="2"/>
    </row>
    <row r="172" spans="1:37">
      <c r="A172" s="139">
        <v>20</v>
      </c>
      <c r="B172" s="139" cm="1">
        <f t="array" ref="B172">IFERROR(IF(A172=s1_id_korvattava1,INDEX($AG$3:$AG$19,MATCH(C172,$AF$3:$AF$19,0),1),IF(A172=s1_id_korvaava1,INDEX($AH$3:$AH$19,MATCH(C172,$AF$3:$AF$19,0),1),IF(A172=s1_id_korvattava2,INDEX($AI$3:$AI$19,MATCH(C172,$AF$3:$AF$19,0),1),IF(A172=s1_id_korvaava2,INDEX($AJ$3:$AJ$19,MATCH(C172,$AF$3:$AF$19,0),1),INDEX(Työkonekanta!$F$3:$F$27,MATCH('S1 Sähkö'!$A172,Työkonekanta!$A$3:$A$24,0),1))))),0)</f>
        <v>0</v>
      </c>
      <c r="C172" s="140">
        <v>2024</v>
      </c>
      <c r="D172" s="141" t="str">
        <f>IFERROR(INDEX(Työkonekanta!$D$3:$D$27,MATCH('S1 Sähkö'!$A172,Työkonekanta!$A$3:$A$24,0),1),"undefined")</f>
        <v>pom</v>
      </c>
      <c r="E172" s="145">
        <f>IFERROR(INDEX(Työkonekanta!$G$3:$G$27,MATCH($A172,Työkonekanta!$A$3:$A$24,0),1)*INDEX(Työkonekanta!$H$3:$H$27,MATCH($A172,Työkonekanta!$A$3:$A$24,0),1)*(1+s1_kerroin*($C172-2019))*$B172,0)</f>
        <v>0</v>
      </c>
      <c r="F172" s="145">
        <f t="shared" si="40"/>
        <v>0</v>
      </c>
      <c r="G172" s="145">
        <f t="shared" si="46"/>
        <v>0</v>
      </c>
      <c r="H172" s="145">
        <f t="shared" si="47"/>
        <v>0</v>
      </c>
      <c r="I172" s="145">
        <f t="shared" si="41"/>
        <v>0</v>
      </c>
      <c r="J172" s="145">
        <f t="shared" si="42"/>
        <v>0</v>
      </c>
      <c r="K172" s="142" t="str">
        <f t="shared" si="48"/>
        <v>l</v>
      </c>
      <c r="L172" s="146">
        <f>IFERROR(INDEX(Työkonekanta!$I$3:$I$27,MATCH('S1 Sähkö'!$A172,Työkonekanta!$A$3:$A$24,0),1)*(I172+J172)*f_adblue,0)</f>
        <v>0</v>
      </c>
      <c r="M172" s="146">
        <f t="shared" si="53"/>
        <v>0</v>
      </c>
      <c r="N172" s="143" t="str">
        <f>IF(tuulisähkö_vuosi&lt;='S1 Sähkö'!C172,"tuulisähkö",ostosähkö_nyt)</f>
        <v>jäännössähkö</v>
      </c>
      <c r="O172" s="147">
        <f>INDEX(Muuttujat!$J$5:$J$21,MATCH($C172,Muuttujat!$H$5:$H$21,0),1)</f>
        <v>65.853419316547502</v>
      </c>
      <c r="P172" s="342">
        <f>1-(INDEX(Muuttujat!$O$5:$O$21,MATCH($C172,Muuttujat!$N$5:$N$21,0),1))</f>
        <v>0.94</v>
      </c>
      <c r="Q172" s="342">
        <f>INDEX(Muuttujat!$O$5:$O$21,MATCH($C172,Muuttujat!$N$5:$N$21,0),1)</f>
        <v>0.06</v>
      </c>
      <c r="R172" s="148">
        <f>INDEX(Muuttujat!$P$5:$P$21,MATCH($C172,Muuttujat!$N$5:$N$21,0),1)</f>
        <v>6.2623560726971367E-2</v>
      </c>
      <c r="S172" s="149">
        <f t="shared" si="43"/>
        <v>0</v>
      </c>
      <c r="T172" s="150">
        <f t="shared" si="44"/>
        <v>0</v>
      </c>
      <c r="U172" s="150">
        <f t="shared" si="45"/>
        <v>0</v>
      </c>
      <c r="V172" s="150">
        <f>IFERROR(INDEX(Työkonekanta!$J$3:$J$27,MATCH($A172,Työkonekanta!$A$3:$A$24,0),1)*$B172*ef_li_ion_akku/1000/1000/INDEX(Työkonekanta!$K$3:$K$27,MATCH($A172,Työkonekanta!$A$3:$A$24,0)),0)</f>
        <v>0</v>
      </c>
      <c r="W172" s="149">
        <f t="shared" si="54"/>
        <v>0</v>
      </c>
      <c r="X172" s="150">
        <f t="shared" si="55"/>
        <v>0</v>
      </c>
      <c r="Y172" s="151">
        <f t="shared" si="56"/>
        <v>0</v>
      </c>
      <c r="Z172" s="152">
        <f t="shared" si="49"/>
        <v>0</v>
      </c>
      <c r="AA172" s="153">
        <f t="shared" si="50"/>
        <v>0</v>
      </c>
      <c r="AB172" s="153">
        <f t="shared" si="51"/>
        <v>0</v>
      </c>
      <c r="AC172" s="154">
        <f t="shared" si="57"/>
        <v>0</v>
      </c>
      <c r="AD172" s="156">
        <f t="shared" si="52"/>
        <v>0</v>
      </c>
      <c r="AE172" s="182"/>
      <c r="AG172" s="2"/>
    </row>
    <row r="173" spans="1:37">
      <c r="A173" s="139">
        <v>21</v>
      </c>
      <c r="B173" s="139" cm="1">
        <f t="array" ref="B173">IFERROR(IF(A173=s1_id_korvattava1,INDEX($AG$3:$AG$19,MATCH(C173,$AF$3:$AF$19,0),1),IF(A173=s1_id_korvaava1,INDEX($AH$3:$AH$19,MATCH(C173,$AF$3:$AF$19,0),1),IF(A173=s1_id_korvattava2,INDEX($AI$3:$AI$19,MATCH(C173,$AF$3:$AF$19,0),1),IF(A173=s1_id_korvaava2,INDEX($AJ$3:$AJ$19,MATCH(C173,$AF$3:$AF$19,0),1),INDEX(Työkonekanta!$F$3:$F$27,MATCH('S1 Sähkö'!$A173,Työkonekanta!$A$3:$A$24,0),1))))),0)</f>
        <v>36</v>
      </c>
      <c r="C173" s="140">
        <v>2024</v>
      </c>
      <c r="D173" s="141" t="str">
        <f>IFERROR(INDEX(Työkonekanta!$D$3:$D$27,MATCH('S1 Sähkö'!$A173,Työkonekanta!$A$3:$A$24,0),1),"undefined")</f>
        <v>sähkö</v>
      </c>
      <c r="E173" s="145">
        <f>IFERROR(INDEX(Työkonekanta!$G$3:$G$27,MATCH($A173,Työkonekanta!$A$3:$A$24,0),1)*INDEX(Työkonekanta!$H$3:$H$27,MATCH($A173,Työkonekanta!$A$3:$A$24,0),1)*(1+s1_kerroin*($C173-2019))*$B173,0)</f>
        <v>439775</v>
      </c>
      <c r="F173" s="145">
        <f t="shared" si="40"/>
        <v>0</v>
      </c>
      <c r="G173" s="145">
        <f t="shared" si="46"/>
        <v>0</v>
      </c>
      <c r="H173" s="145">
        <f t="shared" si="47"/>
        <v>0</v>
      </c>
      <c r="I173" s="145">
        <f t="shared" si="41"/>
        <v>0</v>
      </c>
      <c r="J173" s="145">
        <f t="shared" si="42"/>
        <v>0</v>
      </c>
      <c r="K173" s="142" t="str">
        <f t="shared" si="48"/>
        <v>kWh</v>
      </c>
      <c r="L173" s="146">
        <f>IFERROR(INDEX(Työkonekanta!$I$3:$I$27,MATCH('S1 Sähkö'!$A173,Työkonekanta!$A$3:$A$24,0),1)*(I173+J173)*f_adblue,0)</f>
        <v>0</v>
      </c>
      <c r="M173" s="146">
        <f t="shared" si="53"/>
        <v>1583190</v>
      </c>
      <c r="N173" s="143" t="str">
        <f>IF(tuulisähkö_vuosi&lt;='S1 Sähkö'!C173,"tuulisähkö",ostosähkö_nyt)</f>
        <v>jäännössähkö</v>
      </c>
      <c r="O173" s="147">
        <f>INDEX(Muuttujat!$J$5:$J$21,MATCH($C173,Muuttujat!$H$5:$H$21,0),1)</f>
        <v>65.853419316547502</v>
      </c>
      <c r="P173" s="342">
        <f>1-(INDEX(Muuttujat!$O$5:$O$21,MATCH($C173,Muuttujat!$N$5:$N$21,0),1))</f>
        <v>0.94</v>
      </c>
      <c r="Q173" s="342">
        <f>INDEX(Muuttujat!$O$5:$O$21,MATCH($C173,Muuttujat!$N$5:$N$21,0),1)</f>
        <v>0.06</v>
      </c>
      <c r="R173" s="148">
        <f>INDEX(Muuttujat!$P$5:$P$21,MATCH($C173,Muuttujat!$N$5:$N$21,0),1)</f>
        <v>6.2623560726971367E-2</v>
      </c>
      <c r="S173" s="149">
        <f t="shared" si="43"/>
        <v>0</v>
      </c>
      <c r="T173" s="150">
        <f t="shared" si="44"/>
        <v>0</v>
      </c>
      <c r="U173" s="150">
        <f t="shared" si="45"/>
        <v>104.25847492776484</v>
      </c>
      <c r="V173" s="150">
        <f>IFERROR(INDEX(Työkonekanta!$J$3:$J$27,MATCH($A173,Työkonekanta!$A$3:$A$24,0),1)*$B173*ef_li_ion_akku/1000/1000/INDEX(Työkonekanta!$K$3:$K$27,MATCH($A173,Työkonekanta!$A$3:$A$24,0)),0)</f>
        <v>44.353772307692303</v>
      </c>
      <c r="W173" s="149">
        <f t="shared" si="54"/>
        <v>0</v>
      </c>
      <c r="X173" s="150">
        <f t="shared" si="55"/>
        <v>0</v>
      </c>
      <c r="Y173" s="151">
        <f t="shared" si="56"/>
        <v>0</v>
      </c>
      <c r="Z173" s="152">
        <f t="shared" si="49"/>
        <v>148.61224723545715</v>
      </c>
      <c r="AA173" s="153">
        <f t="shared" si="50"/>
        <v>0</v>
      </c>
      <c r="AB173" s="153">
        <f t="shared" si="51"/>
        <v>0</v>
      </c>
      <c r="AC173" s="154">
        <f t="shared" si="57"/>
        <v>148.61224723545715</v>
      </c>
      <c r="AD173" s="156">
        <f t="shared" si="52"/>
        <v>148.61224723545715</v>
      </c>
      <c r="AE173" s="182"/>
      <c r="AG173" s="2"/>
    </row>
    <row r="174" spans="1:37">
      <c r="A174" s="139">
        <v>22</v>
      </c>
      <c r="B174" s="139" cm="1">
        <f t="array" ref="B174">IFERROR(IF(A174=s1_id_korvattava1,INDEX($AG$3:$AG$19,MATCH(C174,$AF$3:$AF$19,0),1),IF(A174=s1_id_korvaava1,INDEX($AH$3:$AH$19,MATCH(C174,$AF$3:$AF$19,0),1),IF(A174=s1_id_korvattava2,INDEX($AI$3:$AI$19,MATCH(C174,$AF$3:$AF$19,0),1),IF(A174=s1_id_korvaava2,INDEX($AJ$3:$AJ$19,MATCH(C174,$AF$3:$AF$19,0),1),INDEX(Työkonekanta!$F$3:$F$27,MATCH('S1 Sähkö'!$A174,Työkonekanta!$A$3:$A$24,0),1))))),0)</f>
        <v>1</v>
      </c>
      <c r="C174" s="140">
        <v>2024</v>
      </c>
      <c r="D174" s="141" t="str">
        <f>IFERROR(INDEX(Työkonekanta!$D$3:$D$27,MATCH('S1 Sähkö'!$A174,Työkonekanta!$A$3:$A$24,0),1),"undefined")</f>
        <v>sähkö</v>
      </c>
      <c r="E174" s="145">
        <f>IFERROR(INDEX(Työkonekanta!$G$3:$G$27,MATCH($A174,Työkonekanta!$A$3:$A$24,0),1)*INDEX(Työkonekanta!$H$3:$H$27,MATCH($A174,Työkonekanta!$A$3:$A$24,0),1)*(1+s1_kerroin*($C174-2019))*$B174,0)</f>
        <v>46769.722222222226</v>
      </c>
      <c r="F174" s="145">
        <f t="shared" si="40"/>
        <v>0</v>
      </c>
      <c r="G174" s="145">
        <f t="shared" si="46"/>
        <v>0</v>
      </c>
      <c r="H174" s="145">
        <f t="shared" si="47"/>
        <v>0</v>
      </c>
      <c r="I174" s="145">
        <f t="shared" si="41"/>
        <v>0</v>
      </c>
      <c r="J174" s="145">
        <f t="shared" si="42"/>
        <v>0</v>
      </c>
      <c r="K174" s="142" t="str">
        <f t="shared" si="48"/>
        <v>kWh</v>
      </c>
      <c r="L174" s="146">
        <f>IFERROR(INDEX(Työkonekanta!$I$3:$I$27,MATCH('S1 Sähkö'!$A174,Työkonekanta!$A$3:$A$24,0),1)*(I174+J174)*f_adblue,0)</f>
        <v>0</v>
      </c>
      <c r="M174" s="146">
        <f t="shared" si="53"/>
        <v>168371.00000000003</v>
      </c>
      <c r="N174" s="143" t="str">
        <f>IF(tuulisähkö_vuosi&lt;='S1 Sähkö'!C174,"tuulisähkö",ostosähkö_nyt)</f>
        <v>jäännössähkö</v>
      </c>
      <c r="O174" s="147">
        <f>INDEX(Muuttujat!$J$5:$J$21,MATCH($C174,Muuttujat!$H$5:$H$21,0),1)</f>
        <v>65.853419316547502</v>
      </c>
      <c r="P174" s="342">
        <f>1-(INDEX(Muuttujat!$O$5:$O$21,MATCH($C174,Muuttujat!$N$5:$N$21,0),1))</f>
        <v>0.94</v>
      </c>
      <c r="Q174" s="342">
        <f>INDEX(Muuttujat!$O$5:$O$21,MATCH($C174,Muuttujat!$N$5:$N$21,0),1)</f>
        <v>0.06</v>
      </c>
      <c r="R174" s="148">
        <f>INDEX(Muuttujat!$P$5:$P$21,MATCH($C174,Muuttujat!$N$5:$N$21,0),1)</f>
        <v>6.2623560726971367E-2</v>
      </c>
      <c r="S174" s="149">
        <f t="shared" si="43"/>
        <v>0</v>
      </c>
      <c r="T174" s="150">
        <f t="shared" si="44"/>
        <v>0</v>
      </c>
      <c r="U174" s="150">
        <f t="shared" si="45"/>
        <v>11.08780606374642</v>
      </c>
      <c r="V174" s="150">
        <f>IFERROR(INDEX(Työkonekanta!$J$3:$J$27,MATCH($A174,Työkonekanta!$A$3:$A$24,0),1)*$B174*ef_li_ion_akku/1000/1000/INDEX(Työkonekanta!$K$3:$K$27,MATCH($A174,Työkonekanta!$A$3:$A$24,0)),0)</f>
        <v>5.2676455384615384</v>
      </c>
      <c r="W174" s="149">
        <f t="shared" si="54"/>
        <v>0</v>
      </c>
      <c r="X174" s="150">
        <f t="shared" si="55"/>
        <v>0</v>
      </c>
      <c r="Y174" s="151">
        <f t="shared" si="56"/>
        <v>0</v>
      </c>
      <c r="Z174" s="152">
        <f t="shared" si="49"/>
        <v>16.355451602207957</v>
      </c>
      <c r="AA174" s="153">
        <f t="shared" si="50"/>
        <v>0</v>
      </c>
      <c r="AB174" s="153">
        <f t="shared" si="51"/>
        <v>0</v>
      </c>
      <c r="AC174" s="154">
        <f t="shared" si="57"/>
        <v>16.355451602207957</v>
      </c>
      <c r="AD174" s="156">
        <f t="shared" si="52"/>
        <v>16.355451602207957</v>
      </c>
      <c r="AE174" s="182"/>
      <c r="AG174" s="2"/>
    </row>
    <row r="175" spans="1:37">
      <c r="A175" s="139">
        <v>23</v>
      </c>
      <c r="B175" s="139" cm="1">
        <f t="array" ref="B175">IFERROR(IF(A175=s1_id_korvattava1,INDEX($AG$3:$AG$19,MATCH(C175,$AF$3:$AF$19,0),1),IF(A175=s1_id_korvaava1,INDEX($AH$3:$AH$19,MATCH(C175,$AF$3:$AF$19,0),1),IF(A175=s1_id_korvattava2,INDEX($AI$3:$AI$19,MATCH(C175,$AF$3:$AF$19,0),1),IF(A175=s1_id_korvaava2,INDEX($AJ$3:$AJ$19,MATCH(C175,$AF$3:$AF$19,0),1),INDEX(Työkonekanta!$F$3:$F$27,MATCH('S1 Sähkö'!$A175,Työkonekanta!$A$3:$A$24,0),1))))),0)</f>
        <v>0</v>
      </c>
      <c r="C175" s="140">
        <v>2024</v>
      </c>
      <c r="D175" s="141" t="str">
        <f>IFERROR(INDEX(Työkonekanta!$D$3:$D$27,MATCH('S1 Sähkö'!$A175,Työkonekanta!$A$3:$A$24,0),1),"undefined")</f>
        <v>undefined</v>
      </c>
      <c r="E175" s="145">
        <f>IFERROR(INDEX(Työkonekanta!$G$3:$G$27,MATCH($A175,Työkonekanta!$A$3:$A$24,0),1)*INDEX(Työkonekanta!$H$3:$H$27,MATCH($A175,Työkonekanta!$A$3:$A$24,0),1)*(1+s1_kerroin*($C175-2019))*$B175,0)</f>
        <v>0</v>
      </c>
      <c r="F175" s="145">
        <f t="shared" si="40"/>
        <v>0</v>
      </c>
      <c r="G175" s="145">
        <f t="shared" si="46"/>
        <v>0</v>
      </c>
      <c r="H175" s="145">
        <f t="shared" si="47"/>
        <v>0</v>
      </c>
      <c r="I175" s="145">
        <f t="shared" si="41"/>
        <v>0</v>
      </c>
      <c r="J175" s="145">
        <f t="shared" si="42"/>
        <v>0</v>
      </c>
      <c r="K175" s="142" t="str">
        <f t="shared" si="48"/>
        <v>undefined</v>
      </c>
      <c r="L175" s="146">
        <f>IFERROR(INDEX(Työkonekanta!$I$3:$I$27,MATCH('S1 Sähkö'!$A175,Työkonekanta!$A$3:$A$24,0),1)*(I175+J175)*f_adblue,0)</f>
        <v>0</v>
      </c>
      <c r="M175" s="146">
        <f t="shared" si="53"/>
        <v>0</v>
      </c>
      <c r="N175" s="143" t="str">
        <f>IF(tuulisähkö_vuosi&lt;='S1 Sähkö'!C175,"tuulisähkö",ostosähkö_nyt)</f>
        <v>jäännössähkö</v>
      </c>
      <c r="O175" s="147">
        <f>INDEX(Muuttujat!$J$5:$J$21,MATCH($C175,Muuttujat!$H$5:$H$21,0),1)</f>
        <v>65.853419316547502</v>
      </c>
      <c r="P175" s="342">
        <f>1-(INDEX(Muuttujat!$O$5:$O$21,MATCH($C175,Muuttujat!$N$5:$N$21,0),1))</f>
        <v>0.94</v>
      </c>
      <c r="Q175" s="342">
        <f>INDEX(Muuttujat!$O$5:$O$21,MATCH($C175,Muuttujat!$N$5:$N$21,0),1)</f>
        <v>0.06</v>
      </c>
      <c r="R175" s="148">
        <f>INDEX(Muuttujat!$P$5:$P$21,MATCH($C175,Muuttujat!$N$5:$N$21,0),1)</f>
        <v>6.2623560726971367E-2</v>
      </c>
      <c r="S175" s="149">
        <f t="shared" si="43"/>
        <v>0</v>
      </c>
      <c r="T175" s="150">
        <f t="shared" si="44"/>
        <v>0</v>
      </c>
      <c r="U175" s="150">
        <f t="shared" si="45"/>
        <v>0</v>
      </c>
      <c r="V175" s="150">
        <f>IFERROR(INDEX(Työkonekanta!$J$3:$J$27,MATCH($A175,Työkonekanta!$A$3:$A$24,0),1)*$B175*ef_li_ion_akku/1000/1000/INDEX(Työkonekanta!$K$3:$K$27,MATCH($A175,Työkonekanta!$A$3:$A$24,0)),0)</f>
        <v>0</v>
      </c>
      <c r="W175" s="149">
        <f t="shared" si="54"/>
        <v>0</v>
      </c>
      <c r="X175" s="150">
        <f t="shared" si="55"/>
        <v>0</v>
      </c>
      <c r="Y175" s="151">
        <f t="shared" si="56"/>
        <v>0</v>
      </c>
      <c r="Z175" s="152">
        <f t="shared" si="49"/>
        <v>0</v>
      </c>
      <c r="AA175" s="153">
        <f t="shared" si="50"/>
        <v>0</v>
      </c>
      <c r="AB175" s="153">
        <f t="shared" si="51"/>
        <v>0</v>
      </c>
      <c r="AC175" s="154">
        <f t="shared" si="57"/>
        <v>0</v>
      </c>
      <c r="AD175" s="156">
        <f t="shared" si="52"/>
        <v>0</v>
      </c>
      <c r="AE175" s="182"/>
      <c r="AJ175" s="28"/>
      <c r="AK175" s="29"/>
    </row>
    <row r="176" spans="1:37">
      <c r="A176" s="139">
        <v>24</v>
      </c>
      <c r="B176" s="139" cm="1">
        <f t="array" ref="B176">IFERROR(IF(A176=s1_id_korvattava1,INDEX($AG$3:$AG$19,MATCH(C176,$AF$3:$AF$19,0),1),IF(A176=s1_id_korvaava1,INDEX($AH$3:$AH$19,MATCH(C176,$AF$3:$AF$19,0),1),IF(A176=s1_id_korvattava2,INDEX($AI$3:$AI$19,MATCH(C176,$AF$3:$AF$19,0),1),IF(A176=s1_id_korvaava2,INDEX($AJ$3:$AJ$19,MATCH(C176,$AF$3:$AF$19,0),1),INDEX(Työkonekanta!$F$3:$F$27,MATCH('S1 Sähkö'!$A176,Työkonekanta!$A$3:$A$24,0),1))))),0)</f>
        <v>0</v>
      </c>
      <c r="C176" s="140">
        <v>2024</v>
      </c>
      <c r="D176" s="141" t="str">
        <f>IFERROR(INDEX(Työkonekanta!$D$3:$D$27,MATCH('S1 Sähkö'!$A176,Työkonekanta!$A$3:$A$24,0),1),"undefined")</f>
        <v>undefined</v>
      </c>
      <c r="E176" s="145">
        <f>IFERROR(INDEX(Työkonekanta!$G$3:$G$27,MATCH($A176,Työkonekanta!$A$3:$A$24,0),1)*INDEX(Työkonekanta!$H$3:$H$27,MATCH($A176,Työkonekanta!$A$3:$A$24,0),1)*(1+s1_kerroin*($C176-2019))*$B176,0)</f>
        <v>0</v>
      </c>
      <c r="F176" s="145">
        <f t="shared" si="40"/>
        <v>0</v>
      </c>
      <c r="G176" s="145">
        <f t="shared" si="46"/>
        <v>0</v>
      </c>
      <c r="H176" s="145">
        <f t="shared" si="47"/>
        <v>0</v>
      </c>
      <c r="I176" s="145">
        <f t="shared" si="41"/>
        <v>0</v>
      </c>
      <c r="J176" s="145">
        <f t="shared" si="42"/>
        <v>0</v>
      </c>
      <c r="K176" s="142" t="str">
        <f t="shared" si="48"/>
        <v>undefined</v>
      </c>
      <c r="L176" s="146">
        <f>IFERROR(INDEX(Työkonekanta!$I$3:$I$27,MATCH('S1 Sähkö'!$A176,Työkonekanta!$A$3:$A$24,0),1)*(I176+J176)*f_adblue,0)</f>
        <v>0</v>
      </c>
      <c r="M176" s="146">
        <f t="shared" si="53"/>
        <v>0</v>
      </c>
      <c r="N176" s="143" t="str">
        <f>IF(tuulisähkö_vuosi&lt;='S1 Sähkö'!C176,"tuulisähkö",ostosähkö_nyt)</f>
        <v>jäännössähkö</v>
      </c>
      <c r="O176" s="147">
        <f>INDEX(Muuttujat!$J$5:$J$21,MATCH($C176,Muuttujat!$H$5:$H$21,0),1)</f>
        <v>65.853419316547502</v>
      </c>
      <c r="P176" s="342">
        <f>1-(INDEX(Muuttujat!$O$5:$O$21,MATCH($C176,Muuttujat!$N$5:$N$21,0),1))</f>
        <v>0.94</v>
      </c>
      <c r="Q176" s="342">
        <f>INDEX(Muuttujat!$O$5:$O$21,MATCH($C176,Muuttujat!$N$5:$N$21,0),1)</f>
        <v>0.06</v>
      </c>
      <c r="R176" s="148">
        <f>INDEX(Muuttujat!$P$5:$P$21,MATCH($C176,Muuttujat!$N$5:$N$21,0),1)</f>
        <v>6.2623560726971367E-2</v>
      </c>
      <c r="S176" s="149">
        <f t="shared" si="43"/>
        <v>0</v>
      </c>
      <c r="T176" s="150">
        <f t="shared" si="44"/>
        <v>0</v>
      </c>
      <c r="U176" s="150">
        <f t="shared" si="45"/>
        <v>0</v>
      </c>
      <c r="V176" s="150">
        <f>IFERROR(INDEX(Työkonekanta!$J$3:$J$27,MATCH($A176,Työkonekanta!$A$3:$A$24,0),1)*$B176*ef_li_ion_akku/1000/1000/INDEX(Työkonekanta!$K$3:$K$27,MATCH($A176,Työkonekanta!$A$3:$A$24,0)),0)</f>
        <v>0</v>
      </c>
      <c r="W176" s="149">
        <f t="shared" si="54"/>
        <v>0</v>
      </c>
      <c r="X176" s="150">
        <f t="shared" si="55"/>
        <v>0</v>
      </c>
      <c r="Y176" s="151">
        <f t="shared" si="56"/>
        <v>0</v>
      </c>
      <c r="Z176" s="152">
        <f t="shared" si="49"/>
        <v>0</v>
      </c>
      <c r="AA176" s="153">
        <f t="shared" si="50"/>
        <v>0</v>
      </c>
      <c r="AB176" s="153">
        <f t="shared" si="51"/>
        <v>0</v>
      </c>
      <c r="AC176" s="154">
        <f t="shared" si="57"/>
        <v>0</v>
      </c>
      <c r="AD176" s="156">
        <f t="shared" si="52"/>
        <v>0</v>
      </c>
      <c r="AE176" s="182"/>
      <c r="AJ176" s="28"/>
      <c r="AK176" s="29"/>
    </row>
    <row r="177" spans="1:37">
      <c r="A177" s="139">
        <v>25</v>
      </c>
      <c r="B177" s="139" cm="1">
        <f t="array" ref="B177">IFERROR(IF(A177=s1_id_korvattava1,INDEX($AG$3:$AG$19,MATCH(C177,$AF$3:$AF$19,0),1),IF(A177=s1_id_korvaava1,INDEX($AH$3:$AH$19,MATCH(C177,$AF$3:$AF$19,0),1),IF(A177=s1_id_korvattava2,INDEX($AI$3:$AI$19,MATCH(C177,$AF$3:$AF$19,0),1),IF(A177=s1_id_korvaava2,INDEX($AJ$3:$AJ$19,MATCH(C177,$AF$3:$AF$19,0),1),INDEX(Työkonekanta!$F$3:$F$27,MATCH('S1 Sähkö'!$A177,Työkonekanta!$A$3:$A$24,0),1))))),0)</f>
        <v>0</v>
      </c>
      <c r="C177" s="140">
        <v>2024</v>
      </c>
      <c r="D177" s="141" t="str">
        <f>IFERROR(INDEX(Työkonekanta!$D$3:$D$27,MATCH('S1 Sähkö'!$A177,Työkonekanta!$A$3:$A$24,0),1),"undefined")</f>
        <v>undefined</v>
      </c>
      <c r="E177" s="145">
        <f>IFERROR(INDEX(Työkonekanta!$G$3:$G$27,MATCH($A177,Työkonekanta!$A$3:$A$24,0),1)*INDEX(Työkonekanta!$H$3:$H$27,MATCH($A177,Työkonekanta!$A$3:$A$24,0),1)*(1+s1_kerroin*($C177-2019))*$B177,0)</f>
        <v>0</v>
      </c>
      <c r="F177" s="145">
        <f t="shared" si="40"/>
        <v>0</v>
      </c>
      <c r="G177" s="145">
        <f t="shared" si="46"/>
        <v>0</v>
      </c>
      <c r="H177" s="145">
        <f t="shared" si="47"/>
        <v>0</v>
      </c>
      <c r="I177" s="145">
        <f t="shared" si="41"/>
        <v>0</v>
      </c>
      <c r="J177" s="145">
        <f t="shared" si="42"/>
        <v>0</v>
      </c>
      <c r="K177" s="142" t="str">
        <f t="shared" si="48"/>
        <v>undefined</v>
      </c>
      <c r="L177" s="146">
        <f>IFERROR(INDEX(Työkonekanta!$I$3:$I$27,MATCH('S1 Sähkö'!$A177,Työkonekanta!$A$3:$A$24,0),1)*(I177+J177)*f_adblue,0)</f>
        <v>0</v>
      </c>
      <c r="M177" s="146">
        <f t="shared" si="53"/>
        <v>0</v>
      </c>
      <c r="N177" s="143" t="str">
        <f>IF(tuulisähkö_vuosi&lt;='S1 Sähkö'!C177,"tuulisähkö",ostosähkö_nyt)</f>
        <v>jäännössähkö</v>
      </c>
      <c r="O177" s="147">
        <f>INDEX(Muuttujat!$J$5:$J$21,MATCH($C177,Muuttujat!$H$5:$H$21,0),1)</f>
        <v>65.853419316547502</v>
      </c>
      <c r="P177" s="342">
        <f>1-(INDEX(Muuttujat!$O$5:$O$21,MATCH($C177,Muuttujat!$N$5:$N$21,0),1))</f>
        <v>0.94</v>
      </c>
      <c r="Q177" s="342">
        <f>INDEX(Muuttujat!$O$5:$O$21,MATCH($C177,Muuttujat!$N$5:$N$21,0),1)</f>
        <v>0.06</v>
      </c>
      <c r="R177" s="148">
        <f>INDEX(Muuttujat!$P$5:$P$21,MATCH($C177,Muuttujat!$N$5:$N$21,0),1)</f>
        <v>6.2623560726971367E-2</v>
      </c>
      <c r="S177" s="149">
        <f t="shared" si="43"/>
        <v>0</v>
      </c>
      <c r="T177" s="150">
        <f t="shared" si="44"/>
        <v>0</v>
      </c>
      <c r="U177" s="150">
        <f t="shared" si="45"/>
        <v>0</v>
      </c>
      <c r="V177" s="150">
        <f>IFERROR(INDEX(Työkonekanta!$J$3:$J$27,MATCH($A177,Työkonekanta!$A$3:$A$24,0),1)*$B177*ef_li_ion_akku/1000/1000/INDEX(Työkonekanta!$K$3:$K$27,MATCH($A177,Työkonekanta!$A$3:$A$24,0)),0)</f>
        <v>0</v>
      </c>
      <c r="W177" s="149">
        <f t="shared" si="54"/>
        <v>0</v>
      </c>
      <c r="X177" s="150">
        <f t="shared" si="55"/>
        <v>0</v>
      </c>
      <c r="Y177" s="151">
        <f t="shared" si="56"/>
        <v>0</v>
      </c>
      <c r="Z177" s="152">
        <f t="shared" si="49"/>
        <v>0</v>
      </c>
      <c r="AA177" s="153">
        <f t="shared" si="50"/>
        <v>0</v>
      </c>
      <c r="AB177" s="153">
        <f t="shared" si="51"/>
        <v>0</v>
      </c>
      <c r="AC177" s="154">
        <f t="shared" si="57"/>
        <v>0</v>
      </c>
      <c r="AD177" s="156">
        <f t="shared" si="52"/>
        <v>0</v>
      </c>
      <c r="AE177" s="182"/>
      <c r="AJ177" s="28"/>
      <c r="AK177" s="29"/>
    </row>
    <row r="178" spans="1:37">
      <c r="A178" s="139">
        <v>26</v>
      </c>
      <c r="B178" s="139" cm="1">
        <f t="array" ref="B178">IFERROR(IF(A178=s1_id_korvattava1,INDEX($AG$3:$AG$19,MATCH(C178,$AF$3:$AF$19,0),1),IF(A178=s1_id_korvaava1,INDEX($AH$3:$AH$19,MATCH(C178,$AF$3:$AF$19,0),1),IF(A178=s1_id_korvattava2,INDEX($AI$3:$AI$19,MATCH(C178,$AF$3:$AF$19,0),1),IF(A178=s1_id_korvaava2,INDEX($AJ$3:$AJ$19,MATCH(C178,$AF$3:$AF$19,0),1),INDEX(Työkonekanta!$F$3:$F$27,MATCH('S1 Sähkö'!$A178,Työkonekanta!$A$3:$A$24,0),1))))),0)</f>
        <v>0</v>
      </c>
      <c r="C178" s="140">
        <v>2024</v>
      </c>
      <c r="D178" s="141" t="str">
        <f>IFERROR(INDEX(Työkonekanta!$D$3:$D$27,MATCH('S1 Sähkö'!$A178,Työkonekanta!$A$3:$A$24,0),1),"undefined")</f>
        <v>undefined</v>
      </c>
      <c r="E178" s="145">
        <f>IFERROR(INDEX(Työkonekanta!$G$3:$G$27,MATCH($A178,Työkonekanta!$A$3:$A$24,0),1)*INDEX(Työkonekanta!$H$3:$H$27,MATCH($A178,Työkonekanta!$A$3:$A$24,0),1)*(1+s1_kerroin*($C178-2019))*$B178,0)</f>
        <v>0</v>
      </c>
      <c r="F178" s="145">
        <f t="shared" si="40"/>
        <v>0</v>
      </c>
      <c r="G178" s="145">
        <f t="shared" si="46"/>
        <v>0</v>
      </c>
      <c r="H178" s="145">
        <f t="shared" si="47"/>
        <v>0</v>
      </c>
      <c r="I178" s="145">
        <f t="shared" si="41"/>
        <v>0</v>
      </c>
      <c r="J178" s="145">
        <f t="shared" si="42"/>
        <v>0</v>
      </c>
      <c r="K178" s="142" t="str">
        <f t="shared" si="48"/>
        <v>undefined</v>
      </c>
      <c r="L178" s="146">
        <f>IFERROR(INDEX(Työkonekanta!$I$3:$I$27,MATCH('S1 Sähkö'!$A178,Työkonekanta!$A$3:$A$24,0),1)*(I178+J178)*f_adblue,0)</f>
        <v>0</v>
      </c>
      <c r="M178" s="146">
        <f t="shared" si="53"/>
        <v>0</v>
      </c>
      <c r="N178" s="143" t="str">
        <f>IF(tuulisähkö_vuosi&lt;='S1 Sähkö'!C178,"tuulisähkö",ostosähkö_nyt)</f>
        <v>jäännössähkö</v>
      </c>
      <c r="O178" s="147">
        <f>INDEX(Muuttujat!$J$5:$J$21,MATCH($C178,Muuttujat!$H$5:$H$21,0),1)</f>
        <v>65.853419316547502</v>
      </c>
      <c r="P178" s="342">
        <f>1-(INDEX(Muuttujat!$O$5:$O$21,MATCH($C178,Muuttujat!$N$5:$N$21,0),1))</f>
        <v>0.94</v>
      </c>
      <c r="Q178" s="342">
        <f>INDEX(Muuttujat!$O$5:$O$21,MATCH($C178,Muuttujat!$N$5:$N$21,0),1)</f>
        <v>0.06</v>
      </c>
      <c r="R178" s="148">
        <f>INDEX(Muuttujat!$P$5:$P$21,MATCH($C178,Muuttujat!$N$5:$N$21,0),1)</f>
        <v>6.2623560726971367E-2</v>
      </c>
      <c r="S178" s="149">
        <f t="shared" si="43"/>
        <v>0</v>
      </c>
      <c r="T178" s="150">
        <f t="shared" si="44"/>
        <v>0</v>
      </c>
      <c r="U178" s="150">
        <f t="shared" si="45"/>
        <v>0</v>
      </c>
      <c r="V178" s="150">
        <f>IFERROR(INDEX(Työkonekanta!$J$3:$J$27,MATCH($A178,Työkonekanta!$A$3:$A$24,0),1)*$B178*ef_li_ion_akku/1000/1000/INDEX(Työkonekanta!$K$3:$K$27,MATCH($A178,Työkonekanta!$A$3:$A$24,0)),0)</f>
        <v>0</v>
      </c>
      <c r="W178" s="149">
        <f t="shared" si="54"/>
        <v>0</v>
      </c>
      <c r="X178" s="150">
        <f t="shared" si="55"/>
        <v>0</v>
      </c>
      <c r="Y178" s="151">
        <f t="shared" si="56"/>
        <v>0</v>
      </c>
      <c r="Z178" s="152">
        <f t="shared" si="49"/>
        <v>0</v>
      </c>
      <c r="AA178" s="153">
        <f t="shared" si="50"/>
        <v>0</v>
      </c>
      <c r="AB178" s="153">
        <f t="shared" si="51"/>
        <v>0</v>
      </c>
      <c r="AC178" s="154">
        <f t="shared" si="57"/>
        <v>0</v>
      </c>
      <c r="AD178" s="156">
        <f t="shared" si="52"/>
        <v>0</v>
      </c>
      <c r="AE178" s="182"/>
      <c r="AJ178" s="28"/>
      <c r="AK178" s="29"/>
    </row>
    <row r="179" spans="1:37">
      <c r="A179" s="139">
        <v>27</v>
      </c>
      <c r="B179" s="139" cm="1">
        <f t="array" ref="B179">IFERROR(IF(A179=s1_id_korvattava1,INDEX($AG$3:$AG$19,MATCH(C179,$AF$3:$AF$19,0),1),IF(A179=s1_id_korvaava1,INDEX($AH$3:$AH$19,MATCH(C179,$AF$3:$AF$19,0),1),IF(A179=s1_id_korvattava2,INDEX($AI$3:$AI$19,MATCH(C179,$AF$3:$AF$19,0),1),IF(A179=s1_id_korvaava2,INDEX($AJ$3:$AJ$19,MATCH(C179,$AF$3:$AF$19,0),1),INDEX(Työkonekanta!$F$3:$F$27,MATCH('S1 Sähkö'!$A179,Työkonekanta!$A$3:$A$24,0),1))))),0)</f>
        <v>0</v>
      </c>
      <c r="C179" s="140">
        <v>2024</v>
      </c>
      <c r="D179" s="141" t="str">
        <f>IFERROR(INDEX(Työkonekanta!$D$3:$D$27,MATCH('S1 Sähkö'!$A179,Työkonekanta!$A$3:$A$24,0),1),"undefined")</f>
        <v>undefined</v>
      </c>
      <c r="E179" s="145">
        <f>IFERROR(INDEX(Työkonekanta!$G$3:$G$27,MATCH($A179,Työkonekanta!$A$3:$A$24,0),1)*INDEX(Työkonekanta!$H$3:$H$27,MATCH($A179,Työkonekanta!$A$3:$A$24,0),1)*(1+s1_kerroin*($C179-2019))*$B179,0)</f>
        <v>0</v>
      </c>
      <c r="F179" s="145">
        <f t="shared" si="40"/>
        <v>0</v>
      </c>
      <c r="G179" s="145">
        <f t="shared" si="46"/>
        <v>0</v>
      </c>
      <c r="H179" s="145">
        <f t="shared" si="47"/>
        <v>0</v>
      </c>
      <c r="I179" s="145">
        <f t="shared" si="41"/>
        <v>0</v>
      </c>
      <c r="J179" s="145">
        <f t="shared" si="42"/>
        <v>0</v>
      </c>
      <c r="K179" s="142" t="str">
        <f t="shared" si="48"/>
        <v>undefined</v>
      </c>
      <c r="L179" s="146">
        <f>IFERROR(INDEX(Työkonekanta!$I$3:$I$27,MATCH('S1 Sähkö'!$A179,Työkonekanta!$A$3:$A$24,0),1)*(I179+J179)*f_adblue,0)</f>
        <v>0</v>
      </c>
      <c r="M179" s="146">
        <f t="shared" si="53"/>
        <v>0</v>
      </c>
      <c r="N179" s="143" t="str">
        <f>IF(tuulisähkö_vuosi&lt;='S1 Sähkö'!C179,"tuulisähkö",ostosähkö_nyt)</f>
        <v>jäännössähkö</v>
      </c>
      <c r="O179" s="147">
        <f>INDEX(Muuttujat!$J$5:$J$21,MATCH($C179,Muuttujat!$H$5:$H$21,0),1)</f>
        <v>65.853419316547502</v>
      </c>
      <c r="P179" s="342">
        <f>1-(INDEX(Muuttujat!$O$5:$O$21,MATCH($C179,Muuttujat!$N$5:$N$21,0),1))</f>
        <v>0.94</v>
      </c>
      <c r="Q179" s="342">
        <f>INDEX(Muuttujat!$O$5:$O$21,MATCH($C179,Muuttujat!$N$5:$N$21,0),1)</f>
        <v>0.06</v>
      </c>
      <c r="R179" s="148">
        <f>INDEX(Muuttujat!$P$5:$P$21,MATCH($C179,Muuttujat!$N$5:$N$21,0),1)</f>
        <v>6.2623560726971367E-2</v>
      </c>
      <c r="S179" s="149">
        <f t="shared" si="43"/>
        <v>0</v>
      </c>
      <c r="T179" s="150">
        <f t="shared" si="44"/>
        <v>0</v>
      </c>
      <c r="U179" s="150">
        <f t="shared" si="45"/>
        <v>0</v>
      </c>
      <c r="V179" s="150">
        <f>IFERROR(INDEX(Työkonekanta!$J$3:$J$27,MATCH($A179,Työkonekanta!$A$3:$A$24,0),1)*$B179*ef_li_ion_akku/1000/1000/INDEX(Työkonekanta!$K$3:$K$27,MATCH($A179,Työkonekanta!$A$3:$A$24,0)),0)</f>
        <v>0</v>
      </c>
      <c r="W179" s="149">
        <f t="shared" si="54"/>
        <v>0</v>
      </c>
      <c r="X179" s="150">
        <f t="shared" si="55"/>
        <v>0</v>
      </c>
      <c r="Y179" s="151">
        <f t="shared" si="56"/>
        <v>0</v>
      </c>
      <c r="Z179" s="152">
        <f t="shared" si="49"/>
        <v>0</v>
      </c>
      <c r="AA179" s="153">
        <f t="shared" si="50"/>
        <v>0</v>
      </c>
      <c r="AB179" s="153">
        <f t="shared" si="51"/>
        <v>0</v>
      </c>
      <c r="AC179" s="154">
        <f t="shared" si="57"/>
        <v>0</v>
      </c>
      <c r="AD179" s="156">
        <f t="shared" si="52"/>
        <v>0</v>
      </c>
      <c r="AE179" s="182"/>
      <c r="AJ179" s="28"/>
      <c r="AK179" s="29"/>
    </row>
    <row r="180" spans="1:37">
      <c r="A180" s="139">
        <v>28</v>
      </c>
      <c r="B180" s="139" cm="1">
        <f t="array" ref="B180">IFERROR(IF(A180=s1_id_korvattava1,INDEX($AG$3:$AG$19,MATCH(C180,$AF$3:$AF$19,0),1),IF(A180=s1_id_korvaava1,INDEX($AH$3:$AH$19,MATCH(C180,$AF$3:$AF$19,0),1),IF(A180=s1_id_korvattava2,INDEX($AI$3:$AI$19,MATCH(C180,$AF$3:$AF$19,0),1),IF(A180=s1_id_korvaava2,INDEX($AJ$3:$AJ$19,MATCH(C180,$AF$3:$AF$19,0),1),INDEX(Työkonekanta!$F$3:$F$27,MATCH('S1 Sähkö'!$A180,Työkonekanta!$A$3:$A$24,0),1))))),0)</f>
        <v>0</v>
      </c>
      <c r="C180" s="140">
        <v>2024</v>
      </c>
      <c r="D180" s="141" t="str">
        <f>IFERROR(INDEX(Työkonekanta!$D$3:$D$27,MATCH('S1 Sähkö'!$A180,Työkonekanta!$A$3:$A$24,0),1),"undefined")</f>
        <v>undefined</v>
      </c>
      <c r="E180" s="145">
        <f>IFERROR(INDEX(Työkonekanta!$G$3:$G$27,MATCH($A180,Työkonekanta!$A$3:$A$24,0),1)*INDEX(Työkonekanta!$H$3:$H$27,MATCH($A180,Työkonekanta!$A$3:$A$24,0),1)*(1+s1_kerroin*($C180-2019))*$B180,0)</f>
        <v>0</v>
      </c>
      <c r="F180" s="145">
        <f t="shared" si="40"/>
        <v>0</v>
      </c>
      <c r="G180" s="145">
        <f t="shared" si="46"/>
        <v>0</v>
      </c>
      <c r="H180" s="145">
        <f t="shared" si="47"/>
        <v>0</v>
      </c>
      <c r="I180" s="145">
        <f t="shared" si="41"/>
        <v>0</v>
      </c>
      <c r="J180" s="145">
        <f t="shared" si="42"/>
        <v>0</v>
      </c>
      <c r="K180" s="142" t="str">
        <f t="shared" si="48"/>
        <v>undefined</v>
      </c>
      <c r="L180" s="146">
        <f>IFERROR(INDEX(Työkonekanta!$I$3:$I$27,MATCH('S1 Sähkö'!$A180,Työkonekanta!$A$3:$A$24,0),1)*(I180+J180)*f_adblue,0)</f>
        <v>0</v>
      </c>
      <c r="M180" s="146">
        <f t="shared" si="53"/>
        <v>0</v>
      </c>
      <c r="N180" s="143" t="str">
        <f>IF(tuulisähkö_vuosi&lt;='S1 Sähkö'!C180,"tuulisähkö",ostosähkö_nyt)</f>
        <v>jäännössähkö</v>
      </c>
      <c r="O180" s="147">
        <f>INDEX(Muuttujat!$J$5:$J$21,MATCH($C180,Muuttujat!$H$5:$H$21,0),1)</f>
        <v>65.853419316547502</v>
      </c>
      <c r="P180" s="342">
        <f>1-(INDEX(Muuttujat!$O$5:$O$21,MATCH($C180,Muuttujat!$N$5:$N$21,0),1))</f>
        <v>0.94</v>
      </c>
      <c r="Q180" s="342">
        <f>INDEX(Muuttujat!$O$5:$O$21,MATCH($C180,Muuttujat!$N$5:$N$21,0),1)</f>
        <v>0.06</v>
      </c>
      <c r="R180" s="148">
        <f>INDEX(Muuttujat!$P$5:$P$21,MATCH($C180,Muuttujat!$N$5:$N$21,0),1)</f>
        <v>6.2623560726971367E-2</v>
      </c>
      <c r="S180" s="149">
        <f t="shared" si="43"/>
        <v>0</v>
      </c>
      <c r="T180" s="150">
        <f t="shared" si="44"/>
        <v>0</v>
      </c>
      <c r="U180" s="150">
        <f t="shared" si="45"/>
        <v>0</v>
      </c>
      <c r="V180" s="150">
        <f>IFERROR(INDEX(Työkonekanta!$J$3:$J$27,MATCH($A180,Työkonekanta!$A$3:$A$24,0),1)*$B180*ef_li_ion_akku/1000/1000/INDEX(Työkonekanta!$K$3:$K$27,MATCH($A180,Työkonekanta!$A$3:$A$24,0)),0)</f>
        <v>0</v>
      </c>
      <c r="W180" s="149">
        <f t="shared" si="54"/>
        <v>0</v>
      </c>
      <c r="X180" s="150">
        <f t="shared" si="55"/>
        <v>0</v>
      </c>
      <c r="Y180" s="151">
        <f t="shared" si="56"/>
        <v>0</v>
      </c>
      <c r="Z180" s="152">
        <f t="shared" si="49"/>
        <v>0</v>
      </c>
      <c r="AA180" s="153">
        <f t="shared" si="50"/>
        <v>0</v>
      </c>
      <c r="AB180" s="153">
        <f t="shared" si="51"/>
        <v>0</v>
      </c>
      <c r="AC180" s="154">
        <f t="shared" si="57"/>
        <v>0</v>
      </c>
      <c r="AD180" s="156">
        <f t="shared" si="52"/>
        <v>0</v>
      </c>
      <c r="AE180" s="182"/>
      <c r="AJ180" s="28"/>
      <c r="AK180" s="29"/>
    </row>
    <row r="181" spans="1:37">
      <c r="A181" s="139">
        <v>29</v>
      </c>
      <c r="B181" s="139" cm="1">
        <f t="array" ref="B181">IFERROR(IF(A181=s1_id_korvattava1,INDEX($AG$3:$AG$19,MATCH(C181,$AF$3:$AF$19,0),1),IF(A181=s1_id_korvaava1,INDEX($AH$3:$AH$19,MATCH(C181,$AF$3:$AF$19,0),1),IF(A181=s1_id_korvattava2,INDEX($AI$3:$AI$19,MATCH(C181,$AF$3:$AF$19,0),1),IF(A181=s1_id_korvaava2,INDEX($AJ$3:$AJ$19,MATCH(C181,$AF$3:$AF$19,0),1),INDEX(Työkonekanta!$F$3:$F$27,MATCH('S1 Sähkö'!$A181,Työkonekanta!$A$3:$A$24,0),1))))),0)</f>
        <v>0</v>
      </c>
      <c r="C181" s="140">
        <v>2024</v>
      </c>
      <c r="D181" s="141" t="str">
        <f>IFERROR(INDEX(Työkonekanta!$D$3:$D$27,MATCH('S1 Sähkö'!$A181,Työkonekanta!$A$3:$A$24,0),1),"undefined")</f>
        <v>undefined</v>
      </c>
      <c r="E181" s="145">
        <f>IFERROR(INDEX(Työkonekanta!$G$3:$G$27,MATCH($A181,Työkonekanta!$A$3:$A$24,0),1)*INDEX(Työkonekanta!$H$3:$H$27,MATCH($A181,Työkonekanta!$A$3:$A$24,0),1)*(1+s1_kerroin*($C181-2019))*$B181,0)</f>
        <v>0</v>
      </c>
      <c r="F181" s="145">
        <f t="shared" si="40"/>
        <v>0</v>
      </c>
      <c r="G181" s="145">
        <f t="shared" si="46"/>
        <v>0</v>
      </c>
      <c r="H181" s="145">
        <f t="shared" si="47"/>
        <v>0</v>
      </c>
      <c r="I181" s="145">
        <f t="shared" si="41"/>
        <v>0</v>
      </c>
      <c r="J181" s="145">
        <f t="shared" si="42"/>
        <v>0</v>
      </c>
      <c r="K181" s="142" t="str">
        <f t="shared" si="48"/>
        <v>undefined</v>
      </c>
      <c r="L181" s="146">
        <f>IFERROR(INDEX(Työkonekanta!$I$3:$I$27,MATCH('S1 Sähkö'!$A181,Työkonekanta!$A$3:$A$24,0),1)*(I181+J181)*f_adblue,0)</f>
        <v>0</v>
      </c>
      <c r="M181" s="146">
        <f t="shared" si="53"/>
        <v>0</v>
      </c>
      <c r="N181" s="143" t="str">
        <f>IF(tuulisähkö_vuosi&lt;='S1 Sähkö'!C181,"tuulisähkö",ostosähkö_nyt)</f>
        <v>jäännössähkö</v>
      </c>
      <c r="O181" s="147">
        <f>INDEX(Muuttujat!$J$5:$J$21,MATCH($C181,Muuttujat!$H$5:$H$21,0),1)</f>
        <v>65.853419316547502</v>
      </c>
      <c r="P181" s="342">
        <f>1-(INDEX(Muuttujat!$O$5:$O$21,MATCH($C181,Muuttujat!$N$5:$N$21,0),1))</f>
        <v>0.94</v>
      </c>
      <c r="Q181" s="342">
        <f>INDEX(Muuttujat!$O$5:$O$21,MATCH($C181,Muuttujat!$N$5:$N$21,0),1)</f>
        <v>0.06</v>
      </c>
      <c r="R181" s="148">
        <f>INDEX(Muuttujat!$P$5:$P$21,MATCH($C181,Muuttujat!$N$5:$N$21,0),1)</f>
        <v>6.2623560726971367E-2</v>
      </c>
      <c r="S181" s="149">
        <f t="shared" si="43"/>
        <v>0</v>
      </c>
      <c r="T181" s="150">
        <f t="shared" si="44"/>
        <v>0</v>
      </c>
      <c r="U181" s="150">
        <f t="shared" si="45"/>
        <v>0</v>
      </c>
      <c r="V181" s="150">
        <f>IFERROR(INDEX(Työkonekanta!$J$3:$J$27,MATCH($A181,Työkonekanta!$A$3:$A$24,0),1)*$B181*ef_li_ion_akku/1000/1000/INDEX(Työkonekanta!$K$3:$K$27,MATCH($A181,Työkonekanta!$A$3:$A$24,0)),0)</f>
        <v>0</v>
      </c>
      <c r="W181" s="149">
        <f t="shared" si="54"/>
        <v>0</v>
      </c>
      <c r="X181" s="150">
        <f t="shared" si="55"/>
        <v>0</v>
      </c>
      <c r="Y181" s="151">
        <f t="shared" si="56"/>
        <v>0</v>
      </c>
      <c r="Z181" s="152">
        <f t="shared" si="49"/>
        <v>0</v>
      </c>
      <c r="AA181" s="153">
        <f t="shared" si="50"/>
        <v>0</v>
      </c>
      <c r="AB181" s="153">
        <f t="shared" si="51"/>
        <v>0</v>
      </c>
      <c r="AC181" s="154">
        <f t="shared" si="57"/>
        <v>0</v>
      </c>
      <c r="AD181" s="156">
        <f t="shared" si="52"/>
        <v>0</v>
      </c>
      <c r="AE181" s="182"/>
      <c r="AJ181" s="28"/>
      <c r="AK181" s="29"/>
    </row>
    <row r="182" spans="1:37">
      <c r="A182" s="139">
        <v>30</v>
      </c>
      <c r="B182" s="139" cm="1">
        <f t="array" ref="B182">IFERROR(IF(A182=s1_id_korvattava1,INDEX($AG$3:$AG$19,MATCH(C182,$AF$3:$AF$19,0),1),IF(A182=s1_id_korvaava1,INDEX($AH$3:$AH$19,MATCH(C182,$AF$3:$AF$19,0),1),IF(A182=s1_id_korvattava2,INDEX($AI$3:$AI$19,MATCH(C182,$AF$3:$AF$19,0),1),IF(A182=s1_id_korvaava2,INDEX($AJ$3:$AJ$19,MATCH(C182,$AF$3:$AF$19,0),1),INDEX(Työkonekanta!$F$3:$F$27,MATCH('S1 Sähkö'!$A182,Työkonekanta!$A$3:$A$24,0),1))))),0)</f>
        <v>0</v>
      </c>
      <c r="C182" s="140">
        <v>2024</v>
      </c>
      <c r="D182" s="141" t="str">
        <f>IFERROR(INDEX(Työkonekanta!$D$3:$D$27,MATCH('S1 Sähkö'!$A182,Työkonekanta!$A$3:$A$24,0),1),"undefined")</f>
        <v>undefined</v>
      </c>
      <c r="E182" s="145">
        <f>IFERROR(INDEX(Työkonekanta!$G$3:$G$27,MATCH($A182,Työkonekanta!$A$3:$A$24,0),1)*INDEX(Työkonekanta!$H$3:$H$27,MATCH($A182,Työkonekanta!$A$3:$A$24,0),1)*(1+s1_kerroin*($C182-2019))*$B182,0)</f>
        <v>0</v>
      </c>
      <c r="F182" s="145">
        <f t="shared" si="40"/>
        <v>0</v>
      </c>
      <c r="G182" s="145">
        <f t="shared" si="46"/>
        <v>0</v>
      </c>
      <c r="H182" s="145">
        <f t="shared" si="47"/>
        <v>0</v>
      </c>
      <c r="I182" s="145">
        <f t="shared" si="41"/>
        <v>0</v>
      </c>
      <c r="J182" s="145">
        <f t="shared" si="42"/>
        <v>0</v>
      </c>
      <c r="K182" s="142" t="str">
        <f t="shared" si="48"/>
        <v>undefined</v>
      </c>
      <c r="L182" s="146">
        <f>IFERROR(INDEX(Työkonekanta!$I$3:$I$27,MATCH('S1 Sähkö'!$A182,Työkonekanta!$A$3:$A$24,0),1)*(I182+J182)*f_adblue,0)</f>
        <v>0</v>
      </c>
      <c r="M182" s="146">
        <f t="shared" si="53"/>
        <v>0</v>
      </c>
      <c r="N182" s="143" t="str">
        <f>IF(tuulisähkö_vuosi&lt;='S1 Sähkö'!C182,"tuulisähkö",ostosähkö_nyt)</f>
        <v>jäännössähkö</v>
      </c>
      <c r="O182" s="147">
        <f>INDEX(Muuttujat!$J$5:$J$21,MATCH($C182,Muuttujat!$H$5:$H$21,0),1)</f>
        <v>65.853419316547502</v>
      </c>
      <c r="P182" s="342">
        <f>1-(INDEX(Muuttujat!$O$5:$O$21,MATCH($C182,Muuttujat!$N$5:$N$21,0),1))</f>
        <v>0.94</v>
      </c>
      <c r="Q182" s="342">
        <f>INDEX(Muuttujat!$O$5:$O$21,MATCH($C182,Muuttujat!$N$5:$N$21,0),1)</f>
        <v>0.06</v>
      </c>
      <c r="R182" s="148">
        <f>INDEX(Muuttujat!$P$5:$P$21,MATCH($C182,Muuttujat!$N$5:$N$21,0),1)</f>
        <v>6.2623560726971367E-2</v>
      </c>
      <c r="S182" s="149">
        <f t="shared" si="43"/>
        <v>0</v>
      </c>
      <c r="T182" s="150">
        <f t="shared" si="44"/>
        <v>0</v>
      </c>
      <c r="U182" s="150">
        <f t="shared" si="45"/>
        <v>0</v>
      </c>
      <c r="V182" s="150">
        <f>IFERROR(INDEX(Työkonekanta!$J$3:$J$27,MATCH($A182,Työkonekanta!$A$3:$A$24,0),1)*$B182*ef_li_ion_akku/1000/1000/INDEX(Työkonekanta!$K$3:$K$27,MATCH($A182,Työkonekanta!$A$3:$A$24,0)),0)</f>
        <v>0</v>
      </c>
      <c r="W182" s="149">
        <f t="shared" si="54"/>
        <v>0</v>
      </c>
      <c r="X182" s="150">
        <f t="shared" si="55"/>
        <v>0</v>
      </c>
      <c r="Y182" s="151">
        <f t="shared" si="56"/>
        <v>0</v>
      </c>
      <c r="Z182" s="152">
        <f t="shared" si="49"/>
        <v>0</v>
      </c>
      <c r="AA182" s="153">
        <f t="shared" si="50"/>
        <v>0</v>
      </c>
      <c r="AB182" s="153">
        <f t="shared" si="51"/>
        <v>0</v>
      </c>
      <c r="AC182" s="154">
        <f t="shared" si="57"/>
        <v>0</v>
      </c>
      <c r="AD182" s="156">
        <f t="shared" si="52"/>
        <v>0</v>
      </c>
      <c r="AE182" s="182"/>
      <c r="AJ182" s="28"/>
      <c r="AK182" s="29"/>
    </row>
    <row r="183" spans="1:37">
      <c r="A183" s="139">
        <v>1</v>
      </c>
      <c r="B183" s="139" cm="1">
        <f t="array" ref="B183">IFERROR(IF(A183=s1_id_korvattava1,INDEX($AG$3:$AG$19,MATCH(C183,$AF$3:$AF$19,0),1),IF(A183=s1_id_korvaava1,INDEX($AH$3:$AH$19,MATCH(C183,$AF$3:$AF$19,0),1),IF(A183=s1_id_korvattava2,INDEX($AI$3:$AI$19,MATCH(C183,$AF$3:$AF$19,0),1),IF(A183=s1_id_korvaava2,INDEX($AJ$3:$AJ$19,MATCH(C183,$AF$3:$AF$19,0),1),INDEX(Työkonekanta!$F$3:$F$27,MATCH('S1 Sähkö'!$A183,Työkonekanta!$A$3:$A$24,0),1))))),0)</f>
        <v>1</v>
      </c>
      <c r="C183" s="140">
        <v>2025</v>
      </c>
      <c r="D183" s="141" t="str">
        <f>IFERROR(INDEX(Työkonekanta!$D$3:$D$27,MATCH('S1 Sähkö'!$A183,Työkonekanta!$A$3:$A$24,0),1),"undefined")</f>
        <v>pom</v>
      </c>
      <c r="E183" s="145">
        <f>IFERROR(INDEX(Työkonekanta!$G$3:$G$27,MATCH($A183,Työkonekanta!$A$3:$A$24,0),1)*INDEX(Työkonekanta!$H$3:$H$27,MATCH($A183,Työkonekanta!$A$3:$A$24,0),1)*(1+s1_kerroin*($C183-2019))*$B183,0)</f>
        <v>10600</v>
      </c>
      <c r="F183" s="145">
        <f t="shared" si="40"/>
        <v>380540</v>
      </c>
      <c r="G183" s="145">
        <f t="shared" si="46"/>
        <v>353902.19999999995</v>
      </c>
      <c r="H183" s="145">
        <f t="shared" si="47"/>
        <v>26637.800000000003</v>
      </c>
      <c r="I183" s="145">
        <f t="shared" si="41"/>
        <v>9858</v>
      </c>
      <c r="J183" s="145">
        <f t="shared" si="42"/>
        <v>776.61224489795939</v>
      </c>
      <c r="K183" s="142" t="str">
        <f t="shared" si="48"/>
        <v>l</v>
      </c>
      <c r="L183" s="146">
        <f>IFERROR(INDEX(Työkonekanta!$I$3:$I$27,MATCH('S1 Sähkö'!$A183,Työkonekanta!$A$3:$A$24,0),1)*(I183+J183)*f_adblue,0)</f>
        <v>531.730612244898</v>
      </c>
      <c r="M183" s="146">
        <f t="shared" si="53"/>
        <v>0</v>
      </c>
      <c r="N183" s="143" t="str">
        <f>IF(tuulisähkö_vuosi&lt;='S1 Sähkö'!C183,"tuulisähkö",ostosähkö_nyt)</f>
        <v>jäännössähkö</v>
      </c>
      <c r="O183" s="147">
        <f>INDEX(Muuttujat!$J$5:$J$21,MATCH($C183,Muuttujat!$H$5:$H$21,0),1)</f>
        <v>65.194885123382022</v>
      </c>
      <c r="P183" s="342">
        <f>1-(INDEX(Muuttujat!$O$5:$O$21,MATCH($C183,Muuttujat!$N$5:$N$21,0),1))</f>
        <v>0.92999999999999994</v>
      </c>
      <c r="Q183" s="342">
        <f>INDEX(Muuttujat!$O$5:$O$21,MATCH($C183,Muuttujat!$N$5:$N$21,0),1)</f>
        <v>7.0000000000000007E-2</v>
      </c>
      <c r="R183" s="148">
        <f>INDEX(Muuttujat!$P$5:$P$21,MATCH($C183,Muuttujat!$N$5:$N$21,0),1)</f>
        <v>7.3026850896560899E-2</v>
      </c>
      <c r="S183" s="149">
        <f t="shared" si="43"/>
        <v>6.6887515799999981</v>
      </c>
      <c r="T183" s="150">
        <f t="shared" si="44"/>
        <v>1.6621987200000001</v>
      </c>
      <c r="U183" s="150">
        <f t="shared" si="45"/>
        <v>0</v>
      </c>
      <c r="V183" s="150">
        <f>IFERROR(INDEX(Työkonekanta!$J$3:$J$27,MATCH($A183,Työkonekanta!$A$3:$A$24,0),1)*$B183*ef_li_ion_akku/1000/1000/INDEX(Työkonekanta!$K$3:$K$27,MATCH($A183,Työkonekanta!$A$3:$A$24,0)),0)</f>
        <v>0</v>
      </c>
      <c r="W183" s="149">
        <f t="shared" si="54"/>
        <v>26.1209035673388</v>
      </c>
      <c r="X183" s="150">
        <f t="shared" si="55"/>
        <v>0.33681039959999998</v>
      </c>
      <c r="Y183" s="151">
        <f t="shared" si="56"/>
        <v>0.1382499591836735</v>
      </c>
      <c r="Z183" s="152">
        <f t="shared" si="49"/>
        <v>8.3509502999999974</v>
      </c>
      <c r="AA183" s="153">
        <f t="shared" si="50"/>
        <v>26.259153526522475</v>
      </c>
      <c r="AB183" s="153">
        <f t="shared" si="51"/>
        <v>26.595963926122476</v>
      </c>
      <c r="AC183" s="154">
        <f t="shared" si="57"/>
        <v>34.610103826522476</v>
      </c>
      <c r="AD183" s="156">
        <f t="shared" si="52"/>
        <v>34.946914226122473</v>
      </c>
      <c r="AE183" s="182"/>
      <c r="AG183" s="2"/>
    </row>
    <row r="184" spans="1:37">
      <c r="A184" s="139">
        <v>2</v>
      </c>
      <c r="B184" s="139" cm="1">
        <f t="array" ref="B184">IFERROR(IF(A184=s1_id_korvattava1,INDEX($AG$3:$AG$19,MATCH(C184,$AF$3:$AF$19,0),1),IF(A184=s1_id_korvaava1,INDEX($AH$3:$AH$19,MATCH(C184,$AF$3:$AF$19,0),1),IF(A184=s1_id_korvattava2,INDEX($AI$3:$AI$19,MATCH(C184,$AF$3:$AF$19,0),1),IF(A184=s1_id_korvaava2,INDEX($AJ$3:$AJ$19,MATCH(C184,$AF$3:$AF$19,0),1),INDEX(Työkonekanta!$F$3:$F$27,MATCH('S1 Sähkö'!$A184,Työkonekanta!$A$3:$A$24,0),1))))),0)</f>
        <v>1</v>
      </c>
      <c r="C184" s="140">
        <v>2025</v>
      </c>
      <c r="D184" s="141" t="str">
        <f>IFERROR(INDEX(Työkonekanta!$D$3:$D$27,MATCH('S1 Sähkö'!$A184,Työkonekanta!$A$3:$A$24,0),1),"undefined")</f>
        <v>pom</v>
      </c>
      <c r="E184" s="145">
        <f>IFERROR(INDEX(Työkonekanta!$G$3:$G$27,MATCH($A184,Työkonekanta!$A$3:$A$24,0),1)*INDEX(Työkonekanta!$H$3:$H$27,MATCH($A184,Työkonekanta!$A$3:$A$24,0),1)*(1+s1_kerroin*($C184-2019))*$B184,0)</f>
        <v>10600</v>
      </c>
      <c r="F184" s="145">
        <f t="shared" si="40"/>
        <v>380540</v>
      </c>
      <c r="G184" s="145">
        <f t="shared" si="46"/>
        <v>353902.19999999995</v>
      </c>
      <c r="H184" s="145">
        <f t="shared" si="47"/>
        <v>26637.800000000003</v>
      </c>
      <c r="I184" s="145">
        <f t="shared" si="41"/>
        <v>9858</v>
      </c>
      <c r="J184" s="145">
        <f t="shared" si="42"/>
        <v>776.61224489795939</v>
      </c>
      <c r="K184" s="142" t="str">
        <f t="shared" si="48"/>
        <v>l</v>
      </c>
      <c r="L184" s="146">
        <f>IFERROR(INDEX(Työkonekanta!$I$3:$I$27,MATCH('S1 Sähkö'!$A184,Työkonekanta!$A$3:$A$24,0),1)*(I184+J184)*f_adblue,0)</f>
        <v>531.730612244898</v>
      </c>
      <c r="M184" s="146">
        <f t="shared" si="53"/>
        <v>0</v>
      </c>
      <c r="N184" s="143" t="str">
        <f>IF(tuulisähkö_vuosi&lt;='S1 Sähkö'!C184,"tuulisähkö",ostosähkö_nyt)</f>
        <v>jäännössähkö</v>
      </c>
      <c r="O184" s="147">
        <f>INDEX(Muuttujat!$J$5:$J$21,MATCH($C184,Muuttujat!$H$5:$H$21,0),1)</f>
        <v>65.194885123382022</v>
      </c>
      <c r="P184" s="342">
        <f>1-(INDEX(Muuttujat!$O$5:$O$21,MATCH($C184,Muuttujat!$N$5:$N$21,0),1))</f>
        <v>0.92999999999999994</v>
      </c>
      <c r="Q184" s="342">
        <f>INDEX(Muuttujat!$O$5:$O$21,MATCH($C184,Muuttujat!$N$5:$N$21,0),1)</f>
        <v>7.0000000000000007E-2</v>
      </c>
      <c r="R184" s="148">
        <f>INDEX(Muuttujat!$P$5:$P$21,MATCH($C184,Muuttujat!$N$5:$N$21,0),1)</f>
        <v>7.3026850896560899E-2</v>
      </c>
      <c r="S184" s="149">
        <f t="shared" si="43"/>
        <v>6.6887515799999981</v>
      </c>
      <c r="T184" s="150">
        <f t="shared" si="44"/>
        <v>1.6621987200000001</v>
      </c>
      <c r="U184" s="150">
        <f t="shared" si="45"/>
        <v>0</v>
      </c>
      <c r="V184" s="150">
        <f>IFERROR(INDEX(Työkonekanta!$J$3:$J$27,MATCH($A184,Työkonekanta!$A$3:$A$24,0),1)*$B184*ef_li_ion_akku/1000/1000/INDEX(Työkonekanta!$K$3:$K$27,MATCH($A184,Työkonekanta!$A$3:$A$24,0)),0)</f>
        <v>0</v>
      </c>
      <c r="W184" s="149">
        <f t="shared" si="54"/>
        <v>26.1209035673388</v>
      </c>
      <c r="X184" s="150">
        <f t="shared" si="55"/>
        <v>0.33681039959999998</v>
      </c>
      <c r="Y184" s="151">
        <f t="shared" si="56"/>
        <v>0.1382499591836735</v>
      </c>
      <c r="Z184" s="152">
        <f t="shared" si="49"/>
        <v>8.3509502999999974</v>
      </c>
      <c r="AA184" s="153">
        <f t="shared" si="50"/>
        <v>26.259153526522475</v>
      </c>
      <c r="AB184" s="153">
        <f t="shared" si="51"/>
        <v>26.595963926122476</v>
      </c>
      <c r="AC184" s="154">
        <f t="shared" si="57"/>
        <v>34.610103826522476</v>
      </c>
      <c r="AD184" s="156">
        <f t="shared" si="52"/>
        <v>34.946914226122473</v>
      </c>
      <c r="AE184" s="182"/>
      <c r="AG184" s="2"/>
    </row>
    <row r="185" spans="1:37">
      <c r="A185" s="139">
        <v>3</v>
      </c>
      <c r="B185" s="139" cm="1">
        <f t="array" ref="B185">IFERROR(IF(A185=s1_id_korvattava1,INDEX($AG$3:$AG$19,MATCH(C185,$AF$3:$AF$19,0),1),IF(A185=s1_id_korvaava1,INDEX($AH$3:$AH$19,MATCH(C185,$AF$3:$AF$19,0),1),IF(A185=s1_id_korvattava2,INDEX($AI$3:$AI$19,MATCH(C185,$AF$3:$AF$19,0),1),IF(A185=s1_id_korvaava2,INDEX($AJ$3:$AJ$19,MATCH(C185,$AF$3:$AF$19,0),1),INDEX(Työkonekanta!$F$3:$F$27,MATCH('S1 Sähkö'!$A185,Työkonekanta!$A$3:$A$24,0),1))))),0)</f>
        <v>1</v>
      </c>
      <c r="C185" s="140">
        <v>2025</v>
      </c>
      <c r="D185" s="141" t="str">
        <f>IFERROR(INDEX(Työkonekanta!$D$3:$D$27,MATCH('S1 Sähkö'!$A185,Työkonekanta!$A$3:$A$24,0),1),"undefined")</f>
        <v>pom</v>
      </c>
      <c r="E185" s="145">
        <f>IFERROR(INDEX(Työkonekanta!$G$3:$G$27,MATCH($A185,Työkonekanta!$A$3:$A$24,0),1)*INDEX(Työkonekanta!$H$3:$H$27,MATCH($A185,Työkonekanta!$A$3:$A$24,0),1)*(1+s1_kerroin*($C185-2019))*$B185,0)</f>
        <v>10600</v>
      </c>
      <c r="F185" s="145">
        <f t="shared" si="40"/>
        <v>380540</v>
      </c>
      <c r="G185" s="145">
        <f t="shared" si="46"/>
        <v>353902.19999999995</v>
      </c>
      <c r="H185" s="145">
        <f t="shared" si="47"/>
        <v>26637.800000000003</v>
      </c>
      <c r="I185" s="145">
        <f t="shared" si="41"/>
        <v>9858</v>
      </c>
      <c r="J185" s="145">
        <f t="shared" si="42"/>
        <v>776.61224489795939</v>
      </c>
      <c r="K185" s="142" t="str">
        <f t="shared" si="48"/>
        <v>l</v>
      </c>
      <c r="L185" s="146">
        <f>IFERROR(INDEX(Työkonekanta!$I$3:$I$27,MATCH('S1 Sähkö'!$A185,Työkonekanta!$A$3:$A$24,0),1)*(I185+J185)*f_adblue,0)</f>
        <v>531.730612244898</v>
      </c>
      <c r="M185" s="146">
        <f t="shared" si="53"/>
        <v>0</v>
      </c>
      <c r="N185" s="143" t="str">
        <f>IF(tuulisähkö_vuosi&lt;='S1 Sähkö'!C185,"tuulisähkö",ostosähkö_nyt)</f>
        <v>jäännössähkö</v>
      </c>
      <c r="O185" s="147">
        <f>INDEX(Muuttujat!$J$5:$J$21,MATCH($C185,Muuttujat!$H$5:$H$21,0),1)</f>
        <v>65.194885123382022</v>
      </c>
      <c r="P185" s="342">
        <f>1-(INDEX(Muuttujat!$O$5:$O$21,MATCH($C185,Muuttujat!$N$5:$N$21,0),1))</f>
        <v>0.92999999999999994</v>
      </c>
      <c r="Q185" s="342">
        <f>INDEX(Muuttujat!$O$5:$O$21,MATCH($C185,Muuttujat!$N$5:$N$21,0),1)</f>
        <v>7.0000000000000007E-2</v>
      </c>
      <c r="R185" s="148">
        <f>INDEX(Muuttujat!$P$5:$P$21,MATCH($C185,Muuttujat!$N$5:$N$21,0),1)</f>
        <v>7.3026850896560899E-2</v>
      </c>
      <c r="S185" s="149">
        <f t="shared" si="43"/>
        <v>6.6887515799999981</v>
      </c>
      <c r="T185" s="150">
        <f t="shared" si="44"/>
        <v>1.6621987200000001</v>
      </c>
      <c r="U185" s="150">
        <f t="shared" si="45"/>
        <v>0</v>
      </c>
      <c r="V185" s="150">
        <f>IFERROR(INDEX(Työkonekanta!$J$3:$J$27,MATCH($A185,Työkonekanta!$A$3:$A$24,0),1)*$B185*ef_li_ion_akku/1000/1000/INDEX(Työkonekanta!$K$3:$K$27,MATCH($A185,Työkonekanta!$A$3:$A$24,0)),0)</f>
        <v>0</v>
      </c>
      <c r="W185" s="149">
        <f t="shared" si="54"/>
        <v>26.1209035673388</v>
      </c>
      <c r="X185" s="150">
        <f t="shared" si="55"/>
        <v>0.33681039959999998</v>
      </c>
      <c r="Y185" s="151">
        <f t="shared" si="56"/>
        <v>0.1382499591836735</v>
      </c>
      <c r="Z185" s="152">
        <f t="shared" si="49"/>
        <v>8.3509502999999974</v>
      </c>
      <c r="AA185" s="153">
        <f t="shared" si="50"/>
        <v>26.259153526522475</v>
      </c>
      <c r="AB185" s="153">
        <f t="shared" si="51"/>
        <v>26.595963926122476</v>
      </c>
      <c r="AC185" s="154">
        <f t="shared" si="57"/>
        <v>34.610103826522476</v>
      </c>
      <c r="AD185" s="156">
        <f t="shared" si="52"/>
        <v>34.946914226122473</v>
      </c>
      <c r="AE185" s="182"/>
      <c r="AG185" s="2"/>
    </row>
    <row r="186" spans="1:37">
      <c r="A186" s="139">
        <v>4</v>
      </c>
      <c r="B186" s="139" cm="1">
        <f t="array" ref="B186">IFERROR(IF(A186=s1_id_korvattava1,INDEX($AG$3:$AG$19,MATCH(C186,$AF$3:$AF$19,0),1),IF(A186=s1_id_korvaava1,INDEX($AH$3:$AH$19,MATCH(C186,$AF$3:$AF$19,0),1),IF(A186=s1_id_korvattava2,INDEX($AI$3:$AI$19,MATCH(C186,$AF$3:$AF$19,0),1),IF(A186=s1_id_korvaava2,INDEX($AJ$3:$AJ$19,MATCH(C186,$AF$3:$AF$19,0),1),INDEX(Työkonekanta!$F$3:$F$27,MATCH('S1 Sähkö'!$A186,Työkonekanta!$A$3:$A$24,0),1))))),0)</f>
        <v>1</v>
      </c>
      <c r="C186" s="140">
        <v>2025</v>
      </c>
      <c r="D186" s="141" t="str">
        <f>IFERROR(INDEX(Työkonekanta!$D$3:$D$27,MATCH('S1 Sähkö'!$A186,Työkonekanta!$A$3:$A$24,0),1),"undefined")</f>
        <v>pom</v>
      </c>
      <c r="E186" s="145">
        <f>IFERROR(INDEX(Työkonekanta!$G$3:$G$27,MATCH($A186,Työkonekanta!$A$3:$A$24,0),1)*INDEX(Työkonekanta!$H$3:$H$27,MATCH($A186,Työkonekanta!$A$3:$A$24,0),1)*(1+s1_kerroin*($C186-2019))*$B186,0)</f>
        <v>10600</v>
      </c>
      <c r="F186" s="145">
        <f t="shared" si="40"/>
        <v>380540</v>
      </c>
      <c r="G186" s="145">
        <f t="shared" si="46"/>
        <v>353902.19999999995</v>
      </c>
      <c r="H186" s="145">
        <f t="shared" si="47"/>
        <v>26637.800000000003</v>
      </c>
      <c r="I186" s="145">
        <f t="shared" si="41"/>
        <v>9858</v>
      </c>
      <c r="J186" s="145">
        <f t="shared" si="42"/>
        <v>776.61224489795939</v>
      </c>
      <c r="K186" s="142" t="str">
        <f t="shared" si="48"/>
        <v>l</v>
      </c>
      <c r="L186" s="146">
        <f>IFERROR(INDEX(Työkonekanta!$I$3:$I$27,MATCH('S1 Sähkö'!$A186,Työkonekanta!$A$3:$A$24,0),1)*(I186+J186)*f_adblue,0)</f>
        <v>531.730612244898</v>
      </c>
      <c r="M186" s="146">
        <f t="shared" si="53"/>
        <v>0</v>
      </c>
      <c r="N186" s="143" t="str">
        <f>IF(tuulisähkö_vuosi&lt;='S1 Sähkö'!C186,"tuulisähkö",ostosähkö_nyt)</f>
        <v>jäännössähkö</v>
      </c>
      <c r="O186" s="147">
        <f>INDEX(Muuttujat!$J$5:$J$21,MATCH($C186,Muuttujat!$H$5:$H$21,0),1)</f>
        <v>65.194885123382022</v>
      </c>
      <c r="P186" s="342">
        <f>1-(INDEX(Muuttujat!$O$5:$O$21,MATCH($C186,Muuttujat!$N$5:$N$21,0),1))</f>
        <v>0.92999999999999994</v>
      </c>
      <c r="Q186" s="342">
        <f>INDEX(Muuttujat!$O$5:$O$21,MATCH($C186,Muuttujat!$N$5:$N$21,0),1)</f>
        <v>7.0000000000000007E-2</v>
      </c>
      <c r="R186" s="148">
        <f>INDEX(Muuttujat!$P$5:$P$21,MATCH($C186,Muuttujat!$N$5:$N$21,0),1)</f>
        <v>7.3026850896560899E-2</v>
      </c>
      <c r="S186" s="149">
        <f t="shared" si="43"/>
        <v>6.6887515799999981</v>
      </c>
      <c r="T186" s="150">
        <f t="shared" si="44"/>
        <v>1.6621987200000001</v>
      </c>
      <c r="U186" s="150">
        <f t="shared" si="45"/>
        <v>0</v>
      </c>
      <c r="V186" s="150">
        <f>IFERROR(INDEX(Työkonekanta!$J$3:$J$27,MATCH($A186,Työkonekanta!$A$3:$A$24,0),1)*$B186*ef_li_ion_akku/1000/1000/INDEX(Työkonekanta!$K$3:$K$27,MATCH($A186,Työkonekanta!$A$3:$A$24,0)),0)</f>
        <v>0</v>
      </c>
      <c r="W186" s="149">
        <f t="shared" si="54"/>
        <v>26.1209035673388</v>
      </c>
      <c r="X186" s="150">
        <f t="shared" si="55"/>
        <v>0.33681039959999998</v>
      </c>
      <c r="Y186" s="151">
        <f t="shared" si="56"/>
        <v>0.1382499591836735</v>
      </c>
      <c r="Z186" s="152">
        <f t="shared" si="49"/>
        <v>8.3509502999999974</v>
      </c>
      <c r="AA186" s="153">
        <f t="shared" si="50"/>
        <v>26.259153526522475</v>
      </c>
      <c r="AB186" s="153">
        <f t="shared" si="51"/>
        <v>26.595963926122476</v>
      </c>
      <c r="AC186" s="154">
        <f t="shared" si="57"/>
        <v>34.610103826522476</v>
      </c>
      <c r="AD186" s="156">
        <f t="shared" si="52"/>
        <v>34.946914226122473</v>
      </c>
      <c r="AE186" s="182"/>
      <c r="AG186" s="2"/>
    </row>
    <row r="187" spans="1:37">
      <c r="A187" s="139">
        <v>5</v>
      </c>
      <c r="B187" s="139" cm="1">
        <f t="array" ref="B187">IFERROR(IF(A187=s1_id_korvattava1,INDEX($AG$3:$AG$19,MATCH(C187,$AF$3:$AF$19,0),1),IF(A187=s1_id_korvaava1,INDEX($AH$3:$AH$19,MATCH(C187,$AF$3:$AF$19,0),1),IF(A187=s1_id_korvattava2,INDEX($AI$3:$AI$19,MATCH(C187,$AF$3:$AF$19,0),1),IF(A187=s1_id_korvaava2,INDEX($AJ$3:$AJ$19,MATCH(C187,$AF$3:$AF$19,0),1),INDEX(Työkonekanta!$F$3:$F$27,MATCH('S1 Sähkö'!$A187,Työkonekanta!$A$3:$A$24,0),1))))),0)</f>
        <v>0</v>
      </c>
      <c r="C187" s="140">
        <v>2025</v>
      </c>
      <c r="D187" s="141" t="str">
        <f>IFERROR(INDEX(Työkonekanta!$D$3:$D$27,MATCH('S1 Sähkö'!$A187,Työkonekanta!$A$3:$A$24,0),1),"undefined")</f>
        <v>sähkö</v>
      </c>
      <c r="E187" s="145">
        <f>IFERROR(INDEX(Työkonekanta!$G$3:$G$27,MATCH($A187,Työkonekanta!$A$3:$A$24,0),1)*INDEX(Työkonekanta!$H$3:$H$27,MATCH($A187,Työkonekanta!$A$3:$A$24,0),1)*(1+s1_kerroin*($C187-2019))*$B187,0)</f>
        <v>0</v>
      </c>
      <c r="F187" s="145">
        <f t="shared" si="40"/>
        <v>0</v>
      </c>
      <c r="G187" s="145">
        <f t="shared" si="46"/>
        <v>0</v>
      </c>
      <c r="H187" s="145">
        <f t="shared" si="47"/>
        <v>0</v>
      </c>
      <c r="I187" s="145">
        <f t="shared" si="41"/>
        <v>0</v>
      </c>
      <c r="J187" s="145">
        <f t="shared" si="42"/>
        <v>0</v>
      </c>
      <c r="K187" s="142" t="str">
        <f t="shared" si="48"/>
        <v>kWh</v>
      </c>
      <c r="L187" s="146">
        <f>IFERROR(INDEX(Työkonekanta!$I$3:$I$27,MATCH('S1 Sähkö'!$A187,Työkonekanta!$A$3:$A$24,0),1)*(I187+J187)*f_adblue,0)</f>
        <v>0</v>
      </c>
      <c r="M187" s="146">
        <f t="shared" si="53"/>
        <v>0</v>
      </c>
      <c r="N187" s="143" t="str">
        <f>IF(tuulisähkö_vuosi&lt;='S1 Sähkö'!C187,"tuulisähkö",ostosähkö_nyt)</f>
        <v>jäännössähkö</v>
      </c>
      <c r="O187" s="147">
        <f>INDEX(Muuttujat!$J$5:$J$21,MATCH($C187,Muuttujat!$H$5:$H$21,0),1)</f>
        <v>65.194885123382022</v>
      </c>
      <c r="P187" s="342">
        <f>1-(INDEX(Muuttujat!$O$5:$O$21,MATCH($C187,Muuttujat!$N$5:$N$21,0),1))</f>
        <v>0.92999999999999994</v>
      </c>
      <c r="Q187" s="342">
        <f>INDEX(Muuttujat!$O$5:$O$21,MATCH($C187,Muuttujat!$N$5:$N$21,0),1)</f>
        <v>7.0000000000000007E-2</v>
      </c>
      <c r="R187" s="148">
        <f>INDEX(Muuttujat!$P$5:$P$21,MATCH($C187,Muuttujat!$N$5:$N$21,0),1)</f>
        <v>7.3026850896560899E-2</v>
      </c>
      <c r="S187" s="149">
        <f t="shared" si="43"/>
        <v>0</v>
      </c>
      <c r="T187" s="150">
        <f t="shared" si="44"/>
        <v>0</v>
      </c>
      <c r="U187" s="150">
        <f t="shared" si="45"/>
        <v>0</v>
      </c>
      <c r="V187" s="150">
        <f>IFERROR(INDEX(Työkonekanta!$J$3:$J$27,MATCH($A187,Työkonekanta!$A$3:$A$24,0),1)*$B187*ef_li_ion_akku/1000/1000/INDEX(Työkonekanta!$K$3:$K$27,MATCH($A187,Työkonekanta!$A$3:$A$24,0)),0)</f>
        <v>0</v>
      </c>
      <c r="W187" s="149">
        <f t="shared" si="54"/>
        <v>0</v>
      </c>
      <c r="X187" s="150">
        <f t="shared" si="55"/>
        <v>0</v>
      </c>
      <c r="Y187" s="151">
        <f t="shared" si="56"/>
        <v>0</v>
      </c>
      <c r="Z187" s="152">
        <f t="shared" si="49"/>
        <v>0</v>
      </c>
      <c r="AA187" s="153">
        <f t="shared" si="50"/>
        <v>0</v>
      </c>
      <c r="AB187" s="153">
        <f t="shared" si="51"/>
        <v>0</v>
      </c>
      <c r="AC187" s="154">
        <f t="shared" si="57"/>
        <v>0</v>
      </c>
      <c r="AD187" s="156">
        <f t="shared" si="52"/>
        <v>0</v>
      </c>
      <c r="AE187" s="182"/>
      <c r="AG187" s="2"/>
    </row>
    <row r="188" spans="1:37">
      <c r="A188" s="139">
        <v>6</v>
      </c>
      <c r="B188" s="139" cm="1">
        <f t="array" ref="B188">IFERROR(IF(A188=s1_id_korvattava1,INDEX($AG$3:$AG$19,MATCH(C188,$AF$3:$AF$19,0),1),IF(A188=s1_id_korvaava1,INDEX($AH$3:$AH$19,MATCH(C188,$AF$3:$AF$19,0),1),IF(A188=s1_id_korvattava2,INDEX($AI$3:$AI$19,MATCH(C188,$AF$3:$AF$19,0),1),IF(A188=s1_id_korvaava2,INDEX($AJ$3:$AJ$19,MATCH(C188,$AF$3:$AF$19,0),1),INDEX(Työkonekanta!$F$3:$F$27,MATCH('S1 Sähkö'!$A188,Työkonekanta!$A$3:$A$24,0),1))))),0)</f>
        <v>0</v>
      </c>
      <c r="C188" s="140">
        <v>2025</v>
      </c>
      <c r="D188" s="141" t="str">
        <f>IFERROR(INDEX(Työkonekanta!$D$3:$D$27,MATCH('S1 Sähkö'!$A188,Työkonekanta!$A$3:$A$24,0),1),"undefined")</f>
        <v>sähkö</v>
      </c>
      <c r="E188" s="145">
        <f>IFERROR(INDEX(Työkonekanta!$G$3:$G$27,MATCH($A188,Työkonekanta!$A$3:$A$24,0),1)*INDEX(Työkonekanta!$H$3:$H$27,MATCH($A188,Työkonekanta!$A$3:$A$24,0),1)*(1+s1_kerroin*($C188-2019))*$B188,0)</f>
        <v>0</v>
      </c>
      <c r="F188" s="145">
        <f t="shared" si="40"/>
        <v>0</v>
      </c>
      <c r="G188" s="145">
        <f t="shared" si="46"/>
        <v>0</v>
      </c>
      <c r="H188" s="145">
        <f t="shared" si="47"/>
        <v>0</v>
      </c>
      <c r="I188" s="145">
        <f t="shared" si="41"/>
        <v>0</v>
      </c>
      <c r="J188" s="145">
        <f t="shared" si="42"/>
        <v>0</v>
      </c>
      <c r="K188" s="142" t="str">
        <f t="shared" si="48"/>
        <v>kWh</v>
      </c>
      <c r="L188" s="146">
        <f>IFERROR(INDEX(Työkonekanta!$I$3:$I$27,MATCH('S1 Sähkö'!$A188,Työkonekanta!$A$3:$A$24,0),1)*(I188+J188)*f_adblue,0)</f>
        <v>0</v>
      </c>
      <c r="M188" s="146">
        <f t="shared" si="53"/>
        <v>0</v>
      </c>
      <c r="N188" s="143" t="str">
        <f>IF(tuulisähkö_vuosi&lt;='S1 Sähkö'!C188,"tuulisähkö",ostosähkö_nyt)</f>
        <v>jäännössähkö</v>
      </c>
      <c r="O188" s="147">
        <f>INDEX(Muuttujat!$J$5:$J$21,MATCH($C188,Muuttujat!$H$5:$H$21,0),1)</f>
        <v>65.194885123382022</v>
      </c>
      <c r="P188" s="342">
        <f>1-(INDEX(Muuttujat!$O$5:$O$21,MATCH($C188,Muuttujat!$N$5:$N$21,0),1))</f>
        <v>0.92999999999999994</v>
      </c>
      <c r="Q188" s="342">
        <f>INDEX(Muuttujat!$O$5:$O$21,MATCH($C188,Muuttujat!$N$5:$N$21,0),1)</f>
        <v>7.0000000000000007E-2</v>
      </c>
      <c r="R188" s="148">
        <f>INDEX(Muuttujat!$P$5:$P$21,MATCH($C188,Muuttujat!$N$5:$N$21,0),1)</f>
        <v>7.3026850896560899E-2</v>
      </c>
      <c r="S188" s="149">
        <f t="shared" si="43"/>
        <v>0</v>
      </c>
      <c r="T188" s="150">
        <f t="shared" si="44"/>
        <v>0</v>
      </c>
      <c r="U188" s="150">
        <f t="shared" si="45"/>
        <v>0</v>
      </c>
      <c r="V188" s="150">
        <f>IFERROR(INDEX(Työkonekanta!$J$3:$J$27,MATCH($A188,Työkonekanta!$A$3:$A$24,0),1)*$B188*ef_li_ion_akku/1000/1000/INDEX(Työkonekanta!$K$3:$K$27,MATCH($A188,Työkonekanta!$A$3:$A$24,0)),0)</f>
        <v>0</v>
      </c>
      <c r="W188" s="149">
        <f t="shared" si="54"/>
        <v>0</v>
      </c>
      <c r="X188" s="150">
        <f t="shared" si="55"/>
        <v>0</v>
      </c>
      <c r="Y188" s="151">
        <f t="shared" si="56"/>
        <v>0</v>
      </c>
      <c r="Z188" s="152">
        <f t="shared" si="49"/>
        <v>0</v>
      </c>
      <c r="AA188" s="153">
        <f t="shared" si="50"/>
        <v>0</v>
      </c>
      <c r="AB188" s="153">
        <f t="shared" si="51"/>
        <v>0</v>
      </c>
      <c r="AC188" s="154">
        <f t="shared" si="57"/>
        <v>0</v>
      </c>
      <c r="AD188" s="156">
        <f t="shared" si="52"/>
        <v>0</v>
      </c>
      <c r="AE188" s="182"/>
      <c r="AG188" s="2"/>
    </row>
    <row r="189" spans="1:37">
      <c r="A189" s="139">
        <v>7</v>
      </c>
      <c r="B189" s="139" cm="1">
        <f t="array" ref="B189">IFERROR(IF(A189=s1_id_korvattava1,INDEX($AG$3:$AG$19,MATCH(C189,$AF$3:$AF$19,0),1),IF(A189=s1_id_korvaava1,INDEX($AH$3:$AH$19,MATCH(C189,$AF$3:$AF$19,0),1),IF(A189=s1_id_korvattava2,INDEX($AI$3:$AI$19,MATCH(C189,$AF$3:$AF$19,0),1),IF(A189=s1_id_korvaava2,INDEX($AJ$3:$AJ$19,MATCH(C189,$AF$3:$AF$19,0),1),INDEX(Työkonekanta!$F$3:$F$27,MATCH('S1 Sähkö'!$A189,Työkonekanta!$A$3:$A$24,0),1))))),0)</f>
        <v>1</v>
      </c>
      <c r="C189" s="140">
        <v>2025</v>
      </c>
      <c r="D189" s="141" t="str">
        <f>IFERROR(INDEX(Työkonekanta!$D$3:$D$27,MATCH('S1 Sähkö'!$A189,Työkonekanta!$A$3:$A$24,0),1),"undefined")</f>
        <v>pom</v>
      </c>
      <c r="E189" s="145">
        <f>IFERROR(INDEX(Työkonekanta!$G$3:$G$27,MATCH($A189,Työkonekanta!$A$3:$A$24,0),1)*INDEX(Työkonekanta!$H$3:$H$27,MATCH($A189,Työkonekanta!$A$3:$A$24,0),1)*(1+s1_kerroin*($C189-2019))*$B189,0)</f>
        <v>10600</v>
      </c>
      <c r="F189" s="145">
        <f t="shared" si="40"/>
        <v>380540</v>
      </c>
      <c r="G189" s="145">
        <f t="shared" si="46"/>
        <v>353902.19999999995</v>
      </c>
      <c r="H189" s="145">
        <f t="shared" si="47"/>
        <v>26637.800000000003</v>
      </c>
      <c r="I189" s="145">
        <f t="shared" si="41"/>
        <v>9858</v>
      </c>
      <c r="J189" s="145">
        <f t="shared" si="42"/>
        <v>776.61224489795939</v>
      </c>
      <c r="K189" s="142" t="str">
        <f t="shared" si="48"/>
        <v>l</v>
      </c>
      <c r="L189" s="146">
        <f>IFERROR(INDEX(Työkonekanta!$I$3:$I$27,MATCH('S1 Sähkö'!$A189,Työkonekanta!$A$3:$A$24,0),1)*(I189+J189)*f_adblue,0)</f>
        <v>0</v>
      </c>
      <c r="M189" s="146">
        <f t="shared" si="53"/>
        <v>0</v>
      </c>
      <c r="N189" s="143" t="str">
        <f>IF(tuulisähkö_vuosi&lt;='S1 Sähkö'!C189,"tuulisähkö",ostosähkö_nyt)</f>
        <v>jäännössähkö</v>
      </c>
      <c r="O189" s="147">
        <f>INDEX(Muuttujat!$J$5:$J$21,MATCH($C189,Muuttujat!$H$5:$H$21,0),1)</f>
        <v>65.194885123382022</v>
      </c>
      <c r="P189" s="342">
        <f>1-(INDEX(Muuttujat!$O$5:$O$21,MATCH($C189,Muuttujat!$N$5:$N$21,0),1))</f>
        <v>0.92999999999999994</v>
      </c>
      <c r="Q189" s="342">
        <f>INDEX(Muuttujat!$O$5:$O$21,MATCH($C189,Muuttujat!$N$5:$N$21,0),1)</f>
        <v>7.0000000000000007E-2</v>
      </c>
      <c r="R189" s="148">
        <f>INDEX(Muuttujat!$P$5:$P$21,MATCH($C189,Muuttujat!$N$5:$N$21,0),1)</f>
        <v>7.3026850896560899E-2</v>
      </c>
      <c r="S189" s="149">
        <f t="shared" si="43"/>
        <v>6.6887515799999981</v>
      </c>
      <c r="T189" s="150">
        <f t="shared" si="44"/>
        <v>1.6621987200000001</v>
      </c>
      <c r="U189" s="150">
        <f t="shared" si="45"/>
        <v>0</v>
      </c>
      <c r="V189" s="150">
        <f>IFERROR(INDEX(Työkonekanta!$J$3:$J$27,MATCH($A189,Työkonekanta!$A$3:$A$24,0),1)*$B189*ef_li_ion_akku/1000/1000/INDEX(Työkonekanta!$K$3:$K$27,MATCH($A189,Työkonekanta!$A$3:$A$24,0)),0)</f>
        <v>0</v>
      </c>
      <c r="W189" s="149">
        <f t="shared" si="54"/>
        <v>26.1209035673388</v>
      </c>
      <c r="X189" s="150">
        <f t="shared" si="55"/>
        <v>0.33681039959999998</v>
      </c>
      <c r="Y189" s="151">
        <f t="shared" si="56"/>
        <v>0</v>
      </c>
      <c r="Z189" s="152">
        <f t="shared" si="49"/>
        <v>8.3509502999999974</v>
      </c>
      <c r="AA189" s="153">
        <f t="shared" si="50"/>
        <v>26.1209035673388</v>
      </c>
      <c r="AB189" s="153">
        <f t="shared" si="51"/>
        <v>26.457713966938801</v>
      </c>
      <c r="AC189" s="154">
        <f t="shared" si="57"/>
        <v>34.471853867338794</v>
      </c>
      <c r="AD189" s="156">
        <f t="shared" si="52"/>
        <v>34.808664266938798</v>
      </c>
      <c r="AE189" s="182"/>
      <c r="AG189" s="2"/>
    </row>
    <row r="190" spans="1:37">
      <c r="A190" s="139">
        <v>8</v>
      </c>
      <c r="B190" s="139" cm="1">
        <f t="array" ref="B190">IFERROR(IF(A190=s1_id_korvattava1,INDEX($AG$3:$AG$19,MATCH(C190,$AF$3:$AF$19,0),1),IF(A190=s1_id_korvaava1,INDEX($AH$3:$AH$19,MATCH(C190,$AF$3:$AF$19,0),1),IF(A190=s1_id_korvattava2,INDEX($AI$3:$AI$19,MATCH(C190,$AF$3:$AF$19,0),1),IF(A190=s1_id_korvaava2,INDEX($AJ$3:$AJ$19,MATCH(C190,$AF$3:$AF$19,0),1),INDEX(Työkonekanta!$F$3:$F$27,MATCH('S1 Sähkö'!$A190,Työkonekanta!$A$3:$A$24,0),1))))),0)</f>
        <v>1</v>
      </c>
      <c r="C190" s="140">
        <v>2025</v>
      </c>
      <c r="D190" s="141" t="str">
        <f>IFERROR(INDEX(Työkonekanta!$D$3:$D$27,MATCH('S1 Sähkö'!$A190,Työkonekanta!$A$3:$A$24,0),1),"undefined")</f>
        <v>pom</v>
      </c>
      <c r="E190" s="145">
        <f>IFERROR(INDEX(Työkonekanta!$G$3:$G$27,MATCH($A190,Työkonekanta!$A$3:$A$24,0),1)*INDEX(Työkonekanta!$H$3:$H$27,MATCH($A190,Työkonekanta!$A$3:$A$24,0),1)*(1+s1_kerroin*($C190-2019))*$B190,0)</f>
        <v>10600</v>
      </c>
      <c r="F190" s="145">
        <f t="shared" si="40"/>
        <v>380540</v>
      </c>
      <c r="G190" s="145">
        <f t="shared" si="46"/>
        <v>353902.19999999995</v>
      </c>
      <c r="H190" s="145">
        <f t="shared" si="47"/>
        <v>26637.800000000003</v>
      </c>
      <c r="I190" s="145">
        <f t="shared" si="41"/>
        <v>9858</v>
      </c>
      <c r="J190" s="145">
        <f t="shared" si="42"/>
        <v>776.61224489795939</v>
      </c>
      <c r="K190" s="142" t="str">
        <f t="shared" si="48"/>
        <v>l</v>
      </c>
      <c r="L190" s="146">
        <f>IFERROR(INDEX(Työkonekanta!$I$3:$I$27,MATCH('S1 Sähkö'!$A190,Työkonekanta!$A$3:$A$24,0),1)*(I190+J190)*f_adblue,0)</f>
        <v>531.730612244898</v>
      </c>
      <c r="M190" s="146">
        <f t="shared" si="53"/>
        <v>0</v>
      </c>
      <c r="N190" s="143" t="str">
        <f>IF(tuulisähkö_vuosi&lt;='S1 Sähkö'!C190,"tuulisähkö",ostosähkö_nyt)</f>
        <v>jäännössähkö</v>
      </c>
      <c r="O190" s="147">
        <f>INDEX(Muuttujat!$J$5:$J$21,MATCH($C190,Muuttujat!$H$5:$H$21,0),1)</f>
        <v>65.194885123382022</v>
      </c>
      <c r="P190" s="342">
        <f>1-(INDEX(Muuttujat!$O$5:$O$21,MATCH($C190,Muuttujat!$N$5:$N$21,0),1))</f>
        <v>0.92999999999999994</v>
      </c>
      <c r="Q190" s="342">
        <f>INDEX(Muuttujat!$O$5:$O$21,MATCH($C190,Muuttujat!$N$5:$N$21,0),1)</f>
        <v>7.0000000000000007E-2</v>
      </c>
      <c r="R190" s="148">
        <f>INDEX(Muuttujat!$P$5:$P$21,MATCH($C190,Muuttujat!$N$5:$N$21,0),1)</f>
        <v>7.3026850896560899E-2</v>
      </c>
      <c r="S190" s="149">
        <f t="shared" si="43"/>
        <v>6.6887515799999981</v>
      </c>
      <c r="T190" s="150">
        <f t="shared" si="44"/>
        <v>1.6621987200000001</v>
      </c>
      <c r="U190" s="150">
        <f t="shared" si="45"/>
        <v>0</v>
      </c>
      <c r="V190" s="150">
        <f>IFERROR(INDEX(Työkonekanta!$J$3:$J$27,MATCH($A190,Työkonekanta!$A$3:$A$24,0),1)*$B190*ef_li_ion_akku/1000/1000/INDEX(Työkonekanta!$K$3:$K$27,MATCH($A190,Työkonekanta!$A$3:$A$24,0)),0)</f>
        <v>0</v>
      </c>
      <c r="W190" s="149">
        <f t="shared" si="54"/>
        <v>26.1209035673388</v>
      </c>
      <c r="X190" s="150">
        <f t="shared" si="55"/>
        <v>0.33681039959999998</v>
      </c>
      <c r="Y190" s="151">
        <f t="shared" si="56"/>
        <v>0.1382499591836735</v>
      </c>
      <c r="Z190" s="152">
        <f t="shared" si="49"/>
        <v>8.3509502999999974</v>
      </c>
      <c r="AA190" s="153">
        <f t="shared" si="50"/>
        <v>26.259153526522475</v>
      </c>
      <c r="AB190" s="153">
        <f t="shared" si="51"/>
        <v>26.595963926122476</v>
      </c>
      <c r="AC190" s="154">
        <f t="shared" si="57"/>
        <v>34.610103826522476</v>
      </c>
      <c r="AD190" s="156">
        <f t="shared" si="52"/>
        <v>34.946914226122473</v>
      </c>
      <c r="AE190" s="182"/>
      <c r="AG190" s="2"/>
    </row>
    <row r="191" spans="1:37">
      <c r="A191" s="139">
        <v>9</v>
      </c>
      <c r="B191" s="139" cm="1">
        <f t="array" ref="B191">IFERROR(IF(A191=s1_id_korvattava1,INDEX($AG$3:$AG$19,MATCH(C191,$AF$3:$AF$19,0),1),IF(A191=s1_id_korvaava1,INDEX($AH$3:$AH$19,MATCH(C191,$AF$3:$AF$19,0),1),IF(A191=s1_id_korvattava2,INDEX($AI$3:$AI$19,MATCH(C191,$AF$3:$AF$19,0),1),IF(A191=s1_id_korvaava2,INDEX($AJ$3:$AJ$19,MATCH(C191,$AF$3:$AF$19,0),1),INDEX(Työkonekanta!$F$3:$F$27,MATCH('S1 Sähkö'!$A191,Työkonekanta!$A$3:$A$24,0),1))))),0)</f>
        <v>0</v>
      </c>
      <c r="C191" s="140">
        <v>2025</v>
      </c>
      <c r="D191" s="141" t="str">
        <f>IFERROR(INDEX(Työkonekanta!$D$3:$D$27,MATCH('S1 Sähkö'!$A191,Työkonekanta!$A$3:$A$24,0),1),"undefined")</f>
        <v>sähkö</v>
      </c>
      <c r="E191" s="145">
        <f>IFERROR(INDEX(Työkonekanta!$G$3:$G$27,MATCH($A191,Työkonekanta!$A$3:$A$24,0),1)*INDEX(Työkonekanta!$H$3:$H$27,MATCH($A191,Työkonekanta!$A$3:$A$24,0),1)*(1+s1_kerroin*($C191-2019))*$B191,0)</f>
        <v>0</v>
      </c>
      <c r="F191" s="145">
        <f t="shared" si="40"/>
        <v>0</v>
      </c>
      <c r="G191" s="145">
        <f t="shared" si="46"/>
        <v>0</v>
      </c>
      <c r="H191" s="145">
        <f t="shared" si="47"/>
        <v>0</v>
      </c>
      <c r="I191" s="145">
        <f t="shared" si="41"/>
        <v>0</v>
      </c>
      <c r="J191" s="145">
        <f t="shared" si="42"/>
        <v>0</v>
      </c>
      <c r="K191" s="142" t="str">
        <f t="shared" si="48"/>
        <v>kWh</v>
      </c>
      <c r="L191" s="146">
        <f>IFERROR(INDEX(Työkonekanta!$I$3:$I$27,MATCH('S1 Sähkö'!$A191,Työkonekanta!$A$3:$A$24,0),1)*(I191+J191)*f_adblue,0)</f>
        <v>0</v>
      </c>
      <c r="M191" s="146">
        <f t="shared" si="53"/>
        <v>0</v>
      </c>
      <c r="N191" s="143" t="str">
        <f>IF(tuulisähkö_vuosi&lt;='S1 Sähkö'!C191,"tuulisähkö",ostosähkö_nyt)</f>
        <v>jäännössähkö</v>
      </c>
      <c r="O191" s="147">
        <f>INDEX(Muuttujat!$J$5:$J$21,MATCH($C191,Muuttujat!$H$5:$H$21,0),1)</f>
        <v>65.194885123382022</v>
      </c>
      <c r="P191" s="342">
        <f>1-(INDEX(Muuttujat!$O$5:$O$21,MATCH($C191,Muuttujat!$N$5:$N$21,0),1))</f>
        <v>0.92999999999999994</v>
      </c>
      <c r="Q191" s="342">
        <f>INDEX(Muuttujat!$O$5:$O$21,MATCH($C191,Muuttujat!$N$5:$N$21,0),1)</f>
        <v>7.0000000000000007E-2</v>
      </c>
      <c r="R191" s="148">
        <f>INDEX(Muuttujat!$P$5:$P$21,MATCH($C191,Muuttujat!$N$5:$N$21,0),1)</f>
        <v>7.3026850896560899E-2</v>
      </c>
      <c r="S191" s="149">
        <f t="shared" si="43"/>
        <v>0</v>
      </c>
      <c r="T191" s="150">
        <f t="shared" si="44"/>
        <v>0</v>
      </c>
      <c r="U191" s="150">
        <f t="shared" si="45"/>
        <v>0</v>
      </c>
      <c r="V191" s="150">
        <f>IFERROR(INDEX(Työkonekanta!$J$3:$J$27,MATCH($A191,Työkonekanta!$A$3:$A$24,0),1)*$B191*ef_li_ion_akku/1000/1000/INDEX(Työkonekanta!$K$3:$K$27,MATCH($A191,Työkonekanta!$A$3:$A$24,0)),0)</f>
        <v>0</v>
      </c>
      <c r="W191" s="149">
        <f t="shared" si="54"/>
        <v>0</v>
      </c>
      <c r="X191" s="150">
        <f t="shared" si="55"/>
        <v>0</v>
      </c>
      <c r="Y191" s="151">
        <f t="shared" si="56"/>
        <v>0</v>
      </c>
      <c r="Z191" s="152">
        <f t="shared" si="49"/>
        <v>0</v>
      </c>
      <c r="AA191" s="153">
        <f t="shared" si="50"/>
        <v>0</v>
      </c>
      <c r="AB191" s="153">
        <f t="shared" si="51"/>
        <v>0</v>
      </c>
      <c r="AC191" s="154">
        <f t="shared" si="57"/>
        <v>0</v>
      </c>
      <c r="AD191" s="156">
        <f t="shared" si="52"/>
        <v>0</v>
      </c>
      <c r="AE191" s="182"/>
      <c r="AG191" s="2"/>
    </row>
    <row r="192" spans="1:37">
      <c r="A192" s="139">
        <v>10</v>
      </c>
      <c r="B192" s="139" cm="1">
        <f t="array" ref="B192">IFERROR(IF(A192=s1_id_korvattava1,INDEX($AG$3:$AG$19,MATCH(C192,$AF$3:$AF$19,0),1),IF(A192=s1_id_korvaava1,INDEX($AH$3:$AH$19,MATCH(C192,$AF$3:$AF$19,0),1),IF(A192=s1_id_korvattava2,INDEX($AI$3:$AI$19,MATCH(C192,$AF$3:$AF$19,0),1),IF(A192=s1_id_korvaava2,INDEX($AJ$3:$AJ$19,MATCH(C192,$AF$3:$AF$19,0),1),INDEX(Työkonekanta!$F$3:$F$27,MATCH('S1 Sähkö'!$A192,Työkonekanta!$A$3:$A$24,0),1))))),0)</f>
        <v>0</v>
      </c>
      <c r="C192" s="140">
        <v>2025</v>
      </c>
      <c r="D192" s="141" t="str">
        <f>IFERROR(INDEX(Työkonekanta!$D$3:$D$27,MATCH('S1 Sähkö'!$A192,Työkonekanta!$A$3:$A$24,0),1),"undefined")</f>
        <v>sähkö</v>
      </c>
      <c r="E192" s="145">
        <f>IFERROR(INDEX(Työkonekanta!$G$3:$G$27,MATCH($A192,Työkonekanta!$A$3:$A$24,0),1)*INDEX(Työkonekanta!$H$3:$H$27,MATCH($A192,Työkonekanta!$A$3:$A$24,0),1)*(1+s1_kerroin*($C192-2019))*$B192,0)</f>
        <v>0</v>
      </c>
      <c r="F192" s="145">
        <f t="shared" si="40"/>
        <v>0</v>
      </c>
      <c r="G192" s="145">
        <f t="shared" si="46"/>
        <v>0</v>
      </c>
      <c r="H192" s="145">
        <f t="shared" si="47"/>
        <v>0</v>
      </c>
      <c r="I192" s="145">
        <f t="shared" si="41"/>
        <v>0</v>
      </c>
      <c r="J192" s="145">
        <f t="shared" si="42"/>
        <v>0</v>
      </c>
      <c r="K192" s="142" t="str">
        <f t="shared" si="48"/>
        <v>kWh</v>
      </c>
      <c r="L192" s="146">
        <f>IFERROR(INDEX(Työkonekanta!$I$3:$I$27,MATCH('S1 Sähkö'!$A192,Työkonekanta!$A$3:$A$24,0),1)*(I192+J192)*f_adblue,0)</f>
        <v>0</v>
      </c>
      <c r="M192" s="146">
        <f t="shared" si="53"/>
        <v>0</v>
      </c>
      <c r="N192" s="143" t="str">
        <f>IF(tuulisähkö_vuosi&lt;='S1 Sähkö'!C192,"tuulisähkö",ostosähkö_nyt)</f>
        <v>jäännössähkö</v>
      </c>
      <c r="O192" s="147">
        <f>INDEX(Muuttujat!$J$5:$J$21,MATCH($C192,Muuttujat!$H$5:$H$21,0),1)</f>
        <v>65.194885123382022</v>
      </c>
      <c r="P192" s="342">
        <f>1-(INDEX(Muuttujat!$O$5:$O$21,MATCH($C192,Muuttujat!$N$5:$N$21,0),1))</f>
        <v>0.92999999999999994</v>
      </c>
      <c r="Q192" s="342">
        <f>INDEX(Muuttujat!$O$5:$O$21,MATCH($C192,Muuttujat!$N$5:$N$21,0),1)</f>
        <v>7.0000000000000007E-2</v>
      </c>
      <c r="R192" s="148">
        <f>INDEX(Muuttujat!$P$5:$P$21,MATCH($C192,Muuttujat!$N$5:$N$21,0),1)</f>
        <v>7.3026850896560899E-2</v>
      </c>
      <c r="S192" s="149">
        <f t="shared" si="43"/>
        <v>0</v>
      </c>
      <c r="T192" s="150">
        <f t="shared" si="44"/>
        <v>0</v>
      </c>
      <c r="U192" s="150">
        <f t="shared" si="45"/>
        <v>0</v>
      </c>
      <c r="V192" s="150">
        <f>IFERROR(INDEX(Työkonekanta!$J$3:$J$27,MATCH($A192,Työkonekanta!$A$3:$A$24,0),1)*$B192*ef_li_ion_akku/1000/1000/INDEX(Työkonekanta!$K$3:$K$27,MATCH($A192,Työkonekanta!$A$3:$A$24,0)),0)</f>
        <v>0</v>
      </c>
      <c r="W192" s="149">
        <f t="shared" si="54"/>
        <v>0</v>
      </c>
      <c r="X192" s="150">
        <f t="shared" si="55"/>
        <v>0</v>
      </c>
      <c r="Y192" s="151">
        <f t="shared" si="56"/>
        <v>0</v>
      </c>
      <c r="Z192" s="152">
        <f t="shared" si="49"/>
        <v>0</v>
      </c>
      <c r="AA192" s="153">
        <f t="shared" si="50"/>
        <v>0</v>
      </c>
      <c r="AB192" s="153">
        <f t="shared" si="51"/>
        <v>0</v>
      </c>
      <c r="AC192" s="154">
        <f t="shared" si="57"/>
        <v>0</v>
      </c>
      <c r="AD192" s="156">
        <f t="shared" si="52"/>
        <v>0</v>
      </c>
      <c r="AE192" s="182"/>
      <c r="AG192" s="2"/>
    </row>
    <row r="193" spans="1:37">
      <c r="A193" s="139">
        <v>11</v>
      </c>
      <c r="B193" s="139" cm="1">
        <f t="array" ref="B193">IFERROR(IF(A193=s1_id_korvattava1,INDEX($AG$3:$AG$19,MATCH(C193,$AF$3:$AF$19,0),1),IF(A193=s1_id_korvaava1,INDEX($AH$3:$AH$19,MATCH(C193,$AF$3:$AF$19,0),1),IF(A193=s1_id_korvattava2,INDEX($AI$3:$AI$19,MATCH(C193,$AF$3:$AF$19,0),1),IF(A193=s1_id_korvaava2,INDEX($AJ$3:$AJ$19,MATCH(C193,$AF$3:$AF$19,0),1),INDEX(Työkonekanta!$F$3:$F$27,MATCH('S1 Sähkö'!$A193,Työkonekanta!$A$3:$A$24,0),1))))),0)</f>
        <v>1</v>
      </c>
      <c r="C193" s="140">
        <v>2025</v>
      </c>
      <c r="D193" s="141" t="str">
        <f>IFERROR(INDEX(Työkonekanta!$D$3:$D$27,MATCH('S1 Sähkö'!$A193,Työkonekanta!$A$3:$A$24,0),1),"undefined")</f>
        <v>pom</v>
      </c>
      <c r="E193" s="145">
        <f>IFERROR(INDEX(Työkonekanta!$G$3:$G$27,MATCH($A193,Työkonekanta!$A$3:$A$24,0),1)*INDEX(Työkonekanta!$H$3:$H$27,MATCH($A193,Työkonekanta!$A$3:$A$24,0),1)*(1+s1_kerroin*($C193-2019))*$B193,0)</f>
        <v>10600</v>
      </c>
      <c r="F193" s="145">
        <f t="shared" si="40"/>
        <v>380540</v>
      </c>
      <c r="G193" s="145">
        <f t="shared" si="46"/>
        <v>353902.19999999995</v>
      </c>
      <c r="H193" s="145">
        <f t="shared" si="47"/>
        <v>26637.800000000003</v>
      </c>
      <c r="I193" s="145">
        <f t="shared" si="41"/>
        <v>9858</v>
      </c>
      <c r="J193" s="145">
        <f t="shared" si="42"/>
        <v>776.61224489795939</v>
      </c>
      <c r="K193" s="142" t="str">
        <f t="shared" si="48"/>
        <v>l</v>
      </c>
      <c r="L193" s="146">
        <f>IFERROR(INDEX(Työkonekanta!$I$3:$I$27,MATCH('S1 Sähkö'!$A193,Työkonekanta!$A$3:$A$24,0),1)*(I193+J193)*f_adblue,0)</f>
        <v>531.730612244898</v>
      </c>
      <c r="M193" s="146">
        <f t="shared" si="53"/>
        <v>0</v>
      </c>
      <c r="N193" s="143" t="str">
        <f>IF(tuulisähkö_vuosi&lt;='S1 Sähkö'!C193,"tuulisähkö",ostosähkö_nyt)</f>
        <v>jäännössähkö</v>
      </c>
      <c r="O193" s="147">
        <f>INDEX(Muuttujat!$J$5:$J$21,MATCH($C193,Muuttujat!$H$5:$H$21,0),1)</f>
        <v>65.194885123382022</v>
      </c>
      <c r="P193" s="342">
        <f>1-(INDEX(Muuttujat!$O$5:$O$21,MATCH($C193,Muuttujat!$N$5:$N$21,0),1))</f>
        <v>0.92999999999999994</v>
      </c>
      <c r="Q193" s="342">
        <f>INDEX(Muuttujat!$O$5:$O$21,MATCH($C193,Muuttujat!$N$5:$N$21,0),1)</f>
        <v>7.0000000000000007E-2</v>
      </c>
      <c r="R193" s="148">
        <f>INDEX(Muuttujat!$P$5:$P$21,MATCH($C193,Muuttujat!$N$5:$N$21,0),1)</f>
        <v>7.3026850896560899E-2</v>
      </c>
      <c r="S193" s="149">
        <f t="shared" si="43"/>
        <v>6.6887515799999981</v>
      </c>
      <c r="T193" s="150">
        <f t="shared" si="44"/>
        <v>1.6621987200000001</v>
      </c>
      <c r="U193" s="150">
        <f t="shared" si="45"/>
        <v>0</v>
      </c>
      <c r="V193" s="150">
        <f>IFERROR(INDEX(Työkonekanta!$J$3:$J$27,MATCH($A193,Työkonekanta!$A$3:$A$24,0),1)*$B193*ef_li_ion_akku/1000/1000/INDEX(Työkonekanta!$K$3:$K$27,MATCH($A193,Työkonekanta!$A$3:$A$24,0)),0)</f>
        <v>0</v>
      </c>
      <c r="W193" s="149">
        <f t="shared" si="54"/>
        <v>26.1209035673388</v>
      </c>
      <c r="X193" s="150">
        <f t="shared" si="55"/>
        <v>0.33681039959999998</v>
      </c>
      <c r="Y193" s="151">
        <f t="shared" si="56"/>
        <v>0.1382499591836735</v>
      </c>
      <c r="Z193" s="152">
        <f t="shared" si="49"/>
        <v>8.3509502999999974</v>
      </c>
      <c r="AA193" s="153">
        <f t="shared" si="50"/>
        <v>26.259153526522475</v>
      </c>
      <c r="AB193" s="153">
        <f t="shared" si="51"/>
        <v>26.595963926122476</v>
      </c>
      <c r="AC193" s="154">
        <f t="shared" si="57"/>
        <v>34.610103826522476</v>
      </c>
      <c r="AD193" s="156">
        <f t="shared" si="52"/>
        <v>34.946914226122473</v>
      </c>
      <c r="AE193" s="182"/>
      <c r="AG193" s="2"/>
    </row>
    <row r="194" spans="1:37">
      <c r="A194" s="139">
        <v>12</v>
      </c>
      <c r="B194" s="139" cm="1">
        <f t="array" ref="B194">IFERROR(IF(A194=s1_id_korvattava1,INDEX($AG$3:$AG$19,MATCH(C194,$AF$3:$AF$19,0),1),IF(A194=s1_id_korvaava1,INDEX($AH$3:$AH$19,MATCH(C194,$AF$3:$AF$19,0),1),IF(A194=s1_id_korvattava2,INDEX($AI$3:$AI$19,MATCH(C194,$AF$3:$AF$19,0),1),IF(A194=s1_id_korvaava2,INDEX($AJ$3:$AJ$19,MATCH(C194,$AF$3:$AF$19,0),1),INDEX(Työkonekanta!$F$3:$F$27,MATCH('S1 Sähkö'!$A194,Työkonekanta!$A$3:$A$24,0),1))))),0)</f>
        <v>1</v>
      </c>
      <c r="C194" s="140">
        <v>2025</v>
      </c>
      <c r="D194" s="141" t="str">
        <f>IFERROR(INDEX(Työkonekanta!$D$3:$D$27,MATCH('S1 Sähkö'!$A194,Työkonekanta!$A$3:$A$24,0),1),"undefined")</f>
        <v>pom</v>
      </c>
      <c r="E194" s="145">
        <f>IFERROR(INDEX(Työkonekanta!$G$3:$G$27,MATCH($A194,Työkonekanta!$A$3:$A$24,0),1)*INDEX(Työkonekanta!$H$3:$H$27,MATCH($A194,Työkonekanta!$A$3:$A$24,0),1)*(1+s1_kerroin*($C194-2019))*$B194,0)</f>
        <v>10600</v>
      </c>
      <c r="F194" s="145">
        <f t="shared" si="40"/>
        <v>380540</v>
      </c>
      <c r="G194" s="145">
        <f t="shared" si="46"/>
        <v>353902.19999999995</v>
      </c>
      <c r="H194" s="145">
        <f t="shared" si="47"/>
        <v>26637.800000000003</v>
      </c>
      <c r="I194" s="145">
        <f t="shared" si="41"/>
        <v>9858</v>
      </c>
      <c r="J194" s="145">
        <f t="shared" si="42"/>
        <v>776.61224489795939</v>
      </c>
      <c r="K194" s="142" t="str">
        <f t="shared" si="48"/>
        <v>l</v>
      </c>
      <c r="L194" s="146">
        <f>IFERROR(INDEX(Työkonekanta!$I$3:$I$27,MATCH('S1 Sähkö'!$A194,Työkonekanta!$A$3:$A$24,0),1)*(I194+J194)*f_adblue,0)</f>
        <v>531.730612244898</v>
      </c>
      <c r="M194" s="146">
        <f t="shared" si="53"/>
        <v>0</v>
      </c>
      <c r="N194" s="143" t="str">
        <f>IF(tuulisähkö_vuosi&lt;='S1 Sähkö'!C194,"tuulisähkö",ostosähkö_nyt)</f>
        <v>jäännössähkö</v>
      </c>
      <c r="O194" s="147">
        <f>INDEX(Muuttujat!$J$5:$J$21,MATCH($C194,Muuttujat!$H$5:$H$21,0),1)</f>
        <v>65.194885123382022</v>
      </c>
      <c r="P194" s="342">
        <f>1-(INDEX(Muuttujat!$O$5:$O$21,MATCH($C194,Muuttujat!$N$5:$N$21,0),1))</f>
        <v>0.92999999999999994</v>
      </c>
      <c r="Q194" s="342">
        <f>INDEX(Muuttujat!$O$5:$O$21,MATCH($C194,Muuttujat!$N$5:$N$21,0),1)</f>
        <v>7.0000000000000007E-2</v>
      </c>
      <c r="R194" s="148">
        <f>INDEX(Muuttujat!$P$5:$P$21,MATCH($C194,Muuttujat!$N$5:$N$21,0),1)</f>
        <v>7.3026850896560899E-2</v>
      </c>
      <c r="S194" s="149">
        <f t="shared" si="43"/>
        <v>6.6887515799999981</v>
      </c>
      <c r="T194" s="150">
        <f t="shared" si="44"/>
        <v>1.6621987200000001</v>
      </c>
      <c r="U194" s="150">
        <f t="shared" si="45"/>
        <v>0</v>
      </c>
      <c r="V194" s="150">
        <f>IFERROR(INDEX(Työkonekanta!$J$3:$J$27,MATCH($A194,Työkonekanta!$A$3:$A$24,0),1)*$B194*ef_li_ion_akku/1000/1000/INDEX(Työkonekanta!$K$3:$K$27,MATCH($A194,Työkonekanta!$A$3:$A$24,0)),0)</f>
        <v>0</v>
      </c>
      <c r="W194" s="149">
        <f t="shared" si="54"/>
        <v>26.1209035673388</v>
      </c>
      <c r="X194" s="150">
        <f t="shared" si="55"/>
        <v>0.33681039959999998</v>
      </c>
      <c r="Y194" s="151">
        <f t="shared" si="56"/>
        <v>0.1382499591836735</v>
      </c>
      <c r="Z194" s="152">
        <f t="shared" si="49"/>
        <v>8.3509502999999974</v>
      </c>
      <c r="AA194" s="153">
        <f t="shared" si="50"/>
        <v>26.259153526522475</v>
      </c>
      <c r="AB194" s="153">
        <f t="shared" si="51"/>
        <v>26.595963926122476</v>
      </c>
      <c r="AC194" s="154">
        <f t="shared" si="57"/>
        <v>34.610103826522476</v>
      </c>
      <c r="AD194" s="156">
        <f t="shared" si="52"/>
        <v>34.946914226122473</v>
      </c>
      <c r="AE194" s="182"/>
      <c r="AG194" s="2"/>
    </row>
    <row r="195" spans="1:37">
      <c r="A195" s="139">
        <v>13</v>
      </c>
      <c r="B195" s="139" cm="1">
        <f t="array" ref="B195">IFERROR(IF(A195=s1_id_korvattava1,INDEX($AG$3:$AG$19,MATCH(C195,$AF$3:$AF$19,0),1),IF(A195=s1_id_korvaava1,INDEX($AH$3:$AH$19,MATCH(C195,$AF$3:$AF$19,0),1),IF(A195=s1_id_korvattava2,INDEX($AI$3:$AI$19,MATCH(C195,$AF$3:$AF$19,0),1),IF(A195=s1_id_korvaava2,INDEX($AJ$3:$AJ$19,MATCH(C195,$AF$3:$AF$19,0),1),INDEX(Työkonekanta!$F$3:$F$27,MATCH('S1 Sähkö'!$A195,Työkonekanta!$A$3:$A$24,0),1))))),0)</f>
        <v>0</v>
      </c>
      <c r="C195" s="140">
        <v>2025</v>
      </c>
      <c r="D195" s="141" t="str">
        <f>IFERROR(INDEX(Työkonekanta!$D$3:$D$27,MATCH('S1 Sähkö'!$A195,Työkonekanta!$A$3:$A$24,0),1),"undefined")</f>
        <v>pom</v>
      </c>
      <c r="E195" s="145">
        <f>IFERROR(INDEX(Työkonekanta!$G$3:$G$27,MATCH($A195,Työkonekanta!$A$3:$A$24,0),1)*INDEX(Työkonekanta!$H$3:$H$27,MATCH($A195,Työkonekanta!$A$3:$A$24,0),1)*(1+s1_kerroin*($C195-2019))*$B195,0)</f>
        <v>0</v>
      </c>
      <c r="F195" s="145">
        <f t="shared" ref="F195:F258" si="58">IF(D195="pom",$E195*hv_pom,0)</f>
        <v>0</v>
      </c>
      <c r="G195" s="145">
        <f t="shared" si="46"/>
        <v>0</v>
      </c>
      <c r="H195" s="145">
        <f t="shared" si="47"/>
        <v>0</v>
      </c>
      <c r="I195" s="145">
        <f t="shared" ref="I195:I258" si="59">$G195/hv_pom</f>
        <v>0</v>
      </c>
      <c r="J195" s="145">
        <f t="shared" ref="J195:J258" si="60">$H195/hv_biodies</f>
        <v>0</v>
      </c>
      <c r="K195" s="142" t="str">
        <f t="shared" si="48"/>
        <v>l</v>
      </c>
      <c r="L195" s="146">
        <f>IFERROR(INDEX(Työkonekanta!$I$3:$I$27,MATCH('S1 Sähkö'!$A195,Työkonekanta!$A$3:$A$24,0),1)*(I195+J195)*f_adblue,0)</f>
        <v>0</v>
      </c>
      <c r="M195" s="146">
        <f t="shared" si="53"/>
        <v>0</v>
      </c>
      <c r="N195" s="143" t="str">
        <f>IF(tuulisähkö_vuosi&lt;='S1 Sähkö'!C195,"tuulisähkö",ostosähkö_nyt)</f>
        <v>jäännössähkö</v>
      </c>
      <c r="O195" s="147">
        <f>INDEX(Muuttujat!$J$5:$J$21,MATCH($C195,Muuttujat!$H$5:$H$21,0),1)</f>
        <v>65.194885123382022</v>
      </c>
      <c r="P195" s="342">
        <f>1-(INDEX(Muuttujat!$O$5:$O$21,MATCH($C195,Muuttujat!$N$5:$N$21,0),1))</f>
        <v>0.92999999999999994</v>
      </c>
      <c r="Q195" s="342">
        <f>INDEX(Muuttujat!$O$5:$O$21,MATCH($C195,Muuttujat!$N$5:$N$21,0),1)</f>
        <v>7.0000000000000007E-2</v>
      </c>
      <c r="R195" s="148">
        <f>INDEX(Muuttujat!$P$5:$P$21,MATCH($C195,Muuttujat!$N$5:$N$21,0),1)</f>
        <v>7.3026850896560899E-2</v>
      </c>
      <c r="S195" s="149">
        <f t="shared" ref="S195:S258" si="61">wtt_ef_e_co2_dies*$G195/1000/1000</f>
        <v>0</v>
      </c>
      <c r="T195" s="150">
        <f t="shared" ref="T195:T258" si="62">wtt_ef_e_co2_biodies*$H195/1000/1000</f>
        <v>0</v>
      </c>
      <c r="U195" s="150">
        <f t="shared" ref="U195:U258" si="63">IF(N195="jäännössähkö",$O195,IF(N195="tuulisähkö",wtt_ef_e_co2_el_wind,0))*$M195/1000/1000</f>
        <v>0</v>
      </c>
      <c r="V195" s="150">
        <f>IFERROR(INDEX(Työkonekanta!$J$3:$J$27,MATCH($A195,Työkonekanta!$A$3:$A$24,0),1)*$B195*ef_li_ion_akku/1000/1000/INDEX(Työkonekanta!$K$3:$K$27,MATCH($A195,Työkonekanta!$A$3:$A$24,0)),0)</f>
        <v>0</v>
      </c>
      <c r="W195" s="149">
        <f t="shared" si="54"/>
        <v>0</v>
      </c>
      <c r="X195" s="150">
        <f t="shared" si="55"/>
        <v>0</v>
      </c>
      <c r="Y195" s="151">
        <f t="shared" si="56"/>
        <v>0</v>
      </c>
      <c r="Z195" s="152">
        <f t="shared" si="49"/>
        <v>0</v>
      </c>
      <c r="AA195" s="153">
        <f t="shared" si="50"/>
        <v>0</v>
      </c>
      <c r="AB195" s="153">
        <f t="shared" si="51"/>
        <v>0</v>
      </c>
      <c r="AC195" s="154">
        <f t="shared" si="57"/>
        <v>0</v>
      </c>
      <c r="AD195" s="156">
        <f t="shared" si="52"/>
        <v>0</v>
      </c>
      <c r="AE195" s="182"/>
      <c r="AG195" s="2"/>
    </row>
    <row r="196" spans="1:37">
      <c r="A196" s="139">
        <v>14</v>
      </c>
      <c r="B196" s="139" cm="1">
        <f t="array" ref="B196">IFERROR(IF(A196=s1_id_korvattava1,INDEX($AG$3:$AG$19,MATCH(C196,$AF$3:$AF$19,0),1),IF(A196=s1_id_korvaava1,INDEX($AH$3:$AH$19,MATCH(C196,$AF$3:$AF$19,0),1),IF(A196=s1_id_korvattava2,INDEX($AI$3:$AI$19,MATCH(C196,$AF$3:$AF$19,0),1),IF(A196=s1_id_korvaava2,INDEX($AJ$3:$AJ$19,MATCH(C196,$AF$3:$AF$19,0),1),INDEX(Työkonekanta!$F$3:$F$27,MATCH('S1 Sähkö'!$A196,Työkonekanta!$A$3:$A$24,0),1))))),0)</f>
        <v>0</v>
      </c>
      <c r="C196" s="140">
        <v>2025</v>
      </c>
      <c r="D196" s="141" t="str">
        <f>IFERROR(INDEX(Työkonekanta!$D$3:$D$27,MATCH('S1 Sähkö'!$A196,Työkonekanta!$A$3:$A$24,0),1),"undefined")</f>
        <v>pom</v>
      </c>
      <c r="E196" s="145">
        <f>IFERROR(INDEX(Työkonekanta!$G$3:$G$27,MATCH($A196,Työkonekanta!$A$3:$A$24,0),1)*INDEX(Työkonekanta!$H$3:$H$27,MATCH($A196,Työkonekanta!$A$3:$A$24,0),1)*(1+s1_kerroin*($C196-2019))*$B196,0)</f>
        <v>0</v>
      </c>
      <c r="F196" s="145">
        <f t="shared" si="58"/>
        <v>0</v>
      </c>
      <c r="G196" s="145">
        <f t="shared" ref="G196:G259" si="64">$F196*$P196</f>
        <v>0</v>
      </c>
      <c r="H196" s="145">
        <f t="shared" ref="H196:H259" si="65">$F196*$Q196</f>
        <v>0</v>
      </c>
      <c r="I196" s="145">
        <f t="shared" si="59"/>
        <v>0</v>
      </c>
      <c r="J196" s="145">
        <f t="shared" si="60"/>
        <v>0</v>
      </c>
      <c r="K196" s="142" t="str">
        <f t="shared" ref="K196:K259" si="66">IF($D196="sähkö","kWh",IF($D196="pom","l","undefined"))</f>
        <v>l</v>
      </c>
      <c r="L196" s="146">
        <f>IFERROR(INDEX(Työkonekanta!$I$3:$I$27,MATCH('S1 Sähkö'!$A196,Työkonekanta!$A$3:$A$24,0),1)*(I196+J196)*f_adblue,0)</f>
        <v>0</v>
      </c>
      <c r="M196" s="146">
        <f t="shared" si="53"/>
        <v>0</v>
      </c>
      <c r="N196" s="143" t="str">
        <f>IF(tuulisähkö_vuosi&lt;='S1 Sähkö'!C196,"tuulisähkö",ostosähkö_nyt)</f>
        <v>jäännössähkö</v>
      </c>
      <c r="O196" s="147">
        <f>INDEX(Muuttujat!$J$5:$J$21,MATCH($C196,Muuttujat!$H$5:$H$21,0),1)</f>
        <v>65.194885123382022</v>
      </c>
      <c r="P196" s="342">
        <f>1-(INDEX(Muuttujat!$O$5:$O$21,MATCH($C196,Muuttujat!$N$5:$N$21,0),1))</f>
        <v>0.92999999999999994</v>
      </c>
      <c r="Q196" s="342">
        <f>INDEX(Muuttujat!$O$5:$O$21,MATCH($C196,Muuttujat!$N$5:$N$21,0),1)</f>
        <v>7.0000000000000007E-2</v>
      </c>
      <c r="R196" s="148">
        <f>INDEX(Muuttujat!$P$5:$P$21,MATCH($C196,Muuttujat!$N$5:$N$21,0),1)</f>
        <v>7.3026850896560899E-2</v>
      </c>
      <c r="S196" s="149">
        <f t="shared" si="61"/>
        <v>0</v>
      </c>
      <c r="T196" s="150">
        <f t="shared" si="62"/>
        <v>0</v>
      </c>
      <c r="U196" s="150">
        <f t="shared" si="63"/>
        <v>0</v>
      </c>
      <c r="V196" s="150">
        <f>IFERROR(INDEX(Työkonekanta!$J$3:$J$27,MATCH($A196,Työkonekanta!$A$3:$A$24,0),1)*$B196*ef_li_ion_akku/1000/1000/INDEX(Työkonekanta!$K$3:$K$27,MATCH($A196,Työkonekanta!$A$3:$A$24,0)),0)</f>
        <v>0</v>
      </c>
      <c r="W196" s="149">
        <f t="shared" si="54"/>
        <v>0</v>
      </c>
      <c r="X196" s="150">
        <f t="shared" si="55"/>
        <v>0</v>
      </c>
      <c r="Y196" s="151">
        <f t="shared" si="56"/>
        <v>0</v>
      </c>
      <c r="Z196" s="152">
        <f t="shared" ref="Z196:Z259" si="67">SUM($S196:$V196)</f>
        <v>0</v>
      </c>
      <c r="AA196" s="153">
        <f t="shared" ref="AA196:AA259" si="68">$W196+$Y196</f>
        <v>0</v>
      </c>
      <c r="AB196" s="153">
        <f t="shared" ref="AB196:AB259" si="69">SUM($W196:$Y196)</f>
        <v>0</v>
      </c>
      <c r="AC196" s="154">
        <f t="shared" si="57"/>
        <v>0</v>
      </c>
      <c r="AD196" s="156">
        <f t="shared" ref="AD196:AD259" si="70">$Z196+$AB196</f>
        <v>0</v>
      </c>
      <c r="AE196" s="182"/>
      <c r="AG196" s="2"/>
    </row>
    <row r="197" spans="1:37">
      <c r="A197" s="139">
        <v>15</v>
      </c>
      <c r="B197" s="139" cm="1">
        <f t="array" ref="B197">IFERROR(IF(A197=s1_id_korvattava1,INDEX($AG$3:$AG$19,MATCH(C197,$AF$3:$AF$19,0),1),IF(A197=s1_id_korvaava1,INDEX($AH$3:$AH$19,MATCH(C197,$AF$3:$AF$19,0),1),IF(A197=s1_id_korvattava2,INDEX($AI$3:$AI$19,MATCH(C197,$AF$3:$AF$19,0),1),IF(A197=s1_id_korvaava2,INDEX($AJ$3:$AJ$19,MATCH(C197,$AF$3:$AF$19,0),1),INDEX(Työkonekanta!$F$3:$F$27,MATCH('S1 Sähkö'!$A197,Työkonekanta!$A$3:$A$24,0),1))))),0)</f>
        <v>0</v>
      </c>
      <c r="C197" s="140">
        <v>2025</v>
      </c>
      <c r="D197" s="141" t="str">
        <f>IFERROR(INDEX(Työkonekanta!$D$3:$D$27,MATCH('S1 Sähkö'!$A197,Työkonekanta!$A$3:$A$24,0),1),"undefined")</f>
        <v>sähkö</v>
      </c>
      <c r="E197" s="145">
        <f>IFERROR(INDEX(Työkonekanta!$G$3:$G$27,MATCH($A197,Työkonekanta!$A$3:$A$24,0),1)*INDEX(Työkonekanta!$H$3:$H$27,MATCH($A197,Työkonekanta!$A$3:$A$24,0),1)*(1+s1_kerroin*($C197-2019))*$B197,0)</f>
        <v>0</v>
      </c>
      <c r="F197" s="145">
        <f t="shared" si="58"/>
        <v>0</v>
      </c>
      <c r="G197" s="145">
        <f t="shared" si="64"/>
        <v>0</v>
      </c>
      <c r="H197" s="145">
        <f t="shared" si="65"/>
        <v>0</v>
      </c>
      <c r="I197" s="145">
        <f t="shared" si="59"/>
        <v>0</v>
      </c>
      <c r="J197" s="145">
        <f t="shared" si="60"/>
        <v>0</v>
      </c>
      <c r="K197" s="142" t="str">
        <f t="shared" si="66"/>
        <v>kWh</v>
      </c>
      <c r="L197" s="146">
        <f>IFERROR(INDEX(Työkonekanta!$I$3:$I$27,MATCH('S1 Sähkö'!$A197,Työkonekanta!$A$3:$A$24,0),1)*(I197+J197)*f_adblue,0)</f>
        <v>0</v>
      </c>
      <c r="M197" s="146">
        <f t="shared" si="53"/>
        <v>0</v>
      </c>
      <c r="N197" s="143" t="str">
        <f>IF(tuulisähkö_vuosi&lt;='S1 Sähkö'!C197,"tuulisähkö",ostosähkö_nyt)</f>
        <v>jäännössähkö</v>
      </c>
      <c r="O197" s="147">
        <f>INDEX(Muuttujat!$J$5:$J$21,MATCH($C197,Muuttujat!$H$5:$H$21,0),1)</f>
        <v>65.194885123382022</v>
      </c>
      <c r="P197" s="342">
        <f>1-(INDEX(Muuttujat!$O$5:$O$21,MATCH($C197,Muuttujat!$N$5:$N$21,0),1))</f>
        <v>0.92999999999999994</v>
      </c>
      <c r="Q197" s="342">
        <f>INDEX(Muuttujat!$O$5:$O$21,MATCH($C197,Muuttujat!$N$5:$N$21,0),1)</f>
        <v>7.0000000000000007E-2</v>
      </c>
      <c r="R197" s="148">
        <f>INDEX(Muuttujat!$P$5:$P$21,MATCH($C197,Muuttujat!$N$5:$N$21,0),1)</f>
        <v>7.3026850896560899E-2</v>
      </c>
      <c r="S197" s="149">
        <f t="shared" si="61"/>
        <v>0</v>
      </c>
      <c r="T197" s="150">
        <f t="shared" si="62"/>
        <v>0</v>
      </c>
      <c r="U197" s="150">
        <f t="shared" si="63"/>
        <v>0</v>
      </c>
      <c r="V197" s="150">
        <f>IFERROR(INDEX(Työkonekanta!$J$3:$J$27,MATCH($A197,Työkonekanta!$A$3:$A$24,0),1)*$B197*ef_li_ion_akku/1000/1000/INDEX(Työkonekanta!$K$3:$K$27,MATCH($A197,Työkonekanta!$A$3:$A$24,0)),0)</f>
        <v>0</v>
      </c>
      <c r="W197" s="149">
        <f t="shared" si="54"/>
        <v>0</v>
      </c>
      <c r="X197" s="150">
        <f t="shared" si="55"/>
        <v>0</v>
      </c>
      <c r="Y197" s="151">
        <f t="shared" si="56"/>
        <v>0</v>
      </c>
      <c r="Z197" s="152">
        <f t="shared" si="67"/>
        <v>0</v>
      </c>
      <c r="AA197" s="153">
        <f t="shared" si="68"/>
        <v>0</v>
      </c>
      <c r="AB197" s="153">
        <f t="shared" si="69"/>
        <v>0</v>
      </c>
      <c r="AC197" s="154">
        <f t="shared" si="57"/>
        <v>0</v>
      </c>
      <c r="AD197" s="156">
        <f t="shared" si="70"/>
        <v>0</v>
      </c>
      <c r="AE197" s="182"/>
      <c r="AG197" s="2"/>
    </row>
    <row r="198" spans="1:37">
      <c r="A198" s="139">
        <v>16</v>
      </c>
      <c r="B198" s="139" cm="1">
        <f t="array" ref="B198">IFERROR(IF(A198=s1_id_korvattava1,INDEX($AG$3:$AG$19,MATCH(C198,$AF$3:$AF$19,0),1),IF(A198=s1_id_korvaava1,INDEX($AH$3:$AH$19,MATCH(C198,$AF$3:$AF$19,0),1),IF(A198=s1_id_korvattava2,INDEX($AI$3:$AI$19,MATCH(C198,$AF$3:$AF$19,0),1),IF(A198=s1_id_korvaava2,INDEX($AJ$3:$AJ$19,MATCH(C198,$AF$3:$AF$19,0),1),INDEX(Työkonekanta!$F$3:$F$27,MATCH('S1 Sähkö'!$A198,Työkonekanta!$A$3:$A$24,0),1))))),0)</f>
        <v>0</v>
      </c>
      <c r="C198" s="140">
        <v>2025</v>
      </c>
      <c r="D198" s="141" t="str">
        <f>IFERROR(INDEX(Työkonekanta!$D$3:$D$27,MATCH('S1 Sähkö'!$A198,Työkonekanta!$A$3:$A$24,0),1),"undefined")</f>
        <v>sähkö</v>
      </c>
      <c r="E198" s="145">
        <f>IFERROR(INDEX(Työkonekanta!$G$3:$G$27,MATCH($A198,Työkonekanta!$A$3:$A$24,0),1)*INDEX(Työkonekanta!$H$3:$H$27,MATCH($A198,Työkonekanta!$A$3:$A$24,0),1)*(1+s1_kerroin*($C198-2019))*$B198,0)</f>
        <v>0</v>
      </c>
      <c r="F198" s="145">
        <f t="shared" si="58"/>
        <v>0</v>
      </c>
      <c r="G198" s="145">
        <f t="shared" si="64"/>
        <v>0</v>
      </c>
      <c r="H198" s="145">
        <f t="shared" si="65"/>
        <v>0</v>
      </c>
      <c r="I198" s="145">
        <f t="shared" si="59"/>
        <v>0</v>
      </c>
      <c r="J198" s="145">
        <f t="shared" si="60"/>
        <v>0</v>
      </c>
      <c r="K198" s="142" t="str">
        <f t="shared" si="66"/>
        <v>kWh</v>
      </c>
      <c r="L198" s="146">
        <f>IFERROR(INDEX(Työkonekanta!$I$3:$I$27,MATCH('S1 Sähkö'!$A198,Työkonekanta!$A$3:$A$24,0),1)*(I198+J198)*f_adblue,0)</f>
        <v>0</v>
      </c>
      <c r="M198" s="146">
        <f t="shared" si="53"/>
        <v>0</v>
      </c>
      <c r="N198" s="143" t="str">
        <f>IF(tuulisähkö_vuosi&lt;='S1 Sähkö'!C198,"tuulisähkö",ostosähkö_nyt)</f>
        <v>jäännössähkö</v>
      </c>
      <c r="O198" s="147">
        <f>INDEX(Muuttujat!$J$5:$J$21,MATCH($C198,Muuttujat!$H$5:$H$21,0),1)</f>
        <v>65.194885123382022</v>
      </c>
      <c r="P198" s="342">
        <f>1-(INDEX(Muuttujat!$O$5:$O$21,MATCH($C198,Muuttujat!$N$5:$N$21,0),1))</f>
        <v>0.92999999999999994</v>
      </c>
      <c r="Q198" s="342">
        <f>INDEX(Muuttujat!$O$5:$O$21,MATCH($C198,Muuttujat!$N$5:$N$21,0),1)</f>
        <v>7.0000000000000007E-2</v>
      </c>
      <c r="R198" s="148">
        <f>INDEX(Muuttujat!$P$5:$P$21,MATCH($C198,Muuttujat!$N$5:$N$21,0),1)</f>
        <v>7.3026850896560899E-2</v>
      </c>
      <c r="S198" s="149">
        <f t="shared" si="61"/>
        <v>0</v>
      </c>
      <c r="T198" s="150">
        <f t="shared" si="62"/>
        <v>0</v>
      </c>
      <c r="U198" s="150">
        <f t="shared" si="63"/>
        <v>0</v>
      </c>
      <c r="V198" s="150">
        <f>IFERROR(INDEX(Työkonekanta!$J$3:$J$27,MATCH($A198,Työkonekanta!$A$3:$A$24,0),1)*$B198*ef_li_ion_akku/1000/1000/INDEX(Työkonekanta!$K$3:$K$27,MATCH($A198,Työkonekanta!$A$3:$A$24,0)),0)</f>
        <v>0</v>
      </c>
      <c r="W198" s="149">
        <f t="shared" si="54"/>
        <v>0</v>
      </c>
      <c r="X198" s="150">
        <f t="shared" si="55"/>
        <v>0</v>
      </c>
      <c r="Y198" s="151">
        <f t="shared" si="56"/>
        <v>0</v>
      </c>
      <c r="Z198" s="152">
        <f t="shared" si="67"/>
        <v>0</v>
      </c>
      <c r="AA198" s="153">
        <f t="shared" si="68"/>
        <v>0</v>
      </c>
      <c r="AB198" s="153">
        <f t="shared" si="69"/>
        <v>0</v>
      </c>
      <c r="AC198" s="154">
        <f t="shared" si="57"/>
        <v>0</v>
      </c>
      <c r="AD198" s="156">
        <f t="shared" si="70"/>
        <v>0</v>
      </c>
      <c r="AE198" s="182"/>
      <c r="AG198" s="2"/>
    </row>
    <row r="199" spans="1:37">
      <c r="A199" s="139">
        <v>17</v>
      </c>
      <c r="B199" s="139" cm="1">
        <f t="array" ref="B199">IFERROR(IF(A199=s1_id_korvattava1,INDEX($AG$3:$AG$19,MATCH(C199,$AF$3:$AF$19,0),1),IF(A199=s1_id_korvaava1,INDEX($AH$3:$AH$19,MATCH(C199,$AF$3:$AF$19,0),1),IF(A199=s1_id_korvattava2,INDEX($AI$3:$AI$19,MATCH(C199,$AF$3:$AF$19,0),1),IF(A199=s1_id_korvaava2,INDEX($AJ$3:$AJ$19,MATCH(C199,$AF$3:$AF$19,0),1),INDEX(Työkonekanta!$F$3:$F$27,MATCH('S1 Sähkö'!$A199,Työkonekanta!$A$3:$A$24,0),1))))),0)</f>
        <v>0</v>
      </c>
      <c r="C199" s="140">
        <v>2025</v>
      </c>
      <c r="D199" s="141" t="str">
        <f>IFERROR(INDEX(Työkonekanta!$D$3:$D$27,MATCH('S1 Sähkö'!$A199,Työkonekanta!$A$3:$A$24,0),1),"undefined")</f>
        <v>pom</v>
      </c>
      <c r="E199" s="145">
        <f>IFERROR(INDEX(Työkonekanta!$G$3:$G$27,MATCH($A199,Työkonekanta!$A$3:$A$24,0),1)*INDEX(Työkonekanta!$H$3:$H$27,MATCH($A199,Työkonekanta!$A$3:$A$24,0),1)*(1+s1_kerroin*($C199-2019))*$B199,0)</f>
        <v>0</v>
      </c>
      <c r="F199" s="145">
        <f t="shared" si="58"/>
        <v>0</v>
      </c>
      <c r="G199" s="145">
        <f t="shared" si="64"/>
        <v>0</v>
      </c>
      <c r="H199" s="145">
        <f t="shared" si="65"/>
        <v>0</v>
      </c>
      <c r="I199" s="145">
        <f t="shared" si="59"/>
        <v>0</v>
      </c>
      <c r="J199" s="145">
        <f t="shared" si="60"/>
        <v>0</v>
      </c>
      <c r="K199" s="142" t="str">
        <f t="shared" si="66"/>
        <v>l</v>
      </c>
      <c r="L199" s="146">
        <f>IFERROR(INDEX(Työkonekanta!$I$3:$I$27,MATCH('S1 Sähkö'!$A199,Työkonekanta!$A$3:$A$24,0),1)*(I199+J199)*f_adblue,0)</f>
        <v>0</v>
      </c>
      <c r="M199" s="146">
        <f t="shared" si="53"/>
        <v>0</v>
      </c>
      <c r="N199" s="143" t="str">
        <f>IF(tuulisähkö_vuosi&lt;='S1 Sähkö'!C199,"tuulisähkö",ostosähkö_nyt)</f>
        <v>jäännössähkö</v>
      </c>
      <c r="O199" s="147">
        <f>INDEX(Muuttujat!$J$5:$J$21,MATCH($C199,Muuttujat!$H$5:$H$21,0),1)</f>
        <v>65.194885123382022</v>
      </c>
      <c r="P199" s="342">
        <f>1-(INDEX(Muuttujat!$O$5:$O$21,MATCH($C199,Muuttujat!$N$5:$N$21,0),1))</f>
        <v>0.92999999999999994</v>
      </c>
      <c r="Q199" s="342">
        <f>INDEX(Muuttujat!$O$5:$O$21,MATCH($C199,Muuttujat!$N$5:$N$21,0),1)</f>
        <v>7.0000000000000007E-2</v>
      </c>
      <c r="R199" s="148">
        <f>INDEX(Muuttujat!$P$5:$P$21,MATCH($C199,Muuttujat!$N$5:$N$21,0),1)</f>
        <v>7.3026850896560899E-2</v>
      </c>
      <c r="S199" s="149">
        <f t="shared" si="61"/>
        <v>0</v>
      </c>
      <c r="T199" s="150">
        <f t="shared" si="62"/>
        <v>0</v>
      </c>
      <c r="U199" s="150">
        <f t="shared" si="63"/>
        <v>0</v>
      </c>
      <c r="V199" s="150">
        <f>IFERROR(INDEX(Työkonekanta!$J$3:$J$27,MATCH($A199,Työkonekanta!$A$3:$A$24,0),1)*$B199*ef_li_ion_akku/1000/1000/INDEX(Työkonekanta!$K$3:$K$27,MATCH($A199,Työkonekanta!$A$3:$A$24,0)),0)</f>
        <v>0</v>
      </c>
      <c r="W199" s="149">
        <f t="shared" si="54"/>
        <v>0</v>
      </c>
      <c r="X199" s="150">
        <f t="shared" si="55"/>
        <v>0</v>
      </c>
      <c r="Y199" s="151">
        <f t="shared" si="56"/>
        <v>0</v>
      </c>
      <c r="Z199" s="152">
        <f t="shared" si="67"/>
        <v>0</v>
      </c>
      <c r="AA199" s="153">
        <f t="shared" si="68"/>
        <v>0</v>
      </c>
      <c r="AB199" s="153">
        <f t="shared" si="69"/>
        <v>0</v>
      </c>
      <c r="AC199" s="154">
        <f t="shared" si="57"/>
        <v>0</v>
      </c>
      <c r="AD199" s="156">
        <f t="shared" si="70"/>
        <v>0</v>
      </c>
      <c r="AE199" s="182"/>
      <c r="AG199" s="2"/>
    </row>
    <row r="200" spans="1:37">
      <c r="A200" s="139">
        <v>18</v>
      </c>
      <c r="B200" s="139" cm="1">
        <f t="array" ref="B200">IFERROR(IF(A200=s1_id_korvattava1,INDEX($AG$3:$AG$19,MATCH(C200,$AF$3:$AF$19,0),1),IF(A200=s1_id_korvaava1,INDEX($AH$3:$AH$19,MATCH(C200,$AF$3:$AF$19,0),1),IF(A200=s1_id_korvattava2,INDEX($AI$3:$AI$19,MATCH(C200,$AF$3:$AF$19,0),1),IF(A200=s1_id_korvaava2,INDEX($AJ$3:$AJ$19,MATCH(C200,$AF$3:$AF$19,0),1),INDEX(Työkonekanta!$F$3:$F$27,MATCH('S1 Sähkö'!$A200,Työkonekanta!$A$3:$A$24,0),1))))),0)</f>
        <v>0</v>
      </c>
      <c r="C200" s="140">
        <v>2025</v>
      </c>
      <c r="D200" s="141" t="str">
        <f>IFERROR(INDEX(Työkonekanta!$D$3:$D$27,MATCH('S1 Sähkö'!$A200,Työkonekanta!$A$3:$A$24,0),1),"undefined")</f>
        <v>pom</v>
      </c>
      <c r="E200" s="145">
        <f>IFERROR(INDEX(Työkonekanta!$G$3:$G$27,MATCH($A200,Työkonekanta!$A$3:$A$24,0),1)*INDEX(Työkonekanta!$H$3:$H$27,MATCH($A200,Työkonekanta!$A$3:$A$24,0),1)*(1+s1_kerroin*($C200-2019))*$B200,0)</f>
        <v>0</v>
      </c>
      <c r="F200" s="145">
        <f t="shared" si="58"/>
        <v>0</v>
      </c>
      <c r="G200" s="145">
        <f t="shared" si="64"/>
        <v>0</v>
      </c>
      <c r="H200" s="145">
        <f t="shared" si="65"/>
        <v>0</v>
      </c>
      <c r="I200" s="145">
        <f t="shared" si="59"/>
        <v>0</v>
      </c>
      <c r="J200" s="145">
        <f t="shared" si="60"/>
        <v>0</v>
      </c>
      <c r="K200" s="142" t="str">
        <f t="shared" si="66"/>
        <v>l</v>
      </c>
      <c r="L200" s="146">
        <f>IFERROR(INDEX(Työkonekanta!$I$3:$I$27,MATCH('S1 Sähkö'!$A200,Työkonekanta!$A$3:$A$24,0),1)*(I200+J200)*f_adblue,0)</f>
        <v>0</v>
      </c>
      <c r="M200" s="146">
        <f t="shared" si="53"/>
        <v>0</v>
      </c>
      <c r="N200" s="143" t="str">
        <f>IF(tuulisähkö_vuosi&lt;='S1 Sähkö'!C200,"tuulisähkö",ostosähkö_nyt)</f>
        <v>jäännössähkö</v>
      </c>
      <c r="O200" s="147">
        <f>INDEX(Muuttujat!$J$5:$J$21,MATCH($C200,Muuttujat!$H$5:$H$21,0),1)</f>
        <v>65.194885123382022</v>
      </c>
      <c r="P200" s="342">
        <f>1-(INDEX(Muuttujat!$O$5:$O$21,MATCH($C200,Muuttujat!$N$5:$N$21,0),1))</f>
        <v>0.92999999999999994</v>
      </c>
      <c r="Q200" s="342">
        <f>INDEX(Muuttujat!$O$5:$O$21,MATCH($C200,Muuttujat!$N$5:$N$21,0),1)</f>
        <v>7.0000000000000007E-2</v>
      </c>
      <c r="R200" s="148">
        <f>INDEX(Muuttujat!$P$5:$P$21,MATCH($C200,Muuttujat!$N$5:$N$21,0),1)</f>
        <v>7.3026850896560899E-2</v>
      </c>
      <c r="S200" s="149">
        <f t="shared" si="61"/>
        <v>0</v>
      </c>
      <c r="T200" s="150">
        <f t="shared" si="62"/>
        <v>0</v>
      </c>
      <c r="U200" s="150">
        <f t="shared" si="63"/>
        <v>0</v>
      </c>
      <c r="V200" s="150">
        <f>IFERROR(INDEX(Työkonekanta!$J$3:$J$27,MATCH($A200,Työkonekanta!$A$3:$A$24,0),1)*$B200*ef_li_ion_akku/1000/1000/INDEX(Työkonekanta!$K$3:$K$27,MATCH($A200,Työkonekanta!$A$3:$A$24,0)),0)</f>
        <v>0</v>
      </c>
      <c r="W200" s="149">
        <f t="shared" si="54"/>
        <v>0</v>
      </c>
      <c r="X200" s="150">
        <f t="shared" si="55"/>
        <v>0</v>
      </c>
      <c r="Y200" s="151">
        <f t="shared" si="56"/>
        <v>0</v>
      </c>
      <c r="Z200" s="152">
        <f t="shared" si="67"/>
        <v>0</v>
      </c>
      <c r="AA200" s="153">
        <f t="shared" si="68"/>
        <v>0</v>
      </c>
      <c r="AB200" s="153">
        <f t="shared" si="69"/>
        <v>0</v>
      </c>
      <c r="AC200" s="154">
        <f t="shared" si="57"/>
        <v>0</v>
      </c>
      <c r="AD200" s="156">
        <f t="shared" si="70"/>
        <v>0</v>
      </c>
      <c r="AE200" s="182"/>
      <c r="AG200" s="2"/>
    </row>
    <row r="201" spans="1:37">
      <c r="A201" s="139">
        <v>19</v>
      </c>
      <c r="B201" s="139" cm="1">
        <f t="array" ref="B201">IFERROR(IF(A201=s1_id_korvattava1,INDEX($AG$3:$AG$19,MATCH(C201,$AF$3:$AF$19,0),1),IF(A201=s1_id_korvaava1,INDEX($AH$3:$AH$19,MATCH(C201,$AF$3:$AF$19,0),1),IF(A201=s1_id_korvattava2,INDEX($AI$3:$AI$19,MATCH(C201,$AF$3:$AF$19,0),1),IF(A201=s1_id_korvaava2,INDEX($AJ$3:$AJ$19,MATCH(C201,$AF$3:$AF$19,0),1),INDEX(Työkonekanta!$F$3:$F$27,MATCH('S1 Sähkö'!$A201,Työkonekanta!$A$3:$A$24,0),1))))),0)</f>
        <v>0</v>
      </c>
      <c r="C201" s="140">
        <v>2025</v>
      </c>
      <c r="D201" s="141" t="str">
        <f>IFERROR(INDEX(Työkonekanta!$D$3:$D$27,MATCH('S1 Sähkö'!$A201,Työkonekanta!$A$3:$A$24,0),1),"undefined")</f>
        <v>pom</v>
      </c>
      <c r="E201" s="145">
        <f>IFERROR(INDEX(Työkonekanta!$G$3:$G$27,MATCH($A201,Työkonekanta!$A$3:$A$24,0),1)*INDEX(Työkonekanta!$H$3:$H$27,MATCH($A201,Työkonekanta!$A$3:$A$24,0),1)*(1+s1_kerroin*($C201-2019))*$B201,0)</f>
        <v>0</v>
      </c>
      <c r="F201" s="145">
        <f t="shared" si="58"/>
        <v>0</v>
      </c>
      <c r="G201" s="145">
        <f t="shared" si="64"/>
        <v>0</v>
      </c>
      <c r="H201" s="145">
        <f t="shared" si="65"/>
        <v>0</v>
      </c>
      <c r="I201" s="145">
        <f t="shared" si="59"/>
        <v>0</v>
      </c>
      <c r="J201" s="145">
        <f t="shared" si="60"/>
        <v>0</v>
      </c>
      <c r="K201" s="142" t="str">
        <f t="shared" si="66"/>
        <v>l</v>
      </c>
      <c r="L201" s="146">
        <f>IFERROR(INDEX(Työkonekanta!$I$3:$I$27,MATCH('S1 Sähkö'!$A201,Työkonekanta!$A$3:$A$24,0),1)*(I201+J201)*f_adblue,0)</f>
        <v>0</v>
      </c>
      <c r="M201" s="146">
        <f t="shared" si="53"/>
        <v>0</v>
      </c>
      <c r="N201" s="143" t="str">
        <f>IF(tuulisähkö_vuosi&lt;='S1 Sähkö'!C201,"tuulisähkö",ostosähkö_nyt)</f>
        <v>jäännössähkö</v>
      </c>
      <c r="O201" s="147">
        <f>INDEX(Muuttujat!$J$5:$J$21,MATCH($C201,Muuttujat!$H$5:$H$21,0),1)</f>
        <v>65.194885123382022</v>
      </c>
      <c r="P201" s="342">
        <f>1-(INDEX(Muuttujat!$O$5:$O$21,MATCH($C201,Muuttujat!$N$5:$N$21,0),1))</f>
        <v>0.92999999999999994</v>
      </c>
      <c r="Q201" s="342">
        <f>INDEX(Muuttujat!$O$5:$O$21,MATCH($C201,Muuttujat!$N$5:$N$21,0),1)</f>
        <v>7.0000000000000007E-2</v>
      </c>
      <c r="R201" s="148">
        <f>INDEX(Muuttujat!$P$5:$P$21,MATCH($C201,Muuttujat!$N$5:$N$21,0),1)</f>
        <v>7.3026850896560899E-2</v>
      </c>
      <c r="S201" s="149">
        <f t="shared" si="61"/>
        <v>0</v>
      </c>
      <c r="T201" s="150">
        <f t="shared" si="62"/>
        <v>0</v>
      </c>
      <c r="U201" s="150">
        <f t="shared" si="63"/>
        <v>0</v>
      </c>
      <c r="V201" s="150">
        <f>IFERROR(INDEX(Työkonekanta!$J$3:$J$27,MATCH($A201,Työkonekanta!$A$3:$A$24,0),1)*$B201*ef_li_ion_akku/1000/1000/INDEX(Työkonekanta!$K$3:$K$27,MATCH($A201,Työkonekanta!$A$3:$A$24,0)),0)</f>
        <v>0</v>
      </c>
      <c r="W201" s="149">
        <f t="shared" si="54"/>
        <v>0</v>
      </c>
      <c r="X201" s="150">
        <f t="shared" si="55"/>
        <v>0</v>
      </c>
      <c r="Y201" s="151">
        <f t="shared" si="56"/>
        <v>0</v>
      </c>
      <c r="Z201" s="152">
        <f t="shared" si="67"/>
        <v>0</v>
      </c>
      <c r="AA201" s="153">
        <f t="shared" si="68"/>
        <v>0</v>
      </c>
      <c r="AB201" s="153">
        <f t="shared" si="69"/>
        <v>0</v>
      </c>
      <c r="AC201" s="154">
        <f t="shared" si="57"/>
        <v>0</v>
      </c>
      <c r="AD201" s="156">
        <f t="shared" si="70"/>
        <v>0</v>
      </c>
      <c r="AE201" s="182"/>
      <c r="AG201" s="2"/>
    </row>
    <row r="202" spans="1:37">
      <c r="A202" s="139">
        <v>20</v>
      </c>
      <c r="B202" s="139" cm="1">
        <f t="array" ref="B202">IFERROR(IF(A202=s1_id_korvattava1,INDEX($AG$3:$AG$19,MATCH(C202,$AF$3:$AF$19,0),1),IF(A202=s1_id_korvaava1,INDEX($AH$3:$AH$19,MATCH(C202,$AF$3:$AF$19,0),1),IF(A202=s1_id_korvattava2,INDEX($AI$3:$AI$19,MATCH(C202,$AF$3:$AF$19,0),1),IF(A202=s1_id_korvaava2,INDEX($AJ$3:$AJ$19,MATCH(C202,$AF$3:$AF$19,0),1),INDEX(Työkonekanta!$F$3:$F$27,MATCH('S1 Sähkö'!$A202,Työkonekanta!$A$3:$A$24,0),1))))),0)</f>
        <v>0</v>
      </c>
      <c r="C202" s="140">
        <v>2025</v>
      </c>
      <c r="D202" s="141" t="str">
        <f>IFERROR(INDEX(Työkonekanta!$D$3:$D$27,MATCH('S1 Sähkö'!$A202,Työkonekanta!$A$3:$A$24,0),1),"undefined")</f>
        <v>pom</v>
      </c>
      <c r="E202" s="145">
        <f>IFERROR(INDEX(Työkonekanta!$G$3:$G$27,MATCH($A202,Työkonekanta!$A$3:$A$24,0),1)*INDEX(Työkonekanta!$H$3:$H$27,MATCH($A202,Työkonekanta!$A$3:$A$24,0),1)*(1+s1_kerroin*($C202-2019))*$B202,0)</f>
        <v>0</v>
      </c>
      <c r="F202" s="145">
        <f t="shared" si="58"/>
        <v>0</v>
      </c>
      <c r="G202" s="145">
        <f t="shared" si="64"/>
        <v>0</v>
      </c>
      <c r="H202" s="145">
        <f t="shared" si="65"/>
        <v>0</v>
      </c>
      <c r="I202" s="145">
        <f t="shared" si="59"/>
        <v>0</v>
      </c>
      <c r="J202" s="145">
        <f t="shared" si="60"/>
        <v>0</v>
      </c>
      <c r="K202" s="142" t="str">
        <f t="shared" si="66"/>
        <v>l</v>
      </c>
      <c r="L202" s="146">
        <f>IFERROR(INDEX(Työkonekanta!$I$3:$I$27,MATCH('S1 Sähkö'!$A202,Työkonekanta!$A$3:$A$24,0),1)*(I202+J202)*f_adblue,0)</f>
        <v>0</v>
      </c>
      <c r="M202" s="146">
        <f t="shared" si="53"/>
        <v>0</v>
      </c>
      <c r="N202" s="143" t="str">
        <f>IF(tuulisähkö_vuosi&lt;='S1 Sähkö'!C202,"tuulisähkö",ostosähkö_nyt)</f>
        <v>jäännössähkö</v>
      </c>
      <c r="O202" s="147">
        <f>INDEX(Muuttujat!$J$5:$J$21,MATCH($C202,Muuttujat!$H$5:$H$21,0),1)</f>
        <v>65.194885123382022</v>
      </c>
      <c r="P202" s="342">
        <f>1-(INDEX(Muuttujat!$O$5:$O$21,MATCH($C202,Muuttujat!$N$5:$N$21,0),1))</f>
        <v>0.92999999999999994</v>
      </c>
      <c r="Q202" s="342">
        <f>INDEX(Muuttujat!$O$5:$O$21,MATCH($C202,Muuttujat!$N$5:$N$21,0),1)</f>
        <v>7.0000000000000007E-2</v>
      </c>
      <c r="R202" s="148">
        <f>INDEX(Muuttujat!$P$5:$P$21,MATCH($C202,Muuttujat!$N$5:$N$21,0),1)</f>
        <v>7.3026850896560899E-2</v>
      </c>
      <c r="S202" s="149">
        <f t="shared" si="61"/>
        <v>0</v>
      </c>
      <c r="T202" s="150">
        <f t="shared" si="62"/>
        <v>0</v>
      </c>
      <c r="U202" s="150">
        <f t="shared" si="63"/>
        <v>0</v>
      </c>
      <c r="V202" s="150">
        <f>IFERROR(INDEX(Työkonekanta!$J$3:$J$27,MATCH($A202,Työkonekanta!$A$3:$A$24,0),1)*$B202*ef_li_ion_akku/1000/1000/INDEX(Työkonekanta!$K$3:$K$27,MATCH($A202,Työkonekanta!$A$3:$A$24,0)),0)</f>
        <v>0</v>
      </c>
      <c r="W202" s="149">
        <f t="shared" si="54"/>
        <v>0</v>
      </c>
      <c r="X202" s="150">
        <f t="shared" si="55"/>
        <v>0</v>
      </c>
      <c r="Y202" s="151">
        <f t="shared" si="56"/>
        <v>0</v>
      </c>
      <c r="Z202" s="152">
        <f t="shared" si="67"/>
        <v>0</v>
      </c>
      <c r="AA202" s="153">
        <f t="shared" si="68"/>
        <v>0</v>
      </c>
      <c r="AB202" s="153">
        <f t="shared" si="69"/>
        <v>0</v>
      </c>
      <c r="AC202" s="154">
        <f t="shared" si="57"/>
        <v>0</v>
      </c>
      <c r="AD202" s="156">
        <f t="shared" si="70"/>
        <v>0</v>
      </c>
      <c r="AE202" s="182"/>
      <c r="AG202" s="2"/>
    </row>
    <row r="203" spans="1:37">
      <c r="A203" s="139">
        <v>21</v>
      </c>
      <c r="B203" s="139" cm="1">
        <f t="array" ref="B203">IFERROR(IF(A203=s1_id_korvattava1,INDEX($AG$3:$AG$19,MATCH(C203,$AF$3:$AF$19,0),1),IF(A203=s1_id_korvaava1,INDEX($AH$3:$AH$19,MATCH(C203,$AF$3:$AF$19,0),1),IF(A203=s1_id_korvattava2,INDEX($AI$3:$AI$19,MATCH(C203,$AF$3:$AF$19,0),1),IF(A203=s1_id_korvaava2,INDEX($AJ$3:$AJ$19,MATCH(C203,$AF$3:$AF$19,0),1),INDEX(Työkonekanta!$F$3:$F$27,MATCH('S1 Sähkö'!$A203,Työkonekanta!$A$3:$A$24,0),1))))),0)</f>
        <v>36</v>
      </c>
      <c r="C203" s="140">
        <v>2025</v>
      </c>
      <c r="D203" s="141" t="str">
        <f>IFERROR(INDEX(Työkonekanta!$D$3:$D$27,MATCH('S1 Sähkö'!$A203,Työkonekanta!$A$3:$A$24,0),1),"undefined")</f>
        <v>sähkö</v>
      </c>
      <c r="E203" s="145">
        <f>IFERROR(INDEX(Työkonekanta!$G$3:$G$27,MATCH($A203,Työkonekanta!$A$3:$A$24,0),1)*INDEX(Työkonekanta!$H$3:$H$27,MATCH($A203,Työkonekanta!$A$3:$A$24,0),1)*(1+s1_kerroin*($C203-2019))*$B203,0)</f>
        <v>443963.33333333337</v>
      </c>
      <c r="F203" s="145">
        <f t="shared" si="58"/>
        <v>0</v>
      </c>
      <c r="G203" s="145">
        <f t="shared" si="64"/>
        <v>0</v>
      </c>
      <c r="H203" s="145">
        <f t="shared" si="65"/>
        <v>0</v>
      </c>
      <c r="I203" s="145">
        <f t="shared" si="59"/>
        <v>0</v>
      </c>
      <c r="J203" s="145">
        <f t="shared" si="60"/>
        <v>0</v>
      </c>
      <c r="K203" s="142" t="str">
        <f t="shared" si="66"/>
        <v>kWh</v>
      </c>
      <c r="L203" s="146">
        <f>IFERROR(INDEX(Työkonekanta!$I$3:$I$27,MATCH('S1 Sähkö'!$A203,Työkonekanta!$A$3:$A$24,0),1)*(I203+J203)*f_adblue,0)</f>
        <v>0</v>
      </c>
      <c r="M203" s="146">
        <f t="shared" si="53"/>
        <v>1598268.0000000002</v>
      </c>
      <c r="N203" s="143" t="str">
        <f>IF(tuulisähkö_vuosi&lt;='S1 Sähkö'!C203,"tuulisähkö",ostosähkö_nyt)</f>
        <v>jäännössähkö</v>
      </c>
      <c r="O203" s="147">
        <f>INDEX(Muuttujat!$J$5:$J$21,MATCH($C203,Muuttujat!$H$5:$H$21,0),1)</f>
        <v>65.194885123382022</v>
      </c>
      <c r="P203" s="342">
        <f>1-(INDEX(Muuttujat!$O$5:$O$21,MATCH($C203,Muuttujat!$N$5:$N$21,0),1))</f>
        <v>0.92999999999999994</v>
      </c>
      <c r="Q203" s="342">
        <f>INDEX(Muuttujat!$O$5:$O$21,MATCH($C203,Muuttujat!$N$5:$N$21,0),1)</f>
        <v>7.0000000000000007E-2</v>
      </c>
      <c r="R203" s="148">
        <f>INDEX(Muuttujat!$P$5:$P$21,MATCH($C203,Muuttujat!$N$5:$N$21,0),1)</f>
        <v>7.3026850896560899E-2</v>
      </c>
      <c r="S203" s="149">
        <f t="shared" si="61"/>
        <v>0</v>
      </c>
      <c r="T203" s="150">
        <f t="shared" si="62"/>
        <v>0</v>
      </c>
      <c r="U203" s="150">
        <f t="shared" si="63"/>
        <v>104.19889865637755</v>
      </c>
      <c r="V203" s="150">
        <f>IFERROR(INDEX(Työkonekanta!$J$3:$J$27,MATCH($A203,Työkonekanta!$A$3:$A$24,0),1)*$B203*ef_li_ion_akku/1000/1000/INDEX(Työkonekanta!$K$3:$K$27,MATCH($A203,Työkonekanta!$A$3:$A$24,0)),0)</f>
        <v>44.353772307692303</v>
      </c>
      <c r="W203" s="149">
        <f t="shared" si="54"/>
        <v>0</v>
      </c>
      <c r="X203" s="150">
        <f t="shared" si="55"/>
        <v>0</v>
      </c>
      <c r="Y203" s="151">
        <f t="shared" si="56"/>
        <v>0</v>
      </c>
      <c r="Z203" s="152">
        <f t="shared" si="67"/>
        <v>148.55267096406985</v>
      </c>
      <c r="AA203" s="153">
        <f t="shared" si="68"/>
        <v>0</v>
      </c>
      <c r="AB203" s="153">
        <f t="shared" si="69"/>
        <v>0</v>
      </c>
      <c r="AC203" s="154">
        <f t="shared" si="57"/>
        <v>148.55267096406985</v>
      </c>
      <c r="AD203" s="156">
        <f t="shared" si="70"/>
        <v>148.55267096406985</v>
      </c>
      <c r="AE203" s="182"/>
      <c r="AG203" s="2"/>
    </row>
    <row r="204" spans="1:37">
      <c r="A204" s="139">
        <v>22</v>
      </c>
      <c r="B204" s="139" cm="1">
        <f t="array" ref="B204">IFERROR(IF(A204=s1_id_korvattava1,INDEX($AG$3:$AG$19,MATCH(C204,$AF$3:$AF$19,0),1),IF(A204=s1_id_korvaava1,INDEX($AH$3:$AH$19,MATCH(C204,$AF$3:$AF$19,0),1),IF(A204=s1_id_korvattava2,INDEX($AI$3:$AI$19,MATCH(C204,$AF$3:$AF$19,0),1),IF(A204=s1_id_korvaava2,INDEX($AJ$3:$AJ$19,MATCH(C204,$AF$3:$AF$19,0),1),INDEX(Työkonekanta!$F$3:$F$27,MATCH('S1 Sähkö'!$A204,Työkonekanta!$A$3:$A$24,0),1))))),0)</f>
        <v>1</v>
      </c>
      <c r="C204" s="140">
        <v>2025</v>
      </c>
      <c r="D204" s="141" t="str">
        <f>IFERROR(INDEX(Työkonekanta!$D$3:$D$27,MATCH('S1 Sähkö'!$A204,Työkonekanta!$A$3:$A$24,0),1),"undefined")</f>
        <v>sähkö</v>
      </c>
      <c r="E204" s="145">
        <f>IFERROR(INDEX(Työkonekanta!$G$3:$G$27,MATCH($A204,Työkonekanta!$A$3:$A$24,0),1)*INDEX(Työkonekanta!$H$3:$H$27,MATCH($A204,Työkonekanta!$A$3:$A$24,0),1)*(1+s1_kerroin*($C204-2019))*$B204,0)</f>
        <v>47215.148148148146</v>
      </c>
      <c r="F204" s="145">
        <f t="shared" si="58"/>
        <v>0</v>
      </c>
      <c r="G204" s="145">
        <f t="shared" si="64"/>
        <v>0</v>
      </c>
      <c r="H204" s="145">
        <f t="shared" si="65"/>
        <v>0</v>
      </c>
      <c r="I204" s="145">
        <f t="shared" si="59"/>
        <v>0</v>
      </c>
      <c r="J204" s="145">
        <f t="shared" si="60"/>
        <v>0</v>
      </c>
      <c r="K204" s="142" t="str">
        <f t="shared" si="66"/>
        <v>kWh</v>
      </c>
      <c r="L204" s="146">
        <f>IFERROR(INDEX(Työkonekanta!$I$3:$I$27,MATCH('S1 Sähkö'!$A204,Työkonekanta!$A$3:$A$24,0),1)*(I204+J204)*f_adblue,0)</f>
        <v>0</v>
      </c>
      <c r="M204" s="146">
        <f t="shared" si="53"/>
        <v>169974.53333333333</v>
      </c>
      <c r="N204" s="143" t="str">
        <f>IF(tuulisähkö_vuosi&lt;='S1 Sähkö'!C204,"tuulisähkö",ostosähkö_nyt)</f>
        <v>jäännössähkö</v>
      </c>
      <c r="O204" s="147">
        <f>INDEX(Muuttujat!$J$5:$J$21,MATCH($C204,Muuttujat!$H$5:$H$21,0),1)</f>
        <v>65.194885123382022</v>
      </c>
      <c r="P204" s="342">
        <f>1-(INDEX(Muuttujat!$O$5:$O$21,MATCH($C204,Muuttujat!$N$5:$N$21,0),1))</f>
        <v>0.92999999999999994</v>
      </c>
      <c r="Q204" s="342">
        <f>INDEX(Muuttujat!$O$5:$O$21,MATCH($C204,Muuttujat!$N$5:$N$21,0),1)</f>
        <v>7.0000000000000007E-2</v>
      </c>
      <c r="R204" s="148">
        <f>INDEX(Muuttujat!$P$5:$P$21,MATCH($C204,Muuttujat!$N$5:$N$21,0),1)</f>
        <v>7.3026850896560899E-2</v>
      </c>
      <c r="S204" s="149">
        <f t="shared" si="61"/>
        <v>0</v>
      </c>
      <c r="T204" s="150">
        <f t="shared" si="62"/>
        <v>0</v>
      </c>
      <c r="U204" s="150">
        <f t="shared" si="63"/>
        <v>11.081470174567135</v>
      </c>
      <c r="V204" s="150">
        <f>IFERROR(INDEX(Työkonekanta!$J$3:$J$27,MATCH($A204,Työkonekanta!$A$3:$A$24,0),1)*$B204*ef_li_ion_akku/1000/1000/INDEX(Työkonekanta!$K$3:$K$27,MATCH($A204,Työkonekanta!$A$3:$A$24,0)),0)</f>
        <v>5.2676455384615384</v>
      </c>
      <c r="W204" s="149">
        <f t="shared" si="54"/>
        <v>0</v>
      </c>
      <c r="X204" s="150">
        <f t="shared" si="55"/>
        <v>0</v>
      </c>
      <c r="Y204" s="151">
        <f t="shared" si="56"/>
        <v>0</v>
      </c>
      <c r="Z204" s="152">
        <f t="shared" si="67"/>
        <v>16.349115713028674</v>
      </c>
      <c r="AA204" s="153">
        <f t="shared" si="68"/>
        <v>0</v>
      </c>
      <c r="AB204" s="153">
        <f t="shared" si="69"/>
        <v>0</v>
      </c>
      <c r="AC204" s="154">
        <f t="shared" si="57"/>
        <v>16.349115713028674</v>
      </c>
      <c r="AD204" s="156">
        <f t="shared" si="70"/>
        <v>16.349115713028674</v>
      </c>
      <c r="AE204" s="182"/>
      <c r="AG204" s="2"/>
    </row>
    <row r="205" spans="1:37">
      <c r="A205" s="139">
        <v>23</v>
      </c>
      <c r="B205" s="139" cm="1">
        <f t="array" ref="B205">IFERROR(IF(A205=s1_id_korvattava1,INDEX($AG$3:$AG$19,MATCH(C205,$AF$3:$AF$19,0),1),IF(A205=s1_id_korvaava1,INDEX($AH$3:$AH$19,MATCH(C205,$AF$3:$AF$19,0),1),IF(A205=s1_id_korvattava2,INDEX($AI$3:$AI$19,MATCH(C205,$AF$3:$AF$19,0),1),IF(A205=s1_id_korvaava2,INDEX($AJ$3:$AJ$19,MATCH(C205,$AF$3:$AF$19,0),1),INDEX(Työkonekanta!$F$3:$F$27,MATCH('S1 Sähkö'!$A205,Työkonekanta!$A$3:$A$24,0),1))))),0)</f>
        <v>0</v>
      </c>
      <c r="C205" s="140">
        <v>2025</v>
      </c>
      <c r="D205" s="141" t="str">
        <f>IFERROR(INDEX(Työkonekanta!$D$3:$D$27,MATCH('S1 Sähkö'!$A205,Työkonekanta!$A$3:$A$24,0),1),"undefined")</f>
        <v>undefined</v>
      </c>
      <c r="E205" s="145">
        <f>IFERROR(INDEX(Työkonekanta!$G$3:$G$27,MATCH($A205,Työkonekanta!$A$3:$A$24,0),1)*INDEX(Työkonekanta!$H$3:$H$27,MATCH($A205,Työkonekanta!$A$3:$A$24,0),1)*(1+s1_kerroin*($C205-2019))*$B205,0)</f>
        <v>0</v>
      </c>
      <c r="F205" s="145">
        <f t="shared" si="58"/>
        <v>0</v>
      </c>
      <c r="G205" s="145">
        <f t="shared" si="64"/>
        <v>0</v>
      </c>
      <c r="H205" s="145">
        <f t="shared" si="65"/>
        <v>0</v>
      </c>
      <c r="I205" s="145">
        <f t="shared" si="59"/>
        <v>0</v>
      </c>
      <c r="J205" s="145">
        <f t="shared" si="60"/>
        <v>0</v>
      </c>
      <c r="K205" s="142" t="str">
        <f t="shared" si="66"/>
        <v>undefined</v>
      </c>
      <c r="L205" s="146">
        <f>IFERROR(INDEX(Työkonekanta!$I$3:$I$27,MATCH('S1 Sähkö'!$A205,Työkonekanta!$A$3:$A$24,0),1)*(I205+J205)*f_adblue,0)</f>
        <v>0</v>
      </c>
      <c r="M205" s="146">
        <f t="shared" si="53"/>
        <v>0</v>
      </c>
      <c r="N205" s="143" t="str">
        <f>IF(tuulisähkö_vuosi&lt;='S1 Sähkö'!C205,"tuulisähkö",ostosähkö_nyt)</f>
        <v>jäännössähkö</v>
      </c>
      <c r="O205" s="147">
        <f>INDEX(Muuttujat!$J$5:$J$21,MATCH($C205,Muuttujat!$H$5:$H$21,0),1)</f>
        <v>65.194885123382022</v>
      </c>
      <c r="P205" s="342">
        <f>1-(INDEX(Muuttujat!$O$5:$O$21,MATCH($C205,Muuttujat!$N$5:$N$21,0),1))</f>
        <v>0.92999999999999994</v>
      </c>
      <c r="Q205" s="342">
        <f>INDEX(Muuttujat!$O$5:$O$21,MATCH($C205,Muuttujat!$N$5:$N$21,0),1)</f>
        <v>7.0000000000000007E-2</v>
      </c>
      <c r="R205" s="148">
        <f>INDEX(Muuttujat!$P$5:$P$21,MATCH($C205,Muuttujat!$N$5:$N$21,0),1)</f>
        <v>7.3026850896560899E-2</v>
      </c>
      <c r="S205" s="149">
        <f t="shared" si="61"/>
        <v>0</v>
      </c>
      <c r="T205" s="150">
        <f t="shared" si="62"/>
        <v>0</v>
      </c>
      <c r="U205" s="150">
        <f t="shared" si="63"/>
        <v>0</v>
      </c>
      <c r="V205" s="150">
        <f>IFERROR(INDEX(Työkonekanta!$J$3:$J$27,MATCH($A205,Työkonekanta!$A$3:$A$24,0),1)*$B205*ef_li_ion_akku/1000/1000/INDEX(Työkonekanta!$K$3:$K$27,MATCH($A205,Työkonekanta!$A$3:$A$24,0)),0)</f>
        <v>0</v>
      </c>
      <c r="W205" s="149">
        <f t="shared" si="54"/>
        <v>0</v>
      </c>
      <c r="X205" s="150">
        <f t="shared" si="55"/>
        <v>0</v>
      </c>
      <c r="Y205" s="151">
        <f t="shared" si="56"/>
        <v>0</v>
      </c>
      <c r="Z205" s="152">
        <f t="shared" si="67"/>
        <v>0</v>
      </c>
      <c r="AA205" s="153">
        <f t="shared" si="68"/>
        <v>0</v>
      </c>
      <c r="AB205" s="153">
        <f t="shared" si="69"/>
        <v>0</v>
      </c>
      <c r="AC205" s="154">
        <f t="shared" si="57"/>
        <v>0</v>
      </c>
      <c r="AD205" s="156">
        <f t="shared" si="70"/>
        <v>0</v>
      </c>
      <c r="AE205" s="182"/>
      <c r="AJ205" s="28"/>
      <c r="AK205" s="29"/>
    </row>
    <row r="206" spans="1:37">
      <c r="A206" s="139">
        <v>24</v>
      </c>
      <c r="B206" s="139" cm="1">
        <f t="array" ref="B206">IFERROR(IF(A206=s1_id_korvattava1,INDEX($AG$3:$AG$19,MATCH(C206,$AF$3:$AF$19,0),1),IF(A206=s1_id_korvaava1,INDEX($AH$3:$AH$19,MATCH(C206,$AF$3:$AF$19,0),1),IF(A206=s1_id_korvattava2,INDEX($AI$3:$AI$19,MATCH(C206,$AF$3:$AF$19,0),1),IF(A206=s1_id_korvaava2,INDEX($AJ$3:$AJ$19,MATCH(C206,$AF$3:$AF$19,0),1),INDEX(Työkonekanta!$F$3:$F$27,MATCH('S1 Sähkö'!$A206,Työkonekanta!$A$3:$A$24,0),1))))),0)</f>
        <v>0</v>
      </c>
      <c r="C206" s="140">
        <v>2025</v>
      </c>
      <c r="D206" s="141" t="str">
        <f>IFERROR(INDEX(Työkonekanta!$D$3:$D$27,MATCH('S1 Sähkö'!$A206,Työkonekanta!$A$3:$A$24,0),1),"undefined")</f>
        <v>undefined</v>
      </c>
      <c r="E206" s="145">
        <f>IFERROR(INDEX(Työkonekanta!$G$3:$G$27,MATCH($A206,Työkonekanta!$A$3:$A$24,0),1)*INDEX(Työkonekanta!$H$3:$H$27,MATCH($A206,Työkonekanta!$A$3:$A$24,0),1)*(1+s1_kerroin*($C206-2019))*$B206,0)</f>
        <v>0</v>
      </c>
      <c r="F206" s="145">
        <f t="shared" si="58"/>
        <v>0</v>
      </c>
      <c r="G206" s="145">
        <f t="shared" si="64"/>
        <v>0</v>
      </c>
      <c r="H206" s="145">
        <f t="shared" si="65"/>
        <v>0</v>
      </c>
      <c r="I206" s="145">
        <f t="shared" si="59"/>
        <v>0</v>
      </c>
      <c r="J206" s="145">
        <f t="shared" si="60"/>
        <v>0</v>
      </c>
      <c r="K206" s="142" t="str">
        <f t="shared" si="66"/>
        <v>undefined</v>
      </c>
      <c r="L206" s="146">
        <f>IFERROR(INDEX(Työkonekanta!$I$3:$I$27,MATCH('S1 Sähkö'!$A206,Työkonekanta!$A$3:$A$24,0),1)*(I206+J206)*f_adblue,0)</f>
        <v>0</v>
      </c>
      <c r="M206" s="146">
        <f t="shared" si="53"/>
        <v>0</v>
      </c>
      <c r="N206" s="143" t="str">
        <f>IF(tuulisähkö_vuosi&lt;='S1 Sähkö'!C206,"tuulisähkö",ostosähkö_nyt)</f>
        <v>jäännössähkö</v>
      </c>
      <c r="O206" s="147">
        <f>INDEX(Muuttujat!$J$5:$J$21,MATCH($C206,Muuttujat!$H$5:$H$21,0),1)</f>
        <v>65.194885123382022</v>
      </c>
      <c r="P206" s="342">
        <f>1-(INDEX(Muuttujat!$O$5:$O$21,MATCH($C206,Muuttujat!$N$5:$N$21,0),1))</f>
        <v>0.92999999999999994</v>
      </c>
      <c r="Q206" s="342">
        <f>INDEX(Muuttujat!$O$5:$O$21,MATCH($C206,Muuttujat!$N$5:$N$21,0),1)</f>
        <v>7.0000000000000007E-2</v>
      </c>
      <c r="R206" s="148">
        <f>INDEX(Muuttujat!$P$5:$P$21,MATCH($C206,Muuttujat!$N$5:$N$21,0),1)</f>
        <v>7.3026850896560899E-2</v>
      </c>
      <c r="S206" s="149">
        <f t="shared" si="61"/>
        <v>0</v>
      </c>
      <c r="T206" s="150">
        <f t="shared" si="62"/>
        <v>0</v>
      </c>
      <c r="U206" s="150">
        <f t="shared" si="63"/>
        <v>0</v>
      </c>
      <c r="V206" s="150">
        <f>IFERROR(INDEX(Työkonekanta!$J$3:$J$27,MATCH($A206,Työkonekanta!$A$3:$A$24,0),1)*$B206*ef_li_ion_akku/1000/1000/INDEX(Työkonekanta!$K$3:$K$27,MATCH($A206,Työkonekanta!$A$3:$A$24,0)),0)</f>
        <v>0</v>
      </c>
      <c r="W206" s="149">
        <f t="shared" si="54"/>
        <v>0</v>
      </c>
      <c r="X206" s="150">
        <f t="shared" si="55"/>
        <v>0</v>
      </c>
      <c r="Y206" s="151">
        <f t="shared" si="56"/>
        <v>0</v>
      </c>
      <c r="Z206" s="152">
        <f t="shared" si="67"/>
        <v>0</v>
      </c>
      <c r="AA206" s="153">
        <f t="shared" si="68"/>
        <v>0</v>
      </c>
      <c r="AB206" s="153">
        <f t="shared" si="69"/>
        <v>0</v>
      </c>
      <c r="AC206" s="154">
        <f t="shared" si="57"/>
        <v>0</v>
      </c>
      <c r="AD206" s="156">
        <f t="shared" si="70"/>
        <v>0</v>
      </c>
      <c r="AE206" s="182"/>
      <c r="AJ206" s="28"/>
      <c r="AK206" s="29"/>
    </row>
    <row r="207" spans="1:37">
      <c r="A207" s="139">
        <v>25</v>
      </c>
      <c r="B207" s="139" cm="1">
        <f t="array" ref="B207">IFERROR(IF(A207=s1_id_korvattava1,INDEX($AG$3:$AG$19,MATCH(C207,$AF$3:$AF$19,0),1),IF(A207=s1_id_korvaava1,INDEX($AH$3:$AH$19,MATCH(C207,$AF$3:$AF$19,0),1),IF(A207=s1_id_korvattava2,INDEX($AI$3:$AI$19,MATCH(C207,$AF$3:$AF$19,0),1),IF(A207=s1_id_korvaava2,INDEX($AJ$3:$AJ$19,MATCH(C207,$AF$3:$AF$19,0),1),INDEX(Työkonekanta!$F$3:$F$27,MATCH('S1 Sähkö'!$A207,Työkonekanta!$A$3:$A$24,0),1))))),0)</f>
        <v>0</v>
      </c>
      <c r="C207" s="140">
        <v>2025</v>
      </c>
      <c r="D207" s="141" t="str">
        <f>IFERROR(INDEX(Työkonekanta!$D$3:$D$27,MATCH('S1 Sähkö'!$A207,Työkonekanta!$A$3:$A$24,0),1),"undefined")</f>
        <v>undefined</v>
      </c>
      <c r="E207" s="145">
        <f>IFERROR(INDEX(Työkonekanta!$G$3:$G$27,MATCH($A207,Työkonekanta!$A$3:$A$24,0),1)*INDEX(Työkonekanta!$H$3:$H$27,MATCH($A207,Työkonekanta!$A$3:$A$24,0),1)*(1+s1_kerroin*($C207-2019))*$B207,0)</f>
        <v>0</v>
      </c>
      <c r="F207" s="145">
        <f t="shared" si="58"/>
        <v>0</v>
      </c>
      <c r="G207" s="145">
        <f t="shared" si="64"/>
        <v>0</v>
      </c>
      <c r="H207" s="145">
        <f t="shared" si="65"/>
        <v>0</v>
      </c>
      <c r="I207" s="145">
        <f t="shared" si="59"/>
        <v>0</v>
      </c>
      <c r="J207" s="145">
        <f t="shared" si="60"/>
        <v>0</v>
      </c>
      <c r="K207" s="142" t="str">
        <f t="shared" si="66"/>
        <v>undefined</v>
      </c>
      <c r="L207" s="146">
        <f>IFERROR(INDEX(Työkonekanta!$I$3:$I$27,MATCH('S1 Sähkö'!$A207,Työkonekanta!$A$3:$A$24,0),1)*(I207+J207)*f_adblue,0)</f>
        <v>0</v>
      </c>
      <c r="M207" s="146">
        <f t="shared" si="53"/>
        <v>0</v>
      </c>
      <c r="N207" s="143" t="str">
        <f>IF(tuulisähkö_vuosi&lt;='S1 Sähkö'!C207,"tuulisähkö",ostosähkö_nyt)</f>
        <v>jäännössähkö</v>
      </c>
      <c r="O207" s="147">
        <f>INDEX(Muuttujat!$J$5:$J$21,MATCH($C207,Muuttujat!$H$5:$H$21,0),1)</f>
        <v>65.194885123382022</v>
      </c>
      <c r="P207" s="342">
        <f>1-(INDEX(Muuttujat!$O$5:$O$21,MATCH($C207,Muuttujat!$N$5:$N$21,0),1))</f>
        <v>0.92999999999999994</v>
      </c>
      <c r="Q207" s="342">
        <f>INDEX(Muuttujat!$O$5:$O$21,MATCH($C207,Muuttujat!$N$5:$N$21,0),1)</f>
        <v>7.0000000000000007E-2</v>
      </c>
      <c r="R207" s="148">
        <f>INDEX(Muuttujat!$P$5:$P$21,MATCH($C207,Muuttujat!$N$5:$N$21,0),1)</f>
        <v>7.3026850896560899E-2</v>
      </c>
      <c r="S207" s="149">
        <f t="shared" si="61"/>
        <v>0</v>
      </c>
      <c r="T207" s="150">
        <f t="shared" si="62"/>
        <v>0</v>
      </c>
      <c r="U207" s="150">
        <f t="shared" si="63"/>
        <v>0</v>
      </c>
      <c r="V207" s="150">
        <f>IFERROR(INDEX(Työkonekanta!$J$3:$J$27,MATCH($A207,Työkonekanta!$A$3:$A$24,0),1)*$B207*ef_li_ion_akku/1000/1000/INDEX(Työkonekanta!$K$3:$K$27,MATCH($A207,Työkonekanta!$A$3:$A$24,0)),0)</f>
        <v>0</v>
      </c>
      <c r="W207" s="149">
        <f t="shared" si="54"/>
        <v>0</v>
      </c>
      <c r="X207" s="150">
        <f t="shared" si="55"/>
        <v>0</v>
      </c>
      <c r="Y207" s="151">
        <f t="shared" si="56"/>
        <v>0</v>
      </c>
      <c r="Z207" s="152">
        <f t="shared" si="67"/>
        <v>0</v>
      </c>
      <c r="AA207" s="153">
        <f t="shared" si="68"/>
        <v>0</v>
      </c>
      <c r="AB207" s="153">
        <f t="shared" si="69"/>
        <v>0</v>
      </c>
      <c r="AC207" s="154">
        <f t="shared" si="57"/>
        <v>0</v>
      </c>
      <c r="AD207" s="156">
        <f t="shared" si="70"/>
        <v>0</v>
      </c>
      <c r="AE207" s="182"/>
      <c r="AJ207" s="28"/>
      <c r="AK207" s="29"/>
    </row>
    <row r="208" spans="1:37">
      <c r="A208" s="139">
        <v>26</v>
      </c>
      <c r="B208" s="139" cm="1">
        <f t="array" ref="B208">IFERROR(IF(A208=s1_id_korvattava1,INDEX($AG$3:$AG$19,MATCH(C208,$AF$3:$AF$19,0),1),IF(A208=s1_id_korvaava1,INDEX($AH$3:$AH$19,MATCH(C208,$AF$3:$AF$19,0),1),IF(A208=s1_id_korvattava2,INDEX($AI$3:$AI$19,MATCH(C208,$AF$3:$AF$19,0),1),IF(A208=s1_id_korvaava2,INDEX($AJ$3:$AJ$19,MATCH(C208,$AF$3:$AF$19,0),1),INDEX(Työkonekanta!$F$3:$F$27,MATCH('S1 Sähkö'!$A208,Työkonekanta!$A$3:$A$24,0),1))))),0)</f>
        <v>0</v>
      </c>
      <c r="C208" s="140">
        <v>2025</v>
      </c>
      <c r="D208" s="141" t="str">
        <f>IFERROR(INDEX(Työkonekanta!$D$3:$D$27,MATCH('S1 Sähkö'!$A208,Työkonekanta!$A$3:$A$24,0),1),"undefined")</f>
        <v>undefined</v>
      </c>
      <c r="E208" s="145">
        <f>IFERROR(INDEX(Työkonekanta!$G$3:$G$27,MATCH($A208,Työkonekanta!$A$3:$A$24,0),1)*INDEX(Työkonekanta!$H$3:$H$27,MATCH($A208,Työkonekanta!$A$3:$A$24,0),1)*(1+s1_kerroin*($C208-2019))*$B208,0)</f>
        <v>0</v>
      </c>
      <c r="F208" s="145">
        <f t="shared" si="58"/>
        <v>0</v>
      </c>
      <c r="G208" s="145">
        <f t="shared" si="64"/>
        <v>0</v>
      </c>
      <c r="H208" s="145">
        <f t="shared" si="65"/>
        <v>0</v>
      </c>
      <c r="I208" s="145">
        <f t="shared" si="59"/>
        <v>0</v>
      </c>
      <c r="J208" s="145">
        <f t="shared" si="60"/>
        <v>0</v>
      </c>
      <c r="K208" s="142" t="str">
        <f t="shared" si="66"/>
        <v>undefined</v>
      </c>
      <c r="L208" s="146">
        <f>IFERROR(INDEX(Työkonekanta!$I$3:$I$27,MATCH('S1 Sähkö'!$A208,Työkonekanta!$A$3:$A$24,0),1)*(I208+J208)*f_adblue,0)</f>
        <v>0</v>
      </c>
      <c r="M208" s="146">
        <f t="shared" si="53"/>
        <v>0</v>
      </c>
      <c r="N208" s="143" t="str">
        <f>IF(tuulisähkö_vuosi&lt;='S1 Sähkö'!C208,"tuulisähkö",ostosähkö_nyt)</f>
        <v>jäännössähkö</v>
      </c>
      <c r="O208" s="147">
        <f>INDEX(Muuttujat!$J$5:$J$21,MATCH($C208,Muuttujat!$H$5:$H$21,0),1)</f>
        <v>65.194885123382022</v>
      </c>
      <c r="P208" s="342">
        <f>1-(INDEX(Muuttujat!$O$5:$O$21,MATCH($C208,Muuttujat!$N$5:$N$21,0),1))</f>
        <v>0.92999999999999994</v>
      </c>
      <c r="Q208" s="342">
        <f>INDEX(Muuttujat!$O$5:$O$21,MATCH($C208,Muuttujat!$N$5:$N$21,0),1)</f>
        <v>7.0000000000000007E-2</v>
      </c>
      <c r="R208" s="148">
        <f>INDEX(Muuttujat!$P$5:$P$21,MATCH($C208,Muuttujat!$N$5:$N$21,0),1)</f>
        <v>7.3026850896560899E-2</v>
      </c>
      <c r="S208" s="149">
        <f t="shared" si="61"/>
        <v>0</v>
      </c>
      <c r="T208" s="150">
        <f t="shared" si="62"/>
        <v>0</v>
      </c>
      <c r="U208" s="150">
        <f t="shared" si="63"/>
        <v>0</v>
      </c>
      <c r="V208" s="150">
        <f>IFERROR(INDEX(Työkonekanta!$J$3:$J$27,MATCH($A208,Työkonekanta!$A$3:$A$24,0),1)*$B208*ef_li_ion_akku/1000/1000/INDEX(Työkonekanta!$K$3:$K$27,MATCH($A208,Työkonekanta!$A$3:$A$24,0)),0)</f>
        <v>0</v>
      </c>
      <c r="W208" s="149">
        <f t="shared" si="54"/>
        <v>0</v>
      </c>
      <c r="X208" s="150">
        <f t="shared" si="55"/>
        <v>0</v>
      </c>
      <c r="Y208" s="151">
        <f t="shared" si="56"/>
        <v>0</v>
      </c>
      <c r="Z208" s="152">
        <f t="shared" si="67"/>
        <v>0</v>
      </c>
      <c r="AA208" s="153">
        <f t="shared" si="68"/>
        <v>0</v>
      </c>
      <c r="AB208" s="153">
        <f t="shared" si="69"/>
        <v>0</v>
      </c>
      <c r="AC208" s="154">
        <f t="shared" si="57"/>
        <v>0</v>
      </c>
      <c r="AD208" s="156">
        <f t="shared" si="70"/>
        <v>0</v>
      </c>
      <c r="AE208" s="182"/>
      <c r="AJ208" s="28"/>
      <c r="AK208" s="29"/>
    </row>
    <row r="209" spans="1:37">
      <c r="A209" s="139">
        <v>27</v>
      </c>
      <c r="B209" s="139" cm="1">
        <f t="array" ref="B209">IFERROR(IF(A209=s1_id_korvattava1,INDEX($AG$3:$AG$19,MATCH(C209,$AF$3:$AF$19,0),1),IF(A209=s1_id_korvaava1,INDEX($AH$3:$AH$19,MATCH(C209,$AF$3:$AF$19,0),1),IF(A209=s1_id_korvattava2,INDEX($AI$3:$AI$19,MATCH(C209,$AF$3:$AF$19,0),1),IF(A209=s1_id_korvaava2,INDEX($AJ$3:$AJ$19,MATCH(C209,$AF$3:$AF$19,0),1),INDEX(Työkonekanta!$F$3:$F$27,MATCH('S1 Sähkö'!$A209,Työkonekanta!$A$3:$A$24,0),1))))),0)</f>
        <v>0</v>
      </c>
      <c r="C209" s="140">
        <v>2025</v>
      </c>
      <c r="D209" s="141" t="str">
        <f>IFERROR(INDEX(Työkonekanta!$D$3:$D$27,MATCH('S1 Sähkö'!$A209,Työkonekanta!$A$3:$A$24,0),1),"undefined")</f>
        <v>undefined</v>
      </c>
      <c r="E209" s="145">
        <f>IFERROR(INDEX(Työkonekanta!$G$3:$G$27,MATCH($A209,Työkonekanta!$A$3:$A$24,0),1)*INDEX(Työkonekanta!$H$3:$H$27,MATCH($A209,Työkonekanta!$A$3:$A$24,0),1)*(1+s1_kerroin*($C209-2019))*$B209,0)</f>
        <v>0</v>
      </c>
      <c r="F209" s="145">
        <f t="shared" si="58"/>
        <v>0</v>
      </c>
      <c r="G209" s="145">
        <f t="shared" si="64"/>
        <v>0</v>
      </c>
      <c r="H209" s="145">
        <f t="shared" si="65"/>
        <v>0</v>
      </c>
      <c r="I209" s="145">
        <f t="shared" si="59"/>
        <v>0</v>
      </c>
      <c r="J209" s="145">
        <f t="shared" si="60"/>
        <v>0</v>
      </c>
      <c r="K209" s="142" t="str">
        <f t="shared" si="66"/>
        <v>undefined</v>
      </c>
      <c r="L209" s="146">
        <f>IFERROR(INDEX(Työkonekanta!$I$3:$I$27,MATCH('S1 Sähkö'!$A209,Työkonekanta!$A$3:$A$24,0),1)*(I209+J209)*f_adblue,0)</f>
        <v>0</v>
      </c>
      <c r="M209" s="146">
        <f t="shared" si="53"/>
        <v>0</v>
      </c>
      <c r="N209" s="143" t="str">
        <f>IF(tuulisähkö_vuosi&lt;='S1 Sähkö'!C209,"tuulisähkö",ostosähkö_nyt)</f>
        <v>jäännössähkö</v>
      </c>
      <c r="O209" s="147">
        <f>INDEX(Muuttujat!$J$5:$J$21,MATCH($C209,Muuttujat!$H$5:$H$21,0),1)</f>
        <v>65.194885123382022</v>
      </c>
      <c r="P209" s="342">
        <f>1-(INDEX(Muuttujat!$O$5:$O$21,MATCH($C209,Muuttujat!$N$5:$N$21,0),1))</f>
        <v>0.92999999999999994</v>
      </c>
      <c r="Q209" s="342">
        <f>INDEX(Muuttujat!$O$5:$O$21,MATCH($C209,Muuttujat!$N$5:$N$21,0),1)</f>
        <v>7.0000000000000007E-2</v>
      </c>
      <c r="R209" s="148">
        <f>INDEX(Muuttujat!$P$5:$P$21,MATCH($C209,Muuttujat!$N$5:$N$21,0),1)</f>
        <v>7.3026850896560899E-2</v>
      </c>
      <c r="S209" s="149">
        <f t="shared" si="61"/>
        <v>0</v>
      </c>
      <c r="T209" s="150">
        <f t="shared" si="62"/>
        <v>0</v>
      </c>
      <c r="U209" s="150">
        <f t="shared" si="63"/>
        <v>0</v>
      </c>
      <c r="V209" s="150">
        <f>IFERROR(INDEX(Työkonekanta!$J$3:$J$27,MATCH($A209,Työkonekanta!$A$3:$A$24,0),1)*$B209*ef_li_ion_akku/1000/1000/INDEX(Työkonekanta!$K$3:$K$27,MATCH($A209,Työkonekanta!$A$3:$A$24,0)),0)</f>
        <v>0</v>
      </c>
      <c r="W209" s="149">
        <f t="shared" si="54"/>
        <v>0</v>
      </c>
      <c r="X209" s="150">
        <f t="shared" si="55"/>
        <v>0</v>
      </c>
      <c r="Y209" s="151">
        <f t="shared" si="56"/>
        <v>0</v>
      </c>
      <c r="Z209" s="152">
        <f t="shared" si="67"/>
        <v>0</v>
      </c>
      <c r="AA209" s="153">
        <f t="shared" si="68"/>
        <v>0</v>
      </c>
      <c r="AB209" s="153">
        <f t="shared" si="69"/>
        <v>0</v>
      </c>
      <c r="AC209" s="154">
        <f t="shared" si="57"/>
        <v>0</v>
      </c>
      <c r="AD209" s="156">
        <f t="shared" si="70"/>
        <v>0</v>
      </c>
      <c r="AE209" s="182"/>
      <c r="AJ209" s="28"/>
      <c r="AK209" s="29"/>
    </row>
    <row r="210" spans="1:37">
      <c r="A210" s="139">
        <v>28</v>
      </c>
      <c r="B210" s="139" cm="1">
        <f t="array" ref="B210">IFERROR(IF(A210=s1_id_korvattava1,INDEX($AG$3:$AG$19,MATCH(C210,$AF$3:$AF$19,0),1),IF(A210=s1_id_korvaava1,INDEX($AH$3:$AH$19,MATCH(C210,$AF$3:$AF$19,0),1),IF(A210=s1_id_korvattava2,INDEX($AI$3:$AI$19,MATCH(C210,$AF$3:$AF$19,0),1),IF(A210=s1_id_korvaava2,INDEX($AJ$3:$AJ$19,MATCH(C210,$AF$3:$AF$19,0),1),INDEX(Työkonekanta!$F$3:$F$27,MATCH('S1 Sähkö'!$A210,Työkonekanta!$A$3:$A$24,0),1))))),0)</f>
        <v>0</v>
      </c>
      <c r="C210" s="140">
        <v>2025</v>
      </c>
      <c r="D210" s="141" t="str">
        <f>IFERROR(INDEX(Työkonekanta!$D$3:$D$27,MATCH('S1 Sähkö'!$A210,Työkonekanta!$A$3:$A$24,0),1),"undefined")</f>
        <v>undefined</v>
      </c>
      <c r="E210" s="145">
        <f>IFERROR(INDEX(Työkonekanta!$G$3:$G$27,MATCH($A210,Työkonekanta!$A$3:$A$24,0),1)*INDEX(Työkonekanta!$H$3:$H$27,MATCH($A210,Työkonekanta!$A$3:$A$24,0),1)*(1+s1_kerroin*($C210-2019))*$B210,0)</f>
        <v>0</v>
      </c>
      <c r="F210" s="145">
        <f t="shared" si="58"/>
        <v>0</v>
      </c>
      <c r="G210" s="145">
        <f t="shared" si="64"/>
        <v>0</v>
      </c>
      <c r="H210" s="145">
        <f t="shared" si="65"/>
        <v>0</v>
      </c>
      <c r="I210" s="145">
        <f t="shared" si="59"/>
        <v>0</v>
      </c>
      <c r="J210" s="145">
        <f t="shared" si="60"/>
        <v>0</v>
      </c>
      <c r="K210" s="142" t="str">
        <f t="shared" si="66"/>
        <v>undefined</v>
      </c>
      <c r="L210" s="146">
        <f>IFERROR(INDEX(Työkonekanta!$I$3:$I$27,MATCH('S1 Sähkö'!$A210,Työkonekanta!$A$3:$A$24,0),1)*(I210+J210)*f_adblue,0)</f>
        <v>0</v>
      </c>
      <c r="M210" s="146">
        <f t="shared" si="53"/>
        <v>0</v>
      </c>
      <c r="N210" s="143" t="str">
        <f>IF(tuulisähkö_vuosi&lt;='S1 Sähkö'!C210,"tuulisähkö",ostosähkö_nyt)</f>
        <v>jäännössähkö</v>
      </c>
      <c r="O210" s="147">
        <f>INDEX(Muuttujat!$J$5:$J$21,MATCH($C210,Muuttujat!$H$5:$H$21,0),1)</f>
        <v>65.194885123382022</v>
      </c>
      <c r="P210" s="342">
        <f>1-(INDEX(Muuttujat!$O$5:$O$21,MATCH($C210,Muuttujat!$N$5:$N$21,0),1))</f>
        <v>0.92999999999999994</v>
      </c>
      <c r="Q210" s="342">
        <f>INDEX(Muuttujat!$O$5:$O$21,MATCH($C210,Muuttujat!$N$5:$N$21,0),1)</f>
        <v>7.0000000000000007E-2</v>
      </c>
      <c r="R210" s="148">
        <f>INDEX(Muuttujat!$P$5:$P$21,MATCH($C210,Muuttujat!$N$5:$N$21,0),1)</f>
        <v>7.3026850896560899E-2</v>
      </c>
      <c r="S210" s="149">
        <f t="shared" si="61"/>
        <v>0</v>
      </c>
      <c r="T210" s="150">
        <f t="shared" si="62"/>
        <v>0</v>
      </c>
      <c r="U210" s="150">
        <f t="shared" si="63"/>
        <v>0</v>
      </c>
      <c r="V210" s="150">
        <f>IFERROR(INDEX(Työkonekanta!$J$3:$J$27,MATCH($A210,Työkonekanta!$A$3:$A$24,0),1)*$B210*ef_li_ion_akku/1000/1000/INDEX(Työkonekanta!$K$3:$K$27,MATCH($A210,Työkonekanta!$A$3:$A$24,0)),0)</f>
        <v>0</v>
      </c>
      <c r="W210" s="149">
        <f t="shared" si="54"/>
        <v>0</v>
      </c>
      <c r="X210" s="150">
        <f t="shared" si="55"/>
        <v>0</v>
      </c>
      <c r="Y210" s="151">
        <f t="shared" si="56"/>
        <v>0</v>
      </c>
      <c r="Z210" s="152">
        <f t="shared" si="67"/>
        <v>0</v>
      </c>
      <c r="AA210" s="153">
        <f t="shared" si="68"/>
        <v>0</v>
      </c>
      <c r="AB210" s="153">
        <f t="shared" si="69"/>
        <v>0</v>
      </c>
      <c r="AC210" s="154">
        <f t="shared" si="57"/>
        <v>0</v>
      </c>
      <c r="AD210" s="156">
        <f t="shared" si="70"/>
        <v>0</v>
      </c>
      <c r="AE210" s="182"/>
      <c r="AJ210" s="28"/>
      <c r="AK210" s="29"/>
    </row>
    <row r="211" spans="1:37">
      <c r="A211" s="139">
        <v>29</v>
      </c>
      <c r="B211" s="139" cm="1">
        <f t="array" ref="B211">IFERROR(IF(A211=s1_id_korvattava1,INDEX($AG$3:$AG$19,MATCH(C211,$AF$3:$AF$19,0),1),IF(A211=s1_id_korvaava1,INDEX($AH$3:$AH$19,MATCH(C211,$AF$3:$AF$19,0),1),IF(A211=s1_id_korvattava2,INDEX($AI$3:$AI$19,MATCH(C211,$AF$3:$AF$19,0),1),IF(A211=s1_id_korvaava2,INDEX($AJ$3:$AJ$19,MATCH(C211,$AF$3:$AF$19,0),1),INDEX(Työkonekanta!$F$3:$F$27,MATCH('S1 Sähkö'!$A211,Työkonekanta!$A$3:$A$24,0),1))))),0)</f>
        <v>0</v>
      </c>
      <c r="C211" s="140">
        <v>2025</v>
      </c>
      <c r="D211" s="141" t="str">
        <f>IFERROR(INDEX(Työkonekanta!$D$3:$D$27,MATCH('S1 Sähkö'!$A211,Työkonekanta!$A$3:$A$24,0),1),"undefined")</f>
        <v>undefined</v>
      </c>
      <c r="E211" s="145">
        <f>IFERROR(INDEX(Työkonekanta!$G$3:$G$27,MATCH($A211,Työkonekanta!$A$3:$A$24,0),1)*INDEX(Työkonekanta!$H$3:$H$27,MATCH($A211,Työkonekanta!$A$3:$A$24,0),1)*(1+s1_kerroin*($C211-2019))*$B211,0)</f>
        <v>0</v>
      </c>
      <c r="F211" s="145">
        <f t="shared" si="58"/>
        <v>0</v>
      </c>
      <c r="G211" s="145">
        <f t="shared" si="64"/>
        <v>0</v>
      </c>
      <c r="H211" s="145">
        <f t="shared" si="65"/>
        <v>0</v>
      </c>
      <c r="I211" s="145">
        <f t="shared" si="59"/>
        <v>0</v>
      </c>
      <c r="J211" s="145">
        <f t="shared" si="60"/>
        <v>0</v>
      </c>
      <c r="K211" s="142" t="str">
        <f t="shared" si="66"/>
        <v>undefined</v>
      </c>
      <c r="L211" s="146">
        <f>IFERROR(INDEX(Työkonekanta!$I$3:$I$27,MATCH('S1 Sähkö'!$A211,Työkonekanta!$A$3:$A$24,0),1)*(I211+J211)*f_adblue,0)</f>
        <v>0</v>
      </c>
      <c r="M211" s="146">
        <f t="shared" ref="M211:M274" si="71">IF($D211="sähkö",conv_kwh_mj*$E211,0)</f>
        <v>0</v>
      </c>
      <c r="N211" s="143" t="str">
        <f>IF(tuulisähkö_vuosi&lt;='S1 Sähkö'!C211,"tuulisähkö",ostosähkö_nyt)</f>
        <v>jäännössähkö</v>
      </c>
      <c r="O211" s="147">
        <f>INDEX(Muuttujat!$J$5:$J$21,MATCH($C211,Muuttujat!$H$5:$H$21,0),1)</f>
        <v>65.194885123382022</v>
      </c>
      <c r="P211" s="342">
        <f>1-(INDEX(Muuttujat!$O$5:$O$21,MATCH($C211,Muuttujat!$N$5:$N$21,0),1))</f>
        <v>0.92999999999999994</v>
      </c>
      <c r="Q211" s="342">
        <f>INDEX(Muuttujat!$O$5:$O$21,MATCH($C211,Muuttujat!$N$5:$N$21,0),1)</f>
        <v>7.0000000000000007E-2</v>
      </c>
      <c r="R211" s="148">
        <f>INDEX(Muuttujat!$P$5:$P$21,MATCH($C211,Muuttujat!$N$5:$N$21,0),1)</f>
        <v>7.3026850896560899E-2</v>
      </c>
      <c r="S211" s="149">
        <f t="shared" si="61"/>
        <v>0</v>
      </c>
      <c r="T211" s="150">
        <f t="shared" si="62"/>
        <v>0</v>
      </c>
      <c r="U211" s="150">
        <f t="shared" si="63"/>
        <v>0</v>
      </c>
      <c r="V211" s="150">
        <f>IFERROR(INDEX(Työkonekanta!$J$3:$J$27,MATCH($A211,Työkonekanta!$A$3:$A$24,0),1)*$B211*ef_li_ion_akku/1000/1000/INDEX(Työkonekanta!$K$3:$K$27,MATCH($A211,Työkonekanta!$A$3:$A$24,0)),0)</f>
        <v>0</v>
      </c>
      <c r="W211" s="149">
        <f t="shared" ref="W211:W274" si="72">($I211*IF($D211="pom",ef_v_co2_pom,0))/1000/1000</f>
        <v>0</v>
      </c>
      <c r="X211" s="150">
        <f t="shared" ref="X211:X274" si="73">($E211*(IF($D211="pom",ef_v_ch4_pom,0)*gwp100_ch4+IF($D211="pom",ef_v_n2o_pom,0)*gwp100_n2o))/1000/1000</f>
        <v>0</v>
      </c>
      <c r="Y211" s="151">
        <f t="shared" ref="Y211:Y274" si="74">$L211*ef_v_co2_adblue/1000/1000</f>
        <v>0</v>
      </c>
      <c r="Z211" s="152">
        <f t="shared" si="67"/>
        <v>0</v>
      </c>
      <c r="AA211" s="153">
        <f t="shared" si="68"/>
        <v>0</v>
      </c>
      <c r="AB211" s="153">
        <f t="shared" si="69"/>
        <v>0</v>
      </c>
      <c r="AC211" s="154">
        <f t="shared" ref="AC211:AC274" si="75">$Z211+$AA211</f>
        <v>0</v>
      </c>
      <c r="AD211" s="156">
        <f t="shared" si="70"/>
        <v>0</v>
      </c>
      <c r="AE211" s="182"/>
      <c r="AJ211" s="28"/>
      <c r="AK211" s="29"/>
    </row>
    <row r="212" spans="1:37">
      <c r="A212" s="139">
        <v>30</v>
      </c>
      <c r="B212" s="139" cm="1">
        <f t="array" ref="B212">IFERROR(IF(A212=s1_id_korvattava1,INDEX($AG$3:$AG$19,MATCH(C212,$AF$3:$AF$19,0),1),IF(A212=s1_id_korvaava1,INDEX($AH$3:$AH$19,MATCH(C212,$AF$3:$AF$19,0),1),IF(A212=s1_id_korvattava2,INDEX($AI$3:$AI$19,MATCH(C212,$AF$3:$AF$19,0),1),IF(A212=s1_id_korvaava2,INDEX($AJ$3:$AJ$19,MATCH(C212,$AF$3:$AF$19,0),1),INDEX(Työkonekanta!$F$3:$F$27,MATCH('S1 Sähkö'!$A212,Työkonekanta!$A$3:$A$24,0),1))))),0)</f>
        <v>0</v>
      </c>
      <c r="C212" s="140">
        <v>2025</v>
      </c>
      <c r="D212" s="141" t="str">
        <f>IFERROR(INDEX(Työkonekanta!$D$3:$D$27,MATCH('S1 Sähkö'!$A212,Työkonekanta!$A$3:$A$24,0),1),"undefined")</f>
        <v>undefined</v>
      </c>
      <c r="E212" s="145">
        <f>IFERROR(INDEX(Työkonekanta!$G$3:$G$27,MATCH($A212,Työkonekanta!$A$3:$A$24,0),1)*INDEX(Työkonekanta!$H$3:$H$27,MATCH($A212,Työkonekanta!$A$3:$A$24,0),1)*(1+s1_kerroin*($C212-2019))*$B212,0)</f>
        <v>0</v>
      </c>
      <c r="F212" s="145">
        <f t="shared" si="58"/>
        <v>0</v>
      </c>
      <c r="G212" s="145">
        <f t="shared" si="64"/>
        <v>0</v>
      </c>
      <c r="H212" s="145">
        <f t="shared" si="65"/>
        <v>0</v>
      </c>
      <c r="I212" s="145">
        <f t="shared" si="59"/>
        <v>0</v>
      </c>
      <c r="J212" s="145">
        <f t="shared" si="60"/>
        <v>0</v>
      </c>
      <c r="K212" s="142" t="str">
        <f t="shared" si="66"/>
        <v>undefined</v>
      </c>
      <c r="L212" s="146">
        <f>IFERROR(INDEX(Työkonekanta!$I$3:$I$27,MATCH('S1 Sähkö'!$A212,Työkonekanta!$A$3:$A$24,0),1)*(I212+J212)*f_adblue,0)</f>
        <v>0</v>
      </c>
      <c r="M212" s="146">
        <f t="shared" si="71"/>
        <v>0</v>
      </c>
      <c r="N212" s="143" t="str">
        <f>IF(tuulisähkö_vuosi&lt;='S1 Sähkö'!C212,"tuulisähkö",ostosähkö_nyt)</f>
        <v>jäännössähkö</v>
      </c>
      <c r="O212" s="147">
        <f>INDEX(Muuttujat!$J$5:$J$21,MATCH($C212,Muuttujat!$H$5:$H$21,0),1)</f>
        <v>65.194885123382022</v>
      </c>
      <c r="P212" s="342">
        <f>1-(INDEX(Muuttujat!$O$5:$O$21,MATCH($C212,Muuttujat!$N$5:$N$21,0),1))</f>
        <v>0.92999999999999994</v>
      </c>
      <c r="Q212" s="342">
        <f>INDEX(Muuttujat!$O$5:$O$21,MATCH($C212,Muuttujat!$N$5:$N$21,0),1)</f>
        <v>7.0000000000000007E-2</v>
      </c>
      <c r="R212" s="148">
        <f>INDEX(Muuttujat!$P$5:$P$21,MATCH($C212,Muuttujat!$N$5:$N$21,0),1)</f>
        <v>7.3026850896560899E-2</v>
      </c>
      <c r="S212" s="149">
        <f t="shared" si="61"/>
        <v>0</v>
      </c>
      <c r="T212" s="150">
        <f t="shared" si="62"/>
        <v>0</v>
      </c>
      <c r="U212" s="150">
        <f t="shared" si="63"/>
        <v>0</v>
      </c>
      <c r="V212" s="150">
        <f>IFERROR(INDEX(Työkonekanta!$J$3:$J$27,MATCH($A212,Työkonekanta!$A$3:$A$24,0),1)*$B212*ef_li_ion_akku/1000/1000/INDEX(Työkonekanta!$K$3:$K$27,MATCH($A212,Työkonekanta!$A$3:$A$24,0)),0)</f>
        <v>0</v>
      </c>
      <c r="W212" s="149">
        <f t="shared" si="72"/>
        <v>0</v>
      </c>
      <c r="X212" s="150">
        <f t="shared" si="73"/>
        <v>0</v>
      </c>
      <c r="Y212" s="151">
        <f t="shared" si="74"/>
        <v>0</v>
      </c>
      <c r="Z212" s="152">
        <f t="shared" si="67"/>
        <v>0</v>
      </c>
      <c r="AA212" s="153">
        <f t="shared" si="68"/>
        <v>0</v>
      </c>
      <c r="AB212" s="153">
        <f t="shared" si="69"/>
        <v>0</v>
      </c>
      <c r="AC212" s="154">
        <f t="shared" si="75"/>
        <v>0</v>
      </c>
      <c r="AD212" s="156">
        <f t="shared" si="70"/>
        <v>0</v>
      </c>
      <c r="AE212" s="182"/>
      <c r="AJ212" s="28"/>
      <c r="AK212" s="29"/>
    </row>
    <row r="213" spans="1:37">
      <c r="A213" s="139">
        <v>1</v>
      </c>
      <c r="B213" s="139" cm="1">
        <f t="array" ref="B213">IFERROR(IF(A213=s1_id_korvattava1,INDEX($AG$3:$AG$19,MATCH(C213,$AF$3:$AF$19,0),1),IF(A213=s1_id_korvaava1,INDEX($AH$3:$AH$19,MATCH(C213,$AF$3:$AF$19,0),1),IF(A213=s1_id_korvattava2,INDEX($AI$3:$AI$19,MATCH(C213,$AF$3:$AF$19,0),1),IF(A213=s1_id_korvaava2,INDEX($AJ$3:$AJ$19,MATCH(C213,$AF$3:$AF$19,0),1),INDEX(Työkonekanta!$F$3:$F$27,MATCH('S1 Sähkö'!$A213,Työkonekanta!$A$3:$A$24,0),1))))),0)</f>
        <v>1</v>
      </c>
      <c r="C213" s="140">
        <v>2026</v>
      </c>
      <c r="D213" s="141" t="str">
        <f>IFERROR(INDEX(Työkonekanta!$D$3:$D$27,MATCH('S1 Sähkö'!$A213,Työkonekanta!$A$3:$A$24,0),1),"undefined")</f>
        <v>pom</v>
      </c>
      <c r="E213" s="145">
        <f>IFERROR(INDEX(Työkonekanta!$G$3:$G$27,MATCH($A213,Työkonekanta!$A$3:$A$24,0),1)*INDEX(Työkonekanta!$H$3:$H$27,MATCH($A213,Työkonekanta!$A$3:$A$24,0),1)*(1+s1_kerroin*($C213-2019))*$B213,0)</f>
        <v>10700</v>
      </c>
      <c r="F213" s="145">
        <f t="shared" si="58"/>
        <v>384130</v>
      </c>
      <c r="G213" s="145">
        <f t="shared" si="64"/>
        <v>353399.60000000003</v>
      </c>
      <c r="H213" s="145">
        <f t="shared" si="65"/>
        <v>30730.400000000001</v>
      </c>
      <c r="I213" s="145">
        <f t="shared" si="59"/>
        <v>9844.0000000000018</v>
      </c>
      <c r="J213" s="145">
        <f t="shared" si="60"/>
        <v>895.93002915451905</v>
      </c>
      <c r="K213" s="142" t="str">
        <f t="shared" si="66"/>
        <v>l</v>
      </c>
      <c r="L213" s="146">
        <f>IFERROR(INDEX(Työkonekanta!$I$3:$I$27,MATCH('S1 Sähkö'!$A213,Työkonekanta!$A$3:$A$24,0),1)*(I213+J213)*f_adblue,0)</f>
        <v>536.99650145772603</v>
      </c>
      <c r="M213" s="146">
        <f t="shared" si="71"/>
        <v>0</v>
      </c>
      <c r="N213" s="143" t="str">
        <f>IF(tuulisähkö_vuosi&lt;='S1 Sähkö'!C213,"tuulisähkö",ostosähkö_nyt)</f>
        <v>jäännössähkö</v>
      </c>
      <c r="O213" s="147">
        <f>INDEX(Muuttujat!$J$5:$J$21,MATCH($C213,Muuttujat!$H$5:$H$21,0),1)</f>
        <v>64.542936272148211</v>
      </c>
      <c r="P213" s="342">
        <f>1-(INDEX(Muuttujat!$O$5:$O$21,MATCH($C213,Muuttujat!$N$5:$N$21,0),1))</f>
        <v>0.92</v>
      </c>
      <c r="Q213" s="342">
        <f>INDEX(Muuttujat!$O$5:$O$21,MATCH($C213,Muuttujat!$N$5:$N$21,0),1)</f>
        <v>0.08</v>
      </c>
      <c r="R213" s="148">
        <f>INDEX(Muuttujat!$P$5:$P$21,MATCH($C213,Muuttujat!$N$5:$N$21,0),1)</f>
        <v>8.3420471452195388E-2</v>
      </c>
      <c r="S213" s="149">
        <f t="shared" si="61"/>
        <v>6.67925244</v>
      </c>
      <c r="T213" s="150">
        <f t="shared" si="62"/>
        <v>1.9175769599999999</v>
      </c>
      <c r="U213" s="150">
        <f t="shared" si="63"/>
        <v>0</v>
      </c>
      <c r="V213" s="150">
        <f>IFERROR(INDEX(Työkonekanta!$J$3:$J$27,MATCH($A213,Työkonekanta!$A$3:$A$24,0),1)*$B213*ef_li_ion_akku/1000/1000/INDEX(Työkonekanta!$K$3:$K$27,MATCH($A213,Työkonekanta!$A$3:$A$24,0)),0)</f>
        <v>0</v>
      </c>
      <c r="W213" s="149">
        <f t="shared" si="72"/>
        <v>26.083807538738405</v>
      </c>
      <c r="X213" s="150">
        <f t="shared" si="73"/>
        <v>0.33998785619999994</v>
      </c>
      <c r="Y213" s="151">
        <f t="shared" si="74"/>
        <v>0.13961909037900874</v>
      </c>
      <c r="Z213" s="152">
        <f t="shared" si="67"/>
        <v>8.5968294000000007</v>
      </c>
      <c r="AA213" s="153">
        <f t="shared" si="68"/>
        <v>26.223426629117412</v>
      </c>
      <c r="AB213" s="153">
        <f t="shared" si="69"/>
        <v>26.563414485317413</v>
      </c>
      <c r="AC213" s="154">
        <f t="shared" si="75"/>
        <v>34.820256029117417</v>
      </c>
      <c r="AD213" s="156">
        <f t="shared" si="70"/>
        <v>35.160243885317414</v>
      </c>
      <c r="AE213" s="182"/>
      <c r="AG213" s="2"/>
    </row>
    <row r="214" spans="1:37">
      <c r="A214" s="139">
        <v>2</v>
      </c>
      <c r="B214" s="139" cm="1">
        <f t="array" ref="B214">IFERROR(IF(A214=s1_id_korvattava1,INDEX($AG$3:$AG$19,MATCH(C214,$AF$3:$AF$19,0),1),IF(A214=s1_id_korvaava1,INDEX($AH$3:$AH$19,MATCH(C214,$AF$3:$AF$19,0),1),IF(A214=s1_id_korvattava2,INDEX($AI$3:$AI$19,MATCH(C214,$AF$3:$AF$19,0),1),IF(A214=s1_id_korvaava2,INDEX($AJ$3:$AJ$19,MATCH(C214,$AF$3:$AF$19,0),1),INDEX(Työkonekanta!$F$3:$F$27,MATCH('S1 Sähkö'!$A214,Työkonekanta!$A$3:$A$24,0),1))))),0)</f>
        <v>1</v>
      </c>
      <c r="C214" s="140">
        <v>2026</v>
      </c>
      <c r="D214" s="141" t="str">
        <f>IFERROR(INDEX(Työkonekanta!$D$3:$D$27,MATCH('S1 Sähkö'!$A214,Työkonekanta!$A$3:$A$24,0),1),"undefined")</f>
        <v>pom</v>
      </c>
      <c r="E214" s="145">
        <f>IFERROR(INDEX(Työkonekanta!$G$3:$G$27,MATCH($A214,Työkonekanta!$A$3:$A$24,0),1)*INDEX(Työkonekanta!$H$3:$H$27,MATCH($A214,Työkonekanta!$A$3:$A$24,0),1)*(1+s1_kerroin*($C214-2019))*$B214,0)</f>
        <v>10700</v>
      </c>
      <c r="F214" s="145">
        <f t="shared" si="58"/>
        <v>384130</v>
      </c>
      <c r="G214" s="145">
        <f t="shared" si="64"/>
        <v>353399.60000000003</v>
      </c>
      <c r="H214" s="145">
        <f t="shared" si="65"/>
        <v>30730.400000000001</v>
      </c>
      <c r="I214" s="145">
        <f t="shared" si="59"/>
        <v>9844.0000000000018</v>
      </c>
      <c r="J214" s="145">
        <f t="shared" si="60"/>
        <v>895.93002915451905</v>
      </c>
      <c r="K214" s="142" t="str">
        <f t="shared" si="66"/>
        <v>l</v>
      </c>
      <c r="L214" s="146">
        <f>IFERROR(INDEX(Työkonekanta!$I$3:$I$27,MATCH('S1 Sähkö'!$A214,Työkonekanta!$A$3:$A$24,0),1)*(I214+J214)*f_adblue,0)</f>
        <v>536.99650145772603</v>
      </c>
      <c r="M214" s="146">
        <f t="shared" si="71"/>
        <v>0</v>
      </c>
      <c r="N214" s="143" t="str">
        <f>IF(tuulisähkö_vuosi&lt;='S1 Sähkö'!C214,"tuulisähkö",ostosähkö_nyt)</f>
        <v>jäännössähkö</v>
      </c>
      <c r="O214" s="147">
        <f>INDEX(Muuttujat!$J$5:$J$21,MATCH($C214,Muuttujat!$H$5:$H$21,0),1)</f>
        <v>64.542936272148211</v>
      </c>
      <c r="P214" s="342">
        <f>1-(INDEX(Muuttujat!$O$5:$O$21,MATCH($C214,Muuttujat!$N$5:$N$21,0),1))</f>
        <v>0.92</v>
      </c>
      <c r="Q214" s="342">
        <f>INDEX(Muuttujat!$O$5:$O$21,MATCH($C214,Muuttujat!$N$5:$N$21,0),1)</f>
        <v>0.08</v>
      </c>
      <c r="R214" s="148">
        <f>INDEX(Muuttujat!$P$5:$P$21,MATCH($C214,Muuttujat!$N$5:$N$21,0),1)</f>
        <v>8.3420471452195388E-2</v>
      </c>
      <c r="S214" s="149">
        <f t="shared" si="61"/>
        <v>6.67925244</v>
      </c>
      <c r="T214" s="150">
        <f t="shared" si="62"/>
        <v>1.9175769599999999</v>
      </c>
      <c r="U214" s="150">
        <f t="shared" si="63"/>
        <v>0</v>
      </c>
      <c r="V214" s="150">
        <f>IFERROR(INDEX(Työkonekanta!$J$3:$J$27,MATCH($A214,Työkonekanta!$A$3:$A$24,0),1)*$B214*ef_li_ion_akku/1000/1000/INDEX(Työkonekanta!$K$3:$K$27,MATCH($A214,Työkonekanta!$A$3:$A$24,0)),0)</f>
        <v>0</v>
      </c>
      <c r="W214" s="149">
        <f t="shared" si="72"/>
        <v>26.083807538738405</v>
      </c>
      <c r="X214" s="150">
        <f t="shared" si="73"/>
        <v>0.33998785619999994</v>
      </c>
      <c r="Y214" s="151">
        <f t="shared" si="74"/>
        <v>0.13961909037900874</v>
      </c>
      <c r="Z214" s="152">
        <f t="shared" si="67"/>
        <v>8.5968294000000007</v>
      </c>
      <c r="AA214" s="153">
        <f t="shared" si="68"/>
        <v>26.223426629117412</v>
      </c>
      <c r="AB214" s="153">
        <f t="shared" si="69"/>
        <v>26.563414485317413</v>
      </c>
      <c r="AC214" s="154">
        <f t="shared" si="75"/>
        <v>34.820256029117417</v>
      </c>
      <c r="AD214" s="156">
        <f t="shared" si="70"/>
        <v>35.160243885317414</v>
      </c>
      <c r="AE214" s="182"/>
      <c r="AG214" s="2"/>
    </row>
    <row r="215" spans="1:37">
      <c r="A215" s="139">
        <v>3</v>
      </c>
      <c r="B215" s="139" cm="1">
        <f t="array" ref="B215">IFERROR(IF(A215=s1_id_korvattava1,INDEX($AG$3:$AG$19,MATCH(C215,$AF$3:$AF$19,0),1),IF(A215=s1_id_korvaava1,INDEX($AH$3:$AH$19,MATCH(C215,$AF$3:$AF$19,0),1),IF(A215=s1_id_korvattava2,INDEX($AI$3:$AI$19,MATCH(C215,$AF$3:$AF$19,0),1),IF(A215=s1_id_korvaava2,INDEX($AJ$3:$AJ$19,MATCH(C215,$AF$3:$AF$19,0),1),INDEX(Työkonekanta!$F$3:$F$27,MATCH('S1 Sähkö'!$A215,Työkonekanta!$A$3:$A$24,0),1))))),0)</f>
        <v>1</v>
      </c>
      <c r="C215" s="140">
        <v>2026</v>
      </c>
      <c r="D215" s="141" t="str">
        <f>IFERROR(INDEX(Työkonekanta!$D$3:$D$27,MATCH('S1 Sähkö'!$A215,Työkonekanta!$A$3:$A$24,0),1),"undefined")</f>
        <v>pom</v>
      </c>
      <c r="E215" s="145">
        <f>IFERROR(INDEX(Työkonekanta!$G$3:$G$27,MATCH($A215,Työkonekanta!$A$3:$A$24,0),1)*INDEX(Työkonekanta!$H$3:$H$27,MATCH($A215,Työkonekanta!$A$3:$A$24,0),1)*(1+s1_kerroin*($C215-2019))*$B215,0)</f>
        <v>10700</v>
      </c>
      <c r="F215" s="145">
        <f t="shared" si="58"/>
        <v>384130</v>
      </c>
      <c r="G215" s="145">
        <f t="shared" si="64"/>
        <v>353399.60000000003</v>
      </c>
      <c r="H215" s="145">
        <f t="shared" si="65"/>
        <v>30730.400000000001</v>
      </c>
      <c r="I215" s="145">
        <f t="shared" si="59"/>
        <v>9844.0000000000018</v>
      </c>
      <c r="J215" s="145">
        <f t="shared" si="60"/>
        <v>895.93002915451905</v>
      </c>
      <c r="K215" s="142" t="str">
        <f t="shared" si="66"/>
        <v>l</v>
      </c>
      <c r="L215" s="146">
        <f>IFERROR(INDEX(Työkonekanta!$I$3:$I$27,MATCH('S1 Sähkö'!$A215,Työkonekanta!$A$3:$A$24,0),1)*(I215+J215)*f_adblue,0)</f>
        <v>536.99650145772603</v>
      </c>
      <c r="M215" s="146">
        <f t="shared" si="71"/>
        <v>0</v>
      </c>
      <c r="N215" s="143" t="str">
        <f>IF(tuulisähkö_vuosi&lt;='S1 Sähkö'!C215,"tuulisähkö",ostosähkö_nyt)</f>
        <v>jäännössähkö</v>
      </c>
      <c r="O215" s="147">
        <f>INDEX(Muuttujat!$J$5:$J$21,MATCH($C215,Muuttujat!$H$5:$H$21,0),1)</f>
        <v>64.542936272148211</v>
      </c>
      <c r="P215" s="342">
        <f>1-(INDEX(Muuttujat!$O$5:$O$21,MATCH($C215,Muuttujat!$N$5:$N$21,0),1))</f>
        <v>0.92</v>
      </c>
      <c r="Q215" s="342">
        <f>INDEX(Muuttujat!$O$5:$O$21,MATCH($C215,Muuttujat!$N$5:$N$21,0),1)</f>
        <v>0.08</v>
      </c>
      <c r="R215" s="148">
        <f>INDEX(Muuttujat!$P$5:$P$21,MATCH($C215,Muuttujat!$N$5:$N$21,0),1)</f>
        <v>8.3420471452195388E-2</v>
      </c>
      <c r="S215" s="149">
        <f t="shared" si="61"/>
        <v>6.67925244</v>
      </c>
      <c r="T215" s="150">
        <f t="shared" si="62"/>
        <v>1.9175769599999999</v>
      </c>
      <c r="U215" s="150">
        <f t="shared" si="63"/>
        <v>0</v>
      </c>
      <c r="V215" s="150">
        <f>IFERROR(INDEX(Työkonekanta!$J$3:$J$27,MATCH($A215,Työkonekanta!$A$3:$A$24,0),1)*$B215*ef_li_ion_akku/1000/1000/INDEX(Työkonekanta!$K$3:$K$27,MATCH($A215,Työkonekanta!$A$3:$A$24,0)),0)</f>
        <v>0</v>
      </c>
      <c r="W215" s="149">
        <f t="shared" si="72"/>
        <v>26.083807538738405</v>
      </c>
      <c r="X215" s="150">
        <f t="shared" si="73"/>
        <v>0.33998785619999994</v>
      </c>
      <c r="Y215" s="151">
        <f t="shared" si="74"/>
        <v>0.13961909037900874</v>
      </c>
      <c r="Z215" s="152">
        <f t="shared" si="67"/>
        <v>8.5968294000000007</v>
      </c>
      <c r="AA215" s="153">
        <f t="shared" si="68"/>
        <v>26.223426629117412</v>
      </c>
      <c r="AB215" s="153">
        <f t="shared" si="69"/>
        <v>26.563414485317413</v>
      </c>
      <c r="AC215" s="154">
        <f t="shared" si="75"/>
        <v>34.820256029117417</v>
      </c>
      <c r="AD215" s="156">
        <f t="shared" si="70"/>
        <v>35.160243885317414</v>
      </c>
      <c r="AE215" s="182"/>
      <c r="AG215" s="2"/>
    </row>
    <row r="216" spans="1:37">
      <c r="A216" s="139">
        <v>4</v>
      </c>
      <c r="B216" s="139" cm="1">
        <f t="array" ref="B216">IFERROR(IF(A216=s1_id_korvattava1,INDEX($AG$3:$AG$19,MATCH(C216,$AF$3:$AF$19,0),1),IF(A216=s1_id_korvaava1,INDEX($AH$3:$AH$19,MATCH(C216,$AF$3:$AF$19,0),1),IF(A216=s1_id_korvattava2,INDEX($AI$3:$AI$19,MATCH(C216,$AF$3:$AF$19,0),1),IF(A216=s1_id_korvaava2,INDEX($AJ$3:$AJ$19,MATCH(C216,$AF$3:$AF$19,0),1),INDEX(Työkonekanta!$F$3:$F$27,MATCH('S1 Sähkö'!$A216,Työkonekanta!$A$3:$A$24,0),1))))),0)</f>
        <v>1</v>
      </c>
      <c r="C216" s="140">
        <v>2026</v>
      </c>
      <c r="D216" s="141" t="str">
        <f>IFERROR(INDEX(Työkonekanta!$D$3:$D$27,MATCH('S1 Sähkö'!$A216,Työkonekanta!$A$3:$A$24,0),1),"undefined")</f>
        <v>pom</v>
      </c>
      <c r="E216" s="145">
        <f>IFERROR(INDEX(Työkonekanta!$G$3:$G$27,MATCH($A216,Työkonekanta!$A$3:$A$24,0),1)*INDEX(Työkonekanta!$H$3:$H$27,MATCH($A216,Työkonekanta!$A$3:$A$24,0),1)*(1+s1_kerroin*($C216-2019))*$B216,0)</f>
        <v>10700</v>
      </c>
      <c r="F216" s="145">
        <f t="shared" si="58"/>
        <v>384130</v>
      </c>
      <c r="G216" s="145">
        <f t="shared" si="64"/>
        <v>353399.60000000003</v>
      </c>
      <c r="H216" s="145">
        <f t="shared" si="65"/>
        <v>30730.400000000001</v>
      </c>
      <c r="I216" s="145">
        <f t="shared" si="59"/>
        <v>9844.0000000000018</v>
      </c>
      <c r="J216" s="145">
        <f t="shared" si="60"/>
        <v>895.93002915451905</v>
      </c>
      <c r="K216" s="142" t="str">
        <f t="shared" si="66"/>
        <v>l</v>
      </c>
      <c r="L216" s="146">
        <f>IFERROR(INDEX(Työkonekanta!$I$3:$I$27,MATCH('S1 Sähkö'!$A216,Työkonekanta!$A$3:$A$24,0),1)*(I216+J216)*f_adblue,0)</f>
        <v>536.99650145772603</v>
      </c>
      <c r="M216" s="146">
        <f t="shared" si="71"/>
        <v>0</v>
      </c>
      <c r="N216" s="143" t="str">
        <f>IF(tuulisähkö_vuosi&lt;='S1 Sähkö'!C216,"tuulisähkö",ostosähkö_nyt)</f>
        <v>jäännössähkö</v>
      </c>
      <c r="O216" s="147">
        <f>INDEX(Muuttujat!$J$5:$J$21,MATCH($C216,Muuttujat!$H$5:$H$21,0),1)</f>
        <v>64.542936272148211</v>
      </c>
      <c r="P216" s="342">
        <f>1-(INDEX(Muuttujat!$O$5:$O$21,MATCH($C216,Muuttujat!$N$5:$N$21,0),1))</f>
        <v>0.92</v>
      </c>
      <c r="Q216" s="342">
        <f>INDEX(Muuttujat!$O$5:$O$21,MATCH($C216,Muuttujat!$N$5:$N$21,0),1)</f>
        <v>0.08</v>
      </c>
      <c r="R216" s="148">
        <f>INDEX(Muuttujat!$P$5:$P$21,MATCH($C216,Muuttujat!$N$5:$N$21,0),1)</f>
        <v>8.3420471452195388E-2</v>
      </c>
      <c r="S216" s="149">
        <f t="shared" si="61"/>
        <v>6.67925244</v>
      </c>
      <c r="T216" s="150">
        <f t="shared" si="62"/>
        <v>1.9175769599999999</v>
      </c>
      <c r="U216" s="150">
        <f t="shared" si="63"/>
        <v>0</v>
      </c>
      <c r="V216" s="150">
        <f>IFERROR(INDEX(Työkonekanta!$J$3:$J$27,MATCH($A216,Työkonekanta!$A$3:$A$24,0),1)*$B216*ef_li_ion_akku/1000/1000/INDEX(Työkonekanta!$K$3:$K$27,MATCH($A216,Työkonekanta!$A$3:$A$24,0)),0)</f>
        <v>0</v>
      </c>
      <c r="W216" s="149">
        <f t="shared" si="72"/>
        <v>26.083807538738405</v>
      </c>
      <c r="X216" s="150">
        <f t="shared" si="73"/>
        <v>0.33998785619999994</v>
      </c>
      <c r="Y216" s="151">
        <f t="shared" si="74"/>
        <v>0.13961909037900874</v>
      </c>
      <c r="Z216" s="152">
        <f t="shared" si="67"/>
        <v>8.5968294000000007</v>
      </c>
      <c r="AA216" s="153">
        <f t="shared" si="68"/>
        <v>26.223426629117412</v>
      </c>
      <c r="AB216" s="153">
        <f t="shared" si="69"/>
        <v>26.563414485317413</v>
      </c>
      <c r="AC216" s="154">
        <f t="shared" si="75"/>
        <v>34.820256029117417</v>
      </c>
      <c r="AD216" s="156">
        <f t="shared" si="70"/>
        <v>35.160243885317414</v>
      </c>
      <c r="AE216" s="182"/>
      <c r="AG216" s="2"/>
    </row>
    <row r="217" spans="1:37">
      <c r="A217" s="139">
        <v>5</v>
      </c>
      <c r="B217" s="139" cm="1">
        <f t="array" ref="B217">IFERROR(IF(A217=s1_id_korvattava1,INDEX($AG$3:$AG$19,MATCH(C217,$AF$3:$AF$19,0),1),IF(A217=s1_id_korvaava1,INDEX($AH$3:$AH$19,MATCH(C217,$AF$3:$AF$19,0),1),IF(A217=s1_id_korvattava2,INDEX($AI$3:$AI$19,MATCH(C217,$AF$3:$AF$19,0),1),IF(A217=s1_id_korvaava2,INDEX($AJ$3:$AJ$19,MATCH(C217,$AF$3:$AF$19,0),1),INDEX(Työkonekanta!$F$3:$F$27,MATCH('S1 Sähkö'!$A217,Työkonekanta!$A$3:$A$24,0),1))))),0)</f>
        <v>0</v>
      </c>
      <c r="C217" s="140">
        <v>2026</v>
      </c>
      <c r="D217" s="141" t="str">
        <f>IFERROR(INDEX(Työkonekanta!$D$3:$D$27,MATCH('S1 Sähkö'!$A217,Työkonekanta!$A$3:$A$24,0),1),"undefined")</f>
        <v>sähkö</v>
      </c>
      <c r="E217" s="145">
        <f>IFERROR(INDEX(Työkonekanta!$G$3:$G$27,MATCH($A217,Työkonekanta!$A$3:$A$24,0),1)*INDEX(Työkonekanta!$H$3:$H$27,MATCH($A217,Työkonekanta!$A$3:$A$24,0),1)*(1+s1_kerroin*($C217-2019))*$B217,0)</f>
        <v>0</v>
      </c>
      <c r="F217" s="145">
        <f t="shared" si="58"/>
        <v>0</v>
      </c>
      <c r="G217" s="145">
        <f t="shared" si="64"/>
        <v>0</v>
      </c>
      <c r="H217" s="145">
        <f t="shared" si="65"/>
        <v>0</v>
      </c>
      <c r="I217" s="145">
        <f t="shared" si="59"/>
        <v>0</v>
      </c>
      <c r="J217" s="145">
        <f t="shared" si="60"/>
        <v>0</v>
      </c>
      <c r="K217" s="142" t="str">
        <f t="shared" si="66"/>
        <v>kWh</v>
      </c>
      <c r="L217" s="146">
        <f>IFERROR(INDEX(Työkonekanta!$I$3:$I$27,MATCH('S1 Sähkö'!$A217,Työkonekanta!$A$3:$A$24,0),1)*(I217+J217)*f_adblue,0)</f>
        <v>0</v>
      </c>
      <c r="M217" s="146">
        <f t="shared" si="71"/>
        <v>0</v>
      </c>
      <c r="N217" s="143" t="str">
        <f>IF(tuulisähkö_vuosi&lt;='S1 Sähkö'!C217,"tuulisähkö",ostosähkö_nyt)</f>
        <v>jäännössähkö</v>
      </c>
      <c r="O217" s="147">
        <f>INDEX(Muuttujat!$J$5:$J$21,MATCH($C217,Muuttujat!$H$5:$H$21,0),1)</f>
        <v>64.542936272148211</v>
      </c>
      <c r="P217" s="342">
        <f>1-(INDEX(Muuttujat!$O$5:$O$21,MATCH($C217,Muuttujat!$N$5:$N$21,0),1))</f>
        <v>0.92</v>
      </c>
      <c r="Q217" s="342">
        <f>INDEX(Muuttujat!$O$5:$O$21,MATCH($C217,Muuttujat!$N$5:$N$21,0),1)</f>
        <v>0.08</v>
      </c>
      <c r="R217" s="148">
        <f>INDEX(Muuttujat!$P$5:$P$21,MATCH($C217,Muuttujat!$N$5:$N$21,0),1)</f>
        <v>8.3420471452195388E-2</v>
      </c>
      <c r="S217" s="149">
        <f t="shared" si="61"/>
        <v>0</v>
      </c>
      <c r="T217" s="150">
        <f t="shared" si="62"/>
        <v>0</v>
      </c>
      <c r="U217" s="150">
        <f t="shared" si="63"/>
        <v>0</v>
      </c>
      <c r="V217" s="150">
        <f>IFERROR(INDEX(Työkonekanta!$J$3:$J$27,MATCH($A217,Työkonekanta!$A$3:$A$24,0),1)*$B217*ef_li_ion_akku/1000/1000/INDEX(Työkonekanta!$K$3:$K$27,MATCH($A217,Työkonekanta!$A$3:$A$24,0)),0)</f>
        <v>0</v>
      </c>
      <c r="W217" s="149">
        <f t="shared" si="72"/>
        <v>0</v>
      </c>
      <c r="X217" s="150">
        <f t="shared" si="73"/>
        <v>0</v>
      </c>
      <c r="Y217" s="151">
        <f t="shared" si="74"/>
        <v>0</v>
      </c>
      <c r="Z217" s="152">
        <f t="shared" si="67"/>
        <v>0</v>
      </c>
      <c r="AA217" s="153">
        <f t="shared" si="68"/>
        <v>0</v>
      </c>
      <c r="AB217" s="153">
        <f t="shared" si="69"/>
        <v>0</v>
      </c>
      <c r="AC217" s="154">
        <f t="shared" si="75"/>
        <v>0</v>
      </c>
      <c r="AD217" s="156">
        <f t="shared" si="70"/>
        <v>0</v>
      </c>
      <c r="AE217" s="182"/>
      <c r="AG217" s="2"/>
    </row>
    <row r="218" spans="1:37">
      <c r="A218" s="139">
        <v>6</v>
      </c>
      <c r="B218" s="139" cm="1">
        <f t="array" ref="B218">IFERROR(IF(A218=s1_id_korvattava1,INDEX($AG$3:$AG$19,MATCH(C218,$AF$3:$AF$19,0),1),IF(A218=s1_id_korvaava1,INDEX($AH$3:$AH$19,MATCH(C218,$AF$3:$AF$19,0),1),IF(A218=s1_id_korvattava2,INDEX($AI$3:$AI$19,MATCH(C218,$AF$3:$AF$19,0),1),IF(A218=s1_id_korvaava2,INDEX($AJ$3:$AJ$19,MATCH(C218,$AF$3:$AF$19,0),1),INDEX(Työkonekanta!$F$3:$F$27,MATCH('S1 Sähkö'!$A218,Työkonekanta!$A$3:$A$24,0),1))))),0)</f>
        <v>0</v>
      </c>
      <c r="C218" s="140">
        <v>2026</v>
      </c>
      <c r="D218" s="141" t="str">
        <f>IFERROR(INDEX(Työkonekanta!$D$3:$D$27,MATCH('S1 Sähkö'!$A218,Työkonekanta!$A$3:$A$24,0),1),"undefined")</f>
        <v>sähkö</v>
      </c>
      <c r="E218" s="145">
        <f>IFERROR(INDEX(Työkonekanta!$G$3:$G$27,MATCH($A218,Työkonekanta!$A$3:$A$24,0),1)*INDEX(Työkonekanta!$H$3:$H$27,MATCH($A218,Työkonekanta!$A$3:$A$24,0),1)*(1+s1_kerroin*($C218-2019))*$B218,0)</f>
        <v>0</v>
      </c>
      <c r="F218" s="145">
        <f t="shared" si="58"/>
        <v>0</v>
      </c>
      <c r="G218" s="145">
        <f t="shared" si="64"/>
        <v>0</v>
      </c>
      <c r="H218" s="145">
        <f t="shared" si="65"/>
        <v>0</v>
      </c>
      <c r="I218" s="145">
        <f t="shared" si="59"/>
        <v>0</v>
      </c>
      <c r="J218" s="145">
        <f t="shared" si="60"/>
        <v>0</v>
      </c>
      <c r="K218" s="142" t="str">
        <f t="shared" si="66"/>
        <v>kWh</v>
      </c>
      <c r="L218" s="146">
        <f>IFERROR(INDEX(Työkonekanta!$I$3:$I$27,MATCH('S1 Sähkö'!$A218,Työkonekanta!$A$3:$A$24,0),1)*(I218+J218)*f_adblue,0)</f>
        <v>0</v>
      </c>
      <c r="M218" s="146">
        <f t="shared" si="71"/>
        <v>0</v>
      </c>
      <c r="N218" s="143" t="str">
        <f>IF(tuulisähkö_vuosi&lt;='S1 Sähkö'!C218,"tuulisähkö",ostosähkö_nyt)</f>
        <v>jäännössähkö</v>
      </c>
      <c r="O218" s="147">
        <f>INDEX(Muuttujat!$J$5:$J$21,MATCH($C218,Muuttujat!$H$5:$H$21,0),1)</f>
        <v>64.542936272148211</v>
      </c>
      <c r="P218" s="342">
        <f>1-(INDEX(Muuttujat!$O$5:$O$21,MATCH($C218,Muuttujat!$N$5:$N$21,0),1))</f>
        <v>0.92</v>
      </c>
      <c r="Q218" s="342">
        <f>INDEX(Muuttujat!$O$5:$O$21,MATCH($C218,Muuttujat!$N$5:$N$21,0),1)</f>
        <v>0.08</v>
      </c>
      <c r="R218" s="148">
        <f>INDEX(Muuttujat!$P$5:$P$21,MATCH($C218,Muuttujat!$N$5:$N$21,0),1)</f>
        <v>8.3420471452195388E-2</v>
      </c>
      <c r="S218" s="149">
        <f t="shared" si="61"/>
        <v>0</v>
      </c>
      <c r="T218" s="150">
        <f t="shared" si="62"/>
        <v>0</v>
      </c>
      <c r="U218" s="150">
        <f t="shared" si="63"/>
        <v>0</v>
      </c>
      <c r="V218" s="150">
        <f>IFERROR(INDEX(Työkonekanta!$J$3:$J$27,MATCH($A218,Työkonekanta!$A$3:$A$24,0),1)*$B218*ef_li_ion_akku/1000/1000/INDEX(Työkonekanta!$K$3:$K$27,MATCH($A218,Työkonekanta!$A$3:$A$24,0)),0)</f>
        <v>0</v>
      </c>
      <c r="W218" s="149">
        <f t="shared" si="72"/>
        <v>0</v>
      </c>
      <c r="X218" s="150">
        <f t="shared" si="73"/>
        <v>0</v>
      </c>
      <c r="Y218" s="151">
        <f t="shared" si="74"/>
        <v>0</v>
      </c>
      <c r="Z218" s="152">
        <f t="shared" si="67"/>
        <v>0</v>
      </c>
      <c r="AA218" s="153">
        <f t="shared" si="68"/>
        <v>0</v>
      </c>
      <c r="AB218" s="153">
        <f t="shared" si="69"/>
        <v>0</v>
      </c>
      <c r="AC218" s="154">
        <f t="shared" si="75"/>
        <v>0</v>
      </c>
      <c r="AD218" s="156">
        <f t="shared" si="70"/>
        <v>0</v>
      </c>
      <c r="AE218" s="182"/>
      <c r="AG218" s="2"/>
    </row>
    <row r="219" spans="1:37">
      <c r="A219" s="139">
        <v>7</v>
      </c>
      <c r="B219" s="139" cm="1">
        <f t="array" ref="B219">IFERROR(IF(A219=s1_id_korvattava1,INDEX($AG$3:$AG$19,MATCH(C219,$AF$3:$AF$19,0),1),IF(A219=s1_id_korvaava1,INDEX($AH$3:$AH$19,MATCH(C219,$AF$3:$AF$19,0),1),IF(A219=s1_id_korvattava2,INDEX($AI$3:$AI$19,MATCH(C219,$AF$3:$AF$19,0),1),IF(A219=s1_id_korvaava2,INDEX($AJ$3:$AJ$19,MATCH(C219,$AF$3:$AF$19,0),1),INDEX(Työkonekanta!$F$3:$F$27,MATCH('S1 Sähkö'!$A219,Työkonekanta!$A$3:$A$24,0),1))))),0)</f>
        <v>1</v>
      </c>
      <c r="C219" s="140">
        <v>2026</v>
      </c>
      <c r="D219" s="141" t="str">
        <f>IFERROR(INDEX(Työkonekanta!$D$3:$D$27,MATCH('S1 Sähkö'!$A219,Työkonekanta!$A$3:$A$24,0),1),"undefined")</f>
        <v>pom</v>
      </c>
      <c r="E219" s="145">
        <f>IFERROR(INDEX(Työkonekanta!$G$3:$G$27,MATCH($A219,Työkonekanta!$A$3:$A$24,0),1)*INDEX(Työkonekanta!$H$3:$H$27,MATCH($A219,Työkonekanta!$A$3:$A$24,0),1)*(1+s1_kerroin*($C219-2019))*$B219,0)</f>
        <v>10700</v>
      </c>
      <c r="F219" s="145">
        <f t="shared" si="58"/>
        <v>384130</v>
      </c>
      <c r="G219" s="145">
        <f t="shared" si="64"/>
        <v>353399.60000000003</v>
      </c>
      <c r="H219" s="145">
        <f t="shared" si="65"/>
        <v>30730.400000000001</v>
      </c>
      <c r="I219" s="145">
        <f t="shared" si="59"/>
        <v>9844.0000000000018</v>
      </c>
      <c r="J219" s="145">
        <f t="shared" si="60"/>
        <v>895.93002915451905</v>
      </c>
      <c r="K219" s="142" t="str">
        <f t="shared" si="66"/>
        <v>l</v>
      </c>
      <c r="L219" s="146">
        <f>IFERROR(INDEX(Työkonekanta!$I$3:$I$27,MATCH('S1 Sähkö'!$A219,Työkonekanta!$A$3:$A$24,0),1)*(I219+J219)*f_adblue,0)</f>
        <v>0</v>
      </c>
      <c r="M219" s="146">
        <f t="shared" si="71"/>
        <v>0</v>
      </c>
      <c r="N219" s="143" t="str">
        <f>IF(tuulisähkö_vuosi&lt;='S1 Sähkö'!C219,"tuulisähkö",ostosähkö_nyt)</f>
        <v>jäännössähkö</v>
      </c>
      <c r="O219" s="147">
        <f>INDEX(Muuttujat!$J$5:$J$21,MATCH($C219,Muuttujat!$H$5:$H$21,0),1)</f>
        <v>64.542936272148211</v>
      </c>
      <c r="P219" s="342">
        <f>1-(INDEX(Muuttujat!$O$5:$O$21,MATCH($C219,Muuttujat!$N$5:$N$21,0),1))</f>
        <v>0.92</v>
      </c>
      <c r="Q219" s="342">
        <f>INDEX(Muuttujat!$O$5:$O$21,MATCH($C219,Muuttujat!$N$5:$N$21,0),1)</f>
        <v>0.08</v>
      </c>
      <c r="R219" s="148">
        <f>INDEX(Muuttujat!$P$5:$P$21,MATCH($C219,Muuttujat!$N$5:$N$21,0),1)</f>
        <v>8.3420471452195388E-2</v>
      </c>
      <c r="S219" s="149">
        <f t="shared" si="61"/>
        <v>6.67925244</v>
      </c>
      <c r="T219" s="150">
        <f t="shared" si="62"/>
        <v>1.9175769599999999</v>
      </c>
      <c r="U219" s="150">
        <f t="shared" si="63"/>
        <v>0</v>
      </c>
      <c r="V219" s="150">
        <f>IFERROR(INDEX(Työkonekanta!$J$3:$J$27,MATCH($A219,Työkonekanta!$A$3:$A$24,0),1)*$B219*ef_li_ion_akku/1000/1000/INDEX(Työkonekanta!$K$3:$K$27,MATCH($A219,Työkonekanta!$A$3:$A$24,0)),0)</f>
        <v>0</v>
      </c>
      <c r="W219" s="149">
        <f t="shared" si="72"/>
        <v>26.083807538738405</v>
      </c>
      <c r="X219" s="150">
        <f t="shared" si="73"/>
        <v>0.33998785619999994</v>
      </c>
      <c r="Y219" s="151">
        <f t="shared" si="74"/>
        <v>0</v>
      </c>
      <c r="Z219" s="152">
        <f t="shared" si="67"/>
        <v>8.5968294000000007</v>
      </c>
      <c r="AA219" s="153">
        <f t="shared" si="68"/>
        <v>26.083807538738405</v>
      </c>
      <c r="AB219" s="153">
        <f t="shared" si="69"/>
        <v>26.423795394938406</v>
      </c>
      <c r="AC219" s="154">
        <f t="shared" si="75"/>
        <v>34.680636938738402</v>
      </c>
      <c r="AD219" s="156">
        <f t="shared" si="70"/>
        <v>35.020624794938406</v>
      </c>
      <c r="AE219" s="182"/>
      <c r="AG219" s="2"/>
    </row>
    <row r="220" spans="1:37">
      <c r="A220" s="139">
        <v>8</v>
      </c>
      <c r="B220" s="139" cm="1">
        <f t="array" ref="B220">IFERROR(IF(A220=s1_id_korvattava1,INDEX($AG$3:$AG$19,MATCH(C220,$AF$3:$AF$19,0),1),IF(A220=s1_id_korvaava1,INDEX($AH$3:$AH$19,MATCH(C220,$AF$3:$AF$19,0),1),IF(A220=s1_id_korvattava2,INDEX($AI$3:$AI$19,MATCH(C220,$AF$3:$AF$19,0),1),IF(A220=s1_id_korvaava2,INDEX($AJ$3:$AJ$19,MATCH(C220,$AF$3:$AF$19,0),1),INDEX(Työkonekanta!$F$3:$F$27,MATCH('S1 Sähkö'!$A220,Työkonekanta!$A$3:$A$24,0),1))))),0)</f>
        <v>1</v>
      </c>
      <c r="C220" s="140">
        <v>2026</v>
      </c>
      <c r="D220" s="141" t="str">
        <f>IFERROR(INDEX(Työkonekanta!$D$3:$D$27,MATCH('S1 Sähkö'!$A220,Työkonekanta!$A$3:$A$24,0),1),"undefined")</f>
        <v>pom</v>
      </c>
      <c r="E220" s="145">
        <f>IFERROR(INDEX(Työkonekanta!$G$3:$G$27,MATCH($A220,Työkonekanta!$A$3:$A$24,0),1)*INDEX(Työkonekanta!$H$3:$H$27,MATCH($A220,Työkonekanta!$A$3:$A$24,0),1)*(1+s1_kerroin*($C220-2019))*$B220,0)</f>
        <v>10700</v>
      </c>
      <c r="F220" s="145">
        <f t="shared" si="58"/>
        <v>384130</v>
      </c>
      <c r="G220" s="145">
        <f t="shared" si="64"/>
        <v>353399.60000000003</v>
      </c>
      <c r="H220" s="145">
        <f t="shared" si="65"/>
        <v>30730.400000000001</v>
      </c>
      <c r="I220" s="145">
        <f t="shared" si="59"/>
        <v>9844.0000000000018</v>
      </c>
      <c r="J220" s="145">
        <f t="shared" si="60"/>
        <v>895.93002915451905</v>
      </c>
      <c r="K220" s="142" t="str">
        <f t="shared" si="66"/>
        <v>l</v>
      </c>
      <c r="L220" s="146">
        <f>IFERROR(INDEX(Työkonekanta!$I$3:$I$27,MATCH('S1 Sähkö'!$A220,Työkonekanta!$A$3:$A$24,0),1)*(I220+J220)*f_adblue,0)</f>
        <v>536.99650145772603</v>
      </c>
      <c r="M220" s="146">
        <f t="shared" si="71"/>
        <v>0</v>
      </c>
      <c r="N220" s="143" t="str">
        <f>IF(tuulisähkö_vuosi&lt;='S1 Sähkö'!C220,"tuulisähkö",ostosähkö_nyt)</f>
        <v>jäännössähkö</v>
      </c>
      <c r="O220" s="147">
        <f>INDEX(Muuttujat!$J$5:$J$21,MATCH($C220,Muuttujat!$H$5:$H$21,0),1)</f>
        <v>64.542936272148211</v>
      </c>
      <c r="P220" s="342">
        <f>1-(INDEX(Muuttujat!$O$5:$O$21,MATCH($C220,Muuttujat!$N$5:$N$21,0),1))</f>
        <v>0.92</v>
      </c>
      <c r="Q220" s="342">
        <f>INDEX(Muuttujat!$O$5:$O$21,MATCH($C220,Muuttujat!$N$5:$N$21,0),1)</f>
        <v>0.08</v>
      </c>
      <c r="R220" s="148">
        <f>INDEX(Muuttujat!$P$5:$P$21,MATCH($C220,Muuttujat!$N$5:$N$21,0),1)</f>
        <v>8.3420471452195388E-2</v>
      </c>
      <c r="S220" s="149">
        <f t="shared" si="61"/>
        <v>6.67925244</v>
      </c>
      <c r="T220" s="150">
        <f t="shared" si="62"/>
        <v>1.9175769599999999</v>
      </c>
      <c r="U220" s="150">
        <f t="shared" si="63"/>
        <v>0</v>
      </c>
      <c r="V220" s="150">
        <f>IFERROR(INDEX(Työkonekanta!$J$3:$J$27,MATCH($A220,Työkonekanta!$A$3:$A$24,0),1)*$B220*ef_li_ion_akku/1000/1000/INDEX(Työkonekanta!$K$3:$K$27,MATCH($A220,Työkonekanta!$A$3:$A$24,0)),0)</f>
        <v>0</v>
      </c>
      <c r="W220" s="149">
        <f t="shared" si="72"/>
        <v>26.083807538738405</v>
      </c>
      <c r="X220" s="150">
        <f t="shared" si="73"/>
        <v>0.33998785619999994</v>
      </c>
      <c r="Y220" s="151">
        <f t="shared" si="74"/>
        <v>0.13961909037900874</v>
      </c>
      <c r="Z220" s="152">
        <f t="shared" si="67"/>
        <v>8.5968294000000007</v>
      </c>
      <c r="AA220" s="153">
        <f t="shared" si="68"/>
        <v>26.223426629117412</v>
      </c>
      <c r="AB220" s="153">
        <f t="shared" si="69"/>
        <v>26.563414485317413</v>
      </c>
      <c r="AC220" s="154">
        <f t="shared" si="75"/>
        <v>34.820256029117417</v>
      </c>
      <c r="AD220" s="156">
        <f t="shared" si="70"/>
        <v>35.160243885317414</v>
      </c>
      <c r="AE220" s="182"/>
      <c r="AG220" s="2"/>
    </row>
    <row r="221" spans="1:37">
      <c r="A221" s="139">
        <v>9</v>
      </c>
      <c r="B221" s="139" cm="1">
        <f t="array" ref="B221">IFERROR(IF(A221=s1_id_korvattava1,INDEX($AG$3:$AG$19,MATCH(C221,$AF$3:$AF$19,0),1),IF(A221=s1_id_korvaava1,INDEX($AH$3:$AH$19,MATCH(C221,$AF$3:$AF$19,0),1),IF(A221=s1_id_korvattava2,INDEX($AI$3:$AI$19,MATCH(C221,$AF$3:$AF$19,0),1),IF(A221=s1_id_korvaava2,INDEX($AJ$3:$AJ$19,MATCH(C221,$AF$3:$AF$19,0),1),INDEX(Työkonekanta!$F$3:$F$27,MATCH('S1 Sähkö'!$A221,Työkonekanta!$A$3:$A$24,0),1))))),0)</f>
        <v>0</v>
      </c>
      <c r="C221" s="140">
        <v>2026</v>
      </c>
      <c r="D221" s="141" t="str">
        <f>IFERROR(INDEX(Työkonekanta!$D$3:$D$27,MATCH('S1 Sähkö'!$A221,Työkonekanta!$A$3:$A$24,0),1),"undefined")</f>
        <v>sähkö</v>
      </c>
      <c r="E221" s="145">
        <f>IFERROR(INDEX(Työkonekanta!$G$3:$G$27,MATCH($A221,Työkonekanta!$A$3:$A$24,0),1)*INDEX(Työkonekanta!$H$3:$H$27,MATCH($A221,Työkonekanta!$A$3:$A$24,0),1)*(1+s1_kerroin*($C221-2019))*$B221,0)</f>
        <v>0</v>
      </c>
      <c r="F221" s="145">
        <f t="shared" si="58"/>
        <v>0</v>
      </c>
      <c r="G221" s="145">
        <f t="shared" si="64"/>
        <v>0</v>
      </c>
      <c r="H221" s="145">
        <f t="shared" si="65"/>
        <v>0</v>
      </c>
      <c r="I221" s="145">
        <f t="shared" si="59"/>
        <v>0</v>
      </c>
      <c r="J221" s="145">
        <f t="shared" si="60"/>
        <v>0</v>
      </c>
      <c r="K221" s="142" t="str">
        <f t="shared" si="66"/>
        <v>kWh</v>
      </c>
      <c r="L221" s="146">
        <f>IFERROR(INDEX(Työkonekanta!$I$3:$I$27,MATCH('S1 Sähkö'!$A221,Työkonekanta!$A$3:$A$24,0),1)*(I221+J221)*f_adblue,0)</f>
        <v>0</v>
      </c>
      <c r="M221" s="146">
        <f t="shared" si="71"/>
        <v>0</v>
      </c>
      <c r="N221" s="143" t="str">
        <f>IF(tuulisähkö_vuosi&lt;='S1 Sähkö'!C221,"tuulisähkö",ostosähkö_nyt)</f>
        <v>jäännössähkö</v>
      </c>
      <c r="O221" s="147">
        <f>INDEX(Muuttujat!$J$5:$J$21,MATCH($C221,Muuttujat!$H$5:$H$21,0),1)</f>
        <v>64.542936272148211</v>
      </c>
      <c r="P221" s="342">
        <f>1-(INDEX(Muuttujat!$O$5:$O$21,MATCH($C221,Muuttujat!$N$5:$N$21,0),1))</f>
        <v>0.92</v>
      </c>
      <c r="Q221" s="342">
        <f>INDEX(Muuttujat!$O$5:$O$21,MATCH($C221,Muuttujat!$N$5:$N$21,0),1)</f>
        <v>0.08</v>
      </c>
      <c r="R221" s="148">
        <f>INDEX(Muuttujat!$P$5:$P$21,MATCH($C221,Muuttujat!$N$5:$N$21,0),1)</f>
        <v>8.3420471452195388E-2</v>
      </c>
      <c r="S221" s="149">
        <f t="shared" si="61"/>
        <v>0</v>
      </c>
      <c r="T221" s="150">
        <f t="shared" si="62"/>
        <v>0</v>
      </c>
      <c r="U221" s="150">
        <f t="shared" si="63"/>
        <v>0</v>
      </c>
      <c r="V221" s="150">
        <f>IFERROR(INDEX(Työkonekanta!$J$3:$J$27,MATCH($A221,Työkonekanta!$A$3:$A$24,0),1)*$B221*ef_li_ion_akku/1000/1000/INDEX(Työkonekanta!$K$3:$K$27,MATCH($A221,Työkonekanta!$A$3:$A$24,0)),0)</f>
        <v>0</v>
      </c>
      <c r="W221" s="149">
        <f t="shared" si="72"/>
        <v>0</v>
      </c>
      <c r="X221" s="150">
        <f t="shared" si="73"/>
        <v>0</v>
      </c>
      <c r="Y221" s="151">
        <f t="shared" si="74"/>
        <v>0</v>
      </c>
      <c r="Z221" s="152">
        <f t="shared" si="67"/>
        <v>0</v>
      </c>
      <c r="AA221" s="153">
        <f t="shared" si="68"/>
        <v>0</v>
      </c>
      <c r="AB221" s="153">
        <f t="shared" si="69"/>
        <v>0</v>
      </c>
      <c r="AC221" s="154">
        <f t="shared" si="75"/>
        <v>0</v>
      </c>
      <c r="AD221" s="156">
        <f t="shared" si="70"/>
        <v>0</v>
      </c>
      <c r="AE221" s="182"/>
      <c r="AG221" s="2"/>
    </row>
    <row r="222" spans="1:37">
      <c r="A222" s="139">
        <v>10</v>
      </c>
      <c r="B222" s="139" cm="1">
        <f t="array" ref="B222">IFERROR(IF(A222=s1_id_korvattava1,INDEX($AG$3:$AG$19,MATCH(C222,$AF$3:$AF$19,0),1),IF(A222=s1_id_korvaava1,INDEX($AH$3:$AH$19,MATCH(C222,$AF$3:$AF$19,0),1),IF(A222=s1_id_korvattava2,INDEX($AI$3:$AI$19,MATCH(C222,$AF$3:$AF$19,0),1),IF(A222=s1_id_korvaava2,INDEX($AJ$3:$AJ$19,MATCH(C222,$AF$3:$AF$19,0),1),INDEX(Työkonekanta!$F$3:$F$27,MATCH('S1 Sähkö'!$A222,Työkonekanta!$A$3:$A$24,0),1))))),0)</f>
        <v>0</v>
      </c>
      <c r="C222" s="140">
        <v>2026</v>
      </c>
      <c r="D222" s="141" t="str">
        <f>IFERROR(INDEX(Työkonekanta!$D$3:$D$27,MATCH('S1 Sähkö'!$A222,Työkonekanta!$A$3:$A$24,0),1),"undefined")</f>
        <v>sähkö</v>
      </c>
      <c r="E222" s="145">
        <f>IFERROR(INDEX(Työkonekanta!$G$3:$G$27,MATCH($A222,Työkonekanta!$A$3:$A$24,0),1)*INDEX(Työkonekanta!$H$3:$H$27,MATCH($A222,Työkonekanta!$A$3:$A$24,0),1)*(1+s1_kerroin*($C222-2019))*$B222,0)</f>
        <v>0</v>
      </c>
      <c r="F222" s="145">
        <f t="shared" si="58"/>
        <v>0</v>
      </c>
      <c r="G222" s="145">
        <f t="shared" si="64"/>
        <v>0</v>
      </c>
      <c r="H222" s="145">
        <f t="shared" si="65"/>
        <v>0</v>
      </c>
      <c r="I222" s="145">
        <f t="shared" si="59"/>
        <v>0</v>
      </c>
      <c r="J222" s="145">
        <f t="shared" si="60"/>
        <v>0</v>
      </c>
      <c r="K222" s="142" t="str">
        <f t="shared" si="66"/>
        <v>kWh</v>
      </c>
      <c r="L222" s="146">
        <f>IFERROR(INDEX(Työkonekanta!$I$3:$I$27,MATCH('S1 Sähkö'!$A222,Työkonekanta!$A$3:$A$24,0),1)*(I222+J222)*f_adblue,0)</f>
        <v>0</v>
      </c>
      <c r="M222" s="146">
        <f t="shared" si="71"/>
        <v>0</v>
      </c>
      <c r="N222" s="143" t="str">
        <f>IF(tuulisähkö_vuosi&lt;='S1 Sähkö'!C222,"tuulisähkö",ostosähkö_nyt)</f>
        <v>jäännössähkö</v>
      </c>
      <c r="O222" s="147">
        <f>INDEX(Muuttujat!$J$5:$J$21,MATCH($C222,Muuttujat!$H$5:$H$21,0),1)</f>
        <v>64.542936272148211</v>
      </c>
      <c r="P222" s="342">
        <f>1-(INDEX(Muuttujat!$O$5:$O$21,MATCH($C222,Muuttujat!$N$5:$N$21,0),1))</f>
        <v>0.92</v>
      </c>
      <c r="Q222" s="342">
        <f>INDEX(Muuttujat!$O$5:$O$21,MATCH($C222,Muuttujat!$N$5:$N$21,0),1)</f>
        <v>0.08</v>
      </c>
      <c r="R222" s="148">
        <f>INDEX(Muuttujat!$P$5:$P$21,MATCH($C222,Muuttujat!$N$5:$N$21,0),1)</f>
        <v>8.3420471452195388E-2</v>
      </c>
      <c r="S222" s="149">
        <f t="shared" si="61"/>
        <v>0</v>
      </c>
      <c r="T222" s="150">
        <f t="shared" si="62"/>
        <v>0</v>
      </c>
      <c r="U222" s="150">
        <f t="shared" si="63"/>
        <v>0</v>
      </c>
      <c r="V222" s="150">
        <f>IFERROR(INDEX(Työkonekanta!$J$3:$J$27,MATCH($A222,Työkonekanta!$A$3:$A$24,0),1)*$B222*ef_li_ion_akku/1000/1000/INDEX(Työkonekanta!$K$3:$K$27,MATCH($A222,Työkonekanta!$A$3:$A$24,0)),0)</f>
        <v>0</v>
      </c>
      <c r="W222" s="149">
        <f t="shared" si="72"/>
        <v>0</v>
      </c>
      <c r="X222" s="150">
        <f t="shared" si="73"/>
        <v>0</v>
      </c>
      <c r="Y222" s="151">
        <f t="shared" si="74"/>
        <v>0</v>
      </c>
      <c r="Z222" s="152">
        <f t="shared" si="67"/>
        <v>0</v>
      </c>
      <c r="AA222" s="153">
        <f t="shared" si="68"/>
        <v>0</v>
      </c>
      <c r="AB222" s="153">
        <f t="shared" si="69"/>
        <v>0</v>
      </c>
      <c r="AC222" s="154">
        <f t="shared" si="75"/>
        <v>0</v>
      </c>
      <c r="AD222" s="156">
        <f t="shared" si="70"/>
        <v>0</v>
      </c>
      <c r="AE222" s="182"/>
      <c r="AG222" s="2"/>
    </row>
    <row r="223" spans="1:37">
      <c r="A223" s="139">
        <v>11</v>
      </c>
      <c r="B223" s="139" cm="1">
        <f t="array" ref="B223">IFERROR(IF(A223=s1_id_korvattava1,INDEX($AG$3:$AG$19,MATCH(C223,$AF$3:$AF$19,0),1),IF(A223=s1_id_korvaava1,INDEX($AH$3:$AH$19,MATCH(C223,$AF$3:$AF$19,0),1),IF(A223=s1_id_korvattava2,INDEX($AI$3:$AI$19,MATCH(C223,$AF$3:$AF$19,0),1),IF(A223=s1_id_korvaava2,INDEX($AJ$3:$AJ$19,MATCH(C223,$AF$3:$AF$19,0),1),INDEX(Työkonekanta!$F$3:$F$27,MATCH('S1 Sähkö'!$A223,Työkonekanta!$A$3:$A$24,0),1))))),0)</f>
        <v>1</v>
      </c>
      <c r="C223" s="140">
        <v>2026</v>
      </c>
      <c r="D223" s="141" t="str">
        <f>IFERROR(INDEX(Työkonekanta!$D$3:$D$27,MATCH('S1 Sähkö'!$A223,Työkonekanta!$A$3:$A$24,0),1),"undefined")</f>
        <v>pom</v>
      </c>
      <c r="E223" s="145">
        <f>IFERROR(INDEX(Työkonekanta!$G$3:$G$27,MATCH($A223,Työkonekanta!$A$3:$A$24,0),1)*INDEX(Työkonekanta!$H$3:$H$27,MATCH($A223,Työkonekanta!$A$3:$A$24,0),1)*(1+s1_kerroin*($C223-2019))*$B223,0)</f>
        <v>10700</v>
      </c>
      <c r="F223" s="145">
        <f t="shared" si="58"/>
        <v>384130</v>
      </c>
      <c r="G223" s="145">
        <f t="shared" si="64"/>
        <v>353399.60000000003</v>
      </c>
      <c r="H223" s="145">
        <f t="shared" si="65"/>
        <v>30730.400000000001</v>
      </c>
      <c r="I223" s="145">
        <f t="shared" si="59"/>
        <v>9844.0000000000018</v>
      </c>
      <c r="J223" s="145">
        <f t="shared" si="60"/>
        <v>895.93002915451905</v>
      </c>
      <c r="K223" s="142" t="str">
        <f t="shared" si="66"/>
        <v>l</v>
      </c>
      <c r="L223" s="146">
        <f>IFERROR(INDEX(Työkonekanta!$I$3:$I$27,MATCH('S1 Sähkö'!$A223,Työkonekanta!$A$3:$A$24,0),1)*(I223+J223)*f_adblue,0)</f>
        <v>536.99650145772603</v>
      </c>
      <c r="M223" s="146">
        <f t="shared" si="71"/>
        <v>0</v>
      </c>
      <c r="N223" s="143" t="str">
        <f>IF(tuulisähkö_vuosi&lt;='S1 Sähkö'!C223,"tuulisähkö",ostosähkö_nyt)</f>
        <v>jäännössähkö</v>
      </c>
      <c r="O223" s="147">
        <f>INDEX(Muuttujat!$J$5:$J$21,MATCH($C223,Muuttujat!$H$5:$H$21,0),1)</f>
        <v>64.542936272148211</v>
      </c>
      <c r="P223" s="342">
        <f>1-(INDEX(Muuttujat!$O$5:$O$21,MATCH($C223,Muuttujat!$N$5:$N$21,0),1))</f>
        <v>0.92</v>
      </c>
      <c r="Q223" s="342">
        <f>INDEX(Muuttujat!$O$5:$O$21,MATCH($C223,Muuttujat!$N$5:$N$21,0),1)</f>
        <v>0.08</v>
      </c>
      <c r="R223" s="148">
        <f>INDEX(Muuttujat!$P$5:$P$21,MATCH($C223,Muuttujat!$N$5:$N$21,0),1)</f>
        <v>8.3420471452195388E-2</v>
      </c>
      <c r="S223" s="149">
        <f t="shared" si="61"/>
        <v>6.67925244</v>
      </c>
      <c r="T223" s="150">
        <f t="shared" si="62"/>
        <v>1.9175769599999999</v>
      </c>
      <c r="U223" s="150">
        <f t="shared" si="63"/>
        <v>0</v>
      </c>
      <c r="V223" s="150">
        <f>IFERROR(INDEX(Työkonekanta!$J$3:$J$27,MATCH($A223,Työkonekanta!$A$3:$A$24,0),1)*$B223*ef_li_ion_akku/1000/1000/INDEX(Työkonekanta!$K$3:$K$27,MATCH($A223,Työkonekanta!$A$3:$A$24,0)),0)</f>
        <v>0</v>
      </c>
      <c r="W223" s="149">
        <f t="shared" si="72"/>
        <v>26.083807538738405</v>
      </c>
      <c r="X223" s="150">
        <f t="shared" si="73"/>
        <v>0.33998785619999994</v>
      </c>
      <c r="Y223" s="151">
        <f t="shared" si="74"/>
        <v>0.13961909037900874</v>
      </c>
      <c r="Z223" s="152">
        <f t="shared" si="67"/>
        <v>8.5968294000000007</v>
      </c>
      <c r="AA223" s="153">
        <f t="shared" si="68"/>
        <v>26.223426629117412</v>
      </c>
      <c r="AB223" s="153">
        <f t="shared" si="69"/>
        <v>26.563414485317413</v>
      </c>
      <c r="AC223" s="154">
        <f t="shared" si="75"/>
        <v>34.820256029117417</v>
      </c>
      <c r="AD223" s="156">
        <f t="shared" si="70"/>
        <v>35.160243885317414</v>
      </c>
      <c r="AE223" s="182"/>
      <c r="AG223" s="2"/>
    </row>
    <row r="224" spans="1:37">
      <c r="A224" s="139">
        <v>12</v>
      </c>
      <c r="B224" s="139" cm="1">
        <f t="array" ref="B224">IFERROR(IF(A224=s1_id_korvattava1,INDEX($AG$3:$AG$19,MATCH(C224,$AF$3:$AF$19,0),1),IF(A224=s1_id_korvaava1,INDEX($AH$3:$AH$19,MATCH(C224,$AF$3:$AF$19,0),1),IF(A224=s1_id_korvattava2,INDEX($AI$3:$AI$19,MATCH(C224,$AF$3:$AF$19,0),1),IF(A224=s1_id_korvaava2,INDEX($AJ$3:$AJ$19,MATCH(C224,$AF$3:$AF$19,0),1),INDEX(Työkonekanta!$F$3:$F$27,MATCH('S1 Sähkö'!$A224,Työkonekanta!$A$3:$A$24,0),1))))),0)</f>
        <v>1</v>
      </c>
      <c r="C224" s="140">
        <v>2026</v>
      </c>
      <c r="D224" s="141" t="str">
        <f>IFERROR(INDEX(Työkonekanta!$D$3:$D$27,MATCH('S1 Sähkö'!$A224,Työkonekanta!$A$3:$A$24,0),1),"undefined")</f>
        <v>pom</v>
      </c>
      <c r="E224" s="145">
        <f>IFERROR(INDEX(Työkonekanta!$G$3:$G$27,MATCH($A224,Työkonekanta!$A$3:$A$24,0),1)*INDEX(Työkonekanta!$H$3:$H$27,MATCH($A224,Työkonekanta!$A$3:$A$24,0),1)*(1+s1_kerroin*($C224-2019))*$B224,0)</f>
        <v>10700</v>
      </c>
      <c r="F224" s="145">
        <f t="shared" si="58"/>
        <v>384130</v>
      </c>
      <c r="G224" s="145">
        <f t="shared" si="64"/>
        <v>353399.60000000003</v>
      </c>
      <c r="H224" s="145">
        <f t="shared" si="65"/>
        <v>30730.400000000001</v>
      </c>
      <c r="I224" s="145">
        <f t="shared" si="59"/>
        <v>9844.0000000000018</v>
      </c>
      <c r="J224" s="145">
        <f t="shared" si="60"/>
        <v>895.93002915451905</v>
      </c>
      <c r="K224" s="142" t="str">
        <f t="shared" si="66"/>
        <v>l</v>
      </c>
      <c r="L224" s="146">
        <f>IFERROR(INDEX(Työkonekanta!$I$3:$I$27,MATCH('S1 Sähkö'!$A224,Työkonekanta!$A$3:$A$24,0),1)*(I224+J224)*f_adblue,0)</f>
        <v>536.99650145772603</v>
      </c>
      <c r="M224" s="146">
        <f t="shared" si="71"/>
        <v>0</v>
      </c>
      <c r="N224" s="143" t="str">
        <f>IF(tuulisähkö_vuosi&lt;='S1 Sähkö'!C224,"tuulisähkö",ostosähkö_nyt)</f>
        <v>jäännössähkö</v>
      </c>
      <c r="O224" s="147">
        <f>INDEX(Muuttujat!$J$5:$J$21,MATCH($C224,Muuttujat!$H$5:$H$21,0),1)</f>
        <v>64.542936272148211</v>
      </c>
      <c r="P224" s="342">
        <f>1-(INDEX(Muuttujat!$O$5:$O$21,MATCH($C224,Muuttujat!$N$5:$N$21,0),1))</f>
        <v>0.92</v>
      </c>
      <c r="Q224" s="342">
        <f>INDEX(Muuttujat!$O$5:$O$21,MATCH($C224,Muuttujat!$N$5:$N$21,0),1)</f>
        <v>0.08</v>
      </c>
      <c r="R224" s="148">
        <f>INDEX(Muuttujat!$P$5:$P$21,MATCH($C224,Muuttujat!$N$5:$N$21,0),1)</f>
        <v>8.3420471452195388E-2</v>
      </c>
      <c r="S224" s="149">
        <f t="shared" si="61"/>
        <v>6.67925244</v>
      </c>
      <c r="T224" s="150">
        <f t="shared" si="62"/>
        <v>1.9175769599999999</v>
      </c>
      <c r="U224" s="150">
        <f t="shared" si="63"/>
        <v>0</v>
      </c>
      <c r="V224" s="150">
        <f>IFERROR(INDEX(Työkonekanta!$J$3:$J$27,MATCH($A224,Työkonekanta!$A$3:$A$24,0),1)*$B224*ef_li_ion_akku/1000/1000/INDEX(Työkonekanta!$K$3:$K$27,MATCH($A224,Työkonekanta!$A$3:$A$24,0)),0)</f>
        <v>0</v>
      </c>
      <c r="W224" s="149">
        <f t="shared" si="72"/>
        <v>26.083807538738405</v>
      </c>
      <c r="X224" s="150">
        <f t="shared" si="73"/>
        <v>0.33998785619999994</v>
      </c>
      <c r="Y224" s="151">
        <f t="shared" si="74"/>
        <v>0.13961909037900874</v>
      </c>
      <c r="Z224" s="152">
        <f t="shared" si="67"/>
        <v>8.5968294000000007</v>
      </c>
      <c r="AA224" s="153">
        <f t="shared" si="68"/>
        <v>26.223426629117412</v>
      </c>
      <c r="AB224" s="153">
        <f t="shared" si="69"/>
        <v>26.563414485317413</v>
      </c>
      <c r="AC224" s="154">
        <f t="shared" si="75"/>
        <v>34.820256029117417</v>
      </c>
      <c r="AD224" s="156">
        <f t="shared" si="70"/>
        <v>35.160243885317414</v>
      </c>
      <c r="AE224" s="182"/>
      <c r="AG224" s="2"/>
    </row>
    <row r="225" spans="1:37">
      <c r="A225" s="139">
        <v>13</v>
      </c>
      <c r="B225" s="139" cm="1">
        <f t="array" ref="B225">IFERROR(IF(A225=s1_id_korvattava1,INDEX($AG$3:$AG$19,MATCH(C225,$AF$3:$AF$19,0),1),IF(A225=s1_id_korvaava1,INDEX($AH$3:$AH$19,MATCH(C225,$AF$3:$AF$19,0),1),IF(A225=s1_id_korvattava2,INDEX($AI$3:$AI$19,MATCH(C225,$AF$3:$AF$19,0),1),IF(A225=s1_id_korvaava2,INDEX($AJ$3:$AJ$19,MATCH(C225,$AF$3:$AF$19,0),1),INDEX(Työkonekanta!$F$3:$F$27,MATCH('S1 Sähkö'!$A225,Työkonekanta!$A$3:$A$24,0),1))))),0)</f>
        <v>0</v>
      </c>
      <c r="C225" s="140">
        <v>2026</v>
      </c>
      <c r="D225" s="141" t="str">
        <f>IFERROR(INDEX(Työkonekanta!$D$3:$D$27,MATCH('S1 Sähkö'!$A225,Työkonekanta!$A$3:$A$24,0),1),"undefined")</f>
        <v>pom</v>
      </c>
      <c r="E225" s="145">
        <f>IFERROR(INDEX(Työkonekanta!$G$3:$G$27,MATCH($A225,Työkonekanta!$A$3:$A$24,0),1)*INDEX(Työkonekanta!$H$3:$H$27,MATCH($A225,Työkonekanta!$A$3:$A$24,0),1)*(1+s1_kerroin*($C225-2019))*$B225,0)</f>
        <v>0</v>
      </c>
      <c r="F225" s="145">
        <f t="shared" si="58"/>
        <v>0</v>
      </c>
      <c r="G225" s="145">
        <f t="shared" si="64"/>
        <v>0</v>
      </c>
      <c r="H225" s="145">
        <f t="shared" si="65"/>
        <v>0</v>
      </c>
      <c r="I225" s="145">
        <f t="shared" si="59"/>
        <v>0</v>
      </c>
      <c r="J225" s="145">
        <f t="shared" si="60"/>
        <v>0</v>
      </c>
      <c r="K225" s="142" t="str">
        <f t="shared" si="66"/>
        <v>l</v>
      </c>
      <c r="L225" s="146">
        <f>IFERROR(INDEX(Työkonekanta!$I$3:$I$27,MATCH('S1 Sähkö'!$A225,Työkonekanta!$A$3:$A$24,0),1)*(I225+J225)*f_adblue,0)</f>
        <v>0</v>
      </c>
      <c r="M225" s="146">
        <f t="shared" si="71"/>
        <v>0</v>
      </c>
      <c r="N225" s="143" t="str">
        <f>IF(tuulisähkö_vuosi&lt;='S1 Sähkö'!C225,"tuulisähkö",ostosähkö_nyt)</f>
        <v>jäännössähkö</v>
      </c>
      <c r="O225" s="147">
        <f>INDEX(Muuttujat!$J$5:$J$21,MATCH($C225,Muuttujat!$H$5:$H$21,0),1)</f>
        <v>64.542936272148211</v>
      </c>
      <c r="P225" s="342">
        <f>1-(INDEX(Muuttujat!$O$5:$O$21,MATCH($C225,Muuttujat!$N$5:$N$21,0),1))</f>
        <v>0.92</v>
      </c>
      <c r="Q225" s="342">
        <f>INDEX(Muuttujat!$O$5:$O$21,MATCH($C225,Muuttujat!$N$5:$N$21,0),1)</f>
        <v>0.08</v>
      </c>
      <c r="R225" s="148">
        <f>INDEX(Muuttujat!$P$5:$P$21,MATCH($C225,Muuttujat!$N$5:$N$21,0),1)</f>
        <v>8.3420471452195388E-2</v>
      </c>
      <c r="S225" s="149">
        <f t="shared" si="61"/>
        <v>0</v>
      </c>
      <c r="T225" s="150">
        <f t="shared" si="62"/>
        <v>0</v>
      </c>
      <c r="U225" s="150">
        <f t="shared" si="63"/>
        <v>0</v>
      </c>
      <c r="V225" s="150">
        <f>IFERROR(INDEX(Työkonekanta!$J$3:$J$27,MATCH($A225,Työkonekanta!$A$3:$A$24,0),1)*$B225*ef_li_ion_akku/1000/1000/INDEX(Työkonekanta!$K$3:$K$27,MATCH($A225,Työkonekanta!$A$3:$A$24,0)),0)</f>
        <v>0</v>
      </c>
      <c r="W225" s="149">
        <f t="shared" si="72"/>
        <v>0</v>
      </c>
      <c r="X225" s="150">
        <f t="shared" si="73"/>
        <v>0</v>
      </c>
      <c r="Y225" s="151">
        <f t="shared" si="74"/>
        <v>0</v>
      </c>
      <c r="Z225" s="152">
        <f t="shared" si="67"/>
        <v>0</v>
      </c>
      <c r="AA225" s="153">
        <f t="shared" si="68"/>
        <v>0</v>
      </c>
      <c r="AB225" s="153">
        <f t="shared" si="69"/>
        <v>0</v>
      </c>
      <c r="AC225" s="154">
        <f t="shared" si="75"/>
        <v>0</v>
      </c>
      <c r="AD225" s="156">
        <f t="shared" si="70"/>
        <v>0</v>
      </c>
      <c r="AE225" s="182"/>
      <c r="AG225" s="2"/>
    </row>
    <row r="226" spans="1:37">
      <c r="A226" s="139">
        <v>14</v>
      </c>
      <c r="B226" s="139" cm="1">
        <f t="array" ref="B226">IFERROR(IF(A226=s1_id_korvattava1,INDEX($AG$3:$AG$19,MATCH(C226,$AF$3:$AF$19,0),1),IF(A226=s1_id_korvaava1,INDEX($AH$3:$AH$19,MATCH(C226,$AF$3:$AF$19,0),1),IF(A226=s1_id_korvattava2,INDEX($AI$3:$AI$19,MATCH(C226,$AF$3:$AF$19,0),1),IF(A226=s1_id_korvaava2,INDEX($AJ$3:$AJ$19,MATCH(C226,$AF$3:$AF$19,0),1),INDEX(Työkonekanta!$F$3:$F$27,MATCH('S1 Sähkö'!$A226,Työkonekanta!$A$3:$A$24,0),1))))),0)</f>
        <v>0</v>
      </c>
      <c r="C226" s="140">
        <v>2026</v>
      </c>
      <c r="D226" s="141" t="str">
        <f>IFERROR(INDEX(Työkonekanta!$D$3:$D$27,MATCH('S1 Sähkö'!$A226,Työkonekanta!$A$3:$A$24,0),1),"undefined")</f>
        <v>pom</v>
      </c>
      <c r="E226" s="145">
        <f>IFERROR(INDEX(Työkonekanta!$G$3:$G$27,MATCH($A226,Työkonekanta!$A$3:$A$24,0),1)*INDEX(Työkonekanta!$H$3:$H$27,MATCH($A226,Työkonekanta!$A$3:$A$24,0),1)*(1+s1_kerroin*($C226-2019))*$B226,0)</f>
        <v>0</v>
      </c>
      <c r="F226" s="145">
        <f t="shared" si="58"/>
        <v>0</v>
      </c>
      <c r="G226" s="145">
        <f t="shared" si="64"/>
        <v>0</v>
      </c>
      <c r="H226" s="145">
        <f t="shared" si="65"/>
        <v>0</v>
      </c>
      <c r="I226" s="145">
        <f t="shared" si="59"/>
        <v>0</v>
      </c>
      <c r="J226" s="145">
        <f t="shared" si="60"/>
        <v>0</v>
      </c>
      <c r="K226" s="142" t="str">
        <f t="shared" si="66"/>
        <v>l</v>
      </c>
      <c r="L226" s="146">
        <f>IFERROR(INDEX(Työkonekanta!$I$3:$I$27,MATCH('S1 Sähkö'!$A226,Työkonekanta!$A$3:$A$24,0),1)*(I226+J226)*f_adblue,0)</f>
        <v>0</v>
      </c>
      <c r="M226" s="146">
        <f t="shared" si="71"/>
        <v>0</v>
      </c>
      <c r="N226" s="143" t="str">
        <f>IF(tuulisähkö_vuosi&lt;='S1 Sähkö'!C226,"tuulisähkö",ostosähkö_nyt)</f>
        <v>jäännössähkö</v>
      </c>
      <c r="O226" s="147">
        <f>INDEX(Muuttujat!$J$5:$J$21,MATCH($C226,Muuttujat!$H$5:$H$21,0),1)</f>
        <v>64.542936272148211</v>
      </c>
      <c r="P226" s="342">
        <f>1-(INDEX(Muuttujat!$O$5:$O$21,MATCH($C226,Muuttujat!$N$5:$N$21,0),1))</f>
        <v>0.92</v>
      </c>
      <c r="Q226" s="342">
        <f>INDEX(Muuttujat!$O$5:$O$21,MATCH($C226,Muuttujat!$N$5:$N$21,0),1)</f>
        <v>0.08</v>
      </c>
      <c r="R226" s="148">
        <f>INDEX(Muuttujat!$P$5:$P$21,MATCH($C226,Muuttujat!$N$5:$N$21,0),1)</f>
        <v>8.3420471452195388E-2</v>
      </c>
      <c r="S226" s="149">
        <f t="shared" si="61"/>
        <v>0</v>
      </c>
      <c r="T226" s="150">
        <f t="shared" si="62"/>
        <v>0</v>
      </c>
      <c r="U226" s="150">
        <f t="shared" si="63"/>
        <v>0</v>
      </c>
      <c r="V226" s="150">
        <f>IFERROR(INDEX(Työkonekanta!$J$3:$J$27,MATCH($A226,Työkonekanta!$A$3:$A$24,0),1)*$B226*ef_li_ion_akku/1000/1000/INDEX(Työkonekanta!$K$3:$K$27,MATCH($A226,Työkonekanta!$A$3:$A$24,0)),0)</f>
        <v>0</v>
      </c>
      <c r="W226" s="149">
        <f t="shared" si="72"/>
        <v>0</v>
      </c>
      <c r="X226" s="150">
        <f t="shared" si="73"/>
        <v>0</v>
      </c>
      <c r="Y226" s="151">
        <f t="shared" si="74"/>
        <v>0</v>
      </c>
      <c r="Z226" s="152">
        <f t="shared" si="67"/>
        <v>0</v>
      </c>
      <c r="AA226" s="153">
        <f t="shared" si="68"/>
        <v>0</v>
      </c>
      <c r="AB226" s="153">
        <f t="shared" si="69"/>
        <v>0</v>
      </c>
      <c r="AC226" s="154">
        <f t="shared" si="75"/>
        <v>0</v>
      </c>
      <c r="AD226" s="156">
        <f t="shared" si="70"/>
        <v>0</v>
      </c>
      <c r="AE226" s="182"/>
      <c r="AG226" s="2"/>
    </row>
    <row r="227" spans="1:37">
      <c r="A227" s="139">
        <v>15</v>
      </c>
      <c r="B227" s="139" cm="1">
        <f t="array" ref="B227">IFERROR(IF(A227=s1_id_korvattava1,INDEX($AG$3:$AG$19,MATCH(C227,$AF$3:$AF$19,0),1),IF(A227=s1_id_korvaava1,INDEX($AH$3:$AH$19,MATCH(C227,$AF$3:$AF$19,0),1),IF(A227=s1_id_korvattava2,INDEX($AI$3:$AI$19,MATCH(C227,$AF$3:$AF$19,0),1),IF(A227=s1_id_korvaava2,INDEX($AJ$3:$AJ$19,MATCH(C227,$AF$3:$AF$19,0),1),INDEX(Työkonekanta!$F$3:$F$27,MATCH('S1 Sähkö'!$A227,Työkonekanta!$A$3:$A$24,0),1))))),0)</f>
        <v>0</v>
      </c>
      <c r="C227" s="140">
        <v>2026</v>
      </c>
      <c r="D227" s="141" t="str">
        <f>IFERROR(INDEX(Työkonekanta!$D$3:$D$27,MATCH('S1 Sähkö'!$A227,Työkonekanta!$A$3:$A$24,0),1),"undefined")</f>
        <v>sähkö</v>
      </c>
      <c r="E227" s="145">
        <f>IFERROR(INDEX(Työkonekanta!$G$3:$G$27,MATCH($A227,Työkonekanta!$A$3:$A$24,0),1)*INDEX(Työkonekanta!$H$3:$H$27,MATCH($A227,Työkonekanta!$A$3:$A$24,0),1)*(1+s1_kerroin*($C227-2019))*$B227,0)</f>
        <v>0</v>
      </c>
      <c r="F227" s="145">
        <f t="shared" si="58"/>
        <v>0</v>
      </c>
      <c r="G227" s="145">
        <f t="shared" si="64"/>
        <v>0</v>
      </c>
      <c r="H227" s="145">
        <f t="shared" si="65"/>
        <v>0</v>
      </c>
      <c r="I227" s="145">
        <f t="shared" si="59"/>
        <v>0</v>
      </c>
      <c r="J227" s="145">
        <f t="shared" si="60"/>
        <v>0</v>
      </c>
      <c r="K227" s="142" t="str">
        <f t="shared" si="66"/>
        <v>kWh</v>
      </c>
      <c r="L227" s="146">
        <f>IFERROR(INDEX(Työkonekanta!$I$3:$I$27,MATCH('S1 Sähkö'!$A227,Työkonekanta!$A$3:$A$24,0),1)*(I227+J227)*f_adblue,0)</f>
        <v>0</v>
      </c>
      <c r="M227" s="146">
        <f t="shared" si="71"/>
        <v>0</v>
      </c>
      <c r="N227" s="143" t="str">
        <f>IF(tuulisähkö_vuosi&lt;='S1 Sähkö'!C227,"tuulisähkö",ostosähkö_nyt)</f>
        <v>jäännössähkö</v>
      </c>
      <c r="O227" s="147">
        <f>INDEX(Muuttujat!$J$5:$J$21,MATCH($C227,Muuttujat!$H$5:$H$21,0),1)</f>
        <v>64.542936272148211</v>
      </c>
      <c r="P227" s="342">
        <f>1-(INDEX(Muuttujat!$O$5:$O$21,MATCH($C227,Muuttujat!$N$5:$N$21,0),1))</f>
        <v>0.92</v>
      </c>
      <c r="Q227" s="342">
        <f>INDEX(Muuttujat!$O$5:$O$21,MATCH($C227,Muuttujat!$N$5:$N$21,0),1)</f>
        <v>0.08</v>
      </c>
      <c r="R227" s="148">
        <f>INDEX(Muuttujat!$P$5:$P$21,MATCH($C227,Muuttujat!$N$5:$N$21,0),1)</f>
        <v>8.3420471452195388E-2</v>
      </c>
      <c r="S227" s="149">
        <f t="shared" si="61"/>
        <v>0</v>
      </c>
      <c r="T227" s="150">
        <f t="shared" si="62"/>
        <v>0</v>
      </c>
      <c r="U227" s="150">
        <f t="shared" si="63"/>
        <v>0</v>
      </c>
      <c r="V227" s="150">
        <f>IFERROR(INDEX(Työkonekanta!$J$3:$J$27,MATCH($A227,Työkonekanta!$A$3:$A$24,0),1)*$B227*ef_li_ion_akku/1000/1000/INDEX(Työkonekanta!$K$3:$K$27,MATCH($A227,Työkonekanta!$A$3:$A$24,0)),0)</f>
        <v>0</v>
      </c>
      <c r="W227" s="149">
        <f t="shared" si="72"/>
        <v>0</v>
      </c>
      <c r="X227" s="150">
        <f t="shared" si="73"/>
        <v>0</v>
      </c>
      <c r="Y227" s="151">
        <f t="shared" si="74"/>
        <v>0</v>
      </c>
      <c r="Z227" s="152">
        <f t="shared" si="67"/>
        <v>0</v>
      </c>
      <c r="AA227" s="153">
        <f t="shared" si="68"/>
        <v>0</v>
      </c>
      <c r="AB227" s="153">
        <f t="shared" si="69"/>
        <v>0</v>
      </c>
      <c r="AC227" s="154">
        <f t="shared" si="75"/>
        <v>0</v>
      </c>
      <c r="AD227" s="156">
        <f t="shared" si="70"/>
        <v>0</v>
      </c>
      <c r="AE227" s="182"/>
      <c r="AG227" s="2"/>
    </row>
    <row r="228" spans="1:37">
      <c r="A228" s="139">
        <v>16</v>
      </c>
      <c r="B228" s="139" cm="1">
        <f t="array" ref="B228">IFERROR(IF(A228=s1_id_korvattava1,INDEX($AG$3:$AG$19,MATCH(C228,$AF$3:$AF$19,0),1),IF(A228=s1_id_korvaava1,INDEX($AH$3:$AH$19,MATCH(C228,$AF$3:$AF$19,0),1),IF(A228=s1_id_korvattava2,INDEX($AI$3:$AI$19,MATCH(C228,$AF$3:$AF$19,0),1),IF(A228=s1_id_korvaava2,INDEX($AJ$3:$AJ$19,MATCH(C228,$AF$3:$AF$19,0),1),INDEX(Työkonekanta!$F$3:$F$27,MATCH('S1 Sähkö'!$A228,Työkonekanta!$A$3:$A$24,0),1))))),0)</f>
        <v>0</v>
      </c>
      <c r="C228" s="140">
        <v>2026</v>
      </c>
      <c r="D228" s="141" t="str">
        <f>IFERROR(INDEX(Työkonekanta!$D$3:$D$27,MATCH('S1 Sähkö'!$A228,Työkonekanta!$A$3:$A$24,0),1),"undefined")</f>
        <v>sähkö</v>
      </c>
      <c r="E228" s="145">
        <f>IFERROR(INDEX(Työkonekanta!$G$3:$G$27,MATCH($A228,Työkonekanta!$A$3:$A$24,0),1)*INDEX(Työkonekanta!$H$3:$H$27,MATCH($A228,Työkonekanta!$A$3:$A$24,0),1)*(1+s1_kerroin*($C228-2019))*$B228,0)</f>
        <v>0</v>
      </c>
      <c r="F228" s="145">
        <f t="shared" si="58"/>
        <v>0</v>
      </c>
      <c r="G228" s="145">
        <f t="shared" si="64"/>
        <v>0</v>
      </c>
      <c r="H228" s="145">
        <f t="shared" si="65"/>
        <v>0</v>
      </c>
      <c r="I228" s="145">
        <f t="shared" si="59"/>
        <v>0</v>
      </c>
      <c r="J228" s="145">
        <f t="shared" si="60"/>
        <v>0</v>
      </c>
      <c r="K228" s="142" t="str">
        <f t="shared" si="66"/>
        <v>kWh</v>
      </c>
      <c r="L228" s="146">
        <f>IFERROR(INDEX(Työkonekanta!$I$3:$I$27,MATCH('S1 Sähkö'!$A228,Työkonekanta!$A$3:$A$24,0),1)*(I228+J228)*f_adblue,0)</f>
        <v>0</v>
      </c>
      <c r="M228" s="146">
        <f t="shared" si="71"/>
        <v>0</v>
      </c>
      <c r="N228" s="143" t="str">
        <f>IF(tuulisähkö_vuosi&lt;='S1 Sähkö'!C228,"tuulisähkö",ostosähkö_nyt)</f>
        <v>jäännössähkö</v>
      </c>
      <c r="O228" s="147">
        <f>INDEX(Muuttujat!$J$5:$J$21,MATCH($C228,Muuttujat!$H$5:$H$21,0),1)</f>
        <v>64.542936272148211</v>
      </c>
      <c r="P228" s="342">
        <f>1-(INDEX(Muuttujat!$O$5:$O$21,MATCH($C228,Muuttujat!$N$5:$N$21,0),1))</f>
        <v>0.92</v>
      </c>
      <c r="Q228" s="342">
        <f>INDEX(Muuttujat!$O$5:$O$21,MATCH($C228,Muuttujat!$N$5:$N$21,0),1)</f>
        <v>0.08</v>
      </c>
      <c r="R228" s="148">
        <f>INDEX(Muuttujat!$P$5:$P$21,MATCH($C228,Muuttujat!$N$5:$N$21,0),1)</f>
        <v>8.3420471452195388E-2</v>
      </c>
      <c r="S228" s="149">
        <f t="shared" si="61"/>
        <v>0</v>
      </c>
      <c r="T228" s="150">
        <f t="shared" si="62"/>
        <v>0</v>
      </c>
      <c r="U228" s="150">
        <f t="shared" si="63"/>
        <v>0</v>
      </c>
      <c r="V228" s="150">
        <f>IFERROR(INDEX(Työkonekanta!$J$3:$J$27,MATCH($A228,Työkonekanta!$A$3:$A$24,0),1)*$B228*ef_li_ion_akku/1000/1000/INDEX(Työkonekanta!$K$3:$K$27,MATCH($A228,Työkonekanta!$A$3:$A$24,0)),0)</f>
        <v>0</v>
      </c>
      <c r="W228" s="149">
        <f t="shared" si="72"/>
        <v>0</v>
      </c>
      <c r="X228" s="150">
        <f t="shared" si="73"/>
        <v>0</v>
      </c>
      <c r="Y228" s="151">
        <f t="shared" si="74"/>
        <v>0</v>
      </c>
      <c r="Z228" s="152">
        <f t="shared" si="67"/>
        <v>0</v>
      </c>
      <c r="AA228" s="153">
        <f t="shared" si="68"/>
        <v>0</v>
      </c>
      <c r="AB228" s="153">
        <f t="shared" si="69"/>
        <v>0</v>
      </c>
      <c r="AC228" s="154">
        <f t="shared" si="75"/>
        <v>0</v>
      </c>
      <c r="AD228" s="156">
        <f t="shared" si="70"/>
        <v>0</v>
      </c>
      <c r="AE228" s="182"/>
      <c r="AG228" s="2"/>
    </row>
    <row r="229" spans="1:37">
      <c r="A229" s="139">
        <v>17</v>
      </c>
      <c r="B229" s="139" cm="1">
        <f t="array" ref="B229">IFERROR(IF(A229=s1_id_korvattava1,INDEX($AG$3:$AG$19,MATCH(C229,$AF$3:$AF$19,0),1),IF(A229=s1_id_korvaava1,INDEX($AH$3:$AH$19,MATCH(C229,$AF$3:$AF$19,0),1),IF(A229=s1_id_korvattava2,INDEX($AI$3:$AI$19,MATCH(C229,$AF$3:$AF$19,0),1),IF(A229=s1_id_korvaava2,INDEX($AJ$3:$AJ$19,MATCH(C229,$AF$3:$AF$19,0),1),INDEX(Työkonekanta!$F$3:$F$27,MATCH('S1 Sähkö'!$A229,Työkonekanta!$A$3:$A$24,0),1))))),0)</f>
        <v>0</v>
      </c>
      <c r="C229" s="140">
        <v>2026</v>
      </c>
      <c r="D229" s="141" t="str">
        <f>IFERROR(INDEX(Työkonekanta!$D$3:$D$27,MATCH('S1 Sähkö'!$A229,Työkonekanta!$A$3:$A$24,0),1),"undefined")</f>
        <v>pom</v>
      </c>
      <c r="E229" s="145">
        <f>IFERROR(INDEX(Työkonekanta!$G$3:$G$27,MATCH($A229,Työkonekanta!$A$3:$A$24,0),1)*INDEX(Työkonekanta!$H$3:$H$27,MATCH($A229,Työkonekanta!$A$3:$A$24,0),1)*(1+s1_kerroin*($C229-2019))*$B229,0)</f>
        <v>0</v>
      </c>
      <c r="F229" s="145">
        <f t="shared" si="58"/>
        <v>0</v>
      </c>
      <c r="G229" s="145">
        <f t="shared" si="64"/>
        <v>0</v>
      </c>
      <c r="H229" s="145">
        <f t="shared" si="65"/>
        <v>0</v>
      </c>
      <c r="I229" s="145">
        <f t="shared" si="59"/>
        <v>0</v>
      </c>
      <c r="J229" s="145">
        <f t="shared" si="60"/>
        <v>0</v>
      </c>
      <c r="K229" s="142" t="str">
        <f t="shared" si="66"/>
        <v>l</v>
      </c>
      <c r="L229" s="146">
        <f>IFERROR(INDEX(Työkonekanta!$I$3:$I$27,MATCH('S1 Sähkö'!$A229,Työkonekanta!$A$3:$A$24,0),1)*(I229+J229)*f_adblue,0)</f>
        <v>0</v>
      </c>
      <c r="M229" s="146">
        <f t="shared" si="71"/>
        <v>0</v>
      </c>
      <c r="N229" s="143" t="str">
        <f>IF(tuulisähkö_vuosi&lt;='S1 Sähkö'!C229,"tuulisähkö",ostosähkö_nyt)</f>
        <v>jäännössähkö</v>
      </c>
      <c r="O229" s="147">
        <f>INDEX(Muuttujat!$J$5:$J$21,MATCH($C229,Muuttujat!$H$5:$H$21,0),1)</f>
        <v>64.542936272148211</v>
      </c>
      <c r="P229" s="342">
        <f>1-(INDEX(Muuttujat!$O$5:$O$21,MATCH($C229,Muuttujat!$N$5:$N$21,0),1))</f>
        <v>0.92</v>
      </c>
      <c r="Q229" s="342">
        <f>INDEX(Muuttujat!$O$5:$O$21,MATCH($C229,Muuttujat!$N$5:$N$21,0),1)</f>
        <v>0.08</v>
      </c>
      <c r="R229" s="148">
        <f>INDEX(Muuttujat!$P$5:$P$21,MATCH($C229,Muuttujat!$N$5:$N$21,0),1)</f>
        <v>8.3420471452195388E-2</v>
      </c>
      <c r="S229" s="149">
        <f t="shared" si="61"/>
        <v>0</v>
      </c>
      <c r="T229" s="150">
        <f t="shared" si="62"/>
        <v>0</v>
      </c>
      <c r="U229" s="150">
        <f t="shared" si="63"/>
        <v>0</v>
      </c>
      <c r="V229" s="150">
        <f>IFERROR(INDEX(Työkonekanta!$J$3:$J$27,MATCH($A229,Työkonekanta!$A$3:$A$24,0),1)*$B229*ef_li_ion_akku/1000/1000/INDEX(Työkonekanta!$K$3:$K$27,MATCH($A229,Työkonekanta!$A$3:$A$24,0)),0)</f>
        <v>0</v>
      </c>
      <c r="W229" s="149">
        <f t="shared" si="72"/>
        <v>0</v>
      </c>
      <c r="X229" s="150">
        <f t="shared" si="73"/>
        <v>0</v>
      </c>
      <c r="Y229" s="151">
        <f t="shared" si="74"/>
        <v>0</v>
      </c>
      <c r="Z229" s="152">
        <f t="shared" si="67"/>
        <v>0</v>
      </c>
      <c r="AA229" s="153">
        <f t="shared" si="68"/>
        <v>0</v>
      </c>
      <c r="AB229" s="153">
        <f t="shared" si="69"/>
        <v>0</v>
      </c>
      <c r="AC229" s="154">
        <f t="shared" si="75"/>
        <v>0</v>
      </c>
      <c r="AD229" s="156">
        <f t="shared" si="70"/>
        <v>0</v>
      </c>
      <c r="AE229" s="182"/>
      <c r="AG229" s="2"/>
    </row>
    <row r="230" spans="1:37">
      <c r="A230" s="139">
        <v>18</v>
      </c>
      <c r="B230" s="139" cm="1">
        <f t="array" ref="B230">IFERROR(IF(A230=s1_id_korvattava1,INDEX($AG$3:$AG$19,MATCH(C230,$AF$3:$AF$19,0),1),IF(A230=s1_id_korvaava1,INDEX($AH$3:$AH$19,MATCH(C230,$AF$3:$AF$19,0),1),IF(A230=s1_id_korvattava2,INDEX($AI$3:$AI$19,MATCH(C230,$AF$3:$AF$19,0),1),IF(A230=s1_id_korvaava2,INDEX($AJ$3:$AJ$19,MATCH(C230,$AF$3:$AF$19,0),1),INDEX(Työkonekanta!$F$3:$F$27,MATCH('S1 Sähkö'!$A230,Työkonekanta!$A$3:$A$24,0),1))))),0)</f>
        <v>0</v>
      </c>
      <c r="C230" s="140">
        <v>2026</v>
      </c>
      <c r="D230" s="141" t="str">
        <f>IFERROR(INDEX(Työkonekanta!$D$3:$D$27,MATCH('S1 Sähkö'!$A230,Työkonekanta!$A$3:$A$24,0),1),"undefined")</f>
        <v>pom</v>
      </c>
      <c r="E230" s="145">
        <f>IFERROR(INDEX(Työkonekanta!$G$3:$G$27,MATCH($A230,Työkonekanta!$A$3:$A$24,0),1)*INDEX(Työkonekanta!$H$3:$H$27,MATCH($A230,Työkonekanta!$A$3:$A$24,0),1)*(1+s1_kerroin*($C230-2019))*$B230,0)</f>
        <v>0</v>
      </c>
      <c r="F230" s="145">
        <f t="shared" si="58"/>
        <v>0</v>
      </c>
      <c r="G230" s="145">
        <f t="shared" si="64"/>
        <v>0</v>
      </c>
      <c r="H230" s="145">
        <f t="shared" si="65"/>
        <v>0</v>
      </c>
      <c r="I230" s="145">
        <f t="shared" si="59"/>
        <v>0</v>
      </c>
      <c r="J230" s="145">
        <f t="shared" si="60"/>
        <v>0</v>
      </c>
      <c r="K230" s="142" t="str">
        <f t="shared" si="66"/>
        <v>l</v>
      </c>
      <c r="L230" s="146">
        <f>IFERROR(INDEX(Työkonekanta!$I$3:$I$27,MATCH('S1 Sähkö'!$A230,Työkonekanta!$A$3:$A$24,0),1)*(I230+J230)*f_adblue,0)</f>
        <v>0</v>
      </c>
      <c r="M230" s="146">
        <f t="shared" si="71"/>
        <v>0</v>
      </c>
      <c r="N230" s="143" t="str">
        <f>IF(tuulisähkö_vuosi&lt;='S1 Sähkö'!C230,"tuulisähkö",ostosähkö_nyt)</f>
        <v>jäännössähkö</v>
      </c>
      <c r="O230" s="147">
        <f>INDEX(Muuttujat!$J$5:$J$21,MATCH($C230,Muuttujat!$H$5:$H$21,0),1)</f>
        <v>64.542936272148211</v>
      </c>
      <c r="P230" s="342">
        <f>1-(INDEX(Muuttujat!$O$5:$O$21,MATCH($C230,Muuttujat!$N$5:$N$21,0),1))</f>
        <v>0.92</v>
      </c>
      <c r="Q230" s="342">
        <f>INDEX(Muuttujat!$O$5:$O$21,MATCH($C230,Muuttujat!$N$5:$N$21,0),1)</f>
        <v>0.08</v>
      </c>
      <c r="R230" s="148">
        <f>INDEX(Muuttujat!$P$5:$P$21,MATCH($C230,Muuttujat!$N$5:$N$21,0),1)</f>
        <v>8.3420471452195388E-2</v>
      </c>
      <c r="S230" s="149">
        <f t="shared" si="61"/>
        <v>0</v>
      </c>
      <c r="T230" s="150">
        <f t="shared" si="62"/>
        <v>0</v>
      </c>
      <c r="U230" s="150">
        <f t="shared" si="63"/>
        <v>0</v>
      </c>
      <c r="V230" s="150">
        <f>IFERROR(INDEX(Työkonekanta!$J$3:$J$27,MATCH($A230,Työkonekanta!$A$3:$A$24,0),1)*$B230*ef_li_ion_akku/1000/1000/INDEX(Työkonekanta!$K$3:$K$27,MATCH($A230,Työkonekanta!$A$3:$A$24,0)),0)</f>
        <v>0</v>
      </c>
      <c r="W230" s="149">
        <f t="shared" si="72"/>
        <v>0</v>
      </c>
      <c r="X230" s="150">
        <f t="shared" si="73"/>
        <v>0</v>
      </c>
      <c r="Y230" s="151">
        <f t="shared" si="74"/>
        <v>0</v>
      </c>
      <c r="Z230" s="152">
        <f t="shared" si="67"/>
        <v>0</v>
      </c>
      <c r="AA230" s="153">
        <f t="shared" si="68"/>
        <v>0</v>
      </c>
      <c r="AB230" s="153">
        <f t="shared" si="69"/>
        <v>0</v>
      </c>
      <c r="AC230" s="154">
        <f t="shared" si="75"/>
        <v>0</v>
      </c>
      <c r="AD230" s="156">
        <f t="shared" si="70"/>
        <v>0</v>
      </c>
      <c r="AE230" s="182"/>
      <c r="AG230" s="2"/>
    </row>
    <row r="231" spans="1:37">
      <c r="A231" s="139">
        <v>19</v>
      </c>
      <c r="B231" s="139" cm="1">
        <f t="array" ref="B231">IFERROR(IF(A231=s1_id_korvattava1,INDEX($AG$3:$AG$19,MATCH(C231,$AF$3:$AF$19,0),1),IF(A231=s1_id_korvaava1,INDEX($AH$3:$AH$19,MATCH(C231,$AF$3:$AF$19,0),1),IF(A231=s1_id_korvattava2,INDEX($AI$3:$AI$19,MATCH(C231,$AF$3:$AF$19,0),1),IF(A231=s1_id_korvaava2,INDEX($AJ$3:$AJ$19,MATCH(C231,$AF$3:$AF$19,0),1),INDEX(Työkonekanta!$F$3:$F$27,MATCH('S1 Sähkö'!$A231,Työkonekanta!$A$3:$A$24,0),1))))),0)</f>
        <v>0</v>
      </c>
      <c r="C231" s="140">
        <v>2026</v>
      </c>
      <c r="D231" s="141" t="str">
        <f>IFERROR(INDEX(Työkonekanta!$D$3:$D$27,MATCH('S1 Sähkö'!$A231,Työkonekanta!$A$3:$A$24,0),1),"undefined")</f>
        <v>pom</v>
      </c>
      <c r="E231" s="145">
        <f>IFERROR(INDEX(Työkonekanta!$G$3:$G$27,MATCH($A231,Työkonekanta!$A$3:$A$24,0),1)*INDEX(Työkonekanta!$H$3:$H$27,MATCH($A231,Työkonekanta!$A$3:$A$24,0),1)*(1+s1_kerroin*($C231-2019))*$B231,0)</f>
        <v>0</v>
      </c>
      <c r="F231" s="145">
        <f t="shared" si="58"/>
        <v>0</v>
      </c>
      <c r="G231" s="145">
        <f t="shared" si="64"/>
        <v>0</v>
      </c>
      <c r="H231" s="145">
        <f t="shared" si="65"/>
        <v>0</v>
      </c>
      <c r="I231" s="145">
        <f t="shared" si="59"/>
        <v>0</v>
      </c>
      <c r="J231" s="145">
        <f t="shared" si="60"/>
        <v>0</v>
      </c>
      <c r="K231" s="142" t="str">
        <f t="shared" si="66"/>
        <v>l</v>
      </c>
      <c r="L231" s="146">
        <f>IFERROR(INDEX(Työkonekanta!$I$3:$I$27,MATCH('S1 Sähkö'!$A231,Työkonekanta!$A$3:$A$24,0),1)*(I231+J231)*f_adblue,0)</f>
        <v>0</v>
      </c>
      <c r="M231" s="146">
        <f t="shared" si="71"/>
        <v>0</v>
      </c>
      <c r="N231" s="143" t="str">
        <f>IF(tuulisähkö_vuosi&lt;='S1 Sähkö'!C231,"tuulisähkö",ostosähkö_nyt)</f>
        <v>jäännössähkö</v>
      </c>
      <c r="O231" s="147">
        <f>INDEX(Muuttujat!$J$5:$J$21,MATCH($C231,Muuttujat!$H$5:$H$21,0),1)</f>
        <v>64.542936272148211</v>
      </c>
      <c r="P231" s="342">
        <f>1-(INDEX(Muuttujat!$O$5:$O$21,MATCH($C231,Muuttujat!$N$5:$N$21,0),1))</f>
        <v>0.92</v>
      </c>
      <c r="Q231" s="342">
        <f>INDEX(Muuttujat!$O$5:$O$21,MATCH($C231,Muuttujat!$N$5:$N$21,0),1)</f>
        <v>0.08</v>
      </c>
      <c r="R231" s="148">
        <f>INDEX(Muuttujat!$P$5:$P$21,MATCH($C231,Muuttujat!$N$5:$N$21,0),1)</f>
        <v>8.3420471452195388E-2</v>
      </c>
      <c r="S231" s="149">
        <f t="shared" si="61"/>
        <v>0</v>
      </c>
      <c r="T231" s="150">
        <f t="shared" si="62"/>
        <v>0</v>
      </c>
      <c r="U231" s="150">
        <f t="shared" si="63"/>
        <v>0</v>
      </c>
      <c r="V231" s="150">
        <f>IFERROR(INDEX(Työkonekanta!$J$3:$J$27,MATCH($A231,Työkonekanta!$A$3:$A$24,0),1)*$B231*ef_li_ion_akku/1000/1000/INDEX(Työkonekanta!$K$3:$K$27,MATCH($A231,Työkonekanta!$A$3:$A$24,0)),0)</f>
        <v>0</v>
      </c>
      <c r="W231" s="149">
        <f t="shared" si="72"/>
        <v>0</v>
      </c>
      <c r="X231" s="150">
        <f t="shared" si="73"/>
        <v>0</v>
      </c>
      <c r="Y231" s="151">
        <f t="shared" si="74"/>
        <v>0</v>
      </c>
      <c r="Z231" s="152">
        <f t="shared" si="67"/>
        <v>0</v>
      </c>
      <c r="AA231" s="153">
        <f t="shared" si="68"/>
        <v>0</v>
      </c>
      <c r="AB231" s="153">
        <f t="shared" si="69"/>
        <v>0</v>
      </c>
      <c r="AC231" s="154">
        <f t="shared" si="75"/>
        <v>0</v>
      </c>
      <c r="AD231" s="156">
        <f t="shared" si="70"/>
        <v>0</v>
      </c>
      <c r="AE231" s="182"/>
      <c r="AG231" s="2"/>
    </row>
    <row r="232" spans="1:37">
      <c r="A232" s="139">
        <v>20</v>
      </c>
      <c r="B232" s="139" cm="1">
        <f t="array" ref="B232">IFERROR(IF(A232=s1_id_korvattava1,INDEX($AG$3:$AG$19,MATCH(C232,$AF$3:$AF$19,0),1),IF(A232=s1_id_korvaava1,INDEX($AH$3:$AH$19,MATCH(C232,$AF$3:$AF$19,0),1),IF(A232=s1_id_korvattava2,INDEX($AI$3:$AI$19,MATCH(C232,$AF$3:$AF$19,0),1),IF(A232=s1_id_korvaava2,INDEX($AJ$3:$AJ$19,MATCH(C232,$AF$3:$AF$19,0),1),INDEX(Työkonekanta!$F$3:$F$27,MATCH('S1 Sähkö'!$A232,Työkonekanta!$A$3:$A$24,0),1))))),0)</f>
        <v>0</v>
      </c>
      <c r="C232" s="140">
        <v>2026</v>
      </c>
      <c r="D232" s="141" t="str">
        <f>IFERROR(INDEX(Työkonekanta!$D$3:$D$27,MATCH('S1 Sähkö'!$A232,Työkonekanta!$A$3:$A$24,0),1),"undefined")</f>
        <v>pom</v>
      </c>
      <c r="E232" s="145">
        <f>IFERROR(INDEX(Työkonekanta!$G$3:$G$27,MATCH($A232,Työkonekanta!$A$3:$A$24,0),1)*INDEX(Työkonekanta!$H$3:$H$27,MATCH($A232,Työkonekanta!$A$3:$A$24,0),1)*(1+s1_kerroin*($C232-2019))*$B232,0)</f>
        <v>0</v>
      </c>
      <c r="F232" s="145">
        <f t="shared" si="58"/>
        <v>0</v>
      </c>
      <c r="G232" s="145">
        <f t="shared" si="64"/>
        <v>0</v>
      </c>
      <c r="H232" s="145">
        <f t="shared" si="65"/>
        <v>0</v>
      </c>
      <c r="I232" s="145">
        <f t="shared" si="59"/>
        <v>0</v>
      </c>
      <c r="J232" s="145">
        <f t="shared" si="60"/>
        <v>0</v>
      </c>
      <c r="K232" s="142" t="str">
        <f t="shared" si="66"/>
        <v>l</v>
      </c>
      <c r="L232" s="146">
        <f>IFERROR(INDEX(Työkonekanta!$I$3:$I$27,MATCH('S1 Sähkö'!$A232,Työkonekanta!$A$3:$A$24,0),1)*(I232+J232)*f_adblue,0)</f>
        <v>0</v>
      </c>
      <c r="M232" s="146">
        <f t="shared" si="71"/>
        <v>0</v>
      </c>
      <c r="N232" s="143" t="str">
        <f>IF(tuulisähkö_vuosi&lt;='S1 Sähkö'!C232,"tuulisähkö",ostosähkö_nyt)</f>
        <v>jäännössähkö</v>
      </c>
      <c r="O232" s="147">
        <f>INDEX(Muuttujat!$J$5:$J$21,MATCH($C232,Muuttujat!$H$5:$H$21,0),1)</f>
        <v>64.542936272148211</v>
      </c>
      <c r="P232" s="342">
        <f>1-(INDEX(Muuttujat!$O$5:$O$21,MATCH($C232,Muuttujat!$N$5:$N$21,0),1))</f>
        <v>0.92</v>
      </c>
      <c r="Q232" s="342">
        <f>INDEX(Muuttujat!$O$5:$O$21,MATCH($C232,Muuttujat!$N$5:$N$21,0),1)</f>
        <v>0.08</v>
      </c>
      <c r="R232" s="148">
        <f>INDEX(Muuttujat!$P$5:$P$21,MATCH($C232,Muuttujat!$N$5:$N$21,0),1)</f>
        <v>8.3420471452195388E-2</v>
      </c>
      <c r="S232" s="149">
        <f t="shared" si="61"/>
        <v>0</v>
      </c>
      <c r="T232" s="150">
        <f t="shared" si="62"/>
        <v>0</v>
      </c>
      <c r="U232" s="150">
        <f t="shared" si="63"/>
        <v>0</v>
      </c>
      <c r="V232" s="150">
        <f>IFERROR(INDEX(Työkonekanta!$J$3:$J$27,MATCH($A232,Työkonekanta!$A$3:$A$24,0),1)*$B232*ef_li_ion_akku/1000/1000/INDEX(Työkonekanta!$K$3:$K$27,MATCH($A232,Työkonekanta!$A$3:$A$24,0)),0)</f>
        <v>0</v>
      </c>
      <c r="W232" s="149">
        <f t="shared" si="72"/>
        <v>0</v>
      </c>
      <c r="X232" s="150">
        <f t="shared" si="73"/>
        <v>0</v>
      </c>
      <c r="Y232" s="151">
        <f t="shared" si="74"/>
        <v>0</v>
      </c>
      <c r="Z232" s="152">
        <f t="shared" si="67"/>
        <v>0</v>
      </c>
      <c r="AA232" s="153">
        <f t="shared" si="68"/>
        <v>0</v>
      </c>
      <c r="AB232" s="153">
        <f t="shared" si="69"/>
        <v>0</v>
      </c>
      <c r="AC232" s="154">
        <f t="shared" si="75"/>
        <v>0</v>
      </c>
      <c r="AD232" s="156">
        <f t="shared" si="70"/>
        <v>0</v>
      </c>
      <c r="AE232" s="182"/>
      <c r="AG232" s="2"/>
    </row>
    <row r="233" spans="1:37">
      <c r="A233" s="139">
        <v>21</v>
      </c>
      <c r="B233" s="139" cm="1">
        <f t="array" ref="B233">IFERROR(IF(A233=s1_id_korvattava1,INDEX($AG$3:$AG$19,MATCH(C233,$AF$3:$AF$19,0),1),IF(A233=s1_id_korvaava1,INDEX($AH$3:$AH$19,MATCH(C233,$AF$3:$AF$19,0),1),IF(A233=s1_id_korvattava2,INDEX($AI$3:$AI$19,MATCH(C233,$AF$3:$AF$19,0),1),IF(A233=s1_id_korvaava2,INDEX($AJ$3:$AJ$19,MATCH(C233,$AF$3:$AF$19,0),1),INDEX(Työkonekanta!$F$3:$F$27,MATCH('S1 Sähkö'!$A233,Työkonekanta!$A$3:$A$24,0),1))))),0)</f>
        <v>36</v>
      </c>
      <c r="C233" s="140">
        <v>2026</v>
      </c>
      <c r="D233" s="141" t="str">
        <f>IFERROR(INDEX(Työkonekanta!$D$3:$D$27,MATCH('S1 Sähkö'!$A233,Työkonekanta!$A$3:$A$24,0),1),"undefined")</f>
        <v>sähkö</v>
      </c>
      <c r="E233" s="145">
        <f>IFERROR(INDEX(Työkonekanta!$G$3:$G$27,MATCH($A233,Työkonekanta!$A$3:$A$24,0),1)*INDEX(Työkonekanta!$H$3:$H$27,MATCH($A233,Työkonekanta!$A$3:$A$24,0),1)*(1+s1_kerroin*($C233-2019))*$B233,0)</f>
        <v>448151.66666666674</v>
      </c>
      <c r="F233" s="145">
        <f t="shared" si="58"/>
        <v>0</v>
      </c>
      <c r="G233" s="145">
        <f t="shared" si="64"/>
        <v>0</v>
      </c>
      <c r="H233" s="145">
        <f t="shared" si="65"/>
        <v>0</v>
      </c>
      <c r="I233" s="145">
        <f t="shared" si="59"/>
        <v>0</v>
      </c>
      <c r="J233" s="145">
        <f t="shared" si="60"/>
        <v>0</v>
      </c>
      <c r="K233" s="142" t="str">
        <f t="shared" si="66"/>
        <v>kWh</v>
      </c>
      <c r="L233" s="146">
        <f>IFERROR(INDEX(Työkonekanta!$I$3:$I$27,MATCH('S1 Sähkö'!$A233,Työkonekanta!$A$3:$A$24,0),1)*(I233+J233)*f_adblue,0)</f>
        <v>0</v>
      </c>
      <c r="M233" s="146">
        <f t="shared" si="71"/>
        <v>1613346.0000000002</v>
      </c>
      <c r="N233" s="143" t="str">
        <f>IF(tuulisähkö_vuosi&lt;='S1 Sähkö'!C233,"tuulisähkö",ostosähkö_nyt)</f>
        <v>jäännössähkö</v>
      </c>
      <c r="O233" s="147">
        <f>INDEX(Muuttujat!$J$5:$J$21,MATCH($C233,Muuttujat!$H$5:$H$21,0),1)</f>
        <v>64.542936272148211</v>
      </c>
      <c r="P233" s="342">
        <f>1-(INDEX(Muuttujat!$O$5:$O$21,MATCH($C233,Muuttujat!$N$5:$N$21,0),1))</f>
        <v>0.92</v>
      </c>
      <c r="Q233" s="342">
        <f>INDEX(Muuttujat!$O$5:$O$21,MATCH($C233,Muuttujat!$N$5:$N$21,0),1)</f>
        <v>0.08</v>
      </c>
      <c r="R233" s="148">
        <f>INDEX(Muuttujat!$P$5:$P$21,MATCH($C233,Muuttujat!$N$5:$N$21,0),1)</f>
        <v>8.3420471452195388E-2</v>
      </c>
      <c r="S233" s="149">
        <f t="shared" si="61"/>
        <v>0</v>
      </c>
      <c r="T233" s="150">
        <f t="shared" si="62"/>
        <v>0</v>
      </c>
      <c r="U233" s="150">
        <f t="shared" si="63"/>
        <v>104.13008806292525</v>
      </c>
      <c r="V233" s="150">
        <f>IFERROR(INDEX(Työkonekanta!$J$3:$J$27,MATCH($A233,Työkonekanta!$A$3:$A$24,0),1)*$B233*ef_li_ion_akku/1000/1000/INDEX(Työkonekanta!$K$3:$K$27,MATCH($A233,Työkonekanta!$A$3:$A$24,0)),0)</f>
        <v>44.353772307692303</v>
      </c>
      <c r="W233" s="149">
        <f t="shared" si="72"/>
        <v>0</v>
      </c>
      <c r="X233" s="150">
        <f t="shared" si="73"/>
        <v>0</v>
      </c>
      <c r="Y233" s="151">
        <f t="shared" si="74"/>
        <v>0</v>
      </c>
      <c r="Z233" s="152">
        <f t="shared" si="67"/>
        <v>148.48386037061755</v>
      </c>
      <c r="AA233" s="153">
        <f t="shared" si="68"/>
        <v>0</v>
      </c>
      <c r="AB233" s="153">
        <f t="shared" si="69"/>
        <v>0</v>
      </c>
      <c r="AC233" s="154">
        <f t="shared" si="75"/>
        <v>148.48386037061755</v>
      </c>
      <c r="AD233" s="156">
        <f t="shared" si="70"/>
        <v>148.48386037061755</v>
      </c>
      <c r="AE233" s="182"/>
      <c r="AG233" s="2"/>
    </row>
    <row r="234" spans="1:37">
      <c r="A234" s="139">
        <v>22</v>
      </c>
      <c r="B234" s="139" cm="1">
        <f t="array" ref="B234">IFERROR(IF(A234=s1_id_korvattava1,INDEX($AG$3:$AG$19,MATCH(C234,$AF$3:$AF$19,0),1),IF(A234=s1_id_korvaava1,INDEX($AH$3:$AH$19,MATCH(C234,$AF$3:$AF$19,0),1),IF(A234=s1_id_korvattava2,INDEX($AI$3:$AI$19,MATCH(C234,$AF$3:$AF$19,0),1),IF(A234=s1_id_korvaava2,INDEX($AJ$3:$AJ$19,MATCH(C234,$AF$3:$AF$19,0),1),INDEX(Työkonekanta!$F$3:$F$27,MATCH('S1 Sähkö'!$A234,Työkonekanta!$A$3:$A$24,0),1))))),0)</f>
        <v>1</v>
      </c>
      <c r="C234" s="140">
        <v>2026</v>
      </c>
      <c r="D234" s="141" t="str">
        <f>IFERROR(INDEX(Työkonekanta!$D$3:$D$27,MATCH('S1 Sähkö'!$A234,Työkonekanta!$A$3:$A$24,0),1),"undefined")</f>
        <v>sähkö</v>
      </c>
      <c r="E234" s="145">
        <f>IFERROR(INDEX(Työkonekanta!$G$3:$G$27,MATCH($A234,Työkonekanta!$A$3:$A$24,0),1)*INDEX(Työkonekanta!$H$3:$H$27,MATCH($A234,Työkonekanta!$A$3:$A$24,0),1)*(1+s1_kerroin*($C234-2019))*$B234,0)</f>
        <v>47660.574074074073</v>
      </c>
      <c r="F234" s="145">
        <f t="shared" si="58"/>
        <v>0</v>
      </c>
      <c r="G234" s="145">
        <f t="shared" si="64"/>
        <v>0</v>
      </c>
      <c r="H234" s="145">
        <f t="shared" si="65"/>
        <v>0</v>
      </c>
      <c r="I234" s="145">
        <f t="shared" si="59"/>
        <v>0</v>
      </c>
      <c r="J234" s="145">
        <f t="shared" si="60"/>
        <v>0</v>
      </c>
      <c r="K234" s="142" t="str">
        <f t="shared" si="66"/>
        <v>kWh</v>
      </c>
      <c r="L234" s="146">
        <f>IFERROR(INDEX(Työkonekanta!$I$3:$I$27,MATCH('S1 Sähkö'!$A234,Työkonekanta!$A$3:$A$24,0),1)*(I234+J234)*f_adblue,0)</f>
        <v>0</v>
      </c>
      <c r="M234" s="146">
        <f t="shared" si="71"/>
        <v>171578.06666666668</v>
      </c>
      <c r="N234" s="143" t="str">
        <f>IF(tuulisähkö_vuosi&lt;='S1 Sähkö'!C234,"tuulisähkö",ostosähkö_nyt)</f>
        <v>jäännössähkö</v>
      </c>
      <c r="O234" s="147">
        <f>INDEX(Muuttujat!$J$5:$J$21,MATCH($C234,Muuttujat!$H$5:$H$21,0),1)</f>
        <v>64.542936272148211</v>
      </c>
      <c r="P234" s="342">
        <f>1-(INDEX(Muuttujat!$O$5:$O$21,MATCH($C234,Muuttujat!$N$5:$N$21,0),1))</f>
        <v>0.92</v>
      </c>
      <c r="Q234" s="342">
        <f>INDEX(Muuttujat!$O$5:$O$21,MATCH($C234,Muuttujat!$N$5:$N$21,0),1)</f>
        <v>0.08</v>
      </c>
      <c r="R234" s="148">
        <f>INDEX(Muuttujat!$P$5:$P$21,MATCH($C234,Muuttujat!$N$5:$N$21,0),1)</f>
        <v>8.3420471452195388E-2</v>
      </c>
      <c r="S234" s="149">
        <f t="shared" si="61"/>
        <v>0</v>
      </c>
      <c r="T234" s="150">
        <f t="shared" si="62"/>
        <v>0</v>
      </c>
      <c r="U234" s="150">
        <f t="shared" si="63"/>
        <v>11.074152222565065</v>
      </c>
      <c r="V234" s="150">
        <f>IFERROR(INDEX(Työkonekanta!$J$3:$J$27,MATCH($A234,Työkonekanta!$A$3:$A$24,0),1)*$B234*ef_li_ion_akku/1000/1000/INDEX(Työkonekanta!$K$3:$K$27,MATCH($A234,Työkonekanta!$A$3:$A$24,0)),0)</f>
        <v>5.2676455384615384</v>
      </c>
      <c r="W234" s="149">
        <f t="shared" si="72"/>
        <v>0</v>
      </c>
      <c r="X234" s="150">
        <f t="shared" si="73"/>
        <v>0</v>
      </c>
      <c r="Y234" s="151">
        <f t="shared" si="74"/>
        <v>0</v>
      </c>
      <c r="Z234" s="152">
        <f t="shared" si="67"/>
        <v>16.341797761026605</v>
      </c>
      <c r="AA234" s="153">
        <f t="shared" si="68"/>
        <v>0</v>
      </c>
      <c r="AB234" s="153">
        <f t="shared" si="69"/>
        <v>0</v>
      </c>
      <c r="AC234" s="154">
        <f t="shared" si="75"/>
        <v>16.341797761026605</v>
      </c>
      <c r="AD234" s="156">
        <f t="shared" si="70"/>
        <v>16.341797761026605</v>
      </c>
      <c r="AE234" s="182"/>
      <c r="AG234" s="2"/>
    </row>
    <row r="235" spans="1:37">
      <c r="A235" s="139">
        <v>23</v>
      </c>
      <c r="B235" s="139" cm="1">
        <f t="array" ref="B235">IFERROR(IF(A235=s1_id_korvattava1,INDEX($AG$3:$AG$19,MATCH(C235,$AF$3:$AF$19,0),1),IF(A235=s1_id_korvaava1,INDEX($AH$3:$AH$19,MATCH(C235,$AF$3:$AF$19,0),1),IF(A235=s1_id_korvattava2,INDEX($AI$3:$AI$19,MATCH(C235,$AF$3:$AF$19,0),1),IF(A235=s1_id_korvaava2,INDEX($AJ$3:$AJ$19,MATCH(C235,$AF$3:$AF$19,0),1),INDEX(Työkonekanta!$F$3:$F$27,MATCH('S1 Sähkö'!$A235,Työkonekanta!$A$3:$A$24,0),1))))),0)</f>
        <v>0</v>
      </c>
      <c r="C235" s="140">
        <v>2026</v>
      </c>
      <c r="D235" s="141" t="str">
        <f>IFERROR(INDEX(Työkonekanta!$D$3:$D$27,MATCH('S1 Sähkö'!$A235,Työkonekanta!$A$3:$A$24,0),1),"undefined")</f>
        <v>undefined</v>
      </c>
      <c r="E235" s="145">
        <f>IFERROR(INDEX(Työkonekanta!$G$3:$G$27,MATCH($A235,Työkonekanta!$A$3:$A$24,0),1)*INDEX(Työkonekanta!$H$3:$H$27,MATCH($A235,Työkonekanta!$A$3:$A$24,0),1)*(1+s1_kerroin*($C235-2019))*$B235,0)</f>
        <v>0</v>
      </c>
      <c r="F235" s="145">
        <f t="shared" si="58"/>
        <v>0</v>
      </c>
      <c r="G235" s="145">
        <f t="shared" si="64"/>
        <v>0</v>
      </c>
      <c r="H235" s="145">
        <f t="shared" si="65"/>
        <v>0</v>
      </c>
      <c r="I235" s="145">
        <f t="shared" si="59"/>
        <v>0</v>
      </c>
      <c r="J235" s="145">
        <f t="shared" si="60"/>
        <v>0</v>
      </c>
      <c r="K235" s="142" t="str">
        <f t="shared" si="66"/>
        <v>undefined</v>
      </c>
      <c r="L235" s="146">
        <f>IFERROR(INDEX(Työkonekanta!$I$3:$I$27,MATCH('S1 Sähkö'!$A235,Työkonekanta!$A$3:$A$24,0),1)*(I235+J235)*f_adblue,0)</f>
        <v>0</v>
      </c>
      <c r="M235" s="146">
        <f t="shared" si="71"/>
        <v>0</v>
      </c>
      <c r="N235" s="143" t="str">
        <f>IF(tuulisähkö_vuosi&lt;='S1 Sähkö'!C235,"tuulisähkö",ostosähkö_nyt)</f>
        <v>jäännössähkö</v>
      </c>
      <c r="O235" s="147">
        <f>INDEX(Muuttujat!$J$5:$J$21,MATCH($C235,Muuttujat!$H$5:$H$21,0),1)</f>
        <v>64.542936272148211</v>
      </c>
      <c r="P235" s="342">
        <f>1-(INDEX(Muuttujat!$O$5:$O$21,MATCH($C235,Muuttujat!$N$5:$N$21,0),1))</f>
        <v>0.92</v>
      </c>
      <c r="Q235" s="342">
        <f>INDEX(Muuttujat!$O$5:$O$21,MATCH($C235,Muuttujat!$N$5:$N$21,0),1)</f>
        <v>0.08</v>
      </c>
      <c r="R235" s="148">
        <f>INDEX(Muuttujat!$P$5:$P$21,MATCH($C235,Muuttujat!$N$5:$N$21,0),1)</f>
        <v>8.3420471452195388E-2</v>
      </c>
      <c r="S235" s="149">
        <f t="shared" si="61"/>
        <v>0</v>
      </c>
      <c r="T235" s="150">
        <f t="shared" si="62"/>
        <v>0</v>
      </c>
      <c r="U235" s="150">
        <f t="shared" si="63"/>
        <v>0</v>
      </c>
      <c r="V235" s="150">
        <f>IFERROR(INDEX(Työkonekanta!$J$3:$J$27,MATCH($A235,Työkonekanta!$A$3:$A$24,0),1)*$B235*ef_li_ion_akku/1000/1000/INDEX(Työkonekanta!$K$3:$K$27,MATCH($A235,Työkonekanta!$A$3:$A$24,0)),0)</f>
        <v>0</v>
      </c>
      <c r="W235" s="149">
        <f t="shared" si="72"/>
        <v>0</v>
      </c>
      <c r="X235" s="150">
        <f t="shared" si="73"/>
        <v>0</v>
      </c>
      <c r="Y235" s="151">
        <f t="shared" si="74"/>
        <v>0</v>
      </c>
      <c r="Z235" s="152">
        <f t="shared" si="67"/>
        <v>0</v>
      </c>
      <c r="AA235" s="153">
        <f t="shared" si="68"/>
        <v>0</v>
      </c>
      <c r="AB235" s="153">
        <f t="shared" si="69"/>
        <v>0</v>
      </c>
      <c r="AC235" s="154">
        <f t="shared" si="75"/>
        <v>0</v>
      </c>
      <c r="AD235" s="156">
        <f t="shared" si="70"/>
        <v>0</v>
      </c>
      <c r="AE235" s="182"/>
      <c r="AJ235" s="28"/>
      <c r="AK235" s="29"/>
    </row>
    <row r="236" spans="1:37">
      <c r="A236" s="139">
        <v>24</v>
      </c>
      <c r="B236" s="139" cm="1">
        <f t="array" ref="B236">IFERROR(IF(A236=s1_id_korvattava1,INDEX($AG$3:$AG$19,MATCH(C236,$AF$3:$AF$19,0),1),IF(A236=s1_id_korvaava1,INDEX($AH$3:$AH$19,MATCH(C236,$AF$3:$AF$19,0),1),IF(A236=s1_id_korvattava2,INDEX($AI$3:$AI$19,MATCH(C236,$AF$3:$AF$19,0),1),IF(A236=s1_id_korvaava2,INDEX($AJ$3:$AJ$19,MATCH(C236,$AF$3:$AF$19,0),1),INDEX(Työkonekanta!$F$3:$F$27,MATCH('S1 Sähkö'!$A236,Työkonekanta!$A$3:$A$24,0),1))))),0)</f>
        <v>0</v>
      </c>
      <c r="C236" s="140">
        <v>2026</v>
      </c>
      <c r="D236" s="141" t="str">
        <f>IFERROR(INDEX(Työkonekanta!$D$3:$D$27,MATCH('S1 Sähkö'!$A236,Työkonekanta!$A$3:$A$24,0),1),"undefined")</f>
        <v>undefined</v>
      </c>
      <c r="E236" s="145">
        <f>IFERROR(INDEX(Työkonekanta!$G$3:$G$27,MATCH($A236,Työkonekanta!$A$3:$A$24,0),1)*INDEX(Työkonekanta!$H$3:$H$27,MATCH($A236,Työkonekanta!$A$3:$A$24,0),1)*(1+s1_kerroin*($C236-2019))*$B236,0)</f>
        <v>0</v>
      </c>
      <c r="F236" s="145">
        <f t="shared" si="58"/>
        <v>0</v>
      </c>
      <c r="G236" s="145">
        <f t="shared" si="64"/>
        <v>0</v>
      </c>
      <c r="H236" s="145">
        <f t="shared" si="65"/>
        <v>0</v>
      </c>
      <c r="I236" s="145">
        <f t="shared" si="59"/>
        <v>0</v>
      </c>
      <c r="J236" s="145">
        <f t="shared" si="60"/>
        <v>0</v>
      </c>
      <c r="K236" s="142" t="str">
        <f t="shared" si="66"/>
        <v>undefined</v>
      </c>
      <c r="L236" s="146">
        <f>IFERROR(INDEX(Työkonekanta!$I$3:$I$27,MATCH('S1 Sähkö'!$A236,Työkonekanta!$A$3:$A$24,0),1)*(I236+J236)*f_adblue,0)</f>
        <v>0</v>
      </c>
      <c r="M236" s="146">
        <f t="shared" si="71"/>
        <v>0</v>
      </c>
      <c r="N236" s="143" t="str">
        <f>IF(tuulisähkö_vuosi&lt;='S1 Sähkö'!C236,"tuulisähkö",ostosähkö_nyt)</f>
        <v>jäännössähkö</v>
      </c>
      <c r="O236" s="147">
        <f>INDEX(Muuttujat!$J$5:$J$21,MATCH($C236,Muuttujat!$H$5:$H$21,0),1)</f>
        <v>64.542936272148211</v>
      </c>
      <c r="P236" s="342">
        <f>1-(INDEX(Muuttujat!$O$5:$O$21,MATCH($C236,Muuttujat!$N$5:$N$21,0),1))</f>
        <v>0.92</v>
      </c>
      <c r="Q236" s="342">
        <f>INDEX(Muuttujat!$O$5:$O$21,MATCH($C236,Muuttujat!$N$5:$N$21,0),1)</f>
        <v>0.08</v>
      </c>
      <c r="R236" s="148">
        <f>INDEX(Muuttujat!$P$5:$P$21,MATCH($C236,Muuttujat!$N$5:$N$21,0),1)</f>
        <v>8.3420471452195388E-2</v>
      </c>
      <c r="S236" s="149">
        <f t="shared" si="61"/>
        <v>0</v>
      </c>
      <c r="T236" s="150">
        <f t="shared" si="62"/>
        <v>0</v>
      </c>
      <c r="U236" s="150">
        <f t="shared" si="63"/>
        <v>0</v>
      </c>
      <c r="V236" s="150">
        <f>IFERROR(INDEX(Työkonekanta!$J$3:$J$27,MATCH($A236,Työkonekanta!$A$3:$A$24,0),1)*$B236*ef_li_ion_akku/1000/1000/INDEX(Työkonekanta!$K$3:$K$27,MATCH($A236,Työkonekanta!$A$3:$A$24,0)),0)</f>
        <v>0</v>
      </c>
      <c r="W236" s="149">
        <f t="shared" si="72"/>
        <v>0</v>
      </c>
      <c r="X236" s="150">
        <f t="shared" si="73"/>
        <v>0</v>
      </c>
      <c r="Y236" s="151">
        <f t="shared" si="74"/>
        <v>0</v>
      </c>
      <c r="Z236" s="152">
        <f t="shared" si="67"/>
        <v>0</v>
      </c>
      <c r="AA236" s="153">
        <f t="shared" si="68"/>
        <v>0</v>
      </c>
      <c r="AB236" s="153">
        <f t="shared" si="69"/>
        <v>0</v>
      </c>
      <c r="AC236" s="154">
        <f t="shared" si="75"/>
        <v>0</v>
      </c>
      <c r="AD236" s="156">
        <f t="shared" si="70"/>
        <v>0</v>
      </c>
      <c r="AE236" s="182"/>
      <c r="AJ236" s="28"/>
      <c r="AK236" s="29"/>
    </row>
    <row r="237" spans="1:37">
      <c r="A237" s="139">
        <v>25</v>
      </c>
      <c r="B237" s="139" cm="1">
        <f t="array" ref="B237">IFERROR(IF(A237=s1_id_korvattava1,INDEX($AG$3:$AG$19,MATCH(C237,$AF$3:$AF$19,0),1),IF(A237=s1_id_korvaava1,INDEX($AH$3:$AH$19,MATCH(C237,$AF$3:$AF$19,0),1),IF(A237=s1_id_korvattava2,INDEX($AI$3:$AI$19,MATCH(C237,$AF$3:$AF$19,0),1),IF(A237=s1_id_korvaava2,INDEX($AJ$3:$AJ$19,MATCH(C237,$AF$3:$AF$19,0),1),INDEX(Työkonekanta!$F$3:$F$27,MATCH('S1 Sähkö'!$A237,Työkonekanta!$A$3:$A$24,0),1))))),0)</f>
        <v>0</v>
      </c>
      <c r="C237" s="140">
        <v>2026</v>
      </c>
      <c r="D237" s="141" t="str">
        <f>IFERROR(INDEX(Työkonekanta!$D$3:$D$27,MATCH('S1 Sähkö'!$A237,Työkonekanta!$A$3:$A$24,0),1),"undefined")</f>
        <v>undefined</v>
      </c>
      <c r="E237" s="145">
        <f>IFERROR(INDEX(Työkonekanta!$G$3:$G$27,MATCH($A237,Työkonekanta!$A$3:$A$24,0),1)*INDEX(Työkonekanta!$H$3:$H$27,MATCH($A237,Työkonekanta!$A$3:$A$24,0),1)*(1+s1_kerroin*($C237-2019))*$B237,0)</f>
        <v>0</v>
      </c>
      <c r="F237" s="145">
        <f t="shared" si="58"/>
        <v>0</v>
      </c>
      <c r="G237" s="145">
        <f t="shared" si="64"/>
        <v>0</v>
      </c>
      <c r="H237" s="145">
        <f t="shared" si="65"/>
        <v>0</v>
      </c>
      <c r="I237" s="145">
        <f t="shared" si="59"/>
        <v>0</v>
      </c>
      <c r="J237" s="145">
        <f t="shared" si="60"/>
        <v>0</v>
      </c>
      <c r="K237" s="142" t="str">
        <f t="shared" si="66"/>
        <v>undefined</v>
      </c>
      <c r="L237" s="146">
        <f>IFERROR(INDEX(Työkonekanta!$I$3:$I$27,MATCH('S1 Sähkö'!$A237,Työkonekanta!$A$3:$A$24,0),1)*(I237+J237)*f_adblue,0)</f>
        <v>0</v>
      </c>
      <c r="M237" s="146">
        <f t="shared" si="71"/>
        <v>0</v>
      </c>
      <c r="N237" s="143" t="str">
        <f>IF(tuulisähkö_vuosi&lt;='S1 Sähkö'!C237,"tuulisähkö",ostosähkö_nyt)</f>
        <v>jäännössähkö</v>
      </c>
      <c r="O237" s="147">
        <f>INDEX(Muuttujat!$J$5:$J$21,MATCH($C237,Muuttujat!$H$5:$H$21,0),1)</f>
        <v>64.542936272148211</v>
      </c>
      <c r="P237" s="342">
        <f>1-(INDEX(Muuttujat!$O$5:$O$21,MATCH($C237,Muuttujat!$N$5:$N$21,0),1))</f>
        <v>0.92</v>
      </c>
      <c r="Q237" s="342">
        <f>INDEX(Muuttujat!$O$5:$O$21,MATCH($C237,Muuttujat!$N$5:$N$21,0),1)</f>
        <v>0.08</v>
      </c>
      <c r="R237" s="148">
        <f>INDEX(Muuttujat!$P$5:$P$21,MATCH($C237,Muuttujat!$N$5:$N$21,0),1)</f>
        <v>8.3420471452195388E-2</v>
      </c>
      <c r="S237" s="149">
        <f t="shared" si="61"/>
        <v>0</v>
      </c>
      <c r="T237" s="150">
        <f t="shared" si="62"/>
        <v>0</v>
      </c>
      <c r="U237" s="150">
        <f t="shared" si="63"/>
        <v>0</v>
      </c>
      <c r="V237" s="150">
        <f>IFERROR(INDEX(Työkonekanta!$J$3:$J$27,MATCH($A237,Työkonekanta!$A$3:$A$24,0),1)*$B237*ef_li_ion_akku/1000/1000/INDEX(Työkonekanta!$K$3:$K$27,MATCH($A237,Työkonekanta!$A$3:$A$24,0)),0)</f>
        <v>0</v>
      </c>
      <c r="W237" s="149">
        <f t="shared" si="72"/>
        <v>0</v>
      </c>
      <c r="X237" s="150">
        <f t="shared" si="73"/>
        <v>0</v>
      </c>
      <c r="Y237" s="151">
        <f t="shared" si="74"/>
        <v>0</v>
      </c>
      <c r="Z237" s="152">
        <f t="shared" si="67"/>
        <v>0</v>
      </c>
      <c r="AA237" s="153">
        <f t="shared" si="68"/>
        <v>0</v>
      </c>
      <c r="AB237" s="153">
        <f t="shared" si="69"/>
        <v>0</v>
      </c>
      <c r="AC237" s="154">
        <f t="shared" si="75"/>
        <v>0</v>
      </c>
      <c r="AD237" s="156">
        <f t="shared" si="70"/>
        <v>0</v>
      </c>
      <c r="AE237" s="182"/>
      <c r="AJ237" s="28"/>
      <c r="AK237" s="29"/>
    </row>
    <row r="238" spans="1:37">
      <c r="A238" s="139">
        <v>26</v>
      </c>
      <c r="B238" s="139" cm="1">
        <f t="array" ref="B238">IFERROR(IF(A238=s1_id_korvattava1,INDEX($AG$3:$AG$19,MATCH(C238,$AF$3:$AF$19,0),1),IF(A238=s1_id_korvaava1,INDEX($AH$3:$AH$19,MATCH(C238,$AF$3:$AF$19,0),1),IF(A238=s1_id_korvattava2,INDEX($AI$3:$AI$19,MATCH(C238,$AF$3:$AF$19,0),1),IF(A238=s1_id_korvaava2,INDEX($AJ$3:$AJ$19,MATCH(C238,$AF$3:$AF$19,0),1),INDEX(Työkonekanta!$F$3:$F$27,MATCH('S1 Sähkö'!$A238,Työkonekanta!$A$3:$A$24,0),1))))),0)</f>
        <v>0</v>
      </c>
      <c r="C238" s="140">
        <v>2026</v>
      </c>
      <c r="D238" s="141" t="str">
        <f>IFERROR(INDEX(Työkonekanta!$D$3:$D$27,MATCH('S1 Sähkö'!$A238,Työkonekanta!$A$3:$A$24,0),1),"undefined")</f>
        <v>undefined</v>
      </c>
      <c r="E238" s="145">
        <f>IFERROR(INDEX(Työkonekanta!$G$3:$G$27,MATCH($A238,Työkonekanta!$A$3:$A$24,0),1)*INDEX(Työkonekanta!$H$3:$H$27,MATCH($A238,Työkonekanta!$A$3:$A$24,0),1)*(1+s1_kerroin*($C238-2019))*$B238,0)</f>
        <v>0</v>
      </c>
      <c r="F238" s="145">
        <f t="shared" si="58"/>
        <v>0</v>
      </c>
      <c r="G238" s="145">
        <f t="shared" si="64"/>
        <v>0</v>
      </c>
      <c r="H238" s="145">
        <f t="shared" si="65"/>
        <v>0</v>
      </c>
      <c r="I238" s="145">
        <f t="shared" si="59"/>
        <v>0</v>
      </c>
      <c r="J238" s="145">
        <f t="shared" si="60"/>
        <v>0</v>
      </c>
      <c r="K238" s="142" t="str">
        <f t="shared" si="66"/>
        <v>undefined</v>
      </c>
      <c r="L238" s="146">
        <f>IFERROR(INDEX(Työkonekanta!$I$3:$I$27,MATCH('S1 Sähkö'!$A238,Työkonekanta!$A$3:$A$24,0),1)*(I238+J238)*f_adblue,0)</f>
        <v>0</v>
      </c>
      <c r="M238" s="146">
        <f t="shared" si="71"/>
        <v>0</v>
      </c>
      <c r="N238" s="143" t="str">
        <f>IF(tuulisähkö_vuosi&lt;='S1 Sähkö'!C238,"tuulisähkö",ostosähkö_nyt)</f>
        <v>jäännössähkö</v>
      </c>
      <c r="O238" s="147">
        <f>INDEX(Muuttujat!$J$5:$J$21,MATCH($C238,Muuttujat!$H$5:$H$21,0),1)</f>
        <v>64.542936272148211</v>
      </c>
      <c r="P238" s="342">
        <f>1-(INDEX(Muuttujat!$O$5:$O$21,MATCH($C238,Muuttujat!$N$5:$N$21,0),1))</f>
        <v>0.92</v>
      </c>
      <c r="Q238" s="342">
        <f>INDEX(Muuttujat!$O$5:$O$21,MATCH($C238,Muuttujat!$N$5:$N$21,0),1)</f>
        <v>0.08</v>
      </c>
      <c r="R238" s="148">
        <f>INDEX(Muuttujat!$P$5:$P$21,MATCH($C238,Muuttujat!$N$5:$N$21,0),1)</f>
        <v>8.3420471452195388E-2</v>
      </c>
      <c r="S238" s="149">
        <f t="shared" si="61"/>
        <v>0</v>
      </c>
      <c r="T238" s="150">
        <f t="shared" si="62"/>
        <v>0</v>
      </c>
      <c r="U238" s="150">
        <f t="shared" si="63"/>
        <v>0</v>
      </c>
      <c r="V238" s="150">
        <f>IFERROR(INDEX(Työkonekanta!$J$3:$J$27,MATCH($A238,Työkonekanta!$A$3:$A$24,0),1)*$B238*ef_li_ion_akku/1000/1000/INDEX(Työkonekanta!$K$3:$K$27,MATCH($A238,Työkonekanta!$A$3:$A$24,0)),0)</f>
        <v>0</v>
      </c>
      <c r="W238" s="149">
        <f t="shared" si="72"/>
        <v>0</v>
      </c>
      <c r="X238" s="150">
        <f t="shared" si="73"/>
        <v>0</v>
      </c>
      <c r="Y238" s="151">
        <f t="shared" si="74"/>
        <v>0</v>
      </c>
      <c r="Z238" s="152">
        <f t="shared" si="67"/>
        <v>0</v>
      </c>
      <c r="AA238" s="153">
        <f t="shared" si="68"/>
        <v>0</v>
      </c>
      <c r="AB238" s="153">
        <f t="shared" si="69"/>
        <v>0</v>
      </c>
      <c r="AC238" s="154">
        <f t="shared" si="75"/>
        <v>0</v>
      </c>
      <c r="AD238" s="156">
        <f t="shared" si="70"/>
        <v>0</v>
      </c>
      <c r="AE238" s="182"/>
      <c r="AJ238" s="28"/>
      <c r="AK238" s="29"/>
    </row>
    <row r="239" spans="1:37">
      <c r="A239" s="139">
        <v>27</v>
      </c>
      <c r="B239" s="139" cm="1">
        <f t="array" ref="B239">IFERROR(IF(A239=s1_id_korvattava1,INDEX($AG$3:$AG$19,MATCH(C239,$AF$3:$AF$19,0),1),IF(A239=s1_id_korvaava1,INDEX($AH$3:$AH$19,MATCH(C239,$AF$3:$AF$19,0),1),IF(A239=s1_id_korvattava2,INDEX($AI$3:$AI$19,MATCH(C239,$AF$3:$AF$19,0),1),IF(A239=s1_id_korvaava2,INDEX($AJ$3:$AJ$19,MATCH(C239,$AF$3:$AF$19,0),1),INDEX(Työkonekanta!$F$3:$F$27,MATCH('S1 Sähkö'!$A239,Työkonekanta!$A$3:$A$24,0),1))))),0)</f>
        <v>0</v>
      </c>
      <c r="C239" s="140">
        <v>2026</v>
      </c>
      <c r="D239" s="141" t="str">
        <f>IFERROR(INDEX(Työkonekanta!$D$3:$D$27,MATCH('S1 Sähkö'!$A239,Työkonekanta!$A$3:$A$24,0),1),"undefined")</f>
        <v>undefined</v>
      </c>
      <c r="E239" s="145">
        <f>IFERROR(INDEX(Työkonekanta!$G$3:$G$27,MATCH($A239,Työkonekanta!$A$3:$A$24,0),1)*INDEX(Työkonekanta!$H$3:$H$27,MATCH($A239,Työkonekanta!$A$3:$A$24,0),1)*(1+s1_kerroin*($C239-2019))*$B239,0)</f>
        <v>0</v>
      </c>
      <c r="F239" s="145">
        <f t="shared" si="58"/>
        <v>0</v>
      </c>
      <c r="G239" s="145">
        <f t="shared" si="64"/>
        <v>0</v>
      </c>
      <c r="H239" s="145">
        <f t="shared" si="65"/>
        <v>0</v>
      </c>
      <c r="I239" s="145">
        <f t="shared" si="59"/>
        <v>0</v>
      </c>
      <c r="J239" s="145">
        <f t="shared" si="60"/>
        <v>0</v>
      </c>
      <c r="K239" s="142" t="str">
        <f t="shared" si="66"/>
        <v>undefined</v>
      </c>
      <c r="L239" s="146">
        <f>IFERROR(INDEX(Työkonekanta!$I$3:$I$27,MATCH('S1 Sähkö'!$A239,Työkonekanta!$A$3:$A$24,0),1)*(I239+J239)*f_adblue,0)</f>
        <v>0</v>
      </c>
      <c r="M239" s="146">
        <f t="shared" si="71"/>
        <v>0</v>
      </c>
      <c r="N239" s="143" t="str">
        <f>IF(tuulisähkö_vuosi&lt;='S1 Sähkö'!C239,"tuulisähkö",ostosähkö_nyt)</f>
        <v>jäännössähkö</v>
      </c>
      <c r="O239" s="147">
        <f>INDEX(Muuttujat!$J$5:$J$21,MATCH($C239,Muuttujat!$H$5:$H$21,0),1)</f>
        <v>64.542936272148211</v>
      </c>
      <c r="P239" s="342">
        <f>1-(INDEX(Muuttujat!$O$5:$O$21,MATCH($C239,Muuttujat!$N$5:$N$21,0),1))</f>
        <v>0.92</v>
      </c>
      <c r="Q239" s="342">
        <f>INDEX(Muuttujat!$O$5:$O$21,MATCH($C239,Muuttujat!$N$5:$N$21,0),1)</f>
        <v>0.08</v>
      </c>
      <c r="R239" s="148">
        <f>INDEX(Muuttujat!$P$5:$P$21,MATCH($C239,Muuttujat!$N$5:$N$21,0),1)</f>
        <v>8.3420471452195388E-2</v>
      </c>
      <c r="S239" s="149">
        <f t="shared" si="61"/>
        <v>0</v>
      </c>
      <c r="T239" s="150">
        <f t="shared" si="62"/>
        <v>0</v>
      </c>
      <c r="U239" s="150">
        <f t="shared" si="63"/>
        <v>0</v>
      </c>
      <c r="V239" s="150">
        <f>IFERROR(INDEX(Työkonekanta!$J$3:$J$27,MATCH($A239,Työkonekanta!$A$3:$A$24,0),1)*$B239*ef_li_ion_akku/1000/1000/INDEX(Työkonekanta!$K$3:$K$27,MATCH($A239,Työkonekanta!$A$3:$A$24,0)),0)</f>
        <v>0</v>
      </c>
      <c r="W239" s="149">
        <f t="shared" si="72"/>
        <v>0</v>
      </c>
      <c r="X239" s="150">
        <f t="shared" si="73"/>
        <v>0</v>
      </c>
      <c r="Y239" s="151">
        <f t="shared" si="74"/>
        <v>0</v>
      </c>
      <c r="Z239" s="152">
        <f t="shared" si="67"/>
        <v>0</v>
      </c>
      <c r="AA239" s="153">
        <f t="shared" si="68"/>
        <v>0</v>
      </c>
      <c r="AB239" s="153">
        <f t="shared" si="69"/>
        <v>0</v>
      </c>
      <c r="AC239" s="154">
        <f t="shared" si="75"/>
        <v>0</v>
      </c>
      <c r="AD239" s="156">
        <f t="shared" si="70"/>
        <v>0</v>
      </c>
      <c r="AE239" s="182"/>
      <c r="AJ239" s="28"/>
      <c r="AK239" s="29"/>
    </row>
    <row r="240" spans="1:37">
      <c r="A240" s="139">
        <v>28</v>
      </c>
      <c r="B240" s="139" cm="1">
        <f t="array" ref="B240">IFERROR(IF(A240=s1_id_korvattava1,INDEX($AG$3:$AG$19,MATCH(C240,$AF$3:$AF$19,0),1),IF(A240=s1_id_korvaava1,INDEX($AH$3:$AH$19,MATCH(C240,$AF$3:$AF$19,0),1),IF(A240=s1_id_korvattava2,INDEX($AI$3:$AI$19,MATCH(C240,$AF$3:$AF$19,0),1),IF(A240=s1_id_korvaava2,INDEX($AJ$3:$AJ$19,MATCH(C240,$AF$3:$AF$19,0),1),INDEX(Työkonekanta!$F$3:$F$27,MATCH('S1 Sähkö'!$A240,Työkonekanta!$A$3:$A$24,0),1))))),0)</f>
        <v>0</v>
      </c>
      <c r="C240" s="140">
        <v>2026</v>
      </c>
      <c r="D240" s="141" t="str">
        <f>IFERROR(INDEX(Työkonekanta!$D$3:$D$27,MATCH('S1 Sähkö'!$A240,Työkonekanta!$A$3:$A$24,0),1),"undefined")</f>
        <v>undefined</v>
      </c>
      <c r="E240" s="145">
        <f>IFERROR(INDEX(Työkonekanta!$G$3:$G$27,MATCH($A240,Työkonekanta!$A$3:$A$24,0),1)*INDEX(Työkonekanta!$H$3:$H$27,MATCH($A240,Työkonekanta!$A$3:$A$24,0),1)*(1+s1_kerroin*($C240-2019))*$B240,0)</f>
        <v>0</v>
      </c>
      <c r="F240" s="145">
        <f t="shared" si="58"/>
        <v>0</v>
      </c>
      <c r="G240" s="145">
        <f t="shared" si="64"/>
        <v>0</v>
      </c>
      <c r="H240" s="145">
        <f t="shared" si="65"/>
        <v>0</v>
      </c>
      <c r="I240" s="145">
        <f t="shared" si="59"/>
        <v>0</v>
      </c>
      <c r="J240" s="145">
        <f t="shared" si="60"/>
        <v>0</v>
      </c>
      <c r="K240" s="142" t="str">
        <f t="shared" si="66"/>
        <v>undefined</v>
      </c>
      <c r="L240" s="146">
        <f>IFERROR(INDEX(Työkonekanta!$I$3:$I$27,MATCH('S1 Sähkö'!$A240,Työkonekanta!$A$3:$A$24,0),1)*(I240+J240)*f_adblue,0)</f>
        <v>0</v>
      </c>
      <c r="M240" s="146">
        <f t="shared" si="71"/>
        <v>0</v>
      </c>
      <c r="N240" s="143" t="str">
        <f>IF(tuulisähkö_vuosi&lt;='S1 Sähkö'!C240,"tuulisähkö",ostosähkö_nyt)</f>
        <v>jäännössähkö</v>
      </c>
      <c r="O240" s="147">
        <f>INDEX(Muuttujat!$J$5:$J$21,MATCH($C240,Muuttujat!$H$5:$H$21,0),1)</f>
        <v>64.542936272148211</v>
      </c>
      <c r="P240" s="342">
        <f>1-(INDEX(Muuttujat!$O$5:$O$21,MATCH($C240,Muuttujat!$N$5:$N$21,0),1))</f>
        <v>0.92</v>
      </c>
      <c r="Q240" s="342">
        <f>INDEX(Muuttujat!$O$5:$O$21,MATCH($C240,Muuttujat!$N$5:$N$21,0),1)</f>
        <v>0.08</v>
      </c>
      <c r="R240" s="148">
        <f>INDEX(Muuttujat!$P$5:$P$21,MATCH($C240,Muuttujat!$N$5:$N$21,0),1)</f>
        <v>8.3420471452195388E-2</v>
      </c>
      <c r="S240" s="149">
        <f t="shared" si="61"/>
        <v>0</v>
      </c>
      <c r="T240" s="150">
        <f t="shared" si="62"/>
        <v>0</v>
      </c>
      <c r="U240" s="150">
        <f t="shared" si="63"/>
        <v>0</v>
      </c>
      <c r="V240" s="150">
        <f>IFERROR(INDEX(Työkonekanta!$J$3:$J$27,MATCH($A240,Työkonekanta!$A$3:$A$24,0),1)*$B240*ef_li_ion_akku/1000/1000/INDEX(Työkonekanta!$K$3:$K$27,MATCH($A240,Työkonekanta!$A$3:$A$24,0)),0)</f>
        <v>0</v>
      </c>
      <c r="W240" s="149">
        <f t="shared" si="72"/>
        <v>0</v>
      </c>
      <c r="X240" s="150">
        <f t="shared" si="73"/>
        <v>0</v>
      </c>
      <c r="Y240" s="151">
        <f t="shared" si="74"/>
        <v>0</v>
      </c>
      <c r="Z240" s="152">
        <f t="shared" si="67"/>
        <v>0</v>
      </c>
      <c r="AA240" s="153">
        <f t="shared" si="68"/>
        <v>0</v>
      </c>
      <c r="AB240" s="153">
        <f t="shared" si="69"/>
        <v>0</v>
      </c>
      <c r="AC240" s="154">
        <f t="shared" si="75"/>
        <v>0</v>
      </c>
      <c r="AD240" s="156">
        <f t="shared" si="70"/>
        <v>0</v>
      </c>
      <c r="AE240" s="182"/>
      <c r="AJ240" s="28"/>
      <c r="AK240" s="29"/>
    </row>
    <row r="241" spans="1:37">
      <c r="A241" s="139">
        <v>29</v>
      </c>
      <c r="B241" s="139" cm="1">
        <f t="array" ref="B241">IFERROR(IF(A241=s1_id_korvattava1,INDEX($AG$3:$AG$19,MATCH(C241,$AF$3:$AF$19,0),1),IF(A241=s1_id_korvaava1,INDEX($AH$3:$AH$19,MATCH(C241,$AF$3:$AF$19,0),1),IF(A241=s1_id_korvattava2,INDEX($AI$3:$AI$19,MATCH(C241,$AF$3:$AF$19,0),1),IF(A241=s1_id_korvaava2,INDEX($AJ$3:$AJ$19,MATCH(C241,$AF$3:$AF$19,0),1),INDEX(Työkonekanta!$F$3:$F$27,MATCH('S1 Sähkö'!$A241,Työkonekanta!$A$3:$A$24,0),1))))),0)</f>
        <v>0</v>
      </c>
      <c r="C241" s="140">
        <v>2026</v>
      </c>
      <c r="D241" s="141" t="str">
        <f>IFERROR(INDEX(Työkonekanta!$D$3:$D$27,MATCH('S1 Sähkö'!$A241,Työkonekanta!$A$3:$A$24,0),1),"undefined")</f>
        <v>undefined</v>
      </c>
      <c r="E241" s="145">
        <f>IFERROR(INDEX(Työkonekanta!$G$3:$G$27,MATCH($A241,Työkonekanta!$A$3:$A$24,0),1)*INDEX(Työkonekanta!$H$3:$H$27,MATCH($A241,Työkonekanta!$A$3:$A$24,0),1)*(1+s1_kerroin*($C241-2019))*$B241,0)</f>
        <v>0</v>
      </c>
      <c r="F241" s="145">
        <f t="shared" si="58"/>
        <v>0</v>
      </c>
      <c r="G241" s="145">
        <f t="shared" si="64"/>
        <v>0</v>
      </c>
      <c r="H241" s="145">
        <f t="shared" si="65"/>
        <v>0</v>
      </c>
      <c r="I241" s="145">
        <f t="shared" si="59"/>
        <v>0</v>
      </c>
      <c r="J241" s="145">
        <f t="shared" si="60"/>
        <v>0</v>
      </c>
      <c r="K241" s="142" t="str">
        <f t="shared" si="66"/>
        <v>undefined</v>
      </c>
      <c r="L241" s="146">
        <f>IFERROR(INDEX(Työkonekanta!$I$3:$I$27,MATCH('S1 Sähkö'!$A241,Työkonekanta!$A$3:$A$24,0),1)*(I241+J241)*f_adblue,0)</f>
        <v>0</v>
      </c>
      <c r="M241" s="146">
        <f t="shared" si="71"/>
        <v>0</v>
      </c>
      <c r="N241" s="143" t="str">
        <f>IF(tuulisähkö_vuosi&lt;='S1 Sähkö'!C241,"tuulisähkö",ostosähkö_nyt)</f>
        <v>jäännössähkö</v>
      </c>
      <c r="O241" s="147">
        <f>INDEX(Muuttujat!$J$5:$J$21,MATCH($C241,Muuttujat!$H$5:$H$21,0),1)</f>
        <v>64.542936272148211</v>
      </c>
      <c r="P241" s="342">
        <f>1-(INDEX(Muuttujat!$O$5:$O$21,MATCH($C241,Muuttujat!$N$5:$N$21,0),1))</f>
        <v>0.92</v>
      </c>
      <c r="Q241" s="342">
        <f>INDEX(Muuttujat!$O$5:$O$21,MATCH($C241,Muuttujat!$N$5:$N$21,0),1)</f>
        <v>0.08</v>
      </c>
      <c r="R241" s="148">
        <f>INDEX(Muuttujat!$P$5:$P$21,MATCH($C241,Muuttujat!$N$5:$N$21,0),1)</f>
        <v>8.3420471452195388E-2</v>
      </c>
      <c r="S241" s="149">
        <f t="shared" si="61"/>
        <v>0</v>
      </c>
      <c r="T241" s="150">
        <f t="shared" si="62"/>
        <v>0</v>
      </c>
      <c r="U241" s="150">
        <f t="shared" si="63"/>
        <v>0</v>
      </c>
      <c r="V241" s="150">
        <f>IFERROR(INDEX(Työkonekanta!$J$3:$J$27,MATCH($A241,Työkonekanta!$A$3:$A$24,0),1)*$B241*ef_li_ion_akku/1000/1000/INDEX(Työkonekanta!$K$3:$K$27,MATCH($A241,Työkonekanta!$A$3:$A$24,0)),0)</f>
        <v>0</v>
      </c>
      <c r="W241" s="149">
        <f t="shared" si="72"/>
        <v>0</v>
      </c>
      <c r="X241" s="150">
        <f t="shared" si="73"/>
        <v>0</v>
      </c>
      <c r="Y241" s="151">
        <f t="shared" si="74"/>
        <v>0</v>
      </c>
      <c r="Z241" s="152">
        <f t="shared" si="67"/>
        <v>0</v>
      </c>
      <c r="AA241" s="153">
        <f t="shared" si="68"/>
        <v>0</v>
      </c>
      <c r="AB241" s="153">
        <f t="shared" si="69"/>
        <v>0</v>
      </c>
      <c r="AC241" s="154">
        <f t="shared" si="75"/>
        <v>0</v>
      </c>
      <c r="AD241" s="156">
        <f t="shared" si="70"/>
        <v>0</v>
      </c>
      <c r="AE241" s="182"/>
      <c r="AJ241" s="28"/>
      <c r="AK241" s="29"/>
    </row>
    <row r="242" spans="1:37">
      <c r="A242" s="139">
        <v>30</v>
      </c>
      <c r="B242" s="139" cm="1">
        <f t="array" ref="B242">IFERROR(IF(A242=s1_id_korvattava1,INDEX($AG$3:$AG$19,MATCH(C242,$AF$3:$AF$19,0),1),IF(A242=s1_id_korvaava1,INDEX($AH$3:$AH$19,MATCH(C242,$AF$3:$AF$19,0),1),IF(A242=s1_id_korvattava2,INDEX($AI$3:$AI$19,MATCH(C242,$AF$3:$AF$19,0),1),IF(A242=s1_id_korvaava2,INDEX($AJ$3:$AJ$19,MATCH(C242,$AF$3:$AF$19,0),1),INDEX(Työkonekanta!$F$3:$F$27,MATCH('S1 Sähkö'!$A242,Työkonekanta!$A$3:$A$24,0),1))))),0)</f>
        <v>0</v>
      </c>
      <c r="C242" s="140">
        <v>2026</v>
      </c>
      <c r="D242" s="141" t="str">
        <f>IFERROR(INDEX(Työkonekanta!$D$3:$D$27,MATCH('S1 Sähkö'!$A242,Työkonekanta!$A$3:$A$24,0),1),"undefined")</f>
        <v>undefined</v>
      </c>
      <c r="E242" s="145">
        <f>IFERROR(INDEX(Työkonekanta!$G$3:$G$27,MATCH($A242,Työkonekanta!$A$3:$A$24,0),1)*INDEX(Työkonekanta!$H$3:$H$27,MATCH($A242,Työkonekanta!$A$3:$A$24,0),1)*(1+s1_kerroin*($C242-2019))*$B242,0)</f>
        <v>0</v>
      </c>
      <c r="F242" s="145">
        <f t="shared" si="58"/>
        <v>0</v>
      </c>
      <c r="G242" s="145">
        <f t="shared" si="64"/>
        <v>0</v>
      </c>
      <c r="H242" s="145">
        <f t="shared" si="65"/>
        <v>0</v>
      </c>
      <c r="I242" s="145">
        <f t="shared" si="59"/>
        <v>0</v>
      </c>
      <c r="J242" s="145">
        <f t="shared" si="60"/>
        <v>0</v>
      </c>
      <c r="K242" s="142" t="str">
        <f t="shared" si="66"/>
        <v>undefined</v>
      </c>
      <c r="L242" s="146">
        <f>IFERROR(INDEX(Työkonekanta!$I$3:$I$27,MATCH('S1 Sähkö'!$A242,Työkonekanta!$A$3:$A$24,0),1)*(I242+J242)*f_adblue,0)</f>
        <v>0</v>
      </c>
      <c r="M242" s="146">
        <f t="shared" si="71"/>
        <v>0</v>
      </c>
      <c r="N242" s="143" t="str">
        <f>IF(tuulisähkö_vuosi&lt;='S1 Sähkö'!C242,"tuulisähkö",ostosähkö_nyt)</f>
        <v>jäännössähkö</v>
      </c>
      <c r="O242" s="147">
        <f>INDEX(Muuttujat!$J$5:$J$21,MATCH($C242,Muuttujat!$H$5:$H$21,0),1)</f>
        <v>64.542936272148211</v>
      </c>
      <c r="P242" s="342">
        <f>1-(INDEX(Muuttujat!$O$5:$O$21,MATCH($C242,Muuttujat!$N$5:$N$21,0),1))</f>
        <v>0.92</v>
      </c>
      <c r="Q242" s="342">
        <f>INDEX(Muuttujat!$O$5:$O$21,MATCH($C242,Muuttujat!$N$5:$N$21,0),1)</f>
        <v>0.08</v>
      </c>
      <c r="R242" s="148">
        <f>INDEX(Muuttujat!$P$5:$P$21,MATCH($C242,Muuttujat!$N$5:$N$21,0),1)</f>
        <v>8.3420471452195388E-2</v>
      </c>
      <c r="S242" s="149">
        <f t="shared" si="61"/>
        <v>0</v>
      </c>
      <c r="T242" s="150">
        <f t="shared" si="62"/>
        <v>0</v>
      </c>
      <c r="U242" s="150">
        <f t="shared" si="63"/>
        <v>0</v>
      </c>
      <c r="V242" s="150">
        <f>IFERROR(INDEX(Työkonekanta!$J$3:$J$27,MATCH($A242,Työkonekanta!$A$3:$A$24,0),1)*$B242*ef_li_ion_akku/1000/1000/INDEX(Työkonekanta!$K$3:$K$27,MATCH($A242,Työkonekanta!$A$3:$A$24,0)),0)</f>
        <v>0</v>
      </c>
      <c r="W242" s="149">
        <f t="shared" si="72"/>
        <v>0</v>
      </c>
      <c r="X242" s="150">
        <f t="shared" si="73"/>
        <v>0</v>
      </c>
      <c r="Y242" s="151">
        <f t="shared" si="74"/>
        <v>0</v>
      </c>
      <c r="Z242" s="152">
        <f t="shared" si="67"/>
        <v>0</v>
      </c>
      <c r="AA242" s="153">
        <f t="shared" si="68"/>
        <v>0</v>
      </c>
      <c r="AB242" s="153">
        <f t="shared" si="69"/>
        <v>0</v>
      </c>
      <c r="AC242" s="154">
        <f t="shared" si="75"/>
        <v>0</v>
      </c>
      <c r="AD242" s="156">
        <f t="shared" si="70"/>
        <v>0</v>
      </c>
      <c r="AE242" s="182"/>
      <c r="AJ242" s="28"/>
      <c r="AK242" s="29"/>
    </row>
    <row r="243" spans="1:37">
      <c r="A243" s="139">
        <v>1</v>
      </c>
      <c r="B243" s="139" cm="1">
        <f t="array" ref="B243">IFERROR(IF(A243=s1_id_korvattava1,INDEX($AG$3:$AG$19,MATCH(C243,$AF$3:$AF$19,0),1),IF(A243=s1_id_korvaava1,INDEX($AH$3:$AH$19,MATCH(C243,$AF$3:$AF$19,0),1),IF(A243=s1_id_korvattava2,INDEX($AI$3:$AI$19,MATCH(C243,$AF$3:$AF$19,0),1),IF(A243=s1_id_korvaava2,INDEX($AJ$3:$AJ$19,MATCH(C243,$AF$3:$AF$19,0),1),INDEX(Työkonekanta!$F$3:$F$27,MATCH('S1 Sähkö'!$A243,Työkonekanta!$A$3:$A$24,0),1))))),0)</f>
        <v>1</v>
      </c>
      <c r="C243" s="140">
        <v>2027</v>
      </c>
      <c r="D243" s="141" t="str">
        <f>IFERROR(INDEX(Työkonekanta!$D$3:$D$27,MATCH('S1 Sähkö'!$A243,Työkonekanta!$A$3:$A$24,0),1),"undefined")</f>
        <v>pom</v>
      </c>
      <c r="E243" s="145">
        <f>IFERROR(INDEX(Työkonekanta!$G$3:$G$27,MATCH($A243,Työkonekanta!$A$3:$A$24,0),1)*INDEX(Työkonekanta!$H$3:$H$27,MATCH($A243,Työkonekanta!$A$3:$A$24,0),1)*(1+s1_kerroin*($C243-2019))*$B243,0)</f>
        <v>10800</v>
      </c>
      <c r="F243" s="145">
        <f t="shared" si="58"/>
        <v>387720</v>
      </c>
      <c r="G243" s="145">
        <f t="shared" si="64"/>
        <v>352825.2</v>
      </c>
      <c r="H243" s="145">
        <f t="shared" si="65"/>
        <v>34894.799999999996</v>
      </c>
      <c r="I243" s="145">
        <f t="shared" si="59"/>
        <v>9828</v>
      </c>
      <c r="J243" s="145">
        <f t="shared" si="60"/>
        <v>1017.3411078717201</v>
      </c>
      <c r="K243" s="142" t="str">
        <f t="shared" si="66"/>
        <v>l</v>
      </c>
      <c r="L243" s="146">
        <f>IFERROR(INDEX(Työkonekanta!$I$3:$I$27,MATCH('S1 Sähkö'!$A243,Työkonekanta!$A$3:$A$24,0),1)*(I243+J243)*f_adblue,0)</f>
        <v>542.26705539358602</v>
      </c>
      <c r="M243" s="146">
        <f t="shared" si="71"/>
        <v>0</v>
      </c>
      <c r="N243" s="143" t="str">
        <f>IF(tuulisähkö_vuosi&lt;='S1 Sähkö'!C243,"tuulisähkö",ostosähkö_nyt)</f>
        <v>jäännössähkö</v>
      </c>
      <c r="O243" s="147">
        <f>INDEX(Muuttujat!$J$5:$J$21,MATCH($C243,Muuttujat!$H$5:$H$21,0),1)</f>
        <v>63.897506909426724</v>
      </c>
      <c r="P243" s="342">
        <f>1-(INDEX(Muuttujat!$O$5:$O$21,MATCH($C243,Muuttujat!$N$5:$N$21,0),1))</f>
        <v>0.91</v>
      </c>
      <c r="Q243" s="342">
        <f>INDEX(Muuttujat!$O$5:$O$21,MATCH($C243,Muuttujat!$N$5:$N$21,0),1)</f>
        <v>0.09</v>
      </c>
      <c r="R243" s="148">
        <f>INDEX(Muuttujat!$P$5:$P$21,MATCH($C243,Muuttujat!$N$5:$N$21,0),1)</f>
        <v>9.3804435869509845E-2</v>
      </c>
      <c r="S243" s="149">
        <f t="shared" si="61"/>
        <v>6.6683962799999987</v>
      </c>
      <c r="T243" s="150">
        <f t="shared" si="62"/>
        <v>2.1774355199999995</v>
      </c>
      <c r="U243" s="150">
        <f t="shared" si="63"/>
        <v>0</v>
      </c>
      <c r="V243" s="150">
        <f>IFERROR(INDEX(Työkonekanta!$J$3:$J$27,MATCH($A243,Työkonekanta!$A$3:$A$24,0),1)*$B243*ef_li_ion_akku/1000/1000/INDEX(Työkonekanta!$K$3:$K$27,MATCH($A243,Työkonekanta!$A$3:$A$24,0)),0)</f>
        <v>0</v>
      </c>
      <c r="W243" s="149">
        <f t="shared" si="72"/>
        <v>26.0414120774808</v>
      </c>
      <c r="X243" s="150">
        <f t="shared" si="73"/>
        <v>0.34316531280000001</v>
      </c>
      <c r="Y243" s="151">
        <f t="shared" si="74"/>
        <v>0.14098943440233239</v>
      </c>
      <c r="Z243" s="152">
        <f t="shared" si="67"/>
        <v>8.8458317999999991</v>
      </c>
      <c r="AA243" s="153">
        <f t="shared" si="68"/>
        <v>26.182401511883132</v>
      </c>
      <c r="AB243" s="153">
        <f t="shared" si="69"/>
        <v>26.525566824683132</v>
      </c>
      <c r="AC243" s="154">
        <f t="shared" si="75"/>
        <v>35.028233311883127</v>
      </c>
      <c r="AD243" s="156">
        <f t="shared" si="70"/>
        <v>35.371398624683131</v>
      </c>
      <c r="AE243" s="182"/>
      <c r="AG243" s="2"/>
    </row>
    <row r="244" spans="1:37">
      <c r="A244" s="139">
        <v>2</v>
      </c>
      <c r="B244" s="139" cm="1">
        <f t="array" ref="B244">IFERROR(IF(A244=s1_id_korvattava1,INDEX($AG$3:$AG$19,MATCH(C244,$AF$3:$AF$19,0),1),IF(A244=s1_id_korvaava1,INDEX($AH$3:$AH$19,MATCH(C244,$AF$3:$AF$19,0),1),IF(A244=s1_id_korvattava2,INDEX($AI$3:$AI$19,MATCH(C244,$AF$3:$AF$19,0),1),IF(A244=s1_id_korvaava2,INDEX($AJ$3:$AJ$19,MATCH(C244,$AF$3:$AF$19,0),1),INDEX(Työkonekanta!$F$3:$F$27,MATCH('S1 Sähkö'!$A244,Työkonekanta!$A$3:$A$24,0),1))))),0)</f>
        <v>1</v>
      </c>
      <c r="C244" s="140">
        <v>2027</v>
      </c>
      <c r="D244" s="141" t="str">
        <f>IFERROR(INDEX(Työkonekanta!$D$3:$D$27,MATCH('S1 Sähkö'!$A244,Työkonekanta!$A$3:$A$24,0),1),"undefined")</f>
        <v>pom</v>
      </c>
      <c r="E244" s="145">
        <f>IFERROR(INDEX(Työkonekanta!$G$3:$G$27,MATCH($A244,Työkonekanta!$A$3:$A$24,0),1)*INDEX(Työkonekanta!$H$3:$H$27,MATCH($A244,Työkonekanta!$A$3:$A$24,0),1)*(1+s1_kerroin*($C244-2019))*$B244,0)</f>
        <v>10800</v>
      </c>
      <c r="F244" s="145">
        <f t="shared" si="58"/>
        <v>387720</v>
      </c>
      <c r="G244" s="145">
        <f t="shared" si="64"/>
        <v>352825.2</v>
      </c>
      <c r="H244" s="145">
        <f t="shared" si="65"/>
        <v>34894.799999999996</v>
      </c>
      <c r="I244" s="145">
        <f t="shared" si="59"/>
        <v>9828</v>
      </c>
      <c r="J244" s="145">
        <f t="shared" si="60"/>
        <v>1017.3411078717201</v>
      </c>
      <c r="K244" s="142" t="str">
        <f t="shared" si="66"/>
        <v>l</v>
      </c>
      <c r="L244" s="146">
        <f>IFERROR(INDEX(Työkonekanta!$I$3:$I$27,MATCH('S1 Sähkö'!$A244,Työkonekanta!$A$3:$A$24,0),1)*(I244+J244)*f_adblue,0)</f>
        <v>542.26705539358602</v>
      </c>
      <c r="M244" s="146">
        <f t="shared" si="71"/>
        <v>0</v>
      </c>
      <c r="N244" s="143" t="str">
        <f>IF(tuulisähkö_vuosi&lt;='S1 Sähkö'!C244,"tuulisähkö",ostosähkö_nyt)</f>
        <v>jäännössähkö</v>
      </c>
      <c r="O244" s="147">
        <f>INDEX(Muuttujat!$J$5:$J$21,MATCH($C244,Muuttujat!$H$5:$H$21,0),1)</f>
        <v>63.897506909426724</v>
      </c>
      <c r="P244" s="342">
        <f>1-(INDEX(Muuttujat!$O$5:$O$21,MATCH($C244,Muuttujat!$N$5:$N$21,0),1))</f>
        <v>0.91</v>
      </c>
      <c r="Q244" s="342">
        <f>INDEX(Muuttujat!$O$5:$O$21,MATCH($C244,Muuttujat!$N$5:$N$21,0),1)</f>
        <v>0.09</v>
      </c>
      <c r="R244" s="148">
        <f>INDEX(Muuttujat!$P$5:$P$21,MATCH($C244,Muuttujat!$N$5:$N$21,0),1)</f>
        <v>9.3804435869509845E-2</v>
      </c>
      <c r="S244" s="149">
        <f t="shared" si="61"/>
        <v>6.6683962799999987</v>
      </c>
      <c r="T244" s="150">
        <f t="shared" si="62"/>
        <v>2.1774355199999995</v>
      </c>
      <c r="U244" s="150">
        <f t="shared" si="63"/>
        <v>0</v>
      </c>
      <c r="V244" s="150">
        <f>IFERROR(INDEX(Työkonekanta!$J$3:$J$27,MATCH($A244,Työkonekanta!$A$3:$A$24,0),1)*$B244*ef_li_ion_akku/1000/1000/INDEX(Työkonekanta!$K$3:$K$27,MATCH($A244,Työkonekanta!$A$3:$A$24,0)),0)</f>
        <v>0</v>
      </c>
      <c r="W244" s="149">
        <f t="shared" si="72"/>
        <v>26.0414120774808</v>
      </c>
      <c r="X244" s="150">
        <f t="shared" si="73"/>
        <v>0.34316531280000001</v>
      </c>
      <c r="Y244" s="151">
        <f t="shared" si="74"/>
        <v>0.14098943440233239</v>
      </c>
      <c r="Z244" s="152">
        <f t="shared" si="67"/>
        <v>8.8458317999999991</v>
      </c>
      <c r="AA244" s="153">
        <f t="shared" si="68"/>
        <v>26.182401511883132</v>
      </c>
      <c r="AB244" s="153">
        <f t="shared" si="69"/>
        <v>26.525566824683132</v>
      </c>
      <c r="AC244" s="154">
        <f t="shared" si="75"/>
        <v>35.028233311883127</v>
      </c>
      <c r="AD244" s="156">
        <f t="shared" si="70"/>
        <v>35.371398624683131</v>
      </c>
      <c r="AE244" s="182"/>
      <c r="AG244" s="2"/>
    </row>
    <row r="245" spans="1:37">
      <c r="A245" s="139">
        <v>3</v>
      </c>
      <c r="B245" s="139" cm="1">
        <f t="array" ref="B245">IFERROR(IF(A245=s1_id_korvattava1,INDEX($AG$3:$AG$19,MATCH(C245,$AF$3:$AF$19,0),1),IF(A245=s1_id_korvaava1,INDEX($AH$3:$AH$19,MATCH(C245,$AF$3:$AF$19,0),1),IF(A245=s1_id_korvattava2,INDEX($AI$3:$AI$19,MATCH(C245,$AF$3:$AF$19,0),1),IF(A245=s1_id_korvaava2,INDEX($AJ$3:$AJ$19,MATCH(C245,$AF$3:$AF$19,0),1),INDEX(Työkonekanta!$F$3:$F$27,MATCH('S1 Sähkö'!$A245,Työkonekanta!$A$3:$A$24,0),1))))),0)</f>
        <v>1</v>
      </c>
      <c r="C245" s="140">
        <v>2027</v>
      </c>
      <c r="D245" s="141" t="str">
        <f>IFERROR(INDEX(Työkonekanta!$D$3:$D$27,MATCH('S1 Sähkö'!$A245,Työkonekanta!$A$3:$A$24,0),1),"undefined")</f>
        <v>pom</v>
      </c>
      <c r="E245" s="145">
        <f>IFERROR(INDEX(Työkonekanta!$G$3:$G$27,MATCH($A245,Työkonekanta!$A$3:$A$24,0),1)*INDEX(Työkonekanta!$H$3:$H$27,MATCH($A245,Työkonekanta!$A$3:$A$24,0),1)*(1+s1_kerroin*($C245-2019))*$B245,0)</f>
        <v>10800</v>
      </c>
      <c r="F245" s="145">
        <f t="shared" si="58"/>
        <v>387720</v>
      </c>
      <c r="G245" s="145">
        <f t="shared" si="64"/>
        <v>352825.2</v>
      </c>
      <c r="H245" s="145">
        <f t="shared" si="65"/>
        <v>34894.799999999996</v>
      </c>
      <c r="I245" s="145">
        <f t="shared" si="59"/>
        <v>9828</v>
      </c>
      <c r="J245" s="145">
        <f t="shared" si="60"/>
        <v>1017.3411078717201</v>
      </c>
      <c r="K245" s="142" t="str">
        <f t="shared" si="66"/>
        <v>l</v>
      </c>
      <c r="L245" s="146">
        <f>IFERROR(INDEX(Työkonekanta!$I$3:$I$27,MATCH('S1 Sähkö'!$A245,Työkonekanta!$A$3:$A$24,0),1)*(I245+J245)*f_adblue,0)</f>
        <v>542.26705539358602</v>
      </c>
      <c r="M245" s="146">
        <f t="shared" si="71"/>
        <v>0</v>
      </c>
      <c r="N245" s="143" t="str">
        <f>IF(tuulisähkö_vuosi&lt;='S1 Sähkö'!C245,"tuulisähkö",ostosähkö_nyt)</f>
        <v>jäännössähkö</v>
      </c>
      <c r="O245" s="147">
        <f>INDEX(Muuttujat!$J$5:$J$21,MATCH($C245,Muuttujat!$H$5:$H$21,0),1)</f>
        <v>63.897506909426724</v>
      </c>
      <c r="P245" s="342">
        <f>1-(INDEX(Muuttujat!$O$5:$O$21,MATCH($C245,Muuttujat!$N$5:$N$21,0),1))</f>
        <v>0.91</v>
      </c>
      <c r="Q245" s="342">
        <f>INDEX(Muuttujat!$O$5:$O$21,MATCH($C245,Muuttujat!$N$5:$N$21,0),1)</f>
        <v>0.09</v>
      </c>
      <c r="R245" s="148">
        <f>INDEX(Muuttujat!$P$5:$P$21,MATCH($C245,Muuttujat!$N$5:$N$21,0),1)</f>
        <v>9.3804435869509845E-2</v>
      </c>
      <c r="S245" s="149">
        <f t="shared" si="61"/>
        <v>6.6683962799999987</v>
      </c>
      <c r="T245" s="150">
        <f t="shared" si="62"/>
        <v>2.1774355199999995</v>
      </c>
      <c r="U245" s="150">
        <f t="shared" si="63"/>
        <v>0</v>
      </c>
      <c r="V245" s="150">
        <f>IFERROR(INDEX(Työkonekanta!$J$3:$J$27,MATCH($A245,Työkonekanta!$A$3:$A$24,0),1)*$B245*ef_li_ion_akku/1000/1000/INDEX(Työkonekanta!$K$3:$K$27,MATCH($A245,Työkonekanta!$A$3:$A$24,0)),0)</f>
        <v>0</v>
      </c>
      <c r="W245" s="149">
        <f t="shared" si="72"/>
        <v>26.0414120774808</v>
      </c>
      <c r="X245" s="150">
        <f t="shared" si="73"/>
        <v>0.34316531280000001</v>
      </c>
      <c r="Y245" s="151">
        <f t="shared" si="74"/>
        <v>0.14098943440233239</v>
      </c>
      <c r="Z245" s="152">
        <f t="shared" si="67"/>
        <v>8.8458317999999991</v>
      </c>
      <c r="AA245" s="153">
        <f t="shared" si="68"/>
        <v>26.182401511883132</v>
      </c>
      <c r="AB245" s="153">
        <f t="shared" si="69"/>
        <v>26.525566824683132</v>
      </c>
      <c r="AC245" s="154">
        <f t="shared" si="75"/>
        <v>35.028233311883127</v>
      </c>
      <c r="AD245" s="156">
        <f t="shared" si="70"/>
        <v>35.371398624683131</v>
      </c>
      <c r="AE245" s="182"/>
      <c r="AG245" s="2"/>
    </row>
    <row r="246" spans="1:37">
      <c r="A246" s="139">
        <v>4</v>
      </c>
      <c r="B246" s="139" cm="1">
        <f t="array" ref="B246">IFERROR(IF(A246=s1_id_korvattava1,INDEX($AG$3:$AG$19,MATCH(C246,$AF$3:$AF$19,0),1),IF(A246=s1_id_korvaava1,INDEX($AH$3:$AH$19,MATCH(C246,$AF$3:$AF$19,0),1),IF(A246=s1_id_korvattava2,INDEX($AI$3:$AI$19,MATCH(C246,$AF$3:$AF$19,0),1),IF(A246=s1_id_korvaava2,INDEX($AJ$3:$AJ$19,MATCH(C246,$AF$3:$AF$19,0),1),INDEX(Työkonekanta!$F$3:$F$27,MATCH('S1 Sähkö'!$A246,Työkonekanta!$A$3:$A$24,0),1))))),0)</f>
        <v>1</v>
      </c>
      <c r="C246" s="140">
        <v>2027</v>
      </c>
      <c r="D246" s="141" t="str">
        <f>IFERROR(INDEX(Työkonekanta!$D$3:$D$27,MATCH('S1 Sähkö'!$A246,Työkonekanta!$A$3:$A$24,0),1),"undefined")</f>
        <v>pom</v>
      </c>
      <c r="E246" s="145">
        <f>IFERROR(INDEX(Työkonekanta!$G$3:$G$27,MATCH($A246,Työkonekanta!$A$3:$A$24,0),1)*INDEX(Työkonekanta!$H$3:$H$27,MATCH($A246,Työkonekanta!$A$3:$A$24,0),1)*(1+s1_kerroin*($C246-2019))*$B246,0)</f>
        <v>10800</v>
      </c>
      <c r="F246" s="145">
        <f t="shared" si="58"/>
        <v>387720</v>
      </c>
      <c r="G246" s="145">
        <f t="shared" si="64"/>
        <v>352825.2</v>
      </c>
      <c r="H246" s="145">
        <f t="shared" si="65"/>
        <v>34894.799999999996</v>
      </c>
      <c r="I246" s="145">
        <f t="shared" si="59"/>
        <v>9828</v>
      </c>
      <c r="J246" s="145">
        <f t="shared" si="60"/>
        <v>1017.3411078717201</v>
      </c>
      <c r="K246" s="142" t="str">
        <f t="shared" si="66"/>
        <v>l</v>
      </c>
      <c r="L246" s="146">
        <f>IFERROR(INDEX(Työkonekanta!$I$3:$I$27,MATCH('S1 Sähkö'!$A246,Työkonekanta!$A$3:$A$24,0),1)*(I246+J246)*f_adblue,0)</f>
        <v>542.26705539358602</v>
      </c>
      <c r="M246" s="146">
        <f t="shared" si="71"/>
        <v>0</v>
      </c>
      <c r="N246" s="143" t="str">
        <f>IF(tuulisähkö_vuosi&lt;='S1 Sähkö'!C246,"tuulisähkö",ostosähkö_nyt)</f>
        <v>jäännössähkö</v>
      </c>
      <c r="O246" s="147">
        <f>INDEX(Muuttujat!$J$5:$J$21,MATCH($C246,Muuttujat!$H$5:$H$21,0),1)</f>
        <v>63.897506909426724</v>
      </c>
      <c r="P246" s="342">
        <f>1-(INDEX(Muuttujat!$O$5:$O$21,MATCH($C246,Muuttujat!$N$5:$N$21,0),1))</f>
        <v>0.91</v>
      </c>
      <c r="Q246" s="342">
        <f>INDEX(Muuttujat!$O$5:$O$21,MATCH($C246,Muuttujat!$N$5:$N$21,0),1)</f>
        <v>0.09</v>
      </c>
      <c r="R246" s="148">
        <f>INDEX(Muuttujat!$P$5:$P$21,MATCH($C246,Muuttujat!$N$5:$N$21,0),1)</f>
        <v>9.3804435869509845E-2</v>
      </c>
      <c r="S246" s="149">
        <f t="shared" si="61"/>
        <v>6.6683962799999987</v>
      </c>
      <c r="T246" s="150">
        <f t="shared" si="62"/>
        <v>2.1774355199999995</v>
      </c>
      <c r="U246" s="150">
        <f t="shared" si="63"/>
        <v>0</v>
      </c>
      <c r="V246" s="150">
        <f>IFERROR(INDEX(Työkonekanta!$J$3:$J$27,MATCH($A246,Työkonekanta!$A$3:$A$24,0),1)*$B246*ef_li_ion_akku/1000/1000/INDEX(Työkonekanta!$K$3:$K$27,MATCH($A246,Työkonekanta!$A$3:$A$24,0)),0)</f>
        <v>0</v>
      </c>
      <c r="W246" s="149">
        <f t="shared" si="72"/>
        <v>26.0414120774808</v>
      </c>
      <c r="X246" s="150">
        <f t="shared" si="73"/>
        <v>0.34316531280000001</v>
      </c>
      <c r="Y246" s="151">
        <f t="shared" si="74"/>
        <v>0.14098943440233239</v>
      </c>
      <c r="Z246" s="152">
        <f t="shared" si="67"/>
        <v>8.8458317999999991</v>
      </c>
      <c r="AA246" s="153">
        <f t="shared" si="68"/>
        <v>26.182401511883132</v>
      </c>
      <c r="AB246" s="153">
        <f t="shared" si="69"/>
        <v>26.525566824683132</v>
      </c>
      <c r="AC246" s="154">
        <f t="shared" si="75"/>
        <v>35.028233311883127</v>
      </c>
      <c r="AD246" s="156">
        <f t="shared" si="70"/>
        <v>35.371398624683131</v>
      </c>
      <c r="AE246" s="182"/>
      <c r="AG246" s="2"/>
    </row>
    <row r="247" spans="1:37">
      <c r="A247" s="139">
        <v>5</v>
      </c>
      <c r="B247" s="139" cm="1">
        <f t="array" ref="B247">IFERROR(IF(A247=s1_id_korvattava1,INDEX($AG$3:$AG$19,MATCH(C247,$AF$3:$AF$19,0),1),IF(A247=s1_id_korvaava1,INDEX($AH$3:$AH$19,MATCH(C247,$AF$3:$AF$19,0),1),IF(A247=s1_id_korvattava2,INDEX($AI$3:$AI$19,MATCH(C247,$AF$3:$AF$19,0),1),IF(A247=s1_id_korvaava2,INDEX($AJ$3:$AJ$19,MATCH(C247,$AF$3:$AF$19,0),1),INDEX(Työkonekanta!$F$3:$F$27,MATCH('S1 Sähkö'!$A247,Työkonekanta!$A$3:$A$24,0),1))))),0)</f>
        <v>0</v>
      </c>
      <c r="C247" s="140">
        <v>2027</v>
      </c>
      <c r="D247" s="141" t="str">
        <f>IFERROR(INDEX(Työkonekanta!$D$3:$D$27,MATCH('S1 Sähkö'!$A247,Työkonekanta!$A$3:$A$24,0),1),"undefined")</f>
        <v>sähkö</v>
      </c>
      <c r="E247" s="145">
        <f>IFERROR(INDEX(Työkonekanta!$G$3:$G$27,MATCH($A247,Työkonekanta!$A$3:$A$24,0),1)*INDEX(Työkonekanta!$H$3:$H$27,MATCH($A247,Työkonekanta!$A$3:$A$24,0),1)*(1+s1_kerroin*($C247-2019))*$B247,0)</f>
        <v>0</v>
      </c>
      <c r="F247" s="145">
        <f t="shared" si="58"/>
        <v>0</v>
      </c>
      <c r="G247" s="145">
        <f t="shared" si="64"/>
        <v>0</v>
      </c>
      <c r="H247" s="145">
        <f t="shared" si="65"/>
        <v>0</v>
      </c>
      <c r="I247" s="145">
        <f t="shared" si="59"/>
        <v>0</v>
      </c>
      <c r="J247" s="145">
        <f t="shared" si="60"/>
        <v>0</v>
      </c>
      <c r="K247" s="142" t="str">
        <f t="shared" si="66"/>
        <v>kWh</v>
      </c>
      <c r="L247" s="146">
        <f>IFERROR(INDEX(Työkonekanta!$I$3:$I$27,MATCH('S1 Sähkö'!$A247,Työkonekanta!$A$3:$A$24,0),1)*(I247+J247)*f_adblue,0)</f>
        <v>0</v>
      </c>
      <c r="M247" s="146">
        <f t="shared" si="71"/>
        <v>0</v>
      </c>
      <c r="N247" s="143" t="str">
        <f>IF(tuulisähkö_vuosi&lt;='S1 Sähkö'!C247,"tuulisähkö",ostosähkö_nyt)</f>
        <v>jäännössähkö</v>
      </c>
      <c r="O247" s="147">
        <f>INDEX(Muuttujat!$J$5:$J$21,MATCH($C247,Muuttujat!$H$5:$H$21,0),1)</f>
        <v>63.897506909426724</v>
      </c>
      <c r="P247" s="342">
        <f>1-(INDEX(Muuttujat!$O$5:$O$21,MATCH($C247,Muuttujat!$N$5:$N$21,0),1))</f>
        <v>0.91</v>
      </c>
      <c r="Q247" s="342">
        <f>INDEX(Muuttujat!$O$5:$O$21,MATCH($C247,Muuttujat!$N$5:$N$21,0),1)</f>
        <v>0.09</v>
      </c>
      <c r="R247" s="148">
        <f>INDEX(Muuttujat!$P$5:$P$21,MATCH($C247,Muuttujat!$N$5:$N$21,0),1)</f>
        <v>9.3804435869509845E-2</v>
      </c>
      <c r="S247" s="149">
        <f t="shared" si="61"/>
        <v>0</v>
      </c>
      <c r="T247" s="150">
        <f t="shared" si="62"/>
        <v>0</v>
      </c>
      <c r="U247" s="150">
        <f t="shared" si="63"/>
        <v>0</v>
      </c>
      <c r="V247" s="150">
        <f>IFERROR(INDEX(Työkonekanta!$J$3:$J$27,MATCH($A247,Työkonekanta!$A$3:$A$24,0),1)*$B247*ef_li_ion_akku/1000/1000/INDEX(Työkonekanta!$K$3:$K$27,MATCH($A247,Työkonekanta!$A$3:$A$24,0)),0)</f>
        <v>0</v>
      </c>
      <c r="W247" s="149">
        <f t="shared" si="72"/>
        <v>0</v>
      </c>
      <c r="X247" s="150">
        <f t="shared" si="73"/>
        <v>0</v>
      </c>
      <c r="Y247" s="151">
        <f t="shared" si="74"/>
        <v>0</v>
      </c>
      <c r="Z247" s="152">
        <f t="shared" si="67"/>
        <v>0</v>
      </c>
      <c r="AA247" s="153">
        <f t="shared" si="68"/>
        <v>0</v>
      </c>
      <c r="AB247" s="153">
        <f t="shared" si="69"/>
        <v>0</v>
      </c>
      <c r="AC247" s="154">
        <f t="shared" si="75"/>
        <v>0</v>
      </c>
      <c r="AD247" s="156">
        <f t="shared" si="70"/>
        <v>0</v>
      </c>
      <c r="AE247" s="182"/>
      <c r="AG247" s="2"/>
    </row>
    <row r="248" spans="1:37">
      <c r="A248" s="139">
        <v>6</v>
      </c>
      <c r="B248" s="139" cm="1">
        <f t="array" ref="B248">IFERROR(IF(A248=s1_id_korvattava1,INDEX($AG$3:$AG$19,MATCH(C248,$AF$3:$AF$19,0),1),IF(A248=s1_id_korvaava1,INDEX($AH$3:$AH$19,MATCH(C248,$AF$3:$AF$19,0),1),IF(A248=s1_id_korvattava2,INDEX($AI$3:$AI$19,MATCH(C248,$AF$3:$AF$19,0),1),IF(A248=s1_id_korvaava2,INDEX($AJ$3:$AJ$19,MATCH(C248,$AF$3:$AF$19,0),1),INDEX(Työkonekanta!$F$3:$F$27,MATCH('S1 Sähkö'!$A248,Työkonekanta!$A$3:$A$24,0),1))))),0)</f>
        <v>0</v>
      </c>
      <c r="C248" s="140">
        <v>2027</v>
      </c>
      <c r="D248" s="141" t="str">
        <f>IFERROR(INDEX(Työkonekanta!$D$3:$D$27,MATCH('S1 Sähkö'!$A248,Työkonekanta!$A$3:$A$24,0),1),"undefined")</f>
        <v>sähkö</v>
      </c>
      <c r="E248" s="145">
        <f>IFERROR(INDEX(Työkonekanta!$G$3:$G$27,MATCH($A248,Työkonekanta!$A$3:$A$24,0),1)*INDEX(Työkonekanta!$H$3:$H$27,MATCH($A248,Työkonekanta!$A$3:$A$24,0),1)*(1+s1_kerroin*($C248-2019))*$B248,0)</f>
        <v>0</v>
      </c>
      <c r="F248" s="145">
        <f t="shared" si="58"/>
        <v>0</v>
      </c>
      <c r="G248" s="145">
        <f t="shared" si="64"/>
        <v>0</v>
      </c>
      <c r="H248" s="145">
        <f t="shared" si="65"/>
        <v>0</v>
      </c>
      <c r="I248" s="145">
        <f t="shared" si="59"/>
        <v>0</v>
      </c>
      <c r="J248" s="145">
        <f t="shared" si="60"/>
        <v>0</v>
      </c>
      <c r="K248" s="142" t="str">
        <f t="shared" si="66"/>
        <v>kWh</v>
      </c>
      <c r="L248" s="146">
        <f>IFERROR(INDEX(Työkonekanta!$I$3:$I$27,MATCH('S1 Sähkö'!$A248,Työkonekanta!$A$3:$A$24,0),1)*(I248+J248)*f_adblue,0)</f>
        <v>0</v>
      </c>
      <c r="M248" s="146">
        <f t="shared" si="71"/>
        <v>0</v>
      </c>
      <c r="N248" s="143" t="str">
        <f>IF(tuulisähkö_vuosi&lt;='S1 Sähkö'!C248,"tuulisähkö",ostosähkö_nyt)</f>
        <v>jäännössähkö</v>
      </c>
      <c r="O248" s="147">
        <f>INDEX(Muuttujat!$J$5:$J$21,MATCH($C248,Muuttujat!$H$5:$H$21,0),1)</f>
        <v>63.897506909426724</v>
      </c>
      <c r="P248" s="342">
        <f>1-(INDEX(Muuttujat!$O$5:$O$21,MATCH($C248,Muuttujat!$N$5:$N$21,0),1))</f>
        <v>0.91</v>
      </c>
      <c r="Q248" s="342">
        <f>INDEX(Muuttujat!$O$5:$O$21,MATCH($C248,Muuttujat!$N$5:$N$21,0),1)</f>
        <v>0.09</v>
      </c>
      <c r="R248" s="148">
        <f>INDEX(Muuttujat!$P$5:$P$21,MATCH($C248,Muuttujat!$N$5:$N$21,0),1)</f>
        <v>9.3804435869509845E-2</v>
      </c>
      <c r="S248" s="149">
        <f t="shared" si="61"/>
        <v>0</v>
      </c>
      <c r="T248" s="150">
        <f t="shared" si="62"/>
        <v>0</v>
      </c>
      <c r="U248" s="150">
        <f t="shared" si="63"/>
        <v>0</v>
      </c>
      <c r="V248" s="150">
        <f>IFERROR(INDEX(Työkonekanta!$J$3:$J$27,MATCH($A248,Työkonekanta!$A$3:$A$24,0),1)*$B248*ef_li_ion_akku/1000/1000/INDEX(Työkonekanta!$K$3:$K$27,MATCH($A248,Työkonekanta!$A$3:$A$24,0)),0)</f>
        <v>0</v>
      </c>
      <c r="W248" s="149">
        <f t="shared" si="72"/>
        <v>0</v>
      </c>
      <c r="X248" s="150">
        <f t="shared" si="73"/>
        <v>0</v>
      </c>
      <c r="Y248" s="151">
        <f t="shared" si="74"/>
        <v>0</v>
      </c>
      <c r="Z248" s="152">
        <f t="shared" si="67"/>
        <v>0</v>
      </c>
      <c r="AA248" s="153">
        <f t="shared" si="68"/>
        <v>0</v>
      </c>
      <c r="AB248" s="153">
        <f t="shared" si="69"/>
        <v>0</v>
      </c>
      <c r="AC248" s="154">
        <f t="shared" si="75"/>
        <v>0</v>
      </c>
      <c r="AD248" s="156">
        <f t="shared" si="70"/>
        <v>0</v>
      </c>
      <c r="AE248" s="182"/>
      <c r="AG248" s="2"/>
    </row>
    <row r="249" spans="1:37">
      <c r="A249" s="139">
        <v>7</v>
      </c>
      <c r="B249" s="139" cm="1">
        <f t="array" ref="B249">IFERROR(IF(A249=s1_id_korvattava1,INDEX($AG$3:$AG$19,MATCH(C249,$AF$3:$AF$19,0),1),IF(A249=s1_id_korvaava1,INDEX($AH$3:$AH$19,MATCH(C249,$AF$3:$AF$19,0),1),IF(A249=s1_id_korvattava2,INDEX($AI$3:$AI$19,MATCH(C249,$AF$3:$AF$19,0),1),IF(A249=s1_id_korvaava2,INDEX($AJ$3:$AJ$19,MATCH(C249,$AF$3:$AF$19,0),1),INDEX(Työkonekanta!$F$3:$F$27,MATCH('S1 Sähkö'!$A249,Työkonekanta!$A$3:$A$24,0),1))))),0)</f>
        <v>1</v>
      </c>
      <c r="C249" s="140">
        <v>2027</v>
      </c>
      <c r="D249" s="141" t="str">
        <f>IFERROR(INDEX(Työkonekanta!$D$3:$D$27,MATCH('S1 Sähkö'!$A249,Työkonekanta!$A$3:$A$24,0),1),"undefined")</f>
        <v>pom</v>
      </c>
      <c r="E249" s="145">
        <f>IFERROR(INDEX(Työkonekanta!$G$3:$G$27,MATCH($A249,Työkonekanta!$A$3:$A$24,0),1)*INDEX(Työkonekanta!$H$3:$H$27,MATCH($A249,Työkonekanta!$A$3:$A$24,0),1)*(1+s1_kerroin*($C249-2019))*$B249,0)</f>
        <v>10800</v>
      </c>
      <c r="F249" s="145">
        <f t="shared" si="58"/>
        <v>387720</v>
      </c>
      <c r="G249" s="145">
        <f t="shared" si="64"/>
        <v>352825.2</v>
      </c>
      <c r="H249" s="145">
        <f t="shared" si="65"/>
        <v>34894.799999999996</v>
      </c>
      <c r="I249" s="145">
        <f t="shared" si="59"/>
        <v>9828</v>
      </c>
      <c r="J249" s="145">
        <f t="shared" si="60"/>
        <v>1017.3411078717201</v>
      </c>
      <c r="K249" s="142" t="str">
        <f t="shared" si="66"/>
        <v>l</v>
      </c>
      <c r="L249" s="146">
        <f>IFERROR(INDEX(Työkonekanta!$I$3:$I$27,MATCH('S1 Sähkö'!$A249,Työkonekanta!$A$3:$A$24,0),1)*(I249+J249)*f_adblue,0)</f>
        <v>0</v>
      </c>
      <c r="M249" s="146">
        <f t="shared" si="71"/>
        <v>0</v>
      </c>
      <c r="N249" s="143" t="str">
        <f>IF(tuulisähkö_vuosi&lt;='S1 Sähkö'!C249,"tuulisähkö",ostosähkö_nyt)</f>
        <v>jäännössähkö</v>
      </c>
      <c r="O249" s="147">
        <f>INDEX(Muuttujat!$J$5:$J$21,MATCH($C249,Muuttujat!$H$5:$H$21,0),1)</f>
        <v>63.897506909426724</v>
      </c>
      <c r="P249" s="342">
        <f>1-(INDEX(Muuttujat!$O$5:$O$21,MATCH($C249,Muuttujat!$N$5:$N$21,0),1))</f>
        <v>0.91</v>
      </c>
      <c r="Q249" s="342">
        <f>INDEX(Muuttujat!$O$5:$O$21,MATCH($C249,Muuttujat!$N$5:$N$21,0),1)</f>
        <v>0.09</v>
      </c>
      <c r="R249" s="148">
        <f>INDEX(Muuttujat!$P$5:$P$21,MATCH($C249,Muuttujat!$N$5:$N$21,0),1)</f>
        <v>9.3804435869509845E-2</v>
      </c>
      <c r="S249" s="149">
        <f t="shared" si="61"/>
        <v>6.6683962799999987</v>
      </c>
      <c r="T249" s="150">
        <f t="shared" si="62"/>
        <v>2.1774355199999995</v>
      </c>
      <c r="U249" s="150">
        <f t="shared" si="63"/>
        <v>0</v>
      </c>
      <c r="V249" s="150">
        <f>IFERROR(INDEX(Työkonekanta!$J$3:$J$27,MATCH($A249,Työkonekanta!$A$3:$A$24,0),1)*$B249*ef_li_ion_akku/1000/1000/INDEX(Työkonekanta!$K$3:$K$27,MATCH($A249,Työkonekanta!$A$3:$A$24,0)),0)</f>
        <v>0</v>
      </c>
      <c r="W249" s="149">
        <f t="shared" si="72"/>
        <v>26.0414120774808</v>
      </c>
      <c r="X249" s="150">
        <f t="shared" si="73"/>
        <v>0.34316531280000001</v>
      </c>
      <c r="Y249" s="151">
        <f t="shared" si="74"/>
        <v>0</v>
      </c>
      <c r="Z249" s="152">
        <f t="shared" si="67"/>
        <v>8.8458317999999991</v>
      </c>
      <c r="AA249" s="153">
        <f t="shared" si="68"/>
        <v>26.0414120774808</v>
      </c>
      <c r="AB249" s="153">
        <f t="shared" si="69"/>
        <v>26.3845773902808</v>
      </c>
      <c r="AC249" s="154">
        <f t="shared" si="75"/>
        <v>34.887243877480799</v>
      </c>
      <c r="AD249" s="156">
        <f t="shared" si="70"/>
        <v>35.230409190280795</v>
      </c>
      <c r="AE249" s="182"/>
      <c r="AG249" s="2"/>
    </row>
    <row r="250" spans="1:37">
      <c r="A250" s="139">
        <v>8</v>
      </c>
      <c r="B250" s="139" cm="1">
        <f t="array" ref="B250">IFERROR(IF(A250=s1_id_korvattava1,INDEX($AG$3:$AG$19,MATCH(C250,$AF$3:$AF$19,0),1),IF(A250=s1_id_korvaava1,INDEX($AH$3:$AH$19,MATCH(C250,$AF$3:$AF$19,0),1),IF(A250=s1_id_korvattava2,INDEX($AI$3:$AI$19,MATCH(C250,$AF$3:$AF$19,0),1),IF(A250=s1_id_korvaava2,INDEX($AJ$3:$AJ$19,MATCH(C250,$AF$3:$AF$19,0),1),INDEX(Työkonekanta!$F$3:$F$27,MATCH('S1 Sähkö'!$A250,Työkonekanta!$A$3:$A$24,0),1))))),0)</f>
        <v>1</v>
      </c>
      <c r="C250" s="140">
        <v>2027</v>
      </c>
      <c r="D250" s="141" t="str">
        <f>IFERROR(INDEX(Työkonekanta!$D$3:$D$27,MATCH('S1 Sähkö'!$A250,Työkonekanta!$A$3:$A$24,0),1),"undefined")</f>
        <v>pom</v>
      </c>
      <c r="E250" s="145">
        <f>IFERROR(INDEX(Työkonekanta!$G$3:$G$27,MATCH($A250,Työkonekanta!$A$3:$A$24,0),1)*INDEX(Työkonekanta!$H$3:$H$27,MATCH($A250,Työkonekanta!$A$3:$A$24,0),1)*(1+s1_kerroin*($C250-2019))*$B250,0)</f>
        <v>10800</v>
      </c>
      <c r="F250" s="145">
        <f t="shared" si="58"/>
        <v>387720</v>
      </c>
      <c r="G250" s="145">
        <f t="shared" si="64"/>
        <v>352825.2</v>
      </c>
      <c r="H250" s="145">
        <f t="shared" si="65"/>
        <v>34894.799999999996</v>
      </c>
      <c r="I250" s="145">
        <f t="shared" si="59"/>
        <v>9828</v>
      </c>
      <c r="J250" s="145">
        <f t="shared" si="60"/>
        <v>1017.3411078717201</v>
      </c>
      <c r="K250" s="142" t="str">
        <f t="shared" si="66"/>
        <v>l</v>
      </c>
      <c r="L250" s="146">
        <f>IFERROR(INDEX(Työkonekanta!$I$3:$I$27,MATCH('S1 Sähkö'!$A250,Työkonekanta!$A$3:$A$24,0),1)*(I250+J250)*f_adblue,0)</f>
        <v>542.26705539358602</v>
      </c>
      <c r="M250" s="146">
        <f t="shared" si="71"/>
        <v>0</v>
      </c>
      <c r="N250" s="143" t="str">
        <f>IF(tuulisähkö_vuosi&lt;='S1 Sähkö'!C250,"tuulisähkö",ostosähkö_nyt)</f>
        <v>jäännössähkö</v>
      </c>
      <c r="O250" s="147">
        <f>INDEX(Muuttujat!$J$5:$J$21,MATCH($C250,Muuttujat!$H$5:$H$21,0),1)</f>
        <v>63.897506909426724</v>
      </c>
      <c r="P250" s="342">
        <f>1-(INDEX(Muuttujat!$O$5:$O$21,MATCH($C250,Muuttujat!$N$5:$N$21,0),1))</f>
        <v>0.91</v>
      </c>
      <c r="Q250" s="342">
        <f>INDEX(Muuttujat!$O$5:$O$21,MATCH($C250,Muuttujat!$N$5:$N$21,0),1)</f>
        <v>0.09</v>
      </c>
      <c r="R250" s="148">
        <f>INDEX(Muuttujat!$P$5:$P$21,MATCH($C250,Muuttujat!$N$5:$N$21,0),1)</f>
        <v>9.3804435869509845E-2</v>
      </c>
      <c r="S250" s="149">
        <f t="shared" si="61"/>
        <v>6.6683962799999987</v>
      </c>
      <c r="T250" s="150">
        <f t="shared" si="62"/>
        <v>2.1774355199999995</v>
      </c>
      <c r="U250" s="150">
        <f t="shared" si="63"/>
        <v>0</v>
      </c>
      <c r="V250" s="150">
        <f>IFERROR(INDEX(Työkonekanta!$J$3:$J$27,MATCH($A250,Työkonekanta!$A$3:$A$24,0),1)*$B250*ef_li_ion_akku/1000/1000/INDEX(Työkonekanta!$K$3:$K$27,MATCH($A250,Työkonekanta!$A$3:$A$24,0)),0)</f>
        <v>0</v>
      </c>
      <c r="W250" s="149">
        <f t="shared" si="72"/>
        <v>26.0414120774808</v>
      </c>
      <c r="X250" s="150">
        <f t="shared" si="73"/>
        <v>0.34316531280000001</v>
      </c>
      <c r="Y250" s="151">
        <f t="shared" si="74"/>
        <v>0.14098943440233239</v>
      </c>
      <c r="Z250" s="152">
        <f t="shared" si="67"/>
        <v>8.8458317999999991</v>
      </c>
      <c r="AA250" s="153">
        <f t="shared" si="68"/>
        <v>26.182401511883132</v>
      </c>
      <c r="AB250" s="153">
        <f t="shared" si="69"/>
        <v>26.525566824683132</v>
      </c>
      <c r="AC250" s="154">
        <f t="shared" si="75"/>
        <v>35.028233311883127</v>
      </c>
      <c r="AD250" s="156">
        <f t="shared" si="70"/>
        <v>35.371398624683131</v>
      </c>
      <c r="AE250" s="182"/>
      <c r="AG250" s="2"/>
    </row>
    <row r="251" spans="1:37">
      <c r="A251" s="139">
        <v>9</v>
      </c>
      <c r="B251" s="139" cm="1">
        <f t="array" ref="B251">IFERROR(IF(A251=s1_id_korvattava1,INDEX($AG$3:$AG$19,MATCH(C251,$AF$3:$AF$19,0),1),IF(A251=s1_id_korvaava1,INDEX($AH$3:$AH$19,MATCH(C251,$AF$3:$AF$19,0),1),IF(A251=s1_id_korvattava2,INDEX($AI$3:$AI$19,MATCH(C251,$AF$3:$AF$19,0),1),IF(A251=s1_id_korvaava2,INDEX($AJ$3:$AJ$19,MATCH(C251,$AF$3:$AF$19,0),1),INDEX(Työkonekanta!$F$3:$F$27,MATCH('S1 Sähkö'!$A251,Työkonekanta!$A$3:$A$24,0),1))))),0)</f>
        <v>0</v>
      </c>
      <c r="C251" s="140">
        <v>2027</v>
      </c>
      <c r="D251" s="141" t="str">
        <f>IFERROR(INDEX(Työkonekanta!$D$3:$D$27,MATCH('S1 Sähkö'!$A251,Työkonekanta!$A$3:$A$24,0),1),"undefined")</f>
        <v>sähkö</v>
      </c>
      <c r="E251" s="145">
        <f>IFERROR(INDEX(Työkonekanta!$G$3:$G$27,MATCH($A251,Työkonekanta!$A$3:$A$24,0),1)*INDEX(Työkonekanta!$H$3:$H$27,MATCH($A251,Työkonekanta!$A$3:$A$24,0),1)*(1+s1_kerroin*($C251-2019))*$B251,0)</f>
        <v>0</v>
      </c>
      <c r="F251" s="145">
        <f t="shared" si="58"/>
        <v>0</v>
      </c>
      <c r="G251" s="145">
        <f t="shared" si="64"/>
        <v>0</v>
      </c>
      <c r="H251" s="145">
        <f t="shared" si="65"/>
        <v>0</v>
      </c>
      <c r="I251" s="145">
        <f t="shared" si="59"/>
        <v>0</v>
      </c>
      <c r="J251" s="145">
        <f t="shared" si="60"/>
        <v>0</v>
      </c>
      <c r="K251" s="142" t="str">
        <f t="shared" si="66"/>
        <v>kWh</v>
      </c>
      <c r="L251" s="146">
        <f>IFERROR(INDEX(Työkonekanta!$I$3:$I$27,MATCH('S1 Sähkö'!$A251,Työkonekanta!$A$3:$A$24,0),1)*(I251+J251)*f_adblue,0)</f>
        <v>0</v>
      </c>
      <c r="M251" s="146">
        <f t="shared" si="71"/>
        <v>0</v>
      </c>
      <c r="N251" s="143" t="str">
        <f>IF(tuulisähkö_vuosi&lt;='S1 Sähkö'!C251,"tuulisähkö",ostosähkö_nyt)</f>
        <v>jäännössähkö</v>
      </c>
      <c r="O251" s="147">
        <f>INDEX(Muuttujat!$J$5:$J$21,MATCH($C251,Muuttujat!$H$5:$H$21,0),1)</f>
        <v>63.897506909426724</v>
      </c>
      <c r="P251" s="342">
        <f>1-(INDEX(Muuttujat!$O$5:$O$21,MATCH($C251,Muuttujat!$N$5:$N$21,0),1))</f>
        <v>0.91</v>
      </c>
      <c r="Q251" s="342">
        <f>INDEX(Muuttujat!$O$5:$O$21,MATCH($C251,Muuttujat!$N$5:$N$21,0),1)</f>
        <v>0.09</v>
      </c>
      <c r="R251" s="148">
        <f>INDEX(Muuttujat!$P$5:$P$21,MATCH($C251,Muuttujat!$N$5:$N$21,0),1)</f>
        <v>9.3804435869509845E-2</v>
      </c>
      <c r="S251" s="149">
        <f t="shared" si="61"/>
        <v>0</v>
      </c>
      <c r="T251" s="150">
        <f t="shared" si="62"/>
        <v>0</v>
      </c>
      <c r="U251" s="150">
        <f t="shared" si="63"/>
        <v>0</v>
      </c>
      <c r="V251" s="150">
        <f>IFERROR(INDEX(Työkonekanta!$J$3:$J$27,MATCH($A251,Työkonekanta!$A$3:$A$24,0),1)*$B251*ef_li_ion_akku/1000/1000/INDEX(Työkonekanta!$K$3:$K$27,MATCH($A251,Työkonekanta!$A$3:$A$24,0)),0)</f>
        <v>0</v>
      </c>
      <c r="W251" s="149">
        <f t="shared" si="72"/>
        <v>0</v>
      </c>
      <c r="X251" s="150">
        <f t="shared" si="73"/>
        <v>0</v>
      </c>
      <c r="Y251" s="151">
        <f t="shared" si="74"/>
        <v>0</v>
      </c>
      <c r="Z251" s="152">
        <f t="shared" si="67"/>
        <v>0</v>
      </c>
      <c r="AA251" s="153">
        <f t="shared" si="68"/>
        <v>0</v>
      </c>
      <c r="AB251" s="153">
        <f t="shared" si="69"/>
        <v>0</v>
      </c>
      <c r="AC251" s="154">
        <f t="shared" si="75"/>
        <v>0</v>
      </c>
      <c r="AD251" s="156">
        <f t="shared" si="70"/>
        <v>0</v>
      </c>
      <c r="AE251" s="182"/>
      <c r="AG251" s="2"/>
    </row>
    <row r="252" spans="1:37">
      <c r="A252" s="139">
        <v>10</v>
      </c>
      <c r="B252" s="139" cm="1">
        <f t="array" ref="B252">IFERROR(IF(A252=s1_id_korvattava1,INDEX($AG$3:$AG$19,MATCH(C252,$AF$3:$AF$19,0),1),IF(A252=s1_id_korvaava1,INDEX($AH$3:$AH$19,MATCH(C252,$AF$3:$AF$19,0),1),IF(A252=s1_id_korvattava2,INDEX($AI$3:$AI$19,MATCH(C252,$AF$3:$AF$19,0),1),IF(A252=s1_id_korvaava2,INDEX($AJ$3:$AJ$19,MATCH(C252,$AF$3:$AF$19,0),1),INDEX(Työkonekanta!$F$3:$F$27,MATCH('S1 Sähkö'!$A252,Työkonekanta!$A$3:$A$24,0),1))))),0)</f>
        <v>0</v>
      </c>
      <c r="C252" s="140">
        <v>2027</v>
      </c>
      <c r="D252" s="141" t="str">
        <f>IFERROR(INDEX(Työkonekanta!$D$3:$D$27,MATCH('S1 Sähkö'!$A252,Työkonekanta!$A$3:$A$24,0),1),"undefined")</f>
        <v>sähkö</v>
      </c>
      <c r="E252" s="145">
        <f>IFERROR(INDEX(Työkonekanta!$G$3:$G$27,MATCH($A252,Työkonekanta!$A$3:$A$24,0),1)*INDEX(Työkonekanta!$H$3:$H$27,MATCH($A252,Työkonekanta!$A$3:$A$24,0),1)*(1+s1_kerroin*($C252-2019))*$B252,0)</f>
        <v>0</v>
      </c>
      <c r="F252" s="145">
        <f t="shared" si="58"/>
        <v>0</v>
      </c>
      <c r="G252" s="145">
        <f t="shared" si="64"/>
        <v>0</v>
      </c>
      <c r="H252" s="145">
        <f t="shared" si="65"/>
        <v>0</v>
      </c>
      <c r="I252" s="145">
        <f t="shared" si="59"/>
        <v>0</v>
      </c>
      <c r="J252" s="145">
        <f t="shared" si="60"/>
        <v>0</v>
      </c>
      <c r="K252" s="142" t="str">
        <f t="shared" si="66"/>
        <v>kWh</v>
      </c>
      <c r="L252" s="146">
        <f>IFERROR(INDEX(Työkonekanta!$I$3:$I$27,MATCH('S1 Sähkö'!$A252,Työkonekanta!$A$3:$A$24,0),1)*(I252+J252)*f_adblue,0)</f>
        <v>0</v>
      </c>
      <c r="M252" s="146">
        <f t="shared" si="71"/>
        <v>0</v>
      </c>
      <c r="N252" s="143" t="str">
        <f>IF(tuulisähkö_vuosi&lt;='S1 Sähkö'!C252,"tuulisähkö",ostosähkö_nyt)</f>
        <v>jäännössähkö</v>
      </c>
      <c r="O252" s="147">
        <f>INDEX(Muuttujat!$J$5:$J$21,MATCH($C252,Muuttujat!$H$5:$H$21,0),1)</f>
        <v>63.897506909426724</v>
      </c>
      <c r="P252" s="342">
        <f>1-(INDEX(Muuttujat!$O$5:$O$21,MATCH($C252,Muuttujat!$N$5:$N$21,0),1))</f>
        <v>0.91</v>
      </c>
      <c r="Q252" s="342">
        <f>INDEX(Muuttujat!$O$5:$O$21,MATCH($C252,Muuttujat!$N$5:$N$21,0),1)</f>
        <v>0.09</v>
      </c>
      <c r="R252" s="148">
        <f>INDEX(Muuttujat!$P$5:$P$21,MATCH($C252,Muuttujat!$N$5:$N$21,0),1)</f>
        <v>9.3804435869509845E-2</v>
      </c>
      <c r="S252" s="149">
        <f t="shared" si="61"/>
        <v>0</v>
      </c>
      <c r="T252" s="150">
        <f t="shared" si="62"/>
        <v>0</v>
      </c>
      <c r="U252" s="150">
        <f t="shared" si="63"/>
        <v>0</v>
      </c>
      <c r="V252" s="150">
        <f>IFERROR(INDEX(Työkonekanta!$J$3:$J$27,MATCH($A252,Työkonekanta!$A$3:$A$24,0),1)*$B252*ef_li_ion_akku/1000/1000/INDEX(Työkonekanta!$K$3:$K$27,MATCH($A252,Työkonekanta!$A$3:$A$24,0)),0)</f>
        <v>0</v>
      </c>
      <c r="W252" s="149">
        <f t="shared" si="72"/>
        <v>0</v>
      </c>
      <c r="X252" s="150">
        <f t="shared" si="73"/>
        <v>0</v>
      </c>
      <c r="Y252" s="151">
        <f t="shared" si="74"/>
        <v>0</v>
      </c>
      <c r="Z252" s="152">
        <f t="shared" si="67"/>
        <v>0</v>
      </c>
      <c r="AA252" s="153">
        <f t="shared" si="68"/>
        <v>0</v>
      </c>
      <c r="AB252" s="153">
        <f t="shared" si="69"/>
        <v>0</v>
      </c>
      <c r="AC252" s="154">
        <f t="shared" si="75"/>
        <v>0</v>
      </c>
      <c r="AD252" s="156">
        <f t="shared" si="70"/>
        <v>0</v>
      </c>
      <c r="AE252" s="182"/>
      <c r="AG252" s="2"/>
    </row>
    <row r="253" spans="1:37">
      <c r="A253" s="139">
        <v>11</v>
      </c>
      <c r="B253" s="139" cm="1">
        <f t="array" ref="B253">IFERROR(IF(A253=s1_id_korvattava1,INDEX($AG$3:$AG$19,MATCH(C253,$AF$3:$AF$19,0),1),IF(A253=s1_id_korvaava1,INDEX($AH$3:$AH$19,MATCH(C253,$AF$3:$AF$19,0),1),IF(A253=s1_id_korvattava2,INDEX($AI$3:$AI$19,MATCH(C253,$AF$3:$AF$19,0),1),IF(A253=s1_id_korvaava2,INDEX($AJ$3:$AJ$19,MATCH(C253,$AF$3:$AF$19,0),1),INDEX(Työkonekanta!$F$3:$F$27,MATCH('S1 Sähkö'!$A253,Työkonekanta!$A$3:$A$24,0),1))))),0)</f>
        <v>1</v>
      </c>
      <c r="C253" s="140">
        <v>2027</v>
      </c>
      <c r="D253" s="141" t="str">
        <f>IFERROR(INDEX(Työkonekanta!$D$3:$D$27,MATCH('S1 Sähkö'!$A253,Työkonekanta!$A$3:$A$24,0),1),"undefined")</f>
        <v>pom</v>
      </c>
      <c r="E253" s="145">
        <f>IFERROR(INDEX(Työkonekanta!$G$3:$G$27,MATCH($A253,Työkonekanta!$A$3:$A$24,0),1)*INDEX(Työkonekanta!$H$3:$H$27,MATCH($A253,Työkonekanta!$A$3:$A$24,0),1)*(1+s1_kerroin*($C253-2019))*$B253,0)</f>
        <v>10800</v>
      </c>
      <c r="F253" s="145">
        <f t="shared" si="58"/>
        <v>387720</v>
      </c>
      <c r="G253" s="145">
        <f t="shared" si="64"/>
        <v>352825.2</v>
      </c>
      <c r="H253" s="145">
        <f t="shared" si="65"/>
        <v>34894.799999999996</v>
      </c>
      <c r="I253" s="145">
        <f t="shared" si="59"/>
        <v>9828</v>
      </c>
      <c r="J253" s="145">
        <f t="shared" si="60"/>
        <v>1017.3411078717201</v>
      </c>
      <c r="K253" s="142" t="str">
        <f t="shared" si="66"/>
        <v>l</v>
      </c>
      <c r="L253" s="146">
        <f>IFERROR(INDEX(Työkonekanta!$I$3:$I$27,MATCH('S1 Sähkö'!$A253,Työkonekanta!$A$3:$A$24,0),1)*(I253+J253)*f_adblue,0)</f>
        <v>542.26705539358602</v>
      </c>
      <c r="M253" s="146">
        <f t="shared" si="71"/>
        <v>0</v>
      </c>
      <c r="N253" s="143" t="str">
        <f>IF(tuulisähkö_vuosi&lt;='S1 Sähkö'!C253,"tuulisähkö",ostosähkö_nyt)</f>
        <v>jäännössähkö</v>
      </c>
      <c r="O253" s="147">
        <f>INDEX(Muuttujat!$J$5:$J$21,MATCH($C253,Muuttujat!$H$5:$H$21,0),1)</f>
        <v>63.897506909426724</v>
      </c>
      <c r="P253" s="342">
        <f>1-(INDEX(Muuttujat!$O$5:$O$21,MATCH($C253,Muuttujat!$N$5:$N$21,0),1))</f>
        <v>0.91</v>
      </c>
      <c r="Q253" s="342">
        <f>INDEX(Muuttujat!$O$5:$O$21,MATCH($C253,Muuttujat!$N$5:$N$21,0),1)</f>
        <v>0.09</v>
      </c>
      <c r="R253" s="148">
        <f>INDEX(Muuttujat!$P$5:$P$21,MATCH($C253,Muuttujat!$N$5:$N$21,0),1)</f>
        <v>9.3804435869509845E-2</v>
      </c>
      <c r="S253" s="149">
        <f t="shared" si="61"/>
        <v>6.6683962799999987</v>
      </c>
      <c r="T253" s="150">
        <f t="shared" si="62"/>
        <v>2.1774355199999995</v>
      </c>
      <c r="U253" s="150">
        <f t="shared" si="63"/>
        <v>0</v>
      </c>
      <c r="V253" s="150">
        <f>IFERROR(INDEX(Työkonekanta!$J$3:$J$27,MATCH($A253,Työkonekanta!$A$3:$A$24,0),1)*$B253*ef_li_ion_akku/1000/1000/INDEX(Työkonekanta!$K$3:$K$27,MATCH($A253,Työkonekanta!$A$3:$A$24,0)),0)</f>
        <v>0</v>
      </c>
      <c r="W253" s="149">
        <f t="shared" si="72"/>
        <v>26.0414120774808</v>
      </c>
      <c r="X253" s="150">
        <f t="shared" si="73"/>
        <v>0.34316531280000001</v>
      </c>
      <c r="Y253" s="151">
        <f t="shared" si="74"/>
        <v>0.14098943440233239</v>
      </c>
      <c r="Z253" s="152">
        <f t="shared" si="67"/>
        <v>8.8458317999999991</v>
      </c>
      <c r="AA253" s="153">
        <f t="shared" si="68"/>
        <v>26.182401511883132</v>
      </c>
      <c r="AB253" s="153">
        <f t="shared" si="69"/>
        <v>26.525566824683132</v>
      </c>
      <c r="AC253" s="154">
        <f t="shared" si="75"/>
        <v>35.028233311883127</v>
      </c>
      <c r="AD253" s="156">
        <f t="shared" si="70"/>
        <v>35.371398624683131</v>
      </c>
      <c r="AE253" s="182"/>
      <c r="AG253" s="2"/>
    </row>
    <row r="254" spans="1:37">
      <c r="A254" s="139">
        <v>12</v>
      </c>
      <c r="B254" s="139" cm="1">
        <f t="array" ref="B254">IFERROR(IF(A254=s1_id_korvattava1,INDEX($AG$3:$AG$19,MATCH(C254,$AF$3:$AF$19,0),1),IF(A254=s1_id_korvaava1,INDEX($AH$3:$AH$19,MATCH(C254,$AF$3:$AF$19,0),1),IF(A254=s1_id_korvattava2,INDEX($AI$3:$AI$19,MATCH(C254,$AF$3:$AF$19,0),1),IF(A254=s1_id_korvaava2,INDEX($AJ$3:$AJ$19,MATCH(C254,$AF$3:$AF$19,0),1),INDEX(Työkonekanta!$F$3:$F$27,MATCH('S1 Sähkö'!$A254,Työkonekanta!$A$3:$A$24,0),1))))),0)</f>
        <v>1</v>
      </c>
      <c r="C254" s="140">
        <v>2027</v>
      </c>
      <c r="D254" s="141" t="str">
        <f>IFERROR(INDEX(Työkonekanta!$D$3:$D$27,MATCH('S1 Sähkö'!$A254,Työkonekanta!$A$3:$A$24,0),1),"undefined")</f>
        <v>pom</v>
      </c>
      <c r="E254" s="145">
        <f>IFERROR(INDEX(Työkonekanta!$G$3:$G$27,MATCH($A254,Työkonekanta!$A$3:$A$24,0),1)*INDEX(Työkonekanta!$H$3:$H$27,MATCH($A254,Työkonekanta!$A$3:$A$24,0),1)*(1+s1_kerroin*($C254-2019))*$B254,0)</f>
        <v>10800</v>
      </c>
      <c r="F254" s="145">
        <f t="shared" si="58"/>
        <v>387720</v>
      </c>
      <c r="G254" s="145">
        <f t="shared" si="64"/>
        <v>352825.2</v>
      </c>
      <c r="H254" s="145">
        <f t="shared" si="65"/>
        <v>34894.799999999996</v>
      </c>
      <c r="I254" s="145">
        <f t="shared" si="59"/>
        <v>9828</v>
      </c>
      <c r="J254" s="145">
        <f t="shared" si="60"/>
        <v>1017.3411078717201</v>
      </c>
      <c r="K254" s="142" t="str">
        <f t="shared" si="66"/>
        <v>l</v>
      </c>
      <c r="L254" s="146">
        <f>IFERROR(INDEX(Työkonekanta!$I$3:$I$27,MATCH('S1 Sähkö'!$A254,Työkonekanta!$A$3:$A$24,0),1)*(I254+J254)*f_adblue,0)</f>
        <v>542.26705539358602</v>
      </c>
      <c r="M254" s="146">
        <f t="shared" si="71"/>
        <v>0</v>
      </c>
      <c r="N254" s="143" t="str">
        <f>IF(tuulisähkö_vuosi&lt;='S1 Sähkö'!C254,"tuulisähkö",ostosähkö_nyt)</f>
        <v>jäännössähkö</v>
      </c>
      <c r="O254" s="147">
        <f>INDEX(Muuttujat!$J$5:$J$21,MATCH($C254,Muuttujat!$H$5:$H$21,0),1)</f>
        <v>63.897506909426724</v>
      </c>
      <c r="P254" s="342">
        <f>1-(INDEX(Muuttujat!$O$5:$O$21,MATCH($C254,Muuttujat!$N$5:$N$21,0),1))</f>
        <v>0.91</v>
      </c>
      <c r="Q254" s="342">
        <f>INDEX(Muuttujat!$O$5:$O$21,MATCH($C254,Muuttujat!$N$5:$N$21,0),1)</f>
        <v>0.09</v>
      </c>
      <c r="R254" s="148">
        <f>INDEX(Muuttujat!$P$5:$P$21,MATCH($C254,Muuttujat!$N$5:$N$21,0),1)</f>
        <v>9.3804435869509845E-2</v>
      </c>
      <c r="S254" s="149">
        <f t="shared" si="61"/>
        <v>6.6683962799999987</v>
      </c>
      <c r="T254" s="150">
        <f t="shared" si="62"/>
        <v>2.1774355199999995</v>
      </c>
      <c r="U254" s="150">
        <f t="shared" si="63"/>
        <v>0</v>
      </c>
      <c r="V254" s="150">
        <f>IFERROR(INDEX(Työkonekanta!$J$3:$J$27,MATCH($A254,Työkonekanta!$A$3:$A$24,0),1)*$B254*ef_li_ion_akku/1000/1000/INDEX(Työkonekanta!$K$3:$K$27,MATCH($A254,Työkonekanta!$A$3:$A$24,0)),0)</f>
        <v>0</v>
      </c>
      <c r="W254" s="149">
        <f t="shared" si="72"/>
        <v>26.0414120774808</v>
      </c>
      <c r="X254" s="150">
        <f t="shared" si="73"/>
        <v>0.34316531280000001</v>
      </c>
      <c r="Y254" s="151">
        <f t="shared" si="74"/>
        <v>0.14098943440233239</v>
      </c>
      <c r="Z254" s="152">
        <f t="shared" si="67"/>
        <v>8.8458317999999991</v>
      </c>
      <c r="AA254" s="153">
        <f t="shared" si="68"/>
        <v>26.182401511883132</v>
      </c>
      <c r="AB254" s="153">
        <f t="shared" si="69"/>
        <v>26.525566824683132</v>
      </c>
      <c r="AC254" s="154">
        <f t="shared" si="75"/>
        <v>35.028233311883127</v>
      </c>
      <c r="AD254" s="156">
        <f t="shared" si="70"/>
        <v>35.371398624683131</v>
      </c>
      <c r="AE254" s="182"/>
      <c r="AG254" s="2"/>
    </row>
    <row r="255" spans="1:37">
      <c r="A255" s="139">
        <v>13</v>
      </c>
      <c r="B255" s="139" cm="1">
        <f t="array" ref="B255">IFERROR(IF(A255=s1_id_korvattava1,INDEX($AG$3:$AG$19,MATCH(C255,$AF$3:$AF$19,0),1),IF(A255=s1_id_korvaava1,INDEX($AH$3:$AH$19,MATCH(C255,$AF$3:$AF$19,0),1),IF(A255=s1_id_korvattava2,INDEX($AI$3:$AI$19,MATCH(C255,$AF$3:$AF$19,0),1),IF(A255=s1_id_korvaava2,INDEX($AJ$3:$AJ$19,MATCH(C255,$AF$3:$AF$19,0),1),INDEX(Työkonekanta!$F$3:$F$27,MATCH('S1 Sähkö'!$A255,Työkonekanta!$A$3:$A$24,0),1))))),0)</f>
        <v>0</v>
      </c>
      <c r="C255" s="140">
        <v>2027</v>
      </c>
      <c r="D255" s="141" t="str">
        <f>IFERROR(INDEX(Työkonekanta!$D$3:$D$27,MATCH('S1 Sähkö'!$A255,Työkonekanta!$A$3:$A$24,0),1),"undefined")</f>
        <v>pom</v>
      </c>
      <c r="E255" s="145">
        <f>IFERROR(INDEX(Työkonekanta!$G$3:$G$27,MATCH($A255,Työkonekanta!$A$3:$A$24,0),1)*INDEX(Työkonekanta!$H$3:$H$27,MATCH($A255,Työkonekanta!$A$3:$A$24,0),1)*(1+s1_kerroin*($C255-2019))*$B255,0)</f>
        <v>0</v>
      </c>
      <c r="F255" s="145">
        <f t="shared" si="58"/>
        <v>0</v>
      </c>
      <c r="G255" s="145">
        <f t="shared" si="64"/>
        <v>0</v>
      </c>
      <c r="H255" s="145">
        <f t="shared" si="65"/>
        <v>0</v>
      </c>
      <c r="I255" s="145">
        <f t="shared" si="59"/>
        <v>0</v>
      </c>
      <c r="J255" s="145">
        <f t="shared" si="60"/>
        <v>0</v>
      </c>
      <c r="K255" s="142" t="str">
        <f t="shared" si="66"/>
        <v>l</v>
      </c>
      <c r="L255" s="146">
        <f>IFERROR(INDEX(Työkonekanta!$I$3:$I$27,MATCH('S1 Sähkö'!$A255,Työkonekanta!$A$3:$A$24,0),1)*(I255+J255)*f_adblue,0)</f>
        <v>0</v>
      </c>
      <c r="M255" s="146">
        <f t="shared" si="71"/>
        <v>0</v>
      </c>
      <c r="N255" s="143" t="str">
        <f>IF(tuulisähkö_vuosi&lt;='S1 Sähkö'!C255,"tuulisähkö",ostosähkö_nyt)</f>
        <v>jäännössähkö</v>
      </c>
      <c r="O255" s="147">
        <f>INDEX(Muuttujat!$J$5:$J$21,MATCH($C255,Muuttujat!$H$5:$H$21,0),1)</f>
        <v>63.897506909426724</v>
      </c>
      <c r="P255" s="342">
        <f>1-(INDEX(Muuttujat!$O$5:$O$21,MATCH($C255,Muuttujat!$N$5:$N$21,0),1))</f>
        <v>0.91</v>
      </c>
      <c r="Q255" s="342">
        <f>INDEX(Muuttujat!$O$5:$O$21,MATCH($C255,Muuttujat!$N$5:$N$21,0),1)</f>
        <v>0.09</v>
      </c>
      <c r="R255" s="148">
        <f>INDEX(Muuttujat!$P$5:$P$21,MATCH($C255,Muuttujat!$N$5:$N$21,0),1)</f>
        <v>9.3804435869509845E-2</v>
      </c>
      <c r="S255" s="149">
        <f t="shared" si="61"/>
        <v>0</v>
      </c>
      <c r="T255" s="150">
        <f t="shared" si="62"/>
        <v>0</v>
      </c>
      <c r="U255" s="150">
        <f t="shared" si="63"/>
        <v>0</v>
      </c>
      <c r="V255" s="150">
        <f>IFERROR(INDEX(Työkonekanta!$J$3:$J$27,MATCH($A255,Työkonekanta!$A$3:$A$24,0),1)*$B255*ef_li_ion_akku/1000/1000/INDEX(Työkonekanta!$K$3:$K$27,MATCH($A255,Työkonekanta!$A$3:$A$24,0)),0)</f>
        <v>0</v>
      </c>
      <c r="W255" s="149">
        <f t="shared" si="72"/>
        <v>0</v>
      </c>
      <c r="X255" s="150">
        <f t="shared" si="73"/>
        <v>0</v>
      </c>
      <c r="Y255" s="151">
        <f t="shared" si="74"/>
        <v>0</v>
      </c>
      <c r="Z255" s="152">
        <f t="shared" si="67"/>
        <v>0</v>
      </c>
      <c r="AA255" s="153">
        <f t="shared" si="68"/>
        <v>0</v>
      </c>
      <c r="AB255" s="153">
        <f t="shared" si="69"/>
        <v>0</v>
      </c>
      <c r="AC255" s="154">
        <f t="shared" si="75"/>
        <v>0</v>
      </c>
      <c r="AD255" s="156">
        <f t="shared" si="70"/>
        <v>0</v>
      </c>
      <c r="AE255" s="182"/>
      <c r="AG255" s="2"/>
    </row>
    <row r="256" spans="1:37">
      <c r="A256" s="139">
        <v>14</v>
      </c>
      <c r="B256" s="139" cm="1">
        <f t="array" ref="B256">IFERROR(IF(A256=s1_id_korvattava1,INDEX($AG$3:$AG$19,MATCH(C256,$AF$3:$AF$19,0),1),IF(A256=s1_id_korvaava1,INDEX($AH$3:$AH$19,MATCH(C256,$AF$3:$AF$19,0),1),IF(A256=s1_id_korvattava2,INDEX($AI$3:$AI$19,MATCH(C256,$AF$3:$AF$19,0),1),IF(A256=s1_id_korvaava2,INDEX($AJ$3:$AJ$19,MATCH(C256,$AF$3:$AF$19,0),1),INDEX(Työkonekanta!$F$3:$F$27,MATCH('S1 Sähkö'!$A256,Työkonekanta!$A$3:$A$24,0),1))))),0)</f>
        <v>0</v>
      </c>
      <c r="C256" s="140">
        <v>2027</v>
      </c>
      <c r="D256" s="141" t="str">
        <f>IFERROR(INDEX(Työkonekanta!$D$3:$D$27,MATCH('S1 Sähkö'!$A256,Työkonekanta!$A$3:$A$24,0),1),"undefined")</f>
        <v>pom</v>
      </c>
      <c r="E256" s="145">
        <f>IFERROR(INDEX(Työkonekanta!$G$3:$G$27,MATCH($A256,Työkonekanta!$A$3:$A$24,0),1)*INDEX(Työkonekanta!$H$3:$H$27,MATCH($A256,Työkonekanta!$A$3:$A$24,0),1)*(1+s1_kerroin*($C256-2019))*$B256,0)</f>
        <v>0</v>
      </c>
      <c r="F256" s="145">
        <f t="shared" si="58"/>
        <v>0</v>
      </c>
      <c r="G256" s="145">
        <f t="shared" si="64"/>
        <v>0</v>
      </c>
      <c r="H256" s="145">
        <f t="shared" si="65"/>
        <v>0</v>
      </c>
      <c r="I256" s="145">
        <f t="shared" si="59"/>
        <v>0</v>
      </c>
      <c r="J256" s="145">
        <f t="shared" si="60"/>
        <v>0</v>
      </c>
      <c r="K256" s="142" t="str">
        <f t="shared" si="66"/>
        <v>l</v>
      </c>
      <c r="L256" s="146">
        <f>IFERROR(INDEX(Työkonekanta!$I$3:$I$27,MATCH('S1 Sähkö'!$A256,Työkonekanta!$A$3:$A$24,0),1)*(I256+J256)*f_adblue,0)</f>
        <v>0</v>
      </c>
      <c r="M256" s="146">
        <f t="shared" si="71"/>
        <v>0</v>
      </c>
      <c r="N256" s="143" t="str">
        <f>IF(tuulisähkö_vuosi&lt;='S1 Sähkö'!C256,"tuulisähkö",ostosähkö_nyt)</f>
        <v>jäännössähkö</v>
      </c>
      <c r="O256" s="147">
        <f>INDEX(Muuttujat!$J$5:$J$21,MATCH($C256,Muuttujat!$H$5:$H$21,0),1)</f>
        <v>63.897506909426724</v>
      </c>
      <c r="P256" s="342">
        <f>1-(INDEX(Muuttujat!$O$5:$O$21,MATCH($C256,Muuttujat!$N$5:$N$21,0),1))</f>
        <v>0.91</v>
      </c>
      <c r="Q256" s="342">
        <f>INDEX(Muuttujat!$O$5:$O$21,MATCH($C256,Muuttujat!$N$5:$N$21,0),1)</f>
        <v>0.09</v>
      </c>
      <c r="R256" s="148">
        <f>INDEX(Muuttujat!$P$5:$P$21,MATCH($C256,Muuttujat!$N$5:$N$21,0),1)</f>
        <v>9.3804435869509845E-2</v>
      </c>
      <c r="S256" s="149">
        <f t="shared" si="61"/>
        <v>0</v>
      </c>
      <c r="T256" s="150">
        <f t="shared" si="62"/>
        <v>0</v>
      </c>
      <c r="U256" s="150">
        <f t="shared" si="63"/>
        <v>0</v>
      </c>
      <c r="V256" s="150">
        <f>IFERROR(INDEX(Työkonekanta!$J$3:$J$27,MATCH($A256,Työkonekanta!$A$3:$A$24,0),1)*$B256*ef_li_ion_akku/1000/1000/INDEX(Työkonekanta!$K$3:$K$27,MATCH($A256,Työkonekanta!$A$3:$A$24,0)),0)</f>
        <v>0</v>
      </c>
      <c r="W256" s="149">
        <f t="shared" si="72"/>
        <v>0</v>
      </c>
      <c r="X256" s="150">
        <f t="shared" si="73"/>
        <v>0</v>
      </c>
      <c r="Y256" s="151">
        <f t="shared" si="74"/>
        <v>0</v>
      </c>
      <c r="Z256" s="152">
        <f t="shared" si="67"/>
        <v>0</v>
      </c>
      <c r="AA256" s="153">
        <f t="shared" si="68"/>
        <v>0</v>
      </c>
      <c r="AB256" s="153">
        <f t="shared" si="69"/>
        <v>0</v>
      </c>
      <c r="AC256" s="154">
        <f t="shared" si="75"/>
        <v>0</v>
      </c>
      <c r="AD256" s="156">
        <f t="shared" si="70"/>
        <v>0</v>
      </c>
      <c r="AE256" s="182"/>
      <c r="AG256" s="2"/>
    </row>
    <row r="257" spans="1:37">
      <c r="A257" s="139">
        <v>15</v>
      </c>
      <c r="B257" s="139" cm="1">
        <f t="array" ref="B257">IFERROR(IF(A257=s1_id_korvattava1,INDEX($AG$3:$AG$19,MATCH(C257,$AF$3:$AF$19,0),1),IF(A257=s1_id_korvaava1,INDEX($AH$3:$AH$19,MATCH(C257,$AF$3:$AF$19,0),1),IF(A257=s1_id_korvattava2,INDEX($AI$3:$AI$19,MATCH(C257,$AF$3:$AF$19,0),1),IF(A257=s1_id_korvaava2,INDEX($AJ$3:$AJ$19,MATCH(C257,$AF$3:$AF$19,0),1),INDEX(Työkonekanta!$F$3:$F$27,MATCH('S1 Sähkö'!$A257,Työkonekanta!$A$3:$A$24,0),1))))),0)</f>
        <v>0</v>
      </c>
      <c r="C257" s="140">
        <v>2027</v>
      </c>
      <c r="D257" s="141" t="str">
        <f>IFERROR(INDEX(Työkonekanta!$D$3:$D$27,MATCH('S1 Sähkö'!$A257,Työkonekanta!$A$3:$A$24,0),1),"undefined")</f>
        <v>sähkö</v>
      </c>
      <c r="E257" s="145">
        <f>IFERROR(INDEX(Työkonekanta!$G$3:$G$27,MATCH($A257,Työkonekanta!$A$3:$A$24,0),1)*INDEX(Työkonekanta!$H$3:$H$27,MATCH($A257,Työkonekanta!$A$3:$A$24,0),1)*(1+s1_kerroin*($C257-2019))*$B257,0)</f>
        <v>0</v>
      </c>
      <c r="F257" s="145">
        <f t="shared" si="58"/>
        <v>0</v>
      </c>
      <c r="G257" s="145">
        <f t="shared" si="64"/>
        <v>0</v>
      </c>
      <c r="H257" s="145">
        <f t="shared" si="65"/>
        <v>0</v>
      </c>
      <c r="I257" s="145">
        <f t="shared" si="59"/>
        <v>0</v>
      </c>
      <c r="J257" s="145">
        <f t="shared" si="60"/>
        <v>0</v>
      </c>
      <c r="K257" s="142" t="str">
        <f t="shared" si="66"/>
        <v>kWh</v>
      </c>
      <c r="L257" s="146">
        <f>IFERROR(INDEX(Työkonekanta!$I$3:$I$27,MATCH('S1 Sähkö'!$A257,Työkonekanta!$A$3:$A$24,0),1)*(I257+J257)*f_adblue,0)</f>
        <v>0</v>
      </c>
      <c r="M257" s="146">
        <f t="shared" si="71"/>
        <v>0</v>
      </c>
      <c r="N257" s="143" t="str">
        <f>IF(tuulisähkö_vuosi&lt;='S1 Sähkö'!C257,"tuulisähkö",ostosähkö_nyt)</f>
        <v>jäännössähkö</v>
      </c>
      <c r="O257" s="147">
        <f>INDEX(Muuttujat!$J$5:$J$21,MATCH($C257,Muuttujat!$H$5:$H$21,0),1)</f>
        <v>63.897506909426724</v>
      </c>
      <c r="P257" s="342">
        <f>1-(INDEX(Muuttujat!$O$5:$O$21,MATCH($C257,Muuttujat!$N$5:$N$21,0),1))</f>
        <v>0.91</v>
      </c>
      <c r="Q257" s="342">
        <f>INDEX(Muuttujat!$O$5:$O$21,MATCH($C257,Muuttujat!$N$5:$N$21,0),1)</f>
        <v>0.09</v>
      </c>
      <c r="R257" s="148">
        <f>INDEX(Muuttujat!$P$5:$P$21,MATCH($C257,Muuttujat!$N$5:$N$21,0),1)</f>
        <v>9.3804435869509845E-2</v>
      </c>
      <c r="S257" s="149">
        <f t="shared" si="61"/>
        <v>0</v>
      </c>
      <c r="T257" s="150">
        <f t="shared" si="62"/>
        <v>0</v>
      </c>
      <c r="U257" s="150">
        <f t="shared" si="63"/>
        <v>0</v>
      </c>
      <c r="V257" s="150">
        <f>IFERROR(INDEX(Työkonekanta!$J$3:$J$27,MATCH($A257,Työkonekanta!$A$3:$A$24,0),1)*$B257*ef_li_ion_akku/1000/1000/INDEX(Työkonekanta!$K$3:$K$27,MATCH($A257,Työkonekanta!$A$3:$A$24,0)),0)</f>
        <v>0</v>
      </c>
      <c r="W257" s="149">
        <f t="shared" si="72"/>
        <v>0</v>
      </c>
      <c r="X257" s="150">
        <f t="shared" si="73"/>
        <v>0</v>
      </c>
      <c r="Y257" s="151">
        <f t="shared" si="74"/>
        <v>0</v>
      </c>
      <c r="Z257" s="152">
        <f t="shared" si="67"/>
        <v>0</v>
      </c>
      <c r="AA257" s="153">
        <f t="shared" si="68"/>
        <v>0</v>
      </c>
      <c r="AB257" s="153">
        <f t="shared" si="69"/>
        <v>0</v>
      </c>
      <c r="AC257" s="154">
        <f t="shared" si="75"/>
        <v>0</v>
      </c>
      <c r="AD257" s="156">
        <f t="shared" si="70"/>
        <v>0</v>
      </c>
      <c r="AE257" s="182"/>
      <c r="AG257" s="2"/>
    </row>
    <row r="258" spans="1:37">
      <c r="A258" s="139">
        <v>16</v>
      </c>
      <c r="B258" s="139" cm="1">
        <f t="array" ref="B258">IFERROR(IF(A258=s1_id_korvattava1,INDEX($AG$3:$AG$19,MATCH(C258,$AF$3:$AF$19,0),1),IF(A258=s1_id_korvaava1,INDEX($AH$3:$AH$19,MATCH(C258,$AF$3:$AF$19,0),1),IF(A258=s1_id_korvattava2,INDEX($AI$3:$AI$19,MATCH(C258,$AF$3:$AF$19,0),1),IF(A258=s1_id_korvaava2,INDEX($AJ$3:$AJ$19,MATCH(C258,$AF$3:$AF$19,0),1),INDEX(Työkonekanta!$F$3:$F$27,MATCH('S1 Sähkö'!$A258,Työkonekanta!$A$3:$A$24,0),1))))),0)</f>
        <v>0</v>
      </c>
      <c r="C258" s="140">
        <v>2027</v>
      </c>
      <c r="D258" s="141" t="str">
        <f>IFERROR(INDEX(Työkonekanta!$D$3:$D$27,MATCH('S1 Sähkö'!$A258,Työkonekanta!$A$3:$A$24,0),1),"undefined")</f>
        <v>sähkö</v>
      </c>
      <c r="E258" s="145">
        <f>IFERROR(INDEX(Työkonekanta!$G$3:$G$27,MATCH($A258,Työkonekanta!$A$3:$A$24,0),1)*INDEX(Työkonekanta!$H$3:$H$27,MATCH($A258,Työkonekanta!$A$3:$A$24,0),1)*(1+s1_kerroin*($C258-2019))*$B258,0)</f>
        <v>0</v>
      </c>
      <c r="F258" s="145">
        <f t="shared" si="58"/>
        <v>0</v>
      </c>
      <c r="G258" s="145">
        <f t="shared" si="64"/>
        <v>0</v>
      </c>
      <c r="H258" s="145">
        <f t="shared" si="65"/>
        <v>0</v>
      </c>
      <c r="I258" s="145">
        <f t="shared" si="59"/>
        <v>0</v>
      </c>
      <c r="J258" s="145">
        <f t="shared" si="60"/>
        <v>0</v>
      </c>
      <c r="K258" s="142" t="str">
        <f t="shared" si="66"/>
        <v>kWh</v>
      </c>
      <c r="L258" s="146">
        <f>IFERROR(INDEX(Työkonekanta!$I$3:$I$27,MATCH('S1 Sähkö'!$A258,Työkonekanta!$A$3:$A$24,0),1)*(I258+J258)*f_adblue,0)</f>
        <v>0</v>
      </c>
      <c r="M258" s="146">
        <f t="shared" si="71"/>
        <v>0</v>
      </c>
      <c r="N258" s="143" t="str">
        <f>IF(tuulisähkö_vuosi&lt;='S1 Sähkö'!C258,"tuulisähkö",ostosähkö_nyt)</f>
        <v>jäännössähkö</v>
      </c>
      <c r="O258" s="147">
        <f>INDEX(Muuttujat!$J$5:$J$21,MATCH($C258,Muuttujat!$H$5:$H$21,0),1)</f>
        <v>63.897506909426724</v>
      </c>
      <c r="P258" s="342">
        <f>1-(INDEX(Muuttujat!$O$5:$O$21,MATCH($C258,Muuttujat!$N$5:$N$21,0),1))</f>
        <v>0.91</v>
      </c>
      <c r="Q258" s="342">
        <f>INDEX(Muuttujat!$O$5:$O$21,MATCH($C258,Muuttujat!$N$5:$N$21,0),1)</f>
        <v>0.09</v>
      </c>
      <c r="R258" s="148">
        <f>INDEX(Muuttujat!$P$5:$P$21,MATCH($C258,Muuttujat!$N$5:$N$21,0),1)</f>
        <v>9.3804435869509845E-2</v>
      </c>
      <c r="S258" s="149">
        <f t="shared" si="61"/>
        <v>0</v>
      </c>
      <c r="T258" s="150">
        <f t="shared" si="62"/>
        <v>0</v>
      </c>
      <c r="U258" s="150">
        <f t="shared" si="63"/>
        <v>0</v>
      </c>
      <c r="V258" s="150">
        <f>IFERROR(INDEX(Työkonekanta!$J$3:$J$27,MATCH($A258,Työkonekanta!$A$3:$A$24,0),1)*$B258*ef_li_ion_akku/1000/1000/INDEX(Työkonekanta!$K$3:$K$27,MATCH($A258,Työkonekanta!$A$3:$A$24,0)),0)</f>
        <v>0</v>
      </c>
      <c r="W258" s="149">
        <f t="shared" si="72"/>
        <v>0</v>
      </c>
      <c r="X258" s="150">
        <f t="shared" si="73"/>
        <v>0</v>
      </c>
      <c r="Y258" s="151">
        <f t="shared" si="74"/>
        <v>0</v>
      </c>
      <c r="Z258" s="152">
        <f t="shared" si="67"/>
        <v>0</v>
      </c>
      <c r="AA258" s="153">
        <f t="shared" si="68"/>
        <v>0</v>
      </c>
      <c r="AB258" s="153">
        <f t="shared" si="69"/>
        <v>0</v>
      </c>
      <c r="AC258" s="154">
        <f t="shared" si="75"/>
        <v>0</v>
      </c>
      <c r="AD258" s="156">
        <f t="shared" si="70"/>
        <v>0</v>
      </c>
      <c r="AE258" s="182"/>
      <c r="AG258" s="2"/>
    </row>
    <row r="259" spans="1:37">
      <c r="A259" s="139">
        <v>17</v>
      </c>
      <c r="B259" s="139" cm="1">
        <f t="array" ref="B259">IFERROR(IF(A259=s1_id_korvattava1,INDEX($AG$3:$AG$19,MATCH(C259,$AF$3:$AF$19,0),1),IF(A259=s1_id_korvaava1,INDEX($AH$3:$AH$19,MATCH(C259,$AF$3:$AF$19,0),1),IF(A259=s1_id_korvattava2,INDEX($AI$3:$AI$19,MATCH(C259,$AF$3:$AF$19,0),1),IF(A259=s1_id_korvaava2,INDEX($AJ$3:$AJ$19,MATCH(C259,$AF$3:$AF$19,0),1),INDEX(Työkonekanta!$F$3:$F$27,MATCH('S1 Sähkö'!$A259,Työkonekanta!$A$3:$A$24,0),1))))),0)</f>
        <v>0</v>
      </c>
      <c r="C259" s="140">
        <v>2027</v>
      </c>
      <c r="D259" s="141" t="str">
        <f>IFERROR(INDEX(Työkonekanta!$D$3:$D$27,MATCH('S1 Sähkö'!$A259,Työkonekanta!$A$3:$A$24,0),1),"undefined")</f>
        <v>pom</v>
      </c>
      <c r="E259" s="145">
        <f>IFERROR(INDEX(Työkonekanta!$G$3:$G$27,MATCH($A259,Työkonekanta!$A$3:$A$24,0),1)*INDEX(Työkonekanta!$H$3:$H$27,MATCH($A259,Työkonekanta!$A$3:$A$24,0),1)*(1+s1_kerroin*($C259-2019))*$B259,0)</f>
        <v>0</v>
      </c>
      <c r="F259" s="145">
        <f t="shared" ref="F259:F322" si="76">IF(D259="pom",$E259*hv_pom,0)</f>
        <v>0</v>
      </c>
      <c r="G259" s="145">
        <f t="shared" si="64"/>
        <v>0</v>
      </c>
      <c r="H259" s="145">
        <f t="shared" si="65"/>
        <v>0</v>
      </c>
      <c r="I259" s="145">
        <f t="shared" ref="I259:I322" si="77">$G259/hv_pom</f>
        <v>0</v>
      </c>
      <c r="J259" s="145">
        <f t="shared" ref="J259:J322" si="78">$H259/hv_biodies</f>
        <v>0</v>
      </c>
      <c r="K259" s="142" t="str">
        <f t="shared" si="66"/>
        <v>l</v>
      </c>
      <c r="L259" s="146">
        <f>IFERROR(INDEX(Työkonekanta!$I$3:$I$27,MATCH('S1 Sähkö'!$A259,Työkonekanta!$A$3:$A$24,0),1)*(I259+J259)*f_adblue,0)</f>
        <v>0</v>
      </c>
      <c r="M259" s="146">
        <f t="shared" si="71"/>
        <v>0</v>
      </c>
      <c r="N259" s="143" t="str">
        <f>IF(tuulisähkö_vuosi&lt;='S1 Sähkö'!C259,"tuulisähkö",ostosähkö_nyt)</f>
        <v>jäännössähkö</v>
      </c>
      <c r="O259" s="147">
        <f>INDEX(Muuttujat!$J$5:$J$21,MATCH($C259,Muuttujat!$H$5:$H$21,0),1)</f>
        <v>63.897506909426724</v>
      </c>
      <c r="P259" s="342">
        <f>1-(INDEX(Muuttujat!$O$5:$O$21,MATCH($C259,Muuttujat!$N$5:$N$21,0),1))</f>
        <v>0.91</v>
      </c>
      <c r="Q259" s="342">
        <f>INDEX(Muuttujat!$O$5:$O$21,MATCH($C259,Muuttujat!$N$5:$N$21,0),1)</f>
        <v>0.09</v>
      </c>
      <c r="R259" s="148">
        <f>INDEX(Muuttujat!$P$5:$P$21,MATCH($C259,Muuttujat!$N$5:$N$21,0),1)</f>
        <v>9.3804435869509845E-2</v>
      </c>
      <c r="S259" s="149">
        <f t="shared" ref="S259:S322" si="79">wtt_ef_e_co2_dies*$G259/1000/1000</f>
        <v>0</v>
      </c>
      <c r="T259" s="150">
        <f t="shared" ref="T259:T322" si="80">wtt_ef_e_co2_biodies*$H259/1000/1000</f>
        <v>0</v>
      </c>
      <c r="U259" s="150">
        <f t="shared" ref="U259:U322" si="81">IF(N259="jäännössähkö",$O259,IF(N259="tuulisähkö",wtt_ef_e_co2_el_wind,0))*$M259/1000/1000</f>
        <v>0</v>
      </c>
      <c r="V259" s="150">
        <f>IFERROR(INDEX(Työkonekanta!$J$3:$J$27,MATCH($A259,Työkonekanta!$A$3:$A$24,0),1)*$B259*ef_li_ion_akku/1000/1000/INDEX(Työkonekanta!$K$3:$K$27,MATCH($A259,Työkonekanta!$A$3:$A$24,0)),0)</f>
        <v>0</v>
      </c>
      <c r="W259" s="149">
        <f t="shared" si="72"/>
        <v>0</v>
      </c>
      <c r="X259" s="150">
        <f t="shared" si="73"/>
        <v>0</v>
      </c>
      <c r="Y259" s="151">
        <f t="shared" si="74"/>
        <v>0</v>
      </c>
      <c r="Z259" s="152">
        <f t="shared" si="67"/>
        <v>0</v>
      </c>
      <c r="AA259" s="153">
        <f t="shared" si="68"/>
        <v>0</v>
      </c>
      <c r="AB259" s="153">
        <f t="shared" si="69"/>
        <v>0</v>
      </c>
      <c r="AC259" s="154">
        <f t="shared" si="75"/>
        <v>0</v>
      </c>
      <c r="AD259" s="156">
        <f t="shared" si="70"/>
        <v>0</v>
      </c>
      <c r="AE259" s="182"/>
      <c r="AG259" s="2"/>
    </row>
    <row r="260" spans="1:37">
      <c r="A260" s="139">
        <v>18</v>
      </c>
      <c r="B260" s="139" cm="1">
        <f t="array" ref="B260">IFERROR(IF(A260=s1_id_korvattava1,INDEX($AG$3:$AG$19,MATCH(C260,$AF$3:$AF$19,0),1),IF(A260=s1_id_korvaava1,INDEX($AH$3:$AH$19,MATCH(C260,$AF$3:$AF$19,0),1),IF(A260=s1_id_korvattava2,INDEX($AI$3:$AI$19,MATCH(C260,$AF$3:$AF$19,0),1),IF(A260=s1_id_korvaava2,INDEX($AJ$3:$AJ$19,MATCH(C260,$AF$3:$AF$19,0),1),INDEX(Työkonekanta!$F$3:$F$27,MATCH('S1 Sähkö'!$A260,Työkonekanta!$A$3:$A$24,0),1))))),0)</f>
        <v>0</v>
      </c>
      <c r="C260" s="140">
        <v>2027</v>
      </c>
      <c r="D260" s="141" t="str">
        <f>IFERROR(INDEX(Työkonekanta!$D$3:$D$27,MATCH('S1 Sähkö'!$A260,Työkonekanta!$A$3:$A$24,0),1),"undefined")</f>
        <v>pom</v>
      </c>
      <c r="E260" s="145">
        <f>IFERROR(INDEX(Työkonekanta!$G$3:$G$27,MATCH($A260,Työkonekanta!$A$3:$A$24,0),1)*INDEX(Työkonekanta!$H$3:$H$27,MATCH($A260,Työkonekanta!$A$3:$A$24,0),1)*(1+s1_kerroin*($C260-2019))*$B260,0)</f>
        <v>0</v>
      </c>
      <c r="F260" s="145">
        <f t="shared" si="76"/>
        <v>0</v>
      </c>
      <c r="G260" s="145">
        <f t="shared" ref="G260:G323" si="82">$F260*$P260</f>
        <v>0</v>
      </c>
      <c r="H260" s="145">
        <f t="shared" ref="H260:H323" si="83">$F260*$Q260</f>
        <v>0</v>
      </c>
      <c r="I260" s="145">
        <f t="shared" si="77"/>
        <v>0</v>
      </c>
      <c r="J260" s="145">
        <f t="shared" si="78"/>
        <v>0</v>
      </c>
      <c r="K260" s="142" t="str">
        <f t="shared" ref="K260:K323" si="84">IF($D260="sähkö","kWh",IF($D260="pom","l","undefined"))</f>
        <v>l</v>
      </c>
      <c r="L260" s="146">
        <f>IFERROR(INDEX(Työkonekanta!$I$3:$I$27,MATCH('S1 Sähkö'!$A260,Työkonekanta!$A$3:$A$24,0),1)*(I260+J260)*f_adblue,0)</f>
        <v>0</v>
      </c>
      <c r="M260" s="146">
        <f t="shared" si="71"/>
        <v>0</v>
      </c>
      <c r="N260" s="143" t="str">
        <f>IF(tuulisähkö_vuosi&lt;='S1 Sähkö'!C260,"tuulisähkö",ostosähkö_nyt)</f>
        <v>jäännössähkö</v>
      </c>
      <c r="O260" s="147">
        <f>INDEX(Muuttujat!$J$5:$J$21,MATCH($C260,Muuttujat!$H$5:$H$21,0),1)</f>
        <v>63.897506909426724</v>
      </c>
      <c r="P260" s="342">
        <f>1-(INDEX(Muuttujat!$O$5:$O$21,MATCH($C260,Muuttujat!$N$5:$N$21,0),1))</f>
        <v>0.91</v>
      </c>
      <c r="Q260" s="342">
        <f>INDEX(Muuttujat!$O$5:$O$21,MATCH($C260,Muuttujat!$N$5:$N$21,0),1)</f>
        <v>0.09</v>
      </c>
      <c r="R260" s="148">
        <f>INDEX(Muuttujat!$P$5:$P$21,MATCH($C260,Muuttujat!$N$5:$N$21,0),1)</f>
        <v>9.3804435869509845E-2</v>
      </c>
      <c r="S260" s="149">
        <f t="shared" si="79"/>
        <v>0</v>
      </c>
      <c r="T260" s="150">
        <f t="shared" si="80"/>
        <v>0</v>
      </c>
      <c r="U260" s="150">
        <f t="shared" si="81"/>
        <v>0</v>
      </c>
      <c r="V260" s="150">
        <f>IFERROR(INDEX(Työkonekanta!$J$3:$J$27,MATCH($A260,Työkonekanta!$A$3:$A$24,0),1)*$B260*ef_li_ion_akku/1000/1000/INDEX(Työkonekanta!$K$3:$K$27,MATCH($A260,Työkonekanta!$A$3:$A$24,0)),0)</f>
        <v>0</v>
      </c>
      <c r="W260" s="149">
        <f t="shared" si="72"/>
        <v>0</v>
      </c>
      <c r="X260" s="150">
        <f t="shared" si="73"/>
        <v>0</v>
      </c>
      <c r="Y260" s="151">
        <f t="shared" si="74"/>
        <v>0</v>
      </c>
      <c r="Z260" s="152">
        <f t="shared" ref="Z260:Z323" si="85">SUM($S260:$V260)</f>
        <v>0</v>
      </c>
      <c r="AA260" s="153">
        <f t="shared" ref="AA260:AA323" si="86">$W260+$Y260</f>
        <v>0</v>
      </c>
      <c r="AB260" s="153">
        <f t="shared" ref="AB260:AB323" si="87">SUM($W260:$Y260)</f>
        <v>0</v>
      </c>
      <c r="AC260" s="154">
        <f t="shared" si="75"/>
        <v>0</v>
      </c>
      <c r="AD260" s="156">
        <f t="shared" ref="AD260:AD323" si="88">$Z260+$AB260</f>
        <v>0</v>
      </c>
      <c r="AE260" s="182"/>
      <c r="AG260" s="2"/>
    </row>
    <row r="261" spans="1:37">
      <c r="A261" s="139">
        <v>19</v>
      </c>
      <c r="B261" s="139" cm="1">
        <f t="array" ref="B261">IFERROR(IF(A261=s1_id_korvattava1,INDEX($AG$3:$AG$19,MATCH(C261,$AF$3:$AF$19,0),1),IF(A261=s1_id_korvaava1,INDEX($AH$3:$AH$19,MATCH(C261,$AF$3:$AF$19,0),1),IF(A261=s1_id_korvattava2,INDEX($AI$3:$AI$19,MATCH(C261,$AF$3:$AF$19,0),1),IF(A261=s1_id_korvaava2,INDEX($AJ$3:$AJ$19,MATCH(C261,$AF$3:$AF$19,0),1),INDEX(Työkonekanta!$F$3:$F$27,MATCH('S1 Sähkö'!$A261,Työkonekanta!$A$3:$A$24,0),1))))),0)</f>
        <v>0</v>
      </c>
      <c r="C261" s="140">
        <v>2027</v>
      </c>
      <c r="D261" s="141" t="str">
        <f>IFERROR(INDEX(Työkonekanta!$D$3:$D$27,MATCH('S1 Sähkö'!$A261,Työkonekanta!$A$3:$A$24,0),1),"undefined")</f>
        <v>pom</v>
      </c>
      <c r="E261" s="145">
        <f>IFERROR(INDEX(Työkonekanta!$G$3:$G$27,MATCH($A261,Työkonekanta!$A$3:$A$24,0),1)*INDEX(Työkonekanta!$H$3:$H$27,MATCH($A261,Työkonekanta!$A$3:$A$24,0),1)*(1+s1_kerroin*($C261-2019))*$B261,0)</f>
        <v>0</v>
      </c>
      <c r="F261" s="145">
        <f t="shared" si="76"/>
        <v>0</v>
      </c>
      <c r="G261" s="145">
        <f t="shared" si="82"/>
        <v>0</v>
      </c>
      <c r="H261" s="145">
        <f t="shared" si="83"/>
        <v>0</v>
      </c>
      <c r="I261" s="145">
        <f t="shared" si="77"/>
        <v>0</v>
      </c>
      <c r="J261" s="145">
        <f t="shared" si="78"/>
        <v>0</v>
      </c>
      <c r="K261" s="142" t="str">
        <f t="shared" si="84"/>
        <v>l</v>
      </c>
      <c r="L261" s="146">
        <f>IFERROR(INDEX(Työkonekanta!$I$3:$I$27,MATCH('S1 Sähkö'!$A261,Työkonekanta!$A$3:$A$24,0),1)*(I261+J261)*f_adblue,0)</f>
        <v>0</v>
      </c>
      <c r="M261" s="146">
        <f t="shared" si="71"/>
        <v>0</v>
      </c>
      <c r="N261" s="143" t="str">
        <f>IF(tuulisähkö_vuosi&lt;='S1 Sähkö'!C261,"tuulisähkö",ostosähkö_nyt)</f>
        <v>jäännössähkö</v>
      </c>
      <c r="O261" s="147">
        <f>INDEX(Muuttujat!$J$5:$J$21,MATCH($C261,Muuttujat!$H$5:$H$21,0),1)</f>
        <v>63.897506909426724</v>
      </c>
      <c r="P261" s="342">
        <f>1-(INDEX(Muuttujat!$O$5:$O$21,MATCH($C261,Muuttujat!$N$5:$N$21,0),1))</f>
        <v>0.91</v>
      </c>
      <c r="Q261" s="342">
        <f>INDEX(Muuttujat!$O$5:$O$21,MATCH($C261,Muuttujat!$N$5:$N$21,0),1)</f>
        <v>0.09</v>
      </c>
      <c r="R261" s="148">
        <f>INDEX(Muuttujat!$P$5:$P$21,MATCH($C261,Muuttujat!$N$5:$N$21,0),1)</f>
        <v>9.3804435869509845E-2</v>
      </c>
      <c r="S261" s="149">
        <f t="shared" si="79"/>
        <v>0</v>
      </c>
      <c r="T261" s="150">
        <f t="shared" si="80"/>
        <v>0</v>
      </c>
      <c r="U261" s="150">
        <f t="shared" si="81"/>
        <v>0</v>
      </c>
      <c r="V261" s="150">
        <f>IFERROR(INDEX(Työkonekanta!$J$3:$J$27,MATCH($A261,Työkonekanta!$A$3:$A$24,0),1)*$B261*ef_li_ion_akku/1000/1000/INDEX(Työkonekanta!$K$3:$K$27,MATCH($A261,Työkonekanta!$A$3:$A$24,0)),0)</f>
        <v>0</v>
      </c>
      <c r="W261" s="149">
        <f t="shared" si="72"/>
        <v>0</v>
      </c>
      <c r="X261" s="150">
        <f t="shared" si="73"/>
        <v>0</v>
      </c>
      <c r="Y261" s="151">
        <f t="shared" si="74"/>
        <v>0</v>
      </c>
      <c r="Z261" s="152">
        <f t="shared" si="85"/>
        <v>0</v>
      </c>
      <c r="AA261" s="153">
        <f t="shared" si="86"/>
        <v>0</v>
      </c>
      <c r="AB261" s="153">
        <f t="shared" si="87"/>
        <v>0</v>
      </c>
      <c r="AC261" s="154">
        <f t="shared" si="75"/>
        <v>0</v>
      </c>
      <c r="AD261" s="156">
        <f t="shared" si="88"/>
        <v>0</v>
      </c>
      <c r="AE261" s="182"/>
      <c r="AG261" s="2"/>
    </row>
    <row r="262" spans="1:37">
      <c r="A262" s="139">
        <v>20</v>
      </c>
      <c r="B262" s="139" cm="1">
        <f t="array" ref="B262">IFERROR(IF(A262=s1_id_korvattava1,INDEX($AG$3:$AG$19,MATCH(C262,$AF$3:$AF$19,0),1),IF(A262=s1_id_korvaava1,INDEX($AH$3:$AH$19,MATCH(C262,$AF$3:$AF$19,0),1),IF(A262=s1_id_korvattava2,INDEX($AI$3:$AI$19,MATCH(C262,$AF$3:$AF$19,0),1),IF(A262=s1_id_korvaava2,INDEX($AJ$3:$AJ$19,MATCH(C262,$AF$3:$AF$19,0),1),INDEX(Työkonekanta!$F$3:$F$27,MATCH('S1 Sähkö'!$A262,Työkonekanta!$A$3:$A$24,0),1))))),0)</f>
        <v>0</v>
      </c>
      <c r="C262" s="140">
        <v>2027</v>
      </c>
      <c r="D262" s="141" t="str">
        <f>IFERROR(INDEX(Työkonekanta!$D$3:$D$27,MATCH('S1 Sähkö'!$A262,Työkonekanta!$A$3:$A$24,0),1),"undefined")</f>
        <v>pom</v>
      </c>
      <c r="E262" s="145">
        <f>IFERROR(INDEX(Työkonekanta!$G$3:$G$27,MATCH($A262,Työkonekanta!$A$3:$A$24,0),1)*INDEX(Työkonekanta!$H$3:$H$27,MATCH($A262,Työkonekanta!$A$3:$A$24,0),1)*(1+s1_kerroin*($C262-2019))*$B262,0)</f>
        <v>0</v>
      </c>
      <c r="F262" s="145">
        <f t="shared" si="76"/>
        <v>0</v>
      </c>
      <c r="G262" s="145">
        <f t="shared" si="82"/>
        <v>0</v>
      </c>
      <c r="H262" s="145">
        <f t="shared" si="83"/>
        <v>0</v>
      </c>
      <c r="I262" s="145">
        <f t="shared" si="77"/>
        <v>0</v>
      </c>
      <c r="J262" s="145">
        <f t="shared" si="78"/>
        <v>0</v>
      </c>
      <c r="K262" s="142" t="str">
        <f t="shared" si="84"/>
        <v>l</v>
      </c>
      <c r="L262" s="146">
        <f>IFERROR(INDEX(Työkonekanta!$I$3:$I$27,MATCH('S1 Sähkö'!$A262,Työkonekanta!$A$3:$A$24,0),1)*(I262+J262)*f_adblue,0)</f>
        <v>0</v>
      </c>
      <c r="M262" s="146">
        <f t="shared" si="71"/>
        <v>0</v>
      </c>
      <c r="N262" s="143" t="str">
        <f>IF(tuulisähkö_vuosi&lt;='S1 Sähkö'!C262,"tuulisähkö",ostosähkö_nyt)</f>
        <v>jäännössähkö</v>
      </c>
      <c r="O262" s="147">
        <f>INDEX(Muuttujat!$J$5:$J$21,MATCH($C262,Muuttujat!$H$5:$H$21,0),1)</f>
        <v>63.897506909426724</v>
      </c>
      <c r="P262" s="342">
        <f>1-(INDEX(Muuttujat!$O$5:$O$21,MATCH($C262,Muuttujat!$N$5:$N$21,0),1))</f>
        <v>0.91</v>
      </c>
      <c r="Q262" s="342">
        <f>INDEX(Muuttujat!$O$5:$O$21,MATCH($C262,Muuttujat!$N$5:$N$21,0),1)</f>
        <v>0.09</v>
      </c>
      <c r="R262" s="148">
        <f>INDEX(Muuttujat!$P$5:$P$21,MATCH($C262,Muuttujat!$N$5:$N$21,0),1)</f>
        <v>9.3804435869509845E-2</v>
      </c>
      <c r="S262" s="149">
        <f t="shared" si="79"/>
        <v>0</v>
      </c>
      <c r="T262" s="150">
        <f t="shared" si="80"/>
        <v>0</v>
      </c>
      <c r="U262" s="150">
        <f t="shared" si="81"/>
        <v>0</v>
      </c>
      <c r="V262" s="150">
        <f>IFERROR(INDEX(Työkonekanta!$J$3:$J$27,MATCH($A262,Työkonekanta!$A$3:$A$24,0),1)*$B262*ef_li_ion_akku/1000/1000/INDEX(Työkonekanta!$K$3:$K$27,MATCH($A262,Työkonekanta!$A$3:$A$24,0)),0)</f>
        <v>0</v>
      </c>
      <c r="W262" s="149">
        <f t="shared" si="72"/>
        <v>0</v>
      </c>
      <c r="X262" s="150">
        <f t="shared" si="73"/>
        <v>0</v>
      </c>
      <c r="Y262" s="151">
        <f t="shared" si="74"/>
        <v>0</v>
      </c>
      <c r="Z262" s="152">
        <f t="shared" si="85"/>
        <v>0</v>
      </c>
      <c r="AA262" s="153">
        <f t="shared" si="86"/>
        <v>0</v>
      </c>
      <c r="AB262" s="153">
        <f t="shared" si="87"/>
        <v>0</v>
      </c>
      <c r="AC262" s="154">
        <f t="shared" si="75"/>
        <v>0</v>
      </c>
      <c r="AD262" s="156">
        <f t="shared" si="88"/>
        <v>0</v>
      </c>
      <c r="AE262" s="182"/>
      <c r="AG262" s="2"/>
    </row>
    <row r="263" spans="1:37">
      <c r="A263" s="139">
        <v>21</v>
      </c>
      <c r="B263" s="139" cm="1">
        <f t="array" ref="B263">IFERROR(IF(A263=s1_id_korvattava1,INDEX($AG$3:$AG$19,MATCH(C263,$AF$3:$AF$19,0),1),IF(A263=s1_id_korvaava1,INDEX($AH$3:$AH$19,MATCH(C263,$AF$3:$AF$19,0),1),IF(A263=s1_id_korvattava2,INDEX($AI$3:$AI$19,MATCH(C263,$AF$3:$AF$19,0),1),IF(A263=s1_id_korvaava2,INDEX($AJ$3:$AJ$19,MATCH(C263,$AF$3:$AF$19,0),1),INDEX(Työkonekanta!$F$3:$F$27,MATCH('S1 Sähkö'!$A263,Työkonekanta!$A$3:$A$24,0),1))))),0)</f>
        <v>36</v>
      </c>
      <c r="C263" s="140">
        <v>2027</v>
      </c>
      <c r="D263" s="141" t="str">
        <f>IFERROR(INDEX(Työkonekanta!$D$3:$D$27,MATCH('S1 Sähkö'!$A263,Työkonekanta!$A$3:$A$24,0),1),"undefined")</f>
        <v>sähkö</v>
      </c>
      <c r="E263" s="145">
        <f>IFERROR(INDEX(Työkonekanta!$G$3:$G$27,MATCH($A263,Työkonekanta!$A$3:$A$24,0),1)*INDEX(Työkonekanta!$H$3:$H$27,MATCH($A263,Työkonekanta!$A$3:$A$24,0),1)*(1+s1_kerroin*($C263-2019))*$B263,0)</f>
        <v>452340</v>
      </c>
      <c r="F263" s="145">
        <f t="shared" si="76"/>
        <v>0</v>
      </c>
      <c r="G263" s="145">
        <f t="shared" si="82"/>
        <v>0</v>
      </c>
      <c r="H263" s="145">
        <f t="shared" si="83"/>
        <v>0</v>
      </c>
      <c r="I263" s="145">
        <f t="shared" si="77"/>
        <v>0</v>
      </c>
      <c r="J263" s="145">
        <f t="shared" si="78"/>
        <v>0</v>
      </c>
      <c r="K263" s="142" t="str">
        <f t="shared" si="84"/>
        <v>kWh</v>
      </c>
      <c r="L263" s="146">
        <f>IFERROR(INDEX(Työkonekanta!$I$3:$I$27,MATCH('S1 Sähkö'!$A263,Työkonekanta!$A$3:$A$24,0),1)*(I263+J263)*f_adblue,0)</f>
        <v>0</v>
      </c>
      <c r="M263" s="146">
        <f t="shared" si="71"/>
        <v>1628424</v>
      </c>
      <c r="N263" s="143" t="str">
        <f>IF(tuulisähkö_vuosi&lt;='S1 Sähkö'!C263,"tuulisähkö",ostosähkö_nyt)</f>
        <v>jäännössähkö</v>
      </c>
      <c r="O263" s="147">
        <f>INDEX(Muuttujat!$J$5:$J$21,MATCH($C263,Muuttujat!$H$5:$H$21,0),1)</f>
        <v>63.897506909426724</v>
      </c>
      <c r="P263" s="342">
        <f>1-(INDEX(Muuttujat!$O$5:$O$21,MATCH($C263,Muuttujat!$N$5:$N$21,0),1))</f>
        <v>0.91</v>
      </c>
      <c r="Q263" s="342">
        <f>INDEX(Muuttujat!$O$5:$O$21,MATCH($C263,Muuttujat!$N$5:$N$21,0),1)</f>
        <v>0.09</v>
      </c>
      <c r="R263" s="148">
        <f>INDEX(Muuttujat!$P$5:$P$21,MATCH($C263,Muuttujat!$N$5:$N$21,0),1)</f>
        <v>9.3804435869509845E-2</v>
      </c>
      <c r="S263" s="149">
        <f t="shared" si="79"/>
        <v>0</v>
      </c>
      <c r="T263" s="150">
        <f t="shared" si="80"/>
        <v>0</v>
      </c>
      <c r="U263" s="150">
        <f t="shared" si="81"/>
        <v>104.05223379147631</v>
      </c>
      <c r="V263" s="150">
        <f>IFERROR(INDEX(Työkonekanta!$J$3:$J$27,MATCH($A263,Työkonekanta!$A$3:$A$24,0),1)*$B263*ef_li_ion_akku/1000/1000/INDEX(Työkonekanta!$K$3:$K$27,MATCH($A263,Työkonekanta!$A$3:$A$24,0)),0)</f>
        <v>44.353772307692303</v>
      </c>
      <c r="W263" s="149">
        <f t="shared" si="72"/>
        <v>0</v>
      </c>
      <c r="X263" s="150">
        <f t="shared" si="73"/>
        <v>0</v>
      </c>
      <c r="Y263" s="151">
        <f t="shared" si="74"/>
        <v>0</v>
      </c>
      <c r="Z263" s="152">
        <f t="shared" si="85"/>
        <v>148.40600609916862</v>
      </c>
      <c r="AA263" s="153">
        <f t="shared" si="86"/>
        <v>0</v>
      </c>
      <c r="AB263" s="153">
        <f t="shared" si="87"/>
        <v>0</v>
      </c>
      <c r="AC263" s="154">
        <f t="shared" si="75"/>
        <v>148.40600609916862</v>
      </c>
      <c r="AD263" s="156">
        <f t="shared" si="88"/>
        <v>148.40600609916862</v>
      </c>
      <c r="AE263" s="182"/>
      <c r="AG263" s="2"/>
    </row>
    <row r="264" spans="1:37">
      <c r="A264" s="139">
        <v>22</v>
      </c>
      <c r="B264" s="139" cm="1">
        <f t="array" ref="B264">IFERROR(IF(A264=s1_id_korvattava1,INDEX($AG$3:$AG$19,MATCH(C264,$AF$3:$AF$19,0),1),IF(A264=s1_id_korvaava1,INDEX($AH$3:$AH$19,MATCH(C264,$AF$3:$AF$19,0),1),IF(A264=s1_id_korvattava2,INDEX($AI$3:$AI$19,MATCH(C264,$AF$3:$AF$19,0),1),IF(A264=s1_id_korvaava2,INDEX($AJ$3:$AJ$19,MATCH(C264,$AF$3:$AF$19,0),1),INDEX(Työkonekanta!$F$3:$F$27,MATCH('S1 Sähkö'!$A264,Työkonekanta!$A$3:$A$24,0),1))))),0)</f>
        <v>1</v>
      </c>
      <c r="C264" s="140">
        <v>2027</v>
      </c>
      <c r="D264" s="141" t="str">
        <f>IFERROR(INDEX(Työkonekanta!$D$3:$D$27,MATCH('S1 Sähkö'!$A264,Työkonekanta!$A$3:$A$24,0),1),"undefined")</f>
        <v>sähkö</v>
      </c>
      <c r="E264" s="145">
        <f>IFERROR(INDEX(Työkonekanta!$G$3:$G$27,MATCH($A264,Työkonekanta!$A$3:$A$24,0),1)*INDEX(Työkonekanta!$H$3:$H$27,MATCH($A264,Työkonekanta!$A$3:$A$24,0),1)*(1+s1_kerroin*($C264-2019))*$B264,0)</f>
        <v>48106</v>
      </c>
      <c r="F264" s="145">
        <f t="shared" si="76"/>
        <v>0</v>
      </c>
      <c r="G264" s="145">
        <f t="shared" si="82"/>
        <v>0</v>
      </c>
      <c r="H264" s="145">
        <f t="shared" si="83"/>
        <v>0</v>
      </c>
      <c r="I264" s="145">
        <f t="shared" si="77"/>
        <v>0</v>
      </c>
      <c r="J264" s="145">
        <f t="shared" si="78"/>
        <v>0</v>
      </c>
      <c r="K264" s="142" t="str">
        <f t="shared" si="84"/>
        <v>kWh</v>
      </c>
      <c r="L264" s="146">
        <f>IFERROR(INDEX(Työkonekanta!$I$3:$I$27,MATCH('S1 Sähkö'!$A264,Työkonekanta!$A$3:$A$24,0),1)*(I264+J264)*f_adblue,0)</f>
        <v>0</v>
      </c>
      <c r="M264" s="146">
        <f t="shared" si="71"/>
        <v>173181.6</v>
      </c>
      <c r="N264" s="143" t="str">
        <f>IF(tuulisähkö_vuosi&lt;='S1 Sähkö'!C264,"tuulisähkö",ostosähkö_nyt)</f>
        <v>jäännössähkö</v>
      </c>
      <c r="O264" s="147">
        <f>INDEX(Muuttujat!$J$5:$J$21,MATCH($C264,Muuttujat!$H$5:$H$21,0),1)</f>
        <v>63.897506909426724</v>
      </c>
      <c r="P264" s="342">
        <f>1-(INDEX(Muuttujat!$O$5:$O$21,MATCH($C264,Muuttujat!$N$5:$N$21,0),1))</f>
        <v>0.91</v>
      </c>
      <c r="Q264" s="342">
        <f>INDEX(Muuttujat!$O$5:$O$21,MATCH($C264,Muuttujat!$N$5:$N$21,0),1)</f>
        <v>0.09</v>
      </c>
      <c r="R264" s="148">
        <f>INDEX(Muuttujat!$P$5:$P$21,MATCH($C264,Muuttujat!$N$5:$N$21,0),1)</f>
        <v>9.3804435869509845E-2</v>
      </c>
      <c r="S264" s="149">
        <f t="shared" si="79"/>
        <v>0</v>
      </c>
      <c r="T264" s="150">
        <f t="shared" si="80"/>
        <v>0</v>
      </c>
      <c r="U264" s="150">
        <f t="shared" si="81"/>
        <v>11.065872482585576</v>
      </c>
      <c r="V264" s="150">
        <f>IFERROR(INDEX(Työkonekanta!$J$3:$J$27,MATCH($A264,Työkonekanta!$A$3:$A$24,0),1)*$B264*ef_li_ion_akku/1000/1000/INDEX(Työkonekanta!$K$3:$K$27,MATCH($A264,Työkonekanta!$A$3:$A$24,0)),0)</f>
        <v>5.2676455384615384</v>
      </c>
      <c r="W264" s="149">
        <f t="shared" si="72"/>
        <v>0</v>
      </c>
      <c r="X264" s="150">
        <f t="shared" si="73"/>
        <v>0</v>
      </c>
      <c r="Y264" s="151">
        <f t="shared" si="74"/>
        <v>0</v>
      </c>
      <c r="Z264" s="152">
        <f t="shared" si="85"/>
        <v>16.333518021047112</v>
      </c>
      <c r="AA264" s="153">
        <f t="shared" si="86"/>
        <v>0</v>
      </c>
      <c r="AB264" s="153">
        <f t="shared" si="87"/>
        <v>0</v>
      </c>
      <c r="AC264" s="154">
        <f t="shared" si="75"/>
        <v>16.333518021047112</v>
      </c>
      <c r="AD264" s="156">
        <f t="shared" si="88"/>
        <v>16.333518021047112</v>
      </c>
      <c r="AE264" s="182"/>
      <c r="AG264" s="2"/>
    </row>
    <row r="265" spans="1:37">
      <c r="A265" s="139">
        <v>23</v>
      </c>
      <c r="B265" s="139" cm="1">
        <f t="array" ref="B265">IFERROR(IF(A265=s1_id_korvattava1,INDEX($AG$3:$AG$19,MATCH(C265,$AF$3:$AF$19,0),1),IF(A265=s1_id_korvaava1,INDEX($AH$3:$AH$19,MATCH(C265,$AF$3:$AF$19,0),1),IF(A265=s1_id_korvattava2,INDEX($AI$3:$AI$19,MATCH(C265,$AF$3:$AF$19,0),1),IF(A265=s1_id_korvaava2,INDEX($AJ$3:$AJ$19,MATCH(C265,$AF$3:$AF$19,0),1),INDEX(Työkonekanta!$F$3:$F$27,MATCH('S1 Sähkö'!$A265,Työkonekanta!$A$3:$A$24,0),1))))),0)</f>
        <v>0</v>
      </c>
      <c r="C265" s="140">
        <v>2027</v>
      </c>
      <c r="D265" s="141" t="str">
        <f>IFERROR(INDEX(Työkonekanta!$D$3:$D$27,MATCH('S1 Sähkö'!$A265,Työkonekanta!$A$3:$A$24,0),1),"undefined")</f>
        <v>undefined</v>
      </c>
      <c r="E265" s="145">
        <f>IFERROR(INDEX(Työkonekanta!$G$3:$G$27,MATCH($A265,Työkonekanta!$A$3:$A$24,0),1)*INDEX(Työkonekanta!$H$3:$H$27,MATCH($A265,Työkonekanta!$A$3:$A$24,0),1)*(1+s1_kerroin*($C265-2019))*$B265,0)</f>
        <v>0</v>
      </c>
      <c r="F265" s="145">
        <f t="shared" si="76"/>
        <v>0</v>
      </c>
      <c r="G265" s="145">
        <f t="shared" si="82"/>
        <v>0</v>
      </c>
      <c r="H265" s="145">
        <f t="shared" si="83"/>
        <v>0</v>
      </c>
      <c r="I265" s="145">
        <f t="shared" si="77"/>
        <v>0</v>
      </c>
      <c r="J265" s="145">
        <f t="shared" si="78"/>
        <v>0</v>
      </c>
      <c r="K265" s="142" t="str">
        <f t="shared" si="84"/>
        <v>undefined</v>
      </c>
      <c r="L265" s="146">
        <f>IFERROR(INDEX(Työkonekanta!$I$3:$I$27,MATCH('S1 Sähkö'!$A265,Työkonekanta!$A$3:$A$24,0),1)*(I265+J265)*f_adblue,0)</f>
        <v>0</v>
      </c>
      <c r="M265" s="146">
        <f t="shared" si="71"/>
        <v>0</v>
      </c>
      <c r="N265" s="143" t="str">
        <f>IF(tuulisähkö_vuosi&lt;='S1 Sähkö'!C265,"tuulisähkö",ostosähkö_nyt)</f>
        <v>jäännössähkö</v>
      </c>
      <c r="O265" s="147">
        <f>INDEX(Muuttujat!$J$5:$J$21,MATCH($C265,Muuttujat!$H$5:$H$21,0),1)</f>
        <v>63.897506909426724</v>
      </c>
      <c r="P265" s="342">
        <f>1-(INDEX(Muuttujat!$O$5:$O$21,MATCH($C265,Muuttujat!$N$5:$N$21,0),1))</f>
        <v>0.91</v>
      </c>
      <c r="Q265" s="342">
        <f>INDEX(Muuttujat!$O$5:$O$21,MATCH($C265,Muuttujat!$N$5:$N$21,0),1)</f>
        <v>0.09</v>
      </c>
      <c r="R265" s="148">
        <f>INDEX(Muuttujat!$P$5:$P$21,MATCH($C265,Muuttujat!$N$5:$N$21,0),1)</f>
        <v>9.3804435869509845E-2</v>
      </c>
      <c r="S265" s="149">
        <f t="shared" si="79"/>
        <v>0</v>
      </c>
      <c r="T265" s="150">
        <f t="shared" si="80"/>
        <v>0</v>
      </c>
      <c r="U265" s="150">
        <f t="shared" si="81"/>
        <v>0</v>
      </c>
      <c r="V265" s="150">
        <f>IFERROR(INDEX(Työkonekanta!$J$3:$J$27,MATCH($A265,Työkonekanta!$A$3:$A$24,0),1)*$B265*ef_li_ion_akku/1000/1000/INDEX(Työkonekanta!$K$3:$K$27,MATCH($A265,Työkonekanta!$A$3:$A$24,0)),0)</f>
        <v>0</v>
      </c>
      <c r="W265" s="149">
        <f t="shared" si="72"/>
        <v>0</v>
      </c>
      <c r="X265" s="150">
        <f t="shared" si="73"/>
        <v>0</v>
      </c>
      <c r="Y265" s="151">
        <f t="shared" si="74"/>
        <v>0</v>
      </c>
      <c r="Z265" s="152">
        <f t="shared" si="85"/>
        <v>0</v>
      </c>
      <c r="AA265" s="153">
        <f t="shared" si="86"/>
        <v>0</v>
      </c>
      <c r="AB265" s="153">
        <f t="shared" si="87"/>
        <v>0</v>
      </c>
      <c r="AC265" s="154">
        <f t="shared" si="75"/>
        <v>0</v>
      </c>
      <c r="AD265" s="156">
        <f t="shared" si="88"/>
        <v>0</v>
      </c>
      <c r="AE265" s="182"/>
      <c r="AJ265" s="28"/>
      <c r="AK265" s="29"/>
    </row>
    <row r="266" spans="1:37">
      <c r="A266" s="139">
        <v>24</v>
      </c>
      <c r="B266" s="139" cm="1">
        <f t="array" ref="B266">IFERROR(IF(A266=s1_id_korvattava1,INDEX($AG$3:$AG$19,MATCH(C266,$AF$3:$AF$19,0),1),IF(A266=s1_id_korvaava1,INDEX($AH$3:$AH$19,MATCH(C266,$AF$3:$AF$19,0),1),IF(A266=s1_id_korvattava2,INDEX($AI$3:$AI$19,MATCH(C266,$AF$3:$AF$19,0),1),IF(A266=s1_id_korvaava2,INDEX($AJ$3:$AJ$19,MATCH(C266,$AF$3:$AF$19,0),1),INDEX(Työkonekanta!$F$3:$F$27,MATCH('S1 Sähkö'!$A266,Työkonekanta!$A$3:$A$24,0),1))))),0)</f>
        <v>0</v>
      </c>
      <c r="C266" s="140">
        <v>2027</v>
      </c>
      <c r="D266" s="141" t="str">
        <f>IFERROR(INDEX(Työkonekanta!$D$3:$D$27,MATCH('S1 Sähkö'!$A266,Työkonekanta!$A$3:$A$24,0),1),"undefined")</f>
        <v>undefined</v>
      </c>
      <c r="E266" s="145">
        <f>IFERROR(INDEX(Työkonekanta!$G$3:$G$27,MATCH($A266,Työkonekanta!$A$3:$A$24,0),1)*INDEX(Työkonekanta!$H$3:$H$27,MATCH($A266,Työkonekanta!$A$3:$A$24,0),1)*(1+s1_kerroin*($C266-2019))*$B266,0)</f>
        <v>0</v>
      </c>
      <c r="F266" s="145">
        <f t="shared" si="76"/>
        <v>0</v>
      </c>
      <c r="G266" s="145">
        <f t="shared" si="82"/>
        <v>0</v>
      </c>
      <c r="H266" s="145">
        <f t="shared" si="83"/>
        <v>0</v>
      </c>
      <c r="I266" s="145">
        <f t="shared" si="77"/>
        <v>0</v>
      </c>
      <c r="J266" s="145">
        <f t="shared" si="78"/>
        <v>0</v>
      </c>
      <c r="K266" s="142" t="str">
        <f t="shared" si="84"/>
        <v>undefined</v>
      </c>
      <c r="L266" s="146">
        <f>IFERROR(INDEX(Työkonekanta!$I$3:$I$27,MATCH('S1 Sähkö'!$A266,Työkonekanta!$A$3:$A$24,0),1)*(I266+J266)*f_adblue,0)</f>
        <v>0</v>
      </c>
      <c r="M266" s="146">
        <f t="shared" si="71"/>
        <v>0</v>
      </c>
      <c r="N266" s="143" t="str">
        <f>IF(tuulisähkö_vuosi&lt;='S1 Sähkö'!C266,"tuulisähkö",ostosähkö_nyt)</f>
        <v>jäännössähkö</v>
      </c>
      <c r="O266" s="147">
        <f>INDEX(Muuttujat!$J$5:$J$21,MATCH($C266,Muuttujat!$H$5:$H$21,0),1)</f>
        <v>63.897506909426724</v>
      </c>
      <c r="P266" s="342">
        <f>1-(INDEX(Muuttujat!$O$5:$O$21,MATCH($C266,Muuttujat!$N$5:$N$21,0),1))</f>
        <v>0.91</v>
      </c>
      <c r="Q266" s="342">
        <f>INDEX(Muuttujat!$O$5:$O$21,MATCH($C266,Muuttujat!$N$5:$N$21,0),1)</f>
        <v>0.09</v>
      </c>
      <c r="R266" s="148">
        <f>INDEX(Muuttujat!$P$5:$P$21,MATCH($C266,Muuttujat!$N$5:$N$21,0),1)</f>
        <v>9.3804435869509845E-2</v>
      </c>
      <c r="S266" s="149">
        <f t="shared" si="79"/>
        <v>0</v>
      </c>
      <c r="T266" s="150">
        <f t="shared" si="80"/>
        <v>0</v>
      </c>
      <c r="U266" s="150">
        <f t="shared" si="81"/>
        <v>0</v>
      </c>
      <c r="V266" s="150">
        <f>IFERROR(INDEX(Työkonekanta!$J$3:$J$27,MATCH($A266,Työkonekanta!$A$3:$A$24,0),1)*$B266*ef_li_ion_akku/1000/1000/INDEX(Työkonekanta!$K$3:$K$27,MATCH($A266,Työkonekanta!$A$3:$A$24,0)),0)</f>
        <v>0</v>
      </c>
      <c r="W266" s="149">
        <f t="shared" si="72"/>
        <v>0</v>
      </c>
      <c r="X266" s="150">
        <f t="shared" si="73"/>
        <v>0</v>
      </c>
      <c r="Y266" s="151">
        <f t="shared" si="74"/>
        <v>0</v>
      </c>
      <c r="Z266" s="152">
        <f t="shared" si="85"/>
        <v>0</v>
      </c>
      <c r="AA266" s="153">
        <f t="shared" si="86"/>
        <v>0</v>
      </c>
      <c r="AB266" s="153">
        <f t="shared" si="87"/>
        <v>0</v>
      </c>
      <c r="AC266" s="154">
        <f t="shared" si="75"/>
        <v>0</v>
      </c>
      <c r="AD266" s="156">
        <f t="shared" si="88"/>
        <v>0</v>
      </c>
      <c r="AE266" s="182"/>
      <c r="AJ266" s="28"/>
      <c r="AK266" s="29"/>
    </row>
    <row r="267" spans="1:37">
      <c r="A267" s="139">
        <v>25</v>
      </c>
      <c r="B267" s="139" cm="1">
        <f t="array" ref="B267">IFERROR(IF(A267=s1_id_korvattava1,INDEX($AG$3:$AG$19,MATCH(C267,$AF$3:$AF$19,0),1),IF(A267=s1_id_korvaava1,INDEX($AH$3:$AH$19,MATCH(C267,$AF$3:$AF$19,0),1),IF(A267=s1_id_korvattava2,INDEX($AI$3:$AI$19,MATCH(C267,$AF$3:$AF$19,0),1),IF(A267=s1_id_korvaava2,INDEX($AJ$3:$AJ$19,MATCH(C267,$AF$3:$AF$19,0),1),INDEX(Työkonekanta!$F$3:$F$27,MATCH('S1 Sähkö'!$A267,Työkonekanta!$A$3:$A$24,0),1))))),0)</f>
        <v>0</v>
      </c>
      <c r="C267" s="140">
        <v>2027</v>
      </c>
      <c r="D267" s="141" t="str">
        <f>IFERROR(INDEX(Työkonekanta!$D$3:$D$27,MATCH('S1 Sähkö'!$A267,Työkonekanta!$A$3:$A$24,0),1),"undefined")</f>
        <v>undefined</v>
      </c>
      <c r="E267" s="145">
        <f>IFERROR(INDEX(Työkonekanta!$G$3:$G$27,MATCH($A267,Työkonekanta!$A$3:$A$24,0),1)*INDEX(Työkonekanta!$H$3:$H$27,MATCH($A267,Työkonekanta!$A$3:$A$24,0),1)*(1+s1_kerroin*($C267-2019))*$B267,0)</f>
        <v>0</v>
      </c>
      <c r="F267" s="145">
        <f t="shared" si="76"/>
        <v>0</v>
      </c>
      <c r="G267" s="145">
        <f t="shared" si="82"/>
        <v>0</v>
      </c>
      <c r="H267" s="145">
        <f t="shared" si="83"/>
        <v>0</v>
      </c>
      <c r="I267" s="145">
        <f t="shared" si="77"/>
        <v>0</v>
      </c>
      <c r="J267" s="145">
        <f t="shared" si="78"/>
        <v>0</v>
      </c>
      <c r="K267" s="142" t="str">
        <f t="shared" si="84"/>
        <v>undefined</v>
      </c>
      <c r="L267" s="146">
        <f>IFERROR(INDEX(Työkonekanta!$I$3:$I$27,MATCH('S1 Sähkö'!$A267,Työkonekanta!$A$3:$A$24,0),1)*(I267+J267)*f_adblue,0)</f>
        <v>0</v>
      </c>
      <c r="M267" s="146">
        <f t="shared" si="71"/>
        <v>0</v>
      </c>
      <c r="N267" s="143" t="str">
        <f>IF(tuulisähkö_vuosi&lt;='S1 Sähkö'!C267,"tuulisähkö",ostosähkö_nyt)</f>
        <v>jäännössähkö</v>
      </c>
      <c r="O267" s="147">
        <f>INDEX(Muuttujat!$J$5:$J$21,MATCH($C267,Muuttujat!$H$5:$H$21,0),1)</f>
        <v>63.897506909426724</v>
      </c>
      <c r="P267" s="342">
        <f>1-(INDEX(Muuttujat!$O$5:$O$21,MATCH($C267,Muuttujat!$N$5:$N$21,0),1))</f>
        <v>0.91</v>
      </c>
      <c r="Q267" s="342">
        <f>INDEX(Muuttujat!$O$5:$O$21,MATCH($C267,Muuttujat!$N$5:$N$21,0),1)</f>
        <v>0.09</v>
      </c>
      <c r="R267" s="148">
        <f>INDEX(Muuttujat!$P$5:$P$21,MATCH($C267,Muuttujat!$N$5:$N$21,0),1)</f>
        <v>9.3804435869509845E-2</v>
      </c>
      <c r="S267" s="149">
        <f t="shared" si="79"/>
        <v>0</v>
      </c>
      <c r="T267" s="150">
        <f t="shared" si="80"/>
        <v>0</v>
      </c>
      <c r="U267" s="150">
        <f t="shared" si="81"/>
        <v>0</v>
      </c>
      <c r="V267" s="150">
        <f>IFERROR(INDEX(Työkonekanta!$J$3:$J$27,MATCH($A267,Työkonekanta!$A$3:$A$24,0),1)*$B267*ef_li_ion_akku/1000/1000/INDEX(Työkonekanta!$K$3:$K$27,MATCH($A267,Työkonekanta!$A$3:$A$24,0)),0)</f>
        <v>0</v>
      </c>
      <c r="W267" s="149">
        <f t="shared" si="72"/>
        <v>0</v>
      </c>
      <c r="X267" s="150">
        <f t="shared" si="73"/>
        <v>0</v>
      </c>
      <c r="Y267" s="151">
        <f t="shared" si="74"/>
        <v>0</v>
      </c>
      <c r="Z267" s="152">
        <f t="shared" si="85"/>
        <v>0</v>
      </c>
      <c r="AA267" s="153">
        <f t="shared" si="86"/>
        <v>0</v>
      </c>
      <c r="AB267" s="153">
        <f t="shared" si="87"/>
        <v>0</v>
      </c>
      <c r="AC267" s="154">
        <f t="shared" si="75"/>
        <v>0</v>
      </c>
      <c r="AD267" s="156">
        <f t="shared" si="88"/>
        <v>0</v>
      </c>
      <c r="AE267" s="182"/>
      <c r="AJ267" s="28"/>
      <c r="AK267" s="29"/>
    </row>
    <row r="268" spans="1:37">
      <c r="A268" s="139">
        <v>26</v>
      </c>
      <c r="B268" s="139" cm="1">
        <f t="array" ref="B268">IFERROR(IF(A268=s1_id_korvattava1,INDEX($AG$3:$AG$19,MATCH(C268,$AF$3:$AF$19,0),1),IF(A268=s1_id_korvaava1,INDEX($AH$3:$AH$19,MATCH(C268,$AF$3:$AF$19,0),1),IF(A268=s1_id_korvattava2,INDEX($AI$3:$AI$19,MATCH(C268,$AF$3:$AF$19,0),1),IF(A268=s1_id_korvaava2,INDEX($AJ$3:$AJ$19,MATCH(C268,$AF$3:$AF$19,0),1),INDEX(Työkonekanta!$F$3:$F$27,MATCH('S1 Sähkö'!$A268,Työkonekanta!$A$3:$A$24,0),1))))),0)</f>
        <v>0</v>
      </c>
      <c r="C268" s="140">
        <v>2027</v>
      </c>
      <c r="D268" s="141" t="str">
        <f>IFERROR(INDEX(Työkonekanta!$D$3:$D$27,MATCH('S1 Sähkö'!$A268,Työkonekanta!$A$3:$A$24,0),1),"undefined")</f>
        <v>undefined</v>
      </c>
      <c r="E268" s="145">
        <f>IFERROR(INDEX(Työkonekanta!$G$3:$G$27,MATCH($A268,Työkonekanta!$A$3:$A$24,0),1)*INDEX(Työkonekanta!$H$3:$H$27,MATCH($A268,Työkonekanta!$A$3:$A$24,0),1)*(1+s1_kerroin*($C268-2019))*$B268,0)</f>
        <v>0</v>
      </c>
      <c r="F268" s="145">
        <f t="shared" si="76"/>
        <v>0</v>
      </c>
      <c r="G268" s="145">
        <f t="shared" si="82"/>
        <v>0</v>
      </c>
      <c r="H268" s="145">
        <f t="shared" si="83"/>
        <v>0</v>
      </c>
      <c r="I268" s="145">
        <f t="shared" si="77"/>
        <v>0</v>
      </c>
      <c r="J268" s="145">
        <f t="shared" si="78"/>
        <v>0</v>
      </c>
      <c r="K268" s="142" t="str">
        <f t="shared" si="84"/>
        <v>undefined</v>
      </c>
      <c r="L268" s="146">
        <f>IFERROR(INDEX(Työkonekanta!$I$3:$I$27,MATCH('S1 Sähkö'!$A268,Työkonekanta!$A$3:$A$24,0),1)*(I268+J268)*f_adblue,0)</f>
        <v>0</v>
      </c>
      <c r="M268" s="146">
        <f t="shared" si="71"/>
        <v>0</v>
      </c>
      <c r="N268" s="143" t="str">
        <f>IF(tuulisähkö_vuosi&lt;='S1 Sähkö'!C268,"tuulisähkö",ostosähkö_nyt)</f>
        <v>jäännössähkö</v>
      </c>
      <c r="O268" s="147">
        <f>INDEX(Muuttujat!$J$5:$J$21,MATCH($C268,Muuttujat!$H$5:$H$21,0),1)</f>
        <v>63.897506909426724</v>
      </c>
      <c r="P268" s="342">
        <f>1-(INDEX(Muuttujat!$O$5:$O$21,MATCH($C268,Muuttujat!$N$5:$N$21,0),1))</f>
        <v>0.91</v>
      </c>
      <c r="Q268" s="342">
        <f>INDEX(Muuttujat!$O$5:$O$21,MATCH($C268,Muuttujat!$N$5:$N$21,0),1)</f>
        <v>0.09</v>
      </c>
      <c r="R268" s="148">
        <f>INDEX(Muuttujat!$P$5:$P$21,MATCH($C268,Muuttujat!$N$5:$N$21,0),1)</f>
        <v>9.3804435869509845E-2</v>
      </c>
      <c r="S268" s="149">
        <f t="shared" si="79"/>
        <v>0</v>
      </c>
      <c r="T268" s="150">
        <f t="shared" si="80"/>
        <v>0</v>
      </c>
      <c r="U268" s="150">
        <f t="shared" si="81"/>
        <v>0</v>
      </c>
      <c r="V268" s="150">
        <f>IFERROR(INDEX(Työkonekanta!$J$3:$J$27,MATCH($A268,Työkonekanta!$A$3:$A$24,0),1)*$B268*ef_li_ion_akku/1000/1000/INDEX(Työkonekanta!$K$3:$K$27,MATCH($A268,Työkonekanta!$A$3:$A$24,0)),0)</f>
        <v>0</v>
      </c>
      <c r="W268" s="149">
        <f t="shared" si="72"/>
        <v>0</v>
      </c>
      <c r="X268" s="150">
        <f t="shared" si="73"/>
        <v>0</v>
      </c>
      <c r="Y268" s="151">
        <f t="shared" si="74"/>
        <v>0</v>
      </c>
      <c r="Z268" s="152">
        <f t="shared" si="85"/>
        <v>0</v>
      </c>
      <c r="AA268" s="153">
        <f t="shared" si="86"/>
        <v>0</v>
      </c>
      <c r="AB268" s="153">
        <f t="shared" si="87"/>
        <v>0</v>
      </c>
      <c r="AC268" s="154">
        <f t="shared" si="75"/>
        <v>0</v>
      </c>
      <c r="AD268" s="156">
        <f t="shared" si="88"/>
        <v>0</v>
      </c>
      <c r="AE268" s="182"/>
      <c r="AJ268" s="28"/>
      <c r="AK268" s="29"/>
    </row>
    <row r="269" spans="1:37">
      <c r="A269" s="139">
        <v>27</v>
      </c>
      <c r="B269" s="139" cm="1">
        <f t="array" ref="B269">IFERROR(IF(A269=s1_id_korvattava1,INDEX($AG$3:$AG$19,MATCH(C269,$AF$3:$AF$19,0),1),IF(A269=s1_id_korvaava1,INDEX($AH$3:$AH$19,MATCH(C269,$AF$3:$AF$19,0),1),IF(A269=s1_id_korvattava2,INDEX($AI$3:$AI$19,MATCH(C269,$AF$3:$AF$19,0),1),IF(A269=s1_id_korvaava2,INDEX($AJ$3:$AJ$19,MATCH(C269,$AF$3:$AF$19,0),1),INDEX(Työkonekanta!$F$3:$F$27,MATCH('S1 Sähkö'!$A269,Työkonekanta!$A$3:$A$24,0),1))))),0)</f>
        <v>0</v>
      </c>
      <c r="C269" s="140">
        <v>2027</v>
      </c>
      <c r="D269" s="141" t="str">
        <f>IFERROR(INDEX(Työkonekanta!$D$3:$D$27,MATCH('S1 Sähkö'!$A269,Työkonekanta!$A$3:$A$24,0),1),"undefined")</f>
        <v>undefined</v>
      </c>
      <c r="E269" s="145">
        <f>IFERROR(INDEX(Työkonekanta!$G$3:$G$27,MATCH($A269,Työkonekanta!$A$3:$A$24,0),1)*INDEX(Työkonekanta!$H$3:$H$27,MATCH($A269,Työkonekanta!$A$3:$A$24,0),1)*(1+s1_kerroin*($C269-2019))*$B269,0)</f>
        <v>0</v>
      </c>
      <c r="F269" s="145">
        <f t="shared" si="76"/>
        <v>0</v>
      </c>
      <c r="G269" s="145">
        <f t="shared" si="82"/>
        <v>0</v>
      </c>
      <c r="H269" s="145">
        <f t="shared" si="83"/>
        <v>0</v>
      </c>
      <c r="I269" s="145">
        <f t="shared" si="77"/>
        <v>0</v>
      </c>
      <c r="J269" s="145">
        <f t="shared" si="78"/>
        <v>0</v>
      </c>
      <c r="K269" s="142" t="str">
        <f t="shared" si="84"/>
        <v>undefined</v>
      </c>
      <c r="L269" s="146">
        <f>IFERROR(INDEX(Työkonekanta!$I$3:$I$27,MATCH('S1 Sähkö'!$A269,Työkonekanta!$A$3:$A$24,0),1)*(I269+J269)*f_adblue,0)</f>
        <v>0</v>
      </c>
      <c r="M269" s="146">
        <f t="shared" si="71"/>
        <v>0</v>
      </c>
      <c r="N269" s="143" t="str">
        <f>IF(tuulisähkö_vuosi&lt;='S1 Sähkö'!C269,"tuulisähkö",ostosähkö_nyt)</f>
        <v>jäännössähkö</v>
      </c>
      <c r="O269" s="147">
        <f>INDEX(Muuttujat!$J$5:$J$21,MATCH($C269,Muuttujat!$H$5:$H$21,0),1)</f>
        <v>63.897506909426724</v>
      </c>
      <c r="P269" s="342">
        <f>1-(INDEX(Muuttujat!$O$5:$O$21,MATCH($C269,Muuttujat!$N$5:$N$21,0),1))</f>
        <v>0.91</v>
      </c>
      <c r="Q269" s="342">
        <f>INDEX(Muuttujat!$O$5:$O$21,MATCH($C269,Muuttujat!$N$5:$N$21,0),1)</f>
        <v>0.09</v>
      </c>
      <c r="R269" s="148">
        <f>INDEX(Muuttujat!$P$5:$P$21,MATCH($C269,Muuttujat!$N$5:$N$21,0),1)</f>
        <v>9.3804435869509845E-2</v>
      </c>
      <c r="S269" s="149">
        <f t="shared" si="79"/>
        <v>0</v>
      </c>
      <c r="T269" s="150">
        <f t="shared" si="80"/>
        <v>0</v>
      </c>
      <c r="U269" s="150">
        <f t="shared" si="81"/>
        <v>0</v>
      </c>
      <c r="V269" s="150">
        <f>IFERROR(INDEX(Työkonekanta!$J$3:$J$27,MATCH($A269,Työkonekanta!$A$3:$A$24,0),1)*$B269*ef_li_ion_akku/1000/1000/INDEX(Työkonekanta!$K$3:$K$27,MATCH($A269,Työkonekanta!$A$3:$A$24,0)),0)</f>
        <v>0</v>
      </c>
      <c r="W269" s="149">
        <f t="shared" si="72"/>
        <v>0</v>
      </c>
      <c r="X269" s="150">
        <f t="shared" si="73"/>
        <v>0</v>
      </c>
      <c r="Y269" s="151">
        <f t="shared" si="74"/>
        <v>0</v>
      </c>
      <c r="Z269" s="152">
        <f t="shared" si="85"/>
        <v>0</v>
      </c>
      <c r="AA269" s="153">
        <f t="shared" si="86"/>
        <v>0</v>
      </c>
      <c r="AB269" s="153">
        <f t="shared" si="87"/>
        <v>0</v>
      </c>
      <c r="AC269" s="154">
        <f t="shared" si="75"/>
        <v>0</v>
      </c>
      <c r="AD269" s="156">
        <f t="shared" si="88"/>
        <v>0</v>
      </c>
      <c r="AE269" s="182"/>
      <c r="AJ269" s="28"/>
      <c r="AK269" s="29"/>
    </row>
    <row r="270" spans="1:37">
      <c r="A270" s="139">
        <v>28</v>
      </c>
      <c r="B270" s="139" cm="1">
        <f t="array" ref="B270">IFERROR(IF(A270=s1_id_korvattava1,INDEX($AG$3:$AG$19,MATCH(C270,$AF$3:$AF$19,0),1),IF(A270=s1_id_korvaava1,INDEX($AH$3:$AH$19,MATCH(C270,$AF$3:$AF$19,0),1),IF(A270=s1_id_korvattava2,INDEX($AI$3:$AI$19,MATCH(C270,$AF$3:$AF$19,0),1),IF(A270=s1_id_korvaava2,INDEX($AJ$3:$AJ$19,MATCH(C270,$AF$3:$AF$19,0),1),INDEX(Työkonekanta!$F$3:$F$27,MATCH('S1 Sähkö'!$A270,Työkonekanta!$A$3:$A$24,0),1))))),0)</f>
        <v>0</v>
      </c>
      <c r="C270" s="140">
        <v>2027</v>
      </c>
      <c r="D270" s="141" t="str">
        <f>IFERROR(INDEX(Työkonekanta!$D$3:$D$27,MATCH('S1 Sähkö'!$A270,Työkonekanta!$A$3:$A$24,0),1),"undefined")</f>
        <v>undefined</v>
      </c>
      <c r="E270" s="145">
        <f>IFERROR(INDEX(Työkonekanta!$G$3:$G$27,MATCH($A270,Työkonekanta!$A$3:$A$24,0),1)*INDEX(Työkonekanta!$H$3:$H$27,MATCH($A270,Työkonekanta!$A$3:$A$24,0),1)*(1+s1_kerroin*($C270-2019))*$B270,0)</f>
        <v>0</v>
      </c>
      <c r="F270" s="145">
        <f t="shared" si="76"/>
        <v>0</v>
      </c>
      <c r="G270" s="145">
        <f t="shared" si="82"/>
        <v>0</v>
      </c>
      <c r="H270" s="145">
        <f t="shared" si="83"/>
        <v>0</v>
      </c>
      <c r="I270" s="145">
        <f t="shared" si="77"/>
        <v>0</v>
      </c>
      <c r="J270" s="145">
        <f t="shared" si="78"/>
        <v>0</v>
      </c>
      <c r="K270" s="142" t="str">
        <f t="shared" si="84"/>
        <v>undefined</v>
      </c>
      <c r="L270" s="146">
        <f>IFERROR(INDEX(Työkonekanta!$I$3:$I$27,MATCH('S1 Sähkö'!$A270,Työkonekanta!$A$3:$A$24,0),1)*(I270+J270)*f_adblue,0)</f>
        <v>0</v>
      </c>
      <c r="M270" s="146">
        <f t="shared" si="71"/>
        <v>0</v>
      </c>
      <c r="N270" s="143" t="str">
        <f>IF(tuulisähkö_vuosi&lt;='S1 Sähkö'!C270,"tuulisähkö",ostosähkö_nyt)</f>
        <v>jäännössähkö</v>
      </c>
      <c r="O270" s="147">
        <f>INDEX(Muuttujat!$J$5:$J$21,MATCH($C270,Muuttujat!$H$5:$H$21,0),1)</f>
        <v>63.897506909426724</v>
      </c>
      <c r="P270" s="342">
        <f>1-(INDEX(Muuttujat!$O$5:$O$21,MATCH($C270,Muuttujat!$N$5:$N$21,0),1))</f>
        <v>0.91</v>
      </c>
      <c r="Q270" s="342">
        <f>INDEX(Muuttujat!$O$5:$O$21,MATCH($C270,Muuttujat!$N$5:$N$21,0),1)</f>
        <v>0.09</v>
      </c>
      <c r="R270" s="148">
        <f>INDEX(Muuttujat!$P$5:$P$21,MATCH($C270,Muuttujat!$N$5:$N$21,0),1)</f>
        <v>9.3804435869509845E-2</v>
      </c>
      <c r="S270" s="149">
        <f t="shared" si="79"/>
        <v>0</v>
      </c>
      <c r="T270" s="150">
        <f t="shared" si="80"/>
        <v>0</v>
      </c>
      <c r="U270" s="150">
        <f t="shared" si="81"/>
        <v>0</v>
      </c>
      <c r="V270" s="150">
        <f>IFERROR(INDEX(Työkonekanta!$J$3:$J$27,MATCH($A270,Työkonekanta!$A$3:$A$24,0),1)*$B270*ef_li_ion_akku/1000/1000/INDEX(Työkonekanta!$K$3:$K$27,MATCH($A270,Työkonekanta!$A$3:$A$24,0)),0)</f>
        <v>0</v>
      </c>
      <c r="W270" s="149">
        <f t="shared" si="72"/>
        <v>0</v>
      </c>
      <c r="X270" s="150">
        <f t="shared" si="73"/>
        <v>0</v>
      </c>
      <c r="Y270" s="151">
        <f t="shared" si="74"/>
        <v>0</v>
      </c>
      <c r="Z270" s="152">
        <f t="shared" si="85"/>
        <v>0</v>
      </c>
      <c r="AA270" s="153">
        <f t="shared" si="86"/>
        <v>0</v>
      </c>
      <c r="AB270" s="153">
        <f t="shared" si="87"/>
        <v>0</v>
      </c>
      <c r="AC270" s="154">
        <f t="shared" si="75"/>
        <v>0</v>
      </c>
      <c r="AD270" s="156">
        <f t="shared" si="88"/>
        <v>0</v>
      </c>
      <c r="AE270" s="182"/>
      <c r="AJ270" s="28"/>
      <c r="AK270" s="29"/>
    </row>
    <row r="271" spans="1:37">
      <c r="A271" s="139">
        <v>29</v>
      </c>
      <c r="B271" s="139" cm="1">
        <f t="array" ref="B271">IFERROR(IF(A271=s1_id_korvattava1,INDEX($AG$3:$AG$19,MATCH(C271,$AF$3:$AF$19,0),1),IF(A271=s1_id_korvaava1,INDEX($AH$3:$AH$19,MATCH(C271,$AF$3:$AF$19,0),1),IF(A271=s1_id_korvattava2,INDEX($AI$3:$AI$19,MATCH(C271,$AF$3:$AF$19,0),1),IF(A271=s1_id_korvaava2,INDEX($AJ$3:$AJ$19,MATCH(C271,$AF$3:$AF$19,0),1),INDEX(Työkonekanta!$F$3:$F$27,MATCH('S1 Sähkö'!$A271,Työkonekanta!$A$3:$A$24,0),1))))),0)</f>
        <v>0</v>
      </c>
      <c r="C271" s="140">
        <v>2027</v>
      </c>
      <c r="D271" s="141" t="str">
        <f>IFERROR(INDEX(Työkonekanta!$D$3:$D$27,MATCH('S1 Sähkö'!$A271,Työkonekanta!$A$3:$A$24,0),1),"undefined")</f>
        <v>undefined</v>
      </c>
      <c r="E271" s="145">
        <f>IFERROR(INDEX(Työkonekanta!$G$3:$G$27,MATCH($A271,Työkonekanta!$A$3:$A$24,0),1)*INDEX(Työkonekanta!$H$3:$H$27,MATCH($A271,Työkonekanta!$A$3:$A$24,0),1)*(1+s1_kerroin*($C271-2019))*$B271,0)</f>
        <v>0</v>
      </c>
      <c r="F271" s="145">
        <f t="shared" si="76"/>
        <v>0</v>
      </c>
      <c r="G271" s="145">
        <f t="shared" si="82"/>
        <v>0</v>
      </c>
      <c r="H271" s="145">
        <f t="shared" si="83"/>
        <v>0</v>
      </c>
      <c r="I271" s="145">
        <f t="shared" si="77"/>
        <v>0</v>
      </c>
      <c r="J271" s="145">
        <f t="shared" si="78"/>
        <v>0</v>
      </c>
      <c r="K271" s="142" t="str">
        <f t="shared" si="84"/>
        <v>undefined</v>
      </c>
      <c r="L271" s="146">
        <f>IFERROR(INDEX(Työkonekanta!$I$3:$I$27,MATCH('S1 Sähkö'!$A271,Työkonekanta!$A$3:$A$24,0),1)*(I271+J271)*f_adblue,0)</f>
        <v>0</v>
      </c>
      <c r="M271" s="146">
        <f t="shared" si="71"/>
        <v>0</v>
      </c>
      <c r="N271" s="143" t="str">
        <f>IF(tuulisähkö_vuosi&lt;='S1 Sähkö'!C271,"tuulisähkö",ostosähkö_nyt)</f>
        <v>jäännössähkö</v>
      </c>
      <c r="O271" s="147">
        <f>INDEX(Muuttujat!$J$5:$J$21,MATCH($C271,Muuttujat!$H$5:$H$21,0),1)</f>
        <v>63.897506909426724</v>
      </c>
      <c r="P271" s="342">
        <f>1-(INDEX(Muuttujat!$O$5:$O$21,MATCH($C271,Muuttujat!$N$5:$N$21,0),1))</f>
        <v>0.91</v>
      </c>
      <c r="Q271" s="342">
        <f>INDEX(Muuttujat!$O$5:$O$21,MATCH($C271,Muuttujat!$N$5:$N$21,0),1)</f>
        <v>0.09</v>
      </c>
      <c r="R271" s="148">
        <f>INDEX(Muuttujat!$P$5:$P$21,MATCH($C271,Muuttujat!$N$5:$N$21,0),1)</f>
        <v>9.3804435869509845E-2</v>
      </c>
      <c r="S271" s="149">
        <f t="shared" si="79"/>
        <v>0</v>
      </c>
      <c r="T271" s="150">
        <f t="shared" si="80"/>
        <v>0</v>
      </c>
      <c r="U271" s="150">
        <f t="shared" si="81"/>
        <v>0</v>
      </c>
      <c r="V271" s="150">
        <f>IFERROR(INDEX(Työkonekanta!$J$3:$J$27,MATCH($A271,Työkonekanta!$A$3:$A$24,0),1)*$B271*ef_li_ion_akku/1000/1000/INDEX(Työkonekanta!$K$3:$K$27,MATCH($A271,Työkonekanta!$A$3:$A$24,0)),0)</f>
        <v>0</v>
      </c>
      <c r="W271" s="149">
        <f t="shared" si="72"/>
        <v>0</v>
      </c>
      <c r="X271" s="150">
        <f t="shared" si="73"/>
        <v>0</v>
      </c>
      <c r="Y271" s="151">
        <f t="shared" si="74"/>
        <v>0</v>
      </c>
      <c r="Z271" s="152">
        <f t="shared" si="85"/>
        <v>0</v>
      </c>
      <c r="AA271" s="153">
        <f t="shared" si="86"/>
        <v>0</v>
      </c>
      <c r="AB271" s="153">
        <f t="shared" si="87"/>
        <v>0</v>
      </c>
      <c r="AC271" s="154">
        <f t="shared" si="75"/>
        <v>0</v>
      </c>
      <c r="AD271" s="156">
        <f t="shared" si="88"/>
        <v>0</v>
      </c>
      <c r="AE271" s="182"/>
      <c r="AJ271" s="28"/>
      <c r="AK271" s="29"/>
    </row>
    <row r="272" spans="1:37">
      <c r="A272" s="139">
        <v>30</v>
      </c>
      <c r="B272" s="139" cm="1">
        <f t="array" ref="B272">IFERROR(IF(A272=s1_id_korvattava1,INDEX($AG$3:$AG$19,MATCH(C272,$AF$3:$AF$19,0),1),IF(A272=s1_id_korvaava1,INDEX($AH$3:$AH$19,MATCH(C272,$AF$3:$AF$19,0),1),IF(A272=s1_id_korvattava2,INDEX($AI$3:$AI$19,MATCH(C272,$AF$3:$AF$19,0),1),IF(A272=s1_id_korvaava2,INDEX($AJ$3:$AJ$19,MATCH(C272,$AF$3:$AF$19,0),1),INDEX(Työkonekanta!$F$3:$F$27,MATCH('S1 Sähkö'!$A272,Työkonekanta!$A$3:$A$24,0),1))))),0)</f>
        <v>0</v>
      </c>
      <c r="C272" s="140">
        <v>2027</v>
      </c>
      <c r="D272" s="141" t="str">
        <f>IFERROR(INDEX(Työkonekanta!$D$3:$D$27,MATCH('S1 Sähkö'!$A272,Työkonekanta!$A$3:$A$24,0),1),"undefined")</f>
        <v>undefined</v>
      </c>
      <c r="E272" s="145">
        <f>IFERROR(INDEX(Työkonekanta!$G$3:$G$27,MATCH($A272,Työkonekanta!$A$3:$A$24,0),1)*INDEX(Työkonekanta!$H$3:$H$27,MATCH($A272,Työkonekanta!$A$3:$A$24,0),1)*(1+s1_kerroin*($C272-2019))*$B272,0)</f>
        <v>0</v>
      </c>
      <c r="F272" s="145">
        <f t="shared" si="76"/>
        <v>0</v>
      </c>
      <c r="G272" s="145">
        <f t="shared" si="82"/>
        <v>0</v>
      </c>
      <c r="H272" s="145">
        <f t="shared" si="83"/>
        <v>0</v>
      </c>
      <c r="I272" s="145">
        <f t="shared" si="77"/>
        <v>0</v>
      </c>
      <c r="J272" s="145">
        <f t="shared" si="78"/>
        <v>0</v>
      </c>
      <c r="K272" s="142" t="str">
        <f t="shared" si="84"/>
        <v>undefined</v>
      </c>
      <c r="L272" s="146">
        <f>IFERROR(INDEX(Työkonekanta!$I$3:$I$27,MATCH('S1 Sähkö'!$A272,Työkonekanta!$A$3:$A$24,0),1)*(I272+J272)*f_adblue,0)</f>
        <v>0</v>
      </c>
      <c r="M272" s="146">
        <f t="shared" si="71"/>
        <v>0</v>
      </c>
      <c r="N272" s="143" t="str">
        <f>IF(tuulisähkö_vuosi&lt;='S1 Sähkö'!C272,"tuulisähkö",ostosähkö_nyt)</f>
        <v>jäännössähkö</v>
      </c>
      <c r="O272" s="147">
        <f>INDEX(Muuttujat!$J$5:$J$21,MATCH($C272,Muuttujat!$H$5:$H$21,0),1)</f>
        <v>63.897506909426724</v>
      </c>
      <c r="P272" s="342">
        <f>1-(INDEX(Muuttujat!$O$5:$O$21,MATCH($C272,Muuttujat!$N$5:$N$21,0),1))</f>
        <v>0.91</v>
      </c>
      <c r="Q272" s="342">
        <f>INDEX(Muuttujat!$O$5:$O$21,MATCH($C272,Muuttujat!$N$5:$N$21,0),1)</f>
        <v>0.09</v>
      </c>
      <c r="R272" s="148">
        <f>INDEX(Muuttujat!$P$5:$P$21,MATCH($C272,Muuttujat!$N$5:$N$21,0),1)</f>
        <v>9.3804435869509845E-2</v>
      </c>
      <c r="S272" s="149">
        <f t="shared" si="79"/>
        <v>0</v>
      </c>
      <c r="T272" s="150">
        <f t="shared" si="80"/>
        <v>0</v>
      </c>
      <c r="U272" s="150">
        <f t="shared" si="81"/>
        <v>0</v>
      </c>
      <c r="V272" s="150">
        <f>IFERROR(INDEX(Työkonekanta!$J$3:$J$27,MATCH($A272,Työkonekanta!$A$3:$A$24,0),1)*$B272*ef_li_ion_akku/1000/1000/INDEX(Työkonekanta!$K$3:$K$27,MATCH($A272,Työkonekanta!$A$3:$A$24,0)),0)</f>
        <v>0</v>
      </c>
      <c r="W272" s="149">
        <f t="shared" si="72"/>
        <v>0</v>
      </c>
      <c r="X272" s="150">
        <f t="shared" si="73"/>
        <v>0</v>
      </c>
      <c r="Y272" s="151">
        <f t="shared" si="74"/>
        <v>0</v>
      </c>
      <c r="Z272" s="152">
        <f t="shared" si="85"/>
        <v>0</v>
      </c>
      <c r="AA272" s="153">
        <f t="shared" si="86"/>
        <v>0</v>
      </c>
      <c r="AB272" s="153">
        <f t="shared" si="87"/>
        <v>0</v>
      </c>
      <c r="AC272" s="154">
        <f t="shared" si="75"/>
        <v>0</v>
      </c>
      <c r="AD272" s="156">
        <f t="shared" si="88"/>
        <v>0</v>
      </c>
      <c r="AE272" s="182"/>
      <c r="AJ272" s="28"/>
      <c r="AK272" s="29"/>
    </row>
    <row r="273" spans="1:33">
      <c r="A273" s="139">
        <v>1</v>
      </c>
      <c r="B273" s="139" cm="1">
        <f t="array" ref="B273">IFERROR(IF(A273=s1_id_korvattava1,INDEX($AG$3:$AG$19,MATCH(C273,$AF$3:$AF$19,0),1),IF(A273=s1_id_korvaava1,INDEX($AH$3:$AH$19,MATCH(C273,$AF$3:$AF$19,0),1),IF(A273=s1_id_korvattava2,INDEX($AI$3:$AI$19,MATCH(C273,$AF$3:$AF$19,0),1),IF(A273=s1_id_korvaava2,INDEX($AJ$3:$AJ$19,MATCH(C273,$AF$3:$AF$19,0),1),INDEX(Työkonekanta!$F$3:$F$27,MATCH('S1 Sähkö'!$A273,Työkonekanta!$A$3:$A$24,0),1))))),0)</f>
        <v>1</v>
      </c>
      <c r="C273" s="140">
        <v>2028</v>
      </c>
      <c r="D273" s="141" t="str">
        <f>IFERROR(INDEX(Työkonekanta!$D$3:$D$27,MATCH('S1 Sähkö'!$A273,Työkonekanta!$A$3:$A$24,0),1),"undefined")</f>
        <v>pom</v>
      </c>
      <c r="E273" s="145">
        <f>IFERROR(INDEX(Työkonekanta!$G$3:$G$27,MATCH($A273,Työkonekanta!$A$3:$A$24,0),1)*INDEX(Työkonekanta!$H$3:$H$27,MATCH($A273,Työkonekanta!$A$3:$A$24,0),1)*(1+s1_kerroin*($C273-2019))*$B273,0)</f>
        <v>10900</v>
      </c>
      <c r="F273" s="145">
        <f t="shared" si="76"/>
        <v>391310</v>
      </c>
      <c r="G273" s="145">
        <f t="shared" si="82"/>
        <v>352179</v>
      </c>
      <c r="H273" s="145">
        <f t="shared" si="83"/>
        <v>39131</v>
      </c>
      <c r="I273" s="145">
        <f t="shared" si="77"/>
        <v>9810</v>
      </c>
      <c r="J273" s="145">
        <f t="shared" si="78"/>
        <v>1140.8454810495627</v>
      </c>
      <c r="K273" s="142" t="str">
        <f t="shared" si="84"/>
        <v>l</v>
      </c>
      <c r="L273" s="146">
        <f>IFERROR(INDEX(Työkonekanta!$I$3:$I$27,MATCH('S1 Sähkö'!$A273,Työkonekanta!$A$3:$A$24,0),1)*(I273+J273)*f_adblue,0)</f>
        <v>547.54227405247809</v>
      </c>
      <c r="M273" s="146">
        <f t="shared" si="71"/>
        <v>0</v>
      </c>
      <c r="N273" s="143" t="str">
        <f>IF(tuulisähkö_vuosi&lt;='S1 Sähkö'!C273,"tuulisähkö",ostosähkö_nyt)</f>
        <v>jäännössähkö</v>
      </c>
      <c r="O273" s="147">
        <f>INDEX(Muuttujat!$J$5:$J$21,MATCH($C273,Muuttujat!$H$5:$H$21,0),1)</f>
        <v>63.258531840332459</v>
      </c>
      <c r="P273" s="342">
        <f>1-(INDEX(Muuttujat!$O$5:$O$21,MATCH($C273,Muuttujat!$N$5:$N$21,0),1))</f>
        <v>0.9</v>
      </c>
      <c r="Q273" s="342">
        <f>INDEX(Muuttujat!$O$5:$O$21,MATCH($C273,Muuttujat!$N$5:$N$21,0),1)</f>
        <v>0.1</v>
      </c>
      <c r="R273" s="148">
        <f>INDEX(Muuttujat!$P$5:$P$21,MATCH($C273,Muuttujat!$N$5:$N$21,0),1)</f>
        <v>0.10417875759940039</v>
      </c>
      <c r="S273" s="149">
        <f t="shared" si="79"/>
        <v>6.6561830999999989</v>
      </c>
      <c r="T273" s="150">
        <f t="shared" si="80"/>
        <v>2.4417743999999999</v>
      </c>
      <c r="U273" s="150">
        <f t="shared" si="81"/>
        <v>0</v>
      </c>
      <c r="V273" s="150">
        <f>IFERROR(INDEX(Työkonekanta!$J$3:$J$27,MATCH($A273,Työkonekanta!$A$3:$A$24,0),1)*$B273*ef_li_ion_akku/1000/1000/INDEX(Työkonekanta!$K$3:$K$27,MATCH($A273,Työkonekanta!$A$3:$A$24,0)),0)</f>
        <v>0</v>
      </c>
      <c r="W273" s="149">
        <f t="shared" si="72"/>
        <v>25.993717183566002</v>
      </c>
      <c r="X273" s="150">
        <f t="shared" si="73"/>
        <v>0.34634276940000003</v>
      </c>
      <c r="Y273" s="151">
        <f t="shared" si="74"/>
        <v>0.14236099125364432</v>
      </c>
      <c r="Z273" s="152">
        <f t="shared" si="85"/>
        <v>9.0979574999999997</v>
      </c>
      <c r="AA273" s="153">
        <f t="shared" si="86"/>
        <v>26.136078174819644</v>
      </c>
      <c r="AB273" s="153">
        <f t="shared" si="87"/>
        <v>26.482420944219644</v>
      </c>
      <c r="AC273" s="154">
        <f t="shared" si="75"/>
        <v>35.234035674819644</v>
      </c>
      <c r="AD273" s="156">
        <f t="shared" si="88"/>
        <v>35.580378444219647</v>
      </c>
      <c r="AE273" s="182"/>
      <c r="AG273" s="2"/>
    </row>
    <row r="274" spans="1:33">
      <c r="A274" s="139">
        <v>2</v>
      </c>
      <c r="B274" s="139" cm="1">
        <f t="array" ref="B274">IFERROR(IF(A274=s1_id_korvattava1,INDEX($AG$3:$AG$19,MATCH(C274,$AF$3:$AF$19,0),1),IF(A274=s1_id_korvaava1,INDEX($AH$3:$AH$19,MATCH(C274,$AF$3:$AF$19,0),1),IF(A274=s1_id_korvattava2,INDEX($AI$3:$AI$19,MATCH(C274,$AF$3:$AF$19,0),1),IF(A274=s1_id_korvaava2,INDEX($AJ$3:$AJ$19,MATCH(C274,$AF$3:$AF$19,0),1),INDEX(Työkonekanta!$F$3:$F$27,MATCH('S1 Sähkö'!$A274,Työkonekanta!$A$3:$A$24,0),1))))),0)</f>
        <v>1</v>
      </c>
      <c r="C274" s="140">
        <v>2028</v>
      </c>
      <c r="D274" s="141" t="str">
        <f>IFERROR(INDEX(Työkonekanta!$D$3:$D$27,MATCH('S1 Sähkö'!$A274,Työkonekanta!$A$3:$A$24,0),1),"undefined")</f>
        <v>pom</v>
      </c>
      <c r="E274" s="145">
        <f>IFERROR(INDEX(Työkonekanta!$G$3:$G$27,MATCH($A274,Työkonekanta!$A$3:$A$24,0),1)*INDEX(Työkonekanta!$H$3:$H$27,MATCH($A274,Työkonekanta!$A$3:$A$24,0),1)*(1+s1_kerroin*($C274-2019))*$B274,0)</f>
        <v>10900</v>
      </c>
      <c r="F274" s="145">
        <f t="shared" si="76"/>
        <v>391310</v>
      </c>
      <c r="G274" s="145">
        <f t="shared" si="82"/>
        <v>352179</v>
      </c>
      <c r="H274" s="145">
        <f t="shared" si="83"/>
        <v>39131</v>
      </c>
      <c r="I274" s="145">
        <f t="shared" si="77"/>
        <v>9810</v>
      </c>
      <c r="J274" s="145">
        <f t="shared" si="78"/>
        <v>1140.8454810495627</v>
      </c>
      <c r="K274" s="142" t="str">
        <f t="shared" si="84"/>
        <v>l</v>
      </c>
      <c r="L274" s="146">
        <f>IFERROR(INDEX(Työkonekanta!$I$3:$I$27,MATCH('S1 Sähkö'!$A274,Työkonekanta!$A$3:$A$24,0),1)*(I274+J274)*f_adblue,0)</f>
        <v>547.54227405247809</v>
      </c>
      <c r="M274" s="146">
        <f t="shared" si="71"/>
        <v>0</v>
      </c>
      <c r="N274" s="143" t="str">
        <f>IF(tuulisähkö_vuosi&lt;='S1 Sähkö'!C274,"tuulisähkö",ostosähkö_nyt)</f>
        <v>jäännössähkö</v>
      </c>
      <c r="O274" s="147">
        <f>INDEX(Muuttujat!$J$5:$J$21,MATCH($C274,Muuttujat!$H$5:$H$21,0),1)</f>
        <v>63.258531840332459</v>
      </c>
      <c r="P274" s="342">
        <f>1-(INDEX(Muuttujat!$O$5:$O$21,MATCH($C274,Muuttujat!$N$5:$N$21,0),1))</f>
        <v>0.9</v>
      </c>
      <c r="Q274" s="342">
        <f>INDEX(Muuttujat!$O$5:$O$21,MATCH($C274,Muuttujat!$N$5:$N$21,0),1)</f>
        <v>0.1</v>
      </c>
      <c r="R274" s="148">
        <f>INDEX(Muuttujat!$P$5:$P$21,MATCH($C274,Muuttujat!$N$5:$N$21,0),1)</f>
        <v>0.10417875759940039</v>
      </c>
      <c r="S274" s="149">
        <f t="shared" si="79"/>
        <v>6.6561830999999989</v>
      </c>
      <c r="T274" s="150">
        <f t="shared" si="80"/>
        <v>2.4417743999999999</v>
      </c>
      <c r="U274" s="150">
        <f t="shared" si="81"/>
        <v>0</v>
      </c>
      <c r="V274" s="150">
        <f>IFERROR(INDEX(Työkonekanta!$J$3:$J$27,MATCH($A274,Työkonekanta!$A$3:$A$24,0),1)*$B274*ef_li_ion_akku/1000/1000/INDEX(Työkonekanta!$K$3:$K$27,MATCH($A274,Työkonekanta!$A$3:$A$24,0)),0)</f>
        <v>0</v>
      </c>
      <c r="W274" s="149">
        <f t="shared" si="72"/>
        <v>25.993717183566002</v>
      </c>
      <c r="X274" s="150">
        <f t="shared" si="73"/>
        <v>0.34634276940000003</v>
      </c>
      <c r="Y274" s="151">
        <f t="shared" si="74"/>
        <v>0.14236099125364432</v>
      </c>
      <c r="Z274" s="152">
        <f t="shared" si="85"/>
        <v>9.0979574999999997</v>
      </c>
      <c r="AA274" s="153">
        <f t="shared" si="86"/>
        <v>26.136078174819644</v>
      </c>
      <c r="AB274" s="153">
        <f t="shared" si="87"/>
        <v>26.482420944219644</v>
      </c>
      <c r="AC274" s="154">
        <f t="shared" si="75"/>
        <v>35.234035674819644</v>
      </c>
      <c r="AD274" s="156">
        <f t="shared" si="88"/>
        <v>35.580378444219647</v>
      </c>
      <c r="AE274" s="182"/>
      <c r="AG274" s="2"/>
    </row>
    <row r="275" spans="1:33">
      <c r="A275" s="139">
        <v>3</v>
      </c>
      <c r="B275" s="139" cm="1">
        <f t="array" ref="B275">IFERROR(IF(A275=s1_id_korvattava1,INDEX($AG$3:$AG$19,MATCH(C275,$AF$3:$AF$19,0),1),IF(A275=s1_id_korvaava1,INDEX($AH$3:$AH$19,MATCH(C275,$AF$3:$AF$19,0),1),IF(A275=s1_id_korvattava2,INDEX($AI$3:$AI$19,MATCH(C275,$AF$3:$AF$19,0),1),IF(A275=s1_id_korvaava2,INDEX($AJ$3:$AJ$19,MATCH(C275,$AF$3:$AF$19,0),1),INDEX(Työkonekanta!$F$3:$F$27,MATCH('S1 Sähkö'!$A275,Työkonekanta!$A$3:$A$24,0),1))))),0)</f>
        <v>1</v>
      </c>
      <c r="C275" s="140">
        <v>2028</v>
      </c>
      <c r="D275" s="141" t="str">
        <f>IFERROR(INDEX(Työkonekanta!$D$3:$D$27,MATCH('S1 Sähkö'!$A275,Työkonekanta!$A$3:$A$24,0),1),"undefined")</f>
        <v>pom</v>
      </c>
      <c r="E275" s="145">
        <f>IFERROR(INDEX(Työkonekanta!$G$3:$G$27,MATCH($A275,Työkonekanta!$A$3:$A$24,0),1)*INDEX(Työkonekanta!$H$3:$H$27,MATCH($A275,Työkonekanta!$A$3:$A$24,0),1)*(1+s1_kerroin*($C275-2019))*$B275,0)</f>
        <v>10900</v>
      </c>
      <c r="F275" s="145">
        <f t="shared" si="76"/>
        <v>391310</v>
      </c>
      <c r="G275" s="145">
        <f t="shared" si="82"/>
        <v>352179</v>
      </c>
      <c r="H275" s="145">
        <f t="shared" si="83"/>
        <v>39131</v>
      </c>
      <c r="I275" s="145">
        <f t="shared" si="77"/>
        <v>9810</v>
      </c>
      <c r="J275" s="145">
        <f t="shared" si="78"/>
        <v>1140.8454810495627</v>
      </c>
      <c r="K275" s="142" t="str">
        <f t="shared" si="84"/>
        <v>l</v>
      </c>
      <c r="L275" s="146">
        <f>IFERROR(INDEX(Työkonekanta!$I$3:$I$27,MATCH('S1 Sähkö'!$A275,Työkonekanta!$A$3:$A$24,0),1)*(I275+J275)*f_adblue,0)</f>
        <v>547.54227405247809</v>
      </c>
      <c r="M275" s="146">
        <f t="shared" ref="M275:M338" si="89">IF($D275="sähkö",conv_kwh_mj*$E275,0)</f>
        <v>0</v>
      </c>
      <c r="N275" s="143" t="str">
        <f>IF(tuulisähkö_vuosi&lt;='S1 Sähkö'!C275,"tuulisähkö",ostosähkö_nyt)</f>
        <v>jäännössähkö</v>
      </c>
      <c r="O275" s="147">
        <f>INDEX(Muuttujat!$J$5:$J$21,MATCH($C275,Muuttujat!$H$5:$H$21,0),1)</f>
        <v>63.258531840332459</v>
      </c>
      <c r="P275" s="342">
        <f>1-(INDEX(Muuttujat!$O$5:$O$21,MATCH($C275,Muuttujat!$N$5:$N$21,0),1))</f>
        <v>0.9</v>
      </c>
      <c r="Q275" s="342">
        <f>INDEX(Muuttujat!$O$5:$O$21,MATCH($C275,Muuttujat!$N$5:$N$21,0),1)</f>
        <v>0.1</v>
      </c>
      <c r="R275" s="148">
        <f>INDEX(Muuttujat!$P$5:$P$21,MATCH($C275,Muuttujat!$N$5:$N$21,0),1)</f>
        <v>0.10417875759940039</v>
      </c>
      <c r="S275" s="149">
        <f t="shared" si="79"/>
        <v>6.6561830999999989</v>
      </c>
      <c r="T275" s="150">
        <f t="shared" si="80"/>
        <v>2.4417743999999999</v>
      </c>
      <c r="U275" s="150">
        <f t="shared" si="81"/>
        <v>0</v>
      </c>
      <c r="V275" s="150">
        <f>IFERROR(INDEX(Työkonekanta!$J$3:$J$27,MATCH($A275,Työkonekanta!$A$3:$A$24,0),1)*$B275*ef_li_ion_akku/1000/1000/INDEX(Työkonekanta!$K$3:$K$27,MATCH($A275,Työkonekanta!$A$3:$A$24,0)),0)</f>
        <v>0</v>
      </c>
      <c r="W275" s="149">
        <f t="shared" ref="W275:W338" si="90">($I275*IF($D275="pom",ef_v_co2_pom,0))/1000/1000</f>
        <v>25.993717183566002</v>
      </c>
      <c r="X275" s="150">
        <f t="shared" ref="X275:X338" si="91">($E275*(IF($D275="pom",ef_v_ch4_pom,0)*gwp100_ch4+IF($D275="pom",ef_v_n2o_pom,0)*gwp100_n2o))/1000/1000</f>
        <v>0.34634276940000003</v>
      </c>
      <c r="Y275" s="151">
        <f t="shared" ref="Y275:Y338" si="92">$L275*ef_v_co2_adblue/1000/1000</f>
        <v>0.14236099125364432</v>
      </c>
      <c r="Z275" s="152">
        <f t="shared" si="85"/>
        <v>9.0979574999999997</v>
      </c>
      <c r="AA275" s="153">
        <f t="shared" si="86"/>
        <v>26.136078174819644</v>
      </c>
      <c r="AB275" s="153">
        <f t="shared" si="87"/>
        <v>26.482420944219644</v>
      </c>
      <c r="AC275" s="154">
        <f t="shared" ref="AC275:AC338" si="93">$Z275+$AA275</f>
        <v>35.234035674819644</v>
      </c>
      <c r="AD275" s="156">
        <f t="shared" si="88"/>
        <v>35.580378444219647</v>
      </c>
      <c r="AE275" s="182"/>
      <c r="AG275" s="2"/>
    </row>
    <row r="276" spans="1:33">
      <c r="A276" s="139">
        <v>4</v>
      </c>
      <c r="B276" s="139" cm="1">
        <f t="array" ref="B276">IFERROR(IF(A276=s1_id_korvattava1,INDEX($AG$3:$AG$19,MATCH(C276,$AF$3:$AF$19,0),1),IF(A276=s1_id_korvaava1,INDEX($AH$3:$AH$19,MATCH(C276,$AF$3:$AF$19,0),1),IF(A276=s1_id_korvattava2,INDEX($AI$3:$AI$19,MATCH(C276,$AF$3:$AF$19,0),1),IF(A276=s1_id_korvaava2,INDEX($AJ$3:$AJ$19,MATCH(C276,$AF$3:$AF$19,0),1),INDEX(Työkonekanta!$F$3:$F$27,MATCH('S1 Sähkö'!$A276,Työkonekanta!$A$3:$A$24,0),1))))),0)</f>
        <v>1</v>
      </c>
      <c r="C276" s="140">
        <v>2028</v>
      </c>
      <c r="D276" s="141" t="str">
        <f>IFERROR(INDEX(Työkonekanta!$D$3:$D$27,MATCH('S1 Sähkö'!$A276,Työkonekanta!$A$3:$A$24,0),1),"undefined")</f>
        <v>pom</v>
      </c>
      <c r="E276" s="145">
        <f>IFERROR(INDEX(Työkonekanta!$G$3:$G$27,MATCH($A276,Työkonekanta!$A$3:$A$24,0),1)*INDEX(Työkonekanta!$H$3:$H$27,MATCH($A276,Työkonekanta!$A$3:$A$24,0),1)*(1+s1_kerroin*($C276-2019))*$B276,0)</f>
        <v>10900</v>
      </c>
      <c r="F276" s="145">
        <f t="shared" si="76"/>
        <v>391310</v>
      </c>
      <c r="G276" s="145">
        <f t="shared" si="82"/>
        <v>352179</v>
      </c>
      <c r="H276" s="145">
        <f t="shared" si="83"/>
        <v>39131</v>
      </c>
      <c r="I276" s="145">
        <f t="shared" si="77"/>
        <v>9810</v>
      </c>
      <c r="J276" s="145">
        <f t="shared" si="78"/>
        <v>1140.8454810495627</v>
      </c>
      <c r="K276" s="142" t="str">
        <f t="shared" si="84"/>
        <v>l</v>
      </c>
      <c r="L276" s="146">
        <f>IFERROR(INDEX(Työkonekanta!$I$3:$I$27,MATCH('S1 Sähkö'!$A276,Työkonekanta!$A$3:$A$24,0),1)*(I276+J276)*f_adblue,0)</f>
        <v>547.54227405247809</v>
      </c>
      <c r="M276" s="146">
        <f t="shared" si="89"/>
        <v>0</v>
      </c>
      <c r="N276" s="143" t="str">
        <f>IF(tuulisähkö_vuosi&lt;='S1 Sähkö'!C276,"tuulisähkö",ostosähkö_nyt)</f>
        <v>jäännössähkö</v>
      </c>
      <c r="O276" s="147">
        <f>INDEX(Muuttujat!$J$5:$J$21,MATCH($C276,Muuttujat!$H$5:$H$21,0),1)</f>
        <v>63.258531840332459</v>
      </c>
      <c r="P276" s="342">
        <f>1-(INDEX(Muuttujat!$O$5:$O$21,MATCH($C276,Muuttujat!$N$5:$N$21,0),1))</f>
        <v>0.9</v>
      </c>
      <c r="Q276" s="342">
        <f>INDEX(Muuttujat!$O$5:$O$21,MATCH($C276,Muuttujat!$N$5:$N$21,0),1)</f>
        <v>0.1</v>
      </c>
      <c r="R276" s="148">
        <f>INDEX(Muuttujat!$P$5:$P$21,MATCH($C276,Muuttujat!$N$5:$N$21,0),1)</f>
        <v>0.10417875759940039</v>
      </c>
      <c r="S276" s="149">
        <f t="shared" si="79"/>
        <v>6.6561830999999989</v>
      </c>
      <c r="T276" s="150">
        <f t="shared" si="80"/>
        <v>2.4417743999999999</v>
      </c>
      <c r="U276" s="150">
        <f t="shared" si="81"/>
        <v>0</v>
      </c>
      <c r="V276" s="150">
        <f>IFERROR(INDEX(Työkonekanta!$J$3:$J$27,MATCH($A276,Työkonekanta!$A$3:$A$24,0),1)*$B276*ef_li_ion_akku/1000/1000/INDEX(Työkonekanta!$K$3:$K$27,MATCH($A276,Työkonekanta!$A$3:$A$24,0)),0)</f>
        <v>0</v>
      </c>
      <c r="W276" s="149">
        <f t="shared" si="90"/>
        <v>25.993717183566002</v>
      </c>
      <c r="X276" s="150">
        <f t="shared" si="91"/>
        <v>0.34634276940000003</v>
      </c>
      <c r="Y276" s="151">
        <f t="shared" si="92"/>
        <v>0.14236099125364432</v>
      </c>
      <c r="Z276" s="152">
        <f t="shared" si="85"/>
        <v>9.0979574999999997</v>
      </c>
      <c r="AA276" s="153">
        <f t="shared" si="86"/>
        <v>26.136078174819644</v>
      </c>
      <c r="AB276" s="153">
        <f t="shared" si="87"/>
        <v>26.482420944219644</v>
      </c>
      <c r="AC276" s="154">
        <f t="shared" si="93"/>
        <v>35.234035674819644</v>
      </c>
      <c r="AD276" s="156">
        <f t="shared" si="88"/>
        <v>35.580378444219647</v>
      </c>
      <c r="AE276" s="182"/>
      <c r="AG276" s="2"/>
    </row>
    <row r="277" spans="1:33">
      <c r="A277" s="139">
        <v>5</v>
      </c>
      <c r="B277" s="139" cm="1">
        <f t="array" ref="B277">IFERROR(IF(A277=s1_id_korvattava1,INDEX($AG$3:$AG$19,MATCH(C277,$AF$3:$AF$19,0),1),IF(A277=s1_id_korvaava1,INDEX($AH$3:$AH$19,MATCH(C277,$AF$3:$AF$19,0),1),IF(A277=s1_id_korvattava2,INDEX($AI$3:$AI$19,MATCH(C277,$AF$3:$AF$19,0),1),IF(A277=s1_id_korvaava2,INDEX($AJ$3:$AJ$19,MATCH(C277,$AF$3:$AF$19,0),1),INDEX(Työkonekanta!$F$3:$F$27,MATCH('S1 Sähkö'!$A277,Työkonekanta!$A$3:$A$24,0),1))))),0)</f>
        <v>0</v>
      </c>
      <c r="C277" s="140">
        <v>2028</v>
      </c>
      <c r="D277" s="141" t="str">
        <f>IFERROR(INDEX(Työkonekanta!$D$3:$D$27,MATCH('S1 Sähkö'!$A277,Työkonekanta!$A$3:$A$24,0),1),"undefined")</f>
        <v>sähkö</v>
      </c>
      <c r="E277" s="145">
        <f>IFERROR(INDEX(Työkonekanta!$G$3:$G$27,MATCH($A277,Työkonekanta!$A$3:$A$24,0),1)*INDEX(Työkonekanta!$H$3:$H$27,MATCH($A277,Työkonekanta!$A$3:$A$24,0),1)*(1+s1_kerroin*($C277-2019))*$B277,0)</f>
        <v>0</v>
      </c>
      <c r="F277" s="145">
        <f t="shared" si="76"/>
        <v>0</v>
      </c>
      <c r="G277" s="145">
        <f t="shared" si="82"/>
        <v>0</v>
      </c>
      <c r="H277" s="145">
        <f t="shared" si="83"/>
        <v>0</v>
      </c>
      <c r="I277" s="145">
        <f t="shared" si="77"/>
        <v>0</v>
      </c>
      <c r="J277" s="145">
        <f t="shared" si="78"/>
        <v>0</v>
      </c>
      <c r="K277" s="142" t="str">
        <f t="shared" si="84"/>
        <v>kWh</v>
      </c>
      <c r="L277" s="146">
        <f>IFERROR(INDEX(Työkonekanta!$I$3:$I$27,MATCH('S1 Sähkö'!$A277,Työkonekanta!$A$3:$A$24,0),1)*(I277+J277)*f_adblue,0)</f>
        <v>0</v>
      </c>
      <c r="M277" s="146">
        <f t="shared" si="89"/>
        <v>0</v>
      </c>
      <c r="N277" s="143" t="str">
        <f>IF(tuulisähkö_vuosi&lt;='S1 Sähkö'!C277,"tuulisähkö",ostosähkö_nyt)</f>
        <v>jäännössähkö</v>
      </c>
      <c r="O277" s="147">
        <f>INDEX(Muuttujat!$J$5:$J$21,MATCH($C277,Muuttujat!$H$5:$H$21,0),1)</f>
        <v>63.258531840332459</v>
      </c>
      <c r="P277" s="342">
        <f>1-(INDEX(Muuttujat!$O$5:$O$21,MATCH($C277,Muuttujat!$N$5:$N$21,0),1))</f>
        <v>0.9</v>
      </c>
      <c r="Q277" s="342">
        <f>INDEX(Muuttujat!$O$5:$O$21,MATCH($C277,Muuttujat!$N$5:$N$21,0),1)</f>
        <v>0.1</v>
      </c>
      <c r="R277" s="148">
        <f>INDEX(Muuttujat!$P$5:$P$21,MATCH($C277,Muuttujat!$N$5:$N$21,0),1)</f>
        <v>0.10417875759940039</v>
      </c>
      <c r="S277" s="149">
        <f t="shared" si="79"/>
        <v>0</v>
      </c>
      <c r="T277" s="150">
        <f t="shared" si="80"/>
        <v>0</v>
      </c>
      <c r="U277" s="150">
        <f t="shared" si="81"/>
        <v>0</v>
      </c>
      <c r="V277" s="150">
        <f>IFERROR(INDEX(Työkonekanta!$J$3:$J$27,MATCH($A277,Työkonekanta!$A$3:$A$24,0),1)*$B277*ef_li_ion_akku/1000/1000/INDEX(Työkonekanta!$K$3:$K$27,MATCH($A277,Työkonekanta!$A$3:$A$24,0)),0)</f>
        <v>0</v>
      </c>
      <c r="W277" s="149">
        <f t="shared" si="90"/>
        <v>0</v>
      </c>
      <c r="X277" s="150">
        <f t="shared" si="91"/>
        <v>0</v>
      </c>
      <c r="Y277" s="151">
        <f t="shared" si="92"/>
        <v>0</v>
      </c>
      <c r="Z277" s="152">
        <f t="shared" si="85"/>
        <v>0</v>
      </c>
      <c r="AA277" s="153">
        <f t="shared" si="86"/>
        <v>0</v>
      </c>
      <c r="AB277" s="153">
        <f t="shared" si="87"/>
        <v>0</v>
      </c>
      <c r="AC277" s="154">
        <f t="shared" si="93"/>
        <v>0</v>
      </c>
      <c r="AD277" s="156">
        <f t="shared" si="88"/>
        <v>0</v>
      </c>
      <c r="AE277" s="182"/>
      <c r="AG277" s="2"/>
    </row>
    <row r="278" spans="1:33">
      <c r="A278" s="139">
        <v>6</v>
      </c>
      <c r="B278" s="139" cm="1">
        <f t="array" ref="B278">IFERROR(IF(A278=s1_id_korvattava1,INDEX($AG$3:$AG$19,MATCH(C278,$AF$3:$AF$19,0),1),IF(A278=s1_id_korvaava1,INDEX($AH$3:$AH$19,MATCH(C278,$AF$3:$AF$19,0),1),IF(A278=s1_id_korvattava2,INDEX($AI$3:$AI$19,MATCH(C278,$AF$3:$AF$19,0),1),IF(A278=s1_id_korvaava2,INDEX($AJ$3:$AJ$19,MATCH(C278,$AF$3:$AF$19,0),1),INDEX(Työkonekanta!$F$3:$F$27,MATCH('S1 Sähkö'!$A278,Työkonekanta!$A$3:$A$24,0),1))))),0)</f>
        <v>0</v>
      </c>
      <c r="C278" s="140">
        <v>2028</v>
      </c>
      <c r="D278" s="141" t="str">
        <f>IFERROR(INDEX(Työkonekanta!$D$3:$D$27,MATCH('S1 Sähkö'!$A278,Työkonekanta!$A$3:$A$24,0),1),"undefined")</f>
        <v>sähkö</v>
      </c>
      <c r="E278" s="145">
        <f>IFERROR(INDEX(Työkonekanta!$G$3:$G$27,MATCH($A278,Työkonekanta!$A$3:$A$24,0),1)*INDEX(Työkonekanta!$H$3:$H$27,MATCH($A278,Työkonekanta!$A$3:$A$24,0),1)*(1+s1_kerroin*($C278-2019))*$B278,0)</f>
        <v>0</v>
      </c>
      <c r="F278" s="145">
        <f t="shared" si="76"/>
        <v>0</v>
      </c>
      <c r="G278" s="145">
        <f t="shared" si="82"/>
        <v>0</v>
      </c>
      <c r="H278" s="145">
        <f t="shared" si="83"/>
        <v>0</v>
      </c>
      <c r="I278" s="145">
        <f t="shared" si="77"/>
        <v>0</v>
      </c>
      <c r="J278" s="145">
        <f t="shared" si="78"/>
        <v>0</v>
      </c>
      <c r="K278" s="142" t="str">
        <f t="shared" si="84"/>
        <v>kWh</v>
      </c>
      <c r="L278" s="146">
        <f>IFERROR(INDEX(Työkonekanta!$I$3:$I$27,MATCH('S1 Sähkö'!$A278,Työkonekanta!$A$3:$A$24,0),1)*(I278+J278)*f_adblue,0)</f>
        <v>0</v>
      </c>
      <c r="M278" s="146">
        <f t="shared" si="89"/>
        <v>0</v>
      </c>
      <c r="N278" s="143" t="str">
        <f>IF(tuulisähkö_vuosi&lt;='S1 Sähkö'!C278,"tuulisähkö",ostosähkö_nyt)</f>
        <v>jäännössähkö</v>
      </c>
      <c r="O278" s="147">
        <f>INDEX(Muuttujat!$J$5:$J$21,MATCH($C278,Muuttujat!$H$5:$H$21,0),1)</f>
        <v>63.258531840332459</v>
      </c>
      <c r="P278" s="342">
        <f>1-(INDEX(Muuttujat!$O$5:$O$21,MATCH($C278,Muuttujat!$N$5:$N$21,0),1))</f>
        <v>0.9</v>
      </c>
      <c r="Q278" s="342">
        <f>INDEX(Muuttujat!$O$5:$O$21,MATCH($C278,Muuttujat!$N$5:$N$21,0),1)</f>
        <v>0.1</v>
      </c>
      <c r="R278" s="148">
        <f>INDEX(Muuttujat!$P$5:$P$21,MATCH($C278,Muuttujat!$N$5:$N$21,0),1)</f>
        <v>0.10417875759940039</v>
      </c>
      <c r="S278" s="149">
        <f t="shared" si="79"/>
        <v>0</v>
      </c>
      <c r="T278" s="150">
        <f t="shared" si="80"/>
        <v>0</v>
      </c>
      <c r="U278" s="150">
        <f t="shared" si="81"/>
        <v>0</v>
      </c>
      <c r="V278" s="150">
        <f>IFERROR(INDEX(Työkonekanta!$J$3:$J$27,MATCH($A278,Työkonekanta!$A$3:$A$24,0),1)*$B278*ef_li_ion_akku/1000/1000/INDEX(Työkonekanta!$K$3:$K$27,MATCH($A278,Työkonekanta!$A$3:$A$24,0)),0)</f>
        <v>0</v>
      </c>
      <c r="W278" s="149">
        <f t="shared" si="90"/>
        <v>0</v>
      </c>
      <c r="X278" s="150">
        <f t="shared" si="91"/>
        <v>0</v>
      </c>
      <c r="Y278" s="151">
        <f t="shared" si="92"/>
        <v>0</v>
      </c>
      <c r="Z278" s="152">
        <f t="shared" si="85"/>
        <v>0</v>
      </c>
      <c r="AA278" s="153">
        <f t="shared" si="86"/>
        <v>0</v>
      </c>
      <c r="AB278" s="153">
        <f t="shared" si="87"/>
        <v>0</v>
      </c>
      <c r="AC278" s="154">
        <f t="shared" si="93"/>
        <v>0</v>
      </c>
      <c r="AD278" s="156">
        <f t="shared" si="88"/>
        <v>0</v>
      </c>
      <c r="AE278" s="182"/>
      <c r="AG278" s="2"/>
    </row>
    <row r="279" spans="1:33">
      <c r="A279" s="139">
        <v>7</v>
      </c>
      <c r="B279" s="139" cm="1">
        <f t="array" ref="B279">IFERROR(IF(A279=s1_id_korvattava1,INDEX($AG$3:$AG$19,MATCH(C279,$AF$3:$AF$19,0),1),IF(A279=s1_id_korvaava1,INDEX($AH$3:$AH$19,MATCH(C279,$AF$3:$AF$19,0),1),IF(A279=s1_id_korvattava2,INDEX($AI$3:$AI$19,MATCH(C279,$AF$3:$AF$19,0),1),IF(A279=s1_id_korvaava2,INDEX($AJ$3:$AJ$19,MATCH(C279,$AF$3:$AF$19,0),1),INDEX(Työkonekanta!$F$3:$F$27,MATCH('S1 Sähkö'!$A279,Työkonekanta!$A$3:$A$24,0),1))))),0)</f>
        <v>1</v>
      </c>
      <c r="C279" s="140">
        <v>2028</v>
      </c>
      <c r="D279" s="141" t="str">
        <f>IFERROR(INDEX(Työkonekanta!$D$3:$D$27,MATCH('S1 Sähkö'!$A279,Työkonekanta!$A$3:$A$24,0),1),"undefined")</f>
        <v>pom</v>
      </c>
      <c r="E279" s="145">
        <f>IFERROR(INDEX(Työkonekanta!$G$3:$G$27,MATCH($A279,Työkonekanta!$A$3:$A$24,0),1)*INDEX(Työkonekanta!$H$3:$H$27,MATCH($A279,Työkonekanta!$A$3:$A$24,0),1)*(1+s1_kerroin*($C279-2019))*$B279,0)</f>
        <v>10900</v>
      </c>
      <c r="F279" s="145">
        <f t="shared" si="76"/>
        <v>391310</v>
      </c>
      <c r="G279" s="145">
        <f t="shared" si="82"/>
        <v>352179</v>
      </c>
      <c r="H279" s="145">
        <f t="shared" si="83"/>
        <v>39131</v>
      </c>
      <c r="I279" s="145">
        <f t="shared" si="77"/>
        <v>9810</v>
      </c>
      <c r="J279" s="145">
        <f t="shared" si="78"/>
        <v>1140.8454810495627</v>
      </c>
      <c r="K279" s="142" t="str">
        <f t="shared" si="84"/>
        <v>l</v>
      </c>
      <c r="L279" s="146">
        <f>IFERROR(INDEX(Työkonekanta!$I$3:$I$27,MATCH('S1 Sähkö'!$A279,Työkonekanta!$A$3:$A$24,0),1)*(I279+J279)*f_adblue,0)</f>
        <v>0</v>
      </c>
      <c r="M279" s="146">
        <f t="shared" si="89"/>
        <v>0</v>
      </c>
      <c r="N279" s="143" t="str">
        <f>IF(tuulisähkö_vuosi&lt;='S1 Sähkö'!C279,"tuulisähkö",ostosähkö_nyt)</f>
        <v>jäännössähkö</v>
      </c>
      <c r="O279" s="147">
        <f>INDEX(Muuttujat!$J$5:$J$21,MATCH($C279,Muuttujat!$H$5:$H$21,0),1)</f>
        <v>63.258531840332459</v>
      </c>
      <c r="P279" s="342">
        <f>1-(INDEX(Muuttujat!$O$5:$O$21,MATCH($C279,Muuttujat!$N$5:$N$21,0),1))</f>
        <v>0.9</v>
      </c>
      <c r="Q279" s="342">
        <f>INDEX(Muuttujat!$O$5:$O$21,MATCH($C279,Muuttujat!$N$5:$N$21,0),1)</f>
        <v>0.1</v>
      </c>
      <c r="R279" s="148">
        <f>INDEX(Muuttujat!$P$5:$P$21,MATCH($C279,Muuttujat!$N$5:$N$21,0),1)</f>
        <v>0.10417875759940039</v>
      </c>
      <c r="S279" s="149">
        <f t="shared" si="79"/>
        <v>6.6561830999999989</v>
      </c>
      <c r="T279" s="150">
        <f t="shared" si="80"/>
        <v>2.4417743999999999</v>
      </c>
      <c r="U279" s="150">
        <f t="shared" si="81"/>
        <v>0</v>
      </c>
      <c r="V279" s="150">
        <f>IFERROR(INDEX(Työkonekanta!$J$3:$J$27,MATCH($A279,Työkonekanta!$A$3:$A$24,0),1)*$B279*ef_li_ion_akku/1000/1000/INDEX(Työkonekanta!$K$3:$K$27,MATCH($A279,Työkonekanta!$A$3:$A$24,0)),0)</f>
        <v>0</v>
      </c>
      <c r="W279" s="149">
        <f t="shared" si="90"/>
        <v>25.993717183566002</v>
      </c>
      <c r="X279" s="150">
        <f t="shared" si="91"/>
        <v>0.34634276940000003</v>
      </c>
      <c r="Y279" s="151">
        <f t="shared" si="92"/>
        <v>0</v>
      </c>
      <c r="Z279" s="152">
        <f t="shared" si="85"/>
        <v>9.0979574999999997</v>
      </c>
      <c r="AA279" s="153">
        <f t="shared" si="86"/>
        <v>25.993717183566002</v>
      </c>
      <c r="AB279" s="153">
        <f t="shared" si="87"/>
        <v>26.340059952966001</v>
      </c>
      <c r="AC279" s="154">
        <f t="shared" si="93"/>
        <v>35.091674683565998</v>
      </c>
      <c r="AD279" s="156">
        <f t="shared" si="88"/>
        <v>35.438017452966001</v>
      </c>
      <c r="AE279" s="182"/>
      <c r="AG279" s="2"/>
    </row>
    <row r="280" spans="1:33">
      <c r="A280" s="139">
        <v>8</v>
      </c>
      <c r="B280" s="139" cm="1">
        <f t="array" ref="B280">IFERROR(IF(A280=s1_id_korvattava1,INDEX($AG$3:$AG$19,MATCH(C280,$AF$3:$AF$19,0),1),IF(A280=s1_id_korvaava1,INDEX($AH$3:$AH$19,MATCH(C280,$AF$3:$AF$19,0),1),IF(A280=s1_id_korvattava2,INDEX($AI$3:$AI$19,MATCH(C280,$AF$3:$AF$19,0),1),IF(A280=s1_id_korvaava2,INDEX($AJ$3:$AJ$19,MATCH(C280,$AF$3:$AF$19,0),1),INDEX(Työkonekanta!$F$3:$F$27,MATCH('S1 Sähkö'!$A280,Työkonekanta!$A$3:$A$24,0),1))))),0)</f>
        <v>1</v>
      </c>
      <c r="C280" s="140">
        <v>2028</v>
      </c>
      <c r="D280" s="141" t="str">
        <f>IFERROR(INDEX(Työkonekanta!$D$3:$D$27,MATCH('S1 Sähkö'!$A280,Työkonekanta!$A$3:$A$24,0),1),"undefined")</f>
        <v>pom</v>
      </c>
      <c r="E280" s="145">
        <f>IFERROR(INDEX(Työkonekanta!$G$3:$G$27,MATCH($A280,Työkonekanta!$A$3:$A$24,0),1)*INDEX(Työkonekanta!$H$3:$H$27,MATCH($A280,Työkonekanta!$A$3:$A$24,0),1)*(1+s1_kerroin*($C280-2019))*$B280,0)</f>
        <v>10900</v>
      </c>
      <c r="F280" s="145">
        <f t="shared" si="76"/>
        <v>391310</v>
      </c>
      <c r="G280" s="145">
        <f t="shared" si="82"/>
        <v>352179</v>
      </c>
      <c r="H280" s="145">
        <f t="shared" si="83"/>
        <v>39131</v>
      </c>
      <c r="I280" s="145">
        <f t="shared" si="77"/>
        <v>9810</v>
      </c>
      <c r="J280" s="145">
        <f t="shared" si="78"/>
        <v>1140.8454810495627</v>
      </c>
      <c r="K280" s="142" t="str">
        <f t="shared" si="84"/>
        <v>l</v>
      </c>
      <c r="L280" s="146">
        <f>IFERROR(INDEX(Työkonekanta!$I$3:$I$27,MATCH('S1 Sähkö'!$A280,Työkonekanta!$A$3:$A$24,0),1)*(I280+J280)*f_adblue,0)</f>
        <v>547.54227405247809</v>
      </c>
      <c r="M280" s="146">
        <f t="shared" si="89"/>
        <v>0</v>
      </c>
      <c r="N280" s="143" t="str">
        <f>IF(tuulisähkö_vuosi&lt;='S1 Sähkö'!C280,"tuulisähkö",ostosähkö_nyt)</f>
        <v>jäännössähkö</v>
      </c>
      <c r="O280" s="147">
        <f>INDEX(Muuttujat!$J$5:$J$21,MATCH($C280,Muuttujat!$H$5:$H$21,0),1)</f>
        <v>63.258531840332459</v>
      </c>
      <c r="P280" s="342">
        <f>1-(INDEX(Muuttujat!$O$5:$O$21,MATCH($C280,Muuttujat!$N$5:$N$21,0),1))</f>
        <v>0.9</v>
      </c>
      <c r="Q280" s="342">
        <f>INDEX(Muuttujat!$O$5:$O$21,MATCH($C280,Muuttujat!$N$5:$N$21,0),1)</f>
        <v>0.1</v>
      </c>
      <c r="R280" s="148">
        <f>INDEX(Muuttujat!$P$5:$P$21,MATCH($C280,Muuttujat!$N$5:$N$21,0),1)</f>
        <v>0.10417875759940039</v>
      </c>
      <c r="S280" s="149">
        <f t="shared" si="79"/>
        <v>6.6561830999999989</v>
      </c>
      <c r="T280" s="150">
        <f t="shared" si="80"/>
        <v>2.4417743999999999</v>
      </c>
      <c r="U280" s="150">
        <f t="shared" si="81"/>
        <v>0</v>
      </c>
      <c r="V280" s="150">
        <f>IFERROR(INDEX(Työkonekanta!$J$3:$J$27,MATCH($A280,Työkonekanta!$A$3:$A$24,0),1)*$B280*ef_li_ion_akku/1000/1000/INDEX(Työkonekanta!$K$3:$K$27,MATCH($A280,Työkonekanta!$A$3:$A$24,0)),0)</f>
        <v>0</v>
      </c>
      <c r="W280" s="149">
        <f t="shared" si="90"/>
        <v>25.993717183566002</v>
      </c>
      <c r="X280" s="150">
        <f t="shared" si="91"/>
        <v>0.34634276940000003</v>
      </c>
      <c r="Y280" s="151">
        <f t="shared" si="92"/>
        <v>0.14236099125364432</v>
      </c>
      <c r="Z280" s="152">
        <f t="shared" si="85"/>
        <v>9.0979574999999997</v>
      </c>
      <c r="AA280" s="153">
        <f t="shared" si="86"/>
        <v>26.136078174819644</v>
      </c>
      <c r="AB280" s="153">
        <f t="shared" si="87"/>
        <v>26.482420944219644</v>
      </c>
      <c r="AC280" s="154">
        <f t="shared" si="93"/>
        <v>35.234035674819644</v>
      </c>
      <c r="AD280" s="156">
        <f t="shared" si="88"/>
        <v>35.580378444219647</v>
      </c>
      <c r="AE280" s="182"/>
      <c r="AG280" s="2"/>
    </row>
    <row r="281" spans="1:33">
      <c r="A281" s="139">
        <v>9</v>
      </c>
      <c r="B281" s="139" cm="1">
        <f t="array" ref="B281">IFERROR(IF(A281=s1_id_korvattava1,INDEX($AG$3:$AG$19,MATCH(C281,$AF$3:$AF$19,0),1),IF(A281=s1_id_korvaava1,INDEX($AH$3:$AH$19,MATCH(C281,$AF$3:$AF$19,0),1),IF(A281=s1_id_korvattava2,INDEX($AI$3:$AI$19,MATCH(C281,$AF$3:$AF$19,0),1),IF(A281=s1_id_korvaava2,INDEX($AJ$3:$AJ$19,MATCH(C281,$AF$3:$AF$19,0),1),INDEX(Työkonekanta!$F$3:$F$27,MATCH('S1 Sähkö'!$A281,Työkonekanta!$A$3:$A$24,0),1))))),0)</f>
        <v>0</v>
      </c>
      <c r="C281" s="140">
        <v>2028</v>
      </c>
      <c r="D281" s="141" t="str">
        <f>IFERROR(INDEX(Työkonekanta!$D$3:$D$27,MATCH('S1 Sähkö'!$A281,Työkonekanta!$A$3:$A$24,0),1),"undefined")</f>
        <v>sähkö</v>
      </c>
      <c r="E281" s="145">
        <f>IFERROR(INDEX(Työkonekanta!$G$3:$G$27,MATCH($A281,Työkonekanta!$A$3:$A$24,0),1)*INDEX(Työkonekanta!$H$3:$H$27,MATCH($A281,Työkonekanta!$A$3:$A$24,0),1)*(1+s1_kerroin*($C281-2019))*$B281,0)</f>
        <v>0</v>
      </c>
      <c r="F281" s="145">
        <f t="shared" si="76"/>
        <v>0</v>
      </c>
      <c r="G281" s="145">
        <f t="shared" si="82"/>
        <v>0</v>
      </c>
      <c r="H281" s="145">
        <f t="shared" si="83"/>
        <v>0</v>
      </c>
      <c r="I281" s="145">
        <f t="shared" si="77"/>
        <v>0</v>
      </c>
      <c r="J281" s="145">
        <f t="shared" si="78"/>
        <v>0</v>
      </c>
      <c r="K281" s="142" t="str">
        <f t="shared" si="84"/>
        <v>kWh</v>
      </c>
      <c r="L281" s="146">
        <f>IFERROR(INDEX(Työkonekanta!$I$3:$I$27,MATCH('S1 Sähkö'!$A281,Työkonekanta!$A$3:$A$24,0),1)*(I281+J281)*f_adblue,0)</f>
        <v>0</v>
      </c>
      <c r="M281" s="146">
        <f t="shared" si="89"/>
        <v>0</v>
      </c>
      <c r="N281" s="143" t="str">
        <f>IF(tuulisähkö_vuosi&lt;='S1 Sähkö'!C281,"tuulisähkö",ostosähkö_nyt)</f>
        <v>jäännössähkö</v>
      </c>
      <c r="O281" s="147">
        <f>INDEX(Muuttujat!$J$5:$J$21,MATCH($C281,Muuttujat!$H$5:$H$21,0),1)</f>
        <v>63.258531840332459</v>
      </c>
      <c r="P281" s="342">
        <f>1-(INDEX(Muuttujat!$O$5:$O$21,MATCH($C281,Muuttujat!$N$5:$N$21,0),1))</f>
        <v>0.9</v>
      </c>
      <c r="Q281" s="342">
        <f>INDEX(Muuttujat!$O$5:$O$21,MATCH($C281,Muuttujat!$N$5:$N$21,0),1)</f>
        <v>0.1</v>
      </c>
      <c r="R281" s="148">
        <f>INDEX(Muuttujat!$P$5:$P$21,MATCH($C281,Muuttujat!$N$5:$N$21,0),1)</f>
        <v>0.10417875759940039</v>
      </c>
      <c r="S281" s="149">
        <f t="shared" si="79"/>
        <v>0</v>
      </c>
      <c r="T281" s="150">
        <f t="shared" si="80"/>
        <v>0</v>
      </c>
      <c r="U281" s="150">
        <f t="shared" si="81"/>
        <v>0</v>
      </c>
      <c r="V281" s="150">
        <f>IFERROR(INDEX(Työkonekanta!$J$3:$J$27,MATCH($A281,Työkonekanta!$A$3:$A$24,0),1)*$B281*ef_li_ion_akku/1000/1000/INDEX(Työkonekanta!$K$3:$K$27,MATCH($A281,Työkonekanta!$A$3:$A$24,0)),0)</f>
        <v>0</v>
      </c>
      <c r="W281" s="149">
        <f t="shared" si="90"/>
        <v>0</v>
      </c>
      <c r="X281" s="150">
        <f t="shared" si="91"/>
        <v>0</v>
      </c>
      <c r="Y281" s="151">
        <f t="shared" si="92"/>
        <v>0</v>
      </c>
      <c r="Z281" s="152">
        <f t="shared" si="85"/>
        <v>0</v>
      </c>
      <c r="AA281" s="153">
        <f t="shared" si="86"/>
        <v>0</v>
      </c>
      <c r="AB281" s="153">
        <f t="shared" si="87"/>
        <v>0</v>
      </c>
      <c r="AC281" s="154">
        <f t="shared" si="93"/>
        <v>0</v>
      </c>
      <c r="AD281" s="156">
        <f t="shared" si="88"/>
        <v>0</v>
      </c>
      <c r="AE281" s="182"/>
      <c r="AG281" s="2"/>
    </row>
    <row r="282" spans="1:33">
      <c r="A282" s="139">
        <v>10</v>
      </c>
      <c r="B282" s="139" cm="1">
        <f t="array" ref="B282">IFERROR(IF(A282=s1_id_korvattava1,INDEX($AG$3:$AG$19,MATCH(C282,$AF$3:$AF$19,0),1),IF(A282=s1_id_korvaava1,INDEX($AH$3:$AH$19,MATCH(C282,$AF$3:$AF$19,0),1),IF(A282=s1_id_korvattava2,INDEX($AI$3:$AI$19,MATCH(C282,$AF$3:$AF$19,0),1),IF(A282=s1_id_korvaava2,INDEX($AJ$3:$AJ$19,MATCH(C282,$AF$3:$AF$19,0),1),INDEX(Työkonekanta!$F$3:$F$27,MATCH('S1 Sähkö'!$A282,Työkonekanta!$A$3:$A$24,0),1))))),0)</f>
        <v>0</v>
      </c>
      <c r="C282" s="140">
        <v>2028</v>
      </c>
      <c r="D282" s="141" t="str">
        <f>IFERROR(INDEX(Työkonekanta!$D$3:$D$27,MATCH('S1 Sähkö'!$A282,Työkonekanta!$A$3:$A$24,0),1),"undefined")</f>
        <v>sähkö</v>
      </c>
      <c r="E282" s="145">
        <f>IFERROR(INDEX(Työkonekanta!$G$3:$G$27,MATCH($A282,Työkonekanta!$A$3:$A$24,0),1)*INDEX(Työkonekanta!$H$3:$H$27,MATCH($A282,Työkonekanta!$A$3:$A$24,0),1)*(1+s1_kerroin*($C282-2019))*$B282,0)</f>
        <v>0</v>
      </c>
      <c r="F282" s="145">
        <f t="shared" si="76"/>
        <v>0</v>
      </c>
      <c r="G282" s="145">
        <f t="shared" si="82"/>
        <v>0</v>
      </c>
      <c r="H282" s="145">
        <f t="shared" si="83"/>
        <v>0</v>
      </c>
      <c r="I282" s="145">
        <f t="shared" si="77"/>
        <v>0</v>
      </c>
      <c r="J282" s="145">
        <f t="shared" si="78"/>
        <v>0</v>
      </c>
      <c r="K282" s="142" t="str">
        <f t="shared" si="84"/>
        <v>kWh</v>
      </c>
      <c r="L282" s="146">
        <f>IFERROR(INDEX(Työkonekanta!$I$3:$I$27,MATCH('S1 Sähkö'!$A282,Työkonekanta!$A$3:$A$24,0),1)*(I282+J282)*f_adblue,0)</f>
        <v>0</v>
      </c>
      <c r="M282" s="146">
        <f t="shared" si="89"/>
        <v>0</v>
      </c>
      <c r="N282" s="143" t="str">
        <f>IF(tuulisähkö_vuosi&lt;='S1 Sähkö'!C282,"tuulisähkö",ostosähkö_nyt)</f>
        <v>jäännössähkö</v>
      </c>
      <c r="O282" s="147">
        <f>INDEX(Muuttujat!$J$5:$J$21,MATCH($C282,Muuttujat!$H$5:$H$21,0),1)</f>
        <v>63.258531840332459</v>
      </c>
      <c r="P282" s="342">
        <f>1-(INDEX(Muuttujat!$O$5:$O$21,MATCH($C282,Muuttujat!$N$5:$N$21,0),1))</f>
        <v>0.9</v>
      </c>
      <c r="Q282" s="342">
        <f>INDEX(Muuttujat!$O$5:$O$21,MATCH($C282,Muuttujat!$N$5:$N$21,0),1)</f>
        <v>0.1</v>
      </c>
      <c r="R282" s="148">
        <f>INDEX(Muuttujat!$P$5:$P$21,MATCH($C282,Muuttujat!$N$5:$N$21,0),1)</f>
        <v>0.10417875759940039</v>
      </c>
      <c r="S282" s="149">
        <f t="shared" si="79"/>
        <v>0</v>
      </c>
      <c r="T282" s="150">
        <f t="shared" si="80"/>
        <v>0</v>
      </c>
      <c r="U282" s="150">
        <f t="shared" si="81"/>
        <v>0</v>
      </c>
      <c r="V282" s="150">
        <f>IFERROR(INDEX(Työkonekanta!$J$3:$J$27,MATCH($A282,Työkonekanta!$A$3:$A$24,0),1)*$B282*ef_li_ion_akku/1000/1000/INDEX(Työkonekanta!$K$3:$K$27,MATCH($A282,Työkonekanta!$A$3:$A$24,0)),0)</f>
        <v>0</v>
      </c>
      <c r="W282" s="149">
        <f t="shared" si="90"/>
        <v>0</v>
      </c>
      <c r="X282" s="150">
        <f t="shared" si="91"/>
        <v>0</v>
      </c>
      <c r="Y282" s="151">
        <f t="shared" si="92"/>
        <v>0</v>
      </c>
      <c r="Z282" s="152">
        <f t="shared" si="85"/>
        <v>0</v>
      </c>
      <c r="AA282" s="153">
        <f t="shared" si="86"/>
        <v>0</v>
      </c>
      <c r="AB282" s="153">
        <f t="shared" si="87"/>
        <v>0</v>
      </c>
      <c r="AC282" s="154">
        <f t="shared" si="93"/>
        <v>0</v>
      </c>
      <c r="AD282" s="156">
        <f t="shared" si="88"/>
        <v>0</v>
      </c>
      <c r="AE282" s="182"/>
      <c r="AG282" s="2"/>
    </row>
    <row r="283" spans="1:33">
      <c r="A283" s="139">
        <v>11</v>
      </c>
      <c r="B283" s="139" cm="1">
        <f t="array" ref="B283">IFERROR(IF(A283=s1_id_korvattava1,INDEX($AG$3:$AG$19,MATCH(C283,$AF$3:$AF$19,0),1),IF(A283=s1_id_korvaava1,INDEX($AH$3:$AH$19,MATCH(C283,$AF$3:$AF$19,0),1),IF(A283=s1_id_korvattava2,INDEX($AI$3:$AI$19,MATCH(C283,$AF$3:$AF$19,0),1),IF(A283=s1_id_korvaava2,INDEX($AJ$3:$AJ$19,MATCH(C283,$AF$3:$AF$19,0),1),INDEX(Työkonekanta!$F$3:$F$27,MATCH('S1 Sähkö'!$A283,Työkonekanta!$A$3:$A$24,0),1))))),0)</f>
        <v>1</v>
      </c>
      <c r="C283" s="140">
        <v>2028</v>
      </c>
      <c r="D283" s="141" t="str">
        <f>IFERROR(INDEX(Työkonekanta!$D$3:$D$27,MATCH('S1 Sähkö'!$A283,Työkonekanta!$A$3:$A$24,0),1),"undefined")</f>
        <v>pom</v>
      </c>
      <c r="E283" s="145">
        <f>IFERROR(INDEX(Työkonekanta!$G$3:$G$27,MATCH($A283,Työkonekanta!$A$3:$A$24,0),1)*INDEX(Työkonekanta!$H$3:$H$27,MATCH($A283,Työkonekanta!$A$3:$A$24,0),1)*(1+s1_kerroin*($C283-2019))*$B283,0)</f>
        <v>10900</v>
      </c>
      <c r="F283" s="145">
        <f t="shared" si="76"/>
        <v>391310</v>
      </c>
      <c r="G283" s="145">
        <f t="shared" si="82"/>
        <v>352179</v>
      </c>
      <c r="H283" s="145">
        <f t="shared" si="83"/>
        <v>39131</v>
      </c>
      <c r="I283" s="145">
        <f t="shared" si="77"/>
        <v>9810</v>
      </c>
      <c r="J283" s="145">
        <f t="shared" si="78"/>
        <v>1140.8454810495627</v>
      </c>
      <c r="K283" s="142" t="str">
        <f t="shared" si="84"/>
        <v>l</v>
      </c>
      <c r="L283" s="146">
        <f>IFERROR(INDEX(Työkonekanta!$I$3:$I$27,MATCH('S1 Sähkö'!$A283,Työkonekanta!$A$3:$A$24,0),1)*(I283+J283)*f_adblue,0)</f>
        <v>547.54227405247809</v>
      </c>
      <c r="M283" s="146">
        <f t="shared" si="89"/>
        <v>0</v>
      </c>
      <c r="N283" s="143" t="str">
        <f>IF(tuulisähkö_vuosi&lt;='S1 Sähkö'!C283,"tuulisähkö",ostosähkö_nyt)</f>
        <v>jäännössähkö</v>
      </c>
      <c r="O283" s="147">
        <f>INDEX(Muuttujat!$J$5:$J$21,MATCH($C283,Muuttujat!$H$5:$H$21,0),1)</f>
        <v>63.258531840332459</v>
      </c>
      <c r="P283" s="342">
        <f>1-(INDEX(Muuttujat!$O$5:$O$21,MATCH($C283,Muuttujat!$N$5:$N$21,0),1))</f>
        <v>0.9</v>
      </c>
      <c r="Q283" s="342">
        <f>INDEX(Muuttujat!$O$5:$O$21,MATCH($C283,Muuttujat!$N$5:$N$21,0),1)</f>
        <v>0.1</v>
      </c>
      <c r="R283" s="148">
        <f>INDEX(Muuttujat!$P$5:$P$21,MATCH($C283,Muuttujat!$N$5:$N$21,0),1)</f>
        <v>0.10417875759940039</v>
      </c>
      <c r="S283" s="149">
        <f t="shared" si="79"/>
        <v>6.6561830999999989</v>
      </c>
      <c r="T283" s="150">
        <f t="shared" si="80"/>
        <v>2.4417743999999999</v>
      </c>
      <c r="U283" s="150">
        <f t="shared" si="81"/>
        <v>0</v>
      </c>
      <c r="V283" s="150">
        <f>IFERROR(INDEX(Työkonekanta!$J$3:$J$27,MATCH($A283,Työkonekanta!$A$3:$A$24,0),1)*$B283*ef_li_ion_akku/1000/1000/INDEX(Työkonekanta!$K$3:$K$27,MATCH($A283,Työkonekanta!$A$3:$A$24,0)),0)</f>
        <v>0</v>
      </c>
      <c r="W283" s="149">
        <f t="shared" si="90"/>
        <v>25.993717183566002</v>
      </c>
      <c r="X283" s="150">
        <f t="shared" si="91"/>
        <v>0.34634276940000003</v>
      </c>
      <c r="Y283" s="151">
        <f t="shared" si="92"/>
        <v>0.14236099125364432</v>
      </c>
      <c r="Z283" s="152">
        <f t="shared" si="85"/>
        <v>9.0979574999999997</v>
      </c>
      <c r="AA283" s="153">
        <f t="shared" si="86"/>
        <v>26.136078174819644</v>
      </c>
      <c r="AB283" s="153">
        <f t="shared" si="87"/>
        <v>26.482420944219644</v>
      </c>
      <c r="AC283" s="154">
        <f t="shared" si="93"/>
        <v>35.234035674819644</v>
      </c>
      <c r="AD283" s="156">
        <f t="shared" si="88"/>
        <v>35.580378444219647</v>
      </c>
      <c r="AE283" s="182"/>
      <c r="AG283" s="2"/>
    </row>
    <row r="284" spans="1:33">
      <c r="A284" s="139">
        <v>12</v>
      </c>
      <c r="B284" s="139" cm="1">
        <f t="array" ref="B284">IFERROR(IF(A284=s1_id_korvattava1,INDEX($AG$3:$AG$19,MATCH(C284,$AF$3:$AF$19,0),1),IF(A284=s1_id_korvaava1,INDEX($AH$3:$AH$19,MATCH(C284,$AF$3:$AF$19,0),1),IF(A284=s1_id_korvattava2,INDEX($AI$3:$AI$19,MATCH(C284,$AF$3:$AF$19,0),1),IF(A284=s1_id_korvaava2,INDEX($AJ$3:$AJ$19,MATCH(C284,$AF$3:$AF$19,0),1),INDEX(Työkonekanta!$F$3:$F$27,MATCH('S1 Sähkö'!$A284,Työkonekanta!$A$3:$A$24,0),1))))),0)</f>
        <v>1</v>
      </c>
      <c r="C284" s="140">
        <v>2028</v>
      </c>
      <c r="D284" s="141" t="str">
        <f>IFERROR(INDEX(Työkonekanta!$D$3:$D$27,MATCH('S1 Sähkö'!$A284,Työkonekanta!$A$3:$A$24,0),1),"undefined")</f>
        <v>pom</v>
      </c>
      <c r="E284" s="145">
        <f>IFERROR(INDEX(Työkonekanta!$G$3:$G$27,MATCH($A284,Työkonekanta!$A$3:$A$24,0),1)*INDEX(Työkonekanta!$H$3:$H$27,MATCH($A284,Työkonekanta!$A$3:$A$24,0),1)*(1+s1_kerroin*($C284-2019))*$B284,0)</f>
        <v>10900</v>
      </c>
      <c r="F284" s="145">
        <f t="shared" si="76"/>
        <v>391310</v>
      </c>
      <c r="G284" s="145">
        <f t="shared" si="82"/>
        <v>352179</v>
      </c>
      <c r="H284" s="145">
        <f t="shared" si="83"/>
        <v>39131</v>
      </c>
      <c r="I284" s="145">
        <f t="shared" si="77"/>
        <v>9810</v>
      </c>
      <c r="J284" s="145">
        <f t="shared" si="78"/>
        <v>1140.8454810495627</v>
      </c>
      <c r="K284" s="142" t="str">
        <f t="shared" si="84"/>
        <v>l</v>
      </c>
      <c r="L284" s="146">
        <f>IFERROR(INDEX(Työkonekanta!$I$3:$I$27,MATCH('S1 Sähkö'!$A284,Työkonekanta!$A$3:$A$24,0),1)*(I284+J284)*f_adblue,0)</f>
        <v>547.54227405247809</v>
      </c>
      <c r="M284" s="146">
        <f t="shared" si="89"/>
        <v>0</v>
      </c>
      <c r="N284" s="143" t="str">
        <f>IF(tuulisähkö_vuosi&lt;='S1 Sähkö'!C284,"tuulisähkö",ostosähkö_nyt)</f>
        <v>jäännössähkö</v>
      </c>
      <c r="O284" s="147">
        <f>INDEX(Muuttujat!$J$5:$J$21,MATCH($C284,Muuttujat!$H$5:$H$21,0),1)</f>
        <v>63.258531840332459</v>
      </c>
      <c r="P284" s="342">
        <f>1-(INDEX(Muuttujat!$O$5:$O$21,MATCH($C284,Muuttujat!$N$5:$N$21,0),1))</f>
        <v>0.9</v>
      </c>
      <c r="Q284" s="342">
        <f>INDEX(Muuttujat!$O$5:$O$21,MATCH($C284,Muuttujat!$N$5:$N$21,0),1)</f>
        <v>0.1</v>
      </c>
      <c r="R284" s="148">
        <f>INDEX(Muuttujat!$P$5:$P$21,MATCH($C284,Muuttujat!$N$5:$N$21,0),1)</f>
        <v>0.10417875759940039</v>
      </c>
      <c r="S284" s="149">
        <f t="shared" si="79"/>
        <v>6.6561830999999989</v>
      </c>
      <c r="T284" s="150">
        <f t="shared" si="80"/>
        <v>2.4417743999999999</v>
      </c>
      <c r="U284" s="150">
        <f t="shared" si="81"/>
        <v>0</v>
      </c>
      <c r="V284" s="150">
        <f>IFERROR(INDEX(Työkonekanta!$J$3:$J$27,MATCH($A284,Työkonekanta!$A$3:$A$24,0),1)*$B284*ef_li_ion_akku/1000/1000/INDEX(Työkonekanta!$K$3:$K$27,MATCH($A284,Työkonekanta!$A$3:$A$24,0)),0)</f>
        <v>0</v>
      </c>
      <c r="W284" s="149">
        <f t="shared" si="90"/>
        <v>25.993717183566002</v>
      </c>
      <c r="X284" s="150">
        <f t="shared" si="91"/>
        <v>0.34634276940000003</v>
      </c>
      <c r="Y284" s="151">
        <f t="shared" si="92"/>
        <v>0.14236099125364432</v>
      </c>
      <c r="Z284" s="152">
        <f t="shared" si="85"/>
        <v>9.0979574999999997</v>
      </c>
      <c r="AA284" s="153">
        <f t="shared" si="86"/>
        <v>26.136078174819644</v>
      </c>
      <c r="AB284" s="153">
        <f t="shared" si="87"/>
        <v>26.482420944219644</v>
      </c>
      <c r="AC284" s="154">
        <f t="shared" si="93"/>
        <v>35.234035674819644</v>
      </c>
      <c r="AD284" s="156">
        <f t="shared" si="88"/>
        <v>35.580378444219647</v>
      </c>
      <c r="AE284" s="182"/>
      <c r="AG284" s="2"/>
    </row>
    <row r="285" spans="1:33">
      <c r="A285" s="139">
        <v>13</v>
      </c>
      <c r="B285" s="139" cm="1">
        <f t="array" ref="B285">IFERROR(IF(A285=s1_id_korvattava1,INDEX($AG$3:$AG$19,MATCH(C285,$AF$3:$AF$19,0),1),IF(A285=s1_id_korvaava1,INDEX($AH$3:$AH$19,MATCH(C285,$AF$3:$AF$19,0),1),IF(A285=s1_id_korvattava2,INDEX($AI$3:$AI$19,MATCH(C285,$AF$3:$AF$19,0),1),IF(A285=s1_id_korvaava2,INDEX($AJ$3:$AJ$19,MATCH(C285,$AF$3:$AF$19,0),1),INDEX(Työkonekanta!$F$3:$F$27,MATCH('S1 Sähkö'!$A285,Työkonekanta!$A$3:$A$24,0),1))))),0)</f>
        <v>0</v>
      </c>
      <c r="C285" s="140">
        <v>2028</v>
      </c>
      <c r="D285" s="141" t="str">
        <f>IFERROR(INDEX(Työkonekanta!$D$3:$D$27,MATCH('S1 Sähkö'!$A285,Työkonekanta!$A$3:$A$24,0),1),"undefined")</f>
        <v>pom</v>
      </c>
      <c r="E285" s="145">
        <f>IFERROR(INDEX(Työkonekanta!$G$3:$G$27,MATCH($A285,Työkonekanta!$A$3:$A$24,0),1)*INDEX(Työkonekanta!$H$3:$H$27,MATCH($A285,Työkonekanta!$A$3:$A$24,0),1)*(1+s1_kerroin*($C285-2019))*$B285,0)</f>
        <v>0</v>
      </c>
      <c r="F285" s="145">
        <f t="shared" si="76"/>
        <v>0</v>
      </c>
      <c r="G285" s="145">
        <f t="shared" si="82"/>
        <v>0</v>
      </c>
      <c r="H285" s="145">
        <f t="shared" si="83"/>
        <v>0</v>
      </c>
      <c r="I285" s="145">
        <f t="shared" si="77"/>
        <v>0</v>
      </c>
      <c r="J285" s="145">
        <f t="shared" si="78"/>
        <v>0</v>
      </c>
      <c r="K285" s="142" t="str">
        <f t="shared" si="84"/>
        <v>l</v>
      </c>
      <c r="L285" s="146">
        <f>IFERROR(INDEX(Työkonekanta!$I$3:$I$27,MATCH('S1 Sähkö'!$A285,Työkonekanta!$A$3:$A$24,0),1)*(I285+J285)*f_adblue,0)</f>
        <v>0</v>
      </c>
      <c r="M285" s="146">
        <f t="shared" si="89"/>
        <v>0</v>
      </c>
      <c r="N285" s="143" t="str">
        <f>IF(tuulisähkö_vuosi&lt;='S1 Sähkö'!C285,"tuulisähkö",ostosähkö_nyt)</f>
        <v>jäännössähkö</v>
      </c>
      <c r="O285" s="147">
        <f>INDEX(Muuttujat!$J$5:$J$21,MATCH($C285,Muuttujat!$H$5:$H$21,0),1)</f>
        <v>63.258531840332459</v>
      </c>
      <c r="P285" s="342">
        <f>1-(INDEX(Muuttujat!$O$5:$O$21,MATCH($C285,Muuttujat!$N$5:$N$21,0),1))</f>
        <v>0.9</v>
      </c>
      <c r="Q285" s="342">
        <f>INDEX(Muuttujat!$O$5:$O$21,MATCH($C285,Muuttujat!$N$5:$N$21,0),1)</f>
        <v>0.1</v>
      </c>
      <c r="R285" s="148">
        <f>INDEX(Muuttujat!$P$5:$P$21,MATCH($C285,Muuttujat!$N$5:$N$21,0),1)</f>
        <v>0.10417875759940039</v>
      </c>
      <c r="S285" s="149">
        <f t="shared" si="79"/>
        <v>0</v>
      </c>
      <c r="T285" s="150">
        <f t="shared" si="80"/>
        <v>0</v>
      </c>
      <c r="U285" s="150">
        <f t="shared" si="81"/>
        <v>0</v>
      </c>
      <c r="V285" s="150">
        <f>IFERROR(INDEX(Työkonekanta!$J$3:$J$27,MATCH($A285,Työkonekanta!$A$3:$A$24,0),1)*$B285*ef_li_ion_akku/1000/1000/INDEX(Työkonekanta!$K$3:$K$27,MATCH($A285,Työkonekanta!$A$3:$A$24,0)),0)</f>
        <v>0</v>
      </c>
      <c r="W285" s="149">
        <f t="shared" si="90"/>
        <v>0</v>
      </c>
      <c r="X285" s="150">
        <f t="shared" si="91"/>
        <v>0</v>
      </c>
      <c r="Y285" s="151">
        <f t="shared" si="92"/>
        <v>0</v>
      </c>
      <c r="Z285" s="152">
        <f t="shared" si="85"/>
        <v>0</v>
      </c>
      <c r="AA285" s="153">
        <f t="shared" si="86"/>
        <v>0</v>
      </c>
      <c r="AB285" s="153">
        <f t="shared" si="87"/>
        <v>0</v>
      </c>
      <c r="AC285" s="154">
        <f t="shared" si="93"/>
        <v>0</v>
      </c>
      <c r="AD285" s="156">
        <f t="shared" si="88"/>
        <v>0</v>
      </c>
      <c r="AE285" s="182"/>
      <c r="AG285" s="2"/>
    </row>
    <row r="286" spans="1:33">
      <c r="A286" s="139">
        <v>14</v>
      </c>
      <c r="B286" s="139" cm="1">
        <f t="array" ref="B286">IFERROR(IF(A286=s1_id_korvattava1,INDEX($AG$3:$AG$19,MATCH(C286,$AF$3:$AF$19,0),1),IF(A286=s1_id_korvaava1,INDEX($AH$3:$AH$19,MATCH(C286,$AF$3:$AF$19,0),1),IF(A286=s1_id_korvattava2,INDEX($AI$3:$AI$19,MATCH(C286,$AF$3:$AF$19,0),1),IF(A286=s1_id_korvaava2,INDEX($AJ$3:$AJ$19,MATCH(C286,$AF$3:$AF$19,0),1),INDEX(Työkonekanta!$F$3:$F$27,MATCH('S1 Sähkö'!$A286,Työkonekanta!$A$3:$A$24,0),1))))),0)</f>
        <v>0</v>
      </c>
      <c r="C286" s="140">
        <v>2028</v>
      </c>
      <c r="D286" s="141" t="str">
        <f>IFERROR(INDEX(Työkonekanta!$D$3:$D$27,MATCH('S1 Sähkö'!$A286,Työkonekanta!$A$3:$A$24,0),1),"undefined")</f>
        <v>pom</v>
      </c>
      <c r="E286" s="145">
        <f>IFERROR(INDEX(Työkonekanta!$G$3:$G$27,MATCH($A286,Työkonekanta!$A$3:$A$24,0),1)*INDEX(Työkonekanta!$H$3:$H$27,MATCH($A286,Työkonekanta!$A$3:$A$24,0),1)*(1+s1_kerroin*($C286-2019))*$B286,0)</f>
        <v>0</v>
      </c>
      <c r="F286" s="145">
        <f t="shared" si="76"/>
        <v>0</v>
      </c>
      <c r="G286" s="145">
        <f t="shared" si="82"/>
        <v>0</v>
      </c>
      <c r="H286" s="145">
        <f t="shared" si="83"/>
        <v>0</v>
      </c>
      <c r="I286" s="145">
        <f t="shared" si="77"/>
        <v>0</v>
      </c>
      <c r="J286" s="145">
        <f t="shared" si="78"/>
        <v>0</v>
      </c>
      <c r="K286" s="142" t="str">
        <f t="shared" si="84"/>
        <v>l</v>
      </c>
      <c r="L286" s="146">
        <f>IFERROR(INDEX(Työkonekanta!$I$3:$I$27,MATCH('S1 Sähkö'!$A286,Työkonekanta!$A$3:$A$24,0),1)*(I286+J286)*f_adblue,0)</f>
        <v>0</v>
      </c>
      <c r="M286" s="146">
        <f t="shared" si="89"/>
        <v>0</v>
      </c>
      <c r="N286" s="143" t="str">
        <f>IF(tuulisähkö_vuosi&lt;='S1 Sähkö'!C286,"tuulisähkö",ostosähkö_nyt)</f>
        <v>jäännössähkö</v>
      </c>
      <c r="O286" s="147">
        <f>INDEX(Muuttujat!$J$5:$J$21,MATCH($C286,Muuttujat!$H$5:$H$21,0),1)</f>
        <v>63.258531840332459</v>
      </c>
      <c r="P286" s="342">
        <f>1-(INDEX(Muuttujat!$O$5:$O$21,MATCH($C286,Muuttujat!$N$5:$N$21,0),1))</f>
        <v>0.9</v>
      </c>
      <c r="Q286" s="342">
        <f>INDEX(Muuttujat!$O$5:$O$21,MATCH($C286,Muuttujat!$N$5:$N$21,0),1)</f>
        <v>0.1</v>
      </c>
      <c r="R286" s="148">
        <f>INDEX(Muuttujat!$P$5:$P$21,MATCH($C286,Muuttujat!$N$5:$N$21,0),1)</f>
        <v>0.10417875759940039</v>
      </c>
      <c r="S286" s="149">
        <f t="shared" si="79"/>
        <v>0</v>
      </c>
      <c r="T286" s="150">
        <f t="shared" si="80"/>
        <v>0</v>
      </c>
      <c r="U286" s="150">
        <f t="shared" si="81"/>
        <v>0</v>
      </c>
      <c r="V286" s="150">
        <f>IFERROR(INDEX(Työkonekanta!$J$3:$J$27,MATCH($A286,Työkonekanta!$A$3:$A$24,0),1)*$B286*ef_li_ion_akku/1000/1000/INDEX(Työkonekanta!$K$3:$K$27,MATCH($A286,Työkonekanta!$A$3:$A$24,0)),0)</f>
        <v>0</v>
      </c>
      <c r="W286" s="149">
        <f t="shared" si="90"/>
        <v>0</v>
      </c>
      <c r="X286" s="150">
        <f t="shared" si="91"/>
        <v>0</v>
      </c>
      <c r="Y286" s="151">
        <f t="shared" si="92"/>
        <v>0</v>
      </c>
      <c r="Z286" s="152">
        <f t="shared" si="85"/>
        <v>0</v>
      </c>
      <c r="AA286" s="153">
        <f t="shared" si="86"/>
        <v>0</v>
      </c>
      <c r="AB286" s="153">
        <f t="shared" si="87"/>
        <v>0</v>
      </c>
      <c r="AC286" s="154">
        <f t="shared" si="93"/>
        <v>0</v>
      </c>
      <c r="AD286" s="156">
        <f t="shared" si="88"/>
        <v>0</v>
      </c>
      <c r="AE286" s="182"/>
      <c r="AG286" s="2"/>
    </row>
    <row r="287" spans="1:33">
      <c r="A287" s="139">
        <v>15</v>
      </c>
      <c r="B287" s="139" cm="1">
        <f t="array" ref="B287">IFERROR(IF(A287=s1_id_korvattava1,INDEX($AG$3:$AG$19,MATCH(C287,$AF$3:$AF$19,0),1),IF(A287=s1_id_korvaava1,INDEX($AH$3:$AH$19,MATCH(C287,$AF$3:$AF$19,0),1),IF(A287=s1_id_korvattava2,INDEX($AI$3:$AI$19,MATCH(C287,$AF$3:$AF$19,0),1),IF(A287=s1_id_korvaava2,INDEX($AJ$3:$AJ$19,MATCH(C287,$AF$3:$AF$19,0),1),INDEX(Työkonekanta!$F$3:$F$27,MATCH('S1 Sähkö'!$A287,Työkonekanta!$A$3:$A$24,0),1))))),0)</f>
        <v>0</v>
      </c>
      <c r="C287" s="140">
        <v>2028</v>
      </c>
      <c r="D287" s="141" t="str">
        <f>IFERROR(INDEX(Työkonekanta!$D$3:$D$27,MATCH('S1 Sähkö'!$A287,Työkonekanta!$A$3:$A$24,0),1),"undefined")</f>
        <v>sähkö</v>
      </c>
      <c r="E287" s="145">
        <f>IFERROR(INDEX(Työkonekanta!$G$3:$G$27,MATCH($A287,Työkonekanta!$A$3:$A$24,0),1)*INDEX(Työkonekanta!$H$3:$H$27,MATCH($A287,Työkonekanta!$A$3:$A$24,0),1)*(1+s1_kerroin*($C287-2019))*$B287,0)</f>
        <v>0</v>
      </c>
      <c r="F287" s="145">
        <f t="shared" si="76"/>
        <v>0</v>
      </c>
      <c r="G287" s="145">
        <f t="shared" si="82"/>
        <v>0</v>
      </c>
      <c r="H287" s="145">
        <f t="shared" si="83"/>
        <v>0</v>
      </c>
      <c r="I287" s="145">
        <f t="shared" si="77"/>
        <v>0</v>
      </c>
      <c r="J287" s="145">
        <f t="shared" si="78"/>
        <v>0</v>
      </c>
      <c r="K287" s="142" t="str">
        <f t="shared" si="84"/>
        <v>kWh</v>
      </c>
      <c r="L287" s="146">
        <f>IFERROR(INDEX(Työkonekanta!$I$3:$I$27,MATCH('S1 Sähkö'!$A287,Työkonekanta!$A$3:$A$24,0),1)*(I287+J287)*f_adblue,0)</f>
        <v>0</v>
      </c>
      <c r="M287" s="146">
        <f t="shared" si="89"/>
        <v>0</v>
      </c>
      <c r="N287" s="143" t="str">
        <f>IF(tuulisähkö_vuosi&lt;='S1 Sähkö'!C287,"tuulisähkö",ostosähkö_nyt)</f>
        <v>jäännössähkö</v>
      </c>
      <c r="O287" s="147">
        <f>INDEX(Muuttujat!$J$5:$J$21,MATCH($C287,Muuttujat!$H$5:$H$21,0),1)</f>
        <v>63.258531840332459</v>
      </c>
      <c r="P287" s="342">
        <f>1-(INDEX(Muuttujat!$O$5:$O$21,MATCH($C287,Muuttujat!$N$5:$N$21,0),1))</f>
        <v>0.9</v>
      </c>
      <c r="Q287" s="342">
        <f>INDEX(Muuttujat!$O$5:$O$21,MATCH($C287,Muuttujat!$N$5:$N$21,0),1)</f>
        <v>0.1</v>
      </c>
      <c r="R287" s="148">
        <f>INDEX(Muuttujat!$P$5:$P$21,MATCH($C287,Muuttujat!$N$5:$N$21,0),1)</f>
        <v>0.10417875759940039</v>
      </c>
      <c r="S287" s="149">
        <f t="shared" si="79"/>
        <v>0</v>
      </c>
      <c r="T287" s="150">
        <f t="shared" si="80"/>
        <v>0</v>
      </c>
      <c r="U287" s="150">
        <f t="shared" si="81"/>
        <v>0</v>
      </c>
      <c r="V287" s="150">
        <f>IFERROR(INDEX(Työkonekanta!$J$3:$J$27,MATCH($A287,Työkonekanta!$A$3:$A$24,0),1)*$B287*ef_li_ion_akku/1000/1000/INDEX(Työkonekanta!$K$3:$K$27,MATCH($A287,Työkonekanta!$A$3:$A$24,0)),0)</f>
        <v>0</v>
      </c>
      <c r="W287" s="149">
        <f t="shared" si="90"/>
        <v>0</v>
      </c>
      <c r="X287" s="150">
        <f t="shared" si="91"/>
        <v>0</v>
      </c>
      <c r="Y287" s="151">
        <f t="shared" si="92"/>
        <v>0</v>
      </c>
      <c r="Z287" s="152">
        <f t="shared" si="85"/>
        <v>0</v>
      </c>
      <c r="AA287" s="153">
        <f t="shared" si="86"/>
        <v>0</v>
      </c>
      <c r="AB287" s="153">
        <f t="shared" si="87"/>
        <v>0</v>
      </c>
      <c r="AC287" s="154">
        <f t="shared" si="93"/>
        <v>0</v>
      </c>
      <c r="AD287" s="156">
        <f t="shared" si="88"/>
        <v>0</v>
      </c>
      <c r="AE287" s="182"/>
      <c r="AG287" s="2"/>
    </row>
    <row r="288" spans="1:33">
      <c r="A288" s="139">
        <v>16</v>
      </c>
      <c r="B288" s="139" cm="1">
        <f t="array" ref="B288">IFERROR(IF(A288=s1_id_korvattava1,INDEX($AG$3:$AG$19,MATCH(C288,$AF$3:$AF$19,0),1),IF(A288=s1_id_korvaava1,INDEX($AH$3:$AH$19,MATCH(C288,$AF$3:$AF$19,0),1),IF(A288=s1_id_korvattava2,INDEX($AI$3:$AI$19,MATCH(C288,$AF$3:$AF$19,0),1),IF(A288=s1_id_korvaava2,INDEX($AJ$3:$AJ$19,MATCH(C288,$AF$3:$AF$19,0),1),INDEX(Työkonekanta!$F$3:$F$27,MATCH('S1 Sähkö'!$A288,Työkonekanta!$A$3:$A$24,0),1))))),0)</f>
        <v>0</v>
      </c>
      <c r="C288" s="140">
        <v>2028</v>
      </c>
      <c r="D288" s="141" t="str">
        <f>IFERROR(INDEX(Työkonekanta!$D$3:$D$27,MATCH('S1 Sähkö'!$A288,Työkonekanta!$A$3:$A$24,0),1),"undefined")</f>
        <v>sähkö</v>
      </c>
      <c r="E288" s="145">
        <f>IFERROR(INDEX(Työkonekanta!$G$3:$G$27,MATCH($A288,Työkonekanta!$A$3:$A$24,0),1)*INDEX(Työkonekanta!$H$3:$H$27,MATCH($A288,Työkonekanta!$A$3:$A$24,0),1)*(1+s1_kerroin*($C288-2019))*$B288,0)</f>
        <v>0</v>
      </c>
      <c r="F288" s="145">
        <f t="shared" si="76"/>
        <v>0</v>
      </c>
      <c r="G288" s="145">
        <f t="shared" si="82"/>
        <v>0</v>
      </c>
      <c r="H288" s="145">
        <f t="shared" si="83"/>
        <v>0</v>
      </c>
      <c r="I288" s="145">
        <f t="shared" si="77"/>
        <v>0</v>
      </c>
      <c r="J288" s="145">
        <f t="shared" si="78"/>
        <v>0</v>
      </c>
      <c r="K288" s="142" t="str">
        <f t="shared" si="84"/>
        <v>kWh</v>
      </c>
      <c r="L288" s="146">
        <f>IFERROR(INDEX(Työkonekanta!$I$3:$I$27,MATCH('S1 Sähkö'!$A288,Työkonekanta!$A$3:$A$24,0),1)*(I288+J288)*f_adblue,0)</f>
        <v>0</v>
      </c>
      <c r="M288" s="146">
        <f t="shared" si="89"/>
        <v>0</v>
      </c>
      <c r="N288" s="143" t="str">
        <f>IF(tuulisähkö_vuosi&lt;='S1 Sähkö'!C288,"tuulisähkö",ostosähkö_nyt)</f>
        <v>jäännössähkö</v>
      </c>
      <c r="O288" s="147">
        <f>INDEX(Muuttujat!$J$5:$J$21,MATCH($C288,Muuttujat!$H$5:$H$21,0),1)</f>
        <v>63.258531840332459</v>
      </c>
      <c r="P288" s="342">
        <f>1-(INDEX(Muuttujat!$O$5:$O$21,MATCH($C288,Muuttujat!$N$5:$N$21,0),1))</f>
        <v>0.9</v>
      </c>
      <c r="Q288" s="342">
        <f>INDEX(Muuttujat!$O$5:$O$21,MATCH($C288,Muuttujat!$N$5:$N$21,0),1)</f>
        <v>0.1</v>
      </c>
      <c r="R288" s="148">
        <f>INDEX(Muuttujat!$P$5:$P$21,MATCH($C288,Muuttujat!$N$5:$N$21,0),1)</f>
        <v>0.10417875759940039</v>
      </c>
      <c r="S288" s="149">
        <f t="shared" si="79"/>
        <v>0</v>
      </c>
      <c r="T288" s="150">
        <f t="shared" si="80"/>
        <v>0</v>
      </c>
      <c r="U288" s="150">
        <f t="shared" si="81"/>
        <v>0</v>
      </c>
      <c r="V288" s="150">
        <f>IFERROR(INDEX(Työkonekanta!$J$3:$J$27,MATCH($A288,Työkonekanta!$A$3:$A$24,0),1)*$B288*ef_li_ion_akku/1000/1000/INDEX(Työkonekanta!$K$3:$K$27,MATCH($A288,Työkonekanta!$A$3:$A$24,0)),0)</f>
        <v>0</v>
      </c>
      <c r="W288" s="149">
        <f t="shared" si="90"/>
        <v>0</v>
      </c>
      <c r="X288" s="150">
        <f t="shared" si="91"/>
        <v>0</v>
      </c>
      <c r="Y288" s="151">
        <f t="shared" si="92"/>
        <v>0</v>
      </c>
      <c r="Z288" s="152">
        <f t="shared" si="85"/>
        <v>0</v>
      </c>
      <c r="AA288" s="153">
        <f t="shared" si="86"/>
        <v>0</v>
      </c>
      <c r="AB288" s="153">
        <f t="shared" si="87"/>
        <v>0</v>
      </c>
      <c r="AC288" s="154">
        <f t="shared" si="93"/>
        <v>0</v>
      </c>
      <c r="AD288" s="156">
        <f t="shared" si="88"/>
        <v>0</v>
      </c>
      <c r="AE288" s="182"/>
      <c r="AG288" s="2"/>
    </row>
    <row r="289" spans="1:37">
      <c r="A289" s="139">
        <v>17</v>
      </c>
      <c r="B289" s="139" cm="1">
        <f t="array" ref="B289">IFERROR(IF(A289=s1_id_korvattava1,INDEX($AG$3:$AG$19,MATCH(C289,$AF$3:$AF$19,0),1),IF(A289=s1_id_korvaava1,INDEX($AH$3:$AH$19,MATCH(C289,$AF$3:$AF$19,0),1),IF(A289=s1_id_korvattava2,INDEX($AI$3:$AI$19,MATCH(C289,$AF$3:$AF$19,0),1),IF(A289=s1_id_korvaava2,INDEX($AJ$3:$AJ$19,MATCH(C289,$AF$3:$AF$19,0),1),INDEX(Työkonekanta!$F$3:$F$27,MATCH('S1 Sähkö'!$A289,Työkonekanta!$A$3:$A$24,0),1))))),0)</f>
        <v>0</v>
      </c>
      <c r="C289" s="140">
        <v>2028</v>
      </c>
      <c r="D289" s="141" t="str">
        <f>IFERROR(INDEX(Työkonekanta!$D$3:$D$27,MATCH('S1 Sähkö'!$A289,Työkonekanta!$A$3:$A$24,0),1),"undefined")</f>
        <v>pom</v>
      </c>
      <c r="E289" s="145">
        <f>IFERROR(INDEX(Työkonekanta!$G$3:$G$27,MATCH($A289,Työkonekanta!$A$3:$A$24,0),1)*INDEX(Työkonekanta!$H$3:$H$27,MATCH($A289,Työkonekanta!$A$3:$A$24,0),1)*(1+s1_kerroin*($C289-2019))*$B289,0)</f>
        <v>0</v>
      </c>
      <c r="F289" s="145">
        <f t="shared" si="76"/>
        <v>0</v>
      </c>
      <c r="G289" s="145">
        <f t="shared" si="82"/>
        <v>0</v>
      </c>
      <c r="H289" s="145">
        <f t="shared" si="83"/>
        <v>0</v>
      </c>
      <c r="I289" s="145">
        <f t="shared" si="77"/>
        <v>0</v>
      </c>
      <c r="J289" s="145">
        <f t="shared" si="78"/>
        <v>0</v>
      </c>
      <c r="K289" s="142" t="str">
        <f t="shared" si="84"/>
        <v>l</v>
      </c>
      <c r="L289" s="146">
        <f>IFERROR(INDEX(Työkonekanta!$I$3:$I$27,MATCH('S1 Sähkö'!$A289,Työkonekanta!$A$3:$A$24,0),1)*(I289+J289)*f_adblue,0)</f>
        <v>0</v>
      </c>
      <c r="M289" s="146">
        <f t="shared" si="89"/>
        <v>0</v>
      </c>
      <c r="N289" s="143" t="str">
        <f>IF(tuulisähkö_vuosi&lt;='S1 Sähkö'!C289,"tuulisähkö",ostosähkö_nyt)</f>
        <v>jäännössähkö</v>
      </c>
      <c r="O289" s="147">
        <f>INDEX(Muuttujat!$J$5:$J$21,MATCH($C289,Muuttujat!$H$5:$H$21,0),1)</f>
        <v>63.258531840332459</v>
      </c>
      <c r="P289" s="342">
        <f>1-(INDEX(Muuttujat!$O$5:$O$21,MATCH($C289,Muuttujat!$N$5:$N$21,0),1))</f>
        <v>0.9</v>
      </c>
      <c r="Q289" s="342">
        <f>INDEX(Muuttujat!$O$5:$O$21,MATCH($C289,Muuttujat!$N$5:$N$21,0),1)</f>
        <v>0.1</v>
      </c>
      <c r="R289" s="148">
        <f>INDEX(Muuttujat!$P$5:$P$21,MATCH($C289,Muuttujat!$N$5:$N$21,0),1)</f>
        <v>0.10417875759940039</v>
      </c>
      <c r="S289" s="149">
        <f t="shared" si="79"/>
        <v>0</v>
      </c>
      <c r="T289" s="150">
        <f t="shared" si="80"/>
        <v>0</v>
      </c>
      <c r="U289" s="150">
        <f t="shared" si="81"/>
        <v>0</v>
      </c>
      <c r="V289" s="150">
        <f>IFERROR(INDEX(Työkonekanta!$J$3:$J$27,MATCH($A289,Työkonekanta!$A$3:$A$24,0),1)*$B289*ef_li_ion_akku/1000/1000/INDEX(Työkonekanta!$K$3:$K$27,MATCH($A289,Työkonekanta!$A$3:$A$24,0)),0)</f>
        <v>0</v>
      </c>
      <c r="W289" s="149">
        <f t="shared" si="90"/>
        <v>0</v>
      </c>
      <c r="X289" s="150">
        <f t="shared" si="91"/>
        <v>0</v>
      </c>
      <c r="Y289" s="151">
        <f t="shared" si="92"/>
        <v>0</v>
      </c>
      <c r="Z289" s="152">
        <f t="shared" si="85"/>
        <v>0</v>
      </c>
      <c r="AA289" s="153">
        <f t="shared" si="86"/>
        <v>0</v>
      </c>
      <c r="AB289" s="153">
        <f t="shared" si="87"/>
        <v>0</v>
      </c>
      <c r="AC289" s="154">
        <f t="shared" si="93"/>
        <v>0</v>
      </c>
      <c r="AD289" s="156">
        <f t="shared" si="88"/>
        <v>0</v>
      </c>
      <c r="AE289" s="182"/>
      <c r="AG289" s="2"/>
    </row>
    <row r="290" spans="1:37">
      <c r="A290" s="139">
        <v>18</v>
      </c>
      <c r="B290" s="139" cm="1">
        <f t="array" ref="B290">IFERROR(IF(A290=s1_id_korvattava1,INDEX($AG$3:$AG$19,MATCH(C290,$AF$3:$AF$19,0),1),IF(A290=s1_id_korvaava1,INDEX($AH$3:$AH$19,MATCH(C290,$AF$3:$AF$19,0),1),IF(A290=s1_id_korvattava2,INDEX($AI$3:$AI$19,MATCH(C290,$AF$3:$AF$19,0),1),IF(A290=s1_id_korvaava2,INDEX($AJ$3:$AJ$19,MATCH(C290,$AF$3:$AF$19,0),1),INDEX(Työkonekanta!$F$3:$F$27,MATCH('S1 Sähkö'!$A290,Työkonekanta!$A$3:$A$24,0),1))))),0)</f>
        <v>0</v>
      </c>
      <c r="C290" s="140">
        <v>2028</v>
      </c>
      <c r="D290" s="141" t="str">
        <f>IFERROR(INDEX(Työkonekanta!$D$3:$D$27,MATCH('S1 Sähkö'!$A290,Työkonekanta!$A$3:$A$24,0),1),"undefined")</f>
        <v>pom</v>
      </c>
      <c r="E290" s="145">
        <f>IFERROR(INDEX(Työkonekanta!$G$3:$G$27,MATCH($A290,Työkonekanta!$A$3:$A$24,0),1)*INDEX(Työkonekanta!$H$3:$H$27,MATCH($A290,Työkonekanta!$A$3:$A$24,0),1)*(1+s1_kerroin*($C290-2019))*$B290,0)</f>
        <v>0</v>
      </c>
      <c r="F290" s="145">
        <f t="shared" si="76"/>
        <v>0</v>
      </c>
      <c r="G290" s="145">
        <f t="shared" si="82"/>
        <v>0</v>
      </c>
      <c r="H290" s="145">
        <f t="shared" si="83"/>
        <v>0</v>
      </c>
      <c r="I290" s="145">
        <f t="shared" si="77"/>
        <v>0</v>
      </c>
      <c r="J290" s="145">
        <f t="shared" si="78"/>
        <v>0</v>
      </c>
      <c r="K290" s="142" t="str">
        <f t="shared" si="84"/>
        <v>l</v>
      </c>
      <c r="L290" s="146">
        <f>IFERROR(INDEX(Työkonekanta!$I$3:$I$27,MATCH('S1 Sähkö'!$A290,Työkonekanta!$A$3:$A$24,0),1)*(I290+J290)*f_adblue,0)</f>
        <v>0</v>
      </c>
      <c r="M290" s="146">
        <f t="shared" si="89"/>
        <v>0</v>
      </c>
      <c r="N290" s="143" t="str">
        <f>IF(tuulisähkö_vuosi&lt;='S1 Sähkö'!C290,"tuulisähkö",ostosähkö_nyt)</f>
        <v>jäännössähkö</v>
      </c>
      <c r="O290" s="147">
        <f>INDEX(Muuttujat!$J$5:$J$21,MATCH($C290,Muuttujat!$H$5:$H$21,0),1)</f>
        <v>63.258531840332459</v>
      </c>
      <c r="P290" s="342">
        <f>1-(INDEX(Muuttujat!$O$5:$O$21,MATCH($C290,Muuttujat!$N$5:$N$21,0),1))</f>
        <v>0.9</v>
      </c>
      <c r="Q290" s="342">
        <f>INDEX(Muuttujat!$O$5:$O$21,MATCH($C290,Muuttujat!$N$5:$N$21,0),1)</f>
        <v>0.1</v>
      </c>
      <c r="R290" s="148">
        <f>INDEX(Muuttujat!$P$5:$P$21,MATCH($C290,Muuttujat!$N$5:$N$21,0),1)</f>
        <v>0.10417875759940039</v>
      </c>
      <c r="S290" s="149">
        <f t="shared" si="79"/>
        <v>0</v>
      </c>
      <c r="T290" s="150">
        <f t="shared" si="80"/>
        <v>0</v>
      </c>
      <c r="U290" s="150">
        <f t="shared" si="81"/>
        <v>0</v>
      </c>
      <c r="V290" s="150">
        <f>IFERROR(INDEX(Työkonekanta!$J$3:$J$27,MATCH($A290,Työkonekanta!$A$3:$A$24,0),1)*$B290*ef_li_ion_akku/1000/1000/INDEX(Työkonekanta!$K$3:$K$27,MATCH($A290,Työkonekanta!$A$3:$A$24,0)),0)</f>
        <v>0</v>
      </c>
      <c r="W290" s="149">
        <f t="shared" si="90"/>
        <v>0</v>
      </c>
      <c r="X290" s="150">
        <f t="shared" si="91"/>
        <v>0</v>
      </c>
      <c r="Y290" s="151">
        <f t="shared" si="92"/>
        <v>0</v>
      </c>
      <c r="Z290" s="152">
        <f t="shared" si="85"/>
        <v>0</v>
      </c>
      <c r="AA290" s="153">
        <f t="shared" si="86"/>
        <v>0</v>
      </c>
      <c r="AB290" s="153">
        <f t="shared" si="87"/>
        <v>0</v>
      </c>
      <c r="AC290" s="154">
        <f t="shared" si="93"/>
        <v>0</v>
      </c>
      <c r="AD290" s="156">
        <f t="shared" si="88"/>
        <v>0</v>
      </c>
      <c r="AE290" s="182"/>
      <c r="AG290" s="2"/>
    </row>
    <row r="291" spans="1:37">
      <c r="A291" s="139">
        <v>19</v>
      </c>
      <c r="B291" s="139" cm="1">
        <f t="array" ref="B291">IFERROR(IF(A291=s1_id_korvattava1,INDEX($AG$3:$AG$19,MATCH(C291,$AF$3:$AF$19,0),1),IF(A291=s1_id_korvaava1,INDEX($AH$3:$AH$19,MATCH(C291,$AF$3:$AF$19,0),1),IF(A291=s1_id_korvattava2,INDEX($AI$3:$AI$19,MATCH(C291,$AF$3:$AF$19,0),1),IF(A291=s1_id_korvaava2,INDEX($AJ$3:$AJ$19,MATCH(C291,$AF$3:$AF$19,0),1),INDEX(Työkonekanta!$F$3:$F$27,MATCH('S1 Sähkö'!$A291,Työkonekanta!$A$3:$A$24,0),1))))),0)</f>
        <v>0</v>
      </c>
      <c r="C291" s="140">
        <v>2028</v>
      </c>
      <c r="D291" s="141" t="str">
        <f>IFERROR(INDEX(Työkonekanta!$D$3:$D$27,MATCH('S1 Sähkö'!$A291,Työkonekanta!$A$3:$A$24,0),1),"undefined")</f>
        <v>pom</v>
      </c>
      <c r="E291" s="145">
        <f>IFERROR(INDEX(Työkonekanta!$G$3:$G$27,MATCH($A291,Työkonekanta!$A$3:$A$24,0),1)*INDEX(Työkonekanta!$H$3:$H$27,MATCH($A291,Työkonekanta!$A$3:$A$24,0),1)*(1+s1_kerroin*($C291-2019))*$B291,0)</f>
        <v>0</v>
      </c>
      <c r="F291" s="145">
        <f t="shared" si="76"/>
        <v>0</v>
      </c>
      <c r="G291" s="145">
        <f t="shared" si="82"/>
        <v>0</v>
      </c>
      <c r="H291" s="145">
        <f t="shared" si="83"/>
        <v>0</v>
      </c>
      <c r="I291" s="145">
        <f t="shared" si="77"/>
        <v>0</v>
      </c>
      <c r="J291" s="145">
        <f t="shared" si="78"/>
        <v>0</v>
      </c>
      <c r="K291" s="142" t="str">
        <f t="shared" si="84"/>
        <v>l</v>
      </c>
      <c r="L291" s="146">
        <f>IFERROR(INDEX(Työkonekanta!$I$3:$I$27,MATCH('S1 Sähkö'!$A291,Työkonekanta!$A$3:$A$24,0),1)*(I291+J291)*f_adblue,0)</f>
        <v>0</v>
      </c>
      <c r="M291" s="146">
        <f t="shared" si="89"/>
        <v>0</v>
      </c>
      <c r="N291" s="143" t="str">
        <f>IF(tuulisähkö_vuosi&lt;='S1 Sähkö'!C291,"tuulisähkö",ostosähkö_nyt)</f>
        <v>jäännössähkö</v>
      </c>
      <c r="O291" s="147">
        <f>INDEX(Muuttujat!$J$5:$J$21,MATCH($C291,Muuttujat!$H$5:$H$21,0),1)</f>
        <v>63.258531840332459</v>
      </c>
      <c r="P291" s="342">
        <f>1-(INDEX(Muuttujat!$O$5:$O$21,MATCH($C291,Muuttujat!$N$5:$N$21,0),1))</f>
        <v>0.9</v>
      </c>
      <c r="Q291" s="342">
        <f>INDEX(Muuttujat!$O$5:$O$21,MATCH($C291,Muuttujat!$N$5:$N$21,0),1)</f>
        <v>0.1</v>
      </c>
      <c r="R291" s="148">
        <f>INDEX(Muuttujat!$P$5:$P$21,MATCH($C291,Muuttujat!$N$5:$N$21,0),1)</f>
        <v>0.10417875759940039</v>
      </c>
      <c r="S291" s="149">
        <f t="shared" si="79"/>
        <v>0</v>
      </c>
      <c r="T291" s="150">
        <f t="shared" si="80"/>
        <v>0</v>
      </c>
      <c r="U291" s="150">
        <f t="shared" si="81"/>
        <v>0</v>
      </c>
      <c r="V291" s="150">
        <f>IFERROR(INDEX(Työkonekanta!$J$3:$J$27,MATCH($A291,Työkonekanta!$A$3:$A$24,0),1)*$B291*ef_li_ion_akku/1000/1000/INDEX(Työkonekanta!$K$3:$K$27,MATCH($A291,Työkonekanta!$A$3:$A$24,0)),0)</f>
        <v>0</v>
      </c>
      <c r="W291" s="149">
        <f t="shared" si="90"/>
        <v>0</v>
      </c>
      <c r="X291" s="150">
        <f t="shared" si="91"/>
        <v>0</v>
      </c>
      <c r="Y291" s="151">
        <f t="shared" si="92"/>
        <v>0</v>
      </c>
      <c r="Z291" s="152">
        <f t="shared" si="85"/>
        <v>0</v>
      </c>
      <c r="AA291" s="153">
        <f t="shared" si="86"/>
        <v>0</v>
      </c>
      <c r="AB291" s="153">
        <f t="shared" si="87"/>
        <v>0</v>
      </c>
      <c r="AC291" s="154">
        <f t="shared" si="93"/>
        <v>0</v>
      </c>
      <c r="AD291" s="156">
        <f t="shared" si="88"/>
        <v>0</v>
      </c>
      <c r="AE291" s="182"/>
      <c r="AG291" s="2"/>
    </row>
    <row r="292" spans="1:37">
      <c r="A292" s="139">
        <v>20</v>
      </c>
      <c r="B292" s="139" cm="1">
        <f t="array" ref="B292">IFERROR(IF(A292=s1_id_korvattava1,INDEX($AG$3:$AG$19,MATCH(C292,$AF$3:$AF$19,0),1),IF(A292=s1_id_korvaava1,INDEX($AH$3:$AH$19,MATCH(C292,$AF$3:$AF$19,0),1),IF(A292=s1_id_korvattava2,INDEX($AI$3:$AI$19,MATCH(C292,$AF$3:$AF$19,0),1),IF(A292=s1_id_korvaava2,INDEX($AJ$3:$AJ$19,MATCH(C292,$AF$3:$AF$19,0),1),INDEX(Työkonekanta!$F$3:$F$27,MATCH('S1 Sähkö'!$A292,Työkonekanta!$A$3:$A$24,0),1))))),0)</f>
        <v>0</v>
      </c>
      <c r="C292" s="140">
        <v>2028</v>
      </c>
      <c r="D292" s="141" t="str">
        <f>IFERROR(INDEX(Työkonekanta!$D$3:$D$27,MATCH('S1 Sähkö'!$A292,Työkonekanta!$A$3:$A$24,0),1),"undefined")</f>
        <v>pom</v>
      </c>
      <c r="E292" s="145">
        <f>IFERROR(INDEX(Työkonekanta!$G$3:$G$27,MATCH($A292,Työkonekanta!$A$3:$A$24,0),1)*INDEX(Työkonekanta!$H$3:$H$27,MATCH($A292,Työkonekanta!$A$3:$A$24,0),1)*(1+s1_kerroin*($C292-2019))*$B292,0)</f>
        <v>0</v>
      </c>
      <c r="F292" s="145">
        <f t="shared" si="76"/>
        <v>0</v>
      </c>
      <c r="G292" s="145">
        <f t="shared" si="82"/>
        <v>0</v>
      </c>
      <c r="H292" s="145">
        <f t="shared" si="83"/>
        <v>0</v>
      </c>
      <c r="I292" s="145">
        <f t="shared" si="77"/>
        <v>0</v>
      </c>
      <c r="J292" s="145">
        <f t="shared" si="78"/>
        <v>0</v>
      </c>
      <c r="K292" s="142" t="str">
        <f t="shared" si="84"/>
        <v>l</v>
      </c>
      <c r="L292" s="146">
        <f>IFERROR(INDEX(Työkonekanta!$I$3:$I$27,MATCH('S1 Sähkö'!$A292,Työkonekanta!$A$3:$A$24,0),1)*(I292+J292)*f_adblue,0)</f>
        <v>0</v>
      </c>
      <c r="M292" s="146">
        <f t="shared" si="89"/>
        <v>0</v>
      </c>
      <c r="N292" s="143" t="str">
        <f>IF(tuulisähkö_vuosi&lt;='S1 Sähkö'!C292,"tuulisähkö",ostosähkö_nyt)</f>
        <v>jäännössähkö</v>
      </c>
      <c r="O292" s="147">
        <f>INDEX(Muuttujat!$J$5:$J$21,MATCH($C292,Muuttujat!$H$5:$H$21,0),1)</f>
        <v>63.258531840332459</v>
      </c>
      <c r="P292" s="342">
        <f>1-(INDEX(Muuttujat!$O$5:$O$21,MATCH($C292,Muuttujat!$N$5:$N$21,0),1))</f>
        <v>0.9</v>
      </c>
      <c r="Q292" s="342">
        <f>INDEX(Muuttujat!$O$5:$O$21,MATCH($C292,Muuttujat!$N$5:$N$21,0),1)</f>
        <v>0.1</v>
      </c>
      <c r="R292" s="148">
        <f>INDEX(Muuttujat!$P$5:$P$21,MATCH($C292,Muuttujat!$N$5:$N$21,0),1)</f>
        <v>0.10417875759940039</v>
      </c>
      <c r="S292" s="149">
        <f t="shared" si="79"/>
        <v>0</v>
      </c>
      <c r="T292" s="150">
        <f t="shared" si="80"/>
        <v>0</v>
      </c>
      <c r="U292" s="150">
        <f t="shared" si="81"/>
        <v>0</v>
      </c>
      <c r="V292" s="150">
        <f>IFERROR(INDEX(Työkonekanta!$J$3:$J$27,MATCH($A292,Työkonekanta!$A$3:$A$24,0),1)*$B292*ef_li_ion_akku/1000/1000/INDEX(Työkonekanta!$K$3:$K$27,MATCH($A292,Työkonekanta!$A$3:$A$24,0)),0)</f>
        <v>0</v>
      </c>
      <c r="W292" s="149">
        <f t="shared" si="90"/>
        <v>0</v>
      </c>
      <c r="X292" s="150">
        <f t="shared" si="91"/>
        <v>0</v>
      </c>
      <c r="Y292" s="151">
        <f t="shared" si="92"/>
        <v>0</v>
      </c>
      <c r="Z292" s="152">
        <f t="shared" si="85"/>
        <v>0</v>
      </c>
      <c r="AA292" s="153">
        <f t="shared" si="86"/>
        <v>0</v>
      </c>
      <c r="AB292" s="153">
        <f t="shared" si="87"/>
        <v>0</v>
      </c>
      <c r="AC292" s="154">
        <f t="shared" si="93"/>
        <v>0</v>
      </c>
      <c r="AD292" s="156">
        <f t="shared" si="88"/>
        <v>0</v>
      </c>
      <c r="AE292" s="182"/>
      <c r="AG292" s="2"/>
    </row>
    <row r="293" spans="1:37">
      <c r="A293" s="139">
        <v>21</v>
      </c>
      <c r="B293" s="139" cm="1">
        <f t="array" ref="B293">IFERROR(IF(A293=s1_id_korvattava1,INDEX($AG$3:$AG$19,MATCH(C293,$AF$3:$AF$19,0),1),IF(A293=s1_id_korvaava1,INDEX($AH$3:$AH$19,MATCH(C293,$AF$3:$AF$19,0),1),IF(A293=s1_id_korvattava2,INDEX($AI$3:$AI$19,MATCH(C293,$AF$3:$AF$19,0),1),IF(A293=s1_id_korvaava2,INDEX($AJ$3:$AJ$19,MATCH(C293,$AF$3:$AF$19,0),1),INDEX(Työkonekanta!$F$3:$F$27,MATCH('S1 Sähkö'!$A293,Työkonekanta!$A$3:$A$24,0),1))))),0)</f>
        <v>36</v>
      </c>
      <c r="C293" s="140">
        <v>2028</v>
      </c>
      <c r="D293" s="141" t="str">
        <f>IFERROR(INDEX(Työkonekanta!$D$3:$D$27,MATCH('S1 Sähkö'!$A293,Työkonekanta!$A$3:$A$24,0),1),"undefined")</f>
        <v>sähkö</v>
      </c>
      <c r="E293" s="145">
        <f>IFERROR(INDEX(Työkonekanta!$G$3:$G$27,MATCH($A293,Työkonekanta!$A$3:$A$24,0),1)*INDEX(Työkonekanta!$H$3:$H$27,MATCH($A293,Työkonekanta!$A$3:$A$24,0),1)*(1+s1_kerroin*($C293-2019))*$B293,0)</f>
        <v>456528.33333333337</v>
      </c>
      <c r="F293" s="145">
        <f t="shared" si="76"/>
        <v>0</v>
      </c>
      <c r="G293" s="145">
        <f t="shared" si="82"/>
        <v>0</v>
      </c>
      <c r="H293" s="145">
        <f t="shared" si="83"/>
        <v>0</v>
      </c>
      <c r="I293" s="145">
        <f t="shared" si="77"/>
        <v>0</v>
      </c>
      <c r="J293" s="145">
        <f t="shared" si="78"/>
        <v>0</v>
      </c>
      <c r="K293" s="142" t="str">
        <f t="shared" si="84"/>
        <v>kWh</v>
      </c>
      <c r="L293" s="146">
        <f>IFERROR(INDEX(Työkonekanta!$I$3:$I$27,MATCH('S1 Sähkö'!$A293,Työkonekanta!$A$3:$A$24,0),1)*(I293+J293)*f_adblue,0)</f>
        <v>0</v>
      </c>
      <c r="M293" s="146">
        <f t="shared" si="89"/>
        <v>1643502.0000000002</v>
      </c>
      <c r="N293" s="143" t="str">
        <f>IF(tuulisähkö_vuosi&lt;='S1 Sähkö'!C293,"tuulisähkö",ostosähkö_nyt)</f>
        <v>jäännössähkö</v>
      </c>
      <c r="O293" s="147">
        <f>INDEX(Muuttujat!$J$5:$J$21,MATCH($C293,Muuttujat!$H$5:$H$21,0),1)</f>
        <v>63.258531840332459</v>
      </c>
      <c r="P293" s="342">
        <f>1-(INDEX(Muuttujat!$O$5:$O$21,MATCH($C293,Muuttujat!$N$5:$N$21,0),1))</f>
        <v>0.9</v>
      </c>
      <c r="Q293" s="342">
        <f>INDEX(Muuttujat!$O$5:$O$21,MATCH($C293,Muuttujat!$N$5:$N$21,0),1)</f>
        <v>0.1</v>
      </c>
      <c r="R293" s="148">
        <f>INDEX(Muuttujat!$P$5:$P$21,MATCH($C293,Muuttujat!$N$5:$N$21,0),1)</f>
        <v>0.10417875759940039</v>
      </c>
      <c r="S293" s="149">
        <f t="shared" si="79"/>
        <v>0</v>
      </c>
      <c r="T293" s="150">
        <f t="shared" si="80"/>
        <v>0</v>
      </c>
      <c r="U293" s="150">
        <f t="shared" si="81"/>
        <v>103.96552359665009</v>
      </c>
      <c r="V293" s="150">
        <f>IFERROR(INDEX(Työkonekanta!$J$3:$J$27,MATCH($A293,Työkonekanta!$A$3:$A$24,0),1)*$B293*ef_li_ion_akku/1000/1000/INDEX(Työkonekanta!$K$3:$K$27,MATCH($A293,Työkonekanta!$A$3:$A$24,0)),0)</f>
        <v>44.353772307692303</v>
      </c>
      <c r="W293" s="149">
        <f t="shared" si="90"/>
        <v>0</v>
      </c>
      <c r="X293" s="150">
        <f t="shared" si="91"/>
        <v>0</v>
      </c>
      <c r="Y293" s="151">
        <f t="shared" si="92"/>
        <v>0</v>
      </c>
      <c r="Z293" s="152">
        <f t="shared" si="85"/>
        <v>148.3192959043424</v>
      </c>
      <c r="AA293" s="153">
        <f t="shared" si="86"/>
        <v>0</v>
      </c>
      <c r="AB293" s="153">
        <f t="shared" si="87"/>
        <v>0</v>
      </c>
      <c r="AC293" s="154">
        <f t="shared" si="93"/>
        <v>148.3192959043424</v>
      </c>
      <c r="AD293" s="156">
        <f t="shared" si="88"/>
        <v>148.3192959043424</v>
      </c>
      <c r="AE293" s="182"/>
      <c r="AG293" s="2"/>
    </row>
    <row r="294" spans="1:37">
      <c r="A294" s="139">
        <v>22</v>
      </c>
      <c r="B294" s="139" cm="1">
        <f t="array" ref="B294">IFERROR(IF(A294=s1_id_korvattava1,INDEX($AG$3:$AG$19,MATCH(C294,$AF$3:$AF$19,0),1),IF(A294=s1_id_korvaava1,INDEX($AH$3:$AH$19,MATCH(C294,$AF$3:$AF$19,0),1),IF(A294=s1_id_korvattava2,INDEX($AI$3:$AI$19,MATCH(C294,$AF$3:$AF$19,0),1),IF(A294=s1_id_korvaava2,INDEX($AJ$3:$AJ$19,MATCH(C294,$AF$3:$AF$19,0),1),INDEX(Työkonekanta!$F$3:$F$27,MATCH('S1 Sähkö'!$A294,Työkonekanta!$A$3:$A$24,0),1))))),0)</f>
        <v>1</v>
      </c>
      <c r="C294" s="140">
        <v>2028</v>
      </c>
      <c r="D294" s="141" t="str">
        <f>IFERROR(INDEX(Työkonekanta!$D$3:$D$27,MATCH('S1 Sähkö'!$A294,Työkonekanta!$A$3:$A$24,0),1),"undefined")</f>
        <v>sähkö</v>
      </c>
      <c r="E294" s="145">
        <f>IFERROR(INDEX(Työkonekanta!$G$3:$G$27,MATCH($A294,Työkonekanta!$A$3:$A$24,0),1)*INDEX(Työkonekanta!$H$3:$H$27,MATCH($A294,Työkonekanta!$A$3:$A$24,0),1)*(1+s1_kerroin*($C294-2019))*$B294,0)</f>
        <v>48551.425925925927</v>
      </c>
      <c r="F294" s="145">
        <f t="shared" si="76"/>
        <v>0</v>
      </c>
      <c r="G294" s="145">
        <f t="shared" si="82"/>
        <v>0</v>
      </c>
      <c r="H294" s="145">
        <f t="shared" si="83"/>
        <v>0</v>
      </c>
      <c r="I294" s="145">
        <f t="shared" si="77"/>
        <v>0</v>
      </c>
      <c r="J294" s="145">
        <f t="shared" si="78"/>
        <v>0</v>
      </c>
      <c r="K294" s="142" t="str">
        <f t="shared" si="84"/>
        <v>kWh</v>
      </c>
      <c r="L294" s="146">
        <f>IFERROR(INDEX(Työkonekanta!$I$3:$I$27,MATCH('S1 Sähkö'!$A294,Työkonekanta!$A$3:$A$24,0),1)*(I294+J294)*f_adblue,0)</f>
        <v>0</v>
      </c>
      <c r="M294" s="146">
        <f t="shared" si="89"/>
        <v>174785.13333333333</v>
      </c>
      <c r="N294" s="143" t="str">
        <f>IF(tuulisähkö_vuosi&lt;='S1 Sähkö'!C294,"tuulisähkö",ostosähkö_nyt)</f>
        <v>jäännössähkö</v>
      </c>
      <c r="O294" s="147">
        <f>INDEX(Muuttujat!$J$5:$J$21,MATCH($C294,Muuttujat!$H$5:$H$21,0),1)</f>
        <v>63.258531840332459</v>
      </c>
      <c r="P294" s="342">
        <f>1-(INDEX(Muuttujat!$O$5:$O$21,MATCH($C294,Muuttujat!$N$5:$N$21,0),1))</f>
        <v>0.9</v>
      </c>
      <c r="Q294" s="342">
        <f>INDEX(Muuttujat!$O$5:$O$21,MATCH($C294,Muuttujat!$N$5:$N$21,0),1)</f>
        <v>0.1</v>
      </c>
      <c r="R294" s="148">
        <f>INDEX(Muuttujat!$P$5:$P$21,MATCH($C294,Muuttujat!$N$5:$N$21,0),1)</f>
        <v>0.10417875759940039</v>
      </c>
      <c r="S294" s="149">
        <f t="shared" si="79"/>
        <v>0</v>
      </c>
      <c r="T294" s="150">
        <f t="shared" si="80"/>
        <v>0</v>
      </c>
      <c r="U294" s="150">
        <f t="shared" si="81"/>
        <v>11.056650922183421</v>
      </c>
      <c r="V294" s="150">
        <f>IFERROR(INDEX(Työkonekanta!$J$3:$J$27,MATCH($A294,Työkonekanta!$A$3:$A$24,0),1)*$B294*ef_li_ion_akku/1000/1000/INDEX(Työkonekanta!$K$3:$K$27,MATCH($A294,Työkonekanta!$A$3:$A$24,0)),0)</f>
        <v>5.2676455384615384</v>
      </c>
      <c r="W294" s="149">
        <f t="shared" si="90"/>
        <v>0</v>
      </c>
      <c r="X294" s="150">
        <f t="shared" si="91"/>
        <v>0</v>
      </c>
      <c r="Y294" s="151">
        <f t="shared" si="92"/>
        <v>0</v>
      </c>
      <c r="Z294" s="152">
        <f t="shared" si="85"/>
        <v>16.324296460644959</v>
      </c>
      <c r="AA294" s="153">
        <f t="shared" si="86"/>
        <v>0</v>
      </c>
      <c r="AB294" s="153">
        <f t="shared" si="87"/>
        <v>0</v>
      </c>
      <c r="AC294" s="154">
        <f t="shared" si="93"/>
        <v>16.324296460644959</v>
      </c>
      <c r="AD294" s="156">
        <f t="shared" si="88"/>
        <v>16.324296460644959</v>
      </c>
      <c r="AE294" s="182"/>
      <c r="AG294" s="2"/>
    </row>
    <row r="295" spans="1:37">
      <c r="A295" s="139">
        <v>23</v>
      </c>
      <c r="B295" s="139" cm="1">
        <f t="array" ref="B295">IFERROR(IF(A295=s1_id_korvattava1,INDEX($AG$3:$AG$19,MATCH(C295,$AF$3:$AF$19,0),1),IF(A295=s1_id_korvaava1,INDEX($AH$3:$AH$19,MATCH(C295,$AF$3:$AF$19,0),1),IF(A295=s1_id_korvattava2,INDEX($AI$3:$AI$19,MATCH(C295,$AF$3:$AF$19,0),1),IF(A295=s1_id_korvaava2,INDEX($AJ$3:$AJ$19,MATCH(C295,$AF$3:$AF$19,0),1),INDEX(Työkonekanta!$F$3:$F$27,MATCH('S1 Sähkö'!$A295,Työkonekanta!$A$3:$A$24,0),1))))),0)</f>
        <v>0</v>
      </c>
      <c r="C295" s="140">
        <v>2028</v>
      </c>
      <c r="D295" s="141" t="str">
        <f>IFERROR(INDEX(Työkonekanta!$D$3:$D$27,MATCH('S1 Sähkö'!$A295,Työkonekanta!$A$3:$A$24,0),1),"undefined")</f>
        <v>undefined</v>
      </c>
      <c r="E295" s="145">
        <f>IFERROR(INDEX(Työkonekanta!$G$3:$G$27,MATCH($A295,Työkonekanta!$A$3:$A$24,0),1)*INDEX(Työkonekanta!$H$3:$H$27,MATCH($A295,Työkonekanta!$A$3:$A$24,0),1)*(1+s1_kerroin*($C295-2019))*$B295,0)</f>
        <v>0</v>
      </c>
      <c r="F295" s="145">
        <f t="shared" si="76"/>
        <v>0</v>
      </c>
      <c r="G295" s="145">
        <f t="shared" si="82"/>
        <v>0</v>
      </c>
      <c r="H295" s="145">
        <f t="shared" si="83"/>
        <v>0</v>
      </c>
      <c r="I295" s="145">
        <f t="shared" si="77"/>
        <v>0</v>
      </c>
      <c r="J295" s="145">
        <f t="shared" si="78"/>
        <v>0</v>
      </c>
      <c r="K295" s="142" t="str">
        <f t="shared" si="84"/>
        <v>undefined</v>
      </c>
      <c r="L295" s="146">
        <f>IFERROR(INDEX(Työkonekanta!$I$3:$I$27,MATCH('S1 Sähkö'!$A295,Työkonekanta!$A$3:$A$24,0),1)*(I295+J295)*f_adblue,0)</f>
        <v>0</v>
      </c>
      <c r="M295" s="146">
        <f t="shared" si="89"/>
        <v>0</v>
      </c>
      <c r="N295" s="143" t="str">
        <f>IF(tuulisähkö_vuosi&lt;='S1 Sähkö'!C295,"tuulisähkö",ostosähkö_nyt)</f>
        <v>jäännössähkö</v>
      </c>
      <c r="O295" s="147">
        <f>INDEX(Muuttujat!$J$5:$J$21,MATCH($C295,Muuttujat!$H$5:$H$21,0),1)</f>
        <v>63.258531840332459</v>
      </c>
      <c r="P295" s="342">
        <f>1-(INDEX(Muuttujat!$O$5:$O$21,MATCH($C295,Muuttujat!$N$5:$N$21,0),1))</f>
        <v>0.9</v>
      </c>
      <c r="Q295" s="342">
        <f>INDEX(Muuttujat!$O$5:$O$21,MATCH($C295,Muuttujat!$N$5:$N$21,0),1)</f>
        <v>0.1</v>
      </c>
      <c r="R295" s="148">
        <f>INDEX(Muuttujat!$P$5:$P$21,MATCH($C295,Muuttujat!$N$5:$N$21,0),1)</f>
        <v>0.10417875759940039</v>
      </c>
      <c r="S295" s="149">
        <f t="shared" si="79"/>
        <v>0</v>
      </c>
      <c r="T295" s="150">
        <f t="shared" si="80"/>
        <v>0</v>
      </c>
      <c r="U295" s="150">
        <f t="shared" si="81"/>
        <v>0</v>
      </c>
      <c r="V295" s="150">
        <f>IFERROR(INDEX(Työkonekanta!$J$3:$J$27,MATCH($A295,Työkonekanta!$A$3:$A$24,0),1)*$B295*ef_li_ion_akku/1000/1000/INDEX(Työkonekanta!$K$3:$K$27,MATCH($A295,Työkonekanta!$A$3:$A$24,0)),0)</f>
        <v>0</v>
      </c>
      <c r="W295" s="149">
        <f t="shared" si="90"/>
        <v>0</v>
      </c>
      <c r="X295" s="150">
        <f t="shared" si="91"/>
        <v>0</v>
      </c>
      <c r="Y295" s="151">
        <f t="shared" si="92"/>
        <v>0</v>
      </c>
      <c r="Z295" s="152">
        <f t="shared" si="85"/>
        <v>0</v>
      </c>
      <c r="AA295" s="153">
        <f t="shared" si="86"/>
        <v>0</v>
      </c>
      <c r="AB295" s="153">
        <f t="shared" si="87"/>
        <v>0</v>
      </c>
      <c r="AC295" s="154">
        <f t="shared" si="93"/>
        <v>0</v>
      </c>
      <c r="AD295" s="156">
        <f t="shared" si="88"/>
        <v>0</v>
      </c>
      <c r="AE295" s="182"/>
      <c r="AJ295" s="28"/>
      <c r="AK295" s="29"/>
    </row>
    <row r="296" spans="1:37">
      <c r="A296" s="139">
        <v>24</v>
      </c>
      <c r="B296" s="139" cm="1">
        <f t="array" ref="B296">IFERROR(IF(A296=s1_id_korvattava1,INDEX($AG$3:$AG$19,MATCH(C296,$AF$3:$AF$19,0),1),IF(A296=s1_id_korvaava1,INDEX($AH$3:$AH$19,MATCH(C296,$AF$3:$AF$19,0),1),IF(A296=s1_id_korvattava2,INDEX($AI$3:$AI$19,MATCH(C296,$AF$3:$AF$19,0),1),IF(A296=s1_id_korvaava2,INDEX($AJ$3:$AJ$19,MATCH(C296,$AF$3:$AF$19,0),1),INDEX(Työkonekanta!$F$3:$F$27,MATCH('S1 Sähkö'!$A296,Työkonekanta!$A$3:$A$24,0),1))))),0)</f>
        <v>0</v>
      </c>
      <c r="C296" s="140">
        <v>2028</v>
      </c>
      <c r="D296" s="141" t="str">
        <f>IFERROR(INDEX(Työkonekanta!$D$3:$D$27,MATCH('S1 Sähkö'!$A296,Työkonekanta!$A$3:$A$24,0),1),"undefined")</f>
        <v>undefined</v>
      </c>
      <c r="E296" s="145">
        <f>IFERROR(INDEX(Työkonekanta!$G$3:$G$27,MATCH($A296,Työkonekanta!$A$3:$A$24,0),1)*INDEX(Työkonekanta!$H$3:$H$27,MATCH($A296,Työkonekanta!$A$3:$A$24,0),1)*(1+s1_kerroin*($C296-2019))*$B296,0)</f>
        <v>0</v>
      </c>
      <c r="F296" s="145">
        <f t="shared" si="76"/>
        <v>0</v>
      </c>
      <c r="G296" s="145">
        <f t="shared" si="82"/>
        <v>0</v>
      </c>
      <c r="H296" s="145">
        <f t="shared" si="83"/>
        <v>0</v>
      </c>
      <c r="I296" s="145">
        <f t="shared" si="77"/>
        <v>0</v>
      </c>
      <c r="J296" s="145">
        <f t="shared" si="78"/>
        <v>0</v>
      </c>
      <c r="K296" s="142" t="str">
        <f t="shared" si="84"/>
        <v>undefined</v>
      </c>
      <c r="L296" s="146">
        <f>IFERROR(INDEX(Työkonekanta!$I$3:$I$27,MATCH('S1 Sähkö'!$A296,Työkonekanta!$A$3:$A$24,0),1)*(I296+J296)*f_adblue,0)</f>
        <v>0</v>
      </c>
      <c r="M296" s="146">
        <f t="shared" si="89"/>
        <v>0</v>
      </c>
      <c r="N296" s="143" t="str">
        <f>IF(tuulisähkö_vuosi&lt;='S1 Sähkö'!C296,"tuulisähkö",ostosähkö_nyt)</f>
        <v>jäännössähkö</v>
      </c>
      <c r="O296" s="147">
        <f>INDEX(Muuttujat!$J$5:$J$21,MATCH($C296,Muuttujat!$H$5:$H$21,0),1)</f>
        <v>63.258531840332459</v>
      </c>
      <c r="P296" s="342">
        <f>1-(INDEX(Muuttujat!$O$5:$O$21,MATCH($C296,Muuttujat!$N$5:$N$21,0),1))</f>
        <v>0.9</v>
      </c>
      <c r="Q296" s="342">
        <f>INDEX(Muuttujat!$O$5:$O$21,MATCH($C296,Muuttujat!$N$5:$N$21,0),1)</f>
        <v>0.1</v>
      </c>
      <c r="R296" s="148">
        <f>INDEX(Muuttujat!$P$5:$P$21,MATCH($C296,Muuttujat!$N$5:$N$21,0),1)</f>
        <v>0.10417875759940039</v>
      </c>
      <c r="S296" s="149">
        <f t="shared" si="79"/>
        <v>0</v>
      </c>
      <c r="T296" s="150">
        <f t="shared" si="80"/>
        <v>0</v>
      </c>
      <c r="U296" s="150">
        <f t="shared" si="81"/>
        <v>0</v>
      </c>
      <c r="V296" s="150">
        <f>IFERROR(INDEX(Työkonekanta!$J$3:$J$27,MATCH($A296,Työkonekanta!$A$3:$A$24,0),1)*$B296*ef_li_ion_akku/1000/1000/INDEX(Työkonekanta!$K$3:$K$27,MATCH($A296,Työkonekanta!$A$3:$A$24,0)),0)</f>
        <v>0</v>
      </c>
      <c r="W296" s="149">
        <f t="shared" si="90"/>
        <v>0</v>
      </c>
      <c r="X296" s="150">
        <f t="shared" si="91"/>
        <v>0</v>
      </c>
      <c r="Y296" s="151">
        <f t="shared" si="92"/>
        <v>0</v>
      </c>
      <c r="Z296" s="152">
        <f t="shared" si="85"/>
        <v>0</v>
      </c>
      <c r="AA296" s="153">
        <f t="shared" si="86"/>
        <v>0</v>
      </c>
      <c r="AB296" s="153">
        <f t="shared" si="87"/>
        <v>0</v>
      </c>
      <c r="AC296" s="154">
        <f t="shared" si="93"/>
        <v>0</v>
      </c>
      <c r="AD296" s="156">
        <f t="shared" si="88"/>
        <v>0</v>
      </c>
      <c r="AE296" s="182"/>
      <c r="AJ296" s="28"/>
      <c r="AK296" s="29"/>
    </row>
    <row r="297" spans="1:37">
      <c r="A297" s="139">
        <v>25</v>
      </c>
      <c r="B297" s="139" cm="1">
        <f t="array" ref="B297">IFERROR(IF(A297=s1_id_korvattava1,INDEX($AG$3:$AG$19,MATCH(C297,$AF$3:$AF$19,0),1),IF(A297=s1_id_korvaava1,INDEX($AH$3:$AH$19,MATCH(C297,$AF$3:$AF$19,0),1),IF(A297=s1_id_korvattava2,INDEX($AI$3:$AI$19,MATCH(C297,$AF$3:$AF$19,0),1),IF(A297=s1_id_korvaava2,INDEX($AJ$3:$AJ$19,MATCH(C297,$AF$3:$AF$19,0),1),INDEX(Työkonekanta!$F$3:$F$27,MATCH('S1 Sähkö'!$A297,Työkonekanta!$A$3:$A$24,0),1))))),0)</f>
        <v>0</v>
      </c>
      <c r="C297" s="140">
        <v>2028</v>
      </c>
      <c r="D297" s="141" t="str">
        <f>IFERROR(INDEX(Työkonekanta!$D$3:$D$27,MATCH('S1 Sähkö'!$A297,Työkonekanta!$A$3:$A$24,0),1),"undefined")</f>
        <v>undefined</v>
      </c>
      <c r="E297" s="145">
        <f>IFERROR(INDEX(Työkonekanta!$G$3:$G$27,MATCH($A297,Työkonekanta!$A$3:$A$24,0),1)*INDEX(Työkonekanta!$H$3:$H$27,MATCH($A297,Työkonekanta!$A$3:$A$24,0),1)*(1+s1_kerroin*($C297-2019))*$B297,0)</f>
        <v>0</v>
      </c>
      <c r="F297" s="145">
        <f t="shared" si="76"/>
        <v>0</v>
      </c>
      <c r="G297" s="145">
        <f t="shared" si="82"/>
        <v>0</v>
      </c>
      <c r="H297" s="145">
        <f t="shared" si="83"/>
        <v>0</v>
      </c>
      <c r="I297" s="145">
        <f t="shared" si="77"/>
        <v>0</v>
      </c>
      <c r="J297" s="145">
        <f t="shared" si="78"/>
        <v>0</v>
      </c>
      <c r="K297" s="142" t="str">
        <f t="shared" si="84"/>
        <v>undefined</v>
      </c>
      <c r="L297" s="146">
        <f>IFERROR(INDEX(Työkonekanta!$I$3:$I$27,MATCH('S1 Sähkö'!$A297,Työkonekanta!$A$3:$A$24,0),1)*(I297+J297)*f_adblue,0)</f>
        <v>0</v>
      </c>
      <c r="M297" s="146">
        <f t="shared" si="89"/>
        <v>0</v>
      </c>
      <c r="N297" s="143" t="str">
        <f>IF(tuulisähkö_vuosi&lt;='S1 Sähkö'!C297,"tuulisähkö",ostosähkö_nyt)</f>
        <v>jäännössähkö</v>
      </c>
      <c r="O297" s="147">
        <f>INDEX(Muuttujat!$J$5:$J$21,MATCH($C297,Muuttujat!$H$5:$H$21,0),1)</f>
        <v>63.258531840332459</v>
      </c>
      <c r="P297" s="342">
        <f>1-(INDEX(Muuttujat!$O$5:$O$21,MATCH($C297,Muuttujat!$N$5:$N$21,0),1))</f>
        <v>0.9</v>
      </c>
      <c r="Q297" s="342">
        <f>INDEX(Muuttujat!$O$5:$O$21,MATCH($C297,Muuttujat!$N$5:$N$21,0),1)</f>
        <v>0.1</v>
      </c>
      <c r="R297" s="148">
        <f>INDEX(Muuttujat!$P$5:$P$21,MATCH($C297,Muuttujat!$N$5:$N$21,0),1)</f>
        <v>0.10417875759940039</v>
      </c>
      <c r="S297" s="149">
        <f t="shared" si="79"/>
        <v>0</v>
      </c>
      <c r="T297" s="150">
        <f t="shared" si="80"/>
        <v>0</v>
      </c>
      <c r="U297" s="150">
        <f t="shared" si="81"/>
        <v>0</v>
      </c>
      <c r="V297" s="150">
        <f>IFERROR(INDEX(Työkonekanta!$J$3:$J$27,MATCH($A297,Työkonekanta!$A$3:$A$24,0),1)*$B297*ef_li_ion_akku/1000/1000/INDEX(Työkonekanta!$K$3:$K$27,MATCH($A297,Työkonekanta!$A$3:$A$24,0)),0)</f>
        <v>0</v>
      </c>
      <c r="W297" s="149">
        <f t="shared" si="90"/>
        <v>0</v>
      </c>
      <c r="X297" s="150">
        <f t="shared" si="91"/>
        <v>0</v>
      </c>
      <c r="Y297" s="151">
        <f t="shared" si="92"/>
        <v>0</v>
      </c>
      <c r="Z297" s="152">
        <f t="shared" si="85"/>
        <v>0</v>
      </c>
      <c r="AA297" s="153">
        <f t="shared" si="86"/>
        <v>0</v>
      </c>
      <c r="AB297" s="153">
        <f t="shared" si="87"/>
        <v>0</v>
      </c>
      <c r="AC297" s="154">
        <f t="shared" si="93"/>
        <v>0</v>
      </c>
      <c r="AD297" s="156">
        <f t="shared" si="88"/>
        <v>0</v>
      </c>
      <c r="AE297" s="182"/>
      <c r="AJ297" s="28"/>
      <c r="AK297" s="29"/>
    </row>
    <row r="298" spans="1:37">
      <c r="A298" s="139">
        <v>26</v>
      </c>
      <c r="B298" s="139" cm="1">
        <f t="array" ref="B298">IFERROR(IF(A298=s1_id_korvattava1,INDEX($AG$3:$AG$19,MATCH(C298,$AF$3:$AF$19,0),1),IF(A298=s1_id_korvaava1,INDEX($AH$3:$AH$19,MATCH(C298,$AF$3:$AF$19,0),1),IF(A298=s1_id_korvattava2,INDEX($AI$3:$AI$19,MATCH(C298,$AF$3:$AF$19,0),1),IF(A298=s1_id_korvaava2,INDEX($AJ$3:$AJ$19,MATCH(C298,$AF$3:$AF$19,0),1),INDEX(Työkonekanta!$F$3:$F$27,MATCH('S1 Sähkö'!$A298,Työkonekanta!$A$3:$A$24,0),1))))),0)</f>
        <v>0</v>
      </c>
      <c r="C298" s="140">
        <v>2028</v>
      </c>
      <c r="D298" s="141" t="str">
        <f>IFERROR(INDEX(Työkonekanta!$D$3:$D$27,MATCH('S1 Sähkö'!$A298,Työkonekanta!$A$3:$A$24,0),1),"undefined")</f>
        <v>undefined</v>
      </c>
      <c r="E298" s="145">
        <f>IFERROR(INDEX(Työkonekanta!$G$3:$G$27,MATCH($A298,Työkonekanta!$A$3:$A$24,0),1)*INDEX(Työkonekanta!$H$3:$H$27,MATCH($A298,Työkonekanta!$A$3:$A$24,0),1)*(1+s1_kerroin*($C298-2019))*$B298,0)</f>
        <v>0</v>
      </c>
      <c r="F298" s="145">
        <f t="shared" si="76"/>
        <v>0</v>
      </c>
      <c r="G298" s="145">
        <f t="shared" si="82"/>
        <v>0</v>
      </c>
      <c r="H298" s="145">
        <f t="shared" si="83"/>
        <v>0</v>
      </c>
      <c r="I298" s="145">
        <f t="shared" si="77"/>
        <v>0</v>
      </c>
      <c r="J298" s="145">
        <f t="shared" si="78"/>
        <v>0</v>
      </c>
      <c r="K298" s="142" t="str">
        <f t="shared" si="84"/>
        <v>undefined</v>
      </c>
      <c r="L298" s="146">
        <f>IFERROR(INDEX(Työkonekanta!$I$3:$I$27,MATCH('S1 Sähkö'!$A298,Työkonekanta!$A$3:$A$24,0),1)*(I298+J298)*f_adblue,0)</f>
        <v>0</v>
      </c>
      <c r="M298" s="146">
        <f t="shared" si="89"/>
        <v>0</v>
      </c>
      <c r="N298" s="143" t="str">
        <f>IF(tuulisähkö_vuosi&lt;='S1 Sähkö'!C298,"tuulisähkö",ostosähkö_nyt)</f>
        <v>jäännössähkö</v>
      </c>
      <c r="O298" s="147">
        <f>INDEX(Muuttujat!$J$5:$J$21,MATCH($C298,Muuttujat!$H$5:$H$21,0),1)</f>
        <v>63.258531840332459</v>
      </c>
      <c r="P298" s="342">
        <f>1-(INDEX(Muuttujat!$O$5:$O$21,MATCH($C298,Muuttujat!$N$5:$N$21,0),1))</f>
        <v>0.9</v>
      </c>
      <c r="Q298" s="342">
        <f>INDEX(Muuttujat!$O$5:$O$21,MATCH($C298,Muuttujat!$N$5:$N$21,0),1)</f>
        <v>0.1</v>
      </c>
      <c r="R298" s="148">
        <f>INDEX(Muuttujat!$P$5:$P$21,MATCH($C298,Muuttujat!$N$5:$N$21,0),1)</f>
        <v>0.10417875759940039</v>
      </c>
      <c r="S298" s="149">
        <f t="shared" si="79"/>
        <v>0</v>
      </c>
      <c r="T298" s="150">
        <f t="shared" si="80"/>
        <v>0</v>
      </c>
      <c r="U298" s="150">
        <f t="shared" si="81"/>
        <v>0</v>
      </c>
      <c r="V298" s="150">
        <f>IFERROR(INDEX(Työkonekanta!$J$3:$J$27,MATCH($A298,Työkonekanta!$A$3:$A$24,0),1)*$B298*ef_li_ion_akku/1000/1000/INDEX(Työkonekanta!$K$3:$K$27,MATCH($A298,Työkonekanta!$A$3:$A$24,0)),0)</f>
        <v>0</v>
      </c>
      <c r="W298" s="149">
        <f t="shared" si="90"/>
        <v>0</v>
      </c>
      <c r="X298" s="150">
        <f t="shared" si="91"/>
        <v>0</v>
      </c>
      <c r="Y298" s="151">
        <f t="shared" si="92"/>
        <v>0</v>
      </c>
      <c r="Z298" s="152">
        <f t="shared" si="85"/>
        <v>0</v>
      </c>
      <c r="AA298" s="153">
        <f t="shared" si="86"/>
        <v>0</v>
      </c>
      <c r="AB298" s="153">
        <f t="shared" si="87"/>
        <v>0</v>
      </c>
      <c r="AC298" s="154">
        <f t="shared" si="93"/>
        <v>0</v>
      </c>
      <c r="AD298" s="156">
        <f t="shared" si="88"/>
        <v>0</v>
      </c>
      <c r="AE298" s="182"/>
      <c r="AJ298" s="28"/>
      <c r="AK298" s="29"/>
    </row>
    <row r="299" spans="1:37">
      <c r="A299" s="139">
        <v>27</v>
      </c>
      <c r="B299" s="139" cm="1">
        <f t="array" ref="B299">IFERROR(IF(A299=s1_id_korvattava1,INDEX($AG$3:$AG$19,MATCH(C299,$AF$3:$AF$19,0),1),IF(A299=s1_id_korvaava1,INDEX($AH$3:$AH$19,MATCH(C299,$AF$3:$AF$19,0),1),IF(A299=s1_id_korvattava2,INDEX($AI$3:$AI$19,MATCH(C299,$AF$3:$AF$19,0),1),IF(A299=s1_id_korvaava2,INDEX($AJ$3:$AJ$19,MATCH(C299,$AF$3:$AF$19,0),1),INDEX(Työkonekanta!$F$3:$F$27,MATCH('S1 Sähkö'!$A299,Työkonekanta!$A$3:$A$24,0),1))))),0)</f>
        <v>0</v>
      </c>
      <c r="C299" s="140">
        <v>2028</v>
      </c>
      <c r="D299" s="141" t="str">
        <f>IFERROR(INDEX(Työkonekanta!$D$3:$D$27,MATCH('S1 Sähkö'!$A299,Työkonekanta!$A$3:$A$24,0),1),"undefined")</f>
        <v>undefined</v>
      </c>
      <c r="E299" s="145">
        <f>IFERROR(INDEX(Työkonekanta!$G$3:$G$27,MATCH($A299,Työkonekanta!$A$3:$A$24,0),1)*INDEX(Työkonekanta!$H$3:$H$27,MATCH($A299,Työkonekanta!$A$3:$A$24,0),1)*(1+s1_kerroin*($C299-2019))*$B299,0)</f>
        <v>0</v>
      </c>
      <c r="F299" s="145">
        <f t="shared" si="76"/>
        <v>0</v>
      </c>
      <c r="G299" s="145">
        <f t="shared" si="82"/>
        <v>0</v>
      </c>
      <c r="H299" s="145">
        <f t="shared" si="83"/>
        <v>0</v>
      </c>
      <c r="I299" s="145">
        <f t="shared" si="77"/>
        <v>0</v>
      </c>
      <c r="J299" s="145">
        <f t="shared" si="78"/>
        <v>0</v>
      </c>
      <c r="K299" s="142" t="str">
        <f t="shared" si="84"/>
        <v>undefined</v>
      </c>
      <c r="L299" s="146">
        <f>IFERROR(INDEX(Työkonekanta!$I$3:$I$27,MATCH('S1 Sähkö'!$A299,Työkonekanta!$A$3:$A$24,0),1)*(I299+J299)*f_adblue,0)</f>
        <v>0</v>
      </c>
      <c r="M299" s="146">
        <f t="shared" si="89"/>
        <v>0</v>
      </c>
      <c r="N299" s="143" t="str">
        <f>IF(tuulisähkö_vuosi&lt;='S1 Sähkö'!C299,"tuulisähkö",ostosähkö_nyt)</f>
        <v>jäännössähkö</v>
      </c>
      <c r="O299" s="147">
        <f>INDEX(Muuttujat!$J$5:$J$21,MATCH($C299,Muuttujat!$H$5:$H$21,0),1)</f>
        <v>63.258531840332459</v>
      </c>
      <c r="P299" s="342">
        <f>1-(INDEX(Muuttujat!$O$5:$O$21,MATCH($C299,Muuttujat!$N$5:$N$21,0),1))</f>
        <v>0.9</v>
      </c>
      <c r="Q299" s="342">
        <f>INDEX(Muuttujat!$O$5:$O$21,MATCH($C299,Muuttujat!$N$5:$N$21,0),1)</f>
        <v>0.1</v>
      </c>
      <c r="R299" s="148">
        <f>INDEX(Muuttujat!$P$5:$P$21,MATCH($C299,Muuttujat!$N$5:$N$21,0),1)</f>
        <v>0.10417875759940039</v>
      </c>
      <c r="S299" s="149">
        <f t="shared" si="79"/>
        <v>0</v>
      </c>
      <c r="T299" s="150">
        <f t="shared" si="80"/>
        <v>0</v>
      </c>
      <c r="U299" s="150">
        <f t="shared" si="81"/>
        <v>0</v>
      </c>
      <c r="V299" s="150">
        <f>IFERROR(INDEX(Työkonekanta!$J$3:$J$27,MATCH($A299,Työkonekanta!$A$3:$A$24,0),1)*$B299*ef_li_ion_akku/1000/1000/INDEX(Työkonekanta!$K$3:$K$27,MATCH($A299,Työkonekanta!$A$3:$A$24,0)),0)</f>
        <v>0</v>
      </c>
      <c r="W299" s="149">
        <f t="shared" si="90"/>
        <v>0</v>
      </c>
      <c r="X299" s="150">
        <f t="shared" si="91"/>
        <v>0</v>
      </c>
      <c r="Y299" s="151">
        <f t="shared" si="92"/>
        <v>0</v>
      </c>
      <c r="Z299" s="152">
        <f t="shared" si="85"/>
        <v>0</v>
      </c>
      <c r="AA299" s="153">
        <f t="shared" si="86"/>
        <v>0</v>
      </c>
      <c r="AB299" s="153">
        <f t="shared" si="87"/>
        <v>0</v>
      </c>
      <c r="AC299" s="154">
        <f t="shared" si="93"/>
        <v>0</v>
      </c>
      <c r="AD299" s="156">
        <f t="shared" si="88"/>
        <v>0</v>
      </c>
      <c r="AE299" s="182"/>
      <c r="AJ299" s="28"/>
      <c r="AK299" s="29"/>
    </row>
    <row r="300" spans="1:37">
      <c r="A300" s="139">
        <v>28</v>
      </c>
      <c r="B300" s="139" cm="1">
        <f t="array" ref="B300">IFERROR(IF(A300=s1_id_korvattava1,INDEX($AG$3:$AG$19,MATCH(C300,$AF$3:$AF$19,0),1),IF(A300=s1_id_korvaava1,INDEX($AH$3:$AH$19,MATCH(C300,$AF$3:$AF$19,0),1),IF(A300=s1_id_korvattava2,INDEX($AI$3:$AI$19,MATCH(C300,$AF$3:$AF$19,0),1),IF(A300=s1_id_korvaava2,INDEX($AJ$3:$AJ$19,MATCH(C300,$AF$3:$AF$19,0),1),INDEX(Työkonekanta!$F$3:$F$27,MATCH('S1 Sähkö'!$A300,Työkonekanta!$A$3:$A$24,0),1))))),0)</f>
        <v>0</v>
      </c>
      <c r="C300" s="140">
        <v>2028</v>
      </c>
      <c r="D300" s="141" t="str">
        <f>IFERROR(INDEX(Työkonekanta!$D$3:$D$27,MATCH('S1 Sähkö'!$A300,Työkonekanta!$A$3:$A$24,0),1),"undefined")</f>
        <v>undefined</v>
      </c>
      <c r="E300" s="145">
        <f>IFERROR(INDEX(Työkonekanta!$G$3:$G$27,MATCH($A300,Työkonekanta!$A$3:$A$24,0),1)*INDEX(Työkonekanta!$H$3:$H$27,MATCH($A300,Työkonekanta!$A$3:$A$24,0),1)*(1+s1_kerroin*($C300-2019))*$B300,0)</f>
        <v>0</v>
      </c>
      <c r="F300" s="145">
        <f t="shared" si="76"/>
        <v>0</v>
      </c>
      <c r="G300" s="145">
        <f t="shared" si="82"/>
        <v>0</v>
      </c>
      <c r="H300" s="145">
        <f t="shared" si="83"/>
        <v>0</v>
      </c>
      <c r="I300" s="145">
        <f t="shared" si="77"/>
        <v>0</v>
      </c>
      <c r="J300" s="145">
        <f t="shared" si="78"/>
        <v>0</v>
      </c>
      <c r="K300" s="142" t="str">
        <f t="shared" si="84"/>
        <v>undefined</v>
      </c>
      <c r="L300" s="146">
        <f>IFERROR(INDEX(Työkonekanta!$I$3:$I$27,MATCH('S1 Sähkö'!$A300,Työkonekanta!$A$3:$A$24,0),1)*(I300+J300)*f_adblue,0)</f>
        <v>0</v>
      </c>
      <c r="M300" s="146">
        <f t="shared" si="89"/>
        <v>0</v>
      </c>
      <c r="N300" s="143" t="str">
        <f>IF(tuulisähkö_vuosi&lt;='S1 Sähkö'!C300,"tuulisähkö",ostosähkö_nyt)</f>
        <v>jäännössähkö</v>
      </c>
      <c r="O300" s="147">
        <f>INDEX(Muuttujat!$J$5:$J$21,MATCH($C300,Muuttujat!$H$5:$H$21,0),1)</f>
        <v>63.258531840332459</v>
      </c>
      <c r="P300" s="342">
        <f>1-(INDEX(Muuttujat!$O$5:$O$21,MATCH($C300,Muuttujat!$N$5:$N$21,0),1))</f>
        <v>0.9</v>
      </c>
      <c r="Q300" s="342">
        <f>INDEX(Muuttujat!$O$5:$O$21,MATCH($C300,Muuttujat!$N$5:$N$21,0),1)</f>
        <v>0.1</v>
      </c>
      <c r="R300" s="148">
        <f>INDEX(Muuttujat!$P$5:$P$21,MATCH($C300,Muuttujat!$N$5:$N$21,0),1)</f>
        <v>0.10417875759940039</v>
      </c>
      <c r="S300" s="149">
        <f t="shared" si="79"/>
        <v>0</v>
      </c>
      <c r="T300" s="150">
        <f t="shared" si="80"/>
        <v>0</v>
      </c>
      <c r="U300" s="150">
        <f t="shared" si="81"/>
        <v>0</v>
      </c>
      <c r="V300" s="150">
        <f>IFERROR(INDEX(Työkonekanta!$J$3:$J$27,MATCH($A300,Työkonekanta!$A$3:$A$24,0),1)*$B300*ef_li_ion_akku/1000/1000/INDEX(Työkonekanta!$K$3:$K$27,MATCH($A300,Työkonekanta!$A$3:$A$24,0)),0)</f>
        <v>0</v>
      </c>
      <c r="W300" s="149">
        <f t="shared" si="90"/>
        <v>0</v>
      </c>
      <c r="X300" s="150">
        <f t="shared" si="91"/>
        <v>0</v>
      </c>
      <c r="Y300" s="151">
        <f t="shared" si="92"/>
        <v>0</v>
      </c>
      <c r="Z300" s="152">
        <f t="shared" si="85"/>
        <v>0</v>
      </c>
      <c r="AA300" s="153">
        <f t="shared" si="86"/>
        <v>0</v>
      </c>
      <c r="AB300" s="153">
        <f t="shared" si="87"/>
        <v>0</v>
      </c>
      <c r="AC300" s="154">
        <f t="shared" si="93"/>
        <v>0</v>
      </c>
      <c r="AD300" s="156">
        <f t="shared" si="88"/>
        <v>0</v>
      </c>
      <c r="AE300" s="182"/>
      <c r="AJ300" s="28"/>
      <c r="AK300" s="29"/>
    </row>
    <row r="301" spans="1:37">
      <c r="A301" s="139">
        <v>29</v>
      </c>
      <c r="B301" s="139" cm="1">
        <f t="array" ref="B301">IFERROR(IF(A301=s1_id_korvattava1,INDEX($AG$3:$AG$19,MATCH(C301,$AF$3:$AF$19,0),1),IF(A301=s1_id_korvaava1,INDEX($AH$3:$AH$19,MATCH(C301,$AF$3:$AF$19,0),1),IF(A301=s1_id_korvattava2,INDEX($AI$3:$AI$19,MATCH(C301,$AF$3:$AF$19,0),1),IF(A301=s1_id_korvaava2,INDEX($AJ$3:$AJ$19,MATCH(C301,$AF$3:$AF$19,0),1),INDEX(Työkonekanta!$F$3:$F$27,MATCH('S1 Sähkö'!$A301,Työkonekanta!$A$3:$A$24,0),1))))),0)</f>
        <v>0</v>
      </c>
      <c r="C301" s="140">
        <v>2028</v>
      </c>
      <c r="D301" s="141" t="str">
        <f>IFERROR(INDEX(Työkonekanta!$D$3:$D$27,MATCH('S1 Sähkö'!$A301,Työkonekanta!$A$3:$A$24,0),1),"undefined")</f>
        <v>undefined</v>
      </c>
      <c r="E301" s="145">
        <f>IFERROR(INDEX(Työkonekanta!$G$3:$G$27,MATCH($A301,Työkonekanta!$A$3:$A$24,0),1)*INDEX(Työkonekanta!$H$3:$H$27,MATCH($A301,Työkonekanta!$A$3:$A$24,0),1)*(1+s1_kerroin*($C301-2019))*$B301,0)</f>
        <v>0</v>
      </c>
      <c r="F301" s="145">
        <f t="shared" si="76"/>
        <v>0</v>
      </c>
      <c r="G301" s="145">
        <f t="shared" si="82"/>
        <v>0</v>
      </c>
      <c r="H301" s="145">
        <f t="shared" si="83"/>
        <v>0</v>
      </c>
      <c r="I301" s="145">
        <f t="shared" si="77"/>
        <v>0</v>
      </c>
      <c r="J301" s="145">
        <f t="shared" si="78"/>
        <v>0</v>
      </c>
      <c r="K301" s="142" t="str">
        <f t="shared" si="84"/>
        <v>undefined</v>
      </c>
      <c r="L301" s="146">
        <f>IFERROR(INDEX(Työkonekanta!$I$3:$I$27,MATCH('S1 Sähkö'!$A301,Työkonekanta!$A$3:$A$24,0),1)*(I301+J301)*f_adblue,0)</f>
        <v>0</v>
      </c>
      <c r="M301" s="146">
        <f t="shared" si="89"/>
        <v>0</v>
      </c>
      <c r="N301" s="143" t="str">
        <f>IF(tuulisähkö_vuosi&lt;='S1 Sähkö'!C301,"tuulisähkö",ostosähkö_nyt)</f>
        <v>jäännössähkö</v>
      </c>
      <c r="O301" s="147">
        <f>INDEX(Muuttujat!$J$5:$J$21,MATCH($C301,Muuttujat!$H$5:$H$21,0),1)</f>
        <v>63.258531840332459</v>
      </c>
      <c r="P301" s="342">
        <f>1-(INDEX(Muuttujat!$O$5:$O$21,MATCH($C301,Muuttujat!$N$5:$N$21,0),1))</f>
        <v>0.9</v>
      </c>
      <c r="Q301" s="342">
        <f>INDEX(Muuttujat!$O$5:$O$21,MATCH($C301,Muuttujat!$N$5:$N$21,0),1)</f>
        <v>0.1</v>
      </c>
      <c r="R301" s="148">
        <f>INDEX(Muuttujat!$P$5:$P$21,MATCH($C301,Muuttujat!$N$5:$N$21,0),1)</f>
        <v>0.10417875759940039</v>
      </c>
      <c r="S301" s="149">
        <f t="shared" si="79"/>
        <v>0</v>
      </c>
      <c r="T301" s="150">
        <f t="shared" si="80"/>
        <v>0</v>
      </c>
      <c r="U301" s="150">
        <f t="shared" si="81"/>
        <v>0</v>
      </c>
      <c r="V301" s="150">
        <f>IFERROR(INDEX(Työkonekanta!$J$3:$J$27,MATCH($A301,Työkonekanta!$A$3:$A$24,0),1)*$B301*ef_li_ion_akku/1000/1000/INDEX(Työkonekanta!$K$3:$K$27,MATCH($A301,Työkonekanta!$A$3:$A$24,0)),0)</f>
        <v>0</v>
      </c>
      <c r="W301" s="149">
        <f t="shared" si="90"/>
        <v>0</v>
      </c>
      <c r="X301" s="150">
        <f t="shared" si="91"/>
        <v>0</v>
      </c>
      <c r="Y301" s="151">
        <f t="shared" si="92"/>
        <v>0</v>
      </c>
      <c r="Z301" s="152">
        <f t="shared" si="85"/>
        <v>0</v>
      </c>
      <c r="AA301" s="153">
        <f t="shared" si="86"/>
        <v>0</v>
      </c>
      <c r="AB301" s="153">
        <f t="shared" si="87"/>
        <v>0</v>
      </c>
      <c r="AC301" s="154">
        <f t="shared" si="93"/>
        <v>0</v>
      </c>
      <c r="AD301" s="156">
        <f t="shared" si="88"/>
        <v>0</v>
      </c>
      <c r="AE301" s="182"/>
      <c r="AJ301" s="28"/>
      <c r="AK301" s="29"/>
    </row>
    <row r="302" spans="1:37">
      <c r="A302" s="139">
        <v>30</v>
      </c>
      <c r="B302" s="139" cm="1">
        <f t="array" ref="B302">IFERROR(IF(A302=s1_id_korvattava1,INDEX($AG$3:$AG$19,MATCH(C302,$AF$3:$AF$19,0),1),IF(A302=s1_id_korvaava1,INDEX($AH$3:$AH$19,MATCH(C302,$AF$3:$AF$19,0),1),IF(A302=s1_id_korvattava2,INDEX($AI$3:$AI$19,MATCH(C302,$AF$3:$AF$19,0),1),IF(A302=s1_id_korvaava2,INDEX($AJ$3:$AJ$19,MATCH(C302,$AF$3:$AF$19,0),1),INDEX(Työkonekanta!$F$3:$F$27,MATCH('S1 Sähkö'!$A302,Työkonekanta!$A$3:$A$24,0),1))))),0)</f>
        <v>0</v>
      </c>
      <c r="C302" s="140">
        <v>2028</v>
      </c>
      <c r="D302" s="141" t="str">
        <f>IFERROR(INDEX(Työkonekanta!$D$3:$D$27,MATCH('S1 Sähkö'!$A302,Työkonekanta!$A$3:$A$24,0),1),"undefined")</f>
        <v>undefined</v>
      </c>
      <c r="E302" s="145">
        <f>IFERROR(INDEX(Työkonekanta!$G$3:$G$27,MATCH($A302,Työkonekanta!$A$3:$A$24,0),1)*INDEX(Työkonekanta!$H$3:$H$27,MATCH($A302,Työkonekanta!$A$3:$A$24,0),1)*(1+s1_kerroin*($C302-2019))*$B302,0)</f>
        <v>0</v>
      </c>
      <c r="F302" s="145">
        <f t="shared" si="76"/>
        <v>0</v>
      </c>
      <c r="G302" s="145">
        <f t="shared" si="82"/>
        <v>0</v>
      </c>
      <c r="H302" s="145">
        <f t="shared" si="83"/>
        <v>0</v>
      </c>
      <c r="I302" s="145">
        <f t="shared" si="77"/>
        <v>0</v>
      </c>
      <c r="J302" s="145">
        <f t="shared" si="78"/>
        <v>0</v>
      </c>
      <c r="K302" s="142" t="str">
        <f t="shared" si="84"/>
        <v>undefined</v>
      </c>
      <c r="L302" s="146">
        <f>IFERROR(INDEX(Työkonekanta!$I$3:$I$27,MATCH('S1 Sähkö'!$A302,Työkonekanta!$A$3:$A$24,0),1)*(I302+J302)*f_adblue,0)</f>
        <v>0</v>
      </c>
      <c r="M302" s="146">
        <f t="shared" si="89"/>
        <v>0</v>
      </c>
      <c r="N302" s="143" t="str">
        <f>IF(tuulisähkö_vuosi&lt;='S1 Sähkö'!C302,"tuulisähkö",ostosähkö_nyt)</f>
        <v>jäännössähkö</v>
      </c>
      <c r="O302" s="147">
        <f>INDEX(Muuttujat!$J$5:$J$21,MATCH($C302,Muuttujat!$H$5:$H$21,0),1)</f>
        <v>63.258531840332459</v>
      </c>
      <c r="P302" s="342">
        <f>1-(INDEX(Muuttujat!$O$5:$O$21,MATCH($C302,Muuttujat!$N$5:$N$21,0),1))</f>
        <v>0.9</v>
      </c>
      <c r="Q302" s="342">
        <f>INDEX(Muuttujat!$O$5:$O$21,MATCH($C302,Muuttujat!$N$5:$N$21,0),1)</f>
        <v>0.1</v>
      </c>
      <c r="R302" s="148">
        <f>INDEX(Muuttujat!$P$5:$P$21,MATCH($C302,Muuttujat!$N$5:$N$21,0),1)</f>
        <v>0.10417875759940039</v>
      </c>
      <c r="S302" s="149">
        <f t="shared" si="79"/>
        <v>0</v>
      </c>
      <c r="T302" s="150">
        <f t="shared" si="80"/>
        <v>0</v>
      </c>
      <c r="U302" s="150">
        <f t="shared" si="81"/>
        <v>0</v>
      </c>
      <c r="V302" s="150">
        <f>IFERROR(INDEX(Työkonekanta!$J$3:$J$27,MATCH($A302,Työkonekanta!$A$3:$A$24,0),1)*$B302*ef_li_ion_akku/1000/1000/INDEX(Työkonekanta!$K$3:$K$27,MATCH($A302,Työkonekanta!$A$3:$A$24,0)),0)</f>
        <v>0</v>
      </c>
      <c r="W302" s="149">
        <f t="shared" si="90"/>
        <v>0</v>
      </c>
      <c r="X302" s="150">
        <f t="shared" si="91"/>
        <v>0</v>
      </c>
      <c r="Y302" s="151">
        <f t="shared" si="92"/>
        <v>0</v>
      </c>
      <c r="Z302" s="152">
        <f t="shared" si="85"/>
        <v>0</v>
      </c>
      <c r="AA302" s="153">
        <f t="shared" si="86"/>
        <v>0</v>
      </c>
      <c r="AB302" s="153">
        <f t="shared" si="87"/>
        <v>0</v>
      </c>
      <c r="AC302" s="154">
        <f t="shared" si="93"/>
        <v>0</v>
      </c>
      <c r="AD302" s="156">
        <f t="shared" si="88"/>
        <v>0</v>
      </c>
      <c r="AE302" s="182"/>
      <c r="AJ302" s="28"/>
      <c r="AK302" s="29"/>
    </row>
    <row r="303" spans="1:37">
      <c r="A303" s="139">
        <v>1</v>
      </c>
      <c r="B303" s="139" cm="1">
        <f t="array" ref="B303">IFERROR(IF(A303=s1_id_korvattava1,INDEX($AG$3:$AG$19,MATCH(C303,$AF$3:$AF$19,0),1),IF(A303=s1_id_korvaava1,INDEX($AH$3:$AH$19,MATCH(C303,$AF$3:$AF$19,0),1),IF(A303=s1_id_korvattava2,INDEX($AI$3:$AI$19,MATCH(C303,$AF$3:$AF$19,0),1),IF(A303=s1_id_korvaava2,INDEX($AJ$3:$AJ$19,MATCH(C303,$AF$3:$AF$19,0),1),INDEX(Työkonekanta!$F$3:$F$27,MATCH('S1 Sähkö'!$A303,Työkonekanta!$A$3:$A$24,0),1))))),0)</f>
        <v>1</v>
      </c>
      <c r="C303" s="140">
        <v>2029</v>
      </c>
      <c r="D303" s="141" t="str">
        <f>IFERROR(INDEX(Työkonekanta!$D$3:$D$27,MATCH('S1 Sähkö'!$A303,Työkonekanta!$A$3:$A$24,0),1),"undefined")</f>
        <v>pom</v>
      </c>
      <c r="E303" s="145">
        <f>IFERROR(INDEX(Työkonekanta!$G$3:$G$27,MATCH($A303,Työkonekanta!$A$3:$A$24,0),1)*INDEX(Työkonekanta!$H$3:$H$27,MATCH($A303,Työkonekanta!$A$3:$A$24,0),1)*(1+s1_kerroin*($C303-2019))*$B303,0)</f>
        <v>11000</v>
      </c>
      <c r="F303" s="145">
        <f t="shared" si="76"/>
        <v>394900</v>
      </c>
      <c r="G303" s="145">
        <f t="shared" si="82"/>
        <v>355410</v>
      </c>
      <c r="H303" s="145">
        <f t="shared" si="83"/>
        <v>39490</v>
      </c>
      <c r="I303" s="145">
        <f t="shared" si="77"/>
        <v>9900</v>
      </c>
      <c r="J303" s="145">
        <f t="shared" si="78"/>
        <v>1151.3119533527697</v>
      </c>
      <c r="K303" s="142" t="str">
        <f t="shared" si="84"/>
        <v>l</v>
      </c>
      <c r="L303" s="146">
        <f>IFERROR(INDEX(Työkonekanta!$I$3:$I$27,MATCH('S1 Sähkö'!$A303,Työkonekanta!$A$3:$A$24,0),1)*(I303+J303)*f_adblue,0)</f>
        <v>552.56559766763849</v>
      </c>
      <c r="M303" s="146">
        <f t="shared" si="89"/>
        <v>0</v>
      </c>
      <c r="N303" s="143" t="str">
        <f>IF(tuulisähkö_vuosi&lt;='S1 Sähkö'!C303,"tuulisähkö",ostosähkö_nyt)</f>
        <v>jäännössähkö</v>
      </c>
      <c r="O303" s="147">
        <f>INDEX(Muuttujat!$J$5:$J$21,MATCH($C303,Muuttujat!$H$5:$H$21,0),1)</f>
        <v>62.625946521929137</v>
      </c>
      <c r="P303" s="342">
        <f>1-(INDEX(Muuttujat!$O$5:$O$21,MATCH($C303,Muuttujat!$N$5:$N$21,0),1))</f>
        <v>0.9</v>
      </c>
      <c r="Q303" s="342">
        <f>INDEX(Muuttujat!$O$5:$O$21,MATCH($C303,Muuttujat!$N$5:$N$21,0),1)</f>
        <v>0.1</v>
      </c>
      <c r="R303" s="148">
        <f>INDEX(Muuttujat!$P$5:$P$21,MATCH($C303,Muuttujat!$N$5:$N$21,0),1)</f>
        <v>0.10417875759940039</v>
      </c>
      <c r="S303" s="149">
        <f t="shared" si="79"/>
        <v>6.7172489999999989</v>
      </c>
      <c r="T303" s="150">
        <f t="shared" si="80"/>
        <v>2.4641760000000001</v>
      </c>
      <c r="U303" s="150">
        <f t="shared" si="81"/>
        <v>0</v>
      </c>
      <c r="V303" s="150">
        <f>IFERROR(INDEX(Työkonekanta!$J$3:$J$27,MATCH($A303,Työkonekanta!$A$3:$A$24,0),1)*$B303*ef_li_ion_akku/1000/1000/INDEX(Työkonekanta!$K$3:$K$27,MATCH($A303,Työkonekanta!$A$3:$A$24,0)),0)</f>
        <v>0</v>
      </c>
      <c r="W303" s="149">
        <f t="shared" si="90"/>
        <v>26.232191653140003</v>
      </c>
      <c r="X303" s="150">
        <f t="shared" si="91"/>
        <v>0.34952022600000004</v>
      </c>
      <c r="Y303" s="151">
        <f t="shared" si="92"/>
        <v>0.14366705539358599</v>
      </c>
      <c r="Z303" s="152">
        <f t="shared" si="85"/>
        <v>9.1814249999999991</v>
      </c>
      <c r="AA303" s="153">
        <f t="shared" si="86"/>
        <v>26.375858708533588</v>
      </c>
      <c r="AB303" s="153">
        <f t="shared" si="87"/>
        <v>26.725378934533587</v>
      </c>
      <c r="AC303" s="154">
        <f t="shared" si="93"/>
        <v>35.557283708533589</v>
      </c>
      <c r="AD303" s="156">
        <f t="shared" si="88"/>
        <v>35.906803934533585</v>
      </c>
      <c r="AE303" s="182"/>
      <c r="AG303" s="2"/>
    </row>
    <row r="304" spans="1:37">
      <c r="A304" s="139">
        <v>2</v>
      </c>
      <c r="B304" s="139" cm="1">
        <f t="array" ref="B304">IFERROR(IF(A304=s1_id_korvattava1,INDEX($AG$3:$AG$19,MATCH(C304,$AF$3:$AF$19,0),1),IF(A304=s1_id_korvaava1,INDEX($AH$3:$AH$19,MATCH(C304,$AF$3:$AF$19,0),1),IF(A304=s1_id_korvattava2,INDEX($AI$3:$AI$19,MATCH(C304,$AF$3:$AF$19,0),1),IF(A304=s1_id_korvaava2,INDEX($AJ$3:$AJ$19,MATCH(C304,$AF$3:$AF$19,0),1),INDEX(Työkonekanta!$F$3:$F$27,MATCH('S1 Sähkö'!$A304,Työkonekanta!$A$3:$A$24,0),1))))),0)</f>
        <v>1</v>
      </c>
      <c r="C304" s="140">
        <v>2029</v>
      </c>
      <c r="D304" s="141" t="str">
        <f>IFERROR(INDEX(Työkonekanta!$D$3:$D$27,MATCH('S1 Sähkö'!$A304,Työkonekanta!$A$3:$A$24,0),1),"undefined")</f>
        <v>pom</v>
      </c>
      <c r="E304" s="145">
        <f>IFERROR(INDEX(Työkonekanta!$G$3:$G$27,MATCH($A304,Työkonekanta!$A$3:$A$24,0),1)*INDEX(Työkonekanta!$H$3:$H$27,MATCH($A304,Työkonekanta!$A$3:$A$24,0),1)*(1+s1_kerroin*($C304-2019))*$B304,0)</f>
        <v>11000</v>
      </c>
      <c r="F304" s="145">
        <f t="shared" si="76"/>
        <v>394900</v>
      </c>
      <c r="G304" s="145">
        <f t="shared" si="82"/>
        <v>355410</v>
      </c>
      <c r="H304" s="145">
        <f t="shared" si="83"/>
        <v>39490</v>
      </c>
      <c r="I304" s="145">
        <f t="shared" si="77"/>
        <v>9900</v>
      </c>
      <c r="J304" s="145">
        <f t="shared" si="78"/>
        <v>1151.3119533527697</v>
      </c>
      <c r="K304" s="142" t="str">
        <f t="shared" si="84"/>
        <v>l</v>
      </c>
      <c r="L304" s="146">
        <f>IFERROR(INDEX(Työkonekanta!$I$3:$I$27,MATCH('S1 Sähkö'!$A304,Työkonekanta!$A$3:$A$24,0),1)*(I304+J304)*f_adblue,0)</f>
        <v>552.56559766763849</v>
      </c>
      <c r="M304" s="146">
        <f t="shared" si="89"/>
        <v>0</v>
      </c>
      <c r="N304" s="143" t="str">
        <f>IF(tuulisähkö_vuosi&lt;='S1 Sähkö'!C304,"tuulisähkö",ostosähkö_nyt)</f>
        <v>jäännössähkö</v>
      </c>
      <c r="O304" s="147">
        <f>INDEX(Muuttujat!$J$5:$J$21,MATCH($C304,Muuttujat!$H$5:$H$21,0),1)</f>
        <v>62.625946521929137</v>
      </c>
      <c r="P304" s="342">
        <f>1-(INDEX(Muuttujat!$O$5:$O$21,MATCH($C304,Muuttujat!$N$5:$N$21,0),1))</f>
        <v>0.9</v>
      </c>
      <c r="Q304" s="342">
        <f>INDEX(Muuttujat!$O$5:$O$21,MATCH($C304,Muuttujat!$N$5:$N$21,0),1)</f>
        <v>0.1</v>
      </c>
      <c r="R304" s="148">
        <f>INDEX(Muuttujat!$P$5:$P$21,MATCH($C304,Muuttujat!$N$5:$N$21,0),1)</f>
        <v>0.10417875759940039</v>
      </c>
      <c r="S304" s="149">
        <f t="shared" si="79"/>
        <v>6.7172489999999989</v>
      </c>
      <c r="T304" s="150">
        <f t="shared" si="80"/>
        <v>2.4641760000000001</v>
      </c>
      <c r="U304" s="150">
        <f t="shared" si="81"/>
        <v>0</v>
      </c>
      <c r="V304" s="150">
        <f>IFERROR(INDEX(Työkonekanta!$J$3:$J$27,MATCH($A304,Työkonekanta!$A$3:$A$24,0),1)*$B304*ef_li_ion_akku/1000/1000/INDEX(Työkonekanta!$K$3:$K$27,MATCH($A304,Työkonekanta!$A$3:$A$24,0)),0)</f>
        <v>0</v>
      </c>
      <c r="W304" s="149">
        <f t="shared" si="90"/>
        <v>26.232191653140003</v>
      </c>
      <c r="X304" s="150">
        <f t="shared" si="91"/>
        <v>0.34952022600000004</v>
      </c>
      <c r="Y304" s="151">
        <f t="shared" si="92"/>
        <v>0.14366705539358599</v>
      </c>
      <c r="Z304" s="152">
        <f t="shared" si="85"/>
        <v>9.1814249999999991</v>
      </c>
      <c r="AA304" s="153">
        <f t="shared" si="86"/>
        <v>26.375858708533588</v>
      </c>
      <c r="AB304" s="153">
        <f t="shared" si="87"/>
        <v>26.725378934533587</v>
      </c>
      <c r="AC304" s="154">
        <f t="shared" si="93"/>
        <v>35.557283708533589</v>
      </c>
      <c r="AD304" s="156">
        <f t="shared" si="88"/>
        <v>35.906803934533585</v>
      </c>
      <c r="AE304" s="182"/>
      <c r="AG304" s="2"/>
    </row>
    <row r="305" spans="1:33">
      <c r="A305" s="139">
        <v>3</v>
      </c>
      <c r="B305" s="139" cm="1">
        <f t="array" ref="B305">IFERROR(IF(A305=s1_id_korvattava1,INDEX($AG$3:$AG$19,MATCH(C305,$AF$3:$AF$19,0),1),IF(A305=s1_id_korvaava1,INDEX($AH$3:$AH$19,MATCH(C305,$AF$3:$AF$19,0),1),IF(A305=s1_id_korvattava2,INDEX($AI$3:$AI$19,MATCH(C305,$AF$3:$AF$19,0),1),IF(A305=s1_id_korvaava2,INDEX($AJ$3:$AJ$19,MATCH(C305,$AF$3:$AF$19,0),1),INDEX(Työkonekanta!$F$3:$F$27,MATCH('S1 Sähkö'!$A305,Työkonekanta!$A$3:$A$24,0),1))))),0)</f>
        <v>1</v>
      </c>
      <c r="C305" s="140">
        <v>2029</v>
      </c>
      <c r="D305" s="141" t="str">
        <f>IFERROR(INDEX(Työkonekanta!$D$3:$D$27,MATCH('S1 Sähkö'!$A305,Työkonekanta!$A$3:$A$24,0),1),"undefined")</f>
        <v>pom</v>
      </c>
      <c r="E305" s="145">
        <f>IFERROR(INDEX(Työkonekanta!$G$3:$G$27,MATCH($A305,Työkonekanta!$A$3:$A$24,0),1)*INDEX(Työkonekanta!$H$3:$H$27,MATCH($A305,Työkonekanta!$A$3:$A$24,0),1)*(1+s1_kerroin*($C305-2019))*$B305,0)</f>
        <v>11000</v>
      </c>
      <c r="F305" s="145">
        <f t="shared" si="76"/>
        <v>394900</v>
      </c>
      <c r="G305" s="145">
        <f t="shared" si="82"/>
        <v>355410</v>
      </c>
      <c r="H305" s="145">
        <f t="shared" si="83"/>
        <v>39490</v>
      </c>
      <c r="I305" s="145">
        <f t="shared" si="77"/>
        <v>9900</v>
      </c>
      <c r="J305" s="145">
        <f t="shared" si="78"/>
        <v>1151.3119533527697</v>
      </c>
      <c r="K305" s="142" t="str">
        <f t="shared" si="84"/>
        <v>l</v>
      </c>
      <c r="L305" s="146">
        <f>IFERROR(INDEX(Työkonekanta!$I$3:$I$27,MATCH('S1 Sähkö'!$A305,Työkonekanta!$A$3:$A$24,0),1)*(I305+J305)*f_adblue,0)</f>
        <v>552.56559766763849</v>
      </c>
      <c r="M305" s="146">
        <f t="shared" si="89"/>
        <v>0</v>
      </c>
      <c r="N305" s="143" t="str">
        <f>IF(tuulisähkö_vuosi&lt;='S1 Sähkö'!C305,"tuulisähkö",ostosähkö_nyt)</f>
        <v>jäännössähkö</v>
      </c>
      <c r="O305" s="147">
        <f>INDEX(Muuttujat!$J$5:$J$21,MATCH($C305,Muuttujat!$H$5:$H$21,0),1)</f>
        <v>62.625946521929137</v>
      </c>
      <c r="P305" s="342">
        <f>1-(INDEX(Muuttujat!$O$5:$O$21,MATCH($C305,Muuttujat!$N$5:$N$21,0),1))</f>
        <v>0.9</v>
      </c>
      <c r="Q305" s="342">
        <f>INDEX(Muuttujat!$O$5:$O$21,MATCH($C305,Muuttujat!$N$5:$N$21,0),1)</f>
        <v>0.1</v>
      </c>
      <c r="R305" s="148">
        <f>INDEX(Muuttujat!$P$5:$P$21,MATCH($C305,Muuttujat!$N$5:$N$21,0),1)</f>
        <v>0.10417875759940039</v>
      </c>
      <c r="S305" s="149">
        <f t="shared" si="79"/>
        <v>6.7172489999999989</v>
      </c>
      <c r="T305" s="150">
        <f t="shared" si="80"/>
        <v>2.4641760000000001</v>
      </c>
      <c r="U305" s="150">
        <f t="shared" si="81"/>
        <v>0</v>
      </c>
      <c r="V305" s="150">
        <f>IFERROR(INDEX(Työkonekanta!$J$3:$J$27,MATCH($A305,Työkonekanta!$A$3:$A$24,0),1)*$B305*ef_li_ion_akku/1000/1000/INDEX(Työkonekanta!$K$3:$K$27,MATCH($A305,Työkonekanta!$A$3:$A$24,0)),0)</f>
        <v>0</v>
      </c>
      <c r="W305" s="149">
        <f t="shared" si="90"/>
        <v>26.232191653140003</v>
      </c>
      <c r="X305" s="150">
        <f t="shared" si="91"/>
        <v>0.34952022600000004</v>
      </c>
      <c r="Y305" s="151">
        <f t="shared" si="92"/>
        <v>0.14366705539358599</v>
      </c>
      <c r="Z305" s="152">
        <f t="shared" si="85"/>
        <v>9.1814249999999991</v>
      </c>
      <c r="AA305" s="153">
        <f t="shared" si="86"/>
        <v>26.375858708533588</v>
      </c>
      <c r="AB305" s="153">
        <f t="shared" si="87"/>
        <v>26.725378934533587</v>
      </c>
      <c r="AC305" s="154">
        <f t="shared" si="93"/>
        <v>35.557283708533589</v>
      </c>
      <c r="AD305" s="156">
        <f t="shared" si="88"/>
        <v>35.906803934533585</v>
      </c>
      <c r="AE305" s="182"/>
      <c r="AG305" s="2"/>
    </row>
    <row r="306" spans="1:33">
      <c r="A306" s="139">
        <v>4</v>
      </c>
      <c r="B306" s="139" cm="1">
        <f t="array" ref="B306">IFERROR(IF(A306=s1_id_korvattava1,INDEX($AG$3:$AG$19,MATCH(C306,$AF$3:$AF$19,0),1),IF(A306=s1_id_korvaava1,INDEX($AH$3:$AH$19,MATCH(C306,$AF$3:$AF$19,0),1),IF(A306=s1_id_korvattava2,INDEX($AI$3:$AI$19,MATCH(C306,$AF$3:$AF$19,0),1),IF(A306=s1_id_korvaava2,INDEX($AJ$3:$AJ$19,MATCH(C306,$AF$3:$AF$19,0),1),INDEX(Työkonekanta!$F$3:$F$27,MATCH('S1 Sähkö'!$A306,Työkonekanta!$A$3:$A$24,0),1))))),0)</f>
        <v>1</v>
      </c>
      <c r="C306" s="140">
        <v>2029</v>
      </c>
      <c r="D306" s="141" t="str">
        <f>IFERROR(INDEX(Työkonekanta!$D$3:$D$27,MATCH('S1 Sähkö'!$A306,Työkonekanta!$A$3:$A$24,0),1),"undefined")</f>
        <v>pom</v>
      </c>
      <c r="E306" s="145">
        <f>IFERROR(INDEX(Työkonekanta!$G$3:$G$27,MATCH($A306,Työkonekanta!$A$3:$A$24,0),1)*INDEX(Työkonekanta!$H$3:$H$27,MATCH($A306,Työkonekanta!$A$3:$A$24,0),1)*(1+s1_kerroin*($C306-2019))*$B306,0)</f>
        <v>11000</v>
      </c>
      <c r="F306" s="145">
        <f t="shared" si="76"/>
        <v>394900</v>
      </c>
      <c r="G306" s="145">
        <f t="shared" si="82"/>
        <v>355410</v>
      </c>
      <c r="H306" s="145">
        <f t="shared" si="83"/>
        <v>39490</v>
      </c>
      <c r="I306" s="145">
        <f t="shared" si="77"/>
        <v>9900</v>
      </c>
      <c r="J306" s="145">
        <f t="shared" si="78"/>
        <v>1151.3119533527697</v>
      </c>
      <c r="K306" s="142" t="str">
        <f t="shared" si="84"/>
        <v>l</v>
      </c>
      <c r="L306" s="146">
        <f>IFERROR(INDEX(Työkonekanta!$I$3:$I$27,MATCH('S1 Sähkö'!$A306,Työkonekanta!$A$3:$A$24,0),1)*(I306+J306)*f_adblue,0)</f>
        <v>552.56559766763849</v>
      </c>
      <c r="M306" s="146">
        <f t="shared" si="89"/>
        <v>0</v>
      </c>
      <c r="N306" s="143" t="str">
        <f>IF(tuulisähkö_vuosi&lt;='S1 Sähkö'!C306,"tuulisähkö",ostosähkö_nyt)</f>
        <v>jäännössähkö</v>
      </c>
      <c r="O306" s="147">
        <f>INDEX(Muuttujat!$J$5:$J$21,MATCH($C306,Muuttujat!$H$5:$H$21,0),1)</f>
        <v>62.625946521929137</v>
      </c>
      <c r="P306" s="342">
        <f>1-(INDEX(Muuttujat!$O$5:$O$21,MATCH($C306,Muuttujat!$N$5:$N$21,0),1))</f>
        <v>0.9</v>
      </c>
      <c r="Q306" s="342">
        <f>INDEX(Muuttujat!$O$5:$O$21,MATCH($C306,Muuttujat!$N$5:$N$21,0),1)</f>
        <v>0.1</v>
      </c>
      <c r="R306" s="148">
        <f>INDEX(Muuttujat!$P$5:$P$21,MATCH($C306,Muuttujat!$N$5:$N$21,0),1)</f>
        <v>0.10417875759940039</v>
      </c>
      <c r="S306" s="149">
        <f t="shared" si="79"/>
        <v>6.7172489999999989</v>
      </c>
      <c r="T306" s="150">
        <f t="shared" si="80"/>
        <v>2.4641760000000001</v>
      </c>
      <c r="U306" s="150">
        <f t="shared" si="81"/>
        <v>0</v>
      </c>
      <c r="V306" s="150">
        <f>IFERROR(INDEX(Työkonekanta!$J$3:$J$27,MATCH($A306,Työkonekanta!$A$3:$A$24,0),1)*$B306*ef_li_ion_akku/1000/1000/INDEX(Työkonekanta!$K$3:$K$27,MATCH($A306,Työkonekanta!$A$3:$A$24,0)),0)</f>
        <v>0</v>
      </c>
      <c r="W306" s="149">
        <f t="shared" si="90"/>
        <v>26.232191653140003</v>
      </c>
      <c r="X306" s="150">
        <f t="shared" si="91"/>
        <v>0.34952022600000004</v>
      </c>
      <c r="Y306" s="151">
        <f t="shared" si="92"/>
        <v>0.14366705539358599</v>
      </c>
      <c r="Z306" s="152">
        <f t="shared" si="85"/>
        <v>9.1814249999999991</v>
      </c>
      <c r="AA306" s="153">
        <f t="shared" si="86"/>
        <v>26.375858708533588</v>
      </c>
      <c r="AB306" s="153">
        <f t="shared" si="87"/>
        <v>26.725378934533587</v>
      </c>
      <c r="AC306" s="154">
        <f t="shared" si="93"/>
        <v>35.557283708533589</v>
      </c>
      <c r="AD306" s="156">
        <f t="shared" si="88"/>
        <v>35.906803934533585</v>
      </c>
      <c r="AE306" s="182"/>
      <c r="AG306" s="2"/>
    </row>
    <row r="307" spans="1:33">
      <c r="A307" s="139">
        <v>5</v>
      </c>
      <c r="B307" s="139" cm="1">
        <f t="array" ref="B307">IFERROR(IF(A307=s1_id_korvattava1,INDEX($AG$3:$AG$19,MATCH(C307,$AF$3:$AF$19,0),1),IF(A307=s1_id_korvaava1,INDEX($AH$3:$AH$19,MATCH(C307,$AF$3:$AF$19,0),1),IF(A307=s1_id_korvattava2,INDEX($AI$3:$AI$19,MATCH(C307,$AF$3:$AF$19,0),1),IF(A307=s1_id_korvaava2,INDEX($AJ$3:$AJ$19,MATCH(C307,$AF$3:$AF$19,0),1),INDEX(Työkonekanta!$F$3:$F$27,MATCH('S1 Sähkö'!$A307,Työkonekanta!$A$3:$A$24,0),1))))),0)</f>
        <v>0</v>
      </c>
      <c r="C307" s="140">
        <v>2029</v>
      </c>
      <c r="D307" s="141" t="str">
        <f>IFERROR(INDEX(Työkonekanta!$D$3:$D$27,MATCH('S1 Sähkö'!$A307,Työkonekanta!$A$3:$A$24,0),1),"undefined")</f>
        <v>sähkö</v>
      </c>
      <c r="E307" s="145">
        <f>IFERROR(INDEX(Työkonekanta!$G$3:$G$27,MATCH($A307,Työkonekanta!$A$3:$A$24,0),1)*INDEX(Työkonekanta!$H$3:$H$27,MATCH($A307,Työkonekanta!$A$3:$A$24,0),1)*(1+s1_kerroin*($C307-2019))*$B307,0)</f>
        <v>0</v>
      </c>
      <c r="F307" s="145">
        <f t="shared" si="76"/>
        <v>0</v>
      </c>
      <c r="G307" s="145">
        <f t="shared" si="82"/>
        <v>0</v>
      </c>
      <c r="H307" s="145">
        <f t="shared" si="83"/>
        <v>0</v>
      </c>
      <c r="I307" s="145">
        <f t="shared" si="77"/>
        <v>0</v>
      </c>
      <c r="J307" s="145">
        <f t="shared" si="78"/>
        <v>0</v>
      </c>
      <c r="K307" s="142" t="str">
        <f t="shared" si="84"/>
        <v>kWh</v>
      </c>
      <c r="L307" s="146">
        <f>IFERROR(INDEX(Työkonekanta!$I$3:$I$27,MATCH('S1 Sähkö'!$A307,Työkonekanta!$A$3:$A$24,0),1)*(I307+J307)*f_adblue,0)</f>
        <v>0</v>
      </c>
      <c r="M307" s="146">
        <f t="shared" si="89"/>
        <v>0</v>
      </c>
      <c r="N307" s="143" t="str">
        <f>IF(tuulisähkö_vuosi&lt;='S1 Sähkö'!C307,"tuulisähkö",ostosähkö_nyt)</f>
        <v>jäännössähkö</v>
      </c>
      <c r="O307" s="147">
        <f>INDEX(Muuttujat!$J$5:$J$21,MATCH($C307,Muuttujat!$H$5:$H$21,0),1)</f>
        <v>62.625946521929137</v>
      </c>
      <c r="P307" s="342">
        <f>1-(INDEX(Muuttujat!$O$5:$O$21,MATCH($C307,Muuttujat!$N$5:$N$21,0),1))</f>
        <v>0.9</v>
      </c>
      <c r="Q307" s="342">
        <f>INDEX(Muuttujat!$O$5:$O$21,MATCH($C307,Muuttujat!$N$5:$N$21,0),1)</f>
        <v>0.1</v>
      </c>
      <c r="R307" s="148">
        <f>INDEX(Muuttujat!$P$5:$P$21,MATCH($C307,Muuttujat!$N$5:$N$21,0),1)</f>
        <v>0.10417875759940039</v>
      </c>
      <c r="S307" s="149">
        <f t="shared" si="79"/>
        <v>0</v>
      </c>
      <c r="T307" s="150">
        <f t="shared" si="80"/>
        <v>0</v>
      </c>
      <c r="U307" s="150">
        <f t="shared" si="81"/>
        <v>0</v>
      </c>
      <c r="V307" s="150">
        <f>IFERROR(INDEX(Työkonekanta!$J$3:$J$27,MATCH($A307,Työkonekanta!$A$3:$A$24,0),1)*$B307*ef_li_ion_akku/1000/1000/INDEX(Työkonekanta!$K$3:$K$27,MATCH($A307,Työkonekanta!$A$3:$A$24,0)),0)</f>
        <v>0</v>
      </c>
      <c r="W307" s="149">
        <f t="shared" si="90"/>
        <v>0</v>
      </c>
      <c r="X307" s="150">
        <f t="shared" si="91"/>
        <v>0</v>
      </c>
      <c r="Y307" s="151">
        <f t="shared" si="92"/>
        <v>0</v>
      </c>
      <c r="Z307" s="152">
        <f t="shared" si="85"/>
        <v>0</v>
      </c>
      <c r="AA307" s="153">
        <f t="shared" si="86"/>
        <v>0</v>
      </c>
      <c r="AB307" s="153">
        <f t="shared" si="87"/>
        <v>0</v>
      </c>
      <c r="AC307" s="154">
        <f t="shared" si="93"/>
        <v>0</v>
      </c>
      <c r="AD307" s="156">
        <f t="shared" si="88"/>
        <v>0</v>
      </c>
      <c r="AE307" s="182"/>
      <c r="AG307" s="2"/>
    </row>
    <row r="308" spans="1:33">
      <c r="A308" s="139">
        <v>6</v>
      </c>
      <c r="B308" s="139" cm="1">
        <f t="array" ref="B308">IFERROR(IF(A308=s1_id_korvattava1,INDEX($AG$3:$AG$19,MATCH(C308,$AF$3:$AF$19,0),1),IF(A308=s1_id_korvaava1,INDEX($AH$3:$AH$19,MATCH(C308,$AF$3:$AF$19,0),1),IF(A308=s1_id_korvattava2,INDEX($AI$3:$AI$19,MATCH(C308,$AF$3:$AF$19,0),1),IF(A308=s1_id_korvaava2,INDEX($AJ$3:$AJ$19,MATCH(C308,$AF$3:$AF$19,0),1),INDEX(Työkonekanta!$F$3:$F$27,MATCH('S1 Sähkö'!$A308,Työkonekanta!$A$3:$A$24,0),1))))),0)</f>
        <v>0</v>
      </c>
      <c r="C308" s="140">
        <v>2029</v>
      </c>
      <c r="D308" s="141" t="str">
        <f>IFERROR(INDEX(Työkonekanta!$D$3:$D$27,MATCH('S1 Sähkö'!$A308,Työkonekanta!$A$3:$A$24,0),1),"undefined")</f>
        <v>sähkö</v>
      </c>
      <c r="E308" s="145">
        <f>IFERROR(INDEX(Työkonekanta!$G$3:$G$27,MATCH($A308,Työkonekanta!$A$3:$A$24,0),1)*INDEX(Työkonekanta!$H$3:$H$27,MATCH($A308,Työkonekanta!$A$3:$A$24,0),1)*(1+s1_kerroin*($C308-2019))*$B308,0)</f>
        <v>0</v>
      </c>
      <c r="F308" s="145">
        <f t="shared" si="76"/>
        <v>0</v>
      </c>
      <c r="G308" s="145">
        <f t="shared" si="82"/>
        <v>0</v>
      </c>
      <c r="H308" s="145">
        <f t="shared" si="83"/>
        <v>0</v>
      </c>
      <c r="I308" s="145">
        <f t="shared" si="77"/>
        <v>0</v>
      </c>
      <c r="J308" s="145">
        <f t="shared" si="78"/>
        <v>0</v>
      </c>
      <c r="K308" s="142" t="str">
        <f t="shared" si="84"/>
        <v>kWh</v>
      </c>
      <c r="L308" s="146">
        <f>IFERROR(INDEX(Työkonekanta!$I$3:$I$27,MATCH('S1 Sähkö'!$A308,Työkonekanta!$A$3:$A$24,0),1)*(I308+J308)*f_adblue,0)</f>
        <v>0</v>
      </c>
      <c r="M308" s="146">
        <f t="shared" si="89"/>
        <v>0</v>
      </c>
      <c r="N308" s="143" t="str">
        <f>IF(tuulisähkö_vuosi&lt;='S1 Sähkö'!C308,"tuulisähkö",ostosähkö_nyt)</f>
        <v>jäännössähkö</v>
      </c>
      <c r="O308" s="147">
        <f>INDEX(Muuttujat!$J$5:$J$21,MATCH($C308,Muuttujat!$H$5:$H$21,0),1)</f>
        <v>62.625946521929137</v>
      </c>
      <c r="P308" s="342">
        <f>1-(INDEX(Muuttujat!$O$5:$O$21,MATCH($C308,Muuttujat!$N$5:$N$21,0),1))</f>
        <v>0.9</v>
      </c>
      <c r="Q308" s="342">
        <f>INDEX(Muuttujat!$O$5:$O$21,MATCH($C308,Muuttujat!$N$5:$N$21,0),1)</f>
        <v>0.1</v>
      </c>
      <c r="R308" s="148">
        <f>INDEX(Muuttujat!$P$5:$P$21,MATCH($C308,Muuttujat!$N$5:$N$21,0),1)</f>
        <v>0.10417875759940039</v>
      </c>
      <c r="S308" s="149">
        <f t="shared" si="79"/>
        <v>0</v>
      </c>
      <c r="T308" s="150">
        <f t="shared" si="80"/>
        <v>0</v>
      </c>
      <c r="U308" s="150">
        <f t="shared" si="81"/>
        <v>0</v>
      </c>
      <c r="V308" s="150">
        <f>IFERROR(INDEX(Työkonekanta!$J$3:$J$27,MATCH($A308,Työkonekanta!$A$3:$A$24,0),1)*$B308*ef_li_ion_akku/1000/1000/INDEX(Työkonekanta!$K$3:$K$27,MATCH($A308,Työkonekanta!$A$3:$A$24,0)),0)</f>
        <v>0</v>
      </c>
      <c r="W308" s="149">
        <f t="shared" si="90"/>
        <v>0</v>
      </c>
      <c r="X308" s="150">
        <f t="shared" si="91"/>
        <v>0</v>
      </c>
      <c r="Y308" s="151">
        <f t="shared" si="92"/>
        <v>0</v>
      </c>
      <c r="Z308" s="152">
        <f t="shared" si="85"/>
        <v>0</v>
      </c>
      <c r="AA308" s="153">
        <f t="shared" si="86"/>
        <v>0</v>
      </c>
      <c r="AB308" s="153">
        <f t="shared" si="87"/>
        <v>0</v>
      </c>
      <c r="AC308" s="154">
        <f t="shared" si="93"/>
        <v>0</v>
      </c>
      <c r="AD308" s="156">
        <f t="shared" si="88"/>
        <v>0</v>
      </c>
      <c r="AE308" s="182"/>
      <c r="AG308" s="2"/>
    </row>
    <row r="309" spans="1:33">
      <c r="A309" s="139">
        <v>7</v>
      </c>
      <c r="B309" s="139" cm="1">
        <f t="array" ref="B309">IFERROR(IF(A309=s1_id_korvattava1,INDEX($AG$3:$AG$19,MATCH(C309,$AF$3:$AF$19,0),1),IF(A309=s1_id_korvaava1,INDEX($AH$3:$AH$19,MATCH(C309,$AF$3:$AF$19,0),1),IF(A309=s1_id_korvattava2,INDEX($AI$3:$AI$19,MATCH(C309,$AF$3:$AF$19,0),1),IF(A309=s1_id_korvaava2,INDEX($AJ$3:$AJ$19,MATCH(C309,$AF$3:$AF$19,0),1),INDEX(Työkonekanta!$F$3:$F$27,MATCH('S1 Sähkö'!$A309,Työkonekanta!$A$3:$A$24,0),1))))),0)</f>
        <v>1</v>
      </c>
      <c r="C309" s="140">
        <v>2029</v>
      </c>
      <c r="D309" s="141" t="str">
        <f>IFERROR(INDEX(Työkonekanta!$D$3:$D$27,MATCH('S1 Sähkö'!$A309,Työkonekanta!$A$3:$A$24,0),1),"undefined")</f>
        <v>pom</v>
      </c>
      <c r="E309" s="145">
        <f>IFERROR(INDEX(Työkonekanta!$G$3:$G$27,MATCH($A309,Työkonekanta!$A$3:$A$24,0),1)*INDEX(Työkonekanta!$H$3:$H$27,MATCH($A309,Työkonekanta!$A$3:$A$24,0),1)*(1+s1_kerroin*($C309-2019))*$B309,0)</f>
        <v>11000</v>
      </c>
      <c r="F309" s="145">
        <f t="shared" si="76"/>
        <v>394900</v>
      </c>
      <c r="G309" s="145">
        <f t="shared" si="82"/>
        <v>355410</v>
      </c>
      <c r="H309" s="145">
        <f t="shared" si="83"/>
        <v>39490</v>
      </c>
      <c r="I309" s="145">
        <f t="shared" si="77"/>
        <v>9900</v>
      </c>
      <c r="J309" s="145">
        <f t="shared" si="78"/>
        <v>1151.3119533527697</v>
      </c>
      <c r="K309" s="142" t="str">
        <f t="shared" si="84"/>
        <v>l</v>
      </c>
      <c r="L309" s="146">
        <f>IFERROR(INDEX(Työkonekanta!$I$3:$I$27,MATCH('S1 Sähkö'!$A309,Työkonekanta!$A$3:$A$24,0),1)*(I309+J309)*f_adblue,0)</f>
        <v>0</v>
      </c>
      <c r="M309" s="146">
        <f t="shared" si="89"/>
        <v>0</v>
      </c>
      <c r="N309" s="143" t="str">
        <f>IF(tuulisähkö_vuosi&lt;='S1 Sähkö'!C309,"tuulisähkö",ostosähkö_nyt)</f>
        <v>jäännössähkö</v>
      </c>
      <c r="O309" s="147">
        <f>INDEX(Muuttujat!$J$5:$J$21,MATCH($C309,Muuttujat!$H$5:$H$21,0),1)</f>
        <v>62.625946521929137</v>
      </c>
      <c r="P309" s="342">
        <f>1-(INDEX(Muuttujat!$O$5:$O$21,MATCH($C309,Muuttujat!$N$5:$N$21,0),1))</f>
        <v>0.9</v>
      </c>
      <c r="Q309" s="342">
        <f>INDEX(Muuttujat!$O$5:$O$21,MATCH($C309,Muuttujat!$N$5:$N$21,0),1)</f>
        <v>0.1</v>
      </c>
      <c r="R309" s="148">
        <f>INDEX(Muuttujat!$P$5:$P$21,MATCH($C309,Muuttujat!$N$5:$N$21,0),1)</f>
        <v>0.10417875759940039</v>
      </c>
      <c r="S309" s="149">
        <f t="shared" si="79"/>
        <v>6.7172489999999989</v>
      </c>
      <c r="T309" s="150">
        <f t="shared" si="80"/>
        <v>2.4641760000000001</v>
      </c>
      <c r="U309" s="150">
        <f t="shared" si="81"/>
        <v>0</v>
      </c>
      <c r="V309" s="150">
        <f>IFERROR(INDEX(Työkonekanta!$J$3:$J$27,MATCH($A309,Työkonekanta!$A$3:$A$24,0),1)*$B309*ef_li_ion_akku/1000/1000/INDEX(Työkonekanta!$K$3:$K$27,MATCH($A309,Työkonekanta!$A$3:$A$24,0)),0)</f>
        <v>0</v>
      </c>
      <c r="W309" s="149">
        <f t="shared" si="90"/>
        <v>26.232191653140003</v>
      </c>
      <c r="X309" s="150">
        <f t="shared" si="91"/>
        <v>0.34952022600000004</v>
      </c>
      <c r="Y309" s="151">
        <f t="shared" si="92"/>
        <v>0</v>
      </c>
      <c r="Z309" s="152">
        <f t="shared" si="85"/>
        <v>9.1814249999999991</v>
      </c>
      <c r="AA309" s="153">
        <f t="shared" si="86"/>
        <v>26.232191653140003</v>
      </c>
      <c r="AB309" s="153">
        <f t="shared" si="87"/>
        <v>26.581711879140002</v>
      </c>
      <c r="AC309" s="154">
        <f t="shared" si="93"/>
        <v>35.413616653140004</v>
      </c>
      <c r="AD309" s="156">
        <f t="shared" si="88"/>
        <v>35.763136879139999</v>
      </c>
      <c r="AE309" s="182"/>
      <c r="AG309" s="2"/>
    </row>
    <row r="310" spans="1:33">
      <c r="A310" s="139">
        <v>8</v>
      </c>
      <c r="B310" s="139" cm="1">
        <f t="array" ref="B310">IFERROR(IF(A310=s1_id_korvattava1,INDEX($AG$3:$AG$19,MATCH(C310,$AF$3:$AF$19,0),1),IF(A310=s1_id_korvaava1,INDEX($AH$3:$AH$19,MATCH(C310,$AF$3:$AF$19,0),1),IF(A310=s1_id_korvattava2,INDEX($AI$3:$AI$19,MATCH(C310,$AF$3:$AF$19,0),1),IF(A310=s1_id_korvaava2,INDEX($AJ$3:$AJ$19,MATCH(C310,$AF$3:$AF$19,0),1),INDEX(Työkonekanta!$F$3:$F$27,MATCH('S1 Sähkö'!$A310,Työkonekanta!$A$3:$A$24,0),1))))),0)</f>
        <v>1</v>
      </c>
      <c r="C310" s="140">
        <v>2029</v>
      </c>
      <c r="D310" s="141" t="str">
        <f>IFERROR(INDEX(Työkonekanta!$D$3:$D$27,MATCH('S1 Sähkö'!$A310,Työkonekanta!$A$3:$A$24,0),1),"undefined")</f>
        <v>pom</v>
      </c>
      <c r="E310" s="145">
        <f>IFERROR(INDEX(Työkonekanta!$G$3:$G$27,MATCH($A310,Työkonekanta!$A$3:$A$24,0),1)*INDEX(Työkonekanta!$H$3:$H$27,MATCH($A310,Työkonekanta!$A$3:$A$24,0),1)*(1+s1_kerroin*($C310-2019))*$B310,0)</f>
        <v>11000</v>
      </c>
      <c r="F310" s="145">
        <f t="shared" si="76"/>
        <v>394900</v>
      </c>
      <c r="G310" s="145">
        <f t="shared" si="82"/>
        <v>355410</v>
      </c>
      <c r="H310" s="145">
        <f t="shared" si="83"/>
        <v>39490</v>
      </c>
      <c r="I310" s="145">
        <f t="shared" si="77"/>
        <v>9900</v>
      </c>
      <c r="J310" s="145">
        <f t="shared" si="78"/>
        <v>1151.3119533527697</v>
      </c>
      <c r="K310" s="142" t="str">
        <f t="shared" si="84"/>
        <v>l</v>
      </c>
      <c r="L310" s="146">
        <f>IFERROR(INDEX(Työkonekanta!$I$3:$I$27,MATCH('S1 Sähkö'!$A310,Työkonekanta!$A$3:$A$24,0),1)*(I310+J310)*f_adblue,0)</f>
        <v>552.56559766763849</v>
      </c>
      <c r="M310" s="146">
        <f t="shared" si="89"/>
        <v>0</v>
      </c>
      <c r="N310" s="143" t="str">
        <f>IF(tuulisähkö_vuosi&lt;='S1 Sähkö'!C310,"tuulisähkö",ostosähkö_nyt)</f>
        <v>jäännössähkö</v>
      </c>
      <c r="O310" s="147">
        <f>INDEX(Muuttujat!$J$5:$J$21,MATCH($C310,Muuttujat!$H$5:$H$21,0),1)</f>
        <v>62.625946521929137</v>
      </c>
      <c r="P310" s="342">
        <f>1-(INDEX(Muuttujat!$O$5:$O$21,MATCH($C310,Muuttujat!$N$5:$N$21,0),1))</f>
        <v>0.9</v>
      </c>
      <c r="Q310" s="342">
        <f>INDEX(Muuttujat!$O$5:$O$21,MATCH($C310,Muuttujat!$N$5:$N$21,0),1)</f>
        <v>0.1</v>
      </c>
      <c r="R310" s="148">
        <f>INDEX(Muuttujat!$P$5:$P$21,MATCH($C310,Muuttujat!$N$5:$N$21,0),1)</f>
        <v>0.10417875759940039</v>
      </c>
      <c r="S310" s="149">
        <f t="shared" si="79"/>
        <v>6.7172489999999989</v>
      </c>
      <c r="T310" s="150">
        <f t="shared" si="80"/>
        <v>2.4641760000000001</v>
      </c>
      <c r="U310" s="150">
        <f t="shared" si="81"/>
        <v>0</v>
      </c>
      <c r="V310" s="150">
        <f>IFERROR(INDEX(Työkonekanta!$J$3:$J$27,MATCH($A310,Työkonekanta!$A$3:$A$24,0),1)*$B310*ef_li_ion_akku/1000/1000/INDEX(Työkonekanta!$K$3:$K$27,MATCH($A310,Työkonekanta!$A$3:$A$24,0)),0)</f>
        <v>0</v>
      </c>
      <c r="W310" s="149">
        <f t="shared" si="90"/>
        <v>26.232191653140003</v>
      </c>
      <c r="X310" s="150">
        <f t="shared" si="91"/>
        <v>0.34952022600000004</v>
      </c>
      <c r="Y310" s="151">
        <f t="shared" si="92"/>
        <v>0.14366705539358599</v>
      </c>
      <c r="Z310" s="152">
        <f t="shared" si="85"/>
        <v>9.1814249999999991</v>
      </c>
      <c r="AA310" s="153">
        <f t="shared" si="86"/>
        <v>26.375858708533588</v>
      </c>
      <c r="AB310" s="153">
        <f t="shared" si="87"/>
        <v>26.725378934533587</v>
      </c>
      <c r="AC310" s="154">
        <f t="shared" si="93"/>
        <v>35.557283708533589</v>
      </c>
      <c r="AD310" s="156">
        <f t="shared" si="88"/>
        <v>35.906803934533585</v>
      </c>
      <c r="AE310" s="182"/>
      <c r="AG310" s="2"/>
    </row>
    <row r="311" spans="1:33">
      <c r="A311" s="139">
        <v>9</v>
      </c>
      <c r="B311" s="139" cm="1">
        <f t="array" ref="B311">IFERROR(IF(A311=s1_id_korvattava1,INDEX($AG$3:$AG$19,MATCH(C311,$AF$3:$AF$19,0),1),IF(A311=s1_id_korvaava1,INDEX($AH$3:$AH$19,MATCH(C311,$AF$3:$AF$19,0),1),IF(A311=s1_id_korvattava2,INDEX($AI$3:$AI$19,MATCH(C311,$AF$3:$AF$19,0),1),IF(A311=s1_id_korvaava2,INDEX($AJ$3:$AJ$19,MATCH(C311,$AF$3:$AF$19,0),1),INDEX(Työkonekanta!$F$3:$F$27,MATCH('S1 Sähkö'!$A311,Työkonekanta!$A$3:$A$24,0),1))))),0)</f>
        <v>0</v>
      </c>
      <c r="C311" s="140">
        <v>2029</v>
      </c>
      <c r="D311" s="141" t="str">
        <f>IFERROR(INDEX(Työkonekanta!$D$3:$D$27,MATCH('S1 Sähkö'!$A311,Työkonekanta!$A$3:$A$24,0),1),"undefined")</f>
        <v>sähkö</v>
      </c>
      <c r="E311" s="145">
        <f>IFERROR(INDEX(Työkonekanta!$G$3:$G$27,MATCH($A311,Työkonekanta!$A$3:$A$24,0),1)*INDEX(Työkonekanta!$H$3:$H$27,MATCH($A311,Työkonekanta!$A$3:$A$24,0),1)*(1+s1_kerroin*($C311-2019))*$B311,0)</f>
        <v>0</v>
      </c>
      <c r="F311" s="145">
        <f t="shared" si="76"/>
        <v>0</v>
      </c>
      <c r="G311" s="145">
        <f t="shared" si="82"/>
        <v>0</v>
      </c>
      <c r="H311" s="145">
        <f t="shared" si="83"/>
        <v>0</v>
      </c>
      <c r="I311" s="145">
        <f t="shared" si="77"/>
        <v>0</v>
      </c>
      <c r="J311" s="145">
        <f t="shared" si="78"/>
        <v>0</v>
      </c>
      <c r="K311" s="142" t="str">
        <f t="shared" si="84"/>
        <v>kWh</v>
      </c>
      <c r="L311" s="146">
        <f>IFERROR(INDEX(Työkonekanta!$I$3:$I$27,MATCH('S1 Sähkö'!$A311,Työkonekanta!$A$3:$A$24,0),1)*(I311+J311)*f_adblue,0)</f>
        <v>0</v>
      </c>
      <c r="M311" s="146">
        <f t="shared" si="89"/>
        <v>0</v>
      </c>
      <c r="N311" s="143" t="str">
        <f>IF(tuulisähkö_vuosi&lt;='S1 Sähkö'!C311,"tuulisähkö",ostosähkö_nyt)</f>
        <v>jäännössähkö</v>
      </c>
      <c r="O311" s="147">
        <f>INDEX(Muuttujat!$J$5:$J$21,MATCH($C311,Muuttujat!$H$5:$H$21,0),1)</f>
        <v>62.625946521929137</v>
      </c>
      <c r="P311" s="342">
        <f>1-(INDEX(Muuttujat!$O$5:$O$21,MATCH($C311,Muuttujat!$N$5:$N$21,0),1))</f>
        <v>0.9</v>
      </c>
      <c r="Q311" s="342">
        <f>INDEX(Muuttujat!$O$5:$O$21,MATCH($C311,Muuttujat!$N$5:$N$21,0),1)</f>
        <v>0.1</v>
      </c>
      <c r="R311" s="148">
        <f>INDEX(Muuttujat!$P$5:$P$21,MATCH($C311,Muuttujat!$N$5:$N$21,0),1)</f>
        <v>0.10417875759940039</v>
      </c>
      <c r="S311" s="149">
        <f t="shared" si="79"/>
        <v>0</v>
      </c>
      <c r="T311" s="150">
        <f t="shared" si="80"/>
        <v>0</v>
      </c>
      <c r="U311" s="150">
        <f t="shared" si="81"/>
        <v>0</v>
      </c>
      <c r="V311" s="150">
        <f>IFERROR(INDEX(Työkonekanta!$J$3:$J$27,MATCH($A311,Työkonekanta!$A$3:$A$24,0),1)*$B311*ef_li_ion_akku/1000/1000/INDEX(Työkonekanta!$K$3:$K$27,MATCH($A311,Työkonekanta!$A$3:$A$24,0)),0)</f>
        <v>0</v>
      </c>
      <c r="W311" s="149">
        <f t="shared" si="90"/>
        <v>0</v>
      </c>
      <c r="X311" s="150">
        <f t="shared" si="91"/>
        <v>0</v>
      </c>
      <c r="Y311" s="151">
        <f t="shared" si="92"/>
        <v>0</v>
      </c>
      <c r="Z311" s="152">
        <f t="shared" si="85"/>
        <v>0</v>
      </c>
      <c r="AA311" s="153">
        <f t="shared" si="86"/>
        <v>0</v>
      </c>
      <c r="AB311" s="153">
        <f t="shared" si="87"/>
        <v>0</v>
      </c>
      <c r="AC311" s="154">
        <f t="shared" si="93"/>
        <v>0</v>
      </c>
      <c r="AD311" s="156">
        <f t="shared" si="88"/>
        <v>0</v>
      </c>
      <c r="AE311" s="182"/>
      <c r="AG311" s="2"/>
    </row>
    <row r="312" spans="1:33">
      <c r="A312" s="139">
        <v>10</v>
      </c>
      <c r="B312" s="139" cm="1">
        <f t="array" ref="B312">IFERROR(IF(A312=s1_id_korvattava1,INDEX($AG$3:$AG$19,MATCH(C312,$AF$3:$AF$19,0),1),IF(A312=s1_id_korvaava1,INDEX($AH$3:$AH$19,MATCH(C312,$AF$3:$AF$19,0),1),IF(A312=s1_id_korvattava2,INDEX($AI$3:$AI$19,MATCH(C312,$AF$3:$AF$19,0),1),IF(A312=s1_id_korvaava2,INDEX($AJ$3:$AJ$19,MATCH(C312,$AF$3:$AF$19,0),1),INDEX(Työkonekanta!$F$3:$F$27,MATCH('S1 Sähkö'!$A312,Työkonekanta!$A$3:$A$24,0),1))))),0)</f>
        <v>0</v>
      </c>
      <c r="C312" s="140">
        <v>2029</v>
      </c>
      <c r="D312" s="141" t="str">
        <f>IFERROR(INDEX(Työkonekanta!$D$3:$D$27,MATCH('S1 Sähkö'!$A312,Työkonekanta!$A$3:$A$24,0),1),"undefined")</f>
        <v>sähkö</v>
      </c>
      <c r="E312" s="145">
        <f>IFERROR(INDEX(Työkonekanta!$G$3:$G$27,MATCH($A312,Työkonekanta!$A$3:$A$24,0),1)*INDEX(Työkonekanta!$H$3:$H$27,MATCH($A312,Työkonekanta!$A$3:$A$24,0),1)*(1+s1_kerroin*($C312-2019))*$B312,0)</f>
        <v>0</v>
      </c>
      <c r="F312" s="145">
        <f t="shared" si="76"/>
        <v>0</v>
      </c>
      <c r="G312" s="145">
        <f t="shared" si="82"/>
        <v>0</v>
      </c>
      <c r="H312" s="145">
        <f t="shared" si="83"/>
        <v>0</v>
      </c>
      <c r="I312" s="145">
        <f t="shared" si="77"/>
        <v>0</v>
      </c>
      <c r="J312" s="145">
        <f t="shared" si="78"/>
        <v>0</v>
      </c>
      <c r="K312" s="142" t="str">
        <f t="shared" si="84"/>
        <v>kWh</v>
      </c>
      <c r="L312" s="146">
        <f>IFERROR(INDEX(Työkonekanta!$I$3:$I$27,MATCH('S1 Sähkö'!$A312,Työkonekanta!$A$3:$A$24,0),1)*(I312+J312)*f_adblue,0)</f>
        <v>0</v>
      </c>
      <c r="M312" s="146">
        <f t="shared" si="89"/>
        <v>0</v>
      </c>
      <c r="N312" s="143" t="str">
        <f>IF(tuulisähkö_vuosi&lt;='S1 Sähkö'!C312,"tuulisähkö",ostosähkö_nyt)</f>
        <v>jäännössähkö</v>
      </c>
      <c r="O312" s="147">
        <f>INDEX(Muuttujat!$J$5:$J$21,MATCH($C312,Muuttujat!$H$5:$H$21,0),1)</f>
        <v>62.625946521929137</v>
      </c>
      <c r="P312" s="342">
        <f>1-(INDEX(Muuttujat!$O$5:$O$21,MATCH($C312,Muuttujat!$N$5:$N$21,0),1))</f>
        <v>0.9</v>
      </c>
      <c r="Q312" s="342">
        <f>INDEX(Muuttujat!$O$5:$O$21,MATCH($C312,Muuttujat!$N$5:$N$21,0),1)</f>
        <v>0.1</v>
      </c>
      <c r="R312" s="148">
        <f>INDEX(Muuttujat!$P$5:$P$21,MATCH($C312,Muuttujat!$N$5:$N$21,0),1)</f>
        <v>0.10417875759940039</v>
      </c>
      <c r="S312" s="149">
        <f t="shared" si="79"/>
        <v>0</v>
      </c>
      <c r="T312" s="150">
        <f t="shared" si="80"/>
        <v>0</v>
      </c>
      <c r="U312" s="150">
        <f t="shared" si="81"/>
        <v>0</v>
      </c>
      <c r="V312" s="150">
        <f>IFERROR(INDEX(Työkonekanta!$J$3:$J$27,MATCH($A312,Työkonekanta!$A$3:$A$24,0),1)*$B312*ef_li_ion_akku/1000/1000/INDEX(Työkonekanta!$K$3:$K$27,MATCH($A312,Työkonekanta!$A$3:$A$24,0)),0)</f>
        <v>0</v>
      </c>
      <c r="W312" s="149">
        <f t="shared" si="90"/>
        <v>0</v>
      </c>
      <c r="X312" s="150">
        <f t="shared" si="91"/>
        <v>0</v>
      </c>
      <c r="Y312" s="151">
        <f t="shared" si="92"/>
        <v>0</v>
      </c>
      <c r="Z312" s="152">
        <f t="shared" si="85"/>
        <v>0</v>
      </c>
      <c r="AA312" s="153">
        <f t="shared" si="86"/>
        <v>0</v>
      </c>
      <c r="AB312" s="153">
        <f t="shared" si="87"/>
        <v>0</v>
      </c>
      <c r="AC312" s="154">
        <f t="shared" si="93"/>
        <v>0</v>
      </c>
      <c r="AD312" s="156">
        <f t="shared" si="88"/>
        <v>0</v>
      </c>
      <c r="AE312" s="182"/>
      <c r="AG312" s="2"/>
    </row>
    <row r="313" spans="1:33">
      <c r="A313" s="139">
        <v>11</v>
      </c>
      <c r="B313" s="139" cm="1">
        <f t="array" ref="B313">IFERROR(IF(A313=s1_id_korvattava1,INDEX($AG$3:$AG$19,MATCH(C313,$AF$3:$AF$19,0),1),IF(A313=s1_id_korvaava1,INDEX($AH$3:$AH$19,MATCH(C313,$AF$3:$AF$19,0),1),IF(A313=s1_id_korvattava2,INDEX($AI$3:$AI$19,MATCH(C313,$AF$3:$AF$19,0),1),IF(A313=s1_id_korvaava2,INDEX($AJ$3:$AJ$19,MATCH(C313,$AF$3:$AF$19,0),1),INDEX(Työkonekanta!$F$3:$F$27,MATCH('S1 Sähkö'!$A313,Työkonekanta!$A$3:$A$24,0),1))))),0)</f>
        <v>1</v>
      </c>
      <c r="C313" s="140">
        <v>2029</v>
      </c>
      <c r="D313" s="141" t="str">
        <f>IFERROR(INDEX(Työkonekanta!$D$3:$D$27,MATCH('S1 Sähkö'!$A313,Työkonekanta!$A$3:$A$24,0),1),"undefined")</f>
        <v>pom</v>
      </c>
      <c r="E313" s="145">
        <f>IFERROR(INDEX(Työkonekanta!$G$3:$G$27,MATCH($A313,Työkonekanta!$A$3:$A$24,0),1)*INDEX(Työkonekanta!$H$3:$H$27,MATCH($A313,Työkonekanta!$A$3:$A$24,0),1)*(1+s1_kerroin*($C313-2019))*$B313,0)</f>
        <v>11000</v>
      </c>
      <c r="F313" s="145">
        <f t="shared" si="76"/>
        <v>394900</v>
      </c>
      <c r="G313" s="145">
        <f t="shared" si="82"/>
        <v>355410</v>
      </c>
      <c r="H313" s="145">
        <f t="shared" si="83"/>
        <v>39490</v>
      </c>
      <c r="I313" s="145">
        <f t="shared" si="77"/>
        <v>9900</v>
      </c>
      <c r="J313" s="145">
        <f t="shared" si="78"/>
        <v>1151.3119533527697</v>
      </c>
      <c r="K313" s="142" t="str">
        <f t="shared" si="84"/>
        <v>l</v>
      </c>
      <c r="L313" s="146">
        <f>IFERROR(INDEX(Työkonekanta!$I$3:$I$27,MATCH('S1 Sähkö'!$A313,Työkonekanta!$A$3:$A$24,0),1)*(I313+J313)*f_adblue,0)</f>
        <v>552.56559766763849</v>
      </c>
      <c r="M313" s="146">
        <f t="shared" si="89"/>
        <v>0</v>
      </c>
      <c r="N313" s="143" t="str">
        <f>IF(tuulisähkö_vuosi&lt;='S1 Sähkö'!C313,"tuulisähkö",ostosähkö_nyt)</f>
        <v>jäännössähkö</v>
      </c>
      <c r="O313" s="147">
        <f>INDEX(Muuttujat!$J$5:$J$21,MATCH($C313,Muuttujat!$H$5:$H$21,0),1)</f>
        <v>62.625946521929137</v>
      </c>
      <c r="P313" s="342">
        <f>1-(INDEX(Muuttujat!$O$5:$O$21,MATCH($C313,Muuttujat!$N$5:$N$21,0),1))</f>
        <v>0.9</v>
      </c>
      <c r="Q313" s="342">
        <f>INDEX(Muuttujat!$O$5:$O$21,MATCH($C313,Muuttujat!$N$5:$N$21,0),1)</f>
        <v>0.1</v>
      </c>
      <c r="R313" s="148">
        <f>INDEX(Muuttujat!$P$5:$P$21,MATCH($C313,Muuttujat!$N$5:$N$21,0),1)</f>
        <v>0.10417875759940039</v>
      </c>
      <c r="S313" s="149">
        <f t="shared" si="79"/>
        <v>6.7172489999999989</v>
      </c>
      <c r="T313" s="150">
        <f t="shared" si="80"/>
        <v>2.4641760000000001</v>
      </c>
      <c r="U313" s="150">
        <f t="shared" si="81"/>
        <v>0</v>
      </c>
      <c r="V313" s="150">
        <f>IFERROR(INDEX(Työkonekanta!$J$3:$J$27,MATCH($A313,Työkonekanta!$A$3:$A$24,0),1)*$B313*ef_li_ion_akku/1000/1000/INDEX(Työkonekanta!$K$3:$K$27,MATCH($A313,Työkonekanta!$A$3:$A$24,0)),0)</f>
        <v>0</v>
      </c>
      <c r="W313" s="149">
        <f t="shared" si="90"/>
        <v>26.232191653140003</v>
      </c>
      <c r="X313" s="150">
        <f t="shared" si="91"/>
        <v>0.34952022600000004</v>
      </c>
      <c r="Y313" s="151">
        <f t="shared" si="92"/>
        <v>0.14366705539358599</v>
      </c>
      <c r="Z313" s="152">
        <f t="shared" si="85"/>
        <v>9.1814249999999991</v>
      </c>
      <c r="AA313" s="153">
        <f t="shared" si="86"/>
        <v>26.375858708533588</v>
      </c>
      <c r="AB313" s="153">
        <f t="shared" si="87"/>
        <v>26.725378934533587</v>
      </c>
      <c r="AC313" s="154">
        <f t="shared" si="93"/>
        <v>35.557283708533589</v>
      </c>
      <c r="AD313" s="156">
        <f t="shared" si="88"/>
        <v>35.906803934533585</v>
      </c>
      <c r="AE313" s="182"/>
      <c r="AG313" s="2"/>
    </row>
    <row r="314" spans="1:33">
      <c r="A314" s="139">
        <v>12</v>
      </c>
      <c r="B314" s="139" cm="1">
        <f t="array" ref="B314">IFERROR(IF(A314=s1_id_korvattava1,INDEX($AG$3:$AG$19,MATCH(C314,$AF$3:$AF$19,0),1),IF(A314=s1_id_korvaava1,INDEX($AH$3:$AH$19,MATCH(C314,$AF$3:$AF$19,0),1),IF(A314=s1_id_korvattava2,INDEX($AI$3:$AI$19,MATCH(C314,$AF$3:$AF$19,0),1),IF(A314=s1_id_korvaava2,INDEX($AJ$3:$AJ$19,MATCH(C314,$AF$3:$AF$19,0),1),INDEX(Työkonekanta!$F$3:$F$27,MATCH('S1 Sähkö'!$A314,Työkonekanta!$A$3:$A$24,0),1))))),0)</f>
        <v>1</v>
      </c>
      <c r="C314" s="140">
        <v>2029</v>
      </c>
      <c r="D314" s="141" t="str">
        <f>IFERROR(INDEX(Työkonekanta!$D$3:$D$27,MATCH('S1 Sähkö'!$A314,Työkonekanta!$A$3:$A$24,0),1),"undefined")</f>
        <v>pom</v>
      </c>
      <c r="E314" s="145">
        <f>IFERROR(INDEX(Työkonekanta!$G$3:$G$27,MATCH($A314,Työkonekanta!$A$3:$A$24,0),1)*INDEX(Työkonekanta!$H$3:$H$27,MATCH($A314,Työkonekanta!$A$3:$A$24,0),1)*(1+s1_kerroin*($C314-2019))*$B314,0)</f>
        <v>11000</v>
      </c>
      <c r="F314" s="145">
        <f t="shared" si="76"/>
        <v>394900</v>
      </c>
      <c r="G314" s="145">
        <f t="shared" si="82"/>
        <v>355410</v>
      </c>
      <c r="H314" s="145">
        <f t="shared" si="83"/>
        <v>39490</v>
      </c>
      <c r="I314" s="145">
        <f t="shared" si="77"/>
        <v>9900</v>
      </c>
      <c r="J314" s="145">
        <f t="shared" si="78"/>
        <v>1151.3119533527697</v>
      </c>
      <c r="K314" s="142" t="str">
        <f t="shared" si="84"/>
        <v>l</v>
      </c>
      <c r="L314" s="146">
        <f>IFERROR(INDEX(Työkonekanta!$I$3:$I$27,MATCH('S1 Sähkö'!$A314,Työkonekanta!$A$3:$A$24,0),1)*(I314+J314)*f_adblue,0)</f>
        <v>552.56559766763849</v>
      </c>
      <c r="M314" s="146">
        <f t="shared" si="89"/>
        <v>0</v>
      </c>
      <c r="N314" s="143" t="str">
        <f>IF(tuulisähkö_vuosi&lt;='S1 Sähkö'!C314,"tuulisähkö",ostosähkö_nyt)</f>
        <v>jäännössähkö</v>
      </c>
      <c r="O314" s="147">
        <f>INDEX(Muuttujat!$J$5:$J$21,MATCH($C314,Muuttujat!$H$5:$H$21,0),1)</f>
        <v>62.625946521929137</v>
      </c>
      <c r="P314" s="342">
        <f>1-(INDEX(Muuttujat!$O$5:$O$21,MATCH($C314,Muuttujat!$N$5:$N$21,0),1))</f>
        <v>0.9</v>
      </c>
      <c r="Q314" s="342">
        <f>INDEX(Muuttujat!$O$5:$O$21,MATCH($C314,Muuttujat!$N$5:$N$21,0),1)</f>
        <v>0.1</v>
      </c>
      <c r="R314" s="148">
        <f>INDEX(Muuttujat!$P$5:$P$21,MATCH($C314,Muuttujat!$N$5:$N$21,0),1)</f>
        <v>0.10417875759940039</v>
      </c>
      <c r="S314" s="149">
        <f t="shared" si="79"/>
        <v>6.7172489999999989</v>
      </c>
      <c r="T314" s="150">
        <f t="shared" si="80"/>
        <v>2.4641760000000001</v>
      </c>
      <c r="U314" s="150">
        <f t="shared" si="81"/>
        <v>0</v>
      </c>
      <c r="V314" s="150">
        <f>IFERROR(INDEX(Työkonekanta!$J$3:$J$27,MATCH($A314,Työkonekanta!$A$3:$A$24,0),1)*$B314*ef_li_ion_akku/1000/1000/INDEX(Työkonekanta!$K$3:$K$27,MATCH($A314,Työkonekanta!$A$3:$A$24,0)),0)</f>
        <v>0</v>
      </c>
      <c r="W314" s="149">
        <f t="shared" si="90"/>
        <v>26.232191653140003</v>
      </c>
      <c r="X314" s="150">
        <f t="shared" si="91"/>
        <v>0.34952022600000004</v>
      </c>
      <c r="Y314" s="151">
        <f t="shared" si="92"/>
        <v>0.14366705539358599</v>
      </c>
      <c r="Z314" s="152">
        <f t="shared" si="85"/>
        <v>9.1814249999999991</v>
      </c>
      <c r="AA314" s="153">
        <f t="shared" si="86"/>
        <v>26.375858708533588</v>
      </c>
      <c r="AB314" s="153">
        <f t="shared" si="87"/>
        <v>26.725378934533587</v>
      </c>
      <c r="AC314" s="154">
        <f t="shared" si="93"/>
        <v>35.557283708533589</v>
      </c>
      <c r="AD314" s="156">
        <f t="shared" si="88"/>
        <v>35.906803934533585</v>
      </c>
      <c r="AE314" s="182"/>
      <c r="AG314" s="2"/>
    </row>
    <row r="315" spans="1:33">
      <c r="A315" s="139">
        <v>13</v>
      </c>
      <c r="B315" s="139" cm="1">
        <f t="array" ref="B315">IFERROR(IF(A315=s1_id_korvattava1,INDEX($AG$3:$AG$19,MATCH(C315,$AF$3:$AF$19,0),1),IF(A315=s1_id_korvaava1,INDEX($AH$3:$AH$19,MATCH(C315,$AF$3:$AF$19,0),1),IF(A315=s1_id_korvattava2,INDEX($AI$3:$AI$19,MATCH(C315,$AF$3:$AF$19,0),1),IF(A315=s1_id_korvaava2,INDEX($AJ$3:$AJ$19,MATCH(C315,$AF$3:$AF$19,0),1),INDEX(Työkonekanta!$F$3:$F$27,MATCH('S1 Sähkö'!$A315,Työkonekanta!$A$3:$A$24,0),1))))),0)</f>
        <v>0</v>
      </c>
      <c r="C315" s="140">
        <v>2029</v>
      </c>
      <c r="D315" s="141" t="str">
        <f>IFERROR(INDEX(Työkonekanta!$D$3:$D$27,MATCH('S1 Sähkö'!$A315,Työkonekanta!$A$3:$A$24,0),1),"undefined")</f>
        <v>pom</v>
      </c>
      <c r="E315" s="145">
        <f>IFERROR(INDEX(Työkonekanta!$G$3:$G$27,MATCH($A315,Työkonekanta!$A$3:$A$24,0),1)*INDEX(Työkonekanta!$H$3:$H$27,MATCH($A315,Työkonekanta!$A$3:$A$24,0),1)*(1+s1_kerroin*($C315-2019))*$B315,0)</f>
        <v>0</v>
      </c>
      <c r="F315" s="145">
        <f t="shared" si="76"/>
        <v>0</v>
      </c>
      <c r="G315" s="145">
        <f t="shared" si="82"/>
        <v>0</v>
      </c>
      <c r="H315" s="145">
        <f t="shared" si="83"/>
        <v>0</v>
      </c>
      <c r="I315" s="145">
        <f t="shared" si="77"/>
        <v>0</v>
      </c>
      <c r="J315" s="145">
        <f t="shared" si="78"/>
        <v>0</v>
      </c>
      <c r="K315" s="142" t="str">
        <f t="shared" si="84"/>
        <v>l</v>
      </c>
      <c r="L315" s="146">
        <f>IFERROR(INDEX(Työkonekanta!$I$3:$I$27,MATCH('S1 Sähkö'!$A315,Työkonekanta!$A$3:$A$24,0),1)*(I315+J315)*f_adblue,0)</f>
        <v>0</v>
      </c>
      <c r="M315" s="146">
        <f t="shared" si="89"/>
        <v>0</v>
      </c>
      <c r="N315" s="143" t="str">
        <f>IF(tuulisähkö_vuosi&lt;='S1 Sähkö'!C315,"tuulisähkö",ostosähkö_nyt)</f>
        <v>jäännössähkö</v>
      </c>
      <c r="O315" s="147">
        <f>INDEX(Muuttujat!$J$5:$J$21,MATCH($C315,Muuttujat!$H$5:$H$21,0),1)</f>
        <v>62.625946521929137</v>
      </c>
      <c r="P315" s="342">
        <f>1-(INDEX(Muuttujat!$O$5:$O$21,MATCH($C315,Muuttujat!$N$5:$N$21,0),1))</f>
        <v>0.9</v>
      </c>
      <c r="Q315" s="342">
        <f>INDEX(Muuttujat!$O$5:$O$21,MATCH($C315,Muuttujat!$N$5:$N$21,0),1)</f>
        <v>0.1</v>
      </c>
      <c r="R315" s="148">
        <f>INDEX(Muuttujat!$P$5:$P$21,MATCH($C315,Muuttujat!$N$5:$N$21,0),1)</f>
        <v>0.10417875759940039</v>
      </c>
      <c r="S315" s="149">
        <f t="shared" si="79"/>
        <v>0</v>
      </c>
      <c r="T315" s="150">
        <f t="shared" si="80"/>
        <v>0</v>
      </c>
      <c r="U315" s="150">
        <f t="shared" si="81"/>
        <v>0</v>
      </c>
      <c r="V315" s="150">
        <f>IFERROR(INDEX(Työkonekanta!$J$3:$J$27,MATCH($A315,Työkonekanta!$A$3:$A$24,0),1)*$B315*ef_li_ion_akku/1000/1000/INDEX(Työkonekanta!$K$3:$K$27,MATCH($A315,Työkonekanta!$A$3:$A$24,0)),0)</f>
        <v>0</v>
      </c>
      <c r="W315" s="149">
        <f t="shared" si="90"/>
        <v>0</v>
      </c>
      <c r="X315" s="150">
        <f t="shared" si="91"/>
        <v>0</v>
      </c>
      <c r="Y315" s="151">
        <f t="shared" si="92"/>
        <v>0</v>
      </c>
      <c r="Z315" s="152">
        <f t="shared" si="85"/>
        <v>0</v>
      </c>
      <c r="AA315" s="153">
        <f t="shared" si="86"/>
        <v>0</v>
      </c>
      <c r="AB315" s="153">
        <f t="shared" si="87"/>
        <v>0</v>
      </c>
      <c r="AC315" s="154">
        <f t="shared" si="93"/>
        <v>0</v>
      </c>
      <c r="AD315" s="156">
        <f t="shared" si="88"/>
        <v>0</v>
      </c>
      <c r="AE315" s="182"/>
      <c r="AG315" s="2"/>
    </row>
    <row r="316" spans="1:33">
      <c r="A316" s="139">
        <v>14</v>
      </c>
      <c r="B316" s="139" cm="1">
        <f t="array" ref="B316">IFERROR(IF(A316=s1_id_korvattava1,INDEX($AG$3:$AG$19,MATCH(C316,$AF$3:$AF$19,0),1),IF(A316=s1_id_korvaava1,INDEX($AH$3:$AH$19,MATCH(C316,$AF$3:$AF$19,0),1),IF(A316=s1_id_korvattava2,INDEX($AI$3:$AI$19,MATCH(C316,$AF$3:$AF$19,0),1),IF(A316=s1_id_korvaava2,INDEX($AJ$3:$AJ$19,MATCH(C316,$AF$3:$AF$19,0),1),INDEX(Työkonekanta!$F$3:$F$27,MATCH('S1 Sähkö'!$A316,Työkonekanta!$A$3:$A$24,0),1))))),0)</f>
        <v>0</v>
      </c>
      <c r="C316" s="140">
        <v>2029</v>
      </c>
      <c r="D316" s="141" t="str">
        <f>IFERROR(INDEX(Työkonekanta!$D$3:$D$27,MATCH('S1 Sähkö'!$A316,Työkonekanta!$A$3:$A$24,0),1),"undefined")</f>
        <v>pom</v>
      </c>
      <c r="E316" s="145">
        <f>IFERROR(INDEX(Työkonekanta!$G$3:$G$27,MATCH($A316,Työkonekanta!$A$3:$A$24,0),1)*INDEX(Työkonekanta!$H$3:$H$27,MATCH($A316,Työkonekanta!$A$3:$A$24,0),1)*(1+s1_kerroin*($C316-2019))*$B316,0)</f>
        <v>0</v>
      </c>
      <c r="F316" s="145">
        <f t="shared" si="76"/>
        <v>0</v>
      </c>
      <c r="G316" s="145">
        <f t="shared" si="82"/>
        <v>0</v>
      </c>
      <c r="H316" s="145">
        <f t="shared" si="83"/>
        <v>0</v>
      </c>
      <c r="I316" s="145">
        <f t="shared" si="77"/>
        <v>0</v>
      </c>
      <c r="J316" s="145">
        <f t="shared" si="78"/>
        <v>0</v>
      </c>
      <c r="K316" s="142" t="str">
        <f t="shared" si="84"/>
        <v>l</v>
      </c>
      <c r="L316" s="146">
        <f>IFERROR(INDEX(Työkonekanta!$I$3:$I$27,MATCH('S1 Sähkö'!$A316,Työkonekanta!$A$3:$A$24,0),1)*(I316+J316)*f_adblue,0)</f>
        <v>0</v>
      </c>
      <c r="M316" s="146">
        <f t="shared" si="89"/>
        <v>0</v>
      </c>
      <c r="N316" s="143" t="str">
        <f>IF(tuulisähkö_vuosi&lt;='S1 Sähkö'!C316,"tuulisähkö",ostosähkö_nyt)</f>
        <v>jäännössähkö</v>
      </c>
      <c r="O316" s="147">
        <f>INDEX(Muuttujat!$J$5:$J$21,MATCH($C316,Muuttujat!$H$5:$H$21,0),1)</f>
        <v>62.625946521929137</v>
      </c>
      <c r="P316" s="342">
        <f>1-(INDEX(Muuttujat!$O$5:$O$21,MATCH($C316,Muuttujat!$N$5:$N$21,0),1))</f>
        <v>0.9</v>
      </c>
      <c r="Q316" s="342">
        <f>INDEX(Muuttujat!$O$5:$O$21,MATCH($C316,Muuttujat!$N$5:$N$21,0),1)</f>
        <v>0.1</v>
      </c>
      <c r="R316" s="148">
        <f>INDEX(Muuttujat!$P$5:$P$21,MATCH($C316,Muuttujat!$N$5:$N$21,0),1)</f>
        <v>0.10417875759940039</v>
      </c>
      <c r="S316" s="149">
        <f t="shared" si="79"/>
        <v>0</v>
      </c>
      <c r="T316" s="150">
        <f t="shared" si="80"/>
        <v>0</v>
      </c>
      <c r="U316" s="150">
        <f t="shared" si="81"/>
        <v>0</v>
      </c>
      <c r="V316" s="150">
        <f>IFERROR(INDEX(Työkonekanta!$J$3:$J$27,MATCH($A316,Työkonekanta!$A$3:$A$24,0),1)*$B316*ef_li_ion_akku/1000/1000/INDEX(Työkonekanta!$K$3:$K$27,MATCH($A316,Työkonekanta!$A$3:$A$24,0)),0)</f>
        <v>0</v>
      </c>
      <c r="W316" s="149">
        <f t="shared" si="90"/>
        <v>0</v>
      </c>
      <c r="X316" s="150">
        <f t="shared" si="91"/>
        <v>0</v>
      </c>
      <c r="Y316" s="151">
        <f t="shared" si="92"/>
        <v>0</v>
      </c>
      <c r="Z316" s="152">
        <f t="shared" si="85"/>
        <v>0</v>
      </c>
      <c r="AA316" s="153">
        <f t="shared" si="86"/>
        <v>0</v>
      </c>
      <c r="AB316" s="153">
        <f t="shared" si="87"/>
        <v>0</v>
      </c>
      <c r="AC316" s="154">
        <f t="shared" si="93"/>
        <v>0</v>
      </c>
      <c r="AD316" s="156">
        <f t="shared" si="88"/>
        <v>0</v>
      </c>
      <c r="AE316" s="182"/>
      <c r="AG316" s="2"/>
    </row>
    <row r="317" spans="1:33">
      <c r="A317" s="139">
        <v>15</v>
      </c>
      <c r="B317" s="139" cm="1">
        <f t="array" ref="B317">IFERROR(IF(A317=s1_id_korvattava1,INDEX($AG$3:$AG$19,MATCH(C317,$AF$3:$AF$19,0),1),IF(A317=s1_id_korvaava1,INDEX($AH$3:$AH$19,MATCH(C317,$AF$3:$AF$19,0),1),IF(A317=s1_id_korvattava2,INDEX($AI$3:$AI$19,MATCH(C317,$AF$3:$AF$19,0),1),IF(A317=s1_id_korvaava2,INDEX($AJ$3:$AJ$19,MATCH(C317,$AF$3:$AF$19,0),1),INDEX(Työkonekanta!$F$3:$F$27,MATCH('S1 Sähkö'!$A317,Työkonekanta!$A$3:$A$24,0),1))))),0)</f>
        <v>0</v>
      </c>
      <c r="C317" s="140">
        <v>2029</v>
      </c>
      <c r="D317" s="141" t="str">
        <f>IFERROR(INDEX(Työkonekanta!$D$3:$D$27,MATCH('S1 Sähkö'!$A317,Työkonekanta!$A$3:$A$24,0),1),"undefined")</f>
        <v>sähkö</v>
      </c>
      <c r="E317" s="145">
        <f>IFERROR(INDEX(Työkonekanta!$G$3:$G$27,MATCH($A317,Työkonekanta!$A$3:$A$24,0),1)*INDEX(Työkonekanta!$H$3:$H$27,MATCH($A317,Työkonekanta!$A$3:$A$24,0),1)*(1+s1_kerroin*($C317-2019))*$B317,0)</f>
        <v>0</v>
      </c>
      <c r="F317" s="145">
        <f t="shared" si="76"/>
        <v>0</v>
      </c>
      <c r="G317" s="145">
        <f t="shared" si="82"/>
        <v>0</v>
      </c>
      <c r="H317" s="145">
        <f t="shared" si="83"/>
        <v>0</v>
      </c>
      <c r="I317" s="145">
        <f t="shared" si="77"/>
        <v>0</v>
      </c>
      <c r="J317" s="145">
        <f t="shared" si="78"/>
        <v>0</v>
      </c>
      <c r="K317" s="142" t="str">
        <f t="shared" si="84"/>
        <v>kWh</v>
      </c>
      <c r="L317" s="146">
        <f>IFERROR(INDEX(Työkonekanta!$I$3:$I$27,MATCH('S1 Sähkö'!$A317,Työkonekanta!$A$3:$A$24,0),1)*(I317+J317)*f_adblue,0)</f>
        <v>0</v>
      </c>
      <c r="M317" s="146">
        <f t="shared" si="89"/>
        <v>0</v>
      </c>
      <c r="N317" s="143" t="str">
        <f>IF(tuulisähkö_vuosi&lt;='S1 Sähkö'!C317,"tuulisähkö",ostosähkö_nyt)</f>
        <v>jäännössähkö</v>
      </c>
      <c r="O317" s="147">
        <f>INDEX(Muuttujat!$J$5:$J$21,MATCH($C317,Muuttujat!$H$5:$H$21,0),1)</f>
        <v>62.625946521929137</v>
      </c>
      <c r="P317" s="342">
        <f>1-(INDEX(Muuttujat!$O$5:$O$21,MATCH($C317,Muuttujat!$N$5:$N$21,0),1))</f>
        <v>0.9</v>
      </c>
      <c r="Q317" s="342">
        <f>INDEX(Muuttujat!$O$5:$O$21,MATCH($C317,Muuttujat!$N$5:$N$21,0),1)</f>
        <v>0.1</v>
      </c>
      <c r="R317" s="148">
        <f>INDEX(Muuttujat!$P$5:$P$21,MATCH($C317,Muuttujat!$N$5:$N$21,0),1)</f>
        <v>0.10417875759940039</v>
      </c>
      <c r="S317" s="149">
        <f t="shared" si="79"/>
        <v>0</v>
      </c>
      <c r="T317" s="150">
        <f t="shared" si="80"/>
        <v>0</v>
      </c>
      <c r="U317" s="150">
        <f t="shared" si="81"/>
        <v>0</v>
      </c>
      <c r="V317" s="150">
        <f>IFERROR(INDEX(Työkonekanta!$J$3:$J$27,MATCH($A317,Työkonekanta!$A$3:$A$24,0),1)*$B317*ef_li_ion_akku/1000/1000/INDEX(Työkonekanta!$K$3:$K$27,MATCH($A317,Työkonekanta!$A$3:$A$24,0)),0)</f>
        <v>0</v>
      </c>
      <c r="W317" s="149">
        <f t="shared" si="90"/>
        <v>0</v>
      </c>
      <c r="X317" s="150">
        <f t="shared" si="91"/>
        <v>0</v>
      </c>
      <c r="Y317" s="151">
        <f t="shared" si="92"/>
        <v>0</v>
      </c>
      <c r="Z317" s="152">
        <f t="shared" si="85"/>
        <v>0</v>
      </c>
      <c r="AA317" s="153">
        <f t="shared" si="86"/>
        <v>0</v>
      </c>
      <c r="AB317" s="153">
        <f t="shared" si="87"/>
        <v>0</v>
      </c>
      <c r="AC317" s="154">
        <f t="shared" si="93"/>
        <v>0</v>
      </c>
      <c r="AD317" s="156">
        <f t="shared" si="88"/>
        <v>0</v>
      </c>
      <c r="AE317" s="182"/>
      <c r="AG317" s="2"/>
    </row>
    <row r="318" spans="1:33">
      <c r="A318" s="139">
        <v>16</v>
      </c>
      <c r="B318" s="139" cm="1">
        <f t="array" ref="B318">IFERROR(IF(A318=s1_id_korvattava1,INDEX($AG$3:$AG$19,MATCH(C318,$AF$3:$AF$19,0),1),IF(A318=s1_id_korvaava1,INDEX($AH$3:$AH$19,MATCH(C318,$AF$3:$AF$19,0),1),IF(A318=s1_id_korvattava2,INDEX($AI$3:$AI$19,MATCH(C318,$AF$3:$AF$19,0),1),IF(A318=s1_id_korvaava2,INDEX($AJ$3:$AJ$19,MATCH(C318,$AF$3:$AF$19,0),1),INDEX(Työkonekanta!$F$3:$F$27,MATCH('S1 Sähkö'!$A318,Työkonekanta!$A$3:$A$24,0),1))))),0)</f>
        <v>0</v>
      </c>
      <c r="C318" s="140">
        <v>2029</v>
      </c>
      <c r="D318" s="141" t="str">
        <f>IFERROR(INDEX(Työkonekanta!$D$3:$D$27,MATCH('S1 Sähkö'!$A318,Työkonekanta!$A$3:$A$24,0),1),"undefined")</f>
        <v>sähkö</v>
      </c>
      <c r="E318" s="145">
        <f>IFERROR(INDEX(Työkonekanta!$G$3:$G$27,MATCH($A318,Työkonekanta!$A$3:$A$24,0),1)*INDEX(Työkonekanta!$H$3:$H$27,MATCH($A318,Työkonekanta!$A$3:$A$24,0),1)*(1+s1_kerroin*($C318-2019))*$B318,0)</f>
        <v>0</v>
      </c>
      <c r="F318" s="145">
        <f t="shared" si="76"/>
        <v>0</v>
      </c>
      <c r="G318" s="145">
        <f t="shared" si="82"/>
        <v>0</v>
      </c>
      <c r="H318" s="145">
        <f t="shared" si="83"/>
        <v>0</v>
      </c>
      <c r="I318" s="145">
        <f t="shared" si="77"/>
        <v>0</v>
      </c>
      <c r="J318" s="145">
        <f t="shared" si="78"/>
        <v>0</v>
      </c>
      <c r="K318" s="142" t="str">
        <f t="shared" si="84"/>
        <v>kWh</v>
      </c>
      <c r="L318" s="146">
        <f>IFERROR(INDEX(Työkonekanta!$I$3:$I$27,MATCH('S1 Sähkö'!$A318,Työkonekanta!$A$3:$A$24,0),1)*(I318+J318)*f_adblue,0)</f>
        <v>0</v>
      </c>
      <c r="M318" s="146">
        <f t="shared" si="89"/>
        <v>0</v>
      </c>
      <c r="N318" s="143" t="str">
        <f>IF(tuulisähkö_vuosi&lt;='S1 Sähkö'!C318,"tuulisähkö",ostosähkö_nyt)</f>
        <v>jäännössähkö</v>
      </c>
      <c r="O318" s="147">
        <f>INDEX(Muuttujat!$J$5:$J$21,MATCH($C318,Muuttujat!$H$5:$H$21,0),1)</f>
        <v>62.625946521929137</v>
      </c>
      <c r="P318" s="342">
        <f>1-(INDEX(Muuttujat!$O$5:$O$21,MATCH($C318,Muuttujat!$N$5:$N$21,0),1))</f>
        <v>0.9</v>
      </c>
      <c r="Q318" s="342">
        <f>INDEX(Muuttujat!$O$5:$O$21,MATCH($C318,Muuttujat!$N$5:$N$21,0),1)</f>
        <v>0.1</v>
      </c>
      <c r="R318" s="148">
        <f>INDEX(Muuttujat!$P$5:$P$21,MATCH($C318,Muuttujat!$N$5:$N$21,0),1)</f>
        <v>0.10417875759940039</v>
      </c>
      <c r="S318" s="149">
        <f t="shared" si="79"/>
        <v>0</v>
      </c>
      <c r="T318" s="150">
        <f t="shared" si="80"/>
        <v>0</v>
      </c>
      <c r="U318" s="150">
        <f t="shared" si="81"/>
        <v>0</v>
      </c>
      <c r="V318" s="150">
        <f>IFERROR(INDEX(Työkonekanta!$J$3:$J$27,MATCH($A318,Työkonekanta!$A$3:$A$24,0),1)*$B318*ef_li_ion_akku/1000/1000/INDEX(Työkonekanta!$K$3:$K$27,MATCH($A318,Työkonekanta!$A$3:$A$24,0)),0)</f>
        <v>0</v>
      </c>
      <c r="W318" s="149">
        <f t="shared" si="90"/>
        <v>0</v>
      </c>
      <c r="X318" s="150">
        <f t="shared" si="91"/>
        <v>0</v>
      </c>
      <c r="Y318" s="151">
        <f t="shared" si="92"/>
        <v>0</v>
      </c>
      <c r="Z318" s="152">
        <f t="shared" si="85"/>
        <v>0</v>
      </c>
      <c r="AA318" s="153">
        <f t="shared" si="86"/>
        <v>0</v>
      </c>
      <c r="AB318" s="153">
        <f t="shared" si="87"/>
        <v>0</v>
      </c>
      <c r="AC318" s="154">
        <f t="shared" si="93"/>
        <v>0</v>
      </c>
      <c r="AD318" s="156">
        <f t="shared" si="88"/>
        <v>0</v>
      </c>
      <c r="AE318" s="182"/>
      <c r="AG318" s="2"/>
    </row>
    <row r="319" spans="1:33">
      <c r="A319" s="139">
        <v>17</v>
      </c>
      <c r="B319" s="139" cm="1">
        <f t="array" ref="B319">IFERROR(IF(A319=s1_id_korvattava1,INDEX($AG$3:$AG$19,MATCH(C319,$AF$3:$AF$19,0),1),IF(A319=s1_id_korvaava1,INDEX($AH$3:$AH$19,MATCH(C319,$AF$3:$AF$19,0),1),IF(A319=s1_id_korvattava2,INDEX($AI$3:$AI$19,MATCH(C319,$AF$3:$AF$19,0),1),IF(A319=s1_id_korvaava2,INDEX($AJ$3:$AJ$19,MATCH(C319,$AF$3:$AF$19,0),1),INDEX(Työkonekanta!$F$3:$F$27,MATCH('S1 Sähkö'!$A319,Työkonekanta!$A$3:$A$24,0),1))))),0)</f>
        <v>0</v>
      </c>
      <c r="C319" s="140">
        <v>2029</v>
      </c>
      <c r="D319" s="141" t="str">
        <f>IFERROR(INDEX(Työkonekanta!$D$3:$D$27,MATCH('S1 Sähkö'!$A319,Työkonekanta!$A$3:$A$24,0),1),"undefined")</f>
        <v>pom</v>
      </c>
      <c r="E319" s="145">
        <f>IFERROR(INDEX(Työkonekanta!$G$3:$G$27,MATCH($A319,Työkonekanta!$A$3:$A$24,0),1)*INDEX(Työkonekanta!$H$3:$H$27,MATCH($A319,Työkonekanta!$A$3:$A$24,0),1)*(1+s1_kerroin*($C319-2019))*$B319,0)</f>
        <v>0</v>
      </c>
      <c r="F319" s="145">
        <f t="shared" si="76"/>
        <v>0</v>
      </c>
      <c r="G319" s="145">
        <f t="shared" si="82"/>
        <v>0</v>
      </c>
      <c r="H319" s="145">
        <f t="shared" si="83"/>
        <v>0</v>
      </c>
      <c r="I319" s="145">
        <f t="shared" si="77"/>
        <v>0</v>
      </c>
      <c r="J319" s="145">
        <f t="shared" si="78"/>
        <v>0</v>
      </c>
      <c r="K319" s="142" t="str">
        <f t="shared" si="84"/>
        <v>l</v>
      </c>
      <c r="L319" s="146">
        <f>IFERROR(INDEX(Työkonekanta!$I$3:$I$27,MATCH('S1 Sähkö'!$A319,Työkonekanta!$A$3:$A$24,0),1)*(I319+J319)*f_adblue,0)</f>
        <v>0</v>
      </c>
      <c r="M319" s="146">
        <f t="shared" si="89"/>
        <v>0</v>
      </c>
      <c r="N319" s="143" t="str">
        <f>IF(tuulisähkö_vuosi&lt;='S1 Sähkö'!C319,"tuulisähkö",ostosähkö_nyt)</f>
        <v>jäännössähkö</v>
      </c>
      <c r="O319" s="147">
        <f>INDEX(Muuttujat!$J$5:$J$21,MATCH($C319,Muuttujat!$H$5:$H$21,0),1)</f>
        <v>62.625946521929137</v>
      </c>
      <c r="P319" s="342">
        <f>1-(INDEX(Muuttujat!$O$5:$O$21,MATCH($C319,Muuttujat!$N$5:$N$21,0),1))</f>
        <v>0.9</v>
      </c>
      <c r="Q319" s="342">
        <f>INDEX(Muuttujat!$O$5:$O$21,MATCH($C319,Muuttujat!$N$5:$N$21,0),1)</f>
        <v>0.1</v>
      </c>
      <c r="R319" s="148">
        <f>INDEX(Muuttujat!$P$5:$P$21,MATCH($C319,Muuttujat!$N$5:$N$21,0),1)</f>
        <v>0.10417875759940039</v>
      </c>
      <c r="S319" s="149">
        <f t="shared" si="79"/>
        <v>0</v>
      </c>
      <c r="T319" s="150">
        <f t="shared" si="80"/>
        <v>0</v>
      </c>
      <c r="U319" s="150">
        <f t="shared" si="81"/>
        <v>0</v>
      </c>
      <c r="V319" s="150">
        <f>IFERROR(INDEX(Työkonekanta!$J$3:$J$27,MATCH($A319,Työkonekanta!$A$3:$A$24,0),1)*$B319*ef_li_ion_akku/1000/1000/INDEX(Työkonekanta!$K$3:$K$27,MATCH($A319,Työkonekanta!$A$3:$A$24,0)),0)</f>
        <v>0</v>
      </c>
      <c r="W319" s="149">
        <f t="shared" si="90"/>
        <v>0</v>
      </c>
      <c r="X319" s="150">
        <f t="shared" si="91"/>
        <v>0</v>
      </c>
      <c r="Y319" s="151">
        <f t="shared" si="92"/>
        <v>0</v>
      </c>
      <c r="Z319" s="152">
        <f t="shared" si="85"/>
        <v>0</v>
      </c>
      <c r="AA319" s="153">
        <f t="shared" si="86"/>
        <v>0</v>
      </c>
      <c r="AB319" s="153">
        <f t="shared" si="87"/>
        <v>0</v>
      </c>
      <c r="AC319" s="154">
        <f t="shared" si="93"/>
        <v>0</v>
      </c>
      <c r="AD319" s="156">
        <f t="shared" si="88"/>
        <v>0</v>
      </c>
      <c r="AE319" s="182"/>
      <c r="AG319" s="2"/>
    </row>
    <row r="320" spans="1:33">
      <c r="A320" s="139">
        <v>18</v>
      </c>
      <c r="B320" s="139" cm="1">
        <f t="array" ref="B320">IFERROR(IF(A320=s1_id_korvattava1,INDEX($AG$3:$AG$19,MATCH(C320,$AF$3:$AF$19,0),1),IF(A320=s1_id_korvaava1,INDEX($AH$3:$AH$19,MATCH(C320,$AF$3:$AF$19,0),1),IF(A320=s1_id_korvattava2,INDEX($AI$3:$AI$19,MATCH(C320,$AF$3:$AF$19,0),1),IF(A320=s1_id_korvaava2,INDEX($AJ$3:$AJ$19,MATCH(C320,$AF$3:$AF$19,0),1),INDEX(Työkonekanta!$F$3:$F$27,MATCH('S1 Sähkö'!$A320,Työkonekanta!$A$3:$A$24,0),1))))),0)</f>
        <v>0</v>
      </c>
      <c r="C320" s="140">
        <v>2029</v>
      </c>
      <c r="D320" s="141" t="str">
        <f>IFERROR(INDEX(Työkonekanta!$D$3:$D$27,MATCH('S1 Sähkö'!$A320,Työkonekanta!$A$3:$A$24,0),1),"undefined")</f>
        <v>pom</v>
      </c>
      <c r="E320" s="145">
        <f>IFERROR(INDEX(Työkonekanta!$G$3:$G$27,MATCH($A320,Työkonekanta!$A$3:$A$24,0),1)*INDEX(Työkonekanta!$H$3:$H$27,MATCH($A320,Työkonekanta!$A$3:$A$24,0),1)*(1+s1_kerroin*($C320-2019))*$B320,0)</f>
        <v>0</v>
      </c>
      <c r="F320" s="145">
        <f t="shared" si="76"/>
        <v>0</v>
      </c>
      <c r="G320" s="145">
        <f t="shared" si="82"/>
        <v>0</v>
      </c>
      <c r="H320" s="145">
        <f t="shared" si="83"/>
        <v>0</v>
      </c>
      <c r="I320" s="145">
        <f t="shared" si="77"/>
        <v>0</v>
      </c>
      <c r="J320" s="145">
        <f t="shared" si="78"/>
        <v>0</v>
      </c>
      <c r="K320" s="142" t="str">
        <f t="shared" si="84"/>
        <v>l</v>
      </c>
      <c r="L320" s="146">
        <f>IFERROR(INDEX(Työkonekanta!$I$3:$I$27,MATCH('S1 Sähkö'!$A320,Työkonekanta!$A$3:$A$24,0),1)*(I320+J320)*f_adblue,0)</f>
        <v>0</v>
      </c>
      <c r="M320" s="146">
        <f t="shared" si="89"/>
        <v>0</v>
      </c>
      <c r="N320" s="143" t="str">
        <f>IF(tuulisähkö_vuosi&lt;='S1 Sähkö'!C320,"tuulisähkö",ostosähkö_nyt)</f>
        <v>jäännössähkö</v>
      </c>
      <c r="O320" s="147">
        <f>INDEX(Muuttujat!$J$5:$J$21,MATCH($C320,Muuttujat!$H$5:$H$21,0),1)</f>
        <v>62.625946521929137</v>
      </c>
      <c r="P320" s="342">
        <f>1-(INDEX(Muuttujat!$O$5:$O$21,MATCH($C320,Muuttujat!$N$5:$N$21,0),1))</f>
        <v>0.9</v>
      </c>
      <c r="Q320" s="342">
        <f>INDEX(Muuttujat!$O$5:$O$21,MATCH($C320,Muuttujat!$N$5:$N$21,0),1)</f>
        <v>0.1</v>
      </c>
      <c r="R320" s="148">
        <f>INDEX(Muuttujat!$P$5:$P$21,MATCH($C320,Muuttujat!$N$5:$N$21,0),1)</f>
        <v>0.10417875759940039</v>
      </c>
      <c r="S320" s="149">
        <f t="shared" si="79"/>
        <v>0</v>
      </c>
      <c r="T320" s="150">
        <f t="shared" si="80"/>
        <v>0</v>
      </c>
      <c r="U320" s="150">
        <f t="shared" si="81"/>
        <v>0</v>
      </c>
      <c r="V320" s="150">
        <f>IFERROR(INDEX(Työkonekanta!$J$3:$J$27,MATCH($A320,Työkonekanta!$A$3:$A$24,0),1)*$B320*ef_li_ion_akku/1000/1000/INDEX(Työkonekanta!$K$3:$K$27,MATCH($A320,Työkonekanta!$A$3:$A$24,0)),0)</f>
        <v>0</v>
      </c>
      <c r="W320" s="149">
        <f t="shared" si="90"/>
        <v>0</v>
      </c>
      <c r="X320" s="150">
        <f t="shared" si="91"/>
        <v>0</v>
      </c>
      <c r="Y320" s="151">
        <f t="shared" si="92"/>
        <v>0</v>
      </c>
      <c r="Z320" s="152">
        <f t="shared" si="85"/>
        <v>0</v>
      </c>
      <c r="AA320" s="153">
        <f t="shared" si="86"/>
        <v>0</v>
      </c>
      <c r="AB320" s="153">
        <f t="shared" si="87"/>
        <v>0</v>
      </c>
      <c r="AC320" s="154">
        <f t="shared" si="93"/>
        <v>0</v>
      </c>
      <c r="AD320" s="156">
        <f t="shared" si="88"/>
        <v>0</v>
      </c>
      <c r="AE320" s="182"/>
      <c r="AG320" s="2"/>
    </row>
    <row r="321" spans="1:37">
      <c r="A321" s="139">
        <v>19</v>
      </c>
      <c r="B321" s="139" cm="1">
        <f t="array" ref="B321">IFERROR(IF(A321=s1_id_korvattava1,INDEX($AG$3:$AG$19,MATCH(C321,$AF$3:$AF$19,0),1),IF(A321=s1_id_korvaava1,INDEX($AH$3:$AH$19,MATCH(C321,$AF$3:$AF$19,0),1),IF(A321=s1_id_korvattava2,INDEX($AI$3:$AI$19,MATCH(C321,$AF$3:$AF$19,0),1),IF(A321=s1_id_korvaava2,INDEX($AJ$3:$AJ$19,MATCH(C321,$AF$3:$AF$19,0),1),INDEX(Työkonekanta!$F$3:$F$27,MATCH('S1 Sähkö'!$A321,Työkonekanta!$A$3:$A$24,0),1))))),0)</f>
        <v>0</v>
      </c>
      <c r="C321" s="140">
        <v>2029</v>
      </c>
      <c r="D321" s="141" t="str">
        <f>IFERROR(INDEX(Työkonekanta!$D$3:$D$27,MATCH('S1 Sähkö'!$A321,Työkonekanta!$A$3:$A$24,0),1),"undefined")</f>
        <v>pom</v>
      </c>
      <c r="E321" s="145">
        <f>IFERROR(INDEX(Työkonekanta!$G$3:$G$27,MATCH($A321,Työkonekanta!$A$3:$A$24,0),1)*INDEX(Työkonekanta!$H$3:$H$27,MATCH($A321,Työkonekanta!$A$3:$A$24,0),1)*(1+s1_kerroin*($C321-2019))*$B321,0)</f>
        <v>0</v>
      </c>
      <c r="F321" s="145">
        <f t="shared" si="76"/>
        <v>0</v>
      </c>
      <c r="G321" s="145">
        <f t="shared" si="82"/>
        <v>0</v>
      </c>
      <c r="H321" s="145">
        <f t="shared" si="83"/>
        <v>0</v>
      </c>
      <c r="I321" s="145">
        <f t="shared" si="77"/>
        <v>0</v>
      </c>
      <c r="J321" s="145">
        <f t="shared" si="78"/>
        <v>0</v>
      </c>
      <c r="K321" s="142" t="str">
        <f t="shared" si="84"/>
        <v>l</v>
      </c>
      <c r="L321" s="146">
        <f>IFERROR(INDEX(Työkonekanta!$I$3:$I$27,MATCH('S1 Sähkö'!$A321,Työkonekanta!$A$3:$A$24,0),1)*(I321+J321)*f_adblue,0)</f>
        <v>0</v>
      </c>
      <c r="M321" s="146">
        <f t="shared" si="89"/>
        <v>0</v>
      </c>
      <c r="N321" s="143" t="str">
        <f>IF(tuulisähkö_vuosi&lt;='S1 Sähkö'!C321,"tuulisähkö",ostosähkö_nyt)</f>
        <v>jäännössähkö</v>
      </c>
      <c r="O321" s="147">
        <f>INDEX(Muuttujat!$J$5:$J$21,MATCH($C321,Muuttujat!$H$5:$H$21,0),1)</f>
        <v>62.625946521929137</v>
      </c>
      <c r="P321" s="342">
        <f>1-(INDEX(Muuttujat!$O$5:$O$21,MATCH($C321,Muuttujat!$N$5:$N$21,0),1))</f>
        <v>0.9</v>
      </c>
      <c r="Q321" s="342">
        <f>INDEX(Muuttujat!$O$5:$O$21,MATCH($C321,Muuttujat!$N$5:$N$21,0),1)</f>
        <v>0.1</v>
      </c>
      <c r="R321" s="148">
        <f>INDEX(Muuttujat!$P$5:$P$21,MATCH($C321,Muuttujat!$N$5:$N$21,0),1)</f>
        <v>0.10417875759940039</v>
      </c>
      <c r="S321" s="149">
        <f t="shared" si="79"/>
        <v>0</v>
      </c>
      <c r="T321" s="150">
        <f t="shared" si="80"/>
        <v>0</v>
      </c>
      <c r="U321" s="150">
        <f t="shared" si="81"/>
        <v>0</v>
      </c>
      <c r="V321" s="150">
        <f>IFERROR(INDEX(Työkonekanta!$J$3:$J$27,MATCH($A321,Työkonekanta!$A$3:$A$24,0),1)*$B321*ef_li_ion_akku/1000/1000/INDEX(Työkonekanta!$K$3:$K$27,MATCH($A321,Työkonekanta!$A$3:$A$24,0)),0)</f>
        <v>0</v>
      </c>
      <c r="W321" s="149">
        <f t="shared" si="90"/>
        <v>0</v>
      </c>
      <c r="X321" s="150">
        <f t="shared" si="91"/>
        <v>0</v>
      </c>
      <c r="Y321" s="151">
        <f t="shared" si="92"/>
        <v>0</v>
      </c>
      <c r="Z321" s="152">
        <f t="shared" si="85"/>
        <v>0</v>
      </c>
      <c r="AA321" s="153">
        <f t="shared" si="86"/>
        <v>0</v>
      </c>
      <c r="AB321" s="153">
        <f t="shared" si="87"/>
        <v>0</v>
      </c>
      <c r="AC321" s="154">
        <f t="shared" si="93"/>
        <v>0</v>
      </c>
      <c r="AD321" s="156">
        <f t="shared" si="88"/>
        <v>0</v>
      </c>
      <c r="AE321" s="182"/>
      <c r="AG321" s="2"/>
    </row>
    <row r="322" spans="1:37">
      <c r="A322" s="139">
        <v>20</v>
      </c>
      <c r="B322" s="139" cm="1">
        <f t="array" ref="B322">IFERROR(IF(A322=s1_id_korvattava1,INDEX($AG$3:$AG$19,MATCH(C322,$AF$3:$AF$19,0),1),IF(A322=s1_id_korvaava1,INDEX($AH$3:$AH$19,MATCH(C322,$AF$3:$AF$19,0),1),IF(A322=s1_id_korvattava2,INDEX($AI$3:$AI$19,MATCH(C322,$AF$3:$AF$19,0),1),IF(A322=s1_id_korvaava2,INDEX($AJ$3:$AJ$19,MATCH(C322,$AF$3:$AF$19,0),1),INDEX(Työkonekanta!$F$3:$F$27,MATCH('S1 Sähkö'!$A322,Työkonekanta!$A$3:$A$24,0),1))))),0)</f>
        <v>0</v>
      </c>
      <c r="C322" s="140">
        <v>2029</v>
      </c>
      <c r="D322" s="141" t="str">
        <f>IFERROR(INDEX(Työkonekanta!$D$3:$D$27,MATCH('S1 Sähkö'!$A322,Työkonekanta!$A$3:$A$24,0),1),"undefined")</f>
        <v>pom</v>
      </c>
      <c r="E322" s="145">
        <f>IFERROR(INDEX(Työkonekanta!$G$3:$G$27,MATCH($A322,Työkonekanta!$A$3:$A$24,0),1)*INDEX(Työkonekanta!$H$3:$H$27,MATCH($A322,Työkonekanta!$A$3:$A$24,0),1)*(1+s1_kerroin*($C322-2019))*$B322,0)</f>
        <v>0</v>
      </c>
      <c r="F322" s="145">
        <f t="shared" si="76"/>
        <v>0</v>
      </c>
      <c r="G322" s="145">
        <f t="shared" si="82"/>
        <v>0</v>
      </c>
      <c r="H322" s="145">
        <f t="shared" si="83"/>
        <v>0</v>
      </c>
      <c r="I322" s="145">
        <f t="shared" si="77"/>
        <v>0</v>
      </c>
      <c r="J322" s="145">
        <f t="shared" si="78"/>
        <v>0</v>
      </c>
      <c r="K322" s="142" t="str">
        <f t="shared" si="84"/>
        <v>l</v>
      </c>
      <c r="L322" s="146">
        <f>IFERROR(INDEX(Työkonekanta!$I$3:$I$27,MATCH('S1 Sähkö'!$A322,Työkonekanta!$A$3:$A$24,0),1)*(I322+J322)*f_adblue,0)</f>
        <v>0</v>
      </c>
      <c r="M322" s="146">
        <f t="shared" si="89"/>
        <v>0</v>
      </c>
      <c r="N322" s="143" t="str">
        <f>IF(tuulisähkö_vuosi&lt;='S1 Sähkö'!C322,"tuulisähkö",ostosähkö_nyt)</f>
        <v>jäännössähkö</v>
      </c>
      <c r="O322" s="147">
        <f>INDEX(Muuttujat!$J$5:$J$21,MATCH($C322,Muuttujat!$H$5:$H$21,0),1)</f>
        <v>62.625946521929137</v>
      </c>
      <c r="P322" s="342">
        <f>1-(INDEX(Muuttujat!$O$5:$O$21,MATCH($C322,Muuttujat!$N$5:$N$21,0),1))</f>
        <v>0.9</v>
      </c>
      <c r="Q322" s="342">
        <f>INDEX(Muuttujat!$O$5:$O$21,MATCH($C322,Muuttujat!$N$5:$N$21,0),1)</f>
        <v>0.1</v>
      </c>
      <c r="R322" s="148">
        <f>INDEX(Muuttujat!$P$5:$P$21,MATCH($C322,Muuttujat!$N$5:$N$21,0),1)</f>
        <v>0.10417875759940039</v>
      </c>
      <c r="S322" s="149">
        <f t="shared" si="79"/>
        <v>0</v>
      </c>
      <c r="T322" s="150">
        <f t="shared" si="80"/>
        <v>0</v>
      </c>
      <c r="U322" s="150">
        <f t="shared" si="81"/>
        <v>0</v>
      </c>
      <c r="V322" s="150">
        <f>IFERROR(INDEX(Työkonekanta!$J$3:$J$27,MATCH($A322,Työkonekanta!$A$3:$A$24,0),1)*$B322*ef_li_ion_akku/1000/1000/INDEX(Työkonekanta!$K$3:$K$27,MATCH($A322,Työkonekanta!$A$3:$A$24,0)),0)</f>
        <v>0</v>
      </c>
      <c r="W322" s="149">
        <f t="shared" si="90"/>
        <v>0</v>
      </c>
      <c r="X322" s="150">
        <f t="shared" si="91"/>
        <v>0</v>
      </c>
      <c r="Y322" s="151">
        <f t="shared" si="92"/>
        <v>0</v>
      </c>
      <c r="Z322" s="152">
        <f t="shared" si="85"/>
        <v>0</v>
      </c>
      <c r="AA322" s="153">
        <f t="shared" si="86"/>
        <v>0</v>
      </c>
      <c r="AB322" s="153">
        <f t="shared" si="87"/>
        <v>0</v>
      </c>
      <c r="AC322" s="154">
        <f t="shared" si="93"/>
        <v>0</v>
      </c>
      <c r="AD322" s="156">
        <f t="shared" si="88"/>
        <v>0</v>
      </c>
      <c r="AE322" s="182"/>
      <c r="AG322" s="2"/>
    </row>
    <row r="323" spans="1:37">
      <c r="A323" s="139">
        <v>21</v>
      </c>
      <c r="B323" s="139" cm="1">
        <f t="array" ref="B323">IFERROR(IF(A323=s1_id_korvattava1,INDEX($AG$3:$AG$19,MATCH(C323,$AF$3:$AF$19,0),1),IF(A323=s1_id_korvaava1,INDEX($AH$3:$AH$19,MATCH(C323,$AF$3:$AF$19,0),1),IF(A323=s1_id_korvattava2,INDEX($AI$3:$AI$19,MATCH(C323,$AF$3:$AF$19,0),1),IF(A323=s1_id_korvaava2,INDEX($AJ$3:$AJ$19,MATCH(C323,$AF$3:$AF$19,0),1),INDEX(Työkonekanta!$F$3:$F$27,MATCH('S1 Sähkö'!$A323,Työkonekanta!$A$3:$A$24,0),1))))),0)</f>
        <v>36</v>
      </c>
      <c r="C323" s="140">
        <v>2029</v>
      </c>
      <c r="D323" s="141" t="str">
        <f>IFERROR(INDEX(Työkonekanta!$D$3:$D$27,MATCH('S1 Sähkö'!$A323,Työkonekanta!$A$3:$A$24,0),1),"undefined")</f>
        <v>sähkö</v>
      </c>
      <c r="E323" s="145">
        <f>IFERROR(INDEX(Työkonekanta!$G$3:$G$27,MATCH($A323,Työkonekanta!$A$3:$A$24,0),1)*INDEX(Työkonekanta!$H$3:$H$27,MATCH($A323,Työkonekanta!$A$3:$A$24,0),1)*(1+s1_kerroin*($C323-2019))*$B323,0)</f>
        <v>460716.66666666669</v>
      </c>
      <c r="F323" s="145">
        <f t="shared" ref="F323:F386" si="94">IF(D323="pom",$E323*hv_pom,0)</f>
        <v>0</v>
      </c>
      <c r="G323" s="145">
        <f t="shared" si="82"/>
        <v>0</v>
      </c>
      <c r="H323" s="145">
        <f t="shared" si="83"/>
        <v>0</v>
      </c>
      <c r="I323" s="145">
        <f t="shared" ref="I323:I386" si="95">$G323/hv_pom</f>
        <v>0</v>
      </c>
      <c r="J323" s="145">
        <f t="shared" ref="J323:J386" si="96">$H323/hv_biodies</f>
        <v>0</v>
      </c>
      <c r="K323" s="142" t="str">
        <f t="shared" si="84"/>
        <v>kWh</v>
      </c>
      <c r="L323" s="146">
        <f>IFERROR(INDEX(Työkonekanta!$I$3:$I$27,MATCH('S1 Sähkö'!$A323,Työkonekanta!$A$3:$A$24,0),1)*(I323+J323)*f_adblue,0)</f>
        <v>0</v>
      </c>
      <c r="M323" s="146">
        <f t="shared" si="89"/>
        <v>1658580</v>
      </c>
      <c r="N323" s="143" t="str">
        <f>IF(tuulisähkö_vuosi&lt;='S1 Sähkö'!C323,"tuulisähkö",ostosähkö_nyt)</f>
        <v>jäännössähkö</v>
      </c>
      <c r="O323" s="147">
        <f>INDEX(Muuttujat!$J$5:$J$21,MATCH($C323,Muuttujat!$H$5:$H$21,0),1)</f>
        <v>62.625946521929137</v>
      </c>
      <c r="P323" s="342">
        <f>1-(INDEX(Muuttujat!$O$5:$O$21,MATCH($C323,Muuttujat!$N$5:$N$21,0),1))</f>
        <v>0.9</v>
      </c>
      <c r="Q323" s="342">
        <f>INDEX(Muuttujat!$O$5:$O$21,MATCH($C323,Muuttujat!$N$5:$N$21,0),1)</f>
        <v>0.1</v>
      </c>
      <c r="R323" s="148">
        <f>INDEX(Muuttujat!$P$5:$P$21,MATCH($C323,Muuttujat!$N$5:$N$21,0),1)</f>
        <v>0.10417875759940039</v>
      </c>
      <c r="S323" s="149">
        <f t="shared" ref="S323:S386" si="97">wtt_ef_e_co2_dies*$G323/1000/1000</f>
        <v>0</v>
      </c>
      <c r="T323" s="150">
        <f t="shared" ref="T323:T386" si="98">wtt_ef_e_co2_biodies*$H323/1000/1000</f>
        <v>0</v>
      </c>
      <c r="U323" s="150">
        <f t="shared" ref="U323:U386" si="99">IF(N323="jäännössähkö",$O323,IF(N323="tuulisähkö",wtt_ef_e_co2_el_wind,0))*$M323/1000/1000</f>
        <v>103.87014238234121</v>
      </c>
      <c r="V323" s="150">
        <f>IFERROR(INDEX(Työkonekanta!$J$3:$J$27,MATCH($A323,Työkonekanta!$A$3:$A$24,0),1)*$B323*ef_li_ion_akku/1000/1000/INDEX(Työkonekanta!$K$3:$K$27,MATCH($A323,Työkonekanta!$A$3:$A$24,0)),0)</f>
        <v>44.353772307692303</v>
      </c>
      <c r="W323" s="149">
        <f t="shared" si="90"/>
        <v>0</v>
      </c>
      <c r="X323" s="150">
        <f t="shared" si="91"/>
        <v>0</v>
      </c>
      <c r="Y323" s="151">
        <f t="shared" si="92"/>
        <v>0</v>
      </c>
      <c r="Z323" s="152">
        <f t="shared" si="85"/>
        <v>148.22391469003352</v>
      </c>
      <c r="AA323" s="153">
        <f t="shared" si="86"/>
        <v>0</v>
      </c>
      <c r="AB323" s="153">
        <f t="shared" si="87"/>
        <v>0</v>
      </c>
      <c r="AC323" s="154">
        <f t="shared" si="93"/>
        <v>148.22391469003352</v>
      </c>
      <c r="AD323" s="156">
        <f t="shared" si="88"/>
        <v>148.22391469003352</v>
      </c>
      <c r="AE323" s="182"/>
      <c r="AG323" s="2"/>
    </row>
    <row r="324" spans="1:37">
      <c r="A324" s="139">
        <v>22</v>
      </c>
      <c r="B324" s="139" cm="1">
        <f t="array" ref="B324">IFERROR(IF(A324=s1_id_korvattava1,INDEX($AG$3:$AG$19,MATCH(C324,$AF$3:$AF$19,0),1),IF(A324=s1_id_korvaava1,INDEX($AH$3:$AH$19,MATCH(C324,$AF$3:$AF$19,0),1),IF(A324=s1_id_korvattava2,INDEX($AI$3:$AI$19,MATCH(C324,$AF$3:$AF$19,0),1),IF(A324=s1_id_korvaava2,INDEX($AJ$3:$AJ$19,MATCH(C324,$AF$3:$AF$19,0),1),INDEX(Työkonekanta!$F$3:$F$27,MATCH('S1 Sähkö'!$A324,Työkonekanta!$A$3:$A$24,0),1))))),0)</f>
        <v>1</v>
      </c>
      <c r="C324" s="140">
        <v>2029</v>
      </c>
      <c r="D324" s="141" t="str">
        <f>IFERROR(INDEX(Työkonekanta!$D$3:$D$27,MATCH('S1 Sähkö'!$A324,Työkonekanta!$A$3:$A$24,0),1),"undefined")</f>
        <v>sähkö</v>
      </c>
      <c r="E324" s="145">
        <f>IFERROR(INDEX(Työkonekanta!$G$3:$G$27,MATCH($A324,Työkonekanta!$A$3:$A$24,0),1)*INDEX(Työkonekanta!$H$3:$H$27,MATCH($A324,Työkonekanta!$A$3:$A$24,0),1)*(1+s1_kerroin*($C324-2019))*$B324,0)</f>
        <v>48996.851851851854</v>
      </c>
      <c r="F324" s="145">
        <f t="shared" si="94"/>
        <v>0</v>
      </c>
      <c r="G324" s="145">
        <f t="shared" ref="G324:G387" si="100">$F324*$P324</f>
        <v>0</v>
      </c>
      <c r="H324" s="145">
        <f t="shared" ref="H324:H387" si="101">$F324*$Q324</f>
        <v>0</v>
      </c>
      <c r="I324" s="145">
        <f t="shared" si="95"/>
        <v>0</v>
      </c>
      <c r="J324" s="145">
        <f t="shared" si="96"/>
        <v>0</v>
      </c>
      <c r="K324" s="142" t="str">
        <f t="shared" ref="K324:K387" si="102">IF($D324="sähkö","kWh",IF($D324="pom","l","undefined"))</f>
        <v>kWh</v>
      </c>
      <c r="L324" s="146">
        <f>IFERROR(INDEX(Työkonekanta!$I$3:$I$27,MATCH('S1 Sähkö'!$A324,Työkonekanta!$A$3:$A$24,0),1)*(I324+J324)*f_adblue,0)</f>
        <v>0</v>
      </c>
      <c r="M324" s="146">
        <f t="shared" si="89"/>
        <v>176388.66666666669</v>
      </c>
      <c r="N324" s="143" t="str">
        <f>IF(tuulisähkö_vuosi&lt;='S1 Sähkö'!C324,"tuulisähkö",ostosähkö_nyt)</f>
        <v>jäännössähkö</v>
      </c>
      <c r="O324" s="147">
        <f>INDEX(Muuttujat!$J$5:$J$21,MATCH($C324,Muuttujat!$H$5:$H$21,0),1)</f>
        <v>62.625946521929137</v>
      </c>
      <c r="P324" s="342">
        <f>1-(INDEX(Muuttujat!$O$5:$O$21,MATCH($C324,Muuttujat!$N$5:$N$21,0),1))</f>
        <v>0.9</v>
      </c>
      <c r="Q324" s="342">
        <f>INDEX(Muuttujat!$O$5:$O$21,MATCH($C324,Muuttujat!$N$5:$N$21,0),1)</f>
        <v>0.1</v>
      </c>
      <c r="R324" s="148">
        <f>INDEX(Muuttujat!$P$5:$P$21,MATCH($C324,Muuttujat!$N$5:$N$21,0),1)</f>
        <v>0.10417875759940039</v>
      </c>
      <c r="S324" s="149">
        <f t="shared" si="97"/>
        <v>0</v>
      </c>
      <c r="T324" s="150">
        <f t="shared" si="98"/>
        <v>0</v>
      </c>
      <c r="U324" s="150">
        <f t="shared" si="99"/>
        <v>11.046507205741051</v>
      </c>
      <c r="V324" s="150">
        <f>IFERROR(INDEX(Työkonekanta!$J$3:$J$27,MATCH($A324,Työkonekanta!$A$3:$A$24,0),1)*$B324*ef_li_ion_akku/1000/1000/INDEX(Työkonekanta!$K$3:$K$27,MATCH($A324,Työkonekanta!$A$3:$A$24,0)),0)</f>
        <v>5.2676455384615384</v>
      </c>
      <c r="W324" s="149">
        <f t="shared" si="90"/>
        <v>0</v>
      </c>
      <c r="X324" s="150">
        <f t="shared" si="91"/>
        <v>0</v>
      </c>
      <c r="Y324" s="151">
        <f t="shared" si="92"/>
        <v>0</v>
      </c>
      <c r="Z324" s="152">
        <f t="shared" ref="Z324:Z387" si="103">SUM($S324:$V324)</f>
        <v>16.314152744202588</v>
      </c>
      <c r="AA324" s="153">
        <f t="shared" ref="AA324:AA387" si="104">$W324+$Y324</f>
        <v>0</v>
      </c>
      <c r="AB324" s="153">
        <f t="shared" ref="AB324:AB387" si="105">SUM($W324:$Y324)</f>
        <v>0</v>
      </c>
      <c r="AC324" s="154">
        <f t="shared" si="93"/>
        <v>16.314152744202588</v>
      </c>
      <c r="AD324" s="156">
        <f t="shared" ref="AD324:AD387" si="106">$Z324+$AB324</f>
        <v>16.314152744202588</v>
      </c>
      <c r="AE324" s="182"/>
      <c r="AG324" s="2"/>
    </row>
    <row r="325" spans="1:37">
      <c r="A325" s="139">
        <v>23</v>
      </c>
      <c r="B325" s="139" cm="1">
        <f t="array" ref="B325">IFERROR(IF(A325=s1_id_korvattava1,INDEX($AG$3:$AG$19,MATCH(C325,$AF$3:$AF$19,0),1),IF(A325=s1_id_korvaava1,INDEX($AH$3:$AH$19,MATCH(C325,$AF$3:$AF$19,0),1),IF(A325=s1_id_korvattava2,INDEX($AI$3:$AI$19,MATCH(C325,$AF$3:$AF$19,0),1),IF(A325=s1_id_korvaava2,INDEX($AJ$3:$AJ$19,MATCH(C325,$AF$3:$AF$19,0),1),INDEX(Työkonekanta!$F$3:$F$27,MATCH('S1 Sähkö'!$A325,Työkonekanta!$A$3:$A$24,0),1))))),0)</f>
        <v>0</v>
      </c>
      <c r="C325" s="140">
        <v>2029</v>
      </c>
      <c r="D325" s="141" t="str">
        <f>IFERROR(INDEX(Työkonekanta!$D$3:$D$27,MATCH('S1 Sähkö'!$A325,Työkonekanta!$A$3:$A$24,0),1),"undefined")</f>
        <v>undefined</v>
      </c>
      <c r="E325" s="145">
        <f>IFERROR(INDEX(Työkonekanta!$G$3:$G$27,MATCH($A325,Työkonekanta!$A$3:$A$24,0),1)*INDEX(Työkonekanta!$H$3:$H$27,MATCH($A325,Työkonekanta!$A$3:$A$24,0),1)*(1+s1_kerroin*($C325-2019))*$B325,0)</f>
        <v>0</v>
      </c>
      <c r="F325" s="145">
        <f t="shared" si="94"/>
        <v>0</v>
      </c>
      <c r="G325" s="145">
        <f t="shared" si="100"/>
        <v>0</v>
      </c>
      <c r="H325" s="145">
        <f t="shared" si="101"/>
        <v>0</v>
      </c>
      <c r="I325" s="145">
        <f t="shared" si="95"/>
        <v>0</v>
      </c>
      <c r="J325" s="145">
        <f t="shared" si="96"/>
        <v>0</v>
      </c>
      <c r="K325" s="142" t="str">
        <f t="shared" si="102"/>
        <v>undefined</v>
      </c>
      <c r="L325" s="146">
        <f>IFERROR(INDEX(Työkonekanta!$I$3:$I$27,MATCH('S1 Sähkö'!$A325,Työkonekanta!$A$3:$A$24,0),1)*(I325+J325)*f_adblue,0)</f>
        <v>0</v>
      </c>
      <c r="M325" s="146">
        <f t="shared" si="89"/>
        <v>0</v>
      </c>
      <c r="N325" s="143" t="str">
        <f>IF(tuulisähkö_vuosi&lt;='S1 Sähkö'!C325,"tuulisähkö",ostosähkö_nyt)</f>
        <v>jäännössähkö</v>
      </c>
      <c r="O325" s="147">
        <f>INDEX(Muuttujat!$J$5:$J$21,MATCH($C325,Muuttujat!$H$5:$H$21,0),1)</f>
        <v>62.625946521929137</v>
      </c>
      <c r="P325" s="342">
        <f>1-(INDEX(Muuttujat!$O$5:$O$21,MATCH($C325,Muuttujat!$N$5:$N$21,0),1))</f>
        <v>0.9</v>
      </c>
      <c r="Q325" s="342">
        <f>INDEX(Muuttujat!$O$5:$O$21,MATCH($C325,Muuttujat!$N$5:$N$21,0),1)</f>
        <v>0.1</v>
      </c>
      <c r="R325" s="148">
        <f>INDEX(Muuttujat!$P$5:$P$21,MATCH($C325,Muuttujat!$N$5:$N$21,0),1)</f>
        <v>0.10417875759940039</v>
      </c>
      <c r="S325" s="149">
        <f t="shared" si="97"/>
        <v>0</v>
      </c>
      <c r="T325" s="150">
        <f t="shared" si="98"/>
        <v>0</v>
      </c>
      <c r="U325" s="150">
        <f t="shared" si="99"/>
        <v>0</v>
      </c>
      <c r="V325" s="150">
        <f>IFERROR(INDEX(Työkonekanta!$J$3:$J$27,MATCH($A325,Työkonekanta!$A$3:$A$24,0),1)*$B325*ef_li_ion_akku/1000/1000/INDEX(Työkonekanta!$K$3:$K$27,MATCH($A325,Työkonekanta!$A$3:$A$24,0)),0)</f>
        <v>0</v>
      </c>
      <c r="W325" s="149">
        <f t="shared" si="90"/>
        <v>0</v>
      </c>
      <c r="X325" s="150">
        <f t="shared" si="91"/>
        <v>0</v>
      </c>
      <c r="Y325" s="151">
        <f t="shared" si="92"/>
        <v>0</v>
      </c>
      <c r="Z325" s="152">
        <f t="shared" si="103"/>
        <v>0</v>
      </c>
      <c r="AA325" s="153">
        <f t="shared" si="104"/>
        <v>0</v>
      </c>
      <c r="AB325" s="153">
        <f t="shared" si="105"/>
        <v>0</v>
      </c>
      <c r="AC325" s="154">
        <f t="shared" si="93"/>
        <v>0</v>
      </c>
      <c r="AD325" s="156">
        <f t="shared" si="106"/>
        <v>0</v>
      </c>
      <c r="AE325" s="182"/>
      <c r="AJ325" s="28"/>
      <c r="AK325" s="29"/>
    </row>
    <row r="326" spans="1:37">
      <c r="A326" s="139">
        <v>24</v>
      </c>
      <c r="B326" s="139" cm="1">
        <f t="array" ref="B326">IFERROR(IF(A326=s1_id_korvattava1,INDEX($AG$3:$AG$19,MATCH(C326,$AF$3:$AF$19,0),1),IF(A326=s1_id_korvaava1,INDEX($AH$3:$AH$19,MATCH(C326,$AF$3:$AF$19,0),1),IF(A326=s1_id_korvattava2,INDEX($AI$3:$AI$19,MATCH(C326,$AF$3:$AF$19,0),1),IF(A326=s1_id_korvaava2,INDEX($AJ$3:$AJ$19,MATCH(C326,$AF$3:$AF$19,0),1),INDEX(Työkonekanta!$F$3:$F$27,MATCH('S1 Sähkö'!$A326,Työkonekanta!$A$3:$A$24,0),1))))),0)</f>
        <v>0</v>
      </c>
      <c r="C326" s="140">
        <v>2029</v>
      </c>
      <c r="D326" s="141" t="str">
        <f>IFERROR(INDEX(Työkonekanta!$D$3:$D$27,MATCH('S1 Sähkö'!$A326,Työkonekanta!$A$3:$A$24,0),1),"undefined")</f>
        <v>undefined</v>
      </c>
      <c r="E326" s="145">
        <f>IFERROR(INDEX(Työkonekanta!$G$3:$G$27,MATCH($A326,Työkonekanta!$A$3:$A$24,0),1)*INDEX(Työkonekanta!$H$3:$H$27,MATCH($A326,Työkonekanta!$A$3:$A$24,0),1)*(1+s1_kerroin*($C326-2019))*$B326,0)</f>
        <v>0</v>
      </c>
      <c r="F326" s="145">
        <f t="shared" si="94"/>
        <v>0</v>
      </c>
      <c r="G326" s="145">
        <f t="shared" si="100"/>
        <v>0</v>
      </c>
      <c r="H326" s="145">
        <f t="shared" si="101"/>
        <v>0</v>
      </c>
      <c r="I326" s="145">
        <f t="shared" si="95"/>
        <v>0</v>
      </c>
      <c r="J326" s="145">
        <f t="shared" si="96"/>
        <v>0</v>
      </c>
      <c r="K326" s="142" t="str">
        <f t="shared" si="102"/>
        <v>undefined</v>
      </c>
      <c r="L326" s="146">
        <f>IFERROR(INDEX(Työkonekanta!$I$3:$I$27,MATCH('S1 Sähkö'!$A326,Työkonekanta!$A$3:$A$24,0),1)*(I326+J326)*f_adblue,0)</f>
        <v>0</v>
      </c>
      <c r="M326" s="146">
        <f t="shared" si="89"/>
        <v>0</v>
      </c>
      <c r="N326" s="143" t="str">
        <f>IF(tuulisähkö_vuosi&lt;='S1 Sähkö'!C326,"tuulisähkö",ostosähkö_nyt)</f>
        <v>jäännössähkö</v>
      </c>
      <c r="O326" s="147">
        <f>INDEX(Muuttujat!$J$5:$J$21,MATCH($C326,Muuttujat!$H$5:$H$21,0),1)</f>
        <v>62.625946521929137</v>
      </c>
      <c r="P326" s="342">
        <f>1-(INDEX(Muuttujat!$O$5:$O$21,MATCH($C326,Muuttujat!$N$5:$N$21,0),1))</f>
        <v>0.9</v>
      </c>
      <c r="Q326" s="342">
        <f>INDEX(Muuttujat!$O$5:$O$21,MATCH($C326,Muuttujat!$N$5:$N$21,0),1)</f>
        <v>0.1</v>
      </c>
      <c r="R326" s="148">
        <f>INDEX(Muuttujat!$P$5:$P$21,MATCH($C326,Muuttujat!$N$5:$N$21,0),1)</f>
        <v>0.10417875759940039</v>
      </c>
      <c r="S326" s="149">
        <f t="shared" si="97"/>
        <v>0</v>
      </c>
      <c r="T326" s="150">
        <f t="shared" si="98"/>
        <v>0</v>
      </c>
      <c r="U326" s="150">
        <f t="shared" si="99"/>
        <v>0</v>
      </c>
      <c r="V326" s="150">
        <f>IFERROR(INDEX(Työkonekanta!$J$3:$J$27,MATCH($A326,Työkonekanta!$A$3:$A$24,0),1)*$B326*ef_li_ion_akku/1000/1000/INDEX(Työkonekanta!$K$3:$K$27,MATCH($A326,Työkonekanta!$A$3:$A$24,0)),0)</f>
        <v>0</v>
      </c>
      <c r="W326" s="149">
        <f t="shared" si="90"/>
        <v>0</v>
      </c>
      <c r="X326" s="150">
        <f t="shared" si="91"/>
        <v>0</v>
      </c>
      <c r="Y326" s="151">
        <f t="shared" si="92"/>
        <v>0</v>
      </c>
      <c r="Z326" s="152">
        <f t="shared" si="103"/>
        <v>0</v>
      </c>
      <c r="AA326" s="153">
        <f t="shared" si="104"/>
        <v>0</v>
      </c>
      <c r="AB326" s="153">
        <f t="shared" si="105"/>
        <v>0</v>
      </c>
      <c r="AC326" s="154">
        <f t="shared" si="93"/>
        <v>0</v>
      </c>
      <c r="AD326" s="156">
        <f t="shared" si="106"/>
        <v>0</v>
      </c>
      <c r="AE326" s="182"/>
      <c r="AJ326" s="28"/>
      <c r="AK326" s="29"/>
    </row>
    <row r="327" spans="1:37">
      <c r="A327" s="139">
        <v>25</v>
      </c>
      <c r="B327" s="139" cm="1">
        <f t="array" ref="B327">IFERROR(IF(A327=s1_id_korvattava1,INDEX($AG$3:$AG$19,MATCH(C327,$AF$3:$AF$19,0),1),IF(A327=s1_id_korvaava1,INDEX($AH$3:$AH$19,MATCH(C327,$AF$3:$AF$19,0),1),IF(A327=s1_id_korvattava2,INDEX($AI$3:$AI$19,MATCH(C327,$AF$3:$AF$19,0),1),IF(A327=s1_id_korvaava2,INDEX($AJ$3:$AJ$19,MATCH(C327,$AF$3:$AF$19,0),1),INDEX(Työkonekanta!$F$3:$F$27,MATCH('S1 Sähkö'!$A327,Työkonekanta!$A$3:$A$24,0),1))))),0)</f>
        <v>0</v>
      </c>
      <c r="C327" s="140">
        <v>2029</v>
      </c>
      <c r="D327" s="141" t="str">
        <f>IFERROR(INDEX(Työkonekanta!$D$3:$D$27,MATCH('S1 Sähkö'!$A327,Työkonekanta!$A$3:$A$24,0),1),"undefined")</f>
        <v>undefined</v>
      </c>
      <c r="E327" s="145">
        <f>IFERROR(INDEX(Työkonekanta!$G$3:$G$27,MATCH($A327,Työkonekanta!$A$3:$A$24,0),1)*INDEX(Työkonekanta!$H$3:$H$27,MATCH($A327,Työkonekanta!$A$3:$A$24,0),1)*(1+s1_kerroin*($C327-2019))*$B327,0)</f>
        <v>0</v>
      </c>
      <c r="F327" s="145">
        <f t="shared" si="94"/>
        <v>0</v>
      </c>
      <c r="G327" s="145">
        <f t="shared" si="100"/>
        <v>0</v>
      </c>
      <c r="H327" s="145">
        <f t="shared" si="101"/>
        <v>0</v>
      </c>
      <c r="I327" s="145">
        <f t="shared" si="95"/>
        <v>0</v>
      </c>
      <c r="J327" s="145">
        <f t="shared" si="96"/>
        <v>0</v>
      </c>
      <c r="K327" s="142" t="str">
        <f t="shared" si="102"/>
        <v>undefined</v>
      </c>
      <c r="L327" s="146">
        <f>IFERROR(INDEX(Työkonekanta!$I$3:$I$27,MATCH('S1 Sähkö'!$A327,Työkonekanta!$A$3:$A$24,0),1)*(I327+J327)*f_adblue,0)</f>
        <v>0</v>
      </c>
      <c r="M327" s="146">
        <f t="shared" si="89"/>
        <v>0</v>
      </c>
      <c r="N327" s="143" t="str">
        <f>IF(tuulisähkö_vuosi&lt;='S1 Sähkö'!C327,"tuulisähkö",ostosähkö_nyt)</f>
        <v>jäännössähkö</v>
      </c>
      <c r="O327" s="147">
        <f>INDEX(Muuttujat!$J$5:$J$21,MATCH($C327,Muuttujat!$H$5:$H$21,0),1)</f>
        <v>62.625946521929137</v>
      </c>
      <c r="P327" s="342">
        <f>1-(INDEX(Muuttujat!$O$5:$O$21,MATCH($C327,Muuttujat!$N$5:$N$21,0),1))</f>
        <v>0.9</v>
      </c>
      <c r="Q327" s="342">
        <f>INDEX(Muuttujat!$O$5:$O$21,MATCH($C327,Muuttujat!$N$5:$N$21,0),1)</f>
        <v>0.1</v>
      </c>
      <c r="R327" s="148">
        <f>INDEX(Muuttujat!$P$5:$P$21,MATCH($C327,Muuttujat!$N$5:$N$21,0),1)</f>
        <v>0.10417875759940039</v>
      </c>
      <c r="S327" s="149">
        <f t="shared" si="97"/>
        <v>0</v>
      </c>
      <c r="T327" s="150">
        <f t="shared" si="98"/>
        <v>0</v>
      </c>
      <c r="U327" s="150">
        <f t="shared" si="99"/>
        <v>0</v>
      </c>
      <c r="V327" s="150">
        <f>IFERROR(INDEX(Työkonekanta!$J$3:$J$27,MATCH($A327,Työkonekanta!$A$3:$A$24,0),1)*$B327*ef_li_ion_akku/1000/1000/INDEX(Työkonekanta!$K$3:$K$27,MATCH($A327,Työkonekanta!$A$3:$A$24,0)),0)</f>
        <v>0</v>
      </c>
      <c r="W327" s="149">
        <f t="shared" si="90"/>
        <v>0</v>
      </c>
      <c r="X327" s="150">
        <f t="shared" si="91"/>
        <v>0</v>
      </c>
      <c r="Y327" s="151">
        <f t="shared" si="92"/>
        <v>0</v>
      </c>
      <c r="Z327" s="152">
        <f t="shared" si="103"/>
        <v>0</v>
      </c>
      <c r="AA327" s="153">
        <f t="shared" si="104"/>
        <v>0</v>
      </c>
      <c r="AB327" s="153">
        <f t="shared" si="105"/>
        <v>0</v>
      </c>
      <c r="AC327" s="154">
        <f t="shared" si="93"/>
        <v>0</v>
      </c>
      <c r="AD327" s="156">
        <f t="shared" si="106"/>
        <v>0</v>
      </c>
      <c r="AE327" s="182"/>
      <c r="AJ327" s="28"/>
      <c r="AK327" s="29"/>
    </row>
    <row r="328" spans="1:37">
      <c r="A328" s="139">
        <v>26</v>
      </c>
      <c r="B328" s="139" cm="1">
        <f t="array" ref="B328">IFERROR(IF(A328=s1_id_korvattava1,INDEX($AG$3:$AG$19,MATCH(C328,$AF$3:$AF$19,0),1),IF(A328=s1_id_korvaava1,INDEX($AH$3:$AH$19,MATCH(C328,$AF$3:$AF$19,0),1),IF(A328=s1_id_korvattava2,INDEX($AI$3:$AI$19,MATCH(C328,$AF$3:$AF$19,0),1),IF(A328=s1_id_korvaava2,INDEX($AJ$3:$AJ$19,MATCH(C328,$AF$3:$AF$19,0),1),INDEX(Työkonekanta!$F$3:$F$27,MATCH('S1 Sähkö'!$A328,Työkonekanta!$A$3:$A$24,0),1))))),0)</f>
        <v>0</v>
      </c>
      <c r="C328" s="140">
        <v>2029</v>
      </c>
      <c r="D328" s="141" t="str">
        <f>IFERROR(INDEX(Työkonekanta!$D$3:$D$27,MATCH('S1 Sähkö'!$A328,Työkonekanta!$A$3:$A$24,0),1),"undefined")</f>
        <v>undefined</v>
      </c>
      <c r="E328" s="145">
        <f>IFERROR(INDEX(Työkonekanta!$G$3:$G$27,MATCH($A328,Työkonekanta!$A$3:$A$24,0),1)*INDEX(Työkonekanta!$H$3:$H$27,MATCH($A328,Työkonekanta!$A$3:$A$24,0),1)*(1+s1_kerroin*($C328-2019))*$B328,0)</f>
        <v>0</v>
      </c>
      <c r="F328" s="145">
        <f t="shared" si="94"/>
        <v>0</v>
      </c>
      <c r="G328" s="145">
        <f t="shared" si="100"/>
        <v>0</v>
      </c>
      <c r="H328" s="145">
        <f t="shared" si="101"/>
        <v>0</v>
      </c>
      <c r="I328" s="145">
        <f t="shared" si="95"/>
        <v>0</v>
      </c>
      <c r="J328" s="145">
        <f t="shared" si="96"/>
        <v>0</v>
      </c>
      <c r="K328" s="142" t="str">
        <f t="shared" si="102"/>
        <v>undefined</v>
      </c>
      <c r="L328" s="146">
        <f>IFERROR(INDEX(Työkonekanta!$I$3:$I$27,MATCH('S1 Sähkö'!$A328,Työkonekanta!$A$3:$A$24,0),1)*(I328+J328)*f_adblue,0)</f>
        <v>0</v>
      </c>
      <c r="M328" s="146">
        <f t="shared" si="89"/>
        <v>0</v>
      </c>
      <c r="N328" s="143" t="str">
        <f>IF(tuulisähkö_vuosi&lt;='S1 Sähkö'!C328,"tuulisähkö",ostosähkö_nyt)</f>
        <v>jäännössähkö</v>
      </c>
      <c r="O328" s="147">
        <f>INDEX(Muuttujat!$J$5:$J$21,MATCH($C328,Muuttujat!$H$5:$H$21,0),1)</f>
        <v>62.625946521929137</v>
      </c>
      <c r="P328" s="342">
        <f>1-(INDEX(Muuttujat!$O$5:$O$21,MATCH($C328,Muuttujat!$N$5:$N$21,0),1))</f>
        <v>0.9</v>
      </c>
      <c r="Q328" s="342">
        <f>INDEX(Muuttujat!$O$5:$O$21,MATCH($C328,Muuttujat!$N$5:$N$21,0),1)</f>
        <v>0.1</v>
      </c>
      <c r="R328" s="148">
        <f>INDEX(Muuttujat!$P$5:$P$21,MATCH($C328,Muuttujat!$N$5:$N$21,0),1)</f>
        <v>0.10417875759940039</v>
      </c>
      <c r="S328" s="149">
        <f t="shared" si="97"/>
        <v>0</v>
      </c>
      <c r="T328" s="150">
        <f t="shared" si="98"/>
        <v>0</v>
      </c>
      <c r="U328" s="150">
        <f t="shared" si="99"/>
        <v>0</v>
      </c>
      <c r="V328" s="150">
        <f>IFERROR(INDEX(Työkonekanta!$J$3:$J$27,MATCH($A328,Työkonekanta!$A$3:$A$24,0),1)*$B328*ef_li_ion_akku/1000/1000/INDEX(Työkonekanta!$K$3:$K$27,MATCH($A328,Työkonekanta!$A$3:$A$24,0)),0)</f>
        <v>0</v>
      </c>
      <c r="W328" s="149">
        <f t="shared" si="90"/>
        <v>0</v>
      </c>
      <c r="X328" s="150">
        <f t="shared" si="91"/>
        <v>0</v>
      </c>
      <c r="Y328" s="151">
        <f t="shared" si="92"/>
        <v>0</v>
      </c>
      <c r="Z328" s="152">
        <f t="shared" si="103"/>
        <v>0</v>
      </c>
      <c r="AA328" s="153">
        <f t="shared" si="104"/>
        <v>0</v>
      </c>
      <c r="AB328" s="153">
        <f t="shared" si="105"/>
        <v>0</v>
      </c>
      <c r="AC328" s="154">
        <f t="shared" si="93"/>
        <v>0</v>
      </c>
      <c r="AD328" s="156">
        <f t="shared" si="106"/>
        <v>0</v>
      </c>
      <c r="AE328" s="182"/>
      <c r="AJ328" s="28"/>
      <c r="AK328" s="29"/>
    </row>
    <row r="329" spans="1:37">
      <c r="A329" s="139">
        <v>27</v>
      </c>
      <c r="B329" s="139" cm="1">
        <f t="array" ref="B329">IFERROR(IF(A329=s1_id_korvattava1,INDEX($AG$3:$AG$19,MATCH(C329,$AF$3:$AF$19,0),1),IF(A329=s1_id_korvaava1,INDEX($AH$3:$AH$19,MATCH(C329,$AF$3:$AF$19,0),1),IF(A329=s1_id_korvattava2,INDEX($AI$3:$AI$19,MATCH(C329,$AF$3:$AF$19,0),1),IF(A329=s1_id_korvaava2,INDEX($AJ$3:$AJ$19,MATCH(C329,$AF$3:$AF$19,0),1),INDEX(Työkonekanta!$F$3:$F$27,MATCH('S1 Sähkö'!$A329,Työkonekanta!$A$3:$A$24,0),1))))),0)</f>
        <v>0</v>
      </c>
      <c r="C329" s="140">
        <v>2029</v>
      </c>
      <c r="D329" s="141" t="str">
        <f>IFERROR(INDEX(Työkonekanta!$D$3:$D$27,MATCH('S1 Sähkö'!$A329,Työkonekanta!$A$3:$A$24,0),1),"undefined")</f>
        <v>undefined</v>
      </c>
      <c r="E329" s="145">
        <f>IFERROR(INDEX(Työkonekanta!$G$3:$G$27,MATCH($A329,Työkonekanta!$A$3:$A$24,0),1)*INDEX(Työkonekanta!$H$3:$H$27,MATCH($A329,Työkonekanta!$A$3:$A$24,0),1)*(1+s1_kerroin*($C329-2019))*$B329,0)</f>
        <v>0</v>
      </c>
      <c r="F329" s="145">
        <f t="shared" si="94"/>
        <v>0</v>
      </c>
      <c r="G329" s="145">
        <f t="shared" si="100"/>
        <v>0</v>
      </c>
      <c r="H329" s="145">
        <f t="shared" si="101"/>
        <v>0</v>
      </c>
      <c r="I329" s="145">
        <f t="shared" si="95"/>
        <v>0</v>
      </c>
      <c r="J329" s="145">
        <f t="shared" si="96"/>
        <v>0</v>
      </c>
      <c r="K329" s="142" t="str">
        <f t="shared" si="102"/>
        <v>undefined</v>
      </c>
      <c r="L329" s="146">
        <f>IFERROR(INDEX(Työkonekanta!$I$3:$I$27,MATCH('S1 Sähkö'!$A329,Työkonekanta!$A$3:$A$24,0),1)*(I329+J329)*f_adblue,0)</f>
        <v>0</v>
      </c>
      <c r="M329" s="146">
        <f t="shared" si="89"/>
        <v>0</v>
      </c>
      <c r="N329" s="143" t="str">
        <f>IF(tuulisähkö_vuosi&lt;='S1 Sähkö'!C329,"tuulisähkö",ostosähkö_nyt)</f>
        <v>jäännössähkö</v>
      </c>
      <c r="O329" s="147">
        <f>INDEX(Muuttujat!$J$5:$J$21,MATCH($C329,Muuttujat!$H$5:$H$21,0),1)</f>
        <v>62.625946521929137</v>
      </c>
      <c r="P329" s="342">
        <f>1-(INDEX(Muuttujat!$O$5:$O$21,MATCH($C329,Muuttujat!$N$5:$N$21,0),1))</f>
        <v>0.9</v>
      </c>
      <c r="Q329" s="342">
        <f>INDEX(Muuttujat!$O$5:$O$21,MATCH($C329,Muuttujat!$N$5:$N$21,0),1)</f>
        <v>0.1</v>
      </c>
      <c r="R329" s="148">
        <f>INDEX(Muuttujat!$P$5:$P$21,MATCH($C329,Muuttujat!$N$5:$N$21,0),1)</f>
        <v>0.10417875759940039</v>
      </c>
      <c r="S329" s="149">
        <f t="shared" si="97"/>
        <v>0</v>
      </c>
      <c r="T329" s="150">
        <f t="shared" si="98"/>
        <v>0</v>
      </c>
      <c r="U329" s="150">
        <f t="shared" si="99"/>
        <v>0</v>
      </c>
      <c r="V329" s="150">
        <f>IFERROR(INDEX(Työkonekanta!$J$3:$J$27,MATCH($A329,Työkonekanta!$A$3:$A$24,0),1)*$B329*ef_li_ion_akku/1000/1000/INDEX(Työkonekanta!$K$3:$K$27,MATCH($A329,Työkonekanta!$A$3:$A$24,0)),0)</f>
        <v>0</v>
      </c>
      <c r="W329" s="149">
        <f t="shared" si="90"/>
        <v>0</v>
      </c>
      <c r="X329" s="150">
        <f t="shared" si="91"/>
        <v>0</v>
      </c>
      <c r="Y329" s="151">
        <f t="shared" si="92"/>
        <v>0</v>
      </c>
      <c r="Z329" s="152">
        <f t="shared" si="103"/>
        <v>0</v>
      </c>
      <c r="AA329" s="153">
        <f t="shared" si="104"/>
        <v>0</v>
      </c>
      <c r="AB329" s="153">
        <f t="shared" si="105"/>
        <v>0</v>
      </c>
      <c r="AC329" s="154">
        <f t="shared" si="93"/>
        <v>0</v>
      </c>
      <c r="AD329" s="156">
        <f t="shared" si="106"/>
        <v>0</v>
      </c>
      <c r="AE329" s="182"/>
      <c r="AJ329" s="28"/>
      <c r="AK329" s="29"/>
    </row>
    <row r="330" spans="1:37">
      <c r="A330" s="139">
        <v>28</v>
      </c>
      <c r="B330" s="139" cm="1">
        <f t="array" ref="B330">IFERROR(IF(A330=s1_id_korvattava1,INDEX($AG$3:$AG$19,MATCH(C330,$AF$3:$AF$19,0),1),IF(A330=s1_id_korvaava1,INDEX($AH$3:$AH$19,MATCH(C330,$AF$3:$AF$19,0),1),IF(A330=s1_id_korvattava2,INDEX($AI$3:$AI$19,MATCH(C330,$AF$3:$AF$19,0),1),IF(A330=s1_id_korvaava2,INDEX($AJ$3:$AJ$19,MATCH(C330,$AF$3:$AF$19,0),1),INDEX(Työkonekanta!$F$3:$F$27,MATCH('S1 Sähkö'!$A330,Työkonekanta!$A$3:$A$24,0),1))))),0)</f>
        <v>0</v>
      </c>
      <c r="C330" s="140">
        <v>2029</v>
      </c>
      <c r="D330" s="141" t="str">
        <f>IFERROR(INDEX(Työkonekanta!$D$3:$D$27,MATCH('S1 Sähkö'!$A330,Työkonekanta!$A$3:$A$24,0),1),"undefined")</f>
        <v>undefined</v>
      </c>
      <c r="E330" s="145">
        <f>IFERROR(INDEX(Työkonekanta!$G$3:$G$27,MATCH($A330,Työkonekanta!$A$3:$A$24,0),1)*INDEX(Työkonekanta!$H$3:$H$27,MATCH($A330,Työkonekanta!$A$3:$A$24,0),1)*(1+s1_kerroin*($C330-2019))*$B330,0)</f>
        <v>0</v>
      </c>
      <c r="F330" s="145">
        <f t="shared" si="94"/>
        <v>0</v>
      </c>
      <c r="G330" s="145">
        <f t="shared" si="100"/>
        <v>0</v>
      </c>
      <c r="H330" s="145">
        <f t="shared" si="101"/>
        <v>0</v>
      </c>
      <c r="I330" s="145">
        <f t="shared" si="95"/>
        <v>0</v>
      </c>
      <c r="J330" s="145">
        <f t="shared" si="96"/>
        <v>0</v>
      </c>
      <c r="K330" s="142" t="str">
        <f t="shared" si="102"/>
        <v>undefined</v>
      </c>
      <c r="L330" s="146">
        <f>IFERROR(INDEX(Työkonekanta!$I$3:$I$27,MATCH('S1 Sähkö'!$A330,Työkonekanta!$A$3:$A$24,0),1)*(I330+J330)*f_adblue,0)</f>
        <v>0</v>
      </c>
      <c r="M330" s="146">
        <f t="shared" si="89"/>
        <v>0</v>
      </c>
      <c r="N330" s="143" t="str">
        <f>IF(tuulisähkö_vuosi&lt;='S1 Sähkö'!C330,"tuulisähkö",ostosähkö_nyt)</f>
        <v>jäännössähkö</v>
      </c>
      <c r="O330" s="147">
        <f>INDEX(Muuttujat!$J$5:$J$21,MATCH($C330,Muuttujat!$H$5:$H$21,0),1)</f>
        <v>62.625946521929137</v>
      </c>
      <c r="P330" s="342">
        <f>1-(INDEX(Muuttujat!$O$5:$O$21,MATCH($C330,Muuttujat!$N$5:$N$21,0),1))</f>
        <v>0.9</v>
      </c>
      <c r="Q330" s="342">
        <f>INDEX(Muuttujat!$O$5:$O$21,MATCH($C330,Muuttujat!$N$5:$N$21,0),1)</f>
        <v>0.1</v>
      </c>
      <c r="R330" s="148">
        <f>INDEX(Muuttujat!$P$5:$P$21,MATCH($C330,Muuttujat!$N$5:$N$21,0),1)</f>
        <v>0.10417875759940039</v>
      </c>
      <c r="S330" s="149">
        <f t="shared" si="97"/>
        <v>0</v>
      </c>
      <c r="T330" s="150">
        <f t="shared" si="98"/>
        <v>0</v>
      </c>
      <c r="U330" s="150">
        <f t="shared" si="99"/>
        <v>0</v>
      </c>
      <c r="V330" s="150">
        <f>IFERROR(INDEX(Työkonekanta!$J$3:$J$27,MATCH($A330,Työkonekanta!$A$3:$A$24,0),1)*$B330*ef_li_ion_akku/1000/1000/INDEX(Työkonekanta!$K$3:$K$27,MATCH($A330,Työkonekanta!$A$3:$A$24,0)),0)</f>
        <v>0</v>
      </c>
      <c r="W330" s="149">
        <f t="shared" si="90"/>
        <v>0</v>
      </c>
      <c r="X330" s="150">
        <f t="shared" si="91"/>
        <v>0</v>
      </c>
      <c r="Y330" s="151">
        <f t="shared" si="92"/>
        <v>0</v>
      </c>
      <c r="Z330" s="152">
        <f t="shared" si="103"/>
        <v>0</v>
      </c>
      <c r="AA330" s="153">
        <f t="shared" si="104"/>
        <v>0</v>
      </c>
      <c r="AB330" s="153">
        <f t="shared" si="105"/>
        <v>0</v>
      </c>
      <c r="AC330" s="154">
        <f t="shared" si="93"/>
        <v>0</v>
      </c>
      <c r="AD330" s="156">
        <f t="shared" si="106"/>
        <v>0</v>
      </c>
      <c r="AE330" s="182"/>
      <c r="AJ330" s="28"/>
      <c r="AK330" s="29"/>
    </row>
    <row r="331" spans="1:37">
      <c r="A331" s="139">
        <v>29</v>
      </c>
      <c r="B331" s="139" cm="1">
        <f t="array" ref="B331">IFERROR(IF(A331=s1_id_korvattava1,INDEX($AG$3:$AG$19,MATCH(C331,$AF$3:$AF$19,0),1),IF(A331=s1_id_korvaava1,INDEX($AH$3:$AH$19,MATCH(C331,$AF$3:$AF$19,0),1),IF(A331=s1_id_korvattava2,INDEX($AI$3:$AI$19,MATCH(C331,$AF$3:$AF$19,0),1),IF(A331=s1_id_korvaava2,INDEX($AJ$3:$AJ$19,MATCH(C331,$AF$3:$AF$19,0),1),INDEX(Työkonekanta!$F$3:$F$27,MATCH('S1 Sähkö'!$A331,Työkonekanta!$A$3:$A$24,0),1))))),0)</f>
        <v>0</v>
      </c>
      <c r="C331" s="140">
        <v>2029</v>
      </c>
      <c r="D331" s="141" t="str">
        <f>IFERROR(INDEX(Työkonekanta!$D$3:$D$27,MATCH('S1 Sähkö'!$A331,Työkonekanta!$A$3:$A$24,0),1),"undefined")</f>
        <v>undefined</v>
      </c>
      <c r="E331" s="145">
        <f>IFERROR(INDEX(Työkonekanta!$G$3:$G$27,MATCH($A331,Työkonekanta!$A$3:$A$24,0),1)*INDEX(Työkonekanta!$H$3:$H$27,MATCH($A331,Työkonekanta!$A$3:$A$24,0),1)*(1+s1_kerroin*($C331-2019))*$B331,0)</f>
        <v>0</v>
      </c>
      <c r="F331" s="145">
        <f t="shared" si="94"/>
        <v>0</v>
      </c>
      <c r="G331" s="145">
        <f t="shared" si="100"/>
        <v>0</v>
      </c>
      <c r="H331" s="145">
        <f t="shared" si="101"/>
        <v>0</v>
      </c>
      <c r="I331" s="145">
        <f t="shared" si="95"/>
        <v>0</v>
      </c>
      <c r="J331" s="145">
        <f t="shared" si="96"/>
        <v>0</v>
      </c>
      <c r="K331" s="142" t="str">
        <f t="shared" si="102"/>
        <v>undefined</v>
      </c>
      <c r="L331" s="146">
        <f>IFERROR(INDEX(Työkonekanta!$I$3:$I$27,MATCH('S1 Sähkö'!$A331,Työkonekanta!$A$3:$A$24,0),1)*(I331+J331)*f_adblue,0)</f>
        <v>0</v>
      </c>
      <c r="M331" s="146">
        <f t="shared" si="89"/>
        <v>0</v>
      </c>
      <c r="N331" s="143" t="str">
        <f>IF(tuulisähkö_vuosi&lt;='S1 Sähkö'!C331,"tuulisähkö",ostosähkö_nyt)</f>
        <v>jäännössähkö</v>
      </c>
      <c r="O331" s="147">
        <f>INDEX(Muuttujat!$J$5:$J$21,MATCH($C331,Muuttujat!$H$5:$H$21,0),1)</f>
        <v>62.625946521929137</v>
      </c>
      <c r="P331" s="342">
        <f>1-(INDEX(Muuttujat!$O$5:$O$21,MATCH($C331,Muuttujat!$N$5:$N$21,0),1))</f>
        <v>0.9</v>
      </c>
      <c r="Q331" s="342">
        <f>INDEX(Muuttujat!$O$5:$O$21,MATCH($C331,Muuttujat!$N$5:$N$21,0),1)</f>
        <v>0.1</v>
      </c>
      <c r="R331" s="148">
        <f>INDEX(Muuttujat!$P$5:$P$21,MATCH($C331,Muuttujat!$N$5:$N$21,0),1)</f>
        <v>0.10417875759940039</v>
      </c>
      <c r="S331" s="149">
        <f t="shared" si="97"/>
        <v>0</v>
      </c>
      <c r="T331" s="150">
        <f t="shared" si="98"/>
        <v>0</v>
      </c>
      <c r="U331" s="150">
        <f t="shared" si="99"/>
        <v>0</v>
      </c>
      <c r="V331" s="150">
        <f>IFERROR(INDEX(Työkonekanta!$J$3:$J$27,MATCH($A331,Työkonekanta!$A$3:$A$24,0),1)*$B331*ef_li_ion_akku/1000/1000/INDEX(Työkonekanta!$K$3:$K$27,MATCH($A331,Työkonekanta!$A$3:$A$24,0)),0)</f>
        <v>0</v>
      </c>
      <c r="W331" s="149">
        <f t="shared" si="90"/>
        <v>0</v>
      </c>
      <c r="X331" s="150">
        <f t="shared" si="91"/>
        <v>0</v>
      </c>
      <c r="Y331" s="151">
        <f t="shared" si="92"/>
        <v>0</v>
      </c>
      <c r="Z331" s="152">
        <f t="shared" si="103"/>
        <v>0</v>
      </c>
      <c r="AA331" s="153">
        <f t="shared" si="104"/>
        <v>0</v>
      </c>
      <c r="AB331" s="153">
        <f t="shared" si="105"/>
        <v>0</v>
      </c>
      <c r="AC331" s="154">
        <f t="shared" si="93"/>
        <v>0</v>
      </c>
      <c r="AD331" s="156">
        <f t="shared" si="106"/>
        <v>0</v>
      </c>
      <c r="AE331" s="182"/>
      <c r="AJ331" s="28"/>
      <c r="AK331" s="29"/>
    </row>
    <row r="332" spans="1:37">
      <c r="A332" s="139">
        <v>30</v>
      </c>
      <c r="B332" s="139" cm="1">
        <f t="array" ref="B332">IFERROR(IF(A332=s1_id_korvattava1,INDEX($AG$3:$AG$19,MATCH(C332,$AF$3:$AF$19,0),1),IF(A332=s1_id_korvaava1,INDEX($AH$3:$AH$19,MATCH(C332,$AF$3:$AF$19,0),1),IF(A332=s1_id_korvattava2,INDEX($AI$3:$AI$19,MATCH(C332,$AF$3:$AF$19,0),1),IF(A332=s1_id_korvaava2,INDEX($AJ$3:$AJ$19,MATCH(C332,$AF$3:$AF$19,0),1),INDEX(Työkonekanta!$F$3:$F$27,MATCH('S1 Sähkö'!$A332,Työkonekanta!$A$3:$A$24,0),1))))),0)</f>
        <v>0</v>
      </c>
      <c r="C332" s="140">
        <v>2029</v>
      </c>
      <c r="D332" s="141" t="str">
        <f>IFERROR(INDEX(Työkonekanta!$D$3:$D$27,MATCH('S1 Sähkö'!$A332,Työkonekanta!$A$3:$A$24,0),1),"undefined")</f>
        <v>undefined</v>
      </c>
      <c r="E332" s="145">
        <f>IFERROR(INDEX(Työkonekanta!$G$3:$G$27,MATCH($A332,Työkonekanta!$A$3:$A$24,0),1)*INDEX(Työkonekanta!$H$3:$H$27,MATCH($A332,Työkonekanta!$A$3:$A$24,0),1)*(1+s1_kerroin*($C332-2019))*$B332,0)</f>
        <v>0</v>
      </c>
      <c r="F332" s="145">
        <f t="shared" si="94"/>
        <v>0</v>
      </c>
      <c r="G332" s="145">
        <f t="shared" si="100"/>
        <v>0</v>
      </c>
      <c r="H332" s="145">
        <f t="shared" si="101"/>
        <v>0</v>
      </c>
      <c r="I332" s="145">
        <f t="shared" si="95"/>
        <v>0</v>
      </c>
      <c r="J332" s="145">
        <f t="shared" si="96"/>
        <v>0</v>
      </c>
      <c r="K332" s="142" t="str">
        <f t="shared" si="102"/>
        <v>undefined</v>
      </c>
      <c r="L332" s="146">
        <f>IFERROR(INDEX(Työkonekanta!$I$3:$I$27,MATCH('S1 Sähkö'!$A332,Työkonekanta!$A$3:$A$24,0),1)*(I332+J332)*f_adblue,0)</f>
        <v>0</v>
      </c>
      <c r="M332" s="146">
        <f t="shared" si="89"/>
        <v>0</v>
      </c>
      <c r="N332" s="143" t="str">
        <f>IF(tuulisähkö_vuosi&lt;='S1 Sähkö'!C332,"tuulisähkö",ostosähkö_nyt)</f>
        <v>jäännössähkö</v>
      </c>
      <c r="O332" s="147">
        <f>INDEX(Muuttujat!$J$5:$J$21,MATCH($C332,Muuttujat!$H$5:$H$21,0),1)</f>
        <v>62.625946521929137</v>
      </c>
      <c r="P332" s="342">
        <f>1-(INDEX(Muuttujat!$O$5:$O$21,MATCH($C332,Muuttujat!$N$5:$N$21,0),1))</f>
        <v>0.9</v>
      </c>
      <c r="Q332" s="342">
        <f>INDEX(Muuttujat!$O$5:$O$21,MATCH($C332,Muuttujat!$N$5:$N$21,0),1)</f>
        <v>0.1</v>
      </c>
      <c r="R332" s="148">
        <f>INDEX(Muuttujat!$P$5:$P$21,MATCH($C332,Muuttujat!$N$5:$N$21,0),1)</f>
        <v>0.10417875759940039</v>
      </c>
      <c r="S332" s="149">
        <f t="shared" si="97"/>
        <v>0</v>
      </c>
      <c r="T332" s="150">
        <f t="shared" si="98"/>
        <v>0</v>
      </c>
      <c r="U332" s="150">
        <f t="shared" si="99"/>
        <v>0</v>
      </c>
      <c r="V332" s="150">
        <f>IFERROR(INDEX(Työkonekanta!$J$3:$J$27,MATCH($A332,Työkonekanta!$A$3:$A$24,0),1)*$B332*ef_li_ion_akku/1000/1000/INDEX(Työkonekanta!$K$3:$K$27,MATCH($A332,Työkonekanta!$A$3:$A$24,0)),0)</f>
        <v>0</v>
      </c>
      <c r="W332" s="149">
        <f t="shared" si="90"/>
        <v>0</v>
      </c>
      <c r="X332" s="150">
        <f t="shared" si="91"/>
        <v>0</v>
      </c>
      <c r="Y332" s="151">
        <f t="shared" si="92"/>
        <v>0</v>
      </c>
      <c r="Z332" s="152">
        <f t="shared" si="103"/>
        <v>0</v>
      </c>
      <c r="AA332" s="153">
        <f t="shared" si="104"/>
        <v>0</v>
      </c>
      <c r="AB332" s="153">
        <f t="shared" si="105"/>
        <v>0</v>
      </c>
      <c r="AC332" s="154">
        <f t="shared" si="93"/>
        <v>0</v>
      </c>
      <c r="AD332" s="156">
        <f t="shared" si="106"/>
        <v>0</v>
      </c>
      <c r="AE332" s="182"/>
      <c r="AJ332" s="28"/>
      <c r="AK332" s="29"/>
    </row>
    <row r="333" spans="1:37">
      <c r="A333" s="139">
        <v>1</v>
      </c>
      <c r="B333" s="139" cm="1">
        <f t="array" ref="B333">IFERROR(IF(A333=s1_id_korvattava1,INDEX($AG$3:$AG$19,MATCH(C333,$AF$3:$AF$19,0),1),IF(A333=s1_id_korvaava1,INDEX($AH$3:$AH$19,MATCH(C333,$AF$3:$AF$19,0),1),IF(A333=s1_id_korvattava2,INDEX($AI$3:$AI$19,MATCH(C333,$AF$3:$AF$19,0),1),IF(A333=s1_id_korvaava2,INDEX($AJ$3:$AJ$19,MATCH(C333,$AF$3:$AF$19,0),1),INDEX(Työkonekanta!$F$3:$F$27,MATCH('S1 Sähkö'!$A333,Työkonekanta!$A$3:$A$24,0),1))))),0)</f>
        <v>1</v>
      </c>
      <c r="C333" s="140">
        <v>2030</v>
      </c>
      <c r="D333" s="141" t="str">
        <f>IFERROR(INDEX(Työkonekanta!$D$3:$D$27,MATCH('S1 Sähkö'!$A333,Työkonekanta!$A$3:$A$24,0),1),"undefined")</f>
        <v>pom</v>
      </c>
      <c r="E333" s="145">
        <f>IFERROR(INDEX(Työkonekanta!$G$3:$G$27,MATCH($A333,Työkonekanta!$A$3:$A$24,0),1)*INDEX(Työkonekanta!$H$3:$H$27,MATCH($A333,Työkonekanta!$A$3:$A$24,0),1)*(1+s1_kerroin*($C333-2019))*$B333,0)</f>
        <v>11100.000000000002</v>
      </c>
      <c r="F333" s="145">
        <f t="shared" si="94"/>
        <v>398490.00000000006</v>
      </c>
      <c r="G333" s="145">
        <f t="shared" si="100"/>
        <v>358641.00000000006</v>
      </c>
      <c r="H333" s="145">
        <f t="shared" si="101"/>
        <v>39849.000000000007</v>
      </c>
      <c r="I333" s="145">
        <f t="shared" si="95"/>
        <v>9990.0000000000018</v>
      </c>
      <c r="J333" s="145">
        <f t="shared" si="96"/>
        <v>1161.7784256559769</v>
      </c>
      <c r="K333" s="142" t="str">
        <f t="shared" si="102"/>
        <v>l</v>
      </c>
      <c r="L333" s="146">
        <f>IFERROR(INDEX(Työkonekanta!$I$3:$I$27,MATCH('S1 Sähkö'!$A333,Työkonekanta!$A$3:$A$24,0),1)*(I333+J333)*f_adblue,0)</f>
        <v>557.58892128279899</v>
      </c>
      <c r="M333" s="146">
        <f t="shared" si="89"/>
        <v>0</v>
      </c>
      <c r="N333" s="143" t="str">
        <f>IF(tuulisähkö_vuosi&lt;='S1 Sähkö'!C333,"tuulisähkö",ostosähkö_nyt)</f>
        <v>jäännössähkö</v>
      </c>
      <c r="O333" s="147">
        <f>INDEX(Muuttujat!$J$5:$J$21,MATCH($C333,Muuttujat!$H$5:$H$21,0),1)</f>
        <v>61.999687056709845</v>
      </c>
      <c r="P333" s="342">
        <f>1-(INDEX(Muuttujat!$O$5:$O$21,MATCH($C333,Muuttujat!$N$5:$N$21,0),1))</f>
        <v>0.9</v>
      </c>
      <c r="Q333" s="342">
        <f>INDEX(Muuttujat!$O$5:$O$21,MATCH($C333,Muuttujat!$N$5:$N$21,0),1)</f>
        <v>0.1</v>
      </c>
      <c r="R333" s="148">
        <f>INDEX(Muuttujat!$P$5:$P$21,MATCH($C333,Muuttujat!$N$5:$N$21,0),1)</f>
        <v>0.10417875759940039</v>
      </c>
      <c r="S333" s="149">
        <f t="shared" si="97"/>
        <v>6.7783149000000007</v>
      </c>
      <c r="T333" s="150">
        <f t="shared" si="98"/>
        <v>2.4865776000000004</v>
      </c>
      <c r="U333" s="150">
        <f t="shared" si="99"/>
        <v>0</v>
      </c>
      <c r="V333" s="150">
        <f>IFERROR(INDEX(Työkonekanta!$J$3:$J$27,MATCH($A333,Työkonekanta!$A$3:$A$24,0),1)*$B333*ef_li_ion_akku/1000/1000/INDEX(Työkonekanta!$K$3:$K$27,MATCH($A333,Työkonekanta!$A$3:$A$24,0)),0)</f>
        <v>0</v>
      </c>
      <c r="W333" s="149">
        <f t="shared" si="90"/>
        <v>26.470666122714007</v>
      </c>
      <c r="X333" s="150">
        <f t="shared" si="91"/>
        <v>0.35269768260000006</v>
      </c>
      <c r="Y333" s="151">
        <f t="shared" si="92"/>
        <v>0.14497311953352773</v>
      </c>
      <c r="Z333" s="152">
        <f t="shared" si="103"/>
        <v>9.264892500000002</v>
      </c>
      <c r="AA333" s="153">
        <f t="shared" si="104"/>
        <v>26.615639242247536</v>
      </c>
      <c r="AB333" s="153">
        <f t="shared" si="105"/>
        <v>26.968336924847534</v>
      </c>
      <c r="AC333" s="154">
        <f t="shared" si="93"/>
        <v>35.880531742247541</v>
      </c>
      <c r="AD333" s="156">
        <f t="shared" si="106"/>
        <v>36.233229424847536</v>
      </c>
      <c r="AE333" s="182"/>
      <c r="AG333" s="2"/>
    </row>
    <row r="334" spans="1:37">
      <c r="A334" s="139">
        <v>2</v>
      </c>
      <c r="B334" s="139" cm="1">
        <f t="array" ref="B334">IFERROR(IF(A334=s1_id_korvattava1,INDEX($AG$3:$AG$19,MATCH(C334,$AF$3:$AF$19,0),1),IF(A334=s1_id_korvaava1,INDEX($AH$3:$AH$19,MATCH(C334,$AF$3:$AF$19,0),1),IF(A334=s1_id_korvattava2,INDEX($AI$3:$AI$19,MATCH(C334,$AF$3:$AF$19,0),1),IF(A334=s1_id_korvaava2,INDEX($AJ$3:$AJ$19,MATCH(C334,$AF$3:$AF$19,0),1),INDEX(Työkonekanta!$F$3:$F$27,MATCH('S1 Sähkö'!$A334,Työkonekanta!$A$3:$A$24,0),1))))),0)</f>
        <v>1</v>
      </c>
      <c r="C334" s="140">
        <v>2030</v>
      </c>
      <c r="D334" s="141" t="str">
        <f>IFERROR(INDEX(Työkonekanta!$D$3:$D$27,MATCH('S1 Sähkö'!$A334,Työkonekanta!$A$3:$A$24,0),1),"undefined")</f>
        <v>pom</v>
      </c>
      <c r="E334" s="145">
        <f>IFERROR(INDEX(Työkonekanta!$G$3:$G$27,MATCH($A334,Työkonekanta!$A$3:$A$24,0),1)*INDEX(Työkonekanta!$H$3:$H$27,MATCH($A334,Työkonekanta!$A$3:$A$24,0),1)*(1+s1_kerroin*($C334-2019))*$B334,0)</f>
        <v>11100.000000000002</v>
      </c>
      <c r="F334" s="145">
        <f t="shared" si="94"/>
        <v>398490.00000000006</v>
      </c>
      <c r="G334" s="145">
        <f t="shared" si="100"/>
        <v>358641.00000000006</v>
      </c>
      <c r="H334" s="145">
        <f t="shared" si="101"/>
        <v>39849.000000000007</v>
      </c>
      <c r="I334" s="145">
        <f t="shared" si="95"/>
        <v>9990.0000000000018</v>
      </c>
      <c r="J334" s="145">
        <f t="shared" si="96"/>
        <v>1161.7784256559769</v>
      </c>
      <c r="K334" s="142" t="str">
        <f t="shared" si="102"/>
        <v>l</v>
      </c>
      <c r="L334" s="146">
        <f>IFERROR(INDEX(Työkonekanta!$I$3:$I$27,MATCH('S1 Sähkö'!$A334,Työkonekanta!$A$3:$A$24,0),1)*(I334+J334)*f_adblue,0)</f>
        <v>557.58892128279899</v>
      </c>
      <c r="M334" s="146">
        <f t="shared" si="89"/>
        <v>0</v>
      </c>
      <c r="N334" s="143" t="str">
        <f>IF(tuulisähkö_vuosi&lt;='S1 Sähkö'!C334,"tuulisähkö",ostosähkö_nyt)</f>
        <v>jäännössähkö</v>
      </c>
      <c r="O334" s="147">
        <f>INDEX(Muuttujat!$J$5:$J$21,MATCH($C334,Muuttujat!$H$5:$H$21,0),1)</f>
        <v>61.999687056709845</v>
      </c>
      <c r="P334" s="342">
        <f>1-(INDEX(Muuttujat!$O$5:$O$21,MATCH($C334,Muuttujat!$N$5:$N$21,0),1))</f>
        <v>0.9</v>
      </c>
      <c r="Q334" s="342">
        <f>INDEX(Muuttujat!$O$5:$O$21,MATCH($C334,Muuttujat!$N$5:$N$21,0),1)</f>
        <v>0.1</v>
      </c>
      <c r="R334" s="148">
        <f>INDEX(Muuttujat!$P$5:$P$21,MATCH($C334,Muuttujat!$N$5:$N$21,0),1)</f>
        <v>0.10417875759940039</v>
      </c>
      <c r="S334" s="149">
        <f t="shared" si="97"/>
        <v>6.7783149000000007</v>
      </c>
      <c r="T334" s="150">
        <f t="shared" si="98"/>
        <v>2.4865776000000004</v>
      </c>
      <c r="U334" s="150">
        <f t="shared" si="99"/>
        <v>0</v>
      </c>
      <c r="V334" s="150">
        <f>IFERROR(INDEX(Työkonekanta!$J$3:$J$27,MATCH($A334,Työkonekanta!$A$3:$A$24,0),1)*$B334*ef_li_ion_akku/1000/1000/INDEX(Työkonekanta!$K$3:$K$27,MATCH($A334,Työkonekanta!$A$3:$A$24,0)),0)</f>
        <v>0</v>
      </c>
      <c r="W334" s="149">
        <f t="shared" si="90"/>
        <v>26.470666122714007</v>
      </c>
      <c r="X334" s="150">
        <f t="shared" si="91"/>
        <v>0.35269768260000006</v>
      </c>
      <c r="Y334" s="151">
        <f t="shared" si="92"/>
        <v>0.14497311953352773</v>
      </c>
      <c r="Z334" s="152">
        <f t="shared" si="103"/>
        <v>9.264892500000002</v>
      </c>
      <c r="AA334" s="153">
        <f t="shared" si="104"/>
        <v>26.615639242247536</v>
      </c>
      <c r="AB334" s="153">
        <f t="shared" si="105"/>
        <v>26.968336924847534</v>
      </c>
      <c r="AC334" s="154">
        <f t="shared" si="93"/>
        <v>35.880531742247541</v>
      </c>
      <c r="AD334" s="156">
        <f t="shared" si="106"/>
        <v>36.233229424847536</v>
      </c>
      <c r="AE334" s="182"/>
      <c r="AG334" s="2"/>
    </row>
    <row r="335" spans="1:37">
      <c r="A335" s="139">
        <v>3</v>
      </c>
      <c r="B335" s="139" cm="1">
        <f t="array" ref="B335">IFERROR(IF(A335=s1_id_korvattava1,INDEX($AG$3:$AG$19,MATCH(C335,$AF$3:$AF$19,0),1),IF(A335=s1_id_korvaava1,INDEX($AH$3:$AH$19,MATCH(C335,$AF$3:$AF$19,0),1),IF(A335=s1_id_korvattava2,INDEX($AI$3:$AI$19,MATCH(C335,$AF$3:$AF$19,0),1),IF(A335=s1_id_korvaava2,INDEX($AJ$3:$AJ$19,MATCH(C335,$AF$3:$AF$19,0),1),INDEX(Työkonekanta!$F$3:$F$27,MATCH('S1 Sähkö'!$A335,Työkonekanta!$A$3:$A$24,0),1))))),0)</f>
        <v>1</v>
      </c>
      <c r="C335" s="140">
        <v>2030</v>
      </c>
      <c r="D335" s="141" t="str">
        <f>IFERROR(INDEX(Työkonekanta!$D$3:$D$27,MATCH('S1 Sähkö'!$A335,Työkonekanta!$A$3:$A$24,0),1),"undefined")</f>
        <v>pom</v>
      </c>
      <c r="E335" s="145">
        <f>IFERROR(INDEX(Työkonekanta!$G$3:$G$27,MATCH($A335,Työkonekanta!$A$3:$A$24,0),1)*INDEX(Työkonekanta!$H$3:$H$27,MATCH($A335,Työkonekanta!$A$3:$A$24,0),1)*(1+s1_kerroin*($C335-2019))*$B335,0)</f>
        <v>11100.000000000002</v>
      </c>
      <c r="F335" s="145">
        <f t="shared" si="94"/>
        <v>398490.00000000006</v>
      </c>
      <c r="G335" s="145">
        <f t="shared" si="100"/>
        <v>358641.00000000006</v>
      </c>
      <c r="H335" s="145">
        <f t="shared" si="101"/>
        <v>39849.000000000007</v>
      </c>
      <c r="I335" s="145">
        <f t="shared" si="95"/>
        <v>9990.0000000000018</v>
      </c>
      <c r="J335" s="145">
        <f t="shared" si="96"/>
        <v>1161.7784256559769</v>
      </c>
      <c r="K335" s="142" t="str">
        <f t="shared" si="102"/>
        <v>l</v>
      </c>
      <c r="L335" s="146">
        <f>IFERROR(INDEX(Työkonekanta!$I$3:$I$27,MATCH('S1 Sähkö'!$A335,Työkonekanta!$A$3:$A$24,0),1)*(I335+J335)*f_adblue,0)</f>
        <v>557.58892128279899</v>
      </c>
      <c r="M335" s="146">
        <f t="shared" si="89"/>
        <v>0</v>
      </c>
      <c r="N335" s="143" t="str">
        <f>IF(tuulisähkö_vuosi&lt;='S1 Sähkö'!C335,"tuulisähkö",ostosähkö_nyt)</f>
        <v>jäännössähkö</v>
      </c>
      <c r="O335" s="147">
        <f>INDEX(Muuttujat!$J$5:$J$21,MATCH($C335,Muuttujat!$H$5:$H$21,0),1)</f>
        <v>61.999687056709845</v>
      </c>
      <c r="P335" s="342">
        <f>1-(INDEX(Muuttujat!$O$5:$O$21,MATCH($C335,Muuttujat!$N$5:$N$21,0),1))</f>
        <v>0.9</v>
      </c>
      <c r="Q335" s="342">
        <f>INDEX(Muuttujat!$O$5:$O$21,MATCH($C335,Muuttujat!$N$5:$N$21,0),1)</f>
        <v>0.1</v>
      </c>
      <c r="R335" s="148">
        <f>INDEX(Muuttujat!$P$5:$P$21,MATCH($C335,Muuttujat!$N$5:$N$21,0),1)</f>
        <v>0.10417875759940039</v>
      </c>
      <c r="S335" s="149">
        <f t="shared" si="97"/>
        <v>6.7783149000000007</v>
      </c>
      <c r="T335" s="150">
        <f t="shared" si="98"/>
        <v>2.4865776000000004</v>
      </c>
      <c r="U335" s="150">
        <f t="shared" si="99"/>
        <v>0</v>
      </c>
      <c r="V335" s="150">
        <f>IFERROR(INDEX(Työkonekanta!$J$3:$J$27,MATCH($A335,Työkonekanta!$A$3:$A$24,0),1)*$B335*ef_li_ion_akku/1000/1000/INDEX(Työkonekanta!$K$3:$K$27,MATCH($A335,Työkonekanta!$A$3:$A$24,0)),0)</f>
        <v>0</v>
      </c>
      <c r="W335" s="149">
        <f t="shared" si="90"/>
        <v>26.470666122714007</v>
      </c>
      <c r="X335" s="150">
        <f t="shared" si="91"/>
        <v>0.35269768260000006</v>
      </c>
      <c r="Y335" s="151">
        <f t="shared" si="92"/>
        <v>0.14497311953352773</v>
      </c>
      <c r="Z335" s="152">
        <f t="shared" si="103"/>
        <v>9.264892500000002</v>
      </c>
      <c r="AA335" s="153">
        <f t="shared" si="104"/>
        <v>26.615639242247536</v>
      </c>
      <c r="AB335" s="153">
        <f t="shared" si="105"/>
        <v>26.968336924847534</v>
      </c>
      <c r="AC335" s="154">
        <f t="shared" si="93"/>
        <v>35.880531742247541</v>
      </c>
      <c r="AD335" s="156">
        <f t="shared" si="106"/>
        <v>36.233229424847536</v>
      </c>
      <c r="AE335" s="182"/>
      <c r="AG335" s="2"/>
    </row>
    <row r="336" spans="1:37">
      <c r="A336" s="139">
        <v>4</v>
      </c>
      <c r="B336" s="139" cm="1">
        <f t="array" ref="B336">IFERROR(IF(A336=s1_id_korvattava1,INDEX($AG$3:$AG$19,MATCH(C336,$AF$3:$AF$19,0),1),IF(A336=s1_id_korvaava1,INDEX($AH$3:$AH$19,MATCH(C336,$AF$3:$AF$19,0),1),IF(A336=s1_id_korvattava2,INDEX($AI$3:$AI$19,MATCH(C336,$AF$3:$AF$19,0),1),IF(A336=s1_id_korvaava2,INDEX($AJ$3:$AJ$19,MATCH(C336,$AF$3:$AF$19,0),1),INDEX(Työkonekanta!$F$3:$F$27,MATCH('S1 Sähkö'!$A336,Työkonekanta!$A$3:$A$24,0),1))))),0)</f>
        <v>1</v>
      </c>
      <c r="C336" s="140">
        <v>2030</v>
      </c>
      <c r="D336" s="141" t="str">
        <f>IFERROR(INDEX(Työkonekanta!$D$3:$D$27,MATCH('S1 Sähkö'!$A336,Työkonekanta!$A$3:$A$24,0),1),"undefined")</f>
        <v>pom</v>
      </c>
      <c r="E336" s="145">
        <f>IFERROR(INDEX(Työkonekanta!$G$3:$G$27,MATCH($A336,Työkonekanta!$A$3:$A$24,0),1)*INDEX(Työkonekanta!$H$3:$H$27,MATCH($A336,Työkonekanta!$A$3:$A$24,0),1)*(1+s1_kerroin*($C336-2019))*$B336,0)</f>
        <v>11100.000000000002</v>
      </c>
      <c r="F336" s="145">
        <f t="shared" si="94"/>
        <v>398490.00000000006</v>
      </c>
      <c r="G336" s="145">
        <f t="shared" si="100"/>
        <v>358641.00000000006</v>
      </c>
      <c r="H336" s="145">
        <f t="shared" si="101"/>
        <v>39849.000000000007</v>
      </c>
      <c r="I336" s="145">
        <f t="shared" si="95"/>
        <v>9990.0000000000018</v>
      </c>
      <c r="J336" s="145">
        <f t="shared" si="96"/>
        <v>1161.7784256559769</v>
      </c>
      <c r="K336" s="142" t="str">
        <f t="shared" si="102"/>
        <v>l</v>
      </c>
      <c r="L336" s="146">
        <f>IFERROR(INDEX(Työkonekanta!$I$3:$I$27,MATCH('S1 Sähkö'!$A336,Työkonekanta!$A$3:$A$24,0),1)*(I336+J336)*f_adblue,0)</f>
        <v>557.58892128279899</v>
      </c>
      <c r="M336" s="146">
        <f t="shared" si="89"/>
        <v>0</v>
      </c>
      <c r="N336" s="143" t="str">
        <f>IF(tuulisähkö_vuosi&lt;='S1 Sähkö'!C336,"tuulisähkö",ostosähkö_nyt)</f>
        <v>jäännössähkö</v>
      </c>
      <c r="O336" s="147">
        <f>INDEX(Muuttujat!$J$5:$J$21,MATCH($C336,Muuttujat!$H$5:$H$21,0),1)</f>
        <v>61.999687056709845</v>
      </c>
      <c r="P336" s="342">
        <f>1-(INDEX(Muuttujat!$O$5:$O$21,MATCH($C336,Muuttujat!$N$5:$N$21,0),1))</f>
        <v>0.9</v>
      </c>
      <c r="Q336" s="342">
        <f>INDEX(Muuttujat!$O$5:$O$21,MATCH($C336,Muuttujat!$N$5:$N$21,0),1)</f>
        <v>0.1</v>
      </c>
      <c r="R336" s="148">
        <f>INDEX(Muuttujat!$P$5:$P$21,MATCH($C336,Muuttujat!$N$5:$N$21,0),1)</f>
        <v>0.10417875759940039</v>
      </c>
      <c r="S336" s="149">
        <f t="shared" si="97"/>
        <v>6.7783149000000007</v>
      </c>
      <c r="T336" s="150">
        <f t="shared" si="98"/>
        <v>2.4865776000000004</v>
      </c>
      <c r="U336" s="150">
        <f t="shared" si="99"/>
        <v>0</v>
      </c>
      <c r="V336" s="150">
        <f>IFERROR(INDEX(Työkonekanta!$J$3:$J$27,MATCH($A336,Työkonekanta!$A$3:$A$24,0),1)*$B336*ef_li_ion_akku/1000/1000/INDEX(Työkonekanta!$K$3:$K$27,MATCH($A336,Työkonekanta!$A$3:$A$24,0)),0)</f>
        <v>0</v>
      </c>
      <c r="W336" s="149">
        <f t="shared" si="90"/>
        <v>26.470666122714007</v>
      </c>
      <c r="X336" s="150">
        <f t="shared" si="91"/>
        <v>0.35269768260000006</v>
      </c>
      <c r="Y336" s="151">
        <f t="shared" si="92"/>
        <v>0.14497311953352773</v>
      </c>
      <c r="Z336" s="152">
        <f t="shared" si="103"/>
        <v>9.264892500000002</v>
      </c>
      <c r="AA336" s="153">
        <f t="shared" si="104"/>
        <v>26.615639242247536</v>
      </c>
      <c r="AB336" s="153">
        <f t="shared" si="105"/>
        <v>26.968336924847534</v>
      </c>
      <c r="AC336" s="154">
        <f t="shared" si="93"/>
        <v>35.880531742247541</v>
      </c>
      <c r="AD336" s="156">
        <f t="shared" si="106"/>
        <v>36.233229424847536</v>
      </c>
      <c r="AE336" s="182"/>
      <c r="AG336" s="2"/>
    </row>
    <row r="337" spans="1:33">
      <c r="A337" s="139">
        <v>5</v>
      </c>
      <c r="B337" s="139" cm="1">
        <f t="array" ref="B337">IFERROR(IF(A337=s1_id_korvattava1,INDEX($AG$3:$AG$19,MATCH(C337,$AF$3:$AF$19,0),1),IF(A337=s1_id_korvaava1,INDEX($AH$3:$AH$19,MATCH(C337,$AF$3:$AF$19,0),1),IF(A337=s1_id_korvattava2,INDEX($AI$3:$AI$19,MATCH(C337,$AF$3:$AF$19,0),1),IF(A337=s1_id_korvaava2,INDEX($AJ$3:$AJ$19,MATCH(C337,$AF$3:$AF$19,0),1),INDEX(Työkonekanta!$F$3:$F$27,MATCH('S1 Sähkö'!$A337,Työkonekanta!$A$3:$A$24,0),1))))),0)</f>
        <v>0</v>
      </c>
      <c r="C337" s="140">
        <v>2030</v>
      </c>
      <c r="D337" s="141" t="str">
        <f>IFERROR(INDEX(Työkonekanta!$D$3:$D$27,MATCH('S1 Sähkö'!$A337,Työkonekanta!$A$3:$A$24,0),1),"undefined")</f>
        <v>sähkö</v>
      </c>
      <c r="E337" s="145">
        <f>IFERROR(INDEX(Työkonekanta!$G$3:$G$27,MATCH($A337,Työkonekanta!$A$3:$A$24,0),1)*INDEX(Työkonekanta!$H$3:$H$27,MATCH($A337,Työkonekanta!$A$3:$A$24,0),1)*(1+s1_kerroin*($C337-2019))*$B337,0)</f>
        <v>0</v>
      </c>
      <c r="F337" s="145">
        <f t="shared" si="94"/>
        <v>0</v>
      </c>
      <c r="G337" s="145">
        <f t="shared" si="100"/>
        <v>0</v>
      </c>
      <c r="H337" s="145">
        <f t="shared" si="101"/>
        <v>0</v>
      </c>
      <c r="I337" s="145">
        <f t="shared" si="95"/>
        <v>0</v>
      </c>
      <c r="J337" s="145">
        <f t="shared" si="96"/>
        <v>0</v>
      </c>
      <c r="K337" s="142" t="str">
        <f t="shared" si="102"/>
        <v>kWh</v>
      </c>
      <c r="L337" s="146">
        <f>IFERROR(INDEX(Työkonekanta!$I$3:$I$27,MATCH('S1 Sähkö'!$A337,Työkonekanta!$A$3:$A$24,0),1)*(I337+J337)*f_adblue,0)</f>
        <v>0</v>
      </c>
      <c r="M337" s="146">
        <f t="shared" si="89"/>
        <v>0</v>
      </c>
      <c r="N337" s="143" t="str">
        <f>IF(tuulisähkö_vuosi&lt;='S1 Sähkö'!C337,"tuulisähkö",ostosähkö_nyt)</f>
        <v>jäännössähkö</v>
      </c>
      <c r="O337" s="147">
        <f>INDEX(Muuttujat!$J$5:$J$21,MATCH($C337,Muuttujat!$H$5:$H$21,0),1)</f>
        <v>61.999687056709845</v>
      </c>
      <c r="P337" s="342">
        <f>1-(INDEX(Muuttujat!$O$5:$O$21,MATCH($C337,Muuttujat!$N$5:$N$21,0),1))</f>
        <v>0.9</v>
      </c>
      <c r="Q337" s="342">
        <f>INDEX(Muuttujat!$O$5:$O$21,MATCH($C337,Muuttujat!$N$5:$N$21,0),1)</f>
        <v>0.1</v>
      </c>
      <c r="R337" s="148">
        <f>INDEX(Muuttujat!$P$5:$P$21,MATCH($C337,Muuttujat!$N$5:$N$21,0),1)</f>
        <v>0.10417875759940039</v>
      </c>
      <c r="S337" s="149">
        <f t="shared" si="97"/>
        <v>0</v>
      </c>
      <c r="T337" s="150">
        <f t="shared" si="98"/>
        <v>0</v>
      </c>
      <c r="U337" s="150">
        <f t="shared" si="99"/>
        <v>0</v>
      </c>
      <c r="V337" s="150">
        <f>IFERROR(INDEX(Työkonekanta!$J$3:$J$27,MATCH($A337,Työkonekanta!$A$3:$A$24,0),1)*$B337*ef_li_ion_akku/1000/1000/INDEX(Työkonekanta!$K$3:$K$27,MATCH($A337,Työkonekanta!$A$3:$A$24,0)),0)</f>
        <v>0</v>
      </c>
      <c r="W337" s="149">
        <f t="shared" si="90"/>
        <v>0</v>
      </c>
      <c r="X337" s="150">
        <f t="shared" si="91"/>
        <v>0</v>
      </c>
      <c r="Y337" s="151">
        <f t="shared" si="92"/>
        <v>0</v>
      </c>
      <c r="Z337" s="152">
        <f t="shared" si="103"/>
        <v>0</v>
      </c>
      <c r="AA337" s="153">
        <f t="shared" si="104"/>
        <v>0</v>
      </c>
      <c r="AB337" s="153">
        <f t="shared" si="105"/>
        <v>0</v>
      </c>
      <c r="AC337" s="154">
        <f t="shared" si="93"/>
        <v>0</v>
      </c>
      <c r="AD337" s="156">
        <f t="shared" si="106"/>
        <v>0</v>
      </c>
      <c r="AE337" s="182"/>
      <c r="AG337" s="2"/>
    </row>
    <row r="338" spans="1:33">
      <c r="A338" s="139">
        <v>6</v>
      </c>
      <c r="B338" s="139" cm="1">
        <f t="array" ref="B338">IFERROR(IF(A338=s1_id_korvattava1,INDEX($AG$3:$AG$19,MATCH(C338,$AF$3:$AF$19,0),1),IF(A338=s1_id_korvaava1,INDEX($AH$3:$AH$19,MATCH(C338,$AF$3:$AF$19,0),1),IF(A338=s1_id_korvattava2,INDEX($AI$3:$AI$19,MATCH(C338,$AF$3:$AF$19,0),1),IF(A338=s1_id_korvaava2,INDEX($AJ$3:$AJ$19,MATCH(C338,$AF$3:$AF$19,0),1),INDEX(Työkonekanta!$F$3:$F$27,MATCH('S1 Sähkö'!$A338,Työkonekanta!$A$3:$A$24,0),1))))),0)</f>
        <v>0</v>
      </c>
      <c r="C338" s="140">
        <v>2030</v>
      </c>
      <c r="D338" s="141" t="str">
        <f>IFERROR(INDEX(Työkonekanta!$D$3:$D$27,MATCH('S1 Sähkö'!$A338,Työkonekanta!$A$3:$A$24,0),1),"undefined")</f>
        <v>sähkö</v>
      </c>
      <c r="E338" s="145">
        <f>IFERROR(INDEX(Työkonekanta!$G$3:$G$27,MATCH($A338,Työkonekanta!$A$3:$A$24,0),1)*INDEX(Työkonekanta!$H$3:$H$27,MATCH($A338,Työkonekanta!$A$3:$A$24,0),1)*(1+s1_kerroin*($C338-2019))*$B338,0)</f>
        <v>0</v>
      </c>
      <c r="F338" s="145">
        <f t="shared" si="94"/>
        <v>0</v>
      </c>
      <c r="G338" s="145">
        <f t="shared" si="100"/>
        <v>0</v>
      </c>
      <c r="H338" s="145">
        <f t="shared" si="101"/>
        <v>0</v>
      </c>
      <c r="I338" s="145">
        <f t="shared" si="95"/>
        <v>0</v>
      </c>
      <c r="J338" s="145">
        <f t="shared" si="96"/>
        <v>0</v>
      </c>
      <c r="K338" s="142" t="str">
        <f t="shared" si="102"/>
        <v>kWh</v>
      </c>
      <c r="L338" s="146">
        <f>IFERROR(INDEX(Työkonekanta!$I$3:$I$27,MATCH('S1 Sähkö'!$A338,Työkonekanta!$A$3:$A$24,0),1)*(I338+J338)*f_adblue,0)</f>
        <v>0</v>
      </c>
      <c r="M338" s="146">
        <f t="shared" si="89"/>
        <v>0</v>
      </c>
      <c r="N338" s="143" t="str">
        <f>IF(tuulisähkö_vuosi&lt;='S1 Sähkö'!C338,"tuulisähkö",ostosähkö_nyt)</f>
        <v>jäännössähkö</v>
      </c>
      <c r="O338" s="147">
        <f>INDEX(Muuttujat!$J$5:$J$21,MATCH($C338,Muuttujat!$H$5:$H$21,0),1)</f>
        <v>61.999687056709845</v>
      </c>
      <c r="P338" s="342">
        <f>1-(INDEX(Muuttujat!$O$5:$O$21,MATCH($C338,Muuttujat!$N$5:$N$21,0),1))</f>
        <v>0.9</v>
      </c>
      <c r="Q338" s="342">
        <f>INDEX(Muuttujat!$O$5:$O$21,MATCH($C338,Muuttujat!$N$5:$N$21,0),1)</f>
        <v>0.1</v>
      </c>
      <c r="R338" s="148">
        <f>INDEX(Muuttujat!$P$5:$P$21,MATCH($C338,Muuttujat!$N$5:$N$21,0),1)</f>
        <v>0.10417875759940039</v>
      </c>
      <c r="S338" s="149">
        <f t="shared" si="97"/>
        <v>0</v>
      </c>
      <c r="T338" s="150">
        <f t="shared" si="98"/>
        <v>0</v>
      </c>
      <c r="U338" s="150">
        <f t="shared" si="99"/>
        <v>0</v>
      </c>
      <c r="V338" s="150">
        <f>IFERROR(INDEX(Työkonekanta!$J$3:$J$27,MATCH($A338,Työkonekanta!$A$3:$A$24,0),1)*$B338*ef_li_ion_akku/1000/1000/INDEX(Työkonekanta!$K$3:$K$27,MATCH($A338,Työkonekanta!$A$3:$A$24,0)),0)</f>
        <v>0</v>
      </c>
      <c r="W338" s="149">
        <f t="shared" si="90"/>
        <v>0</v>
      </c>
      <c r="X338" s="150">
        <f t="shared" si="91"/>
        <v>0</v>
      </c>
      <c r="Y338" s="151">
        <f t="shared" si="92"/>
        <v>0</v>
      </c>
      <c r="Z338" s="152">
        <f t="shared" si="103"/>
        <v>0</v>
      </c>
      <c r="AA338" s="153">
        <f t="shared" si="104"/>
        <v>0</v>
      </c>
      <c r="AB338" s="153">
        <f t="shared" si="105"/>
        <v>0</v>
      </c>
      <c r="AC338" s="154">
        <f t="shared" si="93"/>
        <v>0</v>
      </c>
      <c r="AD338" s="156">
        <f t="shared" si="106"/>
        <v>0</v>
      </c>
      <c r="AE338" s="182"/>
      <c r="AG338" s="2"/>
    </row>
    <row r="339" spans="1:33">
      <c r="A339" s="139">
        <v>7</v>
      </c>
      <c r="B339" s="139" cm="1">
        <f t="array" ref="B339">IFERROR(IF(A339=s1_id_korvattava1,INDEX($AG$3:$AG$19,MATCH(C339,$AF$3:$AF$19,0),1),IF(A339=s1_id_korvaava1,INDEX($AH$3:$AH$19,MATCH(C339,$AF$3:$AF$19,0),1),IF(A339=s1_id_korvattava2,INDEX($AI$3:$AI$19,MATCH(C339,$AF$3:$AF$19,0),1),IF(A339=s1_id_korvaava2,INDEX($AJ$3:$AJ$19,MATCH(C339,$AF$3:$AF$19,0),1),INDEX(Työkonekanta!$F$3:$F$27,MATCH('S1 Sähkö'!$A339,Työkonekanta!$A$3:$A$24,0),1))))),0)</f>
        <v>1</v>
      </c>
      <c r="C339" s="140">
        <v>2030</v>
      </c>
      <c r="D339" s="141" t="str">
        <f>IFERROR(INDEX(Työkonekanta!$D$3:$D$27,MATCH('S1 Sähkö'!$A339,Työkonekanta!$A$3:$A$24,0),1),"undefined")</f>
        <v>pom</v>
      </c>
      <c r="E339" s="145">
        <f>IFERROR(INDEX(Työkonekanta!$G$3:$G$27,MATCH($A339,Työkonekanta!$A$3:$A$24,0),1)*INDEX(Työkonekanta!$H$3:$H$27,MATCH($A339,Työkonekanta!$A$3:$A$24,0),1)*(1+s1_kerroin*($C339-2019))*$B339,0)</f>
        <v>11100.000000000002</v>
      </c>
      <c r="F339" s="145">
        <f t="shared" si="94"/>
        <v>398490.00000000006</v>
      </c>
      <c r="G339" s="145">
        <f t="shared" si="100"/>
        <v>358641.00000000006</v>
      </c>
      <c r="H339" s="145">
        <f t="shared" si="101"/>
        <v>39849.000000000007</v>
      </c>
      <c r="I339" s="145">
        <f t="shared" si="95"/>
        <v>9990.0000000000018</v>
      </c>
      <c r="J339" s="145">
        <f t="shared" si="96"/>
        <v>1161.7784256559769</v>
      </c>
      <c r="K339" s="142" t="str">
        <f t="shared" si="102"/>
        <v>l</v>
      </c>
      <c r="L339" s="146">
        <f>IFERROR(INDEX(Työkonekanta!$I$3:$I$27,MATCH('S1 Sähkö'!$A339,Työkonekanta!$A$3:$A$24,0),1)*(I339+J339)*f_adblue,0)</f>
        <v>0</v>
      </c>
      <c r="M339" s="146">
        <f t="shared" ref="M339:M402" si="107">IF($D339="sähkö",conv_kwh_mj*$E339,0)</f>
        <v>0</v>
      </c>
      <c r="N339" s="143" t="str">
        <f>IF(tuulisähkö_vuosi&lt;='S1 Sähkö'!C339,"tuulisähkö",ostosähkö_nyt)</f>
        <v>jäännössähkö</v>
      </c>
      <c r="O339" s="147">
        <f>INDEX(Muuttujat!$J$5:$J$21,MATCH($C339,Muuttujat!$H$5:$H$21,0),1)</f>
        <v>61.999687056709845</v>
      </c>
      <c r="P339" s="342">
        <f>1-(INDEX(Muuttujat!$O$5:$O$21,MATCH($C339,Muuttujat!$N$5:$N$21,0),1))</f>
        <v>0.9</v>
      </c>
      <c r="Q339" s="342">
        <f>INDEX(Muuttujat!$O$5:$O$21,MATCH($C339,Muuttujat!$N$5:$N$21,0),1)</f>
        <v>0.1</v>
      </c>
      <c r="R339" s="148">
        <f>INDEX(Muuttujat!$P$5:$P$21,MATCH($C339,Muuttujat!$N$5:$N$21,0),1)</f>
        <v>0.10417875759940039</v>
      </c>
      <c r="S339" s="149">
        <f t="shared" si="97"/>
        <v>6.7783149000000007</v>
      </c>
      <c r="T339" s="150">
        <f t="shared" si="98"/>
        <v>2.4865776000000004</v>
      </c>
      <c r="U339" s="150">
        <f t="shared" si="99"/>
        <v>0</v>
      </c>
      <c r="V339" s="150">
        <f>IFERROR(INDEX(Työkonekanta!$J$3:$J$27,MATCH($A339,Työkonekanta!$A$3:$A$24,0),1)*$B339*ef_li_ion_akku/1000/1000/INDEX(Työkonekanta!$K$3:$K$27,MATCH($A339,Työkonekanta!$A$3:$A$24,0)),0)</f>
        <v>0</v>
      </c>
      <c r="W339" s="149">
        <f t="shared" ref="W339:W402" si="108">($I339*IF($D339="pom",ef_v_co2_pom,0))/1000/1000</f>
        <v>26.470666122714007</v>
      </c>
      <c r="X339" s="150">
        <f t="shared" ref="X339:X402" si="109">($E339*(IF($D339="pom",ef_v_ch4_pom,0)*gwp100_ch4+IF($D339="pom",ef_v_n2o_pom,0)*gwp100_n2o))/1000/1000</f>
        <v>0.35269768260000006</v>
      </c>
      <c r="Y339" s="151">
        <f t="shared" ref="Y339:Y402" si="110">$L339*ef_v_co2_adblue/1000/1000</f>
        <v>0</v>
      </c>
      <c r="Z339" s="152">
        <f t="shared" si="103"/>
        <v>9.264892500000002</v>
      </c>
      <c r="AA339" s="153">
        <f t="shared" si="104"/>
        <v>26.470666122714007</v>
      </c>
      <c r="AB339" s="153">
        <f t="shared" si="105"/>
        <v>26.823363805314006</v>
      </c>
      <c r="AC339" s="154">
        <f t="shared" ref="AC339:AC402" si="111">$Z339+$AA339</f>
        <v>35.735558622714009</v>
      </c>
      <c r="AD339" s="156">
        <f t="shared" si="106"/>
        <v>36.088256305314005</v>
      </c>
      <c r="AE339" s="182"/>
      <c r="AG339" s="2"/>
    </row>
    <row r="340" spans="1:33">
      <c r="A340" s="139">
        <v>8</v>
      </c>
      <c r="B340" s="139" cm="1">
        <f t="array" ref="B340">IFERROR(IF(A340=s1_id_korvattava1,INDEX($AG$3:$AG$19,MATCH(C340,$AF$3:$AF$19,0),1),IF(A340=s1_id_korvaava1,INDEX($AH$3:$AH$19,MATCH(C340,$AF$3:$AF$19,0),1),IF(A340=s1_id_korvattava2,INDEX($AI$3:$AI$19,MATCH(C340,$AF$3:$AF$19,0),1),IF(A340=s1_id_korvaava2,INDEX($AJ$3:$AJ$19,MATCH(C340,$AF$3:$AF$19,0),1),INDEX(Työkonekanta!$F$3:$F$27,MATCH('S1 Sähkö'!$A340,Työkonekanta!$A$3:$A$24,0),1))))),0)</f>
        <v>1</v>
      </c>
      <c r="C340" s="140">
        <v>2030</v>
      </c>
      <c r="D340" s="141" t="str">
        <f>IFERROR(INDEX(Työkonekanta!$D$3:$D$27,MATCH('S1 Sähkö'!$A340,Työkonekanta!$A$3:$A$24,0),1),"undefined")</f>
        <v>pom</v>
      </c>
      <c r="E340" s="145">
        <f>IFERROR(INDEX(Työkonekanta!$G$3:$G$27,MATCH($A340,Työkonekanta!$A$3:$A$24,0),1)*INDEX(Työkonekanta!$H$3:$H$27,MATCH($A340,Työkonekanta!$A$3:$A$24,0),1)*(1+s1_kerroin*($C340-2019))*$B340,0)</f>
        <v>11100.000000000002</v>
      </c>
      <c r="F340" s="145">
        <f t="shared" si="94"/>
        <v>398490.00000000006</v>
      </c>
      <c r="G340" s="145">
        <f t="shared" si="100"/>
        <v>358641.00000000006</v>
      </c>
      <c r="H340" s="145">
        <f t="shared" si="101"/>
        <v>39849.000000000007</v>
      </c>
      <c r="I340" s="145">
        <f t="shared" si="95"/>
        <v>9990.0000000000018</v>
      </c>
      <c r="J340" s="145">
        <f t="shared" si="96"/>
        <v>1161.7784256559769</v>
      </c>
      <c r="K340" s="142" t="str">
        <f t="shared" si="102"/>
        <v>l</v>
      </c>
      <c r="L340" s="146">
        <f>IFERROR(INDEX(Työkonekanta!$I$3:$I$27,MATCH('S1 Sähkö'!$A340,Työkonekanta!$A$3:$A$24,0),1)*(I340+J340)*f_adblue,0)</f>
        <v>557.58892128279899</v>
      </c>
      <c r="M340" s="146">
        <f t="shared" si="107"/>
        <v>0</v>
      </c>
      <c r="N340" s="143" t="str">
        <f>IF(tuulisähkö_vuosi&lt;='S1 Sähkö'!C340,"tuulisähkö",ostosähkö_nyt)</f>
        <v>jäännössähkö</v>
      </c>
      <c r="O340" s="147">
        <f>INDEX(Muuttujat!$J$5:$J$21,MATCH($C340,Muuttujat!$H$5:$H$21,0),1)</f>
        <v>61.999687056709845</v>
      </c>
      <c r="P340" s="342">
        <f>1-(INDEX(Muuttujat!$O$5:$O$21,MATCH($C340,Muuttujat!$N$5:$N$21,0),1))</f>
        <v>0.9</v>
      </c>
      <c r="Q340" s="342">
        <f>INDEX(Muuttujat!$O$5:$O$21,MATCH($C340,Muuttujat!$N$5:$N$21,0),1)</f>
        <v>0.1</v>
      </c>
      <c r="R340" s="148">
        <f>INDEX(Muuttujat!$P$5:$P$21,MATCH($C340,Muuttujat!$N$5:$N$21,0),1)</f>
        <v>0.10417875759940039</v>
      </c>
      <c r="S340" s="149">
        <f t="shared" si="97"/>
        <v>6.7783149000000007</v>
      </c>
      <c r="T340" s="150">
        <f t="shared" si="98"/>
        <v>2.4865776000000004</v>
      </c>
      <c r="U340" s="150">
        <f t="shared" si="99"/>
        <v>0</v>
      </c>
      <c r="V340" s="150">
        <f>IFERROR(INDEX(Työkonekanta!$J$3:$J$27,MATCH($A340,Työkonekanta!$A$3:$A$24,0),1)*$B340*ef_li_ion_akku/1000/1000/INDEX(Työkonekanta!$K$3:$K$27,MATCH($A340,Työkonekanta!$A$3:$A$24,0)),0)</f>
        <v>0</v>
      </c>
      <c r="W340" s="149">
        <f t="shared" si="108"/>
        <v>26.470666122714007</v>
      </c>
      <c r="X340" s="150">
        <f t="shared" si="109"/>
        <v>0.35269768260000006</v>
      </c>
      <c r="Y340" s="151">
        <f t="shared" si="110"/>
        <v>0.14497311953352773</v>
      </c>
      <c r="Z340" s="152">
        <f t="shared" si="103"/>
        <v>9.264892500000002</v>
      </c>
      <c r="AA340" s="153">
        <f t="shared" si="104"/>
        <v>26.615639242247536</v>
      </c>
      <c r="AB340" s="153">
        <f t="shared" si="105"/>
        <v>26.968336924847534</v>
      </c>
      <c r="AC340" s="154">
        <f t="shared" si="111"/>
        <v>35.880531742247541</v>
      </c>
      <c r="AD340" s="156">
        <f t="shared" si="106"/>
        <v>36.233229424847536</v>
      </c>
      <c r="AE340" s="182"/>
      <c r="AG340" s="2"/>
    </row>
    <row r="341" spans="1:33">
      <c r="A341" s="139">
        <v>9</v>
      </c>
      <c r="B341" s="139" cm="1">
        <f t="array" ref="B341">IFERROR(IF(A341=s1_id_korvattava1,INDEX($AG$3:$AG$19,MATCH(C341,$AF$3:$AF$19,0),1),IF(A341=s1_id_korvaava1,INDEX($AH$3:$AH$19,MATCH(C341,$AF$3:$AF$19,0),1),IF(A341=s1_id_korvattava2,INDEX($AI$3:$AI$19,MATCH(C341,$AF$3:$AF$19,0),1),IF(A341=s1_id_korvaava2,INDEX($AJ$3:$AJ$19,MATCH(C341,$AF$3:$AF$19,0),1),INDEX(Työkonekanta!$F$3:$F$27,MATCH('S1 Sähkö'!$A341,Työkonekanta!$A$3:$A$24,0),1))))),0)</f>
        <v>0</v>
      </c>
      <c r="C341" s="140">
        <v>2030</v>
      </c>
      <c r="D341" s="141" t="str">
        <f>IFERROR(INDEX(Työkonekanta!$D$3:$D$27,MATCH('S1 Sähkö'!$A341,Työkonekanta!$A$3:$A$24,0),1),"undefined")</f>
        <v>sähkö</v>
      </c>
      <c r="E341" s="145">
        <f>IFERROR(INDEX(Työkonekanta!$G$3:$G$27,MATCH($A341,Työkonekanta!$A$3:$A$24,0),1)*INDEX(Työkonekanta!$H$3:$H$27,MATCH($A341,Työkonekanta!$A$3:$A$24,0),1)*(1+s1_kerroin*($C341-2019))*$B341,0)</f>
        <v>0</v>
      </c>
      <c r="F341" s="145">
        <f t="shared" si="94"/>
        <v>0</v>
      </c>
      <c r="G341" s="145">
        <f t="shared" si="100"/>
        <v>0</v>
      </c>
      <c r="H341" s="145">
        <f t="shared" si="101"/>
        <v>0</v>
      </c>
      <c r="I341" s="145">
        <f t="shared" si="95"/>
        <v>0</v>
      </c>
      <c r="J341" s="145">
        <f t="shared" si="96"/>
        <v>0</v>
      </c>
      <c r="K341" s="142" t="str">
        <f t="shared" si="102"/>
        <v>kWh</v>
      </c>
      <c r="L341" s="146">
        <f>IFERROR(INDEX(Työkonekanta!$I$3:$I$27,MATCH('S1 Sähkö'!$A341,Työkonekanta!$A$3:$A$24,0),1)*(I341+J341)*f_adblue,0)</f>
        <v>0</v>
      </c>
      <c r="M341" s="146">
        <f t="shared" si="107"/>
        <v>0</v>
      </c>
      <c r="N341" s="143" t="str">
        <f>IF(tuulisähkö_vuosi&lt;='S1 Sähkö'!C341,"tuulisähkö",ostosähkö_nyt)</f>
        <v>jäännössähkö</v>
      </c>
      <c r="O341" s="147">
        <f>INDEX(Muuttujat!$J$5:$J$21,MATCH($C341,Muuttujat!$H$5:$H$21,0),1)</f>
        <v>61.999687056709845</v>
      </c>
      <c r="P341" s="342">
        <f>1-(INDEX(Muuttujat!$O$5:$O$21,MATCH($C341,Muuttujat!$N$5:$N$21,0),1))</f>
        <v>0.9</v>
      </c>
      <c r="Q341" s="342">
        <f>INDEX(Muuttujat!$O$5:$O$21,MATCH($C341,Muuttujat!$N$5:$N$21,0),1)</f>
        <v>0.1</v>
      </c>
      <c r="R341" s="148">
        <f>INDEX(Muuttujat!$P$5:$P$21,MATCH($C341,Muuttujat!$N$5:$N$21,0),1)</f>
        <v>0.10417875759940039</v>
      </c>
      <c r="S341" s="149">
        <f t="shared" si="97"/>
        <v>0</v>
      </c>
      <c r="T341" s="150">
        <f t="shared" si="98"/>
        <v>0</v>
      </c>
      <c r="U341" s="150">
        <f t="shared" si="99"/>
        <v>0</v>
      </c>
      <c r="V341" s="150">
        <f>IFERROR(INDEX(Työkonekanta!$J$3:$J$27,MATCH($A341,Työkonekanta!$A$3:$A$24,0),1)*$B341*ef_li_ion_akku/1000/1000/INDEX(Työkonekanta!$K$3:$K$27,MATCH($A341,Työkonekanta!$A$3:$A$24,0)),0)</f>
        <v>0</v>
      </c>
      <c r="W341" s="149">
        <f t="shared" si="108"/>
        <v>0</v>
      </c>
      <c r="X341" s="150">
        <f t="shared" si="109"/>
        <v>0</v>
      </c>
      <c r="Y341" s="151">
        <f t="shared" si="110"/>
        <v>0</v>
      </c>
      <c r="Z341" s="152">
        <f t="shared" si="103"/>
        <v>0</v>
      </c>
      <c r="AA341" s="153">
        <f t="shared" si="104"/>
        <v>0</v>
      </c>
      <c r="AB341" s="153">
        <f t="shared" si="105"/>
        <v>0</v>
      </c>
      <c r="AC341" s="154">
        <f t="shared" si="111"/>
        <v>0</v>
      </c>
      <c r="AD341" s="156">
        <f t="shared" si="106"/>
        <v>0</v>
      </c>
      <c r="AE341" s="182"/>
      <c r="AG341" s="2"/>
    </row>
    <row r="342" spans="1:33">
      <c r="A342" s="139">
        <v>10</v>
      </c>
      <c r="B342" s="139" cm="1">
        <f t="array" ref="B342">IFERROR(IF(A342=s1_id_korvattava1,INDEX($AG$3:$AG$19,MATCH(C342,$AF$3:$AF$19,0),1),IF(A342=s1_id_korvaava1,INDEX($AH$3:$AH$19,MATCH(C342,$AF$3:$AF$19,0),1),IF(A342=s1_id_korvattava2,INDEX($AI$3:$AI$19,MATCH(C342,$AF$3:$AF$19,0),1),IF(A342=s1_id_korvaava2,INDEX($AJ$3:$AJ$19,MATCH(C342,$AF$3:$AF$19,0),1),INDEX(Työkonekanta!$F$3:$F$27,MATCH('S1 Sähkö'!$A342,Työkonekanta!$A$3:$A$24,0),1))))),0)</f>
        <v>0</v>
      </c>
      <c r="C342" s="140">
        <v>2030</v>
      </c>
      <c r="D342" s="141" t="str">
        <f>IFERROR(INDEX(Työkonekanta!$D$3:$D$27,MATCH('S1 Sähkö'!$A342,Työkonekanta!$A$3:$A$24,0),1),"undefined")</f>
        <v>sähkö</v>
      </c>
      <c r="E342" s="145">
        <f>IFERROR(INDEX(Työkonekanta!$G$3:$G$27,MATCH($A342,Työkonekanta!$A$3:$A$24,0),1)*INDEX(Työkonekanta!$H$3:$H$27,MATCH($A342,Työkonekanta!$A$3:$A$24,0),1)*(1+s1_kerroin*($C342-2019))*$B342,0)</f>
        <v>0</v>
      </c>
      <c r="F342" s="145">
        <f t="shared" si="94"/>
        <v>0</v>
      </c>
      <c r="G342" s="145">
        <f t="shared" si="100"/>
        <v>0</v>
      </c>
      <c r="H342" s="145">
        <f t="shared" si="101"/>
        <v>0</v>
      </c>
      <c r="I342" s="145">
        <f t="shared" si="95"/>
        <v>0</v>
      </c>
      <c r="J342" s="145">
        <f t="shared" si="96"/>
        <v>0</v>
      </c>
      <c r="K342" s="142" t="str">
        <f t="shared" si="102"/>
        <v>kWh</v>
      </c>
      <c r="L342" s="146">
        <f>IFERROR(INDEX(Työkonekanta!$I$3:$I$27,MATCH('S1 Sähkö'!$A342,Työkonekanta!$A$3:$A$24,0),1)*(I342+J342)*f_adblue,0)</f>
        <v>0</v>
      </c>
      <c r="M342" s="146">
        <f t="shared" si="107"/>
        <v>0</v>
      </c>
      <c r="N342" s="143" t="str">
        <f>IF(tuulisähkö_vuosi&lt;='S1 Sähkö'!C342,"tuulisähkö",ostosähkö_nyt)</f>
        <v>jäännössähkö</v>
      </c>
      <c r="O342" s="147">
        <f>INDEX(Muuttujat!$J$5:$J$21,MATCH($C342,Muuttujat!$H$5:$H$21,0),1)</f>
        <v>61.999687056709845</v>
      </c>
      <c r="P342" s="342">
        <f>1-(INDEX(Muuttujat!$O$5:$O$21,MATCH($C342,Muuttujat!$N$5:$N$21,0),1))</f>
        <v>0.9</v>
      </c>
      <c r="Q342" s="342">
        <f>INDEX(Muuttujat!$O$5:$O$21,MATCH($C342,Muuttujat!$N$5:$N$21,0),1)</f>
        <v>0.1</v>
      </c>
      <c r="R342" s="148">
        <f>INDEX(Muuttujat!$P$5:$P$21,MATCH($C342,Muuttujat!$N$5:$N$21,0),1)</f>
        <v>0.10417875759940039</v>
      </c>
      <c r="S342" s="149">
        <f t="shared" si="97"/>
        <v>0</v>
      </c>
      <c r="T342" s="150">
        <f t="shared" si="98"/>
        <v>0</v>
      </c>
      <c r="U342" s="150">
        <f t="shared" si="99"/>
        <v>0</v>
      </c>
      <c r="V342" s="150">
        <f>IFERROR(INDEX(Työkonekanta!$J$3:$J$27,MATCH($A342,Työkonekanta!$A$3:$A$24,0),1)*$B342*ef_li_ion_akku/1000/1000/INDEX(Työkonekanta!$K$3:$K$27,MATCH($A342,Työkonekanta!$A$3:$A$24,0)),0)</f>
        <v>0</v>
      </c>
      <c r="W342" s="149">
        <f t="shared" si="108"/>
        <v>0</v>
      </c>
      <c r="X342" s="150">
        <f t="shared" si="109"/>
        <v>0</v>
      </c>
      <c r="Y342" s="151">
        <f t="shared" si="110"/>
        <v>0</v>
      </c>
      <c r="Z342" s="152">
        <f t="shared" si="103"/>
        <v>0</v>
      </c>
      <c r="AA342" s="153">
        <f t="shared" si="104"/>
        <v>0</v>
      </c>
      <c r="AB342" s="153">
        <f t="shared" si="105"/>
        <v>0</v>
      </c>
      <c r="AC342" s="154">
        <f t="shared" si="111"/>
        <v>0</v>
      </c>
      <c r="AD342" s="156">
        <f t="shared" si="106"/>
        <v>0</v>
      </c>
      <c r="AE342" s="182"/>
      <c r="AG342" s="2"/>
    </row>
    <row r="343" spans="1:33">
      <c r="A343" s="139">
        <v>11</v>
      </c>
      <c r="B343" s="139" cm="1">
        <f t="array" ref="B343">IFERROR(IF(A343=s1_id_korvattava1,INDEX($AG$3:$AG$19,MATCH(C343,$AF$3:$AF$19,0),1),IF(A343=s1_id_korvaava1,INDEX($AH$3:$AH$19,MATCH(C343,$AF$3:$AF$19,0),1),IF(A343=s1_id_korvattava2,INDEX($AI$3:$AI$19,MATCH(C343,$AF$3:$AF$19,0),1),IF(A343=s1_id_korvaava2,INDEX($AJ$3:$AJ$19,MATCH(C343,$AF$3:$AF$19,0),1),INDEX(Työkonekanta!$F$3:$F$27,MATCH('S1 Sähkö'!$A343,Työkonekanta!$A$3:$A$24,0),1))))),0)</f>
        <v>1</v>
      </c>
      <c r="C343" s="140">
        <v>2030</v>
      </c>
      <c r="D343" s="141" t="str">
        <f>IFERROR(INDEX(Työkonekanta!$D$3:$D$27,MATCH('S1 Sähkö'!$A343,Työkonekanta!$A$3:$A$24,0),1),"undefined")</f>
        <v>pom</v>
      </c>
      <c r="E343" s="145">
        <f>IFERROR(INDEX(Työkonekanta!$G$3:$G$27,MATCH($A343,Työkonekanta!$A$3:$A$24,0),1)*INDEX(Työkonekanta!$H$3:$H$27,MATCH($A343,Työkonekanta!$A$3:$A$24,0),1)*(1+s1_kerroin*($C343-2019))*$B343,0)</f>
        <v>11100.000000000002</v>
      </c>
      <c r="F343" s="145">
        <f t="shared" si="94"/>
        <v>398490.00000000006</v>
      </c>
      <c r="G343" s="145">
        <f t="shared" si="100"/>
        <v>358641.00000000006</v>
      </c>
      <c r="H343" s="145">
        <f t="shared" si="101"/>
        <v>39849.000000000007</v>
      </c>
      <c r="I343" s="145">
        <f t="shared" si="95"/>
        <v>9990.0000000000018</v>
      </c>
      <c r="J343" s="145">
        <f t="shared" si="96"/>
        <v>1161.7784256559769</v>
      </c>
      <c r="K343" s="142" t="str">
        <f t="shared" si="102"/>
        <v>l</v>
      </c>
      <c r="L343" s="146">
        <f>IFERROR(INDEX(Työkonekanta!$I$3:$I$27,MATCH('S1 Sähkö'!$A343,Työkonekanta!$A$3:$A$24,0),1)*(I343+J343)*f_adblue,0)</f>
        <v>557.58892128279899</v>
      </c>
      <c r="M343" s="146">
        <f t="shared" si="107"/>
        <v>0</v>
      </c>
      <c r="N343" s="143" t="str">
        <f>IF(tuulisähkö_vuosi&lt;='S1 Sähkö'!C343,"tuulisähkö",ostosähkö_nyt)</f>
        <v>jäännössähkö</v>
      </c>
      <c r="O343" s="147">
        <f>INDEX(Muuttujat!$J$5:$J$21,MATCH($C343,Muuttujat!$H$5:$H$21,0),1)</f>
        <v>61.999687056709845</v>
      </c>
      <c r="P343" s="342">
        <f>1-(INDEX(Muuttujat!$O$5:$O$21,MATCH($C343,Muuttujat!$N$5:$N$21,0),1))</f>
        <v>0.9</v>
      </c>
      <c r="Q343" s="342">
        <f>INDEX(Muuttujat!$O$5:$O$21,MATCH($C343,Muuttujat!$N$5:$N$21,0),1)</f>
        <v>0.1</v>
      </c>
      <c r="R343" s="148">
        <f>INDEX(Muuttujat!$P$5:$P$21,MATCH($C343,Muuttujat!$N$5:$N$21,0),1)</f>
        <v>0.10417875759940039</v>
      </c>
      <c r="S343" s="149">
        <f t="shared" si="97"/>
        <v>6.7783149000000007</v>
      </c>
      <c r="T343" s="150">
        <f t="shared" si="98"/>
        <v>2.4865776000000004</v>
      </c>
      <c r="U343" s="150">
        <f t="shared" si="99"/>
        <v>0</v>
      </c>
      <c r="V343" s="150">
        <f>IFERROR(INDEX(Työkonekanta!$J$3:$J$27,MATCH($A343,Työkonekanta!$A$3:$A$24,0),1)*$B343*ef_li_ion_akku/1000/1000/INDEX(Työkonekanta!$K$3:$K$27,MATCH($A343,Työkonekanta!$A$3:$A$24,0)),0)</f>
        <v>0</v>
      </c>
      <c r="W343" s="149">
        <f t="shared" si="108"/>
        <v>26.470666122714007</v>
      </c>
      <c r="X343" s="150">
        <f t="shared" si="109"/>
        <v>0.35269768260000006</v>
      </c>
      <c r="Y343" s="151">
        <f t="shared" si="110"/>
        <v>0.14497311953352773</v>
      </c>
      <c r="Z343" s="152">
        <f t="shared" si="103"/>
        <v>9.264892500000002</v>
      </c>
      <c r="AA343" s="153">
        <f t="shared" si="104"/>
        <v>26.615639242247536</v>
      </c>
      <c r="AB343" s="153">
        <f t="shared" si="105"/>
        <v>26.968336924847534</v>
      </c>
      <c r="AC343" s="154">
        <f t="shared" si="111"/>
        <v>35.880531742247541</v>
      </c>
      <c r="AD343" s="156">
        <f t="shared" si="106"/>
        <v>36.233229424847536</v>
      </c>
      <c r="AE343" s="182"/>
      <c r="AG343" s="2"/>
    </row>
    <row r="344" spans="1:33">
      <c r="A344" s="139">
        <v>12</v>
      </c>
      <c r="B344" s="139" cm="1">
        <f t="array" ref="B344">IFERROR(IF(A344=s1_id_korvattava1,INDEX($AG$3:$AG$19,MATCH(C344,$AF$3:$AF$19,0),1),IF(A344=s1_id_korvaava1,INDEX($AH$3:$AH$19,MATCH(C344,$AF$3:$AF$19,0),1),IF(A344=s1_id_korvattava2,INDEX($AI$3:$AI$19,MATCH(C344,$AF$3:$AF$19,0),1),IF(A344=s1_id_korvaava2,INDEX($AJ$3:$AJ$19,MATCH(C344,$AF$3:$AF$19,0),1),INDEX(Työkonekanta!$F$3:$F$27,MATCH('S1 Sähkö'!$A344,Työkonekanta!$A$3:$A$24,0),1))))),0)</f>
        <v>1</v>
      </c>
      <c r="C344" s="140">
        <v>2030</v>
      </c>
      <c r="D344" s="141" t="str">
        <f>IFERROR(INDEX(Työkonekanta!$D$3:$D$27,MATCH('S1 Sähkö'!$A344,Työkonekanta!$A$3:$A$24,0),1),"undefined")</f>
        <v>pom</v>
      </c>
      <c r="E344" s="145">
        <f>IFERROR(INDEX(Työkonekanta!$G$3:$G$27,MATCH($A344,Työkonekanta!$A$3:$A$24,0),1)*INDEX(Työkonekanta!$H$3:$H$27,MATCH($A344,Työkonekanta!$A$3:$A$24,0),1)*(1+s1_kerroin*($C344-2019))*$B344,0)</f>
        <v>11100.000000000002</v>
      </c>
      <c r="F344" s="145">
        <f t="shared" si="94"/>
        <v>398490.00000000006</v>
      </c>
      <c r="G344" s="145">
        <f t="shared" si="100"/>
        <v>358641.00000000006</v>
      </c>
      <c r="H344" s="145">
        <f t="shared" si="101"/>
        <v>39849.000000000007</v>
      </c>
      <c r="I344" s="145">
        <f t="shared" si="95"/>
        <v>9990.0000000000018</v>
      </c>
      <c r="J344" s="145">
        <f t="shared" si="96"/>
        <v>1161.7784256559769</v>
      </c>
      <c r="K344" s="142" t="str">
        <f t="shared" si="102"/>
        <v>l</v>
      </c>
      <c r="L344" s="146">
        <f>IFERROR(INDEX(Työkonekanta!$I$3:$I$27,MATCH('S1 Sähkö'!$A344,Työkonekanta!$A$3:$A$24,0),1)*(I344+J344)*f_adblue,0)</f>
        <v>557.58892128279899</v>
      </c>
      <c r="M344" s="146">
        <f t="shared" si="107"/>
        <v>0</v>
      </c>
      <c r="N344" s="143" t="str">
        <f>IF(tuulisähkö_vuosi&lt;='S1 Sähkö'!C344,"tuulisähkö",ostosähkö_nyt)</f>
        <v>jäännössähkö</v>
      </c>
      <c r="O344" s="147">
        <f>INDEX(Muuttujat!$J$5:$J$21,MATCH($C344,Muuttujat!$H$5:$H$21,0),1)</f>
        <v>61.999687056709845</v>
      </c>
      <c r="P344" s="342">
        <f>1-(INDEX(Muuttujat!$O$5:$O$21,MATCH($C344,Muuttujat!$N$5:$N$21,0),1))</f>
        <v>0.9</v>
      </c>
      <c r="Q344" s="342">
        <f>INDEX(Muuttujat!$O$5:$O$21,MATCH($C344,Muuttujat!$N$5:$N$21,0),1)</f>
        <v>0.1</v>
      </c>
      <c r="R344" s="148">
        <f>INDEX(Muuttujat!$P$5:$P$21,MATCH($C344,Muuttujat!$N$5:$N$21,0),1)</f>
        <v>0.10417875759940039</v>
      </c>
      <c r="S344" s="149">
        <f t="shared" si="97"/>
        <v>6.7783149000000007</v>
      </c>
      <c r="T344" s="150">
        <f t="shared" si="98"/>
        <v>2.4865776000000004</v>
      </c>
      <c r="U344" s="150">
        <f t="shared" si="99"/>
        <v>0</v>
      </c>
      <c r="V344" s="150">
        <f>IFERROR(INDEX(Työkonekanta!$J$3:$J$27,MATCH($A344,Työkonekanta!$A$3:$A$24,0),1)*$B344*ef_li_ion_akku/1000/1000/INDEX(Työkonekanta!$K$3:$K$27,MATCH($A344,Työkonekanta!$A$3:$A$24,0)),0)</f>
        <v>0</v>
      </c>
      <c r="W344" s="149">
        <f t="shared" si="108"/>
        <v>26.470666122714007</v>
      </c>
      <c r="X344" s="150">
        <f t="shared" si="109"/>
        <v>0.35269768260000006</v>
      </c>
      <c r="Y344" s="151">
        <f t="shared" si="110"/>
        <v>0.14497311953352773</v>
      </c>
      <c r="Z344" s="152">
        <f t="shared" si="103"/>
        <v>9.264892500000002</v>
      </c>
      <c r="AA344" s="153">
        <f t="shared" si="104"/>
        <v>26.615639242247536</v>
      </c>
      <c r="AB344" s="153">
        <f t="shared" si="105"/>
        <v>26.968336924847534</v>
      </c>
      <c r="AC344" s="154">
        <f t="shared" si="111"/>
        <v>35.880531742247541</v>
      </c>
      <c r="AD344" s="156">
        <f t="shared" si="106"/>
        <v>36.233229424847536</v>
      </c>
      <c r="AE344" s="182"/>
      <c r="AG344" s="2"/>
    </row>
    <row r="345" spans="1:33">
      <c r="A345" s="139">
        <v>13</v>
      </c>
      <c r="B345" s="139" cm="1">
        <f t="array" ref="B345">IFERROR(IF(A345=s1_id_korvattava1,INDEX($AG$3:$AG$19,MATCH(C345,$AF$3:$AF$19,0),1),IF(A345=s1_id_korvaava1,INDEX($AH$3:$AH$19,MATCH(C345,$AF$3:$AF$19,0),1),IF(A345=s1_id_korvattava2,INDEX($AI$3:$AI$19,MATCH(C345,$AF$3:$AF$19,0),1),IF(A345=s1_id_korvaava2,INDEX($AJ$3:$AJ$19,MATCH(C345,$AF$3:$AF$19,0),1),INDEX(Työkonekanta!$F$3:$F$27,MATCH('S1 Sähkö'!$A345,Työkonekanta!$A$3:$A$24,0),1))))),0)</f>
        <v>0</v>
      </c>
      <c r="C345" s="140">
        <v>2030</v>
      </c>
      <c r="D345" s="141" t="str">
        <f>IFERROR(INDEX(Työkonekanta!$D$3:$D$27,MATCH('S1 Sähkö'!$A345,Työkonekanta!$A$3:$A$24,0),1),"undefined")</f>
        <v>pom</v>
      </c>
      <c r="E345" s="145">
        <f>IFERROR(INDEX(Työkonekanta!$G$3:$G$27,MATCH($A345,Työkonekanta!$A$3:$A$24,0),1)*INDEX(Työkonekanta!$H$3:$H$27,MATCH($A345,Työkonekanta!$A$3:$A$24,0),1)*(1+s1_kerroin*($C345-2019))*$B345,0)</f>
        <v>0</v>
      </c>
      <c r="F345" s="145">
        <f t="shared" si="94"/>
        <v>0</v>
      </c>
      <c r="G345" s="145">
        <f t="shared" si="100"/>
        <v>0</v>
      </c>
      <c r="H345" s="145">
        <f t="shared" si="101"/>
        <v>0</v>
      </c>
      <c r="I345" s="145">
        <f t="shared" si="95"/>
        <v>0</v>
      </c>
      <c r="J345" s="145">
        <f t="shared" si="96"/>
        <v>0</v>
      </c>
      <c r="K345" s="142" t="str">
        <f t="shared" si="102"/>
        <v>l</v>
      </c>
      <c r="L345" s="146">
        <f>IFERROR(INDEX(Työkonekanta!$I$3:$I$27,MATCH('S1 Sähkö'!$A345,Työkonekanta!$A$3:$A$24,0),1)*(I345+J345)*f_adblue,0)</f>
        <v>0</v>
      </c>
      <c r="M345" s="146">
        <f t="shared" si="107"/>
        <v>0</v>
      </c>
      <c r="N345" s="143" t="str">
        <f>IF(tuulisähkö_vuosi&lt;='S1 Sähkö'!C345,"tuulisähkö",ostosähkö_nyt)</f>
        <v>jäännössähkö</v>
      </c>
      <c r="O345" s="147">
        <f>INDEX(Muuttujat!$J$5:$J$21,MATCH($C345,Muuttujat!$H$5:$H$21,0),1)</f>
        <v>61.999687056709845</v>
      </c>
      <c r="P345" s="342">
        <f>1-(INDEX(Muuttujat!$O$5:$O$21,MATCH($C345,Muuttujat!$N$5:$N$21,0),1))</f>
        <v>0.9</v>
      </c>
      <c r="Q345" s="342">
        <f>INDEX(Muuttujat!$O$5:$O$21,MATCH($C345,Muuttujat!$N$5:$N$21,0),1)</f>
        <v>0.1</v>
      </c>
      <c r="R345" s="148">
        <f>INDEX(Muuttujat!$P$5:$P$21,MATCH($C345,Muuttujat!$N$5:$N$21,0),1)</f>
        <v>0.10417875759940039</v>
      </c>
      <c r="S345" s="149">
        <f t="shared" si="97"/>
        <v>0</v>
      </c>
      <c r="T345" s="150">
        <f t="shared" si="98"/>
        <v>0</v>
      </c>
      <c r="U345" s="150">
        <f t="shared" si="99"/>
        <v>0</v>
      </c>
      <c r="V345" s="150">
        <f>IFERROR(INDEX(Työkonekanta!$J$3:$J$27,MATCH($A345,Työkonekanta!$A$3:$A$24,0),1)*$B345*ef_li_ion_akku/1000/1000/INDEX(Työkonekanta!$K$3:$K$27,MATCH($A345,Työkonekanta!$A$3:$A$24,0)),0)</f>
        <v>0</v>
      </c>
      <c r="W345" s="149">
        <f t="shared" si="108"/>
        <v>0</v>
      </c>
      <c r="X345" s="150">
        <f t="shared" si="109"/>
        <v>0</v>
      </c>
      <c r="Y345" s="151">
        <f t="shared" si="110"/>
        <v>0</v>
      </c>
      <c r="Z345" s="152">
        <f t="shared" si="103"/>
        <v>0</v>
      </c>
      <c r="AA345" s="153">
        <f t="shared" si="104"/>
        <v>0</v>
      </c>
      <c r="AB345" s="153">
        <f t="shared" si="105"/>
        <v>0</v>
      </c>
      <c r="AC345" s="154">
        <f t="shared" si="111"/>
        <v>0</v>
      </c>
      <c r="AD345" s="156">
        <f t="shared" si="106"/>
        <v>0</v>
      </c>
      <c r="AE345" s="182"/>
      <c r="AG345" s="2"/>
    </row>
    <row r="346" spans="1:33">
      <c r="A346" s="139">
        <v>14</v>
      </c>
      <c r="B346" s="139" cm="1">
        <f t="array" ref="B346">IFERROR(IF(A346=s1_id_korvattava1,INDEX($AG$3:$AG$19,MATCH(C346,$AF$3:$AF$19,0),1),IF(A346=s1_id_korvaava1,INDEX($AH$3:$AH$19,MATCH(C346,$AF$3:$AF$19,0),1),IF(A346=s1_id_korvattava2,INDEX($AI$3:$AI$19,MATCH(C346,$AF$3:$AF$19,0),1),IF(A346=s1_id_korvaava2,INDEX($AJ$3:$AJ$19,MATCH(C346,$AF$3:$AF$19,0),1),INDEX(Työkonekanta!$F$3:$F$27,MATCH('S1 Sähkö'!$A346,Työkonekanta!$A$3:$A$24,0),1))))),0)</f>
        <v>0</v>
      </c>
      <c r="C346" s="140">
        <v>2030</v>
      </c>
      <c r="D346" s="141" t="str">
        <f>IFERROR(INDEX(Työkonekanta!$D$3:$D$27,MATCH('S1 Sähkö'!$A346,Työkonekanta!$A$3:$A$24,0),1),"undefined")</f>
        <v>pom</v>
      </c>
      <c r="E346" s="145">
        <f>IFERROR(INDEX(Työkonekanta!$G$3:$G$27,MATCH($A346,Työkonekanta!$A$3:$A$24,0),1)*INDEX(Työkonekanta!$H$3:$H$27,MATCH($A346,Työkonekanta!$A$3:$A$24,0),1)*(1+s1_kerroin*($C346-2019))*$B346,0)</f>
        <v>0</v>
      </c>
      <c r="F346" s="145">
        <f t="shared" si="94"/>
        <v>0</v>
      </c>
      <c r="G346" s="145">
        <f t="shared" si="100"/>
        <v>0</v>
      </c>
      <c r="H346" s="145">
        <f t="shared" si="101"/>
        <v>0</v>
      </c>
      <c r="I346" s="145">
        <f t="shared" si="95"/>
        <v>0</v>
      </c>
      <c r="J346" s="145">
        <f t="shared" si="96"/>
        <v>0</v>
      </c>
      <c r="K346" s="142" t="str">
        <f t="shared" si="102"/>
        <v>l</v>
      </c>
      <c r="L346" s="146">
        <f>IFERROR(INDEX(Työkonekanta!$I$3:$I$27,MATCH('S1 Sähkö'!$A346,Työkonekanta!$A$3:$A$24,0),1)*(I346+J346)*f_adblue,0)</f>
        <v>0</v>
      </c>
      <c r="M346" s="146">
        <f t="shared" si="107"/>
        <v>0</v>
      </c>
      <c r="N346" s="143" t="str">
        <f>IF(tuulisähkö_vuosi&lt;='S1 Sähkö'!C346,"tuulisähkö",ostosähkö_nyt)</f>
        <v>jäännössähkö</v>
      </c>
      <c r="O346" s="147">
        <f>INDEX(Muuttujat!$J$5:$J$21,MATCH($C346,Muuttujat!$H$5:$H$21,0),1)</f>
        <v>61.999687056709845</v>
      </c>
      <c r="P346" s="342">
        <f>1-(INDEX(Muuttujat!$O$5:$O$21,MATCH($C346,Muuttujat!$N$5:$N$21,0),1))</f>
        <v>0.9</v>
      </c>
      <c r="Q346" s="342">
        <f>INDEX(Muuttujat!$O$5:$O$21,MATCH($C346,Muuttujat!$N$5:$N$21,0),1)</f>
        <v>0.1</v>
      </c>
      <c r="R346" s="148">
        <f>INDEX(Muuttujat!$P$5:$P$21,MATCH($C346,Muuttujat!$N$5:$N$21,0),1)</f>
        <v>0.10417875759940039</v>
      </c>
      <c r="S346" s="149">
        <f t="shared" si="97"/>
        <v>0</v>
      </c>
      <c r="T346" s="150">
        <f t="shared" si="98"/>
        <v>0</v>
      </c>
      <c r="U346" s="150">
        <f t="shared" si="99"/>
        <v>0</v>
      </c>
      <c r="V346" s="150">
        <f>IFERROR(INDEX(Työkonekanta!$J$3:$J$27,MATCH($A346,Työkonekanta!$A$3:$A$24,0),1)*$B346*ef_li_ion_akku/1000/1000/INDEX(Työkonekanta!$K$3:$K$27,MATCH($A346,Työkonekanta!$A$3:$A$24,0)),0)</f>
        <v>0</v>
      </c>
      <c r="W346" s="149">
        <f t="shared" si="108"/>
        <v>0</v>
      </c>
      <c r="X346" s="150">
        <f t="shared" si="109"/>
        <v>0</v>
      </c>
      <c r="Y346" s="151">
        <f t="shared" si="110"/>
        <v>0</v>
      </c>
      <c r="Z346" s="152">
        <f t="shared" si="103"/>
        <v>0</v>
      </c>
      <c r="AA346" s="153">
        <f t="shared" si="104"/>
        <v>0</v>
      </c>
      <c r="AB346" s="153">
        <f t="shared" si="105"/>
        <v>0</v>
      </c>
      <c r="AC346" s="154">
        <f t="shared" si="111"/>
        <v>0</v>
      </c>
      <c r="AD346" s="156">
        <f t="shared" si="106"/>
        <v>0</v>
      </c>
      <c r="AE346" s="182"/>
      <c r="AG346" s="2"/>
    </row>
    <row r="347" spans="1:33">
      <c r="A347" s="139">
        <v>15</v>
      </c>
      <c r="B347" s="139" cm="1">
        <f t="array" ref="B347">IFERROR(IF(A347=s1_id_korvattava1,INDEX($AG$3:$AG$19,MATCH(C347,$AF$3:$AF$19,0),1),IF(A347=s1_id_korvaava1,INDEX($AH$3:$AH$19,MATCH(C347,$AF$3:$AF$19,0),1),IF(A347=s1_id_korvattava2,INDEX($AI$3:$AI$19,MATCH(C347,$AF$3:$AF$19,0),1),IF(A347=s1_id_korvaava2,INDEX($AJ$3:$AJ$19,MATCH(C347,$AF$3:$AF$19,0),1),INDEX(Työkonekanta!$F$3:$F$27,MATCH('S1 Sähkö'!$A347,Työkonekanta!$A$3:$A$24,0),1))))),0)</f>
        <v>0</v>
      </c>
      <c r="C347" s="140">
        <v>2030</v>
      </c>
      <c r="D347" s="141" t="str">
        <f>IFERROR(INDEX(Työkonekanta!$D$3:$D$27,MATCH('S1 Sähkö'!$A347,Työkonekanta!$A$3:$A$24,0),1),"undefined")</f>
        <v>sähkö</v>
      </c>
      <c r="E347" s="145">
        <f>IFERROR(INDEX(Työkonekanta!$G$3:$G$27,MATCH($A347,Työkonekanta!$A$3:$A$24,0),1)*INDEX(Työkonekanta!$H$3:$H$27,MATCH($A347,Työkonekanta!$A$3:$A$24,0),1)*(1+s1_kerroin*($C347-2019))*$B347,0)</f>
        <v>0</v>
      </c>
      <c r="F347" s="145">
        <f t="shared" si="94"/>
        <v>0</v>
      </c>
      <c r="G347" s="145">
        <f t="shared" si="100"/>
        <v>0</v>
      </c>
      <c r="H347" s="145">
        <f t="shared" si="101"/>
        <v>0</v>
      </c>
      <c r="I347" s="145">
        <f t="shared" si="95"/>
        <v>0</v>
      </c>
      <c r="J347" s="145">
        <f t="shared" si="96"/>
        <v>0</v>
      </c>
      <c r="K347" s="142" t="str">
        <f t="shared" si="102"/>
        <v>kWh</v>
      </c>
      <c r="L347" s="146">
        <f>IFERROR(INDEX(Työkonekanta!$I$3:$I$27,MATCH('S1 Sähkö'!$A347,Työkonekanta!$A$3:$A$24,0),1)*(I347+J347)*f_adblue,0)</f>
        <v>0</v>
      </c>
      <c r="M347" s="146">
        <f t="shared" si="107"/>
        <v>0</v>
      </c>
      <c r="N347" s="143" t="str">
        <f>IF(tuulisähkö_vuosi&lt;='S1 Sähkö'!C347,"tuulisähkö",ostosähkö_nyt)</f>
        <v>jäännössähkö</v>
      </c>
      <c r="O347" s="147">
        <f>INDEX(Muuttujat!$J$5:$J$21,MATCH($C347,Muuttujat!$H$5:$H$21,0),1)</f>
        <v>61.999687056709845</v>
      </c>
      <c r="P347" s="342">
        <f>1-(INDEX(Muuttujat!$O$5:$O$21,MATCH($C347,Muuttujat!$N$5:$N$21,0),1))</f>
        <v>0.9</v>
      </c>
      <c r="Q347" s="342">
        <f>INDEX(Muuttujat!$O$5:$O$21,MATCH($C347,Muuttujat!$N$5:$N$21,0),1)</f>
        <v>0.1</v>
      </c>
      <c r="R347" s="148">
        <f>INDEX(Muuttujat!$P$5:$P$21,MATCH($C347,Muuttujat!$N$5:$N$21,0),1)</f>
        <v>0.10417875759940039</v>
      </c>
      <c r="S347" s="149">
        <f t="shared" si="97"/>
        <v>0</v>
      </c>
      <c r="T347" s="150">
        <f t="shared" si="98"/>
        <v>0</v>
      </c>
      <c r="U347" s="150">
        <f t="shared" si="99"/>
        <v>0</v>
      </c>
      <c r="V347" s="150">
        <f>IFERROR(INDEX(Työkonekanta!$J$3:$J$27,MATCH($A347,Työkonekanta!$A$3:$A$24,0),1)*$B347*ef_li_ion_akku/1000/1000/INDEX(Työkonekanta!$K$3:$K$27,MATCH($A347,Työkonekanta!$A$3:$A$24,0)),0)</f>
        <v>0</v>
      </c>
      <c r="W347" s="149">
        <f t="shared" si="108"/>
        <v>0</v>
      </c>
      <c r="X347" s="150">
        <f t="shared" si="109"/>
        <v>0</v>
      </c>
      <c r="Y347" s="151">
        <f t="shared" si="110"/>
        <v>0</v>
      </c>
      <c r="Z347" s="152">
        <f t="shared" si="103"/>
        <v>0</v>
      </c>
      <c r="AA347" s="153">
        <f t="shared" si="104"/>
        <v>0</v>
      </c>
      <c r="AB347" s="153">
        <f t="shared" si="105"/>
        <v>0</v>
      </c>
      <c r="AC347" s="154">
        <f t="shared" si="111"/>
        <v>0</v>
      </c>
      <c r="AD347" s="156">
        <f t="shared" si="106"/>
        <v>0</v>
      </c>
      <c r="AE347" s="182"/>
      <c r="AG347" s="2"/>
    </row>
    <row r="348" spans="1:33">
      <c r="A348" s="139">
        <v>16</v>
      </c>
      <c r="B348" s="139" cm="1">
        <f t="array" ref="B348">IFERROR(IF(A348=s1_id_korvattava1,INDEX($AG$3:$AG$19,MATCH(C348,$AF$3:$AF$19,0),1),IF(A348=s1_id_korvaava1,INDEX($AH$3:$AH$19,MATCH(C348,$AF$3:$AF$19,0),1),IF(A348=s1_id_korvattava2,INDEX($AI$3:$AI$19,MATCH(C348,$AF$3:$AF$19,0),1),IF(A348=s1_id_korvaava2,INDEX($AJ$3:$AJ$19,MATCH(C348,$AF$3:$AF$19,0),1),INDEX(Työkonekanta!$F$3:$F$27,MATCH('S1 Sähkö'!$A348,Työkonekanta!$A$3:$A$24,0),1))))),0)</f>
        <v>0</v>
      </c>
      <c r="C348" s="140">
        <v>2030</v>
      </c>
      <c r="D348" s="141" t="str">
        <f>IFERROR(INDEX(Työkonekanta!$D$3:$D$27,MATCH('S1 Sähkö'!$A348,Työkonekanta!$A$3:$A$24,0),1),"undefined")</f>
        <v>sähkö</v>
      </c>
      <c r="E348" s="145">
        <f>IFERROR(INDEX(Työkonekanta!$G$3:$G$27,MATCH($A348,Työkonekanta!$A$3:$A$24,0),1)*INDEX(Työkonekanta!$H$3:$H$27,MATCH($A348,Työkonekanta!$A$3:$A$24,0),1)*(1+s1_kerroin*($C348-2019))*$B348,0)</f>
        <v>0</v>
      </c>
      <c r="F348" s="145">
        <f t="shared" si="94"/>
        <v>0</v>
      </c>
      <c r="G348" s="145">
        <f t="shared" si="100"/>
        <v>0</v>
      </c>
      <c r="H348" s="145">
        <f t="shared" si="101"/>
        <v>0</v>
      </c>
      <c r="I348" s="145">
        <f t="shared" si="95"/>
        <v>0</v>
      </c>
      <c r="J348" s="145">
        <f t="shared" si="96"/>
        <v>0</v>
      </c>
      <c r="K348" s="142" t="str">
        <f t="shared" si="102"/>
        <v>kWh</v>
      </c>
      <c r="L348" s="146">
        <f>IFERROR(INDEX(Työkonekanta!$I$3:$I$27,MATCH('S1 Sähkö'!$A348,Työkonekanta!$A$3:$A$24,0),1)*(I348+J348)*f_adblue,0)</f>
        <v>0</v>
      </c>
      <c r="M348" s="146">
        <f t="shared" si="107"/>
        <v>0</v>
      </c>
      <c r="N348" s="143" t="str">
        <f>IF(tuulisähkö_vuosi&lt;='S1 Sähkö'!C348,"tuulisähkö",ostosähkö_nyt)</f>
        <v>jäännössähkö</v>
      </c>
      <c r="O348" s="147">
        <f>INDEX(Muuttujat!$J$5:$J$21,MATCH($C348,Muuttujat!$H$5:$H$21,0),1)</f>
        <v>61.999687056709845</v>
      </c>
      <c r="P348" s="342">
        <f>1-(INDEX(Muuttujat!$O$5:$O$21,MATCH($C348,Muuttujat!$N$5:$N$21,0),1))</f>
        <v>0.9</v>
      </c>
      <c r="Q348" s="342">
        <f>INDEX(Muuttujat!$O$5:$O$21,MATCH($C348,Muuttujat!$N$5:$N$21,0),1)</f>
        <v>0.1</v>
      </c>
      <c r="R348" s="148">
        <f>INDEX(Muuttujat!$P$5:$P$21,MATCH($C348,Muuttujat!$N$5:$N$21,0),1)</f>
        <v>0.10417875759940039</v>
      </c>
      <c r="S348" s="149">
        <f t="shared" si="97"/>
        <v>0</v>
      </c>
      <c r="T348" s="150">
        <f t="shared" si="98"/>
        <v>0</v>
      </c>
      <c r="U348" s="150">
        <f t="shared" si="99"/>
        <v>0</v>
      </c>
      <c r="V348" s="150">
        <f>IFERROR(INDEX(Työkonekanta!$J$3:$J$27,MATCH($A348,Työkonekanta!$A$3:$A$24,0),1)*$B348*ef_li_ion_akku/1000/1000/INDEX(Työkonekanta!$K$3:$K$27,MATCH($A348,Työkonekanta!$A$3:$A$24,0)),0)</f>
        <v>0</v>
      </c>
      <c r="W348" s="149">
        <f t="shared" si="108"/>
        <v>0</v>
      </c>
      <c r="X348" s="150">
        <f t="shared" si="109"/>
        <v>0</v>
      </c>
      <c r="Y348" s="151">
        <f t="shared" si="110"/>
        <v>0</v>
      </c>
      <c r="Z348" s="152">
        <f t="shared" si="103"/>
        <v>0</v>
      </c>
      <c r="AA348" s="153">
        <f t="shared" si="104"/>
        <v>0</v>
      </c>
      <c r="AB348" s="153">
        <f t="shared" si="105"/>
        <v>0</v>
      </c>
      <c r="AC348" s="154">
        <f t="shared" si="111"/>
        <v>0</v>
      </c>
      <c r="AD348" s="156">
        <f t="shared" si="106"/>
        <v>0</v>
      </c>
      <c r="AE348" s="182"/>
      <c r="AG348" s="2"/>
    </row>
    <row r="349" spans="1:33">
      <c r="A349" s="139">
        <v>17</v>
      </c>
      <c r="B349" s="139" cm="1">
        <f t="array" ref="B349">IFERROR(IF(A349=s1_id_korvattava1,INDEX($AG$3:$AG$19,MATCH(C349,$AF$3:$AF$19,0),1),IF(A349=s1_id_korvaava1,INDEX($AH$3:$AH$19,MATCH(C349,$AF$3:$AF$19,0),1),IF(A349=s1_id_korvattava2,INDEX($AI$3:$AI$19,MATCH(C349,$AF$3:$AF$19,0),1),IF(A349=s1_id_korvaava2,INDEX($AJ$3:$AJ$19,MATCH(C349,$AF$3:$AF$19,0),1),INDEX(Työkonekanta!$F$3:$F$27,MATCH('S1 Sähkö'!$A349,Työkonekanta!$A$3:$A$24,0),1))))),0)</f>
        <v>0</v>
      </c>
      <c r="C349" s="140">
        <v>2030</v>
      </c>
      <c r="D349" s="141" t="str">
        <f>IFERROR(INDEX(Työkonekanta!$D$3:$D$27,MATCH('S1 Sähkö'!$A349,Työkonekanta!$A$3:$A$24,0),1),"undefined")</f>
        <v>pom</v>
      </c>
      <c r="E349" s="145">
        <f>IFERROR(INDEX(Työkonekanta!$G$3:$G$27,MATCH($A349,Työkonekanta!$A$3:$A$24,0),1)*INDEX(Työkonekanta!$H$3:$H$27,MATCH($A349,Työkonekanta!$A$3:$A$24,0),1)*(1+s1_kerroin*($C349-2019))*$B349,0)</f>
        <v>0</v>
      </c>
      <c r="F349" s="145">
        <f t="shared" si="94"/>
        <v>0</v>
      </c>
      <c r="G349" s="145">
        <f t="shared" si="100"/>
        <v>0</v>
      </c>
      <c r="H349" s="145">
        <f t="shared" si="101"/>
        <v>0</v>
      </c>
      <c r="I349" s="145">
        <f t="shared" si="95"/>
        <v>0</v>
      </c>
      <c r="J349" s="145">
        <f t="shared" si="96"/>
        <v>0</v>
      </c>
      <c r="K349" s="142" t="str">
        <f t="shared" si="102"/>
        <v>l</v>
      </c>
      <c r="L349" s="146">
        <f>IFERROR(INDEX(Työkonekanta!$I$3:$I$27,MATCH('S1 Sähkö'!$A349,Työkonekanta!$A$3:$A$24,0),1)*(I349+J349)*f_adblue,0)</f>
        <v>0</v>
      </c>
      <c r="M349" s="146">
        <f t="shared" si="107"/>
        <v>0</v>
      </c>
      <c r="N349" s="143" t="str">
        <f>IF(tuulisähkö_vuosi&lt;='S1 Sähkö'!C349,"tuulisähkö",ostosähkö_nyt)</f>
        <v>jäännössähkö</v>
      </c>
      <c r="O349" s="147">
        <f>INDEX(Muuttujat!$J$5:$J$21,MATCH($C349,Muuttujat!$H$5:$H$21,0),1)</f>
        <v>61.999687056709845</v>
      </c>
      <c r="P349" s="342">
        <f>1-(INDEX(Muuttujat!$O$5:$O$21,MATCH($C349,Muuttujat!$N$5:$N$21,0),1))</f>
        <v>0.9</v>
      </c>
      <c r="Q349" s="342">
        <f>INDEX(Muuttujat!$O$5:$O$21,MATCH($C349,Muuttujat!$N$5:$N$21,0),1)</f>
        <v>0.1</v>
      </c>
      <c r="R349" s="148">
        <f>INDEX(Muuttujat!$P$5:$P$21,MATCH($C349,Muuttujat!$N$5:$N$21,0),1)</f>
        <v>0.10417875759940039</v>
      </c>
      <c r="S349" s="149">
        <f t="shared" si="97"/>
        <v>0</v>
      </c>
      <c r="T349" s="150">
        <f t="shared" si="98"/>
        <v>0</v>
      </c>
      <c r="U349" s="150">
        <f t="shared" si="99"/>
        <v>0</v>
      </c>
      <c r="V349" s="150">
        <f>IFERROR(INDEX(Työkonekanta!$J$3:$J$27,MATCH($A349,Työkonekanta!$A$3:$A$24,0),1)*$B349*ef_li_ion_akku/1000/1000/INDEX(Työkonekanta!$K$3:$K$27,MATCH($A349,Työkonekanta!$A$3:$A$24,0)),0)</f>
        <v>0</v>
      </c>
      <c r="W349" s="149">
        <f t="shared" si="108"/>
        <v>0</v>
      </c>
      <c r="X349" s="150">
        <f t="shared" si="109"/>
        <v>0</v>
      </c>
      <c r="Y349" s="151">
        <f t="shared" si="110"/>
        <v>0</v>
      </c>
      <c r="Z349" s="152">
        <f t="shared" si="103"/>
        <v>0</v>
      </c>
      <c r="AA349" s="153">
        <f t="shared" si="104"/>
        <v>0</v>
      </c>
      <c r="AB349" s="153">
        <f t="shared" si="105"/>
        <v>0</v>
      </c>
      <c r="AC349" s="154">
        <f t="shared" si="111"/>
        <v>0</v>
      </c>
      <c r="AD349" s="156">
        <f t="shared" si="106"/>
        <v>0</v>
      </c>
      <c r="AE349" s="182"/>
      <c r="AG349" s="2"/>
    </row>
    <row r="350" spans="1:33">
      <c r="A350" s="139">
        <v>18</v>
      </c>
      <c r="B350" s="139" cm="1">
        <f t="array" ref="B350">IFERROR(IF(A350=s1_id_korvattava1,INDEX($AG$3:$AG$19,MATCH(C350,$AF$3:$AF$19,0),1),IF(A350=s1_id_korvaava1,INDEX($AH$3:$AH$19,MATCH(C350,$AF$3:$AF$19,0),1),IF(A350=s1_id_korvattava2,INDEX($AI$3:$AI$19,MATCH(C350,$AF$3:$AF$19,0),1),IF(A350=s1_id_korvaava2,INDEX($AJ$3:$AJ$19,MATCH(C350,$AF$3:$AF$19,0),1),INDEX(Työkonekanta!$F$3:$F$27,MATCH('S1 Sähkö'!$A350,Työkonekanta!$A$3:$A$24,0),1))))),0)</f>
        <v>0</v>
      </c>
      <c r="C350" s="140">
        <v>2030</v>
      </c>
      <c r="D350" s="141" t="str">
        <f>IFERROR(INDEX(Työkonekanta!$D$3:$D$27,MATCH('S1 Sähkö'!$A350,Työkonekanta!$A$3:$A$24,0),1),"undefined")</f>
        <v>pom</v>
      </c>
      <c r="E350" s="145">
        <f>IFERROR(INDEX(Työkonekanta!$G$3:$G$27,MATCH($A350,Työkonekanta!$A$3:$A$24,0),1)*INDEX(Työkonekanta!$H$3:$H$27,MATCH($A350,Työkonekanta!$A$3:$A$24,0),1)*(1+s1_kerroin*($C350-2019))*$B350,0)</f>
        <v>0</v>
      </c>
      <c r="F350" s="145">
        <f t="shared" si="94"/>
        <v>0</v>
      </c>
      <c r="G350" s="145">
        <f t="shared" si="100"/>
        <v>0</v>
      </c>
      <c r="H350" s="145">
        <f t="shared" si="101"/>
        <v>0</v>
      </c>
      <c r="I350" s="145">
        <f t="shared" si="95"/>
        <v>0</v>
      </c>
      <c r="J350" s="145">
        <f t="shared" si="96"/>
        <v>0</v>
      </c>
      <c r="K350" s="142" t="str">
        <f t="shared" si="102"/>
        <v>l</v>
      </c>
      <c r="L350" s="146">
        <f>IFERROR(INDEX(Työkonekanta!$I$3:$I$27,MATCH('S1 Sähkö'!$A350,Työkonekanta!$A$3:$A$24,0),1)*(I350+J350)*f_adblue,0)</f>
        <v>0</v>
      </c>
      <c r="M350" s="146">
        <f t="shared" si="107"/>
        <v>0</v>
      </c>
      <c r="N350" s="143" t="str">
        <f>IF(tuulisähkö_vuosi&lt;='S1 Sähkö'!C350,"tuulisähkö",ostosähkö_nyt)</f>
        <v>jäännössähkö</v>
      </c>
      <c r="O350" s="147">
        <f>INDEX(Muuttujat!$J$5:$J$21,MATCH($C350,Muuttujat!$H$5:$H$21,0),1)</f>
        <v>61.999687056709845</v>
      </c>
      <c r="P350" s="342">
        <f>1-(INDEX(Muuttujat!$O$5:$O$21,MATCH($C350,Muuttujat!$N$5:$N$21,0),1))</f>
        <v>0.9</v>
      </c>
      <c r="Q350" s="342">
        <f>INDEX(Muuttujat!$O$5:$O$21,MATCH($C350,Muuttujat!$N$5:$N$21,0),1)</f>
        <v>0.1</v>
      </c>
      <c r="R350" s="148">
        <f>INDEX(Muuttujat!$P$5:$P$21,MATCH($C350,Muuttujat!$N$5:$N$21,0),1)</f>
        <v>0.10417875759940039</v>
      </c>
      <c r="S350" s="149">
        <f t="shared" si="97"/>
        <v>0</v>
      </c>
      <c r="T350" s="150">
        <f t="shared" si="98"/>
        <v>0</v>
      </c>
      <c r="U350" s="150">
        <f t="shared" si="99"/>
        <v>0</v>
      </c>
      <c r="V350" s="150">
        <f>IFERROR(INDEX(Työkonekanta!$J$3:$J$27,MATCH($A350,Työkonekanta!$A$3:$A$24,0),1)*$B350*ef_li_ion_akku/1000/1000/INDEX(Työkonekanta!$K$3:$K$27,MATCH($A350,Työkonekanta!$A$3:$A$24,0)),0)</f>
        <v>0</v>
      </c>
      <c r="W350" s="149">
        <f t="shared" si="108"/>
        <v>0</v>
      </c>
      <c r="X350" s="150">
        <f t="shared" si="109"/>
        <v>0</v>
      </c>
      <c r="Y350" s="151">
        <f t="shared" si="110"/>
        <v>0</v>
      </c>
      <c r="Z350" s="152">
        <f t="shared" si="103"/>
        <v>0</v>
      </c>
      <c r="AA350" s="153">
        <f t="shared" si="104"/>
        <v>0</v>
      </c>
      <c r="AB350" s="153">
        <f t="shared" si="105"/>
        <v>0</v>
      </c>
      <c r="AC350" s="154">
        <f t="shared" si="111"/>
        <v>0</v>
      </c>
      <c r="AD350" s="156">
        <f t="shared" si="106"/>
        <v>0</v>
      </c>
      <c r="AE350" s="182"/>
      <c r="AG350" s="2"/>
    </row>
    <row r="351" spans="1:33">
      <c r="A351" s="139">
        <v>19</v>
      </c>
      <c r="B351" s="139" cm="1">
        <f t="array" ref="B351">IFERROR(IF(A351=s1_id_korvattava1,INDEX($AG$3:$AG$19,MATCH(C351,$AF$3:$AF$19,0),1),IF(A351=s1_id_korvaava1,INDEX($AH$3:$AH$19,MATCH(C351,$AF$3:$AF$19,0),1),IF(A351=s1_id_korvattava2,INDEX($AI$3:$AI$19,MATCH(C351,$AF$3:$AF$19,0),1),IF(A351=s1_id_korvaava2,INDEX($AJ$3:$AJ$19,MATCH(C351,$AF$3:$AF$19,0),1),INDEX(Työkonekanta!$F$3:$F$27,MATCH('S1 Sähkö'!$A351,Työkonekanta!$A$3:$A$24,0),1))))),0)</f>
        <v>0</v>
      </c>
      <c r="C351" s="140">
        <v>2030</v>
      </c>
      <c r="D351" s="141" t="str">
        <f>IFERROR(INDEX(Työkonekanta!$D$3:$D$27,MATCH('S1 Sähkö'!$A351,Työkonekanta!$A$3:$A$24,0),1),"undefined")</f>
        <v>pom</v>
      </c>
      <c r="E351" s="145">
        <f>IFERROR(INDEX(Työkonekanta!$G$3:$G$27,MATCH($A351,Työkonekanta!$A$3:$A$24,0),1)*INDEX(Työkonekanta!$H$3:$H$27,MATCH($A351,Työkonekanta!$A$3:$A$24,0),1)*(1+s1_kerroin*($C351-2019))*$B351,0)</f>
        <v>0</v>
      </c>
      <c r="F351" s="145">
        <f t="shared" si="94"/>
        <v>0</v>
      </c>
      <c r="G351" s="145">
        <f t="shared" si="100"/>
        <v>0</v>
      </c>
      <c r="H351" s="145">
        <f t="shared" si="101"/>
        <v>0</v>
      </c>
      <c r="I351" s="145">
        <f t="shared" si="95"/>
        <v>0</v>
      </c>
      <c r="J351" s="145">
        <f t="shared" si="96"/>
        <v>0</v>
      </c>
      <c r="K351" s="142" t="str">
        <f t="shared" si="102"/>
        <v>l</v>
      </c>
      <c r="L351" s="146">
        <f>IFERROR(INDEX(Työkonekanta!$I$3:$I$27,MATCH('S1 Sähkö'!$A351,Työkonekanta!$A$3:$A$24,0),1)*(I351+J351)*f_adblue,0)</f>
        <v>0</v>
      </c>
      <c r="M351" s="146">
        <f t="shared" si="107"/>
        <v>0</v>
      </c>
      <c r="N351" s="143" t="str">
        <f>IF(tuulisähkö_vuosi&lt;='S1 Sähkö'!C351,"tuulisähkö",ostosähkö_nyt)</f>
        <v>jäännössähkö</v>
      </c>
      <c r="O351" s="147">
        <f>INDEX(Muuttujat!$J$5:$J$21,MATCH($C351,Muuttujat!$H$5:$H$21,0),1)</f>
        <v>61.999687056709845</v>
      </c>
      <c r="P351" s="342">
        <f>1-(INDEX(Muuttujat!$O$5:$O$21,MATCH($C351,Muuttujat!$N$5:$N$21,0),1))</f>
        <v>0.9</v>
      </c>
      <c r="Q351" s="342">
        <f>INDEX(Muuttujat!$O$5:$O$21,MATCH($C351,Muuttujat!$N$5:$N$21,0),1)</f>
        <v>0.1</v>
      </c>
      <c r="R351" s="148">
        <f>INDEX(Muuttujat!$P$5:$P$21,MATCH($C351,Muuttujat!$N$5:$N$21,0),1)</f>
        <v>0.10417875759940039</v>
      </c>
      <c r="S351" s="149">
        <f t="shared" si="97"/>
        <v>0</v>
      </c>
      <c r="T351" s="150">
        <f t="shared" si="98"/>
        <v>0</v>
      </c>
      <c r="U351" s="150">
        <f t="shared" si="99"/>
        <v>0</v>
      </c>
      <c r="V351" s="150">
        <f>IFERROR(INDEX(Työkonekanta!$J$3:$J$27,MATCH($A351,Työkonekanta!$A$3:$A$24,0),1)*$B351*ef_li_ion_akku/1000/1000/INDEX(Työkonekanta!$K$3:$K$27,MATCH($A351,Työkonekanta!$A$3:$A$24,0)),0)</f>
        <v>0</v>
      </c>
      <c r="W351" s="149">
        <f t="shared" si="108"/>
        <v>0</v>
      </c>
      <c r="X351" s="150">
        <f t="shared" si="109"/>
        <v>0</v>
      </c>
      <c r="Y351" s="151">
        <f t="shared" si="110"/>
        <v>0</v>
      </c>
      <c r="Z351" s="152">
        <f t="shared" si="103"/>
        <v>0</v>
      </c>
      <c r="AA351" s="153">
        <f t="shared" si="104"/>
        <v>0</v>
      </c>
      <c r="AB351" s="153">
        <f t="shared" si="105"/>
        <v>0</v>
      </c>
      <c r="AC351" s="154">
        <f t="shared" si="111"/>
        <v>0</v>
      </c>
      <c r="AD351" s="156">
        <f t="shared" si="106"/>
        <v>0</v>
      </c>
      <c r="AE351" s="182"/>
      <c r="AG351" s="2"/>
    </row>
    <row r="352" spans="1:33">
      <c r="A352" s="139">
        <v>20</v>
      </c>
      <c r="B352" s="139" cm="1">
        <f t="array" ref="B352">IFERROR(IF(A352=s1_id_korvattava1,INDEX($AG$3:$AG$19,MATCH(C352,$AF$3:$AF$19,0),1),IF(A352=s1_id_korvaava1,INDEX($AH$3:$AH$19,MATCH(C352,$AF$3:$AF$19,0),1),IF(A352=s1_id_korvattava2,INDEX($AI$3:$AI$19,MATCH(C352,$AF$3:$AF$19,0),1),IF(A352=s1_id_korvaava2,INDEX($AJ$3:$AJ$19,MATCH(C352,$AF$3:$AF$19,0),1),INDEX(Työkonekanta!$F$3:$F$27,MATCH('S1 Sähkö'!$A352,Työkonekanta!$A$3:$A$24,0),1))))),0)</f>
        <v>0</v>
      </c>
      <c r="C352" s="140">
        <v>2030</v>
      </c>
      <c r="D352" s="141" t="str">
        <f>IFERROR(INDEX(Työkonekanta!$D$3:$D$27,MATCH('S1 Sähkö'!$A352,Työkonekanta!$A$3:$A$24,0),1),"undefined")</f>
        <v>pom</v>
      </c>
      <c r="E352" s="145">
        <f>IFERROR(INDEX(Työkonekanta!$G$3:$G$27,MATCH($A352,Työkonekanta!$A$3:$A$24,0),1)*INDEX(Työkonekanta!$H$3:$H$27,MATCH($A352,Työkonekanta!$A$3:$A$24,0),1)*(1+s1_kerroin*($C352-2019))*$B352,0)</f>
        <v>0</v>
      </c>
      <c r="F352" s="145">
        <f t="shared" si="94"/>
        <v>0</v>
      </c>
      <c r="G352" s="145">
        <f t="shared" si="100"/>
        <v>0</v>
      </c>
      <c r="H352" s="145">
        <f t="shared" si="101"/>
        <v>0</v>
      </c>
      <c r="I352" s="145">
        <f t="shared" si="95"/>
        <v>0</v>
      </c>
      <c r="J352" s="145">
        <f t="shared" si="96"/>
        <v>0</v>
      </c>
      <c r="K352" s="142" t="str">
        <f t="shared" si="102"/>
        <v>l</v>
      </c>
      <c r="L352" s="146">
        <f>IFERROR(INDEX(Työkonekanta!$I$3:$I$27,MATCH('S1 Sähkö'!$A352,Työkonekanta!$A$3:$A$24,0),1)*(I352+J352)*f_adblue,0)</f>
        <v>0</v>
      </c>
      <c r="M352" s="146">
        <f t="shared" si="107"/>
        <v>0</v>
      </c>
      <c r="N352" s="143" t="str">
        <f>IF(tuulisähkö_vuosi&lt;='S1 Sähkö'!C352,"tuulisähkö",ostosähkö_nyt)</f>
        <v>jäännössähkö</v>
      </c>
      <c r="O352" s="147">
        <f>INDEX(Muuttujat!$J$5:$J$21,MATCH($C352,Muuttujat!$H$5:$H$21,0),1)</f>
        <v>61.999687056709845</v>
      </c>
      <c r="P352" s="342">
        <f>1-(INDEX(Muuttujat!$O$5:$O$21,MATCH($C352,Muuttujat!$N$5:$N$21,0),1))</f>
        <v>0.9</v>
      </c>
      <c r="Q352" s="342">
        <f>INDEX(Muuttujat!$O$5:$O$21,MATCH($C352,Muuttujat!$N$5:$N$21,0),1)</f>
        <v>0.1</v>
      </c>
      <c r="R352" s="148">
        <f>INDEX(Muuttujat!$P$5:$P$21,MATCH($C352,Muuttujat!$N$5:$N$21,0),1)</f>
        <v>0.10417875759940039</v>
      </c>
      <c r="S352" s="149">
        <f t="shared" si="97"/>
        <v>0</v>
      </c>
      <c r="T352" s="150">
        <f t="shared" si="98"/>
        <v>0</v>
      </c>
      <c r="U352" s="150">
        <f t="shared" si="99"/>
        <v>0</v>
      </c>
      <c r="V352" s="150">
        <f>IFERROR(INDEX(Työkonekanta!$J$3:$J$27,MATCH($A352,Työkonekanta!$A$3:$A$24,0),1)*$B352*ef_li_ion_akku/1000/1000/INDEX(Työkonekanta!$K$3:$K$27,MATCH($A352,Työkonekanta!$A$3:$A$24,0)),0)</f>
        <v>0</v>
      </c>
      <c r="W352" s="149">
        <f t="shared" si="108"/>
        <v>0</v>
      </c>
      <c r="X352" s="150">
        <f t="shared" si="109"/>
        <v>0</v>
      </c>
      <c r="Y352" s="151">
        <f t="shared" si="110"/>
        <v>0</v>
      </c>
      <c r="Z352" s="152">
        <f t="shared" si="103"/>
        <v>0</v>
      </c>
      <c r="AA352" s="153">
        <f t="shared" si="104"/>
        <v>0</v>
      </c>
      <c r="AB352" s="153">
        <f t="shared" si="105"/>
        <v>0</v>
      </c>
      <c r="AC352" s="154">
        <f t="shared" si="111"/>
        <v>0</v>
      </c>
      <c r="AD352" s="156">
        <f t="shared" si="106"/>
        <v>0</v>
      </c>
      <c r="AE352" s="182"/>
      <c r="AG352" s="2"/>
    </row>
    <row r="353" spans="1:37">
      <c r="A353" s="139">
        <v>21</v>
      </c>
      <c r="B353" s="139" cm="1">
        <f t="array" ref="B353">IFERROR(IF(A353=s1_id_korvattava1,INDEX($AG$3:$AG$19,MATCH(C353,$AF$3:$AF$19,0),1),IF(A353=s1_id_korvaava1,INDEX($AH$3:$AH$19,MATCH(C353,$AF$3:$AF$19,0),1),IF(A353=s1_id_korvattava2,INDEX($AI$3:$AI$19,MATCH(C353,$AF$3:$AF$19,0),1),IF(A353=s1_id_korvaava2,INDEX($AJ$3:$AJ$19,MATCH(C353,$AF$3:$AF$19,0),1),INDEX(Työkonekanta!$F$3:$F$27,MATCH('S1 Sähkö'!$A353,Työkonekanta!$A$3:$A$24,0),1))))),0)</f>
        <v>36</v>
      </c>
      <c r="C353" s="140">
        <v>2030</v>
      </c>
      <c r="D353" s="141" t="str">
        <f>IFERROR(INDEX(Työkonekanta!$D$3:$D$27,MATCH('S1 Sähkö'!$A353,Työkonekanta!$A$3:$A$24,0),1),"undefined")</f>
        <v>sähkö</v>
      </c>
      <c r="E353" s="145">
        <f>IFERROR(INDEX(Työkonekanta!$G$3:$G$27,MATCH($A353,Työkonekanta!$A$3:$A$24,0),1)*INDEX(Työkonekanta!$H$3:$H$27,MATCH($A353,Työkonekanta!$A$3:$A$24,0),1)*(1+s1_kerroin*($C353-2019))*$B353,0)</f>
        <v>464905.00000000006</v>
      </c>
      <c r="F353" s="145">
        <f t="shared" si="94"/>
        <v>0</v>
      </c>
      <c r="G353" s="145">
        <f t="shared" si="100"/>
        <v>0</v>
      </c>
      <c r="H353" s="145">
        <f t="shared" si="101"/>
        <v>0</v>
      </c>
      <c r="I353" s="145">
        <f t="shared" si="95"/>
        <v>0</v>
      </c>
      <c r="J353" s="145">
        <f t="shared" si="96"/>
        <v>0</v>
      </c>
      <c r="K353" s="142" t="str">
        <f t="shared" si="102"/>
        <v>kWh</v>
      </c>
      <c r="L353" s="146">
        <f>IFERROR(INDEX(Työkonekanta!$I$3:$I$27,MATCH('S1 Sähkö'!$A353,Työkonekanta!$A$3:$A$24,0),1)*(I353+J353)*f_adblue,0)</f>
        <v>0</v>
      </c>
      <c r="M353" s="146">
        <f t="shared" si="107"/>
        <v>1673658.0000000002</v>
      </c>
      <c r="N353" s="143" t="str">
        <f>IF(tuulisähkö_vuosi&lt;='S1 Sähkö'!C353,"tuulisähkö",ostosähkö_nyt)</f>
        <v>jäännössähkö</v>
      </c>
      <c r="O353" s="147">
        <f>INDEX(Muuttujat!$J$5:$J$21,MATCH($C353,Muuttujat!$H$5:$H$21,0),1)</f>
        <v>61.999687056709845</v>
      </c>
      <c r="P353" s="342">
        <f>1-(INDEX(Muuttujat!$O$5:$O$21,MATCH($C353,Muuttujat!$N$5:$N$21,0),1))</f>
        <v>0.9</v>
      </c>
      <c r="Q353" s="342">
        <f>INDEX(Muuttujat!$O$5:$O$21,MATCH($C353,Muuttujat!$N$5:$N$21,0),1)</f>
        <v>0.1</v>
      </c>
      <c r="R353" s="148">
        <f>INDEX(Muuttujat!$P$5:$P$21,MATCH($C353,Muuttujat!$N$5:$N$21,0),1)</f>
        <v>0.10417875759940039</v>
      </c>
      <c r="S353" s="149">
        <f t="shared" si="97"/>
        <v>0</v>
      </c>
      <c r="T353" s="150">
        <f t="shared" si="98"/>
        <v>0</v>
      </c>
      <c r="U353" s="150">
        <f t="shared" si="99"/>
        <v>103.76627223995889</v>
      </c>
      <c r="V353" s="150">
        <f>IFERROR(INDEX(Työkonekanta!$J$3:$J$27,MATCH($A353,Työkonekanta!$A$3:$A$24,0),1)*$B353*ef_li_ion_akku/1000/1000/INDEX(Työkonekanta!$K$3:$K$27,MATCH($A353,Työkonekanta!$A$3:$A$24,0)),0)</f>
        <v>44.353772307692303</v>
      </c>
      <c r="W353" s="149">
        <f t="shared" si="108"/>
        <v>0</v>
      </c>
      <c r="X353" s="150">
        <f t="shared" si="109"/>
        <v>0</v>
      </c>
      <c r="Y353" s="151">
        <f t="shared" si="110"/>
        <v>0</v>
      </c>
      <c r="Z353" s="152">
        <f t="shared" si="103"/>
        <v>148.12004454765119</v>
      </c>
      <c r="AA353" s="153">
        <f t="shared" si="104"/>
        <v>0</v>
      </c>
      <c r="AB353" s="153">
        <f t="shared" si="105"/>
        <v>0</v>
      </c>
      <c r="AC353" s="154">
        <f t="shared" si="111"/>
        <v>148.12004454765119</v>
      </c>
      <c r="AD353" s="156">
        <f t="shared" si="106"/>
        <v>148.12004454765119</v>
      </c>
      <c r="AE353" s="182"/>
      <c r="AG353" s="2"/>
    </row>
    <row r="354" spans="1:37">
      <c r="A354" s="139">
        <v>22</v>
      </c>
      <c r="B354" s="139" cm="1">
        <f t="array" ref="B354">IFERROR(IF(A354=s1_id_korvattava1,INDEX($AG$3:$AG$19,MATCH(C354,$AF$3:$AF$19,0),1),IF(A354=s1_id_korvaava1,INDEX($AH$3:$AH$19,MATCH(C354,$AF$3:$AF$19,0),1),IF(A354=s1_id_korvattava2,INDEX($AI$3:$AI$19,MATCH(C354,$AF$3:$AF$19,0),1),IF(A354=s1_id_korvaava2,INDEX($AJ$3:$AJ$19,MATCH(C354,$AF$3:$AF$19,0),1),INDEX(Työkonekanta!$F$3:$F$27,MATCH('S1 Sähkö'!$A354,Työkonekanta!$A$3:$A$24,0),1))))),0)</f>
        <v>1</v>
      </c>
      <c r="C354" s="140">
        <v>2030</v>
      </c>
      <c r="D354" s="141" t="str">
        <f>IFERROR(INDEX(Työkonekanta!$D$3:$D$27,MATCH('S1 Sähkö'!$A354,Työkonekanta!$A$3:$A$24,0),1),"undefined")</f>
        <v>sähkö</v>
      </c>
      <c r="E354" s="145">
        <f>IFERROR(INDEX(Työkonekanta!$G$3:$G$27,MATCH($A354,Työkonekanta!$A$3:$A$24,0),1)*INDEX(Työkonekanta!$H$3:$H$27,MATCH($A354,Työkonekanta!$A$3:$A$24,0),1)*(1+s1_kerroin*($C354-2019))*$B354,0)</f>
        <v>49442.277777777781</v>
      </c>
      <c r="F354" s="145">
        <f t="shared" si="94"/>
        <v>0</v>
      </c>
      <c r="G354" s="145">
        <f t="shared" si="100"/>
        <v>0</v>
      </c>
      <c r="H354" s="145">
        <f t="shared" si="101"/>
        <v>0</v>
      </c>
      <c r="I354" s="145">
        <f t="shared" si="95"/>
        <v>0</v>
      </c>
      <c r="J354" s="145">
        <f t="shared" si="96"/>
        <v>0</v>
      </c>
      <c r="K354" s="142" t="str">
        <f t="shared" si="102"/>
        <v>kWh</v>
      </c>
      <c r="L354" s="146">
        <f>IFERROR(INDEX(Työkonekanta!$I$3:$I$27,MATCH('S1 Sähkö'!$A354,Työkonekanta!$A$3:$A$24,0),1)*(I354+J354)*f_adblue,0)</f>
        <v>0</v>
      </c>
      <c r="M354" s="146">
        <f t="shared" si="107"/>
        <v>177992.2</v>
      </c>
      <c r="N354" s="143" t="str">
        <f>IF(tuulisähkö_vuosi&lt;='S1 Sähkö'!C354,"tuulisähkö",ostosähkö_nyt)</f>
        <v>jäännössähkö</v>
      </c>
      <c r="O354" s="147">
        <f>INDEX(Muuttujat!$J$5:$J$21,MATCH($C354,Muuttujat!$H$5:$H$21,0),1)</f>
        <v>61.999687056709845</v>
      </c>
      <c r="P354" s="342">
        <f>1-(INDEX(Muuttujat!$O$5:$O$21,MATCH($C354,Muuttujat!$N$5:$N$21,0),1))</f>
        <v>0.9</v>
      </c>
      <c r="Q354" s="342">
        <f>INDEX(Muuttujat!$O$5:$O$21,MATCH($C354,Muuttujat!$N$5:$N$21,0),1)</f>
        <v>0.1</v>
      </c>
      <c r="R354" s="148">
        <f>INDEX(Muuttujat!$P$5:$P$21,MATCH($C354,Muuttujat!$N$5:$N$21,0),1)</f>
        <v>0.10417875759940039</v>
      </c>
      <c r="S354" s="149">
        <f t="shared" si="97"/>
        <v>0</v>
      </c>
      <c r="T354" s="150">
        <f t="shared" si="98"/>
        <v>0</v>
      </c>
      <c r="U354" s="150">
        <f t="shared" si="99"/>
        <v>11.03546069853531</v>
      </c>
      <c r="V354" s="150">
        <f>IFERROR(INDEX(Työkonekanta!$J$3:$J$27,MATCH($A354,Työkonekanta!$A$3:$A$24,0),1)*$B354*ef_li_ion_akku/1000/1000/INDEX(Työkonekanta!$K$3:$K$27,MATCH($A354,Työkonekanta!$A$3:$A$24,0)),0)</f>
        <v>5.2676455384615384</v>
      </c>
      <c r="W354" s="149">
        <f t="shared" si="108"/>
        <v>0</v>
      </c>
      <c r="X354" s="150">
        <f t="shared" si="109"/>
        <v>0</v>
      </c>
      <c r="Y354" s="151">
        <f t="shared" si="110"/>
        <v>0</v>
      </c>
      <c r="Z354" s="152">
        <f t="shared" si="103"/>
        <v>16.303106236996847</v>
      </c>
      <c r="AA354" s="153">
        <f t="shared" si="104"/>
        <v>0</v>
      </c>
      <c r="AB354" s="153">
        <f t="shared" si="105"/>
        <v>0</v>
      </c>
      <c r="AC354" s="154">
        <f t="shared" si="111"/>
        <v>16.303106236996847</v>
      </c>
      <c r="AD354" s="156">
        <f t="shared" si="106"/>
        <v>16.303106236996847</v>
      </c>
      <c r="AE354" s="182"/>
      <c r="AG354" s="2"/>
    </row>
    <row r="355" spans="1:37">
      <c r="A355" s="139">
        <v>23</v>
      </c>
      <c r="B355" s="139" cm="1">
        <f t="array" ref="B355">IFERROR(IF(A355=s1_id_korvattava1,INDEX($AG$3:$AG$19,MATCH(C355,$AF$3:$AF$19,0),1),IF(A355=s1_id_korvaava1,INDEX($AH$3:$AH$19,MATCH(C355,$AF$3:$AF$19,0),1),IF(A355=s1_id_korvattava2,INDEX($AI$3:$AI$19,MATCH(C355,$AF$3:$AF$19,0),1),IF(A355=s1_id_korvaava2,INDEX($AJ$3:$AJ$19,MATCH(C355,$AF$3:$AF$19,0),1),INDEX(Työkonekanta!$F$3:$F$27,MATCH('S1 Sähkö'!$A355,Työkonekanta!$A$3:$A$24,0),1))))),0)</f>
        <v>0</v>
      </c>
      <c r="C355" s="140">
        <v>2030</v>
      </c>
      <c r="D355" s="141" t="str">
        <f>IFERROR(INDEX(Työkonekanta!$D$3:$D$27,MATCH('S1 Sähkö'!$A355,Työkonekanta!$A$3:$A$24,0),1),"undefined")</f>
        <v>undefined</v>
      </c>
      <c r="E355" s="145">
        <f>IFERROR(INDEX(Työkonekanta!$G$3:$G$27,MATCH($A355,Työkonekanta!$A$3:$A$24,0),1)*INDEX(Työkonekanta!$H$3:$H$27,MATCH($A355,Työkonekanta!$A$3:$A$24,0),1)*(1+s1_kerroin*($C355-2019))*$B355,0)</f>
        <v>0</v>
      </c>
      <c r="F355" s="145">
        <f t="shared" si="94"/>
        <v>0</v>
      </c>
      <c r="G355" s="145">
        <f t="shared" si="100"/>
        <v>0</v>
      </c>
      <c r="H355" s="145">
        <f t="shared" si="101"/>
        <v>0</v>
      </c>
      <c r="I355" s="145">
        <f t="shared" si="95"/>
        <v>0</v>
      </c>
      <c r="J355" s="145">
        <f t="shared" si="96"/>
        <v>0</v>
      </c>
      <c r="K355" s="142" t="str">
        <f t="shared" si="102"/>
        <v>undefined</v>
      </c>
      <c r="L355" s="146">
        <f>IFERROR(INDEX(Työkonekanta!$I$3:$I$27,MATCH('S1 Sähkö'!$A355,Työkonekanta!$A$3:$A$24,0),1)*(I355+J355)*f_adblue,0)</f>
        <v>0</v>
      </c>
      <c r="M355" s="146">
        <f t="shared" si="107"/>
        <v>0</v>
      </c>
      <c r="N355" s="143" t="str">
        <f>IF(tuulisähkö_vuosi&lt;='S1 Sähkö'!C355,"tuulisähkö",ostosähkö_nyt)</f>
        <v>jäännössähkö</v>
      </c>
      <c r="O355" s="147">
        <f>INDEX(Muuttujat!$J$5:$J$21,MATCH($C355,Muuttujat!$H$5:$H$21,0),1)</f>
        <v>61.999687056709845</v>
      </c>
      <c r="P355" s="342">
        <f>1-(INDEX(Muuttujat!$O$5:$O$21,MATCH($C355,Muuttujat!$N$5:$N$21,0),1))</f>
        <v>0.9</v>
      </c>
      <c r="Q355" s="342">
        <f>INDEX(Muuttujat!$O$5:$O$21,MATCH($C355,Muuttujat!$N$5:$N$21,0),1)</f>
        <v>0.1</v>
      </c>
      <c r="R355" s="148">
        <f>INDEX(Muuttujat!$P$5:$P$21,MATCH($C355,Muuttujat!$N$5:$N$21,0),1)</f>
        <v>0.10417875759940039</v>
      </c>
      <c r="S355" s="149">
        <f t="shared" si="97"/>
        <v>0</v>
      </c>
      <c r="T355" s="150">
        <f t="shared" si="98"/>
        <v>0</v>
      </c>
      <c r="U355" s="150">
        <f t="shared" si="99"/>
        <v>0</v>
      </c>
      <c r="V355" s="150">
        <f>IFERROR(INDEX(Työkonekanta!$J$3:$J$27,MATCH($A355,Työkonekanta!$A$3:$A$24,0),1)*$B355*ef_li_ion_akku/1000/1000/INDEX(Työkonekanta!$K$3:$K$27,MATCH($A355,Työkonekanta!$A$3:$A$24,0)),0)</f>
        <v>0</v>
      </c>
      <c r="W355" s="149">
        <f t="shared" si="108"/>
        <v>0</v>
      </c>
      <c r="X355" s="150">
        <f t="shared" si="109"/>
        <v>0</v>
      </c>
      <c r="Y355" s="151">
        <f t="shared" si="110"/>
        <v>0</v>
      </c>
      <c r="Z355" s="152">
        <f t="shared" si="103"/>
        <v>0</v>
      </c>
      <c r="AA355" s="153">
        <f t="shared" si="104"/>
        <v>0</v>
      </c>
      <c r="AB355" s="153">
        <f t="shared" si="105"/>
        <v>0</v>
      </c>
      <c r="AC355" s="154">
        <f t="shared" si="111"/>
        <v>0</v>
      </c>
      <c r="AD355" s="156">
        <f t="shared" si="106"/>
        <v>0</v>
      </c>
      <c r="AE355" s="182"/>
      <c r="AJ355" s="28"/>
      <c r="AK355" s="29"/>
    </row>
    <row r="356" spans="1:37">
      <c r="A356" s="139">
        <v>24</v>
      </c>
      <c r="B356" s="139" cm="1">
        <f t="array" ref="B356">IFERROR(IF(A356=s1_id_korvattava1,INDEX($AG$3:$AG$19,MATCH(C356,$AF$3:$AF$19,0),1),IF(A356=s1_id_korvaava1,INDEX($AH$3:$AH$19,MATCH(C356,$AF$3:$AF$19,0),1),IF(A356=s1_id_korvattava2,INDEX($AI$3:$AI$19,MATCH(C356,$AF$3:$AF$19,0),1),IF(A356=s1_id_korvaava2,INDEX($AJ$3:$AJ$19,MATCH(C356,$AF$3:$AF$19,0),1),INDEX(Työkonekanta!$F$3:$F$27,MATCH('S1 Sähkö'!$A356,Työkonekanta!$A$3:$A$24,0),1))))),0)</f>
        <v>0</v>
      </c>
      <c r="C356" s="140">
        <v>2030</v>
      </c>
      <c r="D356" s="141" t="str">
        <f>IFERROR(INDEX(Työkonekanta!$D$3:$D$27,MATCH('S1 Sähkö'!$A356,Työkonekanta!$A$3:$A$24,0),1),"undefined")</f>
        <v>undefined</v>
      </c>
      <c r="E356" s="145">
        <f>IFERROR(INDEX(Työkonekanta!$G$3:$G$27,MATCH($A356,Työkonekanta!$A$3:$A$24,0),1)*INDEX(Työkonekanta!$H$3:$H$27,MATCH($A356,Työkonekanta!$A$3:$A$24,0),1)*(1+s1_kerroin*($C356-2019))*$B356,0)</f>
        <v>0</v>
      </c>
      <c r="F356" s="145">
        <f t="shared" si="94"/>
        <v>0</v>
      </c>
      <c r="G356" s="145">
        <f t="shared" si="100"/>
        <v>0</v>
      </c>
      <c r="H356" s="145">
        <f t="shared" si="101"/>
        <v>0</v>
      </c>
      <c r="I356" s="145">
        <f t="shared" si="95"/>
        <v>0</v>
      </c>
      <c r="J356" s="145">
        <f t="shared" si="96"/>
        <v>0</v>
      </c>
      <c r="K356" s="142" t="str">
        <f t="shared" si="102"/>
        <v>undefined</v>
      </c>
      <c r="L356" s="146">
        <f>IFERROR(INDEX(Työkonekanta!$I$3:$I$27,MATCH('S1 Sähkö'!$A356,Työkonekanta!$A$3:$A$24,0),1)*(I356+J356)*f_adblue,0)</f>
        <v>0</v>
      </c>
      <c r="M356" s="146">
        <f t="shared" si="107"/>
        <v>0</v>
      </c>
      <c r="N356" s="143" t="str">
        <f>IF(tuulisähkö_vuosi&lt;='S1 Sähkö'!C356,"tuulisähkö",ostosähkö_nyt)</f>
        <v>jäännössähkö</v>
      </c>
      <c r="O356" s="147">
        <f>INDEX(Muuttujat!$J$5:$J$21,MATCH($C356,Muuttujat!$H$5:$H$21,0),1)</f>
        <v>61.999687056709845</v>
      </c>
      <c r="P356" s="342">
        <f>1-(INDEX(Muuttujat!$O$5:$O$21,MATCH($C356,Muuttujat!$N$5:$N$21,0),1))</f>
        <v>0.9</v>
      </c>
      <c r="Q356" s="342">
        <f>INDEX(Muuttujat!$O$5:$O$21,MATCH($C356,Muuttujat!$N$5:$N$21,0),1)</f>
        <v>0.1</v>
      </c>
      <c r="R356" s="148">
        <f>INDEX(Muuttujat!$P$5:$P$21,MATCH($C356,Muuttujat!$N$5:$N$21,0),1)</f>
        <v>0.10417875759940039</v>
      </c>
      <c r="S356" s="149">
        <f t="shared" si="97"/>
        <v>0</v>
      </c>
      <c r="T356" s="150">
        <f t="shared" si="98"/>
        <v>0</v>
      </c>
      <c r="U356" s="150">
        <f t="shared" si="99"/>
        <v>0</v>
      </c>
      <c r="V356" s="150">
        <f>IFERROR(INDEX(Työkonekanta!$J$3:$J$27,MATCH($A356,Työkonekanta!$A$3:$A$24,0),1)*$B356*ef_li_ion_akku/1000/1000/INDEX(Työkonekanta!$K$3:$K$27,MATCH($A356,Työkonekanta!$A$3:$A$24,0)),0)</f>
        <v>0</v>
      </c>
      <c r="W356" s="149">
        <f t="shared" si="108"/>
        <v>0</v>
      </c>
      <c r="X356" s="150">
        <f t="shared" si="109"/>
        <v>0</v>
      </c>
      <c r="Y356" s="151">
        <f t="shared" si="110"/>
        <v>0</v>
      </c>
      <c r="Z356" s="152">
        <f t="shared" si="103"/>
        <v>0</v>
      </c>
      <c r="AA356" s="153">
        <f t="shared" si="104"/>
        <v>0</v>
      </c>
      <c r="AB356" s="153">
        <f t="shared" si="105"/>
        <v>0</v>
      </c>
      <c r="AC356" s="154">
        <f t="shared" si="111"/>
        <v>0</v>
      </c>
      <c r="AD356" s="156">
        <f t="shared" si="106"/>
        <v>0</v>
      </c>
      <c r="AE356" s="182"/>
      <c r="AJ356" s="28"/>
      <c r="AK356" s="29"/>
    </row>
    <row r="357" spans="1:37">
      <c r="A357" s="139">
        <v>25</v>
      </c>
      <c r="B357" s="139" cm="1">
        <f t="array" ref="B357">IFERROR(IF(A357=s1_id_korvattava1,INDEX($AG$3:$AG$19,MATCH(C357,$AF$3:$AF$19,0),1),IF(A357=s1_id_korvaava1,INDEX($AH$3:$AH$19,MATCH(C357,$AF$3:$AF$19,0),1),IF(A357=s1_id_korvattava2,INDEX($AI$3:$AI$19,MATCH(C357,$AF$3:$AF$19,0),1),IF(A357=s1_id_korvaava2,INDEX($AJ$3:$AJ$19,MATCH(C357,$AF$3:$AF$19,0),1),INDEX(Työkonekanta!$F$3:$F$27,MATCH('S1 Sähkö'!$A357,Työkonekanta!$A$3:$A$24,0),1))))),0)</f>
        <v>0</v>
      </c>
      <c r="C357" s="140">
        <v>2030</v>
      </c>
      <c r="D357" s="141" t="str">
        <f>IFERROR(INDEX(Työkonekanta!$D$3:$D$27,MATCH('S1 Sähkö'!$A357,Työkonekanta!$A$3:$A$24,0),1),"undefined")</f>
        <v>undefined</v>
      </c>
      <c r="E357" s="145">
        <f>IFERROR(INDEX(Työkonekanta!$G$3:$G$27,MATCH($A357,Työkonekanta!$A$3:$A$24,0),1)*INDEX(Työkonekanta!$H$3:$H$27,MATCH($A357,Työkonekanta!$A$3:$A$24,0),1)*(1+s1_kerroin*($C357-2019))*$B357,0)</f>
        <v>0</v>
      </c>
      <c r="F357" s="145">
        <f t="shared" si="94"/>
        <v>0</v>
      </c>
      <c r="G357" s="145">
        <f t="shared" si="100"/>
        <v>0</v>
      </c>
      <c r="H357" s="145">
        <f t="shared" si="101"/>
        <v>0</v>
      </c>
      <c r="I357" s="145">
        <f t="shared" si="95"/>
        <v>0</v>
      </c>
      <c r="J357" s="145">
        <f t="shared" si="96"/>
        <v>0</v>
      </c>
      <c r="K357" s="142" t="str">
        <f t="shared" si="102"/>
        <v>undefined</v>
      </c>
      <c r="L357" s="146">
        <f>IFERROR(INDEX(Työkonekanta!$I$3:$I$27,MATCH('S1 Sähkö'!$A357,Työkonekanta!$A$3:$A$24,0),1)*(I357+J357)*f_adblue,0)</f>
        <v>0</v>
      </c>
      <c r="M357" s="146">
        <f t="shared" si="107"/>
        <v>0</v>
      </c>
      <c r="N357" s="143" t="str">
        <f>IF(tuulisähkö_vuosi&lt;='S1 Sähkö'!C357,"tuulisähkö",ostosähkö_nyt)</f>
        <v>jäännössähkö</v>
      </c>
      <c r="O357" s="147">
        <f>INDEX(Muuttujat!$J$5:$J$21,MATCH($C357,Muuttujat!$H$5:$H$21,0),1)</f>
        <v>61.999687056709845</v>
      </c>
      <c r="P357" s="342">
        <f>1-(INDEX(Muuttujat!$O$5:$O$21,MATCH($C357,Muuttujat!$N$5:$N$21,0),1))</f>
        <v>0.9</v>
      </c>
      <c r="Q357" s="342">
        <f>INDEX(Muuttujat!$O$5:$O$21,MATCH($C357,Muuttujat!$N$5:$N$21,0),1)</f>
        <v>0.1</v>
      </c>
      <c r="R357" s="148">
        <f>INDEX(Muuttujat!$P$5:$P$21,MATCH($C357,Muuttujat!$N$5:$N$21,0),1)</f>
        <v>0.10417875759940039</v>
      </c>
      <c r="S357" s="149">
        <f t="shared" si="97"/>
        <v>0</v>
      </c>
      <c r="T357" s="150">
        <f t="shared" si="98"/>
        <v>0</v>
      </c>
      <c r="U357" s="150">
        <f t="shared" si="99"/>
        <v>0</v>
      </c>
      <c r="V357" s="150">
        <f>IFERROR(INDEX(Työkonekanta!$J$3:$J$27,MATCH($A357,Työkonekanta!$A$3:$A$24,0),1)*$B357*ef_li_ion_akku/1000/1000/INDEX(Työkonekanta!$K$3:$K$27,MATCH($A357,Työkonekanta!$A$3:$A$24,0)),0)</f>
        <v>0</v>
      </c>
      <c r="W357" s="149">
        <f t="shared" si="108"/>
        <v>0</v>
      </c>
      <c r="X357" s="150">
        <f t="shared" si="109"/>
        <v>0</v>
      </c>
      <c r="Y357" s="151">
        <f t="shared" si="110"/>
        <v>0</v>
      </c>
      <c r="Z357" s="152">
        <f t="shared" si="103"/>
        <v>0</v>
      </c>
      <c r="AA357" s="153">
        <f t="shared" si="104"/>
        <v>0</v>
      </c>
      <c r="AB357" s="153">
        <f t="shared" si="105"/>
        <v>0</v>
      </c>
      <c r="AC357" s="154">
        <f t="shared" si="111"/>
        <v>0</v>
      </c>
      <c r="AD357" s="156">
        <f t="shared" si="106"/>
        <v>0</v>
      </c>
      <c r="AE357" s="182"/>
      <c r="AJ357" s="28"/>
      <c r="AK357" s="29"/>
    </row>
    <row r="358" spans="1:37">
      <c r="A358" s="139">
        <v>26</v>
      </c>
      <c r="B358" s="139" cm="1">
        <f t="array" ref="B358">IFERROR(IF(A358=s1_id_korvattava1,INDEX($AG$3:$AG$19,MATCH(C358,$AF$3:$AF$19,0),1),IF(A358=s1_id_korvaava1,INDEX($AH$3:$AH$19,MATCH(C358,$AF$3:$AF$19,0),1),IF(A358=s1_id_korvattava2,INDEX($AI$3:$AI$19,MATCH(C358,$AF$3:$AF$19,0),1),IF(A358=s1_id_korvaava2,INDEX($AJ$3:$AJ$19,MATCH(C358,$AF$3:$AF$19,0),1),INDEX(Työkonekanta!$F$3:$F$27,MATCH('S1 Sähkö'!$A358,Työkonekanta!$A$3:$A$24,0),1))))),0)</f>
        <v>0</v>
      </c>
      <c r="C358" s="140">
        <v>2030</v>
      </c>
      <c r="D358" s="141" t="str">
        <f>IFERROR(INDEX(Työkonekanta!$D$3:$D$27,MATCH('S1 Sähkö'!$A358,Työkonekanta!$A$3:$A$24,0),1),"undefined")</f>
        <v>undefined</v>
      </c>
      <c r="E358" s="145">
        <f>IFERROR(INDEX(Työkonekanta!$G$3:$G$27,MATCH($A358,Työkonekanta!$A$3:$A$24,0),1)*INDEX(Työkonekanta!$H$3:$H$27,MATCH($A358,Työkonekanta!$A$3:$A$24,0),1)*(1+s1_kerroin*($C358-2019))*$B358,0)</f>
        <v>0</v>
      </c>
      <c r="F358" s="145">
        <f t="shared" si="94"/>
        <v>0</v>
      </c>
      <c r="G358" s="145">
        <f t="shared" si="100"/>
        <v>0</v>
      </c>
      <c r="H358" s="145">
        <f t="shared" si="101"/>
        <v>0</v>
      </c>
      <c r="I358" s="145">
        <f t="shared" si="95"/>
        <v>0</v>
      </c>
      <c r="J358" s="145">
        <f t="shared" si="96"/>
        <v>0</v>
      </c>
      <c r="K358" s="142" t="str">
        <f t="shared" si="102"/>
        <v>undefined</v>
      </c>
      <c r="L358" s="146">
        <f>IFERROR(INDEX(Työkonekanta!$I$3:$I$27,MATCH('S1 Sähkö'!$A358,Työkonekanta!$A$3:$A$24,0),1)*(I358+J358)*f_adblue,0)</f>
        <v>0</v>
      </c>
      <c r="M358" s="146">
        <f t="shared" si="107"/>
        <v>0</v>
      </c>
      <c r="N358" s="143" t="str">
        <f>IF(tuulisähkö_vuosi&lt;='S1 Sähkö'!C358,"tuulisähkö",ostosähkö_nyt)</f>
        <v>jäännössähkö</v>
      </c>
      <c r="O358" s="147">
        <f>INDEX(Muuttujat!$J$5:$J$21,MATCH($C358,Muuttujat!$H$5:$H$21,0),1)</f>
        <v>61.999687056709845</v>
      </c>
      <c r="P358" s="342">
        <f>1-(INDEX(Muuttujat!$O$5:$O$21,MATCH($C358,Muuttujat!$N$5:$N$21,0),1))</f>
        <v>0.9</v>
      </c>
      <c r="Q358" s="342">
        <f>INDEX(Muuttujat!$O$5:$O$21,MATCH($C358,Muuttujat!$N$5:$N$21,0),1)</f>
        <v>0.1</v>
      </c>
      <c r="R358" s="148">
        <f>INDEX(Muuttujat!$P$5:$P$21,MATCH($C358,Muuttujat!$N$5:$N$21,0),1)</f>
        <v>0.10417875759940039</v>
      </c>
      <c r="S358" s="149">
        <f t="shared" si="97"/>
        <v>0</v>
      </c>
      <c r="T358" s="150">
        <f t="shared" si="98"/>
        <v>0</v>
      </c>
      <c r="U358" s="150">
        <f t="shared" si="99"/>
        <v>0</v>
      </c>
      <c r="V358" s="150">
        <f>IFERROR(INDEX(Työkonekanta!$J$3:$J$27,MATCH($A358,Työkonekanta!$A$3:$A$24,0),1)*$B358*ef_li_ion_akku/1000/1000/INDEX(Työkonekanta!$K$3:$K$27,MATCH($A358,Työkonekanta!$A$3:$A$24,0)),0)</f>
        <v>0</v>
      </c>
      <c r="W358" s="149">
        <f t="shared" si="108"/>
        <v>0</v>
      </c>
      <c r="X358" s="150">
        <f t="shared" si="109"/>
        <v>0</v>
      </c>
      <c r="Y358" s="151">
        <f t="shared" si="110"/>
        <v>0</v>
      </c>
      <c r="Z358" s="152">
        <f t="shared" si="103"/>
        <v>0</v>
      </c>
      <c r="AA358" s="153">
        <f t="shared" si="104"/>
        <v>0</v>
      </c>
      <c r="AB358" s="153">
        <f t="shared" si="105"/>
        <v>0</v>
      </c>
      <c r="AC358" s="154">
        <f t="shared" si="111"/>
        <v>0</v>
      </c>
      <c r="AD358" s="156">
        <f t="shared" si="106"/>
        <v>0</v>
      </c>
      <c r="AE358" s="182"/>
      <c r="AJ358" s="28"/>
      <c r="AK358" s="29"/>
    </row>
    <row r="359" spans="1:37">
      <c r="A359" s="139">
        <v>27</v>
      </c>
      <c r="B359" s="139" cm="1">
        <f t="array" ref="B359">IFERROR(IF(A359=s1_id_korvattava1,INDEX($AG$3:$AG$19,MATCH(C359,$AF$3:$AF$19,0),1),IF(A359=s1_id_korvaava1,INDEX($AH$3:$AH$19,MATCH(C359,$AF$3:$AF$19,0),1),IF(A359=s1_id_korvattava2,INDEX($AI$3:$AI$19,MATCH(C359,$AF$3:$AF$19,0),1),IF(A359=s1_id_korvaava2,INDEX($AJ$3:$AJ$19,MATCH(C359,$AF$3:$AF$19,0),1),INDEX(Työkonekanta!$F$3:$F$27,MATCH('S1 Sähkö'!$A359,Työkonekanta!$A$3:$A$24,0),1))))),0)</f>
        <v>0</v>
      </c>
      <c r="C359" s="140">
        <v>2030</v>
      </c>
      <c r="D359" s="141" t="str">
        <f>IFERROR(INDEX(Työkonekanta!$D$3:$D$27,MATCH('S1 Sähkö'!$A359,Työkonekanta!$A$3:$A$24,0),1),"undefined")</f>
        <v>undefined</v>
      </c>
      <c r="E359" s="145">
        <f>IFERROR(INDEX(Työkonekanta!$G$3:$G$27,MATCH($A359,Työkonekanta!$A$3:$A$24,0),1)*INDEX(Työkonekanta!$H$3:$H$27,MATCH($A359,Työkonekanta!$A$3:$A$24,0),1)*(1+s1_kerroin*($C359-2019))*$B359,0)</f>
        <v>0</v>
      </c>
      <c r="F359" s="145">
        <f t="shared" si="94"/>
        <v>0</v>
      </c>
      <c r="G359" s="145">
        <f t="shared" si="100"/>
        <v>0</v>
      </c>
      <c r="H359" s="145">
        <f t="shared" si="101"/>
        <v>0</v>
      </c>
      <c r="I359" s="145">
        <f t="shared" si="95"/>
        <v>0</v>
      </c>
      <c r="J359" s="145">
        <f t="shared" si="96"/>
        <v>0</v>
      </c>
      <c r="K359" s="142" t="str">
        <f t="shared" si="102"/>
        <v>undefined</v>
      </c>
      <c r="L359" s="146">
        <f>IFERROR(INDEX(Työkonekanta!$I$3:$I$27,MATCH('S1 Sähkö'!$A359,Työkonekanta!$A$3:$A$24,0),1)*(I359+J359)*f_adblue,0)</f>
        <v>0</v>
      </c>
      <c r="M359" s="146">
        <f t="shared" si="107"/>
        <v>0</v>
      </c>
      <c r="N359" s="143" t="str">
        <f>IF(tuulisähkö_vuosi&lt;='S1 Sähkö'!C359,"tuulisähkö",ostosähkö_nyt)</f>
        <v>jäännössähkö</v>
      </c>
      <c r="O359" s="147">
        <f>INDEX(Muuttujat!$J$5:$J$21,MATCH($C359,Muuttujat!$H$5:$H$21,0),1)</f>
        <v>61.999687056709845</v>
      </c>
      <c r="P359" s="342">
        <f>1-(INDEX(Muuttujat!$O$5:$O$21,MATCH($C359,Muuttujat!$N$5:$N$21,0),1))</f>
        <v>0.9</v>
      </c>
      <c r="Q359" s="342">
        <f>INDEX(Muuttujat!$O$5:$O$21,MATCH($C359,Muuttujat!$N$5:$N$21,0),1)</f>
        <v>0.1</v>
      </c>
      <c r="R359" s="148">
        <f>INDEX(Muuttujat!$P$5:$P$21,MATCH($C359,Muuttujat!$N$5:$N$21,0),1)</f>
        <v>0.10417875759940039</v>
      </c>
      <c r="S359" s="149">
        <f t="shared" si="97"/>
        <v>0</v>
      </c>
      <c r="T359" s="150">
        <f t="shared" si="98"/>
        <v>0</v>
      </c>
      <c r="U359" s="150">
        <f t="shared" si="99"/>
        <v>0</v>
      </c>
      <c r="V359" s="150">
        <f>IFERROR(INDEX(Työkonekanta!$J$3:$J$27,MATCH($A359,Työkonekanta!$A$3:$A$24,0),1)*$B359*ef_li_ion_akku/1000/1000/INDEX(Työkonekanta!$K$3:$K$27,MATCH($A359,Työkonekanta!$A$3:$A$24,0)),0)</f>
        <v>0</v>
      </c>
      <c r="W359" s="149">
        <f t="shared" si="108"/>
        <v>0</v>
      </c>
      <c r="X359" s="150">
        <f t="shared" si="109"/>
        <v>0</v>
      </c>
      <c r="Y359" s="151">
        <f t="shared" si="110"/>
        <v>0</v>
      </c>
      <c r="Z359" s="152">
        <f t="shared" si="103"/>
        <v>0</v>
      </c>
      <c r="AA359" s="153">
        <f t="shared" si="104"/>
        <v>0</v>
      </c>
      <c r="AB359" s="153">
        <f t="shared" si="105"/>
        <v>0</v>
      </c>
      <c r="AC359" s="154">
        <f t="shared" si="111"/>
        <v>0</v>
      </c>
      <c r="AD359" s="156">
        <f t="shared" si="106"/>
        <v>0</v>
      </c>
      <c r="AE359" s="182"/>
      <c r="AJ359" s="28"/>
      <c r="AK359" s="29"/>
    </row>
    <row r="360" spans="1:37">
      <c r="A360" s="139">
        <v>28</v>
      </c>
      <c r="B360" s="139" cm="1">
        <f t="array" ref="B360">IFERROR(IF(A360=s1_id_korvattava1,INDEX($AG$3:$AG$19,MATCH(C360,$AF$3:$AF$19,0),1),IF(A360=s1_id_korvaava1,INDEX($AH$3:$AH$19,MATCH(C360,$AF$3:$AF$19,0),1),IF(A360=s1_id_korvattava2,INDEX($AI$3:$AI$19,MATCH(C360,$AF$3:$AF$19,0),1),IF(A360=s1_id_korvaava2,INDEX($AJ$3:$AJ$19,MATCH(C360,$AF$3:$AF$19,0),1),INDEX(Työkonekanta!$F$3:$F$27,MATCH('S1 Sähkö'!$A360,Työkonekanta!$A$3:$A$24,0),1))))),0)</f>
        <v>0</v>
      </c>
      <c r="C360" s="140">
        <v>2030</v>
      </c>
      <c r="D360" s="141" t="str">
        <f>IFERROR(INDEX(Työkonekanta!$D$3:$D$27,MATCH('S1 Sähkö'!$A360,Työkonekanta!$A$3:$A$24,0),1),"undefined")</f>
        <v>undefined</v>
      </c>
      <c r="E360" s="145">
        <f>IFERROR(INDEX(Työkonekanta!$G$3:$G$27,MATCH($A360,Työkonekanta!$A$3:$A$24,0),1)*INDEX(Työkonekanta!$H$3:$H$27,MATCH($A360,Työkonekanta!$A$3:$A$24,0),1)*(1+s1_kerroin*($C360-2019))*$B360,0)</f>
        <v>0</v>
      </c>
      <c r="F360" s="145">
        <f t="shared" si="94"/>
        <v>0</v>
      </c>
      <c r="G360" s="145">
        <f t="shared" si="100"/>
        <v>0</v>
      </c>
      <c r="H360" s="145">
        <f t="shared" si="101"/>
        <v>0</v>
      </c>
      <c r="I360" s="145">
        <f t="shared" si="95"/>
        <v>0</v>
      </c>
      <c r="J360" s="145">
        <f t="shared" si="96"/>
        <v>0</v>
      </c>
      <c r="K360" s="142" t="str">
        <f t="shared" si="102"/>
        <v>undefined</v>
      </c>
      <c r="L360" s="146">
        <f>IFERROR(INDEX(Työkonekanta!$I$3:$I$27,MATCH('S1 Sähkö'!$A360,Työkonekanta!$A$3:$A$24,0),1)*(I360+J360)*f_adblue,0)</f>
        <v>0</v>
      </c>
      <c r="M360" s="146">
        <f t="shared" si="107"/>
        <v>0</v>
      </c>
      <c r="N360" s="143" t="str">
        <f>IF(tuulisähkö_vuosi&lt;='S1 Sähkö'!C360,"tuulisähkö",ostosähkö_nyt)</f>
        <v>jäännössähkö</v>
      </c>
      <c r="O360" s="147">
        <f>INDEX(Muuttujat!$J$5:$J$21,MATCH($C360,Muuttujat!$H$5:$H$21,0),1)</f>
        <v>61.999687056709845</v>
      </c>
      <c r="P360" s="342">
        <f>1-(INDEX(Muuttujat!$O$5:$O$21,MATCH($C360,Muuttujat!$N$5:$N$21,0),1))</f>
        <v>0.9</v>
      </c>
      <c r="Q360" s="342">
        <f>INDEX(Muuttujat!$O$5:$O$21,MATCH($C360,Muuttujat!$N$5:$N$21,0),1)</f>
        <v>0.1</v>
      </c>
      <c r="R360" s="148">
        <f>INDEX(Muuttujat!$P$5:$P$21,MATCH($C360,Muuttujat!$N$5:$N$21,0),1)</f>
        <v>0.10417875759940039</v>
      </c>
      <c r="S360" s="149">
        <f t="shared" si="97"/>
        <v>0</v>
      </c>
      <c r="T360" s="150">
        <f t="shared" si="98"/>
        <v>0</v>
      </c>
      <c r="U360" s="150">
        <f t="shared" si="99"/>
        <v>0</v>
      </c>
      <c r="V360" s="150">
        <f>IFERROR(INDEX(Työkonekanta!$J$3:$J$27,MATCH($A360,Työkonekanta!$A$3:$A$24,0),1)*$B360*ef_li_ion_akku/1000/1000/INDEX(Työkonekanta!$K$3:$K$27,MATCH($A360,Työkonekanta!$A$3:$A$24,0)),0)</f>
        <v>0</v>
      </c>
      <c r="W360" s="149">
        <f t="shared" si="108"/>
        <v>0</v>
      </c>
      <c r="X360" s="150">
        <f t="shared" si="109"/>
        <v>0</v>
      </c>
      <c r="Y360" s="151">
        <f t="shared" si="110"/>
        <v>0</v>
      </c>
      <c r="Z360" s="152">
        <f t="shared" si="103"/>
        <v>0</v>
      </c>
      <c r="AA360" s="153">
        <f t="shared" si="104"/>
        <v>0</v>
      </c>
      <c r="AB360" s="153">
        <f t="shared" si="105"/>
        <v>0</v>
      </c>
      <c r="AC360" s="154">
        <f t="shared" si="111"/>
        <v>0</v>
      </c>
      <c r="AD360" s="156">
        <f t="shared" si="106"/>
        <v>0</v>
      </c>
      <c r="AE360" s="182"/>
      <c r="AJ360" s="28"/>
      <c r="AK360" s="29"/>
    </row>
    <row r="361" spans="1:37">
      <c r="A361" s="139">
        <v>29</v>
      </c>
      <c r="B361" s="139" cm="1">
        <f t="array" ref="B361">IFERROR(IF(A361=s1_id_korvattava1,INDEX($AG$3:$AG$19,MATCH(C361,$AF$3:$AF$19,0),1),IF(A361=s1_id_korvaava1,INDEX($AH$3:$AH$19,MATCH(C361,$AF$3:$AF$19,0),1),IF(A361=s1_id_korvattava2,INDEX($AI$3:$AI$19,MATCH(C361,$AF$3:$AF$19,0),1),IF(A361=s1_id_korvaava2,INDEX($AJ$3:$AJ$19,MATCH(C361,$AF$3:$AF$19,0),1),INDEX(Työkonekanta!$F$3:$F$27,MATCH('S1 Sähkö'!$A361,Työkonekanta!$A$3:$A$24,0),1))))),0)</f>
        <v>0</v>
      </c>
      <c r="C361" s="140">
        <v>2030</v>
      </c>
      <c r="D361" s="141" t="str">
        <f>IFERROR(INDEX(Työkonekanta!$D$3:$D$27,MATCH('S1 Sähkö'!$A361,Työkonekanta!$A$3:$A$24,0),1),"undefined")</f>
        <v>undefined</v>
      </c>
      <c r="E361" s="145">
        <f>IFERROR(INDEX(Työkonekanta!$G$3:$G$27,MATCH($A361,Työkonekanta!$A$3:$A$24,0),1)*INDEX(Työkonekanta!$H$3:$H$27,MATCH($A361,Työkonekanta!$A$3:$A$24,0),1)*(1+s1_kerroin*($C361-2019))*$B361,0)</f>
        <v>0</v>
      </c>
      <c r="F361" s="145">
        <f t="shared" si="94"/>
        <v>0</v>
      </c>
      <c r="G361" s="145">
        <f t="shared" si="100"/>
        <v>0</v>
      </c>
      <c r="H361" s="145">
        <f t="shared" si="101"/>
        <v>0</v>
      </c>
      <c r="I361" s="145">
        <f t="shared" si="95"/>
        <v>0</v>
      </c>
      <c r="J361" s="145">
        <f t="shared" si="96"/>
        <v>0</v>
      </c>
      <c r="K361" s="142" t="str">
        <f t="shared" si="102"/>
        <v>undefined</v>
      </c>
      <c r="L361" s="146">
        <f>IFERROR(INDEX(Työkonekanta!$I$3:$I$27,MATCH('S1 Sähkö'!$A361,Työkonekanta!$A$3:$A$24,0),1)*(I361+J361)*f_adblue,0)</f>
        <v>0</v>
      </c>
      <c r="M361" s="146">
        <f t="shared" si="107"/>
        <v>0</v>
      </c>
      <c r="N361" s="143" t="str">
        <f>IF(tuulisähkö_vuosi&lt;='S1 Sähkö'!C361,"tuulisähkö",ostosähkö_nyt)</f>
        <v>jäännössähkö</v>
      </c>
      <c r="O361" s="147">
        <f>INDEX(Muuttujat!$J$5:$J$21,MATCH($C361,Muuttujat!$H$5:$H$21,0),1)</f>
        <v>61.999687056709845</v>
      </c>
      <c r="P361" s="342">
        <f>1-(INDEX(Muuttujat!$O$5:$O$21,MATCH($C361,Muuttujat!$N$5:$N$21,0),1))</f>
        <v>0.9</v>
      </c>
      <c r="Q361" s="342">
        <f>INDEX(Muuttujat!$O$5:$O$21,MATCH($C361,Muuttujat!$N$5:$N$21,0),1)</f>
        <v>0.1</v>
      </c>
      <c r="R361" s="148">
        <f>INDEX(Muuttujat!$P$5:$P$21,MATCH($C361,Muuttujat!$N$5:$N$21,0),1)</f>
        <v>0.10417875759940039</v>
      </c>
      <c r="S361" s="149">
        <f t="shared" si="97"/>
        <v>0</v>
      </c>
      <c r="T361" s="150">
        <f t="shared" si="98"/>
        <v>0</v>
      </c>
      <c r="U361" s="150">
        <f t="shared" si="99"/>
        <v>0</v>
      </c>
      <c r="V361" s="150">
        <f>IFERROR(INDEX(Työkonekanta!$J$3:$J$27,MATCH($A361,Työkonekanta!$A$3:$A$24,0),1)*$B361*ef_li_ion_akku/1000/1000/INDEX(Työkonekanta!$K$3:$K$27,MATCH($A361,Työkonekanta!$A$3:$A$24,0)),0)</f>
        <v>0</v>
      </c>
      <c r="W361" s="149">
        <f t="shared" si="108"/>
        <v>0</v>
      </c>
      <c r="X361" s="150">
        <f t="shared" si="109"/>
        <v>0</v>
      </c>
      <c r="Y361" s="151">
        <f t="shared" si="110"/>
        <v>0</v>
      </c>
      <c r="Z361" s="152">
        <f t="shared" si="103"/>
        <v>0</v>
      </c>
      <c r="AA361" s="153">
        <f t="shared" si="104"/>
        <v>0</v>
      </c>
      <c r="AB361" s="153">
        <f t="shared" si="105"/>
        <v>0</v>
      </c>
      <c r="AC361" s="154">
        <f t="shared" si="111"/>
        <v>0</v>
      </c>
      <c r="AD361" s="156">
        <f t="shared" si="106"/>
        <v>0</v>
      </c>
      <c r="AE361" s="182"/>
      <c r="AJ361" s="28"/>
      <c r="AK361" s="29"/>
    </row>
    <row r="362" spans="1:37">
      <c r="A362" s="139">
        <v>30</v>
      </c>
      <c r="B362" s="139" cm="1">
        <f t="array" ref="B362">IFERROR(IF(A362=s1_id_korvattava1,INDEX($AG$3:$AG$19,MATCH(C362,$AF$3:$AF$19,0),1),IF(A362=s1_id_korvaava1,INDEX($AH$3:$AH$19,MATCH(C362,$AF$3:$AF$19,0),1),IF(A362=s1_id_korvattava2,INDEX($AI$3:$AI$19,MATCH(C362,$AF$3:$AF$19,0),1),IF(A362=s1_id_korvaava2,INDEX($AJ$3:$AJ$19,MATCH(C362,$AF$3:$AF$19,0),1),INDEX(Työkonekanta!$F$3:$F$27,MATCH('S1 Sähkö'!$A362,Työkonekanta!$A$3:$A$24,0),1))))),0)</f>
        <v>0</v>
      </c>
      <c r="C362" s="140">
        <v>2030</v>
      </c>
      <c r="D362" s="141" t="str">
        <f>IFERROR(INDEX(Työkonekanta!$D$3:$D$27,MATCH('S1 Sähkö'!$A362,Työkonekanta!$A$3:$A$24,0),1),"undefined")</f>
        <v>undefined</v>
      </c>
      <c r="E362" s="145">
        <f>IFERROR(INDEX(Työkonekanta!$G$3:$G$27,MATCH($A362,Työkonekanta!$A$3:$A$24,0),1)*INDEX(Työkonekanta!$H$3:$H$27,MATCH($A362,Työkonekanta!$A$3:$A$24,0),1)*(1+s1_kerroin*($C362-2019))*$B362,0)</f>
        <v>0</v>
      </c>
      <c r="F362" s="145">
        <f t="shared" si="94"/>
        <v>0</v>
      </c>
      <c r="G362" s="145">
        <f t="shared" si="100"/>
        <v>0</v>
      </c>
      <c r="H362" s="145">
        <f t="shared" si="101"/>
        <v>0</v>
      </c>
      <c r="I362" s="145">
        <f t="shared" si="95"/>
        <v>0</v>
      </c>
      <c r="J362" s="145">
        <f t="shared" si="96"/>
        <v>0</v>
      </c>
      <c r="K362" s="142" t="str">
        <f t="shared" si="102"/>
        <v>undefined</v>
      </c>
      <c r="L362" s="146">
        <f>IFERROR(INDEX(Työkonekanta!$I$3:$I$27,MATCH('S1 Sähkö'!$A362,Työkonekanta!$A$3:$A$24,0),1)*(I362+J362)*f_adblue,0)</f>
        <v>0</v>
      </c>
      <c r="M362" s="146">
        <f t="shared" si="107"/>
        <v>0</v>
      </c>
      <c r="N362" s="143" t="str">
        <f>IF(tuulisähkö_vuosi&lt;='S1 Sähkö'!C362,"tuulisähkö",ostosähkö_nyt)</f>
        <v>jäännössähkö</v>
      </c>
      <c r="O362" s="147">
        <f>INDEX(Muuttujat!$J$5:$J$21,MATCH($C362,Muuttujat!$H$5:$H$21,0),1)</f>
        <v>61.999687056709845</v>
      </c>
      <c r="P362" s="342">
        <f>1-(INDEX(Muuttujat!$O$5:$O$21,MATCH($C362,Muuttujat!$N$5:$N$21,0),1))</f>
        <v>0.9</v>
      </c>
      <c r="Q362" s="342">
        <f>INDEX(Muuttujat!$O$5:$O$21,MATCH($C362,Muuttujat!$N$5:$N$21,0),1)</f>
        <v>0.1</v>
      </c>
      <c r="R362" s="148">
        <f>INDEX(Muuttujat!$P$5:$P$21,MATCH($C362,Muuttujat!$N$5:$N$21,0),1)</f>
        <v>0.10417875759940039</v>
      </c>
      <c r="S362" s="149">
        <f t="shared" si="97"/>
        <v>0</v>
      </c>
      <c r="T362" s="150">
        <f t="shared" si="98"/>
        <v>0</v>
      </c>
      <c r="U362" s="150">
        <f t="shared" si="99"/>
        <v>0</v>
      </c>
      <c r="V362" s="150">
        <f>IFERROR(INDEX(Työkonekanta!$J$3:$J$27,MATCH($A362,Työkonekanta!$A$3:$A$24,0),1)*$B362*ef_li_ion_akku/1000/1000/INDEX(Työkonekanta!$K$3:$K$27,MATCH($A362,Työkonekanta!$A$3:$A$24,0)),0)</f>
        <v>0</v>
      </c>
      <c r="W362" s="149">
        <f t="shared" si="108"/>
        <v>0</v>
      </c>
      <c r="X362" s="150">
        <f t="shared" si="109"/>
        <v>0</v>
      </c>
      <c r="Y362" s="151">
        <f t="shared" si="110"/>
        <v>0</v>
      </c>
      <c r="Z362" s="152">
        <f t="shared" si="103"/>
        <v>0</v>
      </c>
      <c r="AA362" s="153">
        <f t="shared" si="104"/>
        <v>0</v>
      </c>
      <c r="AB362" s="153">
        <f t="shared" si="105"/>
        <v>0</v>
      </c>
      <c r="AC362" s="154">
        <f t="shared" si="111"/>
        <v>0</v>
      </c>
      <c r="AD362" s="156">
        <f t="shared" si="106"/>
        <v>0</v>
      </c>
      <c r="AE362" s="182"/>
      <c r="AJ362" s="28"/>
      <c r="AK362" s="29"/>
    </row>
    <row r="363" spans="1:37">
      <c r="A363" s="139">
        <v>1</v>
      </c>
      <c r="B363" s="139" cm="1">
        <f t="array" ref="B363">IFERROR(IF(A363=s1_id_korvattava1,INDEX($AG$3:$AG$19,MATCH(C363,$AF$3:$AF$19,0),1),IF(A363=s1_id_korvaava1,INDEX($AH$3:$AH$19,MATCH(C363,$AF$3:$AF$19,0),1),IF(A363=s1_id_korvattava2,INDEX($AI$3:$AI$19,MATCH(C363,$AF$3:$AF$19,0),1),IF(A363=s1_id_korvaava2,INDEX($AJ$3:$AJ$19,MATCH(C363,$AF$3:$AF$19,0),1),INDEX(Työkonekanta!$F$3:$F$27,MATCH('S1 Sähkö'!$A363,Työkonekanta!$A$3:$A$24,0),1))))),0)</f>
        <v>1</v>
      </c>
      <c r="C363" s="140">
        <v>2031</v>
      </c>
      <c r="D363" s="141" t="str">
        <f>IFERROR(INDEX(Työkonekanta!$D$3:$D$27,MATCH('S1 Sähkö'!$A363,Työkonekanta!$A$3:$A$24,0),1),"undefined")</f>
        <v>pom</v>
      </c>
      <c r="E363" s="145">
        <f>IFERROR(INDEX(Työkonekanta!$G$3:$G$27,MATCH($A363,Työkonekanta!$A$3:$A$24,0),1)*INDEX(Työkonekanta!$H$3:$H$27,MATCH($A363,Työkonekanta!$A$3:$A$24,0),1)*(1+s1_kerroin*($C363-2019))*$B363,0)</f>
        <v>11200.000000000002</v>
      </c>
      <c r="F363" s="145">
        <f t="shared" si="94"/>
        <v>402080.00000000006</v>
      </c>
      <c r="G363" s="145">
        <f t="shared" si="100"/>
        <v>361872.00000000006</v>
      </c>
      <c r="H363" s="145">
        <f t="shared" si="101"/>
        <v>40208.000000000007</v>
      </c>
      <c r="I363" s="145">
        <f t="shared" si="95"/>
        <v>10080.000000000002</v>
      </c>
      <c r="J363" s="145">
        <f t="shared" si="96"/>
        <v>1172.2448979591841</v>
      </c>
      <c r="K363" s="142" t="str">
        <f t="shared" si="102"/>
        <v>l</v>
      </c>
      <c r="L363" s="146">
        <f>IFERROR(INDEX(Työkonekanta!$I$3:$I$27,MATCH('S1 Sähkö'!$A363,Työkonekanta!$A$3:$A$24,0),1)*(I363+J363)*f_adblue,0)</f>
        <v>562.61224489795939</v>
      </c>
      <c r="M363" s="146">
        <f t="shared" si="107"/>
        <v>0</v>
      </c>
      <c r="N363" s="143" t="str">
        <f>IF(tuulisähkö_vuosi&lt;='S1 Sähkö'!C363,"tuulisähkö",ostosähkö_nyt)</f>
        <v>jäännössähkö</v>
      </c>
      <c r="O363" s="147">
        <f>INDEX(Muuttujat!$J$5:$J$21,MATCH($C363,Muuttujat!$H$5:$H$21,0),1)</f>
        <v>61.379690186142746</v>
      </c>
      <c r="P363" s="342">
        <f>1-(INDEX(Muuttujat!$O$5:$O$21,MATCH($C363,Muuttujat!$N$5:$N$21,0),1))</f>
        <v>0.9</v>
      </c>
      <c r="Q363" s="342">
        <f>INDEX(Muuttujat!$O$5:$O$21,MATCH($C363,Muuttujat!$N$5:$N$21,0),1)</f>
        <v>0.1</v>
      </c>
      <c r="R363" s="148">
        <f>INDEX(Muuttujat!$P$5:$P$21,MATCH($C363,Muuttujat!$N$5:$N$21,0),1)</f>
        <v>0.10417875759940039</v>
      </c>
      <c r="S363" s="149">
        <f t="shared" si="97"/>
        <v>6.8393808000000007</v>
      </c>
      <c r="T363" s="150">
        <f t="shared" si="98"/>
        <v>2.5089792000000002</v>
      </c>
      <c r="U363" s="150">
        <f t="shared" si="99"/>
        <v>0</v>
      </c>
      <c r="V363" s="150">
        <f>IFERROR(INDEX(Työkonekanta!$J$3:$J$27,MATCH($A363,Työkonekanta!$A$3:$A$24,0),1)*$B363*ef_li_ion_akku/1000/1000/INDEX(Työkonekanta!$K$3:$K$27,MATCH($A363,Työkonekanta!$A$3:$A$24,0)),0)</f>
        <v>0</v>
      </c>
      <c r="W363" s="149">
        <f t="shared" si="108"/>
        <v>26.709140592288009</v>
      </c>
      <c r="X363" s="150">
        <f t="shared" si="109"/>
        <v>0.35587513920000002</v>
      </c>
      <c r="Y363" s="151">
        <f t="shared" si="110"/>
        <v>0.14627918367346945</v>
      </c>
      <c r="Z363" s="152">
        <f t="shared" si="103"/>
        <v>9.3483600000000013</v>
      </c>
      <c r="AA363" s="153">
        <f t="shared" si="104"/>
        <v>26.855419775961479</v>
      </c>
      <c r="AB363" s="153">
        <f t="shared" si="105"/>
        <v>27.211294915161478</v>
      </c>
      <c r="AC363" s="154">
        <f t="shared" si="111"/>
        <v>36.203779775961479</v>
      </c>
      <c r="AD363" s="156">
        <f t="shared" si="106"/>
        <v>36.559654915161481</v>
      </c>
      <c r="AE363" s="182"/>
      <c r="AG363" s="2"/>
    </row>
    <row r="364" spans="1:37">
      <c r="A364" s="139">
        <v>2</v>
      </c>
      <c r="B364" s="139" cm="1">
        <f t="array" ref="B364">IFERROR(IF(A364=s1_id_korvattava1,INDEX($AG$3:$AG$19,MATCH(C364,$AF$3:$AF$19,0),1),IF(A364=s1_id_korvaava1,INDEX($AH$3:$AH$19,MATCH(C364,$AF$3:$AF$19,0),1),IF(A364=s1_id_korvattava2,INDEX($AI$3:$AI$19,MATCH(C364,$AF$3:$AF$19,0),1),IF(A364=s1_id_korvaava2,INDEX($AJ$3:$AJ$19,MATCH(C364,$AF$3:$AF$19,0),1),INDEX(Työkonekanta!$F$3:$F$27,MATCH('S1 Sähkö'!$A364,Työkonekanta!$A$3:$A$24,0),1))))),0)</f>
        <v>1</v>
      </c>
      <c r="C364" s="140">
        <v>2031</v>
      </c>
      <c r="D364" s="141" t="str">
        <f>IFERROR(INDEX(Työkonekanta!$D$3:$D$27,MATCH('S1 Sähkö'!$A364,Työkonekanta!$A$3:$A$24,0),1),"undefined")</f>
        <v>pom</v>
      </c>
      <c r="E364" s="145">
        <f>IFERROR(INDEX(Työkonekanta!$G$3:$G$27,MATCH($A364,Työkonekanta!$A$3:$A$24,0),1)*INDEX(Työkonekanta!$H$3:$H$27,MATCH($A364,Työkonekanta!$A$3:$A$24,0),1)*(1+s1_kerroin*($C364-2019))*$B364,0)</f>
        <v>11200.000000000002</v>
      </c>
      <c r="F364" s="145">
        <f t="shared" si="94"/>
        <v>402080.00000000006</v>
      </c>
      <c r="G364" s="145">
        <f t="shared" si="100"/>
        <v>361872.00000000006</v>
      </c>
      <c r="H364" s="145">
        <f t="shared" si="101"/>
        <v>40208.000000000007</v>
      </c>
      <c r="I364" s="145">
        <f t="shared" si="95"/>
        <v>10080.000000000002</v>
      </c>
      <c r="J364" s="145">
        <f t="shared" si="96"/>
        <v>1172.2448979591841</v>
      </c>
      <c r="K364" s="142" t="str">
        <f t="shared" si="102"/>
        <v>l</v>
      </c>
      <c r="L364" s="146">
        <f>IFERROR(INDEX(Työkonekanta!$I$3:$I$27,MATCH('S1 Sähkö'!$A364,Työkonekanta!$A$3:$A$24,0),1)*(I364+J364)*f_adblue,0)</f>
        <v>562.61224489795939</v>
      </c>
      <c r="M364" s="146">
        <f t="shared" si="107"/>
        <v>0</v>
      </c>
      <c r="N364" s="143" t="str">
        <f>IF(tuulisähkö_vuosi&lt;='S1 Sähkö'!C364,"tuulisähkö",ostosähkö_nyt)</f>
        <v>jäännössähkö</v>
      </c>
      <c r="O364" s="147">
        <f>INDEX(Muuttujat!$J$5:$J$21,MATCH($C364,Muuttujat!$H$5:$H$21,0),1)</f>
        <v>61.379690186142746</v>
      </c>
      <c r="P364" s="342">
        <f>1-(INDEX(Muuttujat!$O$5:$O$21,MATCH($C364,Muuttujat!$N$5:$N$21,0),1))</f>
        <v>0.9</v>
      </c>
      <c r="Q364" s="342">
        <f>INDEX(Muuttujat!$O$5:$O$21,MATCH($C364,Muuttujat!$N$5:$N$21,0),1)</f>
        <v>0.1</v>
      </c>
      <c r="R364" s="148">
        <f>INDEX(Muuttujat!$P$5:$P$21,MATCH($C364,Muuttujat!$N$5:$N$21,0),1)</f>
        <v>0.10417875759940039</v>
      </c>
      <c r="S364" s="149">
        <f t="shared" si="97"/>
        <v>6.8393808000000007</v>
      </c>
      <c r="T364" s="150">
        <f t="shared" si="98"/>
        <v>2.5089792000000002</v>
      </c>
      <c r="U364" s="150">
        <f t="shared" si="99"/>
        <v>0</v>
      </c>
      <c r="V364" s="150">
        <f>IFERROR(INDEX(Työkonekanta!$J$3:$J$27,MATCH($A364,Työkonekanta!$A$3:$A$24,0),1)*$B364*ef_li_ion_akku/1000/1000/INDEX(Työkonekanta!$K$3:$K$27,MATCH($A364,Työkonekanta!$A$3:$A$24,0)),0)</f>
        <v>0</v>
      </c>
      <c r="W364" s="149">
        <f t="shared" si="108"/>
        <v>26.709140592288009</v>
      </c>
      <c r="X364" s="150">
        <f t="shared" si="109"/>
        <v>0.35587513920000002</v>
      </c>
      <c r="Y364" s="151">
        <f t="shared" si="110"/>
        <v>0.14627918367346945</v>
      </c>
      <c r="Z364" s="152">
        <f t="shared" si="103"/>
        <v>9.3483600000000013</v>
      </c>
      <c r="AA364" s="153">
        <f t="shared" si="104"/>
        <v>26.855419775961479</v>
      </c>
      <c r="AB364" s="153">
        <f t="shared" si="105"/>
        <v>27.211294915161478</v>
      </c>
      <c r="AC364" s="154">
        <f t="shared" si="111"/>
        <v>36.203779775961479</v>
      </c>
      <c r="AD364" s="156">
        <f t="shared" si="106"/>
        <v>36.559654915161481</v>
      </c>
      <c r="AE364" s="182"/>
      <c r="AG364" s="2"/>
    </row>
    <row r="365" spans="1:37">
      <c r="A365" s="139">
        <v>3</v>
      </c>
      <c r="B365" s="139" cm="1">
        <f t="array" ref="B365">IFERROR(IF(A365=s1_id_korvattava1,INDEX($AG$3:$AG$19,MATCH(C365,$AF$3:$AF$19,0),1),IF(A365=s1_id_korvaava1,INDEX($AH$3:$AH$19,MATCH(C365,$AF$3:$AF$19,0),1),IF(A365=s1_id_korvattava2,INDEX($AI$3:$AI$19,MATCH(C365,$AF$3:$AF$19,0),1),IF(A365=s1_id_korvaava2,INDEX($AJ$3:$AJ$19,MATCH(C365,$AF$3:$AF$19,0),1),INDEX(Työkonekanta!$F$3:$F$27,MATCH('S1 Sähkö'!$A365,Työkonekanta!$A$3:$A$24,0),1))))),0)</f>
        <v>1</v>
      </c>
      <c r="C365" s="140">
        <v>2031</v>
      </c>
      <c r="D365" s="141" t="str">
        <f>IFERROR(INDEX(Työkonekanta!$D$3:$D$27,MATCH('S1 Sähkö'!$A365,Työkonekanta!$A$3:$A$24,0),1),"undefined")</f>
        <v>pom</v>
      </c>
      <c r="E365" s="145">
        <f>IFERROR(INDEX(Työkonekanta!$G$3:$G$27,MATCH($A365,Työkonekanta!$A$3:$A$24,0),1)*INDEX(Työkonekanta!$H$3:$H$27,MATCH($A365,Työkonekanta!$A$3:$A$24,0),1)*(1+s1_kerroin*($C365-2019))*$B365,0)</f>
        <v>11200.000000000002</v>
      </c>
      <c r="F365" s="145">
        <f t="shared" si="94"/>
        <v>402080.00000000006</v>
      </c>
      <c r="G365" s="145">
        <f t="shared" si="100"/>
        <v>361872.00000000006</v>
      </c>
      <c r="H365" s="145">
        <f t="shared" si="101"/>
        <v>40208.000000000007</v>
      </c>
      <c r="I365" s="145">
        <f t="shared" si="95"/>
        <v>10080.000000000002</v>
      </c>
      <c r="J365" s="145">
        <f t="shared" si="96"/>
        <v>1172.2448979591841</v>
      </c>
      <c r="K365" s="142" t="str">
        <f t="shared" si="102"/>
        <v>l</v>
      </c>
      <c r="L365" s="146">
        <f>IFERROR(INDEX(Työkonekanta!$I$3:$I$27,MATCH('S1 Sähkö'!$A365,Työkonekanta!$A$3:$A$24,0),1)*(I365+J365)*f_adblue,0)</f>
        <v>562.61224489795939</v>
      </c>
      <c r="M365" s="146">
        <f t="shared" si="107"/>
        <v>0</v>
      </c>
      <c r="N365" s="143" t="str">
        <f>IF(tuulisähkö_vuosi&lt;='S1 Sähkö'!C365,"tuulisähkö",ostosähkö_nyt)</f>
        <v>jäännössähkö</v>
      </c>
      <c r="O365" s="147">
        <f>INDEX(Muuttujat!$J$5:$J$21,MATCH($C365,Muuttujat!$H$5:$H$21,0),1)</f>
        <v>61.379690186142746</v>
      </c>
      <c r="P365" s="342">
        <f>1-(INDEX(Muuttujat!$O$5:$O$21,MATCH($C365,Muuttujat!$N$5:$N$21,0),1))</f>
        <v>0.9</v>
      </c>
      <c r="Q365" s="342">
        <f>INDEX(Muuttujat!$O$5:$O$21,MATCH($C365,Muuttujat!$N$5:$N$21,0),1)</f>
        <v>0.1</v>
      </c>
      <c r="R365" s="148">
        <f>INDEX(Muuttujat!$P$5:$P$21,MATCH($C365,Muuttujat!$N$5:$N$21,0),1)</f>
        <v>0.10417875759940039</v>
      </c>
      <c r="S365" s="149">
        <f t="shared" si="97"/>
        <v>6.8393808000000007</v>
      </c>
      <c r="T365" s="150">
        <f t="shared" si="98"/>
        <v>2.5089792000000002</v>
      </c>
      <c r="U365" s="150">
        <f t="shared" si="99"/>
        <v>0</v>
      </c>
      <c r="V365" s="150">
        <f>IFERROR(INDEX(Työkonekanta!$J$3:$J$27,MATCH($A365,Työkonekanta!$A$3:$A$24,0),1)*$B365*ef_li_ion_akku/1000/1000/INDEX(Työkonekanta!$K$3:$K$27,MATCH($A365,Työkonekanta!$A$3:$A$24,0)),0)</f>
        <v>0</v>
      </c>
      <c r="W365" s="149">
        <f t="shared" si="108"/>
        <v>26.709140592288009</v>
      </c>
      <c r="X365" s="150">
        <f t="shared" si="109"/>
        <v>0.35587513920000002</v>
      </c>
      <c r="Y365" s="151">
        <f t="shared" si="110"/>
        <v>0.14627918367346945</v>
      </c>
      <c r="Z365" s="152">
        <f t="shared" si="103"/>
        <v>9.3483600000000013</v>
      </c>
      <c r="AA365" s="153">
        <f t="shared" si="104"/>
        <v>26.855419775961479</v>
      </c>
      <c r="AB365" s="153">
        <f t="shared" si="105"/>
        <v>27.211294915161478</v>
      </c>
      <c r="AC365" s="154">
        <f t="shared" si="111"/>
        <v>36.203779775961479</v>
      </c>
      <c r="AD365" s="156">
        <f t="shared" si="106"/>
        <v>36.559654915161481</v>
      </c>
      <c r="AE365" s="182"/>
      <c r="AG365" s="2"/>
    </row>
    <row r="366" spans="1:37">
      <c r="A366" s="139">
        <v>4</v>
      </c>
      <c r="B366" s="139" cm="1">
        <f t="array" ref="B366">IFERROR(IF(A366=s1_id_korvattava1,INDEX($AG$3:$AG$19,MATCH(C366,$AF$3:$AF$19,0),1),IF(A366=s1_id_korvaava1,INDEX($AH$3:$AH$19,MATCH(C366,$AF$3:$AF$19,0),1),IF(A366=s1_id_korvattava2,INDEX($AI$3:$AI$19,MATCH(C366,$AF$3:$AF$19,0),1),IF(A366=s1_id_korvaava2,INDEX($AJ$3:$AJ$19,MATCH(C366,$AF$3:$AF$19,0),1),INDEX(Työkonekanta!$F$3:$F$27,MATCH('S1 Sähkö'!$A366,Työkonekanta!$A$3:$A$24,0),1))))),0)</f>
        <v>1</v>
      </c>
      <c r="C366" s="140">
        <v>2031</v>
      </c>
      <c r="D366" s="141" t="str">
        <f>IFERROR(INDEX(Työkonekanta!$D$3:$D$27,MATCH('S1 Sähkö'!$A366,Työkonekanta!$A$3:$A$24,0),1),"undefined")</f>
        <v>pom</v>
      </c>
      <c r="E366" s="145">
        <f>IFERROR(INDEX(Työkonekanta!$G$3:$G$27,MATCH($A366,Työkonekanta!$A$3:$A$24,0),1)*INDEX(Työkonekanta!$H$3:$H$27,MATCH($A366,Työkonekanta!$A$3:$A$24,0),1)*(1+s1_kerroin*($C366-2019))*$B366,0)</f>
        <v>11200.000000000002</v>
      </c>
      <c r="F366" s="145">
        <f t="shared" si="94"/>
        <v>402080.00000000006</v>
      </c>
      <c r="G366" s="145">
        <f t="shared" si="100"/>
        <v>361872.00000000006</v>
      </c>
      <c r="H366" s="145">
        <f t="shared" si="101"/>
        <v>40208.000000000007</v>
      </c>
      <c r="I366" s="145">
        <f t="shared" si="95"/>
        <v>10080.000000000002</v>
      </c>
      <c r="J366" s="145">
        <f t="shared" si="96"/>
        <v>1172.2448979591841</v>
      </c>
      <c r="K366" s="142" t="str">
        <f t="shared" si="102"/>
        <v>l</v>
      </c>
      <c r="L366" s="146">
        <f>IFERROR(INDEX(Työkonekanta!$I$3:$I$27,MATCH('S1 Sähkö'!$A366,Työkonekanta!$A$3:$A$24,0),1)*(I366+J366)*f_adblue,0)</f>
        <v>562.61224489795939</v>
      </c>
      <c r="M366" s="146">
        <f t="shared" si="107"/>
        <v>0</v>
      </c>
      <c r="N366" s="143" t="str">
        <f>IF(tuulisähkö_vuosi&lt;='S1 Sähkö'!C366,"tuulisähkö",ostosähkö_nyt)</f>
        <v>jäännössähkö</v>
      </c>
      <c r="O366" s="147">
        <f>INDEX(Muuttujat!$J$5:$J$21,MATCH($C366,Muuttujat!$H$5:$H$21,0),1)</f>
        <v>61.379690186142746</v>
      </c>
      <c r="P366" s="342">
        <f>1-(INDEX(Muuttujat!$O$5:$O$21,MATCH($C366,Muuttujat!$N$5:$N$21,0),1))</f>
        <v>0.9</v>
      </c>
      <c r="Q366" s="342">
        <f>INDEX(Muuttujat!$O$5:$O$21,MATCH($C366,Muuttujat!$N$5:$N$21,0),1)</f>
        <v>0.1</v>
      </c>
      <c r="R366" s="148">
        <f>INDEX(Muuttujat!$P$5:$P$21,MATCH($C366,Muuttujat!$N$5:$N$21,0),1)</f>
        <v>0.10417875759940039</v>
      </c>
      <c r="S366" s="149">
        <f t="shared" si="97"/>
        <v>6.8393808000000007</v>
      </c>
      <c r="T366" s="150">
        <f t="shared" si="98"/>
        <v>2.5089792000000002</v>
      </c>
      <c r="U366" s="150">
        <f t="shared" si="99"/>
        <v>0</v>
      </c>
      <c r="V366" s="150">
        <f>IFERROR(INDEX(Työkonekanta!$J$3:$J$27,MATCH($A366,Työkonekanta!$A$3:$A$24,0),1)*$B366*ef_li_ion_akku/1000/1000/INDEX(Työkonekanta!$K$3:$K$27,MATCH($A366,Työkonekanta!$A$3:$A$24,0)),0)</f>
        <v>0</v>
      </c>
      <c r="W366" s="149">
        <f t="shared" si="108"/>
        <v>26.709140592288009</v>
      </c>
      <c r="X366" s="150">
        <f t="shared" si="109"/>
        <v>0.35587513920000002</v>
      </c>
      <c r="Y366" s="151">
        <f t="shared" si="110"/>
        <v>0.14627918367346945</v>
      </c>
      <c r="Z366" s="152">
        <f t="shared" si="103"/>
        <v>9.3483600000000013</v>
      </c>
      <c r="AA366" s="153">
        <f t="shared" si="104"/>
        <v>26.855419775961479</v>
      </c>
      <c r="AB366" s="153">
        <f t="shared" si="105"/>
        <v>27.211294915161478</v>
      </c>
      <c r="AC366" s="154">
        <f t="shared" si="111"/>
        <v>36.203779775961479</v>
      </c>
      <c r="AD366" s="156">
        <f t="shared" si="106"/>
        <v>36.559654915161481</v>
      </c>
      <c r="AE366" s="182"/>
      <c r="AG366" s="2"/>
    </row>
    <row r="367" spans="1:37">
      <c r="A367" s="139">
        <v>5</v>
      </c>
      <c r="B367" s="139" cm="1">
        <f t="array" ref="B367">IFERROR(IF(A367=s1_id_korvattava1,INDEX($AG$3:$AG$19,MATCH(C367,$AF$3:$AF$19,0),1),IF(A367=s1_id_korvaava1,INDEX($AH$3:$AH$19,MATCH(C367,$AF$3:$AF$19,0),1),IF(A367=s1_id_korvattava2,INDEX($AI$3:$AI$19,MATCH(C367,$AF$3:$AF$19,0),1),IF(A367=s1_id_korvaava2,INDEX($AJ$3:$AJ$19,MATCH(C367,$AF$3:$AF$19,0),1),INDEX(Työkonekanta!$F$3:$F$27,MATCH('S1 Sähkö'!$A367,Työkonekanta!$A$3:$A$24,0),1))))),0)</f>
        <v>0</v>
      </c>
      <c r="C367" s="140">
        <v>2031</v>
      </c>
      <c r="D367" s="141" t="str">
        <f>IFERROR(INDEX(Työkonekanta!$D$3:$D$27,MATCH('S1 Sähkö'!$A367,Työkonekanta!$A$3:$A$24,0),1),"undefined")</f>
        <v>sähkö</v>
      </c>
      <c r="E367" s="145">
        <f>IFERROR(INDEX(Työkonekanta!$G$3:$G$27,MATCH($A367,Työkonekanta!$A$3:$A$24,0),1)*INDEX(Työkonekanta!$H$3:$H$27,MATCH($A367,Työkonekanta!$A$3:$A$24,0),1)*(1+s1_kerroin*($C367-2019))*$B367,0)</f>
        <v>0</v>
      </c>
      <c r="F367" s="145">
        <f t="shared" si="94"/>
        <v>0</v>
      </c>
      <c r="G367" s="145">
        <f t="shared" si="100"/>
        <v>0</v>
      </c>
      <c r="H367" s="145">
        <f t="shared" si="101"/>
        <v>0</v>
      </c>
      <c r="I367" s="145">
        <f t="shared" si="95"/>
        <v>0</v>
      </c>
      <c r="J367" s="145">
        <f t="shared" si="96"/>
        <v>0</v>
      </c>
      <c r="K367" s="142" t="str">
        <f t="shared" si="102"/>
        <v>kWh</v>
      </c>
      <c r="L367" s="146">
        <f>IFERROR(INDEX(Työkonekanta!$I$3:$I$27,MATCH('S1 Sähkö'!$A367,Työkonekanta!$A$3:$A$24,0),1)*(I367+J367)*f_adblue,0)</f>
        <v>0</v>
      </c>
      <c r="M367" s="146">
        <f t="shared" si="107"/>
        <v>0</v>
      </c>
      <c r="N367" s="143" t="str">
        <f>IF(tuulisähkö_vuosi&lt;='S1 Sähkö'!C367,"tuulisähkö",ostosähkö_nyt)</f>
        <v>jäännössähkö</v>
      </c>
      <c r="O367" s="147">
        <f>INDEX(Muuttujat!$J$5:$J$21,MATCH($C367,Muuttujat!$H$5:$H$21,0),1)</f>
        <v>61.379690186142746</v>
      </c>
      <c r="P367" s="342">
        <f>1-(INDEX(Muuttujat!$O$5:$O$21,MATCH($C367,Muuttujat!$N$5:$N$21,0),1))</f>
        <v>0.9</v>
      </c>
      <c r="Q367" s="342">
        <f>INDEX(Muuttujat!$O$5:$O$21,MATCH($C367,Muuttujat!$N$5:$N$21,0),1)</f>
        <v>0.1</v>
      </c>
      <c r="R367" s="148">
        <f>INDEX(Muuttujat!$P$5:$P$21,MATCH($C367,Muuttujat!$N$5:$N$21,0),1)</f>
        <v>0.10417875759940039</v>
      </c>
      <c r="S367" s="149">
        <f t="shared" si="97"/>
        <v>0</v>
      </c>
      <c r="T367" s="150">
        <f t="shared" si="98"/>
        <v>0</v>
      </c>
      <c r="U367" s="150">
        <f t="shared" si="99"/>
        <v>0</v>
      </c>
      <c r="V367" s="150">
        <f>IFERROR(INDEX(Työkonekanta!$J$3:$J$27,MATCH($A367,Työkonekanta!$A$3:$A$24,0),1)*$B367*ef_li_ion_akku/1000/1000/INDEX(Työkonekanta!$K$3:$K$27,MATCH($A367,Työkonekanta!$A$3:$A$24,0)),0)</f>
        <v>0</v>
      </c>
      <c r="W367" s="149">
        <f t="shared" si="108"/>
        <v>0</v>
      </c>
      <c r="X367" s="150">
        <f t="shared" si="109"/>
        <v>0</v>
      </c>
      <c r="Y367" s="151">
        <f t="shared" si="110"/>
        <v>0</v>
      </c>
      <c r="Z367" s="152">
        <f t="shared" si="103"/>
        <v>0</v>
      </c>
      <c r="AA367" s="153">
        <f t="shared" si="104"/>
        <v>0</v>
      </c>
      <c r="AB367" s="153">
        <f t="shared" si="105"/>
        <v>0</v>
      </c>
      <c r="AC367" s="154">
        <f t="shared" si="111"/>
        <v>0</v>
      </c>
      <c r="AD367" s="156">
        <f t="shared" si="106"/>
        <v>0</v>
      </c>
      <c r="AE367" s="182"/>
      <c r="AG367" s="2"/>
    </row>
    <row r="368" spans="1:37">
      <c r="A368" s="139">
        <v>6</v>
      </c>
      <c r="B368" s="139" cm="1">
        <f t="array" ref="B368">IFERROR(IF(A368=s1_id_korvattava1,INDEX($AG$3:$AG$19,MATCH(C368,$AF$3:$AF$19,0),1),IF(A368=s1_id_korvaava1,INDEX($AH$3:$AH$19,MATCH(C368,$AF$3:$AF$19,0),1),IF(A368=s1_id_korvattava2,INDEX($AI$3:$AI$19,MATCH(C368,$AF$3:$AF$19,0),1),IF(A368=s1_id_korvaava2,INDEX($AJ$3:$AJ$19,MATCH(C368,$AF$3:$AF$19,0),1),INDEX(Työkonekanta!$F$3:$F$27,MATCH('S1 Sähkö'!$A368,Työkonekanta!$A$3:$A$24,0),1))))),0)</f>
        <v>0</v>
      </c>
      <c r="C368" s="140">
        <v>2031</v>
      </c>
      <c r="D368" s="141" t="str">
        <f>IFERROR(INDEX(Työkonekanta!$D$3:$D$27,MATCH('S1 Sähkö'!$A368,Työkonekanta!$A$3:$A$24,0),1),"undefined")</f>
        <v>sähkö</v>
      </c>
      <c r="E368" s="145">
        <f>IFERROR(INDEX(Työkonekanta!$G$3:$G$27,MATCH($A368,Työkonekanta!$A$3:$A$24,0),1)*INDEX(Työkonekanta!$H$3:$H$27,MATCH($A368,Työkonekanta!$A$3:$A$24,0),1)*(1+s1_kerroin*($C368-2019))*$B368,0)</f>
        <v>0</v>
      </c>
      <c r="F368" s="145">
        <f t="shared" si="94"/>
        <v>0</v>
      </c>
      <c r="G368" s="145">
        <f t="shared" si="100"/>
        <v>0</v>
      </c>
      <c r="H368" s="145">
        <f t="shared" si="101"/>
        <v>0</v>
      </c>
      <c r="I368" s="145">
        <f t="shared" si="95"/>
        <v>0</v>
      </c>
      <c r="J368" s="145">
        <f t="shared" si="96"/>
        <v>0</v>
      </c>
      <c r="K368" s="142" t="str">
        <f t="shared" si="102"/>
        <v>kWh</v>
      </c>
      <c r="L368" s="146">
        <f>IFERROR(INDEX(Työkonekanta!$I$3:$I$27,MATCH('S1 Sähkö'!$A368,Työkonekanta!$A$3:$A$24,0),1)*(I368+J368)*f_adblue,0)</f>
        <v>0</v>
      </c>
      <c r="M368" s="146">
        <f t="shared" si="107"/>
        <v>0</v>
      </c>
      <c r="N368" s="143" t="str">
        <f>IF(tuulisähkö_vuosi&lt;='S1 Sähkö'!C368,"tuulisähkö",ostosähkö_nyt)</f>
        <v>jäännössähkö</v>
      </c>
      <c r="O368" s="147">
        <f>INDEX(Muuttujat!$J$5:$J$21,MATCH($C368,Muuttujat!$H$5:$H$21,0),1)</f>
        <v>61.379690186142746</v>
      </c>
      <c r="P368" s="342">
        <f>1-(INDEX(Muuttujat!$O$5:$O$21,MATCH($C368,Muuttujat!$N$5:$N$21,0),1))</f>
        <v>0.9</v>
      </c>
      <c r="Q368" s="342">
        <f>INDEX(Muuttujat!$O$5:$O$21,MATCH($C368,Muuttujat!$N$5:$N$21,0),1)</f>
        <v>0.1</v>
      </c>
      <c r="R368" s="148">
        <f>INDEX(Muuttujat!$P$5:$P$21,MATCH($C368,Muuttujat!$N$5:$N$21,0),1)</f>
        <v>0.10417875759940039</v>
      </c>
      <c r="S368" s="149">
        <f t="shared" si="97"/>
        <v>0</v>
      </c>
      <c r="T368" s="150">
        <f t="shared" si="98"/>
        <v>0</v>
      </c>
      <c r="U368" s="150">
        <f t="shared" si="99"/>
        <v>0</v>
      </c>
      <c r="V368" s="150">
        <f>IFERROR(INDEX(Työkonekanta!$J$3:$J$27,MATCH($A368,Työkonekanta!$A$3:$A$24,0),1)*$B368*ef_li_ion_akku/1000/1000/INDEX(Työkonekanta!$K$3:$K$27,MATCH($A368,Työkonekanta!$A$3:$A$24,0)),0)</f>
        <v>0</v>
      </c>
      <c r="W368" s="149">
        <f t="shared" si="108"/>
        <v>0</v>
      </c>
      <c r="X368" s="150">
        <f t="shared" si="109"/>
        <v>0</v>
      </c>
      <c r="Y368" s="151">
        <f t="shared" si="110"/>
        <v>0</v>
      </c>
      <c r="Z368" s="152">
        <f t="shared" si="103"/>
        <v>0</v>
      </c>
      <c r="AA368" s="153">
        <f t="shared" si="104"/>
        <v>0</v>
      </c>
      <c r="AB368" s="153">
        <f t="shared" si="105"/>
        <v>0</v>
      </c>
      <c r="AC368" s="154">
        <f t="shared" si="111"/>
        <v>0</v>
      </c>
      <c r="AD368" s="156">
        <f t="shared" si="106"/>
        <v>0</v>
      </c>
      <c r="AE368" s="182"/>
      <c r="AG368" s="2"/>
    </row>
    <row r="369" spans="1:33">
      <c r="A369" s="139">
        <v>7</v>
      </c>
      <c r="B369" s="139" cm="1">
        <f t="array" ref="B369">IFERROR(IF(A369=s1_id_korvattava1,INDEX($AG$3:$AG$19,MATCH(C369,$AF$3:$AF$19,0),1),IF(A369=s1_id_korvaava1,INDEX($AH$3:$AH$19,MATCH(C369,$AF$3:$AF$19,0),1),IF(A369=s1_id_korvattava2,INDEX($AI$3:$AI$19,MATCH(C369,$AF$3:$AF$19,0),1),IF(A369=s1_id_korvaava2,INDEX($AJ$3:$AJ$19,MATCH(C369,$AF$3:$AF$19,0),1),INDEX(Työkonekanta!$F$3:$F$27,MATCH('S1 Sähkö'!$A369,Työkonekanta!$A$3:$A$24,0),1))))),0)</f>
        <v>1</v>
      </c>
      <c r="C369" s="140">
        <v>2031</v>
      </c>
      <c r="D369" s="141" t="str">
        <f>IFERROR(INDEX(Työkonekanta!$D$3:$D$27,MATCH('S1 Sähkö'!$A369,Työkonekanta!$A$3:$A$24,0),1),"undefined")</f>
        <v>pom</v>
      </c>
      <c r="E369" s="145">
        <f>IFERROR(INDEX(Työkonekanta!$G$3:$G$27,MATCH($A369,Työkonekanta!$A$3:$A$24,0),1)*INDEX(Työkonekanta!$H$3:$H$27,MATCH($A369,Työkonekanta!$A$3:$A$24,0),1)*(1+s1_kerroin*($C369-2019))*$B369,0)</f>
        <v>11200.000000000002</v>
      </c>
      <c r="F369" s="145">
        <f t="shared" si="94"/>
        <v>402080.00000000006</v>
      </c>
      <c r="G369" s="145">
        <f t="shared" si="100"/>
        <v>361872.00000000006</v>
      </c>
      <c r="H369" s="145">
        <f t="shared" si="101"/>
        <v>40208.000000000007</v>
      </c>
      <c r="I369" s="145">
        <f t="shared" si="95"/>
        <v>10080.000000000002</v>
      </c>
      <c r="J369" s="145">
        <f t="shared" si="96"/>
        <v>1172.2448979591841</v>
      </c>
      <c r="K369" s="142" t="str">
        <f t="shared" si="102"/>
        <v>l</v>
      </c>
      <c r="L369" s="146">
        <f>IFERROR(INDEX(Työkonekanta!$I$3:$I$27,MATCH('S1 Sähkö'!$A369,Työkonekanta!$A$3:$A$24,0),1)*(I369+J369)*f_adblue,0)</f>
        <v>0</v>
      </c>
      <c r="M369" s="146">
        <f t="shared" si="107"/>
        <v>0</v>
      </c>
      <c r="N369" s="143" t="str">
        <f>IF(tuulisähkö_vuosi&lt;='S1 Sähkö'!C369,"tuulisähkö",ostosähkö_nyt)</f>
        <v>jäännössähkö</v>
      </c>
      <c r="O369" s="147">
        <f>INDEX(Muuttujat!$J$5:$J$21,MATCH($C369,Muuttujat!$H$5:$H$21,0),1)</f>
        <v>61.379690186142746</v>
      </c>
      <c r="P369" s="342">
        <f>1-(INDEX(Muuttujat!$O$5:$O$21,MATCH($C369,Muuttujat!$N$5:$N$21,0),1))</f>
        <v>0.9</v>
      </c>
      <c r="Q369" s="342">
        <f>INDEX(Muuttujat!$O$5:$O$21,MATCH($C369,Muuttujat!$N$5:$N$21,0),1)</f>
        <v>0.1</v>
      </c>
      <c r="R369" s="148">
        <f>INDEX(Muuttujat!$P$5:$P$21,MATCH($C369,Muuttujat!$N$5:$N$21,0),1)</f>
        <v>0.10417875759940039</v>
      </c>
      <c r="S369" s="149">
        <f t="shared" si="97"/>
        <v>6.8393808000000007</v>
      </c>
      <c r="T369" s="150">
        <f t="shared" si="98"/>
        <v>2.5089792000000002</v>
      </c>
      <c r="U369" s="150">
        <f t="shared" si="99"/>
        <v>0</v>
      </c>
      <c r="V369" s="150">
        <f>IFERROR(INDEX(Työkonekanta!$J$3:$J$27,MATCH($A369,Työkonekanta!$A$3:$A$24,0),1)*$B369*ef_li_ion_akku/1000/1000/INDEX(Työkonekanta!$K$3:$K$27,MATCH($A369,Työkonekanta!$A$3:$A$24,0)),0)</f>
        <v>0</v>
      </c>
      <c r="W369" s="149">
        <f t="shared" si="108"/>
        <v>26.709140592288009</v>
      </c>
      <c r="X369" s="150">
        <f t="shared" si="109"/>
        <v>0.35587513920000002</v>
      </c>
      <c r="Y369" s="151">
        <f t="shared" si="110"/>
        <v>0</v>
      </c>
      <c r="Z369" s="152">
        <f t="shared" si="103"/>
        <v>9.3483600000000013</v>
      </c>
      <c r="AA369" s="153">
        <f t="shared" si="104"/>
        <v>26.709140592288009</v>
      </c>
      <c r="AB369" s="153">
        <f t="shared" si="105"/>
        <v>27.065015731488007</v>
      </c>
      <c r="AC369" s="154">
        <f t="shared" si="111"/>
        <v>36.057500592288008</v>
      </c>
      <c r="AD369" s="156">
        <f t="shared" si="106"/>
        <v>36.41337573148801</v>
      </c>
      <c r="AE369" s="182"/>
      <c r="AG369" s="2"/>
    </row>
    <row r="370" spans="1:33">
      <c r="A370" s="139">
        <v>8</v>
      </c>
      <c r="B370" s="139" cm="1">
        <f t="array" ref="B370">IFERROR(IF(A370=s1_id_korvattava1,INDEX($AG$3:$AG$19,MATCH(C370,$AF$3:$AF$19,0),1),IF(A370=s1_id_korvaava1,INDEX($AH$3:$AH$19,MATCH(C370,$AF$3:$AF$19,0),1),IF(A370=s1_id_korvattava2,INDEX($AI$3:$AI$19,MATCH(C370,$AF$3:$AF$19,0),1),IF(A370=s1_id_korvaava2,INDEX($AJ$3:$AJ$19,MATCH(C370,$AF$3:$AF$19,0),1),INDEX(Työkonekanta!$F$3:$F$27,MATCH('S1 Sähkö'!$A370,Työkonekanta!$A$3:$A$24,0),1))))),0)</f>
        <v>1</v>
      </c>
      <c r="C370" s="140">
        <v>2031</v>
      </c>
      <c r="D370" s="141" t="str">
        <f>IFERROR(INDEX(Työkonekanta!$D$3:$D$27,MATCH('S1 Sähkö'!$A370,Työkonekanta!$A$3:$A$24,0),1),"undefined")</f>
        <v>pom</v>
      </c>
      <c r="E370" s="145">
        <f>IFERROR(INDEX(Työkonekanta!$G$3:$G$27,MATCH($A370,Työkonekanta!$A$3:$A$24,0),1)*INDEX(Työkonekanta!$H$3:$H$27,MATCH($A370,Työkonekanta!$A$3:$A$24,0),1)*(1+s1_kerroin*($C370-2019))*$B370,0)</f>
        <v>11200.000000000002</v>
      </c>
      <c r="F370" s="145">
        <f t="shared" si="94"/>
        <v>402080.00000000006</v>
      </c>
      <c r="G370" s="145">
        <f t="shared" si="100"/>
        <v>361872.00000000006</v>
      </c>
      <c r="H370" s="145">
        <f t="shared" si="101"/>
        <v>40208.000000000007</v>
      </c>
      <c r="I370" s="145">
        <f t="shared" si="95"/>
        <v>10080.000000000002</v>
      </c>
      <c r="J370" s="145">
        <f t="shared" si="96"/>
        <v>1172.2448979591841</v>
      </c>
      <c r="K370" s="142" t="str">
        <f t="shared" si="102"/>
        <v>l</v>
      </c>
      <c r="L370" s="146">
        <f>IFERROR(INDEX(Työkonekanta!$I$3:$I$27,MATCH('S1 Sähkö'!$A370,Työkonekanta!$A$3:$A$24,0),1)*(I370+J370)*f_adblue,0)</f>
        <v>562.61224489795939</v>
      </c>
      <c r="M370" s="146">
        <f t="shared" si="107"/>
        <v>0</v>
      </c>
      <c r="N370" s="143" t="str">
        <f>IF(tuulisähkö_vuosi&lt;='S1 Sähkö'!C370,"tuulisähkö",ostosähkö_nyt)</f>
        <v>jäännössähkö</v>
      </c>
      <c r="O370" s="147">
        <f>INDEX(Muuttujat!$J$5:$J$21,MATCH($C370,Muuttujat!$H$5:$H$21,0),1)</f>
        <v>61.379690186142746</v>
      </c>
      <c r="P370" s="342">
        <f>1-(INDEX(Muuttujat!$O$5:$O$21,MATCH($C370,Muuttujat!$N$5:$N$21,0),1))</f>
        <v>0.9</v>
      </c>
      <c r="Q370" s="342">
        <f>INDEX(Muuttujat!$O$5:$O$21,MATCH($C370,Muuttujat!$N$5:$N$21,0),1)</f>
        <v>0.1</v>
      </c>
      <c r="R370" s="148">
        <f>INDEX(Muuttujat!$P$5:$P$21,MATCH($C370,Muuttujat!$N$5:$N$21,0),1)</f>
        <v>0.10417875759940039</v>
      </c>
      <c r="S370" s="149">
        <f t="shared" si="97"/>
        <v>6.8393808000000007</v>
      </c>
      <c r="T370" s="150">
        <f t="shared" si="98"/>
        <v>2.5089792000000002</v>
      </c>
      <c r="U370" s="150">
        <f t="shared" si="99"/>
        <v>0</v>
      </c>
      <c r="V370" s="150">
        <f>IFERROR(INDEX(Työkonekanta!$J$3:$J$27,MATCH($A370,Työkonekanta!$A$3:$A$24,0),1)*$B370*ef_li_ion_akku/1000/1000/INDEX(Työkonekanta!$K$3:$K$27,MATCH($A370,Työkonekanta!$A$3:$A$24,0)),0)</f>
        <v>0</v>
      </c>
      <c r="W370" s="149">
        <f t="shared" si="108"/>
        <v>26.709140592288009</v>
      </c>
      <c r="X370" s="150">
        <f t="shared" si="109"/>
        <v>0.35587513920000002</v>
      </c>
      <c r="Y370" s="151">
        <f t="shared" si="110"/>
        <v>0.14627918367346945</v>
      </c>
      <c r="Z370" s="152">
        <f t="shared" si="103"/>
        <v>9.3483600000000013</v>
      </c>
      <c r="AA370" s="153">
        <f t="shared" si="104"/>
        <v>26.855419775961479</v>
      </c>
      <c r="AB370" s="153">
        <f t="shared" si="105"/>
        <v>27.211294915161478</v>
      </c>
      <c r="AC370" s="154">
        <f t="shared" si="111"/>
        <v>36.203779775961479</v>
      </c>
      <c r="AD370" s="156">
        <f t="shared" si="106"/>
        <v>36.559654915161481</v>
      </c>
      <c r="AE370" s="182"/>
      <c r="AG370" s="2"/>
    </row>
    <row r="371" spans="1:33">
      <c r="A371" s="139">
        <v>9</v>
      </c>
      <c r="B371" s="139" cm="1">
        <f t="array" ref="B371">IFERROR(IF(A371=s1_id_korvattava1,INDEX($AG$3:$AG$19,MATCH(C371,$AF$3:$AF$19,0),1),IF(A371=s1_id_korvaava1,INDEX($AH$3:$AH$19,MATCH(C371,$AF$3:$AF$19,0),1),IF(A371=s1_id_korvattava2,INDEX($AI$3:$AI$19,MATCH(C371,$AF$3:$AF$19,0),1),IF(A371=s1_id_korvaava2,INDEX($AJ$3:$AJ$19,MATCH(C371,$AF$3:$AF$19,0),1),INDEX(Työkonekanta!$F$3:$F$27,MATCH('S1 Sähkö'!$A371,Työkonekanta!$A$3:$A$24,0),1))))),0)</f>
        <v>0</v>
      </c>
      <c r="C371" s="140">
        <v>2031</v>
      </c>
      <c r="D371" s="141" t="str">
        <f>IFERROR(INDEX(Työkonekanta!$D$3:$D$27,MATCH('S1 Sähkö'!$A371,Työkonekanta!$A$3:$A$24,0),1),"undefined")</f>
        <v>sähkö</v>
      </c>
      <c r="E371" s="145">
        <f>IFERROR(INDEX(Työkonekanta!$G$3:$G$27,MATCH($A371,Työkonekanta!$A$3:$A$24,0),1)*INDEX(Työkonekanta!$H$3:$H$27,MATCH($A371,Työkonekanta!$A$3:$A$24,0),1)*(1+s1_kerroin*($C371-2019))*$B371,0)</f>
        <v>0</v>
      </c>
      <c r="F371" s="145">
        <f t="shared" si="94"/>
        <v>0</v>
      </c>
      <c r="G371" s="145">
        <f t="shared" si="100"/>
        <v>0</v>
      </c>
      <c r="H371" s="145">
        <f t="shared" si="101"/>
        <v>0</v>
      </c>
      <c r="I371" s="145">
        <f t="shared" si="95"/>
        <v>0</v>
      </c>
      <c r="J371" s="145">
        <f t="shared" si="96"/>
        <v>0</v>
      </c>
      <c r="K371" s="142" t="str">
        <f t="shared" si="102"/>
        <v>kWh</v>
      </c>
      <c r="L371" s="146">
        <f>IFERROR(INDEX(Työkonekanta!$I$3:$I$27,MATCH('S1 Sähkö'!$A371,Työkonekanta!$A$3:$A$24,0),1)*(I371+J371)*f_adblue,0)</f>
        <v>0</v>
      </c>
      <c r="M371" s="146">
        <f t="shared" si="107"/>
        <v>0</v>
      </c>
      <c r="N371" s="143" t="str">
        <f>IF(tuulisähkö_vuosi&lt;='S1 Sähkö'!C371,"tuulisähkö",ostosähkö_nyt)</f>
        <v>jäännössähkö</v>
      </c>
      <c r="O371" s="147">
        <f>INDEX(Muuttujat!$J$5:$J$21,MATCH($C371,Muuttujat!$H$5:$H$21,0),1)</f>
        <v>61.379690186142746</v>
      </c>
      <c r="P371" s="342">
        <f>1-(INDEX(Muuttujat!$O$5:$O$21,MATCH($C371,Muuttujat!$N$5:$N$21,0),1))</f>
        <v>0.9</v>
      </c>
      <c r="Q371" s="342">
        <f>INDEX(Muuttujat!$O$5:$O$21,MATCH($C371,Muuttujat!$N$5:$N$21,0),1)</f>
        <v>0.1</v>
      </c>
      <c r="R371" s="148">
        <f>INDEX(Muuttujat!$P$5:$P$21,MATCH($C371,Muuttujat!$N$5:$N$21,0),1)</f>
        <v>0.10417875759940039</v>
      </c>
      <c r="S371" s="149">
        <f t="shared" si="97"/>
        <v>0</v>
      </c>
      <c r="T371" s="150">
        <f t="shared" si="98"/>
        <v>0</v>
      </c>
      <c r="U371" s="150">
        <f t="shared" si="99"/>
        <v>0</v>
      </c>
      <c r="V371" s="150">
        <f>IFERROR(INDEX(Työkonekanta!$J$3:$J$27,MATCH($A371,Työkonekanta!$A$3:$A$24,0),1)*$B371*ef_li_ion_akku/1000/1000/INDEX(Työkonekanta!$K$3:$K$27,MATCH($A371,Työkonekanta!$A$3:$A$24,0)),0)</f>
        <v>0</v>
      </c>
      <c r="W371" s="149">
        <f t="shared" si="108"/>
        <v>0</v>
      </c>
      <c r="X371" s="150">
        <f t="shared" si="109"/>
        <v>0</v>
      </c>
      <c r="Y371" s="151">
        <f t="shared" si="110"/>
        <v>0</v>
      </c>
      <c r="Z371" s="152">
        <f t="shared" si="103"/>
        <v>0</v>
      </c>
      <c r="AA371" s="153">
        <f t="shared" si="104"/>
        <v>0</v>
      </c>
      <c r="AB371" s="153">
        <f t="shared" si="105"/>
        <v>0</v>
      </c>
      <c r="AC371" s="154">
        <f t="shared" si="111"/>
        <v>0</v>
      </c>
      <c r="AD371" s="156">
        <f t="shared" si="106"/>
        <v>0</v>
      </c>
      <c r="AE371" s="182"/>
      <c r="AG371" s="2"/>
    </row>
    <row r="372" spans="1:33">
      <c r="A372" s="139">
        <v>10</v>
      </c>
      <c r="B372" s="139" cm="1">
        <f t="array" ref="B372">IFERROR(IF(A372=s1_id_korvattava1,INDEX($AG$3:$AG$19,MATCH(C372,$AF$3:$AF$19,0),1),IF(A372=s1_id_korvaava1,INDEX($AH$3:$AH$19,MATCH(C372,$AF$3:$AF$19,0),1),IF(A372=s1_id_korvattava2,INDEX($AI$3:$AI$19,MATCH(C372,$AF$3:$AF$19,0),1),IF(A372=s1_id_korvaava2,INDEX($AJ$3:$AJ$19,MATCH(C372,$AF$3:$AF$19,0),1),INDEX(Työkonekanta!$F$3:$F$27,MATCH('S1 Sähkö'!$A372,Työkonekanta!$A$3:$A$24,0),1))))),0)</f>
        <v>0</v>
      </c>
      <c r="C372" s="140">
        <v>2031</v>
      </c>
      <c r="D372" s="141" t="str">
        <f>IFERROR(INDEX(Työkonekanta!$D$3:$D$27,MATCH('S1 Sähkö'!$A372,Työkonekanta!$A$3:$A$24,0),1),"undefined")</f>
        <v>sähkö</v>
      </c>
      <c r="E372" s="145">
        <f>IFERROR(INDEX(Työkonekanta!$G$3:$G$27,MATCH($A372,Työkonekanta!$A$3:$A$24,0),1)*INDEX(Työkonekanta!$H$3:$H$27,MATCH($A372,Työkonekanta!$A$3:$A$24,0),1)*(1+s1_kerroin*($C372-2019))*$B372,0)</f>
        <v>0</v>
      </c>
      <c r="F372" s="145">
        <f t="shared" si="94"/>
        <v>0</v>
      </c>
      <c r="G372" s="145">
        <f t="shared" si="100"/>
        <v>0</v>
      </c>
      <c r="H372" s="145">
        <f t="shared" si="101"/>
        <v>0</v>
      </c>
      <c r="I372" s="145">
        <f t="shared" si="95"/>
        <v>0</v>
      </c>
      <c r="J372" s="145">
        <f t="shared" si="96"/>
        <v>0</v>
      </c>
      <c r="K372" s="142" t="str">
        <f t="shared" si="102"/>
        <v>kWh</v>
      </c>
      <c r="L372" s="146">
        <f>IFERROR(INDEX(Työkonekanta!$I$3:$I$27,MATCH('S1 Sähkö'!$A372,Työkonekanta!$A$3:$A$24,0),1)*(I372+J372)*f_adblue,0)</f>
        <v>0</v>
      </c>
      <c r="M372" s="146">
        <f t="shared" si="107"/>
        <v>0</v>
      </c>
      <c r="N372" s="143" t="str">
        <f>IF(tuulisähkö_vuosi&lt;='S1 Sähkö'!C372,"tuulisähkö",ostosähkö_nyt)</f>
        <v>jäännössähkö</v>
      </c>
      <c r="O372" s="147">
        <f>INDEX(Muuttujat!$J$5:$J$21,MATCH($C372,Muuttujat!$H$5:$H$21,0),1)</f>
        <v>61.379690186142746</v>
      </c>
      <c r="P372" s="342">
        <f>1-(INDEX(Muuttujat!$O$5:$O$21,MATCH($C372,Muuttujat!$N$5:$N$21,0),1))</f>
        <v>0.9</v>
      </c>
      <c r="Q372" s="342">
        <f>INDEX(Muuttujat!$O$5:$O$21,MATCH($C372,Muuttujat!$N$5:$N$21,0),1)</f>
        <v>0.1</v>
      </c>
      <c r="R372" s="148">
        <f>INDEX(Muuttujat!$P$5:$P$21,MATCH($C372,Muuttujat!$N$5:$N$21,0),1)</f>
        <v>0.10417875759940039</v>
      </c>
      <c r="S372" s="149">
        <f t="shared" si="97"/>
        <v>0</v>
      </c>
      <c r="T372" s="150">
        <f t="shared" si="98"/>
        <v>0</v>
      </c>
      <c r="U372" s="150">
        <f t="shared" si="99"/>
        <v>0</v>
      </c>
      <c r="V372" s="150">
        <f>IFERROR(INDEX(Työkonekanta!$J$3:$J$27,MATCH($A372,Työkonekanta!$A$3:$A$24,0),1)*$B372*ef_li_ion_akku/1000/1000/INDEX(Työkonekanta!$K$3:$K$27,MATCH($A372,Työkonekanta!$A$3:$A$24,0)),0)</f>
        <v>0</v>
      </c>
      <c r="W372" s="149">
        <f t="shared" si="108"/>
        <v>0</v>
      </c>
      <c r="X372" s="150">
        <f t="shared" si="109"/>
        <v>0</v>
      </c>
      <c r="Y372" s="151">
        <f t="shared" si="110"/>
        <v>0</v>
      </c>
      <c r="Z372" s="152">
        <f t="shared" si="103"/>
        <v>0</v>
      </c>
      <c r="AA372" s="153">
        <f t="shared" si="104"/>
        <v>0</v>
      </c>
      <c r="AB372" s="153">
        <f t="shared" si="105"/>
        <v>0</v>
      </c>
      <c r="AC372" s="154">
        <f t="shared" si="111"/>
        <v>0</v>
      </c>
      <c r="AD372" s="156">
        <f t="shared" si="106"/>
        <v>0</v>
      </c>
      <c r="AE372" s="182"/>
      <c r="AG372" s="2"/>
    </row>
    <row r="373" spans="1:33">
      <c r="A373" s="139">
        <v>11</v>
      </c>
      <c r="B373" s="139" cm="1">
        <f t="array" ref="B373">IFERROR(IF(A373=s1_id_korvattava1,INDEX($AG$3:$AG$19,MATCH(C373,$AF$3:$AF$19,0),1),IF(A373=s1_id_korvaava1,INDEX($AH$3:$AH$19,MATCH(C373,$AF$3:$AF$19,0),1),IF(A373=s1_id_korvattava2,INDEX($AI$3:$AI$19,MATCH(C373,$AF$3:$AF$19,0),1),IF(A373=s1_id_korvaava2,INDEX($AJ$3:$AJ$19,MATCH(C373,$AF$3:$AF$19,0),1),INDEX(Työkonekanta!$F$3:$F$27,MATCH('S1 Sähkö'!$A373,Työkonekanta!$A$3:$A$24,0),1))))),0)</f>
        <v>1</v>
      </c>
      <c r="C373" s="140">
        <v>2031</v>
      </c>
      <c r="D373" s="141" t="str">
        <f>IFERROR(INDEX(Työkonekanta!$D$3:$D$27,MATCH('S1 Sähkö'!$A373,Työkonekanta!$A$3:$A$24,0),1),"undefined")</f>
        <v>pom</v>
      </c>
      <c r="E373" s="145">
        <f>IFERROR(INDEX(Työkonekanta!$G$3:$G$27,MATCH($A373,Työkonekanta!$A$3:$A$24,0),1)*INDEX(Työkonekanta!$H$3:$H$27,MATCH($A373,Työkonekanta!$A$3:$A$24,0),1)*(1+s1_kerroin*($C373-2019))*$B373,0)</f>
        <v>11200.000000000002</v>
      </c>
      <c r="F373" s="145">
        <f t="shared" si="94"/>
        <v>402080.00000000006</v>
      </c>
      <c r="G373" s="145">
        <f t="shared" si="100"/>
        <v>361872.00000000006</v>
      </c>
      <c r="H373" s="145">
        <f t="shared" si="101"/>
        <v>40208.000000000007</v>
      </c>
      <c r="I373" s="145">
        <f t="shared" si="95"/>
        <v>10080.000000000002</v>
      </c>
      <c r="J373" s="145">
        <f t="shared" si="96"/>
        <v>1172.2448979591841</v>
      </c>
      <c r="K373" s="142" t="str">
        <f t="shared" si="102"/>
        <v>l</v>
      </c>
      <c r="L373" s="146">
        <f>IFERROR(INDEX(Työkonekanta!$I$3:$I$27,MATCH('S1 Sähkö'!$A373,Työkonekanta!$A$3:$A$24,0),1)*(I373+J373)*f_adblue,0)</f>
        <v>562.61224489795939</v>
      </c>
      <c r="M373" s="146">
        <f t="shared" si="107"/>
        <v>0</v>
      </c>
      <c r="N373" s="143" t="str">
        <f>IF(tuulisähkö_vuosi&lt;='S1 Sähkö'!C373,"tuulisähkö",ostosähkö_nyt)</f>
        <v>jäännössähkö</v>
      </c>
      <c r="O373" s="147">
        <f>INDEX(Muuttujat!$J$5:$J$21,MATCH($C373,Muuttujat!$H$5:$H$21,0),1)</f>
        <v>61.379690186142746</v>
      </c>
      <c r="P373" s="342">
        <f>1-(INDEX(Muuttujat!$O$5:$O$21,MATCH($C373,Muuttujat!$N$5:$N$21,0),1))</f>
        <v>0.9</v>
      </c>
      <c r="Q373" s="342">
        <f>INDEX(Muuttujat!$O$5:$O$21,MATCH($C373,Muuttujat!$N$5:$N$21,0),1)</f>
        <v>0.1</v>
      </c>
      <c r="R373" s="148">
        <f>INDEX(Muuttujat!$P$5:$P$21,MATCH($C373,Muuttujat!$N$5:$N$21,0),1)</f>
        <v>0.10417875759940039</v>
      </c>
      <c r="S373" s="149">
        <f t="shared" si="97"/>
        <v>6.8393808000000007</v>
      </c>
      <c r="T373" s="150">
        <f t="shared" si="98"/>
        <v>2.5089792000000002</v>
      </c>
      <c r="U373" s="150">
        <f t="shared" si="99"/>
        <v>0</v>
      </c>
      <c r="V373" s="150">
        <f>IFERROR(INDEX(Työkonekanta!$J$3:$J$27,MATCH($A373,Työkonekanta!$A$3:$A$24,0),1)*$B373*ef_li_ion_akku/1000/1000/INDEX(Työkonekanta!$K$3:$K$27,MATCH($A373,Työkonekanta!$A$3:$A$24,0)),0)</f>
        <v>0</v>
      </c>
      <c r="W373" s="149">
        <f t="shared" si="108"/>
        <v>26.709140592288009</v>
      </c>
      <c r="X373" s="150">
        <f t="shared" si="109"/>
        <v>0.35587513920000002</v>
      </c>
      <c r="Y373" s="151">
        <f t="shared" si="110"/>
        <v>0.14627918367346945</v>
      </c>
      <c r="Z373" s="152">
        <f t="shared" si="103"/>
        <v>9.3483600000000013</v>
      </c>
      <c r="AA373" s="153">
        <f t="shared" si="104"/>
        <v>26.855419775961479</v>
      </c>
      <c r="AB373" s="153">
        <f t="shared" si="105"/>
        <v>27.211294915161478</v>
      </c>
      <c r="AC373" s="154">
        <f t="shared" si="111"/>
        <v>36.203779775961479</v>
      </c>
      <c r="AD373" s="156">
        <f t="shared" si="106"/>
        <v>36.559654915161481</v>
      </c>
      <c r="AE373" s="182"/>
      <c r="AG373" s="2"/>
    </row>
    <row r="374" spans="1:33">
      <c r="A374" s="139">
        <v>12</v>
      </c>
      <c r="B374" s="139" cm="1">
        <f t="array" ref="B374">IFERROR(IF(A374=s1_id_korvattava1,INDEX($AG$3:$AG$19,MATCH(C374,$AF$3:$AF$19,0),1),IF(A374=s1_id_korvaava1,INDEX($AH$3:$AH$19,MATCH(C374,$AF$3:$AF$19,0),1),IF(A374=s1_id_korvattava2,INDEX($AI$3:$AI$19,MATCH(C374,$AF$3:$AF$19,0),1),IF(A374=s1_id_korvaava2,INDEX($AJ$3:$AJ$19,MATCH(C374,$AF$3:$AF$19,0),1),INDEX(Työkonekanta!$F$3:$F$27,MATCH('S1 Sähkö'!$A374,Työkonekanta!$A$3:$A$24,0),1))))),0)</f>
        <v>1</v>
      </c>
      <c r="C374" s="140">
        <v>2031</v>
      </c>
      <c r="D374" s="141" t="str">
        <f>IFERROR(INDEX(Työkonekanta!$D$3:$D$27,MATCH('S1 Sähkö'!$A374,Työkonekanta!$A$3:$A$24,0),1),"undefined")</f>
        <v>pom</v>
      </c>
      <c r="E374" s="145">
        <f>IFERROR(INDEX(Työkonekanta!$G$3:$G$27,MATCH($A374,Työkonekanta!$A$3:$A$24,0),1)*INDEX(Työkonekanta!$H$3:$H$27,MATCH($A374,Työkonekanta!$A$3:$A$24,0),1)*(1+s1_kerroin*($C374-2019))*$B374,0)</f>
        <v>11200.000000000002</v>
      </c>
      <c r="F374" s="145">
        <f t="shared" si="94"/>
        <v>402080.00000000006</v>
      </c>
      <c r="G374" s="145">
        <f t="shared" si="100"/>
        <v>361872.00000000006</v>
      </c>
      <c r="H374" s="145">
        <f t="shared" si="101"/>
        <v>40208.000000000007</v>
      </c>
      <c r="I374" s="145">
        <f t="shared" si="95"/>
        <v>10080.000000000002</v>
      </c>
      <c r="J374" s="145">
        <f t="shared" si="96"/>
        <v>1172.2448979591841</v>
      </c>
      <c r="K374" s="142" t="str">
        <f t="shared" si="102"/>
        <v>l</v>
      </c>
      <c r="L374" s="146">
        <f>IFERROR(INDEX(Työkonekanta!$I$3:$I$27,MATCH('S1 Sähkö'!$A374,Työkonekanta!$A$3:$A$24,0),1)*(I374+J374)*f_adblue,0)</f>
        <v>562.61224489795939</v>
      </c>
      <c r="M374" s="146">
        <f t="shared" si="107"/>
        <v>0</v>
      </c>
      <c r="N374" s="143" t="str">
        <f>IF(tuulisähkö_vuosi&lt;='S1 Sähkö'!C374,"tuulisähkö",ostosähkö_nyt)</f>
        <v>jäännössähkö</v>
      </c>
      <c r="O374" s="147">
        <f>INDEX(Muuttujat!$J$5:$J$21,MATCH($C374,Muuttujat!$H$5:$H$21,0),1)</f>
        <v>61.379690186142746</v>
      </c>
      <c r="P374" s="342">
        <f>1-(INDEX(Muuttujat!$O$5:$O$21,MATCH($C374,Muuttujat!$N$5:$N$21,0),1))</f>
        <v>0.9</v>
      </c>
      <c r="Q374" s="342">
        <f>INDEX(Muuttujat!$O$5:$O$21,MATCH($C374,Muuttujat!$N$5:$N$21,0),1)</f>
        <v>0.1</v>
      </c>
      <c r="R374" s="148">
        <f>INDEX(Muuttujat!$P$5:$P$21,MATCH($C374,Muuttujat!$N$5:$N$21,0),1)</f>
        <v>0.10417875759940039</v>
      </c>
      <c r="S374" s="149">
        <f t="shared" si="97"/>
        <v>6.8393808000000007</v>
      </c>
      <c r="T374" s="150">
        <f t="shared" si="98"/>
        <v>2.5089792000000002</v>
      </c>
      <c r="U374" s="150">
        <f t="shared" si="99"/>
        <v>0</v>
      </c>
      <c r="V374" s="150">
        <f>IFERROR(INDEX(Työkonekanta!$J$3:$J$27,MATCH($A374,Työkonekanta!$A$3:$A$24,0),1)*$B374*ef_li_ion_akku/1000/1000/INDEX(Työkonekanta!$K$3:$K$27,MATCH($A374,Työkonekanta!$A$3:$A$24,0)),0)</f>
        <v>0</v>
      </c>
      <c r="W374" s="149">
        <f t="shared" si="108"/>
        <v>26.709140592288009</v>
      </c>
      <c r="X374" s="150">
        <f t="shared" si="109"/>
        <v>0.35587513920000002</v>
      </c>
      <c r="Y374" s="151">
        <f t="shared" si="110"/>
        <v>0.14627918367346945</v>
      </c>
      <c r="Z374" s="152">
        <f t="shared" si="103"/>
        <v>9.3483600000000013</v>
      </c>
      <c r="AA374" s="153">
        <f t="shared" si="104"/>
        <v>26.855419775961479</v>
      </c>
      <c r="AB374" s="153">
        <f t="shared" si="105"/>
        <v>27.211294915161478</v>
      </c>
      <c r="AC374" s="154">
        <f t="shared" si="111"/>
        <v>36.203779775961479</v>
      </c>
      <c r="AD374" s="156">
        <f t="shared" si="106"/>
        <v>36.559654915161481</v>
      </c>
      <c r="AE374" s="182"/>
      <c r="AG374" s="2"/>
    </row>
    <row r="375" spans="1:33">
      <c r="A375" s="139">
        <v>13</v>
      </c>
      <c r="B375" s="139" cm="1">
        <f t="array" ref="B375">IFERROR(IF(A375=s1_id_korvattava1,INDEX($AG$3:$AG$19,MATCH(C375,$AF$3:$AF$19,0),1),IF(A375=s1_id_korvaava1,INDEX($AH$3:$AH$19,MATCH(C375,$AF$3:$AF$19,0),1),IF(A375=s1_id_korvattava2,INDEX($AI$3:$AI$19,MATCH(C375,$AF$3:$AF$19,0),1),IF(A375=s1_id_korvaava2,INDEX($AJ$3:$AJ$19,MATCH(C375,$AF$3:$AF$19,0),1),INDEX(Työkonekanta!$F$3:$F$27,MATCH('S1 Sähkö'!$A375,Työkonekanta!$A$3:$A$24,0),1))))),0)</f>
        <v>0</v>
      </c>
      <c r="C375" s="140">
        <v>2031</v>
      </c>
      <c r="D375" s="141" t="str">
        <f>IFERROR(INDEX(Työkonekanta!$D$3:$D$27,MATCH('S1 Sähkö'!$A375,Työkonekanta!$A$3:$A$24,0),1),"undefined")</f>
        <v>pom</v>
      </c>
      <c r="E375" s="145">
        <f>IFERROR(INDEX(Työkonekanta!$G$3:$G$27,MATCH($A375,Työkonekanta!$A$3:$A$24,0),1)*INDEX(Työkonekanta!$H$3:$H$27,MATCH($A375,Työkonekanta!$A$3:$A$24,0),1)*(1+s1_kerroin*($C375-2019))*$B375,0)</f>
        <v>0</v>
      </c>
      <c r="F375" s="145">
        <f t="shared" si="94"/>
        <v>0</v>
      </c>
      <c r="G375" s="145">
        <f t="shared" si="100"/>
        <v>0</v>
      </c>
      <c r="H375" s="145">
        <f t="shared" si="101"/>
        <v>0</v>
      </c>
      <c r="I375" s="145">
        <f t="shared" si="95"/>
        <v>0</v>
      </c>
      <c r="J375" s="145">
        <f t="shared" si="96"/>
        <v>0</v>
      </c>
      <c r="K375" s="142" t="str">
        <f t="shared" si="102"/>
        <v>l</v>
      </c>
      <c r="L375" s="146">
        <f>IFERROR(INDEX(Työkonekanta!$I$3:$I$27,MATCH('S1 Sähkö'!$A375,Työkonekanta!$A$3:$A$24,0),1)*(I375+J375)*f_adblue,0)</f>
        <v>0</v>
      </c>
      <c r="M375" s="146">
        <f t="shared" si="107"/>
        <v>0</v>
      </c>
      <c r="N375" s="143" t="str">
        <f>IF(tuulisähkö_vuosi&lt;='S1 Sähkö'!C375,"tuulisähkö",ostosähkö_nyt)</f>
        <v>jäännössähkö</v>
      </c>
      <c r="O375" s="147">
        <f>INDEX(Muuttujat!$J$5:$J$21,MATCH($C375,Muuttujat!$H$5:$H$21,0),1)</f>
        <v>61.379690186142746</v>
      </c>
      <c r="P375" s="342">
        <f>1-(INDEX(Muuttujat!$O$5:$O$21,MATCH($C375,Muuttujat!$N$5:$N$21,0),1))</f>
        <v>0.9</v>
      </c>
      <c r="Q375" s="342">
        <f>INDEX(Muuttujat!$O$5:$O$21,MATCH($C375,Muuttujat!$N$5:$N$21,0),1)</f>
        <v>0.1</v>
      </c>
      <c r="R375" s="148">
        <f>INDEX(Muuttujat!$P$5:$P$21,MATCH($C375,Muuttujat!$N$5:$N$21,0),1)</f>
        <v>0.10417875759940039</v>
      </c>
      <c r="S375" s="149">
        <f t="shared" si="97"/>
        <v>0</v>
      </c>
      <c r="T375" s="150">
        <f t="shared" si="98"/>
        <v>0</v>
      </c>
      <c r="U375" s="150">
        <f t="shared" si="99"/>
        <v>0</v>
      </c>
      <c r="V375" s="150">
        <f>IFERROR(INDEX(Työkonekanta!$J$3:$J$27,MATCH($A375,Työkonekanta!$A$3:$A$24,0),1)*$B375*ef_li_ion_akku/1000/1000/INDEX(Työkonekanta!$K$3:$K$27,MATCH($A375,Työkonekanta!$A$3:$A$24,0)),0)</f>
        <v>0</v>
      </c>
      <c r="W375" s="149">
        <f t="shared" si="108"/>
        <v>0</v>
      </c>
      <c r="X375" s="150">
        <f t="shared" si="109"/>
        <v>0</v>
      </c>
      <c r="Y375" s="151">
        <f t="shared" si="110"/>
        <v>0</v>
      </c>
      <c r="Z375" s="152">
        <f t="shared" si="103"/>
        <v>0</v>
      </c>
      <c r="AA375" s="153">
        <f t="shared" si="104"/>
        <v>0</v>
      </c>
      <c r="AB375" s="153">
        <f t="shared" si="105"/>
        <v>0</v>
      </c>
      <c r="AC375" s="154">
        <f t="shared" si="111"/>
        <v>0</v>
      </c>
      <c r="AD375" s="156">
        <f t="shared" si="106"/>
        <v>0</v>
      </c>
      <c r="AE375" s="182"/>
      <c r="AG375" s="2"/>
    </row>
    <row r="376" spans="1:33">
      <c r="A376" s="139">
        <v>14</v>
      </c>
      <c r="B376" s="139" cm="1">
        <f t="array" ref="B376">IFERROR(IF(A376=s1_id_korvattava1,INDEX($AG$3:$AG$19,MATCH(C376,$AF$3:$AF$19,0),1),IF(A376=s1_id_korvaava1,INDEX($AH$3:$AH$19,MATCH(C376,$AF$3:$AF$19,0),1),IF(A376=s1_id_korvattava2,INDEX($AI$3:$AI$19,MATCH(C376,$AF$3:$AF$19,0),1),IF(A376=s1_id_korvaava2,INDEX($AJ$3:$AJ$19,MATCH(C376,$AF$3:$AF$19,0),1),INDEX(Työkonekanta!$F$3:$F$27,MATCH('S1 Sähkö'!$A376,Työkonekanta!$A$3:$A$24,0),1))))),0)</f>
        <v>0</v>
      </c>
      <c r="C376" s="140">
        <v>2031</v>
      </c>
      <c r="D376" s="141" t="str">
        <f>IFERROR(INDEX(Työkonekanta!$D$3:$D$27,MATCH('S1 Sähkö'!$A376,Työkonekanta!$A$3:$A$24,0),1),"undefined")</f>
        <v>pom</v>
      </c>
      <c r="E376" s="145">
        <f>IFERROR(INDEX(Työkonekanta!$G$3:$G$27,MATCH($A376,Työkonekanta!$A$3:$A$24,0),1)*INDEX(Työkonekanta!$H$3:$H$27,MATCH($A376,Työkonekanta!$A$3:$A$24,0),1)*(1+s1_kerroin*($C376-2019))*$B376,0)</f>
        <v>0</v>
      </c>
      <c r="F376" s="145">
        <f t="shared" si="94"/>
        <v>0</v>
      </c>
      <c r="G376" s="145">
        <f t="shared" si="100"/>
        <v>0</v>
      </c>
      <c r="H376" s="145">
        <f t="shared" si="101"/>
        <v>0</v>
      </c>
      <c r="I376" s="145">
        <f t="shared" si="95"/>
        <v>0</v>
      </c>
      <c r="J376" s="145">
        <f t="shared" si="96"/>
        <v>0</v>
      </c>
      <c r="K376" s="142" t="str">
        <f t="shared" si="102"/>
        <v>l</v>
      </c>
      <c r="L376" s="146">
        <f>IFERROR(INDEX(Työkonekanta!$I$3:$I$27,MATCH('S1 Sähkö'!$A376,Työkonekanta!$A$3:$A$24,0),1)*(I376+J376)*f_adblue,0)</f>
        <v>0</v>
      </c>
      <c r="M376" s="146">
        <f t="shared" si="107"/>
        <v>0</v>
      </c>
      <c r="N376" s="143" t="str">
        <f>IF(tuulisähkö_vuosi&lt;='S1 Sähkö'!C376,"tuulisähkö",ostosähkö_nyt)</f>
        <v>jäännössähkö</v>
      </c>
      <c r="O376" s="147">
        <f>INDEX(Muuttujat!$J$5:$J$21,MATCH($C376,Muuttujat!$H$5:$H$21,0),1)</f>
        <v>61.379690186142746</v>
      </c>
      <c r="P376" s="342">
        <f>1-(INDEX(Muuttujat!$O$5:$O$21,MATCH($C376,Muuttujat!$N$5:$N$21,0),1))</f>
        <v>0.9</v>
      </c>
      <c r="Q376" s="342">
        <f>INDEX(Muuttujat!$O$5:$O$21,MATCH($C376,Muuttujat!$N$5:$N$21,0),1)</f>
        <v>0.1</v>
      </c>
      <c r="R376" s="148">
        <f>INDEX(Muuttujat!$P$5:$P$21,MATCH($C376,Muuttujat!$N$5:$N$21,0),1)</f>
        <v>0.10417875759940039</v>
      </c>
      <c r="S376" s="149">
        <f t="shared" si="97"/>
        <v>0</v>
      </c>
      <c r="T376" s="150">
        <f t="shared" si="98"/>
        <v>0</v>
      </c>
      <c r="U376" s="150">
        <f t="shared" si="99"/>
        <v>0</v>
      </c>
      <c r="V376" s="150">
        <f>IFERROR(INDEX(Työkonekanta!$J$3:$J$27,MATCH($A376,Työkonekanta!$A$3:$A$24,0),1)*$B376*ef_li_ion_akku/1000/1000/INDEX(Työkonekanta!$K$3:$K$27,MATCH($A376,Työkonekanta!$A$3:$A$24,0)),0)</f>
        <v>0</v>
      </c>
      <c r="W376" s="149">
        <f t="shared" si="108"/>
        <v>0</v>
      </c>
      <c r="X376" s="150">
        <f t="shared" si="109"/>
        <v>0</v>
      </c>
      <c r="Y376" s="151">
        <f t="shared" si="110"/>
        <v>0</v>
      </c>
      <c r="Z376" s="152">
        <f t="shared" si="103"/>
        <v>0</v>
      </c>
      <c r="AA376" s="153">
        <f t="shared" si="104"/>
        <v>0</v>
      </c>
      <c r="AB376" s="153">
        <f t="shared" si="105"/>
        <v>0</v>
      </c>
      <c r="AC376" s="154">
        <f t="shared" si="111"/>
        <v>0</v>
      </c>
      <c r="AD376" s="156">
        <f t="shared" si="106"/>
        <v>0</v>
      </c>
      <c r="AE376" s="182"/>
      <c r="AG376" s="2"/>
    </row>
    <row r="377" spans="1:33">
      <c r="A377" s="139">
        <v>15</v>
      </c>
      <c r="B377" s="139" cm="1">
        <f t="array" ref="B377">IFERROR(IF(A377=s1_id_korvattava1,INDEX($AG$3:$AG$19,MATCH(C377,$AF$3:$AF$19,0),1),IF(A377=s1_id_korvaava1,INDEX($AH$3:$AH$19,MATCH(C377,$AF$3:$AF$19,0),1),IF(A377=s1_id_korvattava2,INDEX($AI$3:$AI$19,MATCH(C377,$AF$3:$AF$19,0),1),IF(A377=s1_id_korvaava2,INDEX($AJ$3:$AJ$19,MATCH(C377,$AF$3:$AF$19,0),1),INDEX(Työkonekanta!$F$3:$F$27,MATCH('S1 Sähkö'!$A377,Työkonekanta!$A$3:$A$24,0),1))))),0)</f>
        <v>0</v>
      </c>
      <c r="C377" s="140">
        <v>2031</v>
      </c>
      <c r="D377" s="141" t="str">
        <f>IFERROR(INDEX(Työkonekanta!$D$3:$D$27,MATCH('S1 Sähkö'!$A377,Työkonekanta!$A$3:$A$24,0),1),"undefined")</f>
        <v>sähkö</v>
      </c>
      <c r="E377" s="145">
        <f>IFERROR(INDEX(Työkonekanta!$G$3:$G$27,MATCH($A377,Työkonekanta!$A$3:$A$24,0),1)*INDEX(Työkonekanta!$H$3:$H$27,MATCH($A377,Työkonekanta!$A$3:$A$24,0),1)*(1+s1_kerroin*($C377-2019))*$B377,0)</f>
        <v>0</v>
      </c>
      <c r="F377" s="145">
        <f t="shared" si="94"/>
        <v>0</v>
      </c>
      <c r="G377" s="145">
        <f t="shared" si="100"/>
        <v>0</v>
      </c>
      <c r="H377" s="145">
        <f t="shared" si="101"/>
        <v>0</v>
      </c>
      <c r="I377" s="145">
        <f t="shared" si="95"/>
        <v>0</v>
      </c>
      <c r="J377" s="145">
        <f t="shared" si="96"/>
        <v>0</v>
      </c>
      <c r="K377" s="142" t="str">
        <f t="shared" si="102"/>
        <v>kWh</v>
      </c>
      <c r="L377" s="146">
        <f>IFERROR(INDEX(Työkonekanta!$I$3:$I$27,MATCH('S1 Sähkö'!$A377,Työkonekanta!$A$3:$A$24,0),1)*(I377+J377)*f_adblue,0)</f>
        <v>0</v>
      </c>
      <c r="M377" s="146">
        <f t="shared" si="107"/>
        <v>0</v>
      </c>
      <c r="N377" s="143" t="str">
        <f>IF(tuulisähkö_vuosi&lt;='S1 Sähkö'!C377,"tuulisähkö",ostosähkö_nyt)</f>
        <v>jäännössähkö</v>
      </c>
      <c r="O377" s="147">
        <f>INDEX(Muuttujat!$J$5:$J$21,MATCH($C377,Muuttujat!$H$5:$H$21,0),1)</f>
        <v>61.379690186142746</v>
      </c>
      <c r="P377" s="342">
        <f>1-(INDEX(Muuttujat!$O$5:$O$21,MATCH($C377,Muuttujat!$N$5:$N$21,0),1))</f>
        <v>0.9</v>
      </c>
      <c r="Q377" s="342">
        <f>INDEX(Muuttujat!$O$5:$O$21,MATCH($C377,Muuttujat!$N$5:$N$21,0),1)</f>
        <v>0.1</v>
      </c>
      <c r="R377" s="148">
        <f>INDEX(Muuttujat!$P$5:$P$21,MATCH($C377,Muuttujat!$N$5:$N$21,0),1)</f>
        <v>0.10417875759940039</v>
      </c>
      <c r="S377" s="149">
        <f t="shared" si="97"/>
        <v>0</v>
      </c>
      <c r="T377" s="150">
        <f t="shared" si="98"/>
        <v>0</v>
      </c>
      <c r="U377" s="150">
        <f t="shared" si="99"/>
        <v>0</v>
      </c>
      <c r="V377" s="150">
        <f>IFERROR(INDEX(Työkonekanta!$J$3:$J$27,MATCH($A377,Työkonekanta!$A$3:$A$24,0),1)*$B377*ef_li_ion_akku/1000/1000/INDEX(Työkonekanta!$K$3:$K$27,MATCH($A377,Työkonekanta!$A$3:$A$24,0)),0)</f>
        <v>0</v>
      </c>
      <c r="W377" s="149">
        <f t="shared" si="108"/>
        <v>0</v>
      </c>
      <c r="X377" s="150">
        <f t="shared" si="109"/>
        <v>0</v>
      </c>
      <c r="Y377" s="151">
        <f t="shared" si="110"/>
        <v>0</v>
      </c>
      <c r="Z377" s="152">
        <f t="shared" si="103"/>
        <v>0</v>
      </c>
      <c r="AA377" s="153">
        <f t="shared" si="104"/>
        <v>0</v>
      </c>
      <c r="AB377" s="153">
        <f t="shared" si="105"/>
        <v>0</v>
      </c>
      <c r="AC377" s="154">
        <f t="shared" si="111"/>
        <v>0</v>
      </c>
      <c r="AD377" s="156">
        <f t="shared" si="106"/>
        <v>0</v>
      </c>
      <c r="AE377" s="182"/>
      <c r="AG377" s="2"/>
    </row>
    <row r="378" spans="1:33">
      <c r="A378" s="139">
        <v>16</v>
      </c>
      <c r="B378" s="139" cm="1">
        <f t="array" ref="B378">IFERROR(IF(A378=s1_id_korvattava1,INDEX($AG$3:$AG$19,MATCH(C378,$AF$3:$AF$19,0),1),IF(A378=s1_id_korvaava1,INDEX($AH$3:$AH$19,MATCH(C378,$AF$3:$AF$19,0),1),IF(A378=s1_id_korvattava2,INDEX($AI$3:$AI$19,MATCH(C378,$AF$3:$AF$19,0),1),IF(A378=s1_id_korvaava2,INDEX($AJ$3:$AJ$19,MATCH(C378,$AF$3:$AF$19,0),1),INDEX(Työkonekanta!$F$3:$F$27,MATCH('S1 Sähkö'!$A378,Työkonekanta!$A$3:$A$24,0),1))))),0)</f>
        <v>0</v>
      </c>
      <c r="C378" s="140">
        <v>2031</v>
      </c>
      <c r="D378" s="141" t="str">
        <f>IFERROR(INDEX(Työkonekanta!$D$3:$D$27,MATCH('S1 Sähkö'!$A378,Työkonekanta!$A$3:$A$24,0),1),"undefined")</f>
        <v>sähkö</v>
      </c>
      <c r="E378" s="145">
        <f>IFERROR(INDEX(Työkonekanta!$G$3:$G$27,MATCH($A378,Työkonekanta!$A$3:$A$24,0),1)*INDEX(Työkonekanta!$H$3:$H$27,MATCH($A378,Työkonekanta!$A$3:$A$24,0),1)*(1+s1_kerroin*($C378-2019))*$B378,0)</f>
        <v>0</v>
      </c>
      <c r="F378" s="145">
        <f t="shared" si="94"/>
        <v>0</v>
      </c>
      <c r="G378" s="145">
        <f t="shared" si="100"/>
        <v>0</v>
      </c>
      <c r="H378" s="145">
        <f t="shared" si="101"/>
        <v>0</v>
      </c>
      <c r="I378" s="145">
        <f t="shared" si="95"/>
        <v>0</v>
      </c>
      <c r="J378" s="145">
        <f t="shared" si="96"/>
        <v>0</v>
      </c>
      <c r="K378" s="142" t="str">
        <f t="shared" si="102"/>
        <v>kWh</v>
      </c>
      <c r="L378" s="146">
        <f>IFERROR(INDEX(Työkonekanta!$I$3:$I$27,MATCH('S1 Sähkö'!$A378,Työkonekanta!$A$3:$A$24,0),1)*(I378+J378)*f_adblue,0)</f>
        <v>0</v>
      </c>
      <c r="M378" s="146">
        <f t="shared" si="107"/>
        <v>0</v>
      </c>
      <c r="N378" s="143" t="str">
        <f>IF(tuulisähkö_vuosi&lt;='S1 Sähkö'!C378,"tuulisähkö",ostosähkö_nyt)</f>
        <v>jäännössähkö</v>
      </c>
      <c r="O378" s="147">
        <f>INDEX(Muuttujat!$J$5:$J$21,MATCH($C378,Muuttujat!$H$5:$H$21,0),1)</f>
        <v>61.379690186142746</v>
      </c>
      <c r="P378" s="342">
        <f>1-(INDEX(Muuttujat!$O$5:$O$21,MATCH($C378,Muuttujat!$N$5:$N$21,0),1))</f>
        <v>0.9</v>
      </c>
      <c r="Q378" s="342">
        <f>INDEX(Muuttujat!$O$5:$O$21,MATCH($C378,Muuttujat!$N$5:$N$21,0),1)</f>
        <v>0.1</v>
      </c>
      <c r="R378" s="148">
        <f>INDEX(Muuttujat!$P$5:$P$21,MATCH($C378,Muuttujat!$N$5:$N$21,0),1)</f>
        <v>0.10417875759940039</v>
      </c>
      <c r="S378" s="149">
        <f t="shared" si="97"/>
        <v>0</v>
      </c>
      <c r="T378" s="150">
        <f t="shared" si="98"/>
        <v>0</v>
      </c>
      <c r="U378" s="150">
        <f t="shared" si="99"/>
        <v>0</v>
      </c>
      <c r="V378" s="150">
        <f>IFERROR(INDEX(Työkonekanta!$J$3:$J$27,MATCH($A378,Työkonekanta!$A$3:$A$24,0),1)*$B378*ef_li_ion_akku/1000/1000/INDEX(Työkonekanta!$K$3:$K$27,MATCH($A378,Työkonekanta!$A$3:$A$24,0)),0)</f>
        <v>0</v>
      </c>
      <c r="W378" s="149">
        <f t="shared" si="108"/>
        <v>0</v>
      </c>
      <c r="X378" s="150">
        <f t="shared" si="109"/>
        <v>0</v>
      </c>
      <c r="Y378" s="151">
        <f t="shared" si="110"/>
        <v>0</v>
      </c>
      <c r="Z378" s="152">
        <f t="shared" si="103"/>
        <v>0</v>
      </c>
      <c r="AA378" s="153">
        <f t="shared" si="104"/>
        <v>0</v>
      </c>
      <c r="AB378" s="153">
        <f t="shared" si="105"/>
        <v>0</v>
      </c>
      <c r="AC378" s="154">
        <f t="shared" si="111"/>
        <v>0</v>
      </c>
      <c r="AD378" s="156">
        <f t="shared" si="106"/>
        <v>0</v>
      </c>
      <c r="AE378" s="182"/>
      <c r="AG378" s="2"/>
    </row>
    <row r="379" spans="1:33">
      <c r="A379" s="139">
        <v>17</v>
      </c>
      <c r="B379" s="139" cm="1">
        <f t="array" ref="B379">IFERROR(IF(A379=s1_id_korvattava1,INDEX($AG$3:$AG$19,MATCH(C379,$AF$3:$AF$19,0),1),IF(A379=s1_id_korvaava1,INDEX($AH$3:$AH$19,MATCH(C379,$AF$3:$AF$19,0),1),IF(A379=s1_id_korvattava2,INDEX($AI$3:$AI$19,MATCH(C379,$AF$3:$AF$19,0),1),IF(A379=s1_id_korvaava2,INDEX($AJ$3:$AJ$19,MATCH(C379,$AF$3:$AF$19,0),1),INDEX(Työkonekanta!$F$3:$F$27,MATCH('S1 Sähkö'!$A379,Työkonekanta!$A$3:$A$24,0),1))))),0)</f>
        <v>0</v>
      </c>
      <c r="C379" s="140">
        <v>2031</v>
      </c>
      <c r="D379" s="141" t="str">
        <f>IFERROR(INDEX(Työkonekanta!$D$3:$D$27,MATCH('S1 Sähkö'!$A379,Työkonekanta!$A$3:$A$24,0),1),"undefined")</f>
        <v>pom</v>
      </c>
      <c r="E379" s="145">
        <f>IFERROR(INDEX(Työkonekanta!$G$3:$G$27,MATCH($A379,Työkonekanta!$A$3:$A$24,0),1)*INDEX(Työkonekanta!$H$3:$H$27,MATCH($A379,Työkonekanta!$A$3:$A$24,0),1)*(1+s1_kerroin*($C379-2019))*$B379,0)</f>
        <v>0</v>
      </c>
      <c r="F379" s="145">
        <f t="shared" si="94"/>
        <v>0</v>
      </c>
      <c r="G379" s="145">
        <f t="shared" si="100"/>
        <v>0</v>
      </c>
      <c r="H379" s="145">
        <f t="shared" si="101"/>
        <v>0</v>
      </c>
      <c r="I379" s="145">
        <f t="shared" si="95"/>
        <v>0</v>
      </c>
      <c r="J379" s="145">
        <f t="shared" si="96"/>
        <v>0</v>
      </c>
      <c r="K379" s="142" t="str">
        <f t="shared" si="102"/>
        <v>l</v>
      </c>
      <c r="L379" s="146">
        <f>IFERROR(INDEX(Työkonekanta!$I$3:$I$27,MATCH('S1 Sähkö'!$A379,Työkonekanta!$A$3:$A$24,0),1)*(I379+J379)*f_adblue,0)</f>
        <v>0</v>
      </c>
      <c r="M379" s="146">
        <f t="shared" si="107"/>
        <v>0</v>
      </c>
      <c r="N379" s="143" t="str">
        <f>IF(tuulisähkö_vuosi&lt;='S1 Sähkö'!C379,"tuulisähkö",ostosähkö_nyt)</f>
        <v>jäännössähkö</v>
      </c>
      <c r="O379" s="147">
        <f>INDEX(Muuttujat!$J$5:$J$21,MATCH($C379,Muuttujat!$H$5:$H$21,0),1)</f>
        <v>61.379690186142746</v>
      </c>
      <c r="P379" s="342">
        <f>1-(INDEX(Muuttujat!$O$5:$O$21,MATCH($C379,Muuttujat!$N$5:$N$21,0),1))</f>
        <v>0.9</v>
      </c>
      <c r="Q379" s="342">
        <f>INDEX(Muuttujat!$O$5:$O$21,MATCH($C379,Muuttujat!$N$5:$N$21,0),1)</f>
        <v>0.1</v>
      </c>
      <c r="R379" s="148">
        <f>INDEX(Muuttujat!$P$5:$P$21,MATCH($C379,Muuttujat!$N$5:$N$21,0),1)</f>
        <v>0.10417875759940039</v>
      </c>
      <c r="S379" s="149">
        <f t="shared" si="97"/>
        <v>0</v>
      </c>
      <c r="T379" s="150">
        <f t="shared" si="98"/>
        <v>0</v>
      </c>
      <c r="U379" s="150">
        <f t="shared" si="99"/>
        <v>0</v>
      </c>
      <c r="V379" s="150">
        <f>IFERROR(INDEX(Työkonekanta!$J$3:$J$27,MATCH($A379,Työkonekanta!$A$3:$A$24,0),1)*$B379*ef_li_ion_akku/1000/1000/INDEX(Työkonekanta!$K$3:$K$27,MATCH($A379,Työkonekanta!$A$3:$A$24,0)),0)</f>
        <v>0</v>
      </c>
      <c r="W379" s="149">
        <f t="shared" si="108"/>
        <v>0</v>
      </c>
      <c r="X379" s="150">
        <f t="shared" si="109"/>
        <v>0</v>
      </c>
      <c r="Y379" s="151">
        <f t="shared" si="110"/>
        <v>0</v>
      </c>
      <c r="Z379" s="152">
        <f t="shared" si="103"/>
        <v>0</v>
      </c>
      <c r="AA379" s="153">
        <f t="shared" si="104"/>
        <v>0</v>
      </c>
      <c r="AB379" s="153">
        <f t="shared" si="105"/>
        <v>0</v>
      </c>
      <c r="AC379" s="154">
        <f t="shared" si="111"/>
        <v>0</v>
      </c>
      <c r="AD379" s="156">
        <f t="shared" si="106"/>
        <v>0</v>
      </c>
      <c r="AE379" s="182"/>
      <c r="AG379" s="2"/>
    </row>
    <row r="380" spans="1:33">
      <c r="A380" s="139">
        <v>18</v>
      </c>
      <c r="B380" s="139" cm="1">
        <f t="array" ref="B380">IFERROR(IF(A380=s1_id_korvattava1,INDEX($AG$3:$AG$19,MATCH(C380,$AF$3:$AF$19,0),1),IF(A380=s1_id_korvaava1,INDEX($AH$3:$AH$19,MATCH(C380,$AF$3:$AF$19,0),1),IF(A380=s1_id_korvattava2,INDEX($AI$3:$AI$19,MATCH(C380,$AF$3:$AF$19,0),1),IF(A380=s1_id_korvaava2,INDEX($AJ$3:$AJ$19,MATCH(C380,$AF$3:$AF$19,0),1),INDEX(Työkonekanta!$F$3:$F$27,MATCH('S1 Sähkö'!$A380,Työkonekanta!$A$3:$A$24,0),1))))),0)</f>
        <v>0</v>
      </c>
      <c r="C380" s="140">
        <v>2031</v>
      </c>
      <c r="D380" s="141" t="str">
        <f>IFERROR(INDEX(Työkonekanta!$D$3:$D$27,MATCH('S1 Sähkö'!$A380,Työkonekanta!$A$3:$A$24,0),1),"undefined")</f>
        <v>pom</v>
      </c>
      <c r="E380" s="145">
        <f>IFERROR(INDEX(Työkonekanta!$G$3:$G$27,MATCH($A380,Työkonekanta!$A$3:$A$24,0),1)*INDEX(Työkonekanta!$H$3:$H$27,MATCH($A380,Työkonekanta!$A$3:$A$24,0),1)*(1+s1_kerroin*($C380-2019))*$B380,0)</f>
        <v>0</v>
      </c>
      <c r="F380" s="145">
        <f t="shared" si="94"/>
        <v>0</v>
      </c>
      <c r="G380" s="145">
        <f t="shared" si="100"/>
        <v>0</v>
      </c>
      <c r="H380" s="145">
        <f t="shared" si="101"/>
        <v>0</v>
      </c>
      <c r="I380" s="145">
        <f t="shared" si="95"/>
        <v>0</v>
      </c>
      <c r="J380" s="145">
        <f t="shared" si="96"/>
        <v>0</v>
      </c>
      <c r="K380" s="142" t="str">
        <f t="shared" si="102"/>
        <v>l</v>
      </c>
      <c r="L380" s="146">
        <f>IFERROR(INDEX(Työkonekanta!$I$3:$I$27,MATCH('S1 Sähkö'!$A380,Työkonekanta!$A$3:$A$24,0),1)*(I380+J380)*f_adblue,0)</f>
        <v>0</v>
      </c>
      <c r="M380" s="146">
        <f t="shared" si="107"/>
        <v>0</v>
      </c>
      <c r="N380" s="143" t="str">
        <f>IF(tuulisähkö_vuosi&lt;='S1 Sähkö'!C380,"tuulisähkö",ostosähkö_nyt)</f>
        <v>jäännössähkö</v>
      </c>
      <c r="O380" s="147">
        <f>INDEX(Muuttujat!$J$5:$J$21,MATCH($C380,Muuttujat!$H$5:$H$21,0),1)</f>
        <v>61.379690186142746</v>
      </c>
      <c r="P380" s="342">
        <f>1-(INDEX(Muuttujat!$O$5:$O$21,MATCH($C380,Muuttujat!$N$5:$N$21,0),1))</f>
        <v>0.9</v>
      </c>
      <c r="Q380" s="342">
        <f>INDEX(Muuttujat!$O$5:$O$21,MATCH($C380,Muuttujat!$N$5:$N$21,0),1)</f>
        <v>0.1</v>
      </c>
      <c r="R380" s="148">
        <f>INDEX(Muuttujat!$P$5:$P$21,MATCH($C380,Muuttujat!$N$5:$N$21,0),1)</f>
        <v>0.10417875759940039</v>
      </c>
      <c r="S380" s="149">
        <f t="shared" si="97"/>
        <v>0</v>
      </c>
      <c r="T380" s="150">
        <f t="shared" si="98"/>
        <v>0</v>
      </c>
      <c r="U380" s="150">
        <f t="shared" si="99"/>
        <v>0</v>
      </c>
      <c r="V380" s="150">
        <f>IFERROR(INDEX(Työkonekanta!$J$3:$J$27,MATCH($A380,Työkonekanta!$A$3:$A$24,0),1)*$B380*ef_li_ion_akku/1000/1000/INDEX(Työkonekanta!$K$3:$K$27,MATCH($A380,Työkonekanta!$A$3:$A$24,0)),0)</f>
        <v>0</v>
      </c>
      <c r="W380" s="149">
        <f t="shared" si="108"/>
        <v>0</v>
      </c>
      <c r="X380" s="150">
        <f t="shared" si="109"/>
        <v>0</v>
      </c>
      <c r="Y380" s="151">
        <f t="shared" si="110"/>
        <v>0</v>
      </c>
      <c r="Z380" s="152">
        <f t="shared" si="103"/>
        <v>0</v>
      </c>
      <c r="AA380" s="153">
        <f t="shared" si="104"/>
        <v>0</v>
      </c>
      <c r="AB380" s="153">
        <f t="shared" si="105"/>
        <v>0</v>
      </c>
      <c r="AC380" s="154">
        <f t="shared" si="111"/>
        <v>0</v>
      </c>
      <c r="AD380" s="156">
        <f t="shared" si="106"/>
        <v>0</v>
      </c>
      <c r="AE380" s="182"/>
      <c r="AG380" s="2"/>
    </row>
    <row r="381" spans="1:33">
      <c r="A381" s="139">
        <v>19</v>
      </c>
      <c r="B381" s="139" cm="1">
        <f t="array" ref="B381">IFERROR(IF(A381=s1_id_korvattava1,INDEX($AG$3:$AG$19,MATCH(C381,$AF$3:$AF$19,0),1),IF(A381=s1_id_korvaava1,INDEX($AH$3:$AH$19,MATCH(C381,$AF$3:$AF$19,0),1),IF(A381=s1_id_korvattava2,INDEX($AI$3:$AI$19,MATCH(C381,$AF$3:$AF$19,0),1),IF(A381=s1_id_korvaava2,INDEX($AJ$3:$AJ$19,MATCH(C381,$AF$3:$AF$19,0),1),INDEX(Työkonekanta!$F$3:$F$27,MATCH('S1 Sähkö'!$A381,Työkonekanta!$A$3:$A$24,0),1))))),0)</f>
        <v>0</v>
      </c>
      <c r="C381" s="140">
        <v>2031</v>
      </c>
      <c r="D381" s="141" t="str">
        <f>IFERROR(INDEX(Työkonekanta!$D$3:$D$27,MATCH('S1 Sähkö'!$A381,Työkonekanta!$A$3:$A$24,0),1),"undefined")</f>
        <v>pom</v>
      </c>
      <c r="E381" s="145">
        <f>IFERROR(INDEX(Työkonekanta!$G$3:$G$27,MATCH($A381,Työkonekanta!$A$3:$A$24,0),1)*INDEX(Työkonekanta!$H$3:$H$27,MATCH($A381,Työkonekanta!$A$3:$A$24,0),1)*(1+s1_kerroin*($C381-2019))*$B381,0)</f>
        <v>0</v>
      </c>
      <c r="F381" s="145">
        <f t="shared" si="94"/>
        <v>0</v>
      </c>
      <c r="G381" s="145">
        <f t="shared" si="100"/>
        <v>0</v>
      </c>
      <c r="H381" s="145">
        <f t="shared" si="101"/>
        <v>0</v>
      </c>
      <c r="I381" s="145">
        <f t="shared" si="95"/>
        <v>0</v>
      </c>
      <c r="J381" s="145">
        <f t="shared" si="96"/>
        <v>0</v>
      </c>
      <c r="K381" s="142" t="str">
        <f t="shared" si="102"/>
        <v>l</v>
      </c>
      <c r="L381" s="146">
        <f>IFERROR(INDEX(Työkonekanta!$I$3:$I$27,MATCH('S1 Sähkö'!$A381,Työkonekanta!$A$3:$A$24,0),1)*(I381+J381)*f_adblue,0)</f>
        <v>0</v>
      </c>
      <c r="M381" s="146">
        <f t="shared" si="107"/>
        <v>0</v>
      </c>
      <c r="N381" s="143" t="str">
        <f>IF(tuulisähkö_vuosi&lt;='S1 Sähkö'!C381,"tuulisähkö",ostosähkö_nyt)</f>
        <v>jäännössähkö</v>
      </c>
      <c r="O381" s="147">
        <f>INDEX(Muuttujat!$J$5:$J$21,MATCH($C381,Muuttujat!$H$5:$H$21,0),1)</f>
        <v>61.379690186142746</v>
      </c>
      <c r="P381" s="342">
        <f>1-(INDEX(Muuttujat!$O$5:$O$21,MATCH($C381,Muuttujat!$N$5:$N$21,0),1))</f>
        <v>0.9</v>
      </c>
      <c r="Q381" s="342">
        <f>INDEX(Muuttujat!$O$5:$O$21,MATCH($C381,Muuttujat!$N$5:$N$21,0),1)</f>
        <v>0.1</v>
      </c>
      <c r="R381" s="148">
        <f>INDEX(Muuttujat!$P$5:$P$21,MATCH($C381,Muuttujat!$N$5:$N$21,0),1)</f>
        <v>0.10417875759940039</v>
      </c>
      <c r="S381" s="149">
        <f t="shared" si="97"/>
        <v>0</v>
      </c>
      <c r="T381" s="150">
        <f t="shared" si="98"/>
        <v>0</v>
      </c>
      <c r="U381" s="150">
        <f t="shared" si="99"/>
        <v>0</v>
      </c>
      <c r="V381" s="150">
        <f>IFERROR(INDEX(Työkonekanta!$J$3:$J$27,MATCH($A381,Työkonekanta!$A$3:$A$24,0),1)*$B381*ef_li_ion_akku/1000/1000/INDEX(Työkonekanta!$K$3:$K$27,MATCH($A381,Työkonekanta!$A$3:$A$24,0)),0)</f>
        <v>0</v>
      </c>
      <c r="W381" s="149">
        <f t="shared" si="108"/>
        <v>0</v>
      </c>
      <c r="X381" s="150">
        <f t="shared" si="109"/>
        <v>0</v>
      </c>
      <c r="Y381" s="151">
        <f t="shared" si="110"/>
        <v>0</v>
      </c>
      <c r="Z381" s="152">
        <f t="shared" si="103"/>
        <v>0</v>
      </c>
      <c r="AA381" s="153">
        <f t="shared" si="104"/>
        <v>0</v>
      </c>
      <c r="AB381" s="153">
        <f t="shared" si="105"/>
        <v>0</v>
      </c>
      <c r="AC381" s="154">
        <f t="shared" si="111"/>
        <v>0</v>
      </c>
      <c r="AD381" s="156">
        <f t="shared" si="106"/>
        <v>0</v>
      </c>
      <c r="AE381" s="182"/>
      <c r="AG381" s="2"/>
    </row>
    <row r="382" spans="1:33">
      <c r="A382" s="139">
        <v>20</v>
      </c>
      <c r="B382" s="139" cm="1">
        <f t="array" ref="B382">IFERROR(IF(A382=s1_id_korvattava1,INDEX($AG$3:$AG$19,MATCH(C382,$AF$3:$AF$19,0),1),IF(A382=s1_id_korvaava1,INDEX($AH$3:$AH$19,MATCH(C382,$AF$3:$AF$19,0),1),IF(A382=s1_id_korvattava2,INDEX($AI$3:$AI$19,MATCH(C382,$AF$3:$AF$19,0),1),IF(A382=s1_id_korvaava2,INDEX($AJ$3:$AJ$19,MATCH(C382,$AF$3:$AF$19,0),1),INDEX(Työkonekanta!$F$3:$F$27,MATCH('S1 Sähkö'!$A382,Työkonekanta!$A$3:$A$24,0),1))))),0)</f>
        <v>0</v>
      </c>
      <c r="C382" s="140">
        <v>2031</v>
      </c>
      <c r="D382" s="141" t="str">
        <f>IFERROR(INDEX(Työkonekanta!$D$3:$D$27,MATCH('S1 Sähkö'!$A382,Työkonekanta!$A$3:$A$24,0),1),"undefined")</f>
        <v>pom</v>
      </c>
      <c r="E382" s="145">
        <f>IFERROR(INDEX(Työkonekanta!$G$3:$G$27,MATCH($A382,Työkonekanta!$A$3:$A$24,0),1)*INDEX(Työkonekanta!$H$3:$H$27,MATCH($A382,Työkonekanta!$A$3:$A$24,0),1)*(1+s1_kerroin*($C382-2019))*$B382,0)</f>
        <v>0</v>
      </c>
      <c r="F382" s="145">
        <f t="shared" si="94"/>
        <v>0</v>
      </c>
      <c r="G382" s="145">
        <f t="shared" si="100"/>
        <v>0</v>
      </c>
      <c r="H382" s="145">
        <f t="shared" si="101"/>
        <v>0</v>
      </c>
      <c r="I382" s="145">
        <f t="shared" si="95"/>
        <v>0</v>
      </c>
      <c r="J382" s="145">
        <f t="shared" si="96"/>
        <v>0</v>
      </c>
      <c r="K382" s="142" t="str">
        <f t="shared" si="102"/>
        <v>l</v>
      </c>
      <c r="L382" s="146">
        <f>IFERROR(INDEX(Työkonekanta!$I$3:$I$27,MATCH('S1 Sähkö'!$A382,Työkonekanta!$A$3:$A$24,0),1)*(I382+J382)*f_adblue,0)</f>
        <v>0</v>
      </c>
      <c r="M382" s="146">
        <f t="shared" si="107"/>
        <v>0</v>
      </c>
      <c r="N382" s="143" t="str">
        <f>IF(tuulisähkö_vuosi&lt;='S1 Sähkö'!C382,"tuulisähkö",ostosähkö_nyt)</f>
        <v>jäännössähkö</v>
      </c>
      <c r="O382" s="147">
        <f>INDEX(Muuttujat!$J$5:$J$21,MATCH($C382,Muuttujat!$H$5:$H$21,0),1)</f>
        <v>61.379690186142746</v>
      </c>
      <c r="P382" s="342">
        <f>1-(INDEX(Muuttujat!$O$5:$O$21,MATCH($C382,Muuttujat!$N$5:$N$21,0),1))</f>
        <v>0.9</v>
      </c>
      <c r="Q382" s="342">
        <f>INDEX(Muuttujat!$O$5:$O$21,MATCH($C382,Muuttujat!$N$5:$N$21,0),1)</f>
        <v>0.1</v>
      </c>
      <c r="R382" s="148">
        <f>INDEX(Muuttujat!$P$5:$P$21,MATCH($C382,Muuttujat!$N$5:$N$21,0),1)</f>
        <v>0.10417875759940039</v>
      </c>
      <c r="S382" s="149">
        <f t="shared" si="97"/>
        <v>0</v>
      </c>
      <c r="T382" s="150">
        <f t="shared" si="98"/>
        <v>0</v>
      </c>
      <c r="U382" s="150">
        <f t="shared" si="99"/>
        <v>0</v>
      </c>
      <c r="V382" s="150">
        <f>IFERROR(INDEX(Työkonekanta!$J$3:$J$27,MATCH($A382,Työkonekanta!$A$3:$A$24,0),1)*$B382*ef_li_ion_akku/1000/1000/INDEX(Työkonekanta!$K$3:$K$27,MATCH($A382,Työkonekanta!$A$3:$A$24,0)),0)</f>
        <v>0</v>
      </c>
      <c r="W382" s="149">
        <f t="shared" si="108"/>
        <v>0</v>
      </c>
      <c r="X382" s="150">
        <f t="shared" si="109"/>
        <v>0</v>
      </c>
      <c r="Y382" s="151">
        <f t="shared" si="110"/>
        <v>0</v>
      </c>
      <c r="Z382" s="152">
        <f t="shared" si="103"/>
        <v>0</v>
      </c>
      <c r="AA382" s="153">
        <f t="shared" si="104"/>
        <v>0</v>
      </c>
      <c r="AB382" s="153">
        <f t="shared" si="105"/>
        <v>0</v>
      </c>
      <c r="AC382" s="154">
        <f t="shared" si="111"/>
        <v>0</v>
      </c>
      <c r="AD382" s="156">
        <f t="shared" si="106"/>
        <v>0</v>
      </c>
      <c r="AE382" s="182"/>
      <c r="AG382" s="2"/>
    </row>
    <row r="383" spans="1:33">
      <c r="A383" s="139">
        <v>21</v>
      </c>
      <c r="B383" s="139" cm="1">
        <f t="array" ref="B383">IFERROR(IF(A383=s1_id_korvattava1,INDEX($AG$3:$AG$19,MATCH(C383,$AF$3:$AF$19,0),1),IF(A383=s1_id_korvaava1,INDEX($AH$3:$AH$19,MATCH(C383,$AF$3:$AF$19,0),1),IF(A383=s1_id_korvattava2,INDEX($AI$3:$AI$19,MATCH(C383,$AF$3:$AF$19,0),1),IF(A383=s1_id_korvaava2,INDEX($AJ$3:$AJ$19,MATCH(C383,$AF$3:$AF$19,0),1),INDEX(Työkonekanta!$F$3:$F$27,MATCH('S1 Sähkö'!$A383,Työkonekanta!$A$3:$A$24,0),1))))),0)</f>
        <v>36</v>
      </c>
      <c r="C383" s="140">
        <v>2031</v>
      </c>
      <c r="D383" s="141" t="str">
        <f>IFERROR(INDEX(Työkonekanta!$D$3:$D$27,MATCH('S1 Sähkö'!$A383,Työkonekanta!$A$3:$A$24,0),1),"undefined")</f>
        <v>sähkö</v>
      </c>
      <c r="E383" s="145">
        <f>IFERROR(INDEX(Työkonekanta!$G$3:$G$27,MATCH($A383,Työkonekanta!$A$3:$A$24,0),1)*INDEX(Työkonekanta!$H$3:$H$27,MATCH($A383,Työkonekanta!$A$3:$A$24,0),1)*(1+s1_kerroin*($C383-2019))*$B383,0)</f>
        <v>469093.33333333337</v>
      </c>
      <c r="F383" s="145">
        <f t="shared" si="94"/>
        <v>0</v>
      </c>
      <c r="G383" s="145">
        <f t="shared" si="100"/>
        <v>0</v>
      </c>
      <c r="H383" s="145">
        <f t="shared" si="101"/>
        <v>0</v>
      </c>
      <c r="I383" s="145">
        <f t="shared" si="95"/>
        <v>0</v>
      </c>
      <c r="J383" s="145">
        <f t="shared" si="96"/>
        <v>0</v>
      </c>
      <c r="K383" s="142" t="str">
        <f t="shared" si="102"/>
        <v>kWh</v>
      </c>
      <c r="L383" s="146">
        <f>IFERROR(INDEX(Työkonekanta!$I$3:$I$27,MATCH('S1 Sähkö'!$A383,Työkonekanta!$A$3:$A$24,0),1)*(I383+J383)*f_adblue,0)</f>
        <v>0</v>
      </c>
      <c r="M383" s="146">
        <f t="shared" si="107"/>
        <v>1688736.0000000002</v>
      </c>
      <c r="N383" s="143" t="str">
        <f>IF(tuulisähkö_vuosi&lt;='S1 Sähkö'!C383,"tuulisähkö",ostosähkö_nyt)</f>
        <v>jäännössähkö</v>
      </c>
      <c r="O383" s="147">
        <f>INDEX(Muuttujat!$J$5:$J$21,MATCH($C383,Muuttujat!$H$5:$H$21,0),1)</f>
        <v>61.379690186142746</v>
      </c>
      <c r="P383" s="342">
        <f>1-(INDEX(Muuttujat!$O$5:$O$21,MATCH($C383,Muuttujat!$N$5:$N$21,0),1))</f>
        <v>0.9</v>
      </c>
      <c r="Q383" s="342">
        <f>INDEX(Muuttujat!$O$5:$O$21,MATCH($C383,Muuttujat!$N$5:$N$21,0),1)</f>
        <v>0.1</v>
      </c>
      <c r="R383" s="148">
        <f>INDEX(Muuttujat!$P$5:$P$21,MATCH($C383,Muuttujat!$N$5:$N$21,0),1)</f>
        <v>0.10417875759940039</v>
      </c>
      <c r="S383" s="149">
        <f t="shared" si="97"/>
        <v>0</v>
      </c>
      <c r="T383" s="150">
        <f t="shared" si="98"/>
        <v>0</v>
      </c>
      <c r="U383" s="150">
        <f t="shared" si="99"/>
        <v>103.65409248618597</v>
      </c>
      <c r="V383" s="150">
        <f>IFERROR(INDEX(Työkonekanta!$J$3:$J$27,MATCH($A383,Työkonekanta!$A$3:$A$24,0),1)*$B383*ef_li_ion_akku/1000/1000/INDEX(Työkonekanta!$K$3:$K$27,MATCH($A383,Työkonekanta!$A$3:$A$24,0)),0)</f>
        <v>44.353772307692303</v>
      </c>
      <c r="W383" s="149">
        <f t="shared" si="108"/>
        <v>0</v>
      </c>
      <c r="X383" s="150">
        <f t="shared" si="109"/>
        <v>0</v>
      </c>
      <c r="Y383" s="151">
        <f t="shared" si="110"/>
        <v>0</v>
      </c>
      <c r="Z383" s="152">
        <f t="shared" si="103"/>
        <v>148.00786479387827</v>
      </c>
      <c r="AA383" s="153">
        <f t="shared" si="104"/>
        <v>0</v>
      </c>
      <c r="AB383" s="153">
        <f t="shared" si="105"/>
        <v>0</v>
      </c>
      <c r="AC383" s="154">
        <f t="shared" si="111"/>
        <v>148.00786479387827</v>
      </c>
      <c r="AD383" s="156">
        <f t="shared" si="106"/>
        <v>148.00786479387827</v>
      </c>
      <c r="AE383" s="182"/>
      <c r="AG383" s="2"/>
    </row>
    <row r="384" spans="1:33">
      <c r="A384" s="139">
        <v>22</v>
      </c>
      <c r="B384" s="139" cm="1">
        <f t="array" ref="B384">IFERROR(IF(A384=s1_id_korvattava1,INDEX($AG$3:$AG$19,MATCH(C384,$AF$3:$AF$19,0),1),IF(A384=s1_id_korvaava1,INDEX($AH$3:$AH$19,MATCH(C384,$AF$3:$AF$19,0),1),IF(A384=s1_id_korvattava2,INDEX($AI$3:$AI$19,MATCH(C384,$AF$3:$AF$19,0),1),IF(A384=s1_id_korvaava2,INDEX($AJ$3:$AJ$19,MATCH(C384,$AF$3:$AF$19,0),1),INDEX(Työkonekanta!$F$3:$F$27,MATCH('S1 Sähkö'!$A384,Työkonekanta!$A$3:$A$24,0),1))))),0)</f>
        <v>1</v>
      </c>
      <c r="C384" s="140">
        <v>2031</v>
      </c>
      <c r="D384" s="141" t="str">
        <f>IFERROR(INDEX(Työkonekanta!$D$3:$D$27,MATCH('S1 Sähkö'!$A384,Työkonekanta!$A$3:$A$24,0),1),"undefined")</f>
        <v>sähkö</v>
      </c>
      <c r="E384" s="145">
        <f>IFERROR(INDEX(Työkonekanta!$G$3:$G$27,MATCH($A384,Työkonekanta!$A$3:$A$24,0),1)*INDEX(Työkonekanta!$H$3:$H$27,MATCH($A384,Työkonekanta!$A$3:$A$24,0),1)*(1+s1_kerroin*($C384-2019))*$B384,0)</f>
        <v>49887.703703703708</v>
      </c>
      <c r="F384" s="145">
        <f t="shared" si="94"/>
        <v>0</v>
      </c>
      <c r="G384" s="145">
        <f t="shared" si="100"/>
        <v>0</v>
      </c>
      <c r="H384" s="145">
        <f t="shared" si="101"/>
        <v>0</v>
      </c>
      <c r="I384" s="145">
        <f t="shared" si="95"/>
        <v>0</v>
      </c>
      <c r="J384" s="145">
        <f t="shared" si="96"/>
        <v>0</v>
      </c>
      <c r="K384" s="142" t="str">
        <f t="shared" si="102"/>
        <v>kWh</v>
      </c>
      <c r="L384" s="146">
        <f>IFERROR(INDEX(Työkonekanta!$I$3:$I$27,MATCH('S1 Sähkö'!$A384,Työkonekanta!$A$3:$A$24,0),1)*(I384+J384)*f_adblue,0)</f>
        <v>0</v>
      </c>
      <c r="M384" s="146">
        <f t="shared" si="107"/>
        <v>179595.73333333337</v>
      </c>
      <c r="N384" s="143" t="str">
        <f>IF(tuulisähkö_vuosi&lt;='S1 Sähkö'!C384,"tuulisähkö",ostosähkö_nyt)</f>
        <v>jäännössähkö</v>
      </c>
      <c r="O384" s="147">
        <f>INDEX(Muuttujat!$J$5:$J$21,MATCH($C384,Muuttujat!$H$5:$H$21,0),1)</f>
        <v>61.379690186142746</v>
      </c>
      <c r="P384" s="342">
        <f>1-(INDEX(Muuttujat!$O$5:$O$21,MATCH($C384,Muuttujat!$N$5:$N$21,0),1))</f>
        <v>0.9</v>
      </c>
      <c r="Q384" s="342">
        <f>INDEX(Muuttujat!$O$5:$O$21,MATCH($C384,Muuttujat!$N$5:$N$21,0),1)</f>
        <v>0.1</v>
      </c>
      <c r="R384" s="148">
        <f>INDEX(Muuttujat!$P$5:$P$21,MATCH($C384,Muuttujat!$N$5:$N$21,0),1)</f>
        <v>0.10417875759940039</v>
      </c>
      <c r="S384" s="149">
        <f t="shared" si="97"/>
        <v>0</v>
      </c>
      <c r="T384" s="150">
        <f t="shared" si="98"/>
        <v>0</v>
      </c>
      <c r="U384" s="150">
        <f t="shared" si="99"/>
        <v>11.02353047075311</v>
      </c>
      <c r="V384" s="150">
        <f>IFERROR(INDEX(Työkonekanta!$J$3:$J$27,MATCH($A384,Työkonekanta!$A$3:$A$24,0),1)*$B384*ef_li_ion_akku/1000/1000/INDEX(Työkonekanta!$K$3:$K$27,MATCH($A384,Työkonekanta!$A$3:$A$24,0)),0)</f>
        <v>5.2676455384615384</v>
      </c>
      <c r="W384" s="149">
        <f t="shared" si="108"/>
        <v>0</v>
      </c>
      <c r="X384" s="150">
        <f t="shared" si="109"/>
        <v>0</v>
      </c>
      <c r="Y384" s="151">
        <f t="shared" si="110"/>
        <v>0</v>
      </c>
      <c r="Z384" s="152">
        <f t="shared" si="103"/>
        <v>16.291176009214649</v>
      </c>
      <c r="AA384" s="153">
        <f t="shared" si="104"/>
        <v>0</v>
      </c>
      <c r="AB384" s="153">
        <f t="shared" si="105"/>
        <v>0</v>
      </c>
      <c r="AC384" s="154">
        <f t="shared" si="111"/>
        <v>16.291176009214649</v>
      </c>
      <c r="AD384" s="156">
        <f t="shared" si="106"/>
        <v>16.291176009214649</v>
      </c>
      <c r="AE384" s="182"/>
      <c r="AG384" s="2"/>
    </row>
    <row r="385" spans="1:37">
      <c r="A385" s="139">
        <v>23</v>
      </c>
      <c r="B385" s="139" cm="1">
        <f t="array" ref="B385">IFERROR(IF(A385=s1_id_korvattava1,INDEX($AG$3:$AG$19,MATCH(C385,$AF$3:$AF$19,0),1),IF(A385=s1_id_korvaava1,INDEX($AH$3:$AH$19,MATCH(C385,$AF$3:$AF$19,0),1),IF(A385=s1_id_korvattava2,INDEX($AI$3:$AI$19,MATCH(C385,$AF$3:$AF$19,0),1),IF(A385=s1_id_korvaava2,INDEX($AJ$3:$AJ$19,MATCH(C385,$AF$3:$AF$19,0),1),INDEX(Työkonekanta!$F$3:$F$27,MATCH('S1 Sähkö'!$A385,Työkonekanta!$A$3:$A$24,0),1))))),0)</f>
        <v>0</v>
      </c>
      <c r="C385" s="140">
        <v>2031</v>
      </c>
      <c r="D385" s="141" t="str">
        <f>IFERROR(INDEX(Työkonekanta!$D$3:$D$27,MATCH('S1 Sähkö'!$A385,Työkonekanta!$A$3:$A$24,0),1),"undefined")</f>
        <v>undefined</v>
      </c>
      <c r="E385" s="145">
        <f>IFERROR(INDEX(Työkonekanta!$G$3:$G$27,MATCH($A385,Työkonekanta!$A$3:$A$24,0),1)*INDEX(Työkonekanta!$H$3:$H$27,MATCH($A385,Työkonekanta!$A$3:$A$24,0),1)*(1+s1_kerroin*($C385-2019))*$B385,0)</f>
        <v>0</v>
      </c>
      <c r="F385" s="145">
        <f t="shared" si="94"/>
        <v>0</v>
      </c>
      <c r="G385" s="145">
        <f t="shared" si="100"/>
        <v>0</v>
      </c>
      <c r="H385" s="145">
        <f t="shared" si="101"/>
        <v>0</v>
      </c>
      <c r="I385" s="145">
        <f t="shared" si="95"/>
        <v>0</v>
      </c>
      <c r="J385" s="145">
        <f t="shared" si="96"/>
        <v>0</v>
      </c>
      <c r="K385" s="142" t="str">
        <f t="shared" si="102"/>
        <v>undefined</v>
      </c>
      <c r="L385" s="146">
        <f>IFERROR(INDEX(Työkonekanta!$I$3:$I$27,MATCH('S1 Sähkö'!$A385,Työkonekanta!$A$3:$A$24,0),1)*(I385+J385)*f_adblue,0)</f>
        <v>0</v>
      </c>
      <c r="M385" s="146">
        <f t="shared" si="107"/>
        <v>0</v>
      </c>
      <c r="N385" s="143" t="str">
        <f>IF(tuulisähkö_vuosi&lt;='S1 Sähkö'!C385,"tuulisähkö",ostosähkö_nyt)</f>
        <v>jäännössähkö</v>
      </c>
      <c r="O385" s="147">
        <f>INDEX(Muuttujat!$J$5:$J$21,MATCH($C385,Muuttujat!$H$5:$H$21,0),1)</f>
        <v>61.379690186142746</v>
      </c>
      <c r="P385" s="342">
        <f>1-(INDEX(Muuttujat!$O$5:$O$21,MATCH($C385,Muuttujat!$N$5:$N$21,0),1))</f>
        <v>0.9</v>
      </c>
      <c r="Q385" s="342">
        <f>INDEX(Muuttujat!$O$5:$O$21,MATCH($C385,Muuttujat!$N$5:$N$21,0),1)</f>
        <v>0.1</v>
      </c>
      <c r="R385" s="148">
        <f>INDEX(Muuttujat!$P$5:$P$21,MATCH($C385,Muuttujat!$N$5:$N$21,0),1)</f>
        <v>0.10417875759940039</v>
      </c>
      <c r="S385" s="149">
        <f t="shared" si="97"/>
        <v>0</v>
      </c>
      <c r="T385" s="150">
        <f t="shared" si="98"/>
        <v>0</v>
      </c>
      <c r="U385" s="150">
        <f t="shared" si="99"/>
        <v>0</v>
      </c>
      <c r="V385" s="150">
        <f>IFERROR(INDEX(Työkonekanta!$J$3:$J$27,MATCH($A385,Työkonekanta!$A$3:$A$24,0),1)*$B385*ef_li_ion_akku/1000/1000/INDEX(Työkonekanta!$K$3:$K$27,MATCH($A385,Työkonekanta!$A$3:$A$24,0)),0)</f>
        <v>0</v>
      </c>
      <c r="W385" s="149">
        <f t="shared" si="108"/>
        <v>0</v>
      </c>
      <c r="X385" s="150">
        <f t="shared" si="109"/>
        <v>0</v>
      </c>
      <c r="Y385" s="151">
        <f t="shared" si="110"/>
        <v>0</v>
      </c>
      <c r="Z385" s="152">
        <f t="shared" si="103"/>
        <v>0</v>
      </c>
      <c r="AA385" s="153">
        <f t="shared" si="104"/>
        <v>0</v>
      </c>
      <c r="AB385" s="153">
        <f t="shared" si="105"/>
        <v>0</v>
      </c>
      <c r="AC385" s="154">
        <f t="shared" si="111"/>
        <v>0</v>
      </c>
      <c r="AD385" s="156">
        <f t="shared" si="106"/>
        <v>0</v>
      </c>
      <c r="AE385" s="182"/>
      <c r="AJ385" s="28"/>
      <c r="AK385" s="29"/>
    </row>
    <row r="386" spans="1:37">
      <c r="A386" s="139">
        <v>24</v>
      </c>
      <c r="B386" s="139" cm="1">
        <f t="array" ref="B386">IFERROR(IF(A386=s1_id_korvattava1,INDEX($AG$3:$AG$19,MATCH(C386,$AF$3:$AF$19,0),1),IF(A386=s1_id_korvaava1,INDEX($AH$3:$AH$19,MATCH(C386,$AF$3:$AF$19,0),1),IF(A386=s1_id_korvattava2,INDEX($AI$3:$AI$19,MATCH(C386,$AF$3:$AF$19,0),1),IF(A386=s1_id_korvaava2,INDEX($AJ$3:$AJ$19,MATCH(C386,$AF$3:$AF$19,0),1),INDEX(Työkonekanta!$F$3:$F$27,MATCH('S1 Sähkö'!$A386,Työkonekanta!$A$3:$A$24,0),1))))),0)</f>
        <v>0</v>
      </c>
      <c r="C386" s="140">
        <v>2031</v>
      </c>
      <c r="D386" s="141" t="str">
        <f>IFERROR(INDEX(Työkonekanta!$D$3:$D$27,MATCH('S1 Sähkö'!$A386,Työkonekanta!$A$3:$A$24,0),1),"undefined")</f>
        <v>undefined</v>
      </c>
      <c r="E386" s="145">
        <f>IFERROR(INDEX(Työkonekanta!$G$3:$G$27,MATCH($A386,Työkonekanta!$A$3:$A$24,0),1)*INDEX(Työkonekanta!$H$3:$H$27,MATCH($A386,Työkonekanta!$A$3:$A$24,0),1)*(1+s1_kerroin*($C386-2019))*$B386,0)</f>
        <v>0</v>
      </c>
      <c r="F386" s="145">
        <f t="shared" si="94"/>
        <v>0</v>
      </c>
      <c r="G386" s="145">
        <f t="shared" si="100"/>
        <v>0</v>
      </c>
      <c r="H386" s="145">
        <f t="shared" si="101"/>
        <v>0</v>
      </c>
      <c r="I386" s="145">
        <f t="shared" si="95"/>
        <v>0</v>
      </c>
      <c r="J386" s="145">
        <f t="shared" si="96"/>
        <v>0</v>
      </c>
      <c r="K386" s="142" t="str">
        <f t="shared" si="102"/>
        <v>undefined</v>
      </c>
      <c r="L386" s="146">
        <f>IFERROR(INDEX(Työkonekanta!$I$3:$I$27,MATCH('S1 Sähkö'!$A386,Työkonekanta!$A$3:$A$24,0),1)*(I386+J386)*f_adblue,0)</f>
        <v>0</v>
      </c>
      <c r="M386" s="146">
        <f t="shared" si="107"/>
        <v>0</v>
      </c>
      <c r="N386" s="143" t="str">
        <f>IF(tuulisähkö_vuosi&lt;='S1 Sähkö'!C386,"tuulisähkö",ostosähkö_nyt)</f>
        <v>jäännössähkö</v>
      </c>
      <c r="O386" s="147">
        <f>INDEX(Muuttujat!$J$5:$J$21,MATCH($C386,Muuttujat!$H$5:$H$21,0),1)</f>
        <v>61.379690186142746</v>
      </c>
      <c r="P386" s="342">
        <f>1-(INDEX(Muuttujat!$O$5:$O$21,MATCH($C386,Muuttujat!$N$5:$N$21,0),1))</f>
        <v>0.9</v>
      </c>
      <c r="Q386" s="342">
        <f>INDEX(Muuttujat!$O$5:$O$21,MATCH($C386,Muuttujat!$N$5:$N$21,0),1)</f>
        <v>0.1</v>
      </c>
      <c r="R386" s="148">
        <f>INDEX(Muuttujat!$P$5:$P$21,MATCH($C386,Muuttujat!$N$5:$N$21,0),1)</f>
        <v>0.10417875759940039</v>
      </c>
      <c r="S386" s="149">
        <f t="shared" si="97"/>
        <v>0</v>
      </c>
      <c r="T386" s="150">
        <f t="shared" si="98"/>
        <v>0</v>
      </c>
      <c r="U386" s="150">
        <f t="shared" si="99"/>
        <v>0</v>
      </c>
      <c r="V386" s="150">
        <f>IFERROR(INDEX(Työkonekanta!$J$3:$J$27,MATCH($A386,Työkonekanta!$A$3:$A$24,0),1)*$B386*ef_li_ion_akku/1000/1000/INDEX(Työkonekanta!$K$3:$K$27,MATCH($A386,Työkonekanta!$A$3:$A$24,0)),0)</f>
        <v>0</v>
      </c>
      <c r="W386" s="149">
        <f t="shared" si="108"/>
        <v>0</v>
      </c>
      <c r="X386" s="150">
        <f t="shared" si="109"/>
        <v>0</v>
      </c>
      <c r="Y386" s="151">
        <f t="shared" si="110"/>
        <v>0</v>
      </c>
      <c r="Z386" s="152">
        <f t="shared" si="103"/>
        <v>0</v>
      </c>
      <c r="AA386" s="153">
        <f t="shared" si="104"/>
        <v>0</v>
      </c>
      <c r="AB386" s="153">
        <f t="shared" si="105"/>
        <v>0</v>
      </c>
      <c r="AC386" s="154">
        <f t="shared" si="111"/>
        <v>0</v>
      </c>
      <c r="AD386" s="156">
        <f t="shared" si="106"/>
        <v>0</v>
      </c>
      <c r="AE386" s="182"/>
      <c r="AJ386" s="28"/>
      <c r="AK386" s="29"/>
    </row>
    <row r="387" spans="1:37">
      <c r="A387" s="139">
        <v>25</v>
      </c>
      <c r="B387" s="139" cm="1">
        <f t="array" ref="B387">IFERROR(IF(A387=s1_id_korvattava1,INDEX($AG$3:$AG$19,MATCH(C387,$AF$3:$AF$19,0),1),IF(A387=s1_id_korvaava1,INDEX($AH$3:$AH$19,MATCH(C387,$AF$3:$AF$19,0),1),IF(A387=s1_id_korvattava2,INDEX($AI$3:$AI$19,MATCH(C387,$AF$3:$AF$19,0),1),IF(A387=s1_id_korvaava2,INDEX($AJ$3:$AJ$19,MATCH(C387,$AF$3:$AF$19,0),1),INDEX(Työkonekanta!$F$3:$F$27,MATCH('S1 Sähkö'!$A387,Työkonekanta!$A$3:$A$24,0),1))))),0)</f>
        <v>0</v>
      </c>
      <c r="C387" s="140">
        <v>2031</v>
      </c>
      <c r="D387" s="141" t="str">
        <f>IFERROR(INDEX(Työkonekanta!$D$3:$D$27,MATCH('S1 Sähkö'!$A387,Työkonekanta!$A$3:$A$24,0),1),"undefined")</f>
        <v>undefined</v>
      </c>
      <c r="E387" s="145">
        <f>IFERROR(INDEX(Työkonekanta!$G$3:$G$27,MATCH($A387,Työkonekanta!$A$3:$A$24,0),1)*INDEX(Työkonekanta!$H$3:$H$27,MATCH($A387,Työkonekanta!$A$3:$A$24,0),1)*(1+s1_kerroin*($C387-2019))*$B387,0)</f>
        <v>0</v>
      </c>
      <c r="F387" s="145">
        <f t="shared" ref="F387:F450" si="112">IF(D387="pom",$E387*hv_pom,0)</f>
        <v>0</v>
      </c>
      <c r="G387" s="145">
        <f t="shared" si="100"/>
        <v>0</v>
      </c>
      <c r="H387" s="145">
        <f t="shared" si="101"/>
        <v>0</v>
      </c>
      <c r="I387" s="145">
        <f t="shared" ref="I387:I450" si="113">$G387/hv_pom</f>
        <v>0</v>
      </c>
      <c r="J387" s="145">
        <f t="shared" ref="J387:J450" si="114">$H387/hv_biodies</f>
        <v>0</v>
      </c>
      <c r="K387" s="142" t="str">
        <f t="shared" si="102"/>
        <v>undefined</v>
      </c>
      <c r="L387" s="146">
        <f>IFERROR(INDEX(Työkonekanta!$I$3:$I$27,MATCH('S1 Sähkö'!$A387,Työkonekanta!$A$3:$A$24,0),1)*(I387+J387)*f_adblue,0)</f>
        <v>0</v>
      </c>
      <c r="M387" s="146">
        <f t="shared" si="107"/>
        <v>0</v>
      </c>
      <c r="N387" s="143" t="str">
        <f>IF(tuulisähkö_vuosi&lt;='S1 Sähkö'!C387,"tuulisähkö",ostosähkö_nyt)</f>
        <v>jäännössähkö</v>
      </c>
      <c r="O387" s="147">
        <f>INDEX(Muuttujat!$J$5:$J$21,MATCH($C387,Muuttujat!$H$5:$H$21,0),1)</f>
        <v>61.379690186142746</v>
      </c>
      <c r="P387" s="342">
        <f>1-(INDEX(Muuttujat!$O$5:$O$21,MATCH($C387,Muuttujat!$N$5:$N$21,0),1))</f>
        <v>0.9</v>
      </c>
      <c r="Q387" s="342">
        <f>INDEX(Muuttujat!$O$5:$O$21,MATCH($C387,Muuttujat!$N$5:$N$21,0),1)</f>
        <v>0.1</v>
      </c>
      <c r="R387" s="148">
        <f>INDEX(Muuttujat!$P$5:$P$21,MATCH($C387,Muuttujat!$N$5:$N$21,0),1)</f>
        <v>0.10417875759940039</v>
      </c>
      <c r="S387" s="149">
        <f t="shared" ref="S387:S450" si="115">wtt_ef_e_co2_dies*$G387/1000/1000</f>
        <v>0</v>
      </c>
      <c r="T387" s="150">
        <f t="shared" ref="T387:T450" si="116">wtt_ef_e_co2_biodies*$H387/1000/1000</f>
        <v>0</v>
      </c>
      <c r="U387" s="150">
        <f t="shared" ref="U387:U450" si="117">IF(N387="jäännössähkö",$O387,IF(N387="tuulisähkö",wtt_ef_e_co2_el_wind,0))*$M387/1000/1000</f>
        <v>0</v>
      </c>
      <c r="V387" s="150">
        <f>IFERROR(INDEX(Työkonekanta!$J$3:$J$27,MATCH($A387,Työkonekanta!$A$3:$A$24,0),1)*$B387*ef_li_ion_akku/1000/1000/INDEX(Työkonekanta!$K$3:$K$27,MATCH($A387,Työkonekanta!$A$3:$A$24,0)),0)</f>
        <v>0</v>
      </c>
      <c r="W387" s="149">
        <f t="shared" si="108"/>
        <v>0</v>
      </c>
      <c r="X387" s="150">
        <f t="shared" si="109"/>
        <v>0</v>
      </c>
      <c r="Y387" s="151">
        <f t="shared" si="110"/>
        <v>0</v>
      </c>
      <c r="Z387" s="152">
        <f t="shared" si="103"/>
        <v>0</v>
      </c>
      <c r="AA387" s="153">
        <f t="shared" si="104"/>
        <v>0</v>
      </c>
      <c r="AB387" s="153">
        <f t="shared" si="105"/>
        <v>0</v>
      </c>
      <c r="AC387" s="154">
        <f t="shared" si="111"/>
        <v>0</v>
      </c>
      <c r="AD387" s="156">
        <f t="shared" si="106"/>
        <v>0</v>
      </c>
      <c r="AE387" s="182"/>
      <c r="AJ387" s="28"/>
      <c r="AK387" s="29"/>
    </row>
    <row r="388" spans="1:37">
      <c r="A388" s="139">
        <v>26</v>
      </c>
      <c r="B388" s="139" cm="1">
        <f t="array" ref="B388">IFERROR(IF(A388=s1_id_korvattava1,INDEX($AG$3:$AG$19,MATCH(C388,$AF$3:$AF$19,0),1),IF(A388=s1_id_korvaava1,INDEX($AH$3:$AH$19,MATCH(C388,$AF$3:$AF$19,0),1),IF(A388=s1_id_korvattava2,INDEX($AI$3:$AI$19,MATCH(C388,$AF$3:$AF$19,0),1),IF(A388=s1_id_korvaava2,INDEX($AJ$3:$AJ$19,MATCH(C388,$AF$3:$AF$19,0),1),INDEX(Työkonekanta!$F$3:$F$27,MATCH('S1 Sähkö'!$A388,Työkonekanta!$A$3:$A$24,0),1))))),0)</f>
        <v>0</v>
      </c>
      <c r="C388" s="140">
        <v>2031</v>
      </c>
      <c r="D388" s="141" t="str">
        <f>IFERROR(INDEX(Työkonekanta!$D$3:$D$27,MATCH('S1 Sähkö'!$A388,Työkonekanta!$A$3:$A$24,0),1),"undefined")</f>
        <v>undefined</v>
      </c>
      <c r="E388" s="145">
        <f>IFERROR(INDEX(Työkonekanta!$G$3:$G$27,MATCH($A388,Työkonekanta!$A$3:$A$24,0),1)*INDEX(Työkonekanta!$H$3:$H$27,MATCH($A388,Työkonekanta!$A$3:$A$24,0),1)*(1+s1_kerroin*($C388-2019))*$B388,0)</f>
        <v>0</v>
      </c>
      <c r="F388" s="145">
        <f t="shared" si="112"/>
        <v>0</v>
      </c>
      <c r="G388" s="145">
        <f t="shared" ref="G388:G451" si="118">$F388*$P388</f>
        <v>0</v>
      </c>
      <c r="H388" s="145">
        <f t="shared" ref="H388:H451" si="119">$F388*$Q388</f>
        <v>0</v>
      </c>
      <c r="I388" s="145">
        <f t="shared" si="113"/>
        <v>0</v>
      </c>
      <c r="J388" s="145">
        <f t="shared" si="114"/>
        <v>0</v>
      </c>
      <c r="K388" s="142" t="str">
        <f t="shared" ref="K388:K451" si="120">IF($D388="sähkö","kWh",IF($D388="pom","l","undefined"))</f>
        <v>undefined</v>
      </c>
      <c r="L388" s="146">
        <f>IFERROR(INDEX(Työkonekanta!$I$3:$I$27,MATCH('S1 Sähkö'!$A388,Työkonekanta!$A$3:$A$24,0),1)*(I388+J388)*f_adblue,0)</f>
        <v>0</v>
      </c>
      <c r="M388" s="146">
        <f t="shared" si="107"/>
        <v>0</v>
      </c>
      <c r="N388" s="143" t="str">
        <f>IF(tuulisähkö_vuosi&lt;='S1 Sähkö'!C388,"tuulisähkö",ostosähkö_nyt)</f>
        <v>jäännössähkö</v>
      </c>
      <c r="O388" s="147">
        <f>INDEX(Muuttujat!$J$5:$J$21,MATCH($C388,Muuttujat!$H$5:$H$21,0),1)</f>
        <v>61.379690186142746</v>
      </c>
      <c r="P388" s="342">
        <f>1-(INDEX(Muuttujat!$O$5:$O$21,MATCH($C388,Muuttujat!$N$5:$N$21,0),1))</f>
        <v>0.9</v>
      </c>
      <c r="Q388" s="342">
        <f>INDEX(Muuttujat!$O$5:$O$21,MATCH($C388,Muuttujat!$N$5:$N$21,0),1)</f>
        <v>0.1</v>
      </c>
      <c r="R388" s="148">
        <f>INDEX(Muuttujat!$P$5:$P$21,MATCH($C388,Muuttujat!$N$5:$N$21,0),1)</f>
        <v>0.10417875759940039</v>
      </c>
      <c r="S388" s="149">
        <f t="shared" si="115"/>
        <v>0</v>
      </c>
      <c r="T388" s="150">
        <f t="shared" si="116"/>
        <v>0</v>
      </c>
      <c r="U388" s="150">
        <f t="shared" si="117"/>
        <v>0</v>
      </c>
      <c r="V388" s="150">
        <f>IFERROR(INDEX(Työkonekanta!$J$3:$J$27,MATCH($A388,Työkonekanta!$A$3:$A$24,0),1)*$B388*ef_li_ion_akku/1000/1000/INDEX(Työkonekanta!$K$3:$K$27,MATCH($A388,Työkonekanta!$A$3:$A$24,0)),0)</f>
        <v>0</v>
      </c>
      <c r="W388" s="149">
        <f t="shared" si="108"/>
        <v>0</v>
      </c>
      <c r="X388" s="150">
        <f t="shared" si="109"/>
        <v>0</v>
      </c>
      <c r="Y388" s="151">
        <f t="shared" si="110"/>
        <v>0</v>
      </c>
      <c r="Z388" s="152">
        <f t="shared" ref="Z388:Z451" si="121">SUM($S388:$V388)</f>
        <v>0</v>
      </c>
      <c r="AA388" s="153">
        <f t="shared" ref="AA388:AA451" si="122">$W388+$Y388</f>
        <v>0</v>
      </c>
      <c r="AB388" s="153">
        <f t="shared" ref="AB388:AB451" si="123">SUM($W388:$Y388)</f>
        <v>0</v>
      </c>
      <c r="AC388" s="154">
        <f t="shared" si="111"/>
        <v>0</v>
      </c>
      <c r="AD388" s="156">
        <f t="shared" ref="AD388:AD451" si="124">$Z388+$AB388</f>
        <v>0</v>
      </c>
      <c r="AE388" s="182"/>
      <c r="AJ388" s="28"/>
      <c r="AK388" s="29"/>
    </row>
    <row r="389" spans="1:37">
      <c r="A389" s="139">
        <v>27</v>
      </c>
      <c r="B389" s="139" cm="1">
        <f t="array" ref="B389">IFERROR(IF(A389=s1_id_korvattava1,INDEX($AG$3:$AG$19,MATCH(C389,$AF$3:$AF$19,0),1),IF(A389=s1_id_korvaava1,INDEX($AH$3:$AH$19,MATCH(C389,$AF$3:$AF$19,0),1),IF(A389=s1_id_korvattava2,INDEX($AI$3:$AI$19,MATCH(C389,$AF$3:$AF$19,0),1),IF(A389=s1_id_korvaava2,INDEX($AJ$3:$AJ$19,MATCH(C389,$AF$3:$AF$19,0),1),INDEX(Työkonekanta!$F$3:$F$27,MATCH('S1 Sähkö'!$A389,Työkonekanta!$A$3:$A$24,0),1))))),0)</f>
        <v>0</v>
      </c>
      <c r="C389" s="140">
        <v>2031</v>
      </c>
      <c r="D389" s="141" t="str">
        <f>IFERROR(INDEX(Työkonekanta!$D$3:$D$27,MATCH('S1 Sähkö'!$A389,Työkonekanta!$A$3:$A$24,0),1),"undefined")</f>
        <v>undefined</v>
      </c>
      <c r="E389" s="145">
        <f>IFERROR(INDEX(Työkonekanta!$G$3:$G$27,MATCH($A389,Työkonekanta!$A$3:$A$24,0),1)*INDEX(Työkonekanta!$H$3:$H$27,MATCH($A389,Työkonekanta!$A$3:$A$24,0),1)*(1+s1_kerroin*($C389-2019))*$B389,0)</f>
        <v>0</v>
      </c>
      <c r="F389" s="145">
        <f t="shared" si="112"/>
        <v>0</v>
      </c>
      <c r="G389" s="145">
        <f t="shared" si="118"/>
        <v>0</v>
      </c>
      <c r="H389" s="145">
        <f t="shared" si="119"/>
        <v>0</v>
      </c>
      <c r="I389" s="145">
        <f t="shared" si="113"/>
        <v>0</v>
      </c>
      <c r="J389" s="145">
        <f t="shared" si="114"/>
        <v>0</v>
      </c>
      <c r="K389" s="142" t="str">
        <f t="shared" si="120"/>
        <v>undefined</v>
      </c>
      <c r="L389" s="146">
        <f>IFERROR(INDEX(Työkonekanta!$I$3:$I$27,MATCH('S1 Sähkö'!$A389,Työkonekanta!$A$3:$A$24,0),1)*(I389+J389)*f_adblue,0)</f>
        <v>0</v>
      </c>
      <c r="M389" s="146">
        <f t="shared" si="107"/>
        <v>0</v>
      </c>
      <c r="N389" s="143" t="str">
        <f>IF(tuulisähkö_vuosi&lt;='S1 Sähkö'!C389,"tuulisähkö",ostosähkö_nyt)</f>
        <v>jäännössähkö</v>
      </c>
      <c r="O389" s="147">
        <f>INDEX(Muuttujat!$J$5:$J$21,MATCH($C389,Muuttujat!$H$5:$H$21,0),1)</f>
        <v>61.379690186142746</v>
      </c>
      <c r="P389" s="342">
        <f>1-(INDEX(Muuttujat!$O$5:$O$21,MATCH($C389,Muuttujat!$N$5:$N$21,0),1))</f>
        <v>0.9</v>
      </c>
      <c r="Q389" s="342">
        <f>INDEX(Muuttujat!$O$5:$O$21,MATCH($C389,Muuttujat!$N$5:$N$21,0),1)</f>
        <v>0.1</v>
      </c>
      <c r="R389" s="148">
        <f>INDEX(Muuttujat!$P$5:$P$21,MATCH($C389,Muuttujat!$N$5:$N$21,0),1)</f>
        <v>0.10417875759940039</v>
      </c>
      <c r="S389" s="149">
        <f t="shared" si="115"/>
        <v>0</v>
      </c>
      <c r="T389" s="150">
        <f t="shared" si="116"/>
        <v>0</v>
      </c>
      <c r="U389" s="150">
        <f t="shared" si="117"/>
        <v>0</v>
      </c>
      <c r="V389" s="150">
        <f>IFERROR(INDEX(Työkonekanta!$J$3:$J$27,MATCH($A389,Työkonekanta!$A$3:$A$24,0),1)*$B389*ef_li_ion_akku/1000/1000/INDEX(Työkonekanta!$K$3:$K$27,MATCH($A389,Työkonekanta!$A$3:$A$24,0)),0)</f>
        <v>0</v>
      </c>
      <c r="W389" s="149">
        <f t="shared" si="108"/>
        <v>0</v>
      </c>
      <c r="X389" s="150">
        <f t="shared" si="109"/>
        <v>0</v>
      </c>
      <c r="Y389" s="151">
        <f t="shared" si="110"/>
        <v>0</v>
      </c>
      <c r="Z389" s="152">
        <f t="shared" si="121"/>
        <v>0</v>
      </c>
      <c r="AA389" s="153">
        <f t="shared" si="122"/>
        <v>0</v>
      </c>
      <c r="AB389" s="153">
        <f t="shared" si="123"/>
        <v>0</v>
      </c>
      <c r="AC389" s="154">
        <f t="shared" si="111"/>
        <v>0</v>
      </c>
      <c r="AD389" s="156">
        <f t="shared" si="124"/>
        <v>0</v>
      </c>
      <c r="AE389" s="182"/>
      <c r="AJ389" s="28"/>
      <c r="AK389" s="29"/>
    </row>
    <row r="390" spans="1:37">
      <c r="A390" s="139">
        <v>28</v>
      </c>
      <c r="B390" s="139" cm="1">
        <f t="array" ref="B390">IFERROR(IF(A390=s1_id_korvattava1,INDEX($AG$3:$AG$19,MATCH(C390,$AF$3:$AF$19,0),1),IF(A390=s1_id_korvaava1,INDEX($AH$3:$AH$19,MATCH(C390,$AF$3:$AF$19,0),1),IF(A390=s1_id_korvattava2,INDEX($AI$3:$AI$19,MATCH(C390,$AF$3:$AF$19,0),1),IF(A390=s1_id_korvaava2,INDEX($AJ$3:$AJ$19,MATCH(C390,$AF$3:$AF$19,0),1),INDEX(Työkonekanta!$F$3:$F$27,MATCH('S1 Sähkö'!$A390,Työkonekanta!$A$3:$A$24,0),1))))),0)</f>
        <v>0</v>
      </c>
      <c r="C390" s="140">
        <v>2031</v>
      </c>
      <c r="D390" s="141" t="str">
        <f>IFERROR(INDEX(Työkonekanta!$D$3:$D$27,MATCH('S1 Sähkö'!$A390,Työkonekanta!$A$3:$A$24,0),1),"undefined")</f>
        <v>undefined</v>
      </c>
      <c r="E390" s="145">
        <f>IFERROR(INDEX(Työkonekanta!$G$3:$G$27,MATCH($A390,Työkonekanta!$A$3:$A$24,0),1)*INDEX(Työkonekanta!$H$3:$H$27,MATCH($A390,Työkonekanta!$A$3:$A$24,0),1)*(1+s1_kerroin*($C390-2019))*$B390,0)</f>
        <v>0</v>
      </c>
      <c r="F390" s="145">
        <f t="shared" si="112"/>
        <v>0</v>
      </c>
      <c r="G390" s="145">
        <f t="shared" si="118"/>
        <v>0</v>
      </c>
      <c r="H390" s="145">
        <f t="shared" si="119"/>
        <v>0</v>
      </c>
      <c r="I390" s="145">
        <f t="shared" si="113"/>
        <v>0</v>
      </c>
      <c r="J390" s="145">
        <f t="shared" si="114"/>
        <v>0</v>
      </c>
      <c r="K390" s="142" t="str">
        <f t="shared" si="120"/>
        <v>undefined</v>
      </c>
      <c r="L390" s="146">
        <f>IFERROR(INDEX(Työkonekanta!$I$3:$I$27,MATCH('S1 Sähkö'!$A390,Työkonekanta!$A$3:$A$24,0),1)*(I390+J390)*f_adblue,0)</f>
        <v>0</v>
      </c>
      <c r="M390" s="146">
        <f t="shared" si="107"/>
        <v>0</v>
      </c>
      <c r="N390" s="143" t="str">
        <f>IF(tuulisähkö_vuosi&lt;='S1 Sähkö'!C390,"tuulisähkö",ostosähkö_nyt)</f>
        <v>jäännössähkö</v>
      </c>
      <c r="O390" s="147">
        <f>INDEX(Muuttujat!$J$5:$J$21,MATCH($C390,Muuttujat!$H$5:$H$21,0),1)</f>
        <v>61.379690186142746</v>
      </c>
      <c r="P390" s="342">
        <f>1-(INDEX(Muuttujat!$O$5:$O$21,MATCH($C390,Muuttujat!$N$5:$N$21,0),1))</f>
        <v>0.9</v>
      </c>
      <c r="Q390" s="342">
        <f>INDEX(Muuttujat!$O$5:$O$21,MATCH($C390,Muuttujat!$N$5:$N$21,0),1)</f>
        <v>0.1</v>
      </c>
      <c r="R390" s="148">
        <f>INDEX(Muuttujat!$P$5:$P$21,MATCH($C390,Muuttujat!$N$5:$N$21,0),1)</f>
        <v>0.10417875759940039</v>
      </c>
      <c r="S390" s="149">
        <f t="shared" si="115"/>
        <v>0</v>
      </c>
      <c r="T390" s="150">
        <f t="shared" si="116"/>
        <v>0</v>
      </c>
      <c r="U390" s="150">
        <f t="shared" si="117"/>
        <v>0</v>
      </c>
      <c r="V390" s="150">
        <f>IFERROR(INDEX(Työkonekanta!$J$3:$J$27,MATCH($A390,Työkonekanta!$A$3:$A$24,0),1)*$B390*ef_li_ion_akku/1000/1000/INDEX(Työkonekanta!$K$3:$K$27,MATCH($A390,Työkonekanta!$A$3:$A$24,0)),0)</f>
        <v>0</v>
      </c>
      <c r="W390" s="149">
        <f t="shared" si="108"/>
        <v>0</v>
      </c>
      <c r="X390" s="150">
        <f t="shared" si="109"/>
        <v>0</v>
      </c>
      <c r="Y390" s="151">
        <f t="shared" si="110"/>
        <v>0</v>
      </c>
      <c r="Z390" s="152">
        <f t="shared" si="121"/>
        <v>0</v>
      </c>
      <c r="AA390" s="153">
        <f t="shared" si="122"/>
        <v>0</v>
      </c>
      <c r="AB390" s="153">
        <f t="shared" si="123"/>
        <v>0</v>
      </c>
      <c r="AC390" s="154">
        <f t="shared" si="111"/>
        <v>0</v>
      </c>
      <c r="AD390" s="156">
        <f t="shared" si="124"/>
        <v>0</v>
      </c>
      <c r="AE390" s="182"/>
      <c r="AJ390" s="28"/>
      <c r="AK390" s="29"/>
    </row>
    <row r="391" spans="1:37">
      <c r="A391" s="139">
        <v>29</v>
      </c>
      <c r="B391" s="139" cm="1">
        <f t="array" ref="B391">IFERROR(IF(A391=s1_id_korvattava1,INDEX($AG$3:$AG$19,MATCH(C391,$AF$3:$AF$19,0),1),IF(A391=s1_id_korvaava1,INDEX($AH$3:$AH$19,MATCH(C391,$AF$3:$AF$19,0),1),IF(A391=s1_id_korvattava2,INDEX($AI$3:$AI$19,MATCH(C391,$AF$3:$AF$19,0),1),IF(A391=s1_id_korvaava2,INDEX($AJ$3:$AJ$19,MATCH(C391,$AF$3:$AF$19,0),1),INDEX(Työkonekanta!$F$3:$F$27,MATCH('S1 Sähkö'!$A391,Työkonekanta!$A$3:$A$24,0),1))))),0)</f>
        <v>0</v>
      </c>
      <c r="C391" s="140">
        <v>2031</v>
      </c>
      <c r="D391" s="141" t="str">
        <f>IFERROR(INDEX(Työkonekanta!$D$3:$D$27,MATCH('S1 Sähkö'!$A391,Työkonekanta!$A$3:$A$24,0),1),"undefined")</f>
        <v>undefined</v>
      </c>
      <c r="E391" s="145">
        <f>IFERROR(INDEX(Työkonekanta!$G$3:$G$27,MATCH($A391,Työkonekanta!$A$3:$A$24,0),1)*INDEX(Työkonekanta!$H$3:$H$27,MATCH($A391,Työkonekanta!$A$3:$A$24,0),1)*(1+s1_kerroin*($C391-2019))*$B391,0)</f>
        <v>0</v>
      </c>
      <c r="F391" s="145">
        <f t="shared" si="112"/>
        <v>0</v>
      </c>
      <c r="G391" s="145">
        <f t="shared" si="118"/>
        <v>0</v>
      </c>
      <c r="H391" s="145">
        <f t="shared" si="119"/>
        <v>0</v>
      </c>
      <c r="I391" s="145">
        <f t="shared" si="113"/>
        <v>0</v>
      </c>
      <c r="J391" s="145">
        <f t="shared" si="114"/>
        <v>0</v>
      </c>
      <c r="K391" s="142" t="str">
        <f t="shared" si="120"/>
        <v>undefined</v>
      </c>
      <c r="L391" s="146">
        <f>IFERROR(INDEX(Työkonekanta!$I$3:$I$27,MATCH('S1 Sähkö'!$A391,Työkonekanta!$A$3:$A$24,0),1)*(I391+J391)*f_adblue,0)</f>
        <v>0</v>
      </c>
      <c r="M391" s="146">
        <f t="shared" si="107"/>
        <v>0</v>
      </c>
      <c r="N391" s="143" t="str">
        <f>IF(tuulisähkö_vuosi&lt;='S1 Sähkö'!C391,"tuulisähkö",ostosähkö_nyt)</f>
        <v>jäännössähkö</v>
      </c>
      <c r="O391" s="147">
        <f>INDEX(Muuttujat!$J$5:$J$21,MATCH($C391,Muuttujat!$H$5:$H$21,0),1)</f>
        <v>61.379690186142746</v>
      </c>
      <c r="P391" s="342">
        <f>1-(INDEX(Muuttujat!$O$5:$O$21,MATCH($C391,Muuttujat!$N$5:$N$21,0),1))</f>
        <v>0.9</v>
      </c>
      <c r="Q391" s="342">
        <f>INDEX(Muuttujat!$O$5:$O$21,MATCH($C391,Muuttujat!$N$5:$N$21,0),1)</f>
        <v>0.1</v>
      </c>
      <c r="R391" s="148">
        <f>INDEX(Muuttujat!$P$5:$P$21,MATCH($C391,Muuttujat!$N$5:$N$21,0),1)</f>
        <v>0.10417875759940039</v>
      </c>
      <c r="S391" s="149">
        <f t="shared" si="115"/>
        <v>0</v>
      </c>
      <c r="T391" s="150">
        <f t="shared" si="116"/>
        <v>0</v>
      </c>
      <c r="U391" s="150">
        <f t="shared" si="117"/>
        <v>0</v>
      </c>
      <c r="V391" s="150">
        <f>IFERROR(INDEX(Työkonekanta!$J$3:$J$27,MATCH($A391,Työkonekanta!$A$3:$A$24,0),1)*$B391*ef_li_ion_akku/1000/1000/INDEX(Työkonekanta!$K$3:$K$27,MATCH($A391,Työkonekanta!$A$3:$A$24,0)),0)</f>
        <v>0</v>
      </c>
      <c r="W391" s="149">
        <f t="shared" si="108"/>
        <v>0</v>
      </c>
      <c r="X391" s="150">
        <f t="shared" si="109"/>
        <v>0</v>
      </c>
      <c r="Y391" s="151">
        <f t="shared" si="110"/>
        <v>0</v>
      </c>
      <c r="Z391" s="152">
        <f t="shared" si="121"/>
        <v>0</v>
      </c>
      <c r="AA391" s="153">
        <f t="shared" si="122"/>
        <v>0</v>
      </c>
      <c r="AB391" s="153">
        <f t="shared" si="123"/>
        <v>0</v>
      </c>
      <c r="AC391" s="154">
        <f t="shared" si="111"/>
        <v>0</v>
      </c>
      <c r="AD391" s="156">
        <f t="shared" si="124"/>
        <v>0</v>
      </c>
      <c r="AE391" s="182"/>
      <c r="AJ391" s="28"/>
      <c r="AK391" s="29"/>
    </row>
    <row r="392" spans="1:37">
      <c r="A392" s="139">
        <v>30</v>
      </c>
      <c r="B392" s="139" cm="1">
        <f t="array" ref="B392">IFERROR(IF(A392=s1_id_korvattava1,INDEX($AG$3:$AG$19,MATCH(C392,$AF$3:$AF$19,0),1),IF(A392=s1_id_korvaava1,INDEX($AH$3:$AH$19,MATCH(C392,$AF$3:$AF$19,0),1),IF(A392=s1_id_korvattava2,INDEX($AI$3:$AI$19,MATCH(C392,$AF$3:$AF$19,0),1),IF(A392=s1_id_korvaava2,INDEX($AJ$3:$AJ$19,MATCH(C392,$AF$3:$AF$19,0),1),INDEX(Työkonekanta!$F$3:$F$27,MATCH('S1 Sähkö'!$A392,Työkonekanta!$A$3:$A$24,0),1))))),0)</f>
        <v>0</v>
      </c>
      <c r="C392" s="140">
        <v>2031</v>
      </c>
      <c r="D392" s="141" t="str">
        <f>IFERROR(INDEX(Työkonekanta!$D$3:$D$27,MATCH('S1 Sähkö'!$A392,Työkonekanta!$A$3:$A$24,0),1),"undefined")</f>
        <v>undefined</v>
      </c>
      <c r="E392" s="145">
        <f>IFERROR(INDEX(Työkonekanta!$G$3:$G$27,MATCH($A392,Työkonekanta!$A$3:$A$24,0),1)*INDEX(Työkonekanta!$H$3:$H$27,MATCH($A392,Työkonekanta!$A$3:$A$24,0),1)*(1+s1_kerroin*($C392-2019))*$B392,0)</f>
        <v>0</v>
      </c>
      <c r="F392" s="145">
        <f t="shared" si="112"/>
        <v>0</v>
      </c>
      <c r="G392" s="145">
        <f t="shared" si="118"/>
        <v>0</v>
      </c>
      <c r="H392" s="145">
        <f t="shared" si="119"/>
        <v>0</v>
      </c>
      <c r="I392" s="145">
        <f t="shared" si="113"/>
        <v>0</v>
      </c>
      <c r="J392" s="145">
        <f t="shared" si="114"/>
        <v>0</v>
      </c>
      <c r="K392" s="142" t="str">
        <f t="shared" si="120"/>
        <v>undefined</v>
      </c>
      <c r="L392" s="146">
        <f>IFERROR(INDEX(Työkonekanta!$I$3:$I$27,MATCH('S1 Sähkö'!$A392,Työkonekanta!$A$3:$A$24,0),1)*(I392+J392)*f_adblue,0)</f>
        <v>0</v>
      </c>
      <c r="M392" s="146">
        <f t="shared" si="107"/>
        <v>0</v>
      </c>
      <c r="N392" s="143" t="str">
        <f>IF(tuulisähkö_vuosi&lt;='S1 Sähkö'!C392,"tuulisähkö",ostosähkö_nyt)</f>
        <v>jäännössähkö</v>
      </c>
      <c r="O392" s="147">
        <f>INDEX(Muuttujat!$J$5:$J$21,MATCH($C392,Muuttujat!$H$5:$H$21,0),1)</f>
        <v>61.379690186142746</v>
      </c>
      <c r="P392" s="342">
        <f>1-(INDEX(Muuttujat!$O$5:$O$21,MATCH($C392,Muuttujat!$N$5:$N$21,0),1))</f>
        <v>0.9</v>
      </c>
      <c r="Q392" s="342">
        <f>INDEX(Muuttujat!$O$5:$O$21,MATCH($C392,Muuttujat!$N$5:$N$21,0),1)</f>
        <v>0.1</v>
      </c>
      <c r="R392" s="148">
        <f>INDEX(Muuttujat!$P$5:$P$21,MATCH($C392,Muuttujat!$N$5:$N$21,0),1)</f>
        <v>0.10417875759940039</v>
      </c>
      <c r="S392" s="149">
        <f t="shared" si="115"/>
        <v>0</v>
      </c>
      <c r="T392" s="150">
        <f t="shared" si="116"/>
        <v>0</v>
      </c>
      <c r="U392" s="150">
        <f t="shared" si="117"/>
        <v>0</v>
      </c>
      <c r="V392" s="150">
        <f>IFERROR(INDEX(Työkonekanta!$J$3:$J$27,MATCH($A392,Työkonekanta!$A$3:$A$24,0),1)*$B392*ef_li_ion_akku/1000/1000/INDEX(Työkonekanta!$K$3:$K$27,MATCH($A392,Työkonekanta!$A$3:$A$24,0)),0)</f>
        <v>0</v>
      </c>
      <c r="W392" s="149">
        <f t="shared" si="108"/>
        <v>0</v>
      </c>
      <c r="X392" s="150">
        <f t="shared" si="109"/>
        <v>0</v>
      </c>
      <c r="Y392" s="151">
        <f t="shared" si="110"/>
        <v>0</v>
      </c>
      <c r="Z392" s="152">
        <f t="shared" si="121"/>
        <v>0</v>
      </c>
      <c r="AA392" s="153">
        <f t="shared" si="122"/>
        <v>0</v>
      </c>
      <c r="AB392" s="153">
        <f t="shared" si="123"/>
        <v>0</v>
      </c>
      <c r="AC392" s="154">
        <f t="shared" si="111"/>
        <v>0</v>
      </c>
      <c r="AD392" s="156">
        <f t="shared" si="124"/>
        <v>0</v>
      </c>
      <c r="AE392" s="182"/>
      <c r="AJ392" s="28"/>
      <c r="AK392" s="29"/>
    </row>
    <row r="393" spans="1:37">
      <c r="A393" s="139">
        <v>1</v>
      </c>
      <c r="B393" s="139" cm="1">
        <f t="array" ref="B393">IFERROR(IF(A393=s1_id_korvattava1,INDEX($AG$3:$AG$19,MATCH(C393,$AF$3:$AF$19,0),1),IF(A393=s1_id_korvaava1,INDEX($AH$3:$AH$19,MATCH(C393,$AF$3:$AF$19,0),1),IF(A393=s1_id_korvattava2,INDEX($AI$3:$AI$19,MATCH(C393,$AF$3:$AF$19,0),1),IF(A393=s1_id_korvaava2,INDEX($AJ$3:$AJ$19,MATCH(C393,$AF$3:$AF$19,0),1),INDEX(Työkonekanta!$F$3:$F$27,MATCH('S1 Sähkö'!$A393,Työkonekanta!$A$3:$A$24,0),1))))),0)</f>
        <v>1</v>
      </c>
      <c r="C393" s="140">
        <v>2032</v>
      </c>
      <c r="D393" s="141" t="str">
        <f>IFERROR(INDEX(Työkonekanta!$D$3:$D$27,MATCH('S1 Sähkö'!$A393,Työkonekanta!$A$3:$A$24,0),1),"undefined")</f>
        <v>pom</v>
      </c>
      <c r="E393" s="145">
        <f>IFERROR(INDEX(Työkonekanta!$G$3:$G$27,MATCH($A393,Työkonekanta!$A$3:$A$24,0),1)*INDEX(Työkonekanta!$H$3:$H$27,MATCH($A393,Työkonekanta!$A$3:$A$24,0),1)*(1+s1_kerroin*($C393-2019))*$B393,0)</f>
        <v>11299.999999999998</v>
      </c>
      <c r="F393" s="145">
        <f t="shared" si="112"/>
        <v>405669.99999999994</v>
      </c>
      <c r="G393" s="145">
        <f t="shared" si="118"/>
        <v>365102.99999999994</v>
      </c>
      <c r="H393" s="145">
        <f t="shared" si="119"/>
        <v>40567</v>
      </c>
      <c r="I393" s="145">
        <f t="shared" si="113"/>
        <v>10169.999999999998</v>
      </c>
      <c r="J393" s="145">
        <f t="shared" si="114"/>
        <v>1182.7113702623908</v>
      </c>
      <c r="K393" s="142" t="str">
        <f t="shared" si="120"/>
        <v>l</v>
      </c>
      <c r="L393" s="146">
        <f>IFERROR(INDEX(Työkonekanta!$I$3:$I$27,MATCH('S1 Sähkö'!$A393,Työkonekanta!$A$3:$A$24,0),1)*(I393+J393)*f_adblue,0)</f>
        <v>567.63556851311944</v>
      </c>
      <c r="M393" s="146">
        <f t="shared" si="107"/>
        <v>0</v>
      </c>
      <c r="N393" s="143" t="str">
        <f>IF(tuulisähkö_vuosi&lt;='S1 Sähkö'!C393,"tuulisähkö",ostosähkö_nyt)</f>
        <v>jäännössähkö</v>
      </c>
      <c r="O393" s="147">
        <f>INDEX(Muuttujat!$J$5:$J$21,MATCH($C393,Muuttujat!$H$5:$H$21,0),1)</f>
        <v>60.765893284281319</v>
      </c>
      <c r="P393" s="342">
        <f>1-(INDEX(Muuttujat!$O$5:$O$21,MATCH($C393,Muuttujat!$N$5:$N$21,0),1))</f>
        <v>0.9</v>
      </c>
      <c r="Q393" s="342">
        <f>INDEX(Muuttujat!$O$5:$O$21,MATCH($C393,Muuttujat!$N$5:$N$21,0),1)</f>
        <v>0.1</v>
      </c>
      <c r="R393" s="148">
        <f>INDEX(Muuttujat!$P$5:$P$21,MATCH($C393,Muuttujat!$N$5:$N$21,0),1)</f>
        <v>0.10417875759940039</v>
      </c>
      <c r="S393" s="149">
        <f t="shared" si="115"/>
        <v>6.9004466999999989</v>
      </c>
      <c r="T393" s="150">
        <f t="shared" si="116"/>
        <v>2.5313808</v>
      </c>
      <c r="U393" s="150">
        <f t="shared" si="117"/>
        <v>0</v>
      </c>
      <c r="V393" s="150">
        <f>IFERROR(INDEX(Työkonekanta!$J$3:$J$27,MATCH($A393,Työkonekanta!$A$3:$A$24,0),1)*$B393*ef_li_ion_akku/1000/1000/INDEX(Työkonekanta!$K$3:$K$27,MATCH($A393,Työkonekanta!$A$3:$A$24,0)),0)</f>
        <v>0</v>
      </c>
      <c r="W393" s="149">
        <f t="shared" si="108"/>
        <v>26.947615061861995</v>
      </c>
      <c r="X393" s="150">
        <f t="shared" si="109"/>
        <v>0.35905259579999993</v>
      </c>
      <c r="Y393" s="151">
        <f t="shared" si="110"/>
        <v>0.14758524781341106</v>
      </c>
      <c r="Z393" s="152">
        <f t="shared" si="121"/>
        <v>9.4318274999999989</v>
      </c>
      <c r="AA393" s="153">
        <f t="shared" si="122"/>
        <v>27.095200309675405</v>
      </c>
      <c r="AB393" s="153">
        <f t="shared" si="123"/>
        <v>27.454252905475407</v>
      </c>
      <c r="AC393" s="154">
        <f t="shared" si="111"/>
        <v>36.527027809675403</v>
      </c>
      <c r="AD393" s="156">
        <f t="shared" si="124"/>
        <v>36.886080405475404</v>
      </c>
      <c r="AE393" s="182"/>
      <c r="AG393" s="2"/>
    </row>
    <row r="394" spans="1:37">
      <c r="A394" s="139">
        <v>2</v>
      </c>
      <c r="B394" s="139" cm="1">
        <f t="array" ref="B394">IFERROR(IF(A394=s1_id_korvattava1,INDEX($AG$3:$AG$19,MATCH(C394,$AF$3:$AF$19,0),1),IF(A394=s1_id_korvaava1,INDEX($AH$3:$AH$19,MATCH(C394,$AF$3:$AF$19,0),1),IF(A394=s1_id_korvattava2,INDEX($AI$3:$AI$19,MATCH(C394,$AF$3:$AF$19,0),1),IF(A394=s1_id_korvaava2,INDEX($AJ$3:$AJ$19,MATCH(C394,$AF$3:$AF$19,0),1),INDEX(Työkonekanta!$F$3:$F$27,MATCH('S1 Sähkö'!$A394,Työkonekanta!$A$3:$A$24,0),1))))),0)</f>
        <v>1</v>
      </c>
      <c r="C394" s="140">
        <v>2032</v>
      </c>
      <c r="D394" s="141" t="str">
        <f>IFERROR(INDEX(Työkonekanta!$D$3:$D$27,MATCH('S1 Sähkö'!$A394,Työkonekanta!$A$3:$A$24,0),1),"undefined")</f>
        <v>pom</v>
      </c>
      <c r="E394" s="145">
        <f>IFERROR(INDEX(Työkonekanta!$G$3:$G$27,MATCH($A394,Työkonekanta!$A$3:$A$24,0),1)*INDEX(Työkonekanta!$H$3:$H$27,MATCH($A394,Työkonekanta!$A$3:$A$24,0),1)*(1+s1_kerroin*($C394-2019))*$B394,0)</f>
        <v>11299.999999999998</v>
      </c>
      <c r="F394" s="145">
        <f t="shared" si="112"/>
        <v>405669.99999999994</v>
      </c>
      <c r="G394" s="145">
        <f t="shared" si="118"/>
        <v>365102.99999999994</v>
      </c>
      <c r="H394" s="145">
        <f t="shared" si="119"/>
        <v>40567</v>
      </c>
      <c r="I394" s="145">
        <f t="shared" si="113"/>
        <v>10169.999999999998</v>
      </c>
      <c r="J394" s="145">
        <f t="shared" si="114"/>
        <v>1182.7113702623908</v>
      </c>
      <c r="K394" s="142" t="str">
        <f t="shared" si="120"/>
        <v>l</v>
      </c>
      <c r="L394" s="146">
        <f>IFERROR(INDEX(Työkonekanta!$I$3:$I$27,MATCH('S1 Sähkö'!$A394,Työkonekanta!$A$3:$A$24,0),1)*(I394+J394)*f_adblue,0)</f>
        <v>567.63556851311944</v>
      </c>
      <c r="M394" s="146">
        <f t="shared" si="107"/>
        <v>0</v>
      </c>
      <c r="N394" s="143" t="str">
        <f>IF(tuulisähkö_vuosi&lt;='S1 Sähkö'!C394,"tuulisähkö",ostosähkö_nyt)</f>
        <v>jäännössähkö</v>
      </c>
      <c r="O394" s="147">
        <f>INDEX(Muuttujat!$J$5:$J$21,MATCH($C394,Muuttujat!$H$5:$H$21,0),1)</f>
        <v>60.765893284281319</v>
      </c>
      <c r="P394" s="342">
        <f>1-(INDEX(Muuttujat!$O$5:$O$21,MATCH($C394,Muuttujat!$N$5:$N$21,0),1))</f>
        <v>0.9</v>
      </c>
      <c r="Q394" s="342">
        <f>INDEX(Muuttujat!$O$5:$O$21,MATCH($C394,Muuttujat!$N$5:$N$21,0),1)</f>
        <v>0.1</v>
      </c>
      <c r="R394" s="148">
        <f>INDEX(Muuttujat!$P$5:$P$21,MATCH($C394,Muuttujat!$N$5:$N$21,0),1)</f>
        <v>0.10417875759940039</v>
      </c>
      <c r="S394" s="149">
        <f t="shared" si="115"/>
        <v>6.9004466999999989</v>
      </c>
      <c r="T394" s="150">
        <f t="shared" si="116"/>
        <v>2.5313808</v>
      </c>
      <c r="U394" s="150">
        <f t="shared" si="117"/>
        <v>0</v>
      </c>
      <c r="V394" s="150">
        <f>IFERROR(INDEX(Työkonekanta!$J$3:$J$27,MATCH($A394,Työkonekanta!$A$3:$A$24,0),1)*$B394*ef_li_ion_akku/1000/1000/INDEX(Työkonekanta!$K$3:$K$27,MATCH($A394,Työkonekanta!$A$3:$A$24,0)),0)</f>
        <v>0</v>
      </c>
      <c r="W394" s="149">
        <f t="shared" si="108"/>
        <v>26.947615061861995</v>
      </c>
      <c r="X394" s="150">
        <f t="shared" si="109"/>
        <v>0.35905259579999993</v>
      </c>
      <c r="Y394" s="151">
        <f t="shared" si="110"/>
        <v>0.14758524781341106</v>
      </c>
      <c r="Z394" s="152">
        <f t="shared" si="121"/>
        <v>9.4318274999999989</v>
      </c>
      <c r="AA394" s="153">
        <f t="shared" si="122"/>
        <v>27.095200309675405</v>
      </c>
      <c r="AB394" s="153">
        <f t="shared" si="123"/>
        <v>27.454252905475407</v>
      </c>
      <c r="AC394" s="154">
        <f t="shared" si="111"/>
        <v>36.527027809675403</v>
      </c>
      <c r="AD394" s="156">
        <f t="shared" si="124"/>
        <v>36.886080405475404</v>
      </c>
      <c r="AE394" s="182"/>
      <c r="AG394" s="2"/>
    </row>
    <row r="395" spans="1:37">
      <c r="A395" s="139">
        <v>3</v>
      </c>
      <c r="B395" s="139" cm="1">
        <f t="array" ref="B395">IFERROR(IF(A395=s1_id_korvattava1,INDEX($AG$3:$AG$19,MATCH(C395,$AF$3:$AF$19,0),1),IF(A395=s1_id_korvaava1,INDEX($AH$3:$AH$19,MATCH(C395,$AF$3:$AF$19,0),1),IF(A395=s1_id_korvattava2,INDEX($AI$3:$AI$19,MATCH(C395,$AF$3:$AF$19,0),1),IF(A395=s1_id_korvaava2,INDEX($AJ$3:$AJ$19,MATCH(C395,$AF$3:$AF$19,0),1),INDEX(Työkonekanta!$F$3:$F$27,MATCH('S1 Sähkö'!$A395,Työkonekanta!$A$3:$A$24,0),1))))),0)</f>
        <v>1</v>
      </c>
      <c r="C395" s="140">
        <v>2032</v>
      </c>
      <c r="D395" s="141" t="str">
        <f>IFERROR(INDEX(Työkonekanta!$D$3:$D$27,MATCH('S1 Sähkö'!$A395,Työkonekanta!$A$3:$A$24,0),1),"undefined")</f>
        <v>pom</v>
      </c>
      <c r="E395" s="145">
        <f>IFERROR(INDEX(Työkonekanta!$G$3:$G$27,MATCH($A395,Työkonekanta!$A$3:$A$24,0),1)*INDEX(Työkonekanta!$H$3:$H$27,MATCH($A395,Työkonekanta!$A$3:$A$24,0),1)*(1+s1_kerroin*($C395-2019))*$B395,0)</f>
        <v>11299.999999999998</v>
      </c>
      <c r="F395" s="145">
        <f t="shared" si="112"/>
        <v>405669.99999999994</v>
      </c>
      <c r="G395" s="145">
        <f t="shared" si="118"/>
        <v>365102.99999999994</v>
      </c>
      <c r="H395" s="145">
        <f t="shared" si="119"/>
        <v>40567</v>
      </c>
      <c r="I395" s="145">
        <f t="shared" si="113"/>
        <v>10169.999999999998</v>
      </c>
      <c r="J395" s="145">
        <f t="shared" si="114"/>
        <v>1182.7113702623908</v>
      </c>
      <c r="K395" s="142" t="str">
        <f t="shared" si="120"/>
        <v>l</v>
      </c>
      <c r="L395" s="146">
        <f>IFERROR(INDEX(Työkonekanta!$I$3:$I$27,MATCH('S1 Sähkö'!$A395,Työkonekanta!$A$3:$A$24,0),1)*(I395+J395)*f_adblue,0)</f>
        <v>567.63556851311944</v>
      </c>
      <c r="M395" s="146">
        <f t="shared" si="107"/>
        <v>0</v>
      </c>
      <c r="N395" s="143" t="str">
        <f>IF(tuulisähkö_vuosi&lt;='S1 Sähkö'!C395,"tuulisähkö",ostosähkö_nyt)</f>
        <v>jäännössähkö</v>
      </c>
      <c r="O395" s="147">
        <f>INDEX(Muuttujat!$J$5:$J$21,MATCH($C395,Muuttujat!$H$5:$H$21,0),1)</f>
        <v>60.765893284281319</v>
      </c>
      <c r="P395" s="342">
        <f>1-(INDEX(Muuttujat!$O$5:$O$21,MATCH($C395,Muuttujat!$N$5:$N$21,0),1))</f>
        <v>0.9</v>
      </c>
      <c r="Q395" s="342">
        <f>INDEX(Muuttujat!$O$5:$O$21,MATCH($C395,Muuttujat!$N$5:$N$21,0),1)</f>
        <v>0.1</v>
      </c>
      <c r="R395" s="148">
        <f>INDEX(Muuttujat!$P$5:$P$21,MATCH($C395,Muuttujat!$N$5:$N$21,0),1)</f>
        <v>0.10417875759940039</v>
      </c>
      <c r="S395" s="149">
        <f t="shared" si="115"/>
        <v>6.9004466999999989</v>
      </c>
      <c r="T395" s="150">
        <f t="shared" si="116"/>
        <v>2.5313808</v>
      </c>
      <c r="U395" s="150">
        <f t="shared" si="117"/>
        <v>0</v>
      </c>
      <c r="V395" s="150">
        <f>IFERROR(INDEX(Työkonekanta!$J$3:$J$27,MATCH($A395,Työkonekanta!$A$3:$A$24,0),1)*$B395*ef_li_ion_akku/1000/1000/INDEX(Työkonekanta!$K$3:$K$27,MATCH($A395,Työkonekanta!$A$3:$A$24,0)),0)</f>
        <v>0</v>
      </c>
      <c r="W395" s="149">
        <f t="shared" si="108"/>
        <v>26.947615061861995</v>
      </c>
      <c r="X395" s="150">
        <f t="shared" si="109"/>
        <v>0.35905259579999993</v>
      </c>
      <c r="Y395" s="151">
        <f t="shared" si="110"/>
        <v>0.14758524781341106</v>
      </c>
      <c r="Z395" s="152">
        <f t="shared" si="121"/>
        <v>9.4318274999999989</v>
      </c>
      <c r="AA395" s="153">
        <f t="shared" si="122"/>
        <v>27.095200309675405</v>
      </c>
      <c r="AB395" s="153">
        <f t="shared" si="123"/>
        <v>27.454252905475407</v>
      </c>
      <c r="AC395" s="154">
        <f t="shared" si="111"/>
        <v>36.527027809675403</v>
      </c>
      <c r="AD395" s="156">
        <f t="shared" si="124"/>
        <v>36.886080405475404</v>
      </c>
      <c r="AE395" s="182"/>
      <c r="AG395" s="2"/>
    </row>
    <row r="396" spans="1:37">
      <c r="A396" s="139">
        <v>4</v>
      </c>
      <c r="B396" s="139" cm="1">
        <f t="array" ref="B396">IFERROR(IF(A396=s1_id_korvattava1,INDEX($AG$3:$AG$19,MATCH(C396,$AF$3:$AF$19,0),1),IF(A396=s1_id_korvaava1,INDEX($AH$3:$AH$19,MATCH(C396,$AF$3:$AF$19,0),1),IF(A396=s1_id_korvattava2,INDEX($AI$3:$AI$19,MATCH(C396,$AF$3:$AF$19,0),1),IF(A396=s1_id_korvaava2,INDEX($AJ$3:$AJ$19,MATCH(C396,$AF$3:$AF$19,0),1),INDEX(Työkonekanta!$F$3:$F$27,MATCH('S1 Sähkö'!$A396,Työkonekanta!$A$3:$A$24,0),1))))),0)</f>
        <v>1</v>
      </c>
      <c r="C396" s="140">
        <v>2032</v>
      </c>
      <c r="D396" s="141" t="str">
        <f>IFERROR(INDEX(Työkonekanta!$D$3:$D$27,MATCH('S1 Sähkö'!$A396,Työkonekanta!$A$3:$A$24,0),1),"undefined")</f>
        <v>pom</v>
      </c>
      <c r="E396" s="145">
        <f>IFERROR(INDEX(Työkonekanta!$G$3:$G$27,MATCH($A396,Työkonekanta!$A$3:$A$24,0),1)*INDEX(Työkonekanta!$H$3:$H$27,MATCH($A396,Työkonekanta!$A$3:$A$24,0),1)*(1+s1_kerroin*($C396-2019))*$B396,0)</f>
        <v>11299.999999999998</v>
      </c>
      <c r="F396" s="145">
        <f t="shared" si="112"/>
        <v>405669.99999999994</v>
      </c>
      <c r="G396" s="145">
        <f t="shared" si="118"/>
        <v>365102.99999999994</v>
      </c>
      <c r="H396" s="145">
        <f t="shared" si="119"/>
        <v>40567</v>
      </c>
      <c r="I396" s="145">
        <f t="shared" si="113"/>
        <v>10169.999999999998</v>
      </c>
      <c r="J396" s="145">
        <f t="shared" si="114"/>
        <v>1182.7113702623908</v>
      </c>
      <c r="K396" s="142" t="str">
        <f t="shared" si="120"/>
        <v>l</v>
      </c>
      <c r="L396" s="146">
        <f>IFERROR(INDEX(Työkonekanta!$I$3:$I$27,MATCH('S1 Sähkö'!$A396,Työkonekanta!$A$3:$A$24,0),1)*(I396+J396)*f_adblue,0)</f>
        <v>567.63556851311944</v>
      </c>
      <c r="M396" s="146">
        <f t="shared" si="107"/>
        <v>0</v>
      </c>
      <c r="N396" s="143" t="str">
        <f>IF(tuulisähkö_vuosi&lt;='S1 Sähkö'!C396,"tuulisähkö",ostosähkö_nyt)</f>
        <v>jäännössähkö</v>
      </c>
      <c r="O396" s="147">
        <f>INDEX(Muuttujat!$J$5:$J$21,MATCH($C396,Muuttujat!$H$5:$H$21,0),1)</f>
        <v>60.765893284281319</v>
      </c>
      <c r="P396" s="342">
        <f>1-(INDEX(Muuttujat!$O$5:$O$21,MATCH($C396,Muuttujat!$N$5:$N$21,0),1))</f>
        <v>0.9</v>
      </c>
      <c r="Q396" s="342">
        <f>INDEX(Muuttujat!$O$5:$O$21,MATCH($C396,Muuttujat!$N$5:$N$21,0),1)</f>
        <v>0.1</v>
      </c>
      <c r="R396" s="148">
        <f>INDEX(Muuttujat!$P$5:$P$21,MATCH($C396,Muuttujat!$N$5:$N$21,0),1)</f>
        <v>0.10417875759940039</v>
      </c>
      <c r="S396" s="149">
        <f t="shared" si="115"/>
        <v>6.9004466999999989</v>
      </c>
      <c r="T396" s="150">
        <f t="shared" si="116"/>
        <v>2.5313808</v>
      </c>
      <c r="U396" s="150">
        <f t="shared" si="117"/>
        <v>0</v>
      </c>
      <c r="V396" s="150">
        <f>IFERROR(INDEX(Työkonekanta!$J$3:$J$27,MATCH($A396,Työkonekanta!$A$3:$A$24,0),1)*$B396*ef_li_ion_akku/1000/1000/INDEX(Työkonekanta!$K$3:$K$27,MATCH($A396,Työkonekanta!$A$3:$A$24,0)),0)</f>
        <v>0</v>
      </c>
      <c r="W396" s="149">
        <f t="shared" si="108"/>
        <v>26.947615061861995</v>
      </c>
      <c r="X396" s="150">
        <f t="shared" si="109"/>
        <v>0.35905259579999993</v>
      </c>
      <c r="Y396" s="151">
        <f t="shared" si="110"/>
        <v>0.14758524781341106</v>
      </c>
      <c r="Z396" s="152">
        <f t="shared" si="121"/>
        <v>9.4318274999999989</v>
      </c>
      <c r="AA396" s="153">
        <f t="shared" si="122"/>
        <v>27.095200309675405</v>
      </c>
      <c r="AB396" s="153">
        <f t="shared" si="123"/>
        <v>27.454252905475407</v>
      </c>
      <c r="AC396" s="154">
        <f t="shared" si="111"/>
        <v>36.527027809675403</v>
      </c>
      <c r="AD396" s="156">
        <f t="shared" si="124"/>
        <v>36.886080405475404</v>
      </c>
      <c r="AE396" s="182"/>
      <c r="AG396" s="2"/>
    </row>
    <row r="397" spans="1:37">
      <c r="A397" s="139">
        <v>5</v>
      </c>
      <c r="B397" s="139" cm="1">
        <f t="array" ref="B397">IFERROR(IF(A397=s1_id_korvattava1,INDEX($AG$3:$AG$19,MATCH(C397,$AF$3:$AF$19,0),1),IF(A397=s1_id_korvaava1,INDEX($AH$3:$AH$19,MATCH(C397,$AF$3:$AF$19,0),1),IF(A397=s1_id_korvattava2,INDEX($AI$3:$AI$19,MATCH(C397,$AF$3:$AF$19,0),1),IF(A397=s1_id_korvaava2,INDEX($AJ$3:$AJ$19,MATCH(C397,$AF$3:$AF$19,0),1),INDEX(Työkonekanta!$F$3:$F$27,MATCH('S1 Sähkö'!$A397,Työkonekanta!$A$3:$A$24,0),1))))),0)</f>
        <v>0</v>
      </c>
      <c r="C397" s="140">
        <v>2032</v>
      </c>
      <c r="D397" s="141" t="str">
        <f>IFERROR(INDEX(Työkonekanta!$D$3:$D$27,MATCH('S1 Sähkö'!$A397,Työkonekanta!$A$3:$A$24,0),1),"undefined")</f>
        <v>sähkö</v>
      </c>
      <c r="E397" s="145">
        <f>IFERROR(INDEX(Työkonekanta!$G$3:$G$27,MATCH($A397,Työkonekanta!$A$3:$A$24,0),1)*INDEX(Työkonekanta!$H$3:$H$27,MATCH($A397,Työkonekanta!$A$3:$A$24,0),1)*(1+s1_kerroin*($C397-2019))*$B397,0)</f>
        <v>0</v>
      </c>
      <c r="F397" s="145">
        <f t="shared" si="112"/>
        <v>0</v>
      </c>
      <c r="G397" s="145">
        <f t="shared" si="118"/>
        <v>0</v>
      </c>
      <c r="H397" s="145">
        <f t="shared" si="119"/>
        <v>0</v>
      </c>
      <c r="I397" s="145">
        <f t="shared" si="113"/>
        <v>0</v>
      </c>
      <c r="J397" s="145">
        <f t="shared" si="114"/>
        <v>0</v>
      </c>
      <c r="K397" s="142" t="str">
        <f t="shared" si="120"/>
        <v>kWh</v>
      </c>
      <c r="L397" s="146">
        <f>IFERROR(INDEX(Työkonekanta!$I$3:$I$27,MATCH('S1 Sähkö'!$A397,Työkonekanta!$A$3:$A$24,0),1)*(I397+J397)*f_adblue,0)</f>
        <v>0</v>
      </c>
      <c r="M397" s="146">
        <f t="shared" si="107"/>
        <v>0</v>
      </c>
      <c r="N397" s="143" t="str">
        <f>IF(tuulisähkö_vuosi&lt;='S1 Sähkö'!C397,"tuulisähkö",ostosähkö_nyt)</f>
        <v>jäännössähkö</v>
      </c>
      <c r="O397" s="147">
        <f>INDEX(Muuttujat!$J$5:$J$21,MATCH($C397,Muuttujat!$H$5:$H$21,0),1)</f>
        <v>60.765893284281319</v>
      </c>
      <c r="P397" s="342">
        <f>1-(INDEX(Muuttujat!$O$5:$O$21,MATCH($C397,Muuttujat!$N$5:$N$21,0),1))</f>
        <v>0.9</v>
      </c>
      <c r="Q397" s="342">
        <f>INDEX(Muuttujat!$O$5:$O$21,MATCH($C397,Muuttujat!$N$5:$N$21,0),1)</f>
        <v>0.1</v>
      </c>
      <c r="R397" s="148">
        <f>INDEX(Muuttujat!$P$5:$P$21,MATCH($C397,Muuttujat!$N$5:$N$21,0),1)</f>
        <v>0.10417875759940039</v>
      </c>
      <c r="S397" s="149">
        <f t="shared" si="115"/>
        <v>0</v>
      </c>
      <c r="T397" s="150">
        <f t="shared" si="116"/>
        <v>0</v>
      </c>
      <c r="U397" s="150">
        <f t="shared" si="117"/>
        <v>0</v>
      </c>
      <c r="V397" s="150">
        <f>IFERROR(INDEX(Työkonekanta!$J$3:$J$27,MATCH($A397,Työkonekanta!$A$3:$A$24,0),1)*$B397*ef_li_ion_akku/1000/1000/INDEX(Työkonekanta!$K$3:$K$27,MATCH($A397,Työkonekanta!$A$3:$A$24,0)),0)</f>
        <v>0</v>
      </c>
      <c r="W397" s="149">
        <f t="shared" si="108"/>
        <v>0</v>
      </c>
      <c r="X397" s="150">
        <f t="shared" si="109"/>
        <v>0</v>
      </c>
      <c r="Y397" s="151">
        <f t="shared" si="110"/>
        <v>0</v>
      </c>
      <c r="Z397" s="152">
        <f t="shared" si="121"/>
        <v>0</v>
      </c>
      <c r="AA397" s="153">
        <f t="shared" si="122"/>
        <v>0</v>
      </c>
      <c r="AB397" s="153">
        <f t="shared" si="123"/>
        <v>0</v>
      </c>
      <c r="AC397" s="154">
        <f t="shared" si="111"/>
        <v>0</v>
      </c>
      <c r="AD397" s="156">
        <f t="shared" si="124"/>
        <v>0</v>
      </c>
      <c r="AE397" s="182"/>
      <c r="AG397" s="2"/>
    </row>
    <row r="398" spans="1:37">
      <c r="A398" s="139">
        <v>6</v>
      </c>
      <c r="B398" s="139" cm="1">
        <f t="array" ref="B398">IFERROR(IF(A398=s1_id_korvattava1,INDEX($AG$3:$AG$19,MATCH(C398,$AF$3:$AF$19,0),1),IF(A398=s1_id_korvaava1,INDEX($AH$3:$AH$19,MATCH(C398,$AF$3:$AF$19,0),1),IF(A398=s1_id_korvattava2,INDEX($AI$3:$AI$19,MATCH(C398,$AF$3:$AF$19,0),1),IF(A398=s1_id_korvaava2,INDEX($AJ$3:$AJ$19,MATCH(C398,$AF$3:$AF$19,0),1),INDEX(Työkonekanta!$F$3:$F$27,MATCH('S1 Sähkö'!$A398,Työkonekanta!$A$3:$A$24,0),1))))),0)</f>
        <v>0</v>
      </c>
      <c r="C398" s="140">
        <v>2032</v>
      </c>
      <c r="D398" s="141" t="str">
        <f>IFERROR(INDEX(Työkonekanta!$D$3:$D$27,MATCH('S1 Sähkö'!$A398,Työkonekanta!$A$3:$A$24,0),1),"undefined")</f>
        <v>sähkö</v>
      </c>
      <c r="E398" s="145">
        <f>IFERROR(INDEX(Työkonekanta!$G$3:$G$27,MATCH($A398,Työkonekanta!$A$3:$A$24,0),1)*INDEX(Työkonekanta!$H$3:$H$27,MATCH($A398,Työkonekanta!$A$3:$A$24,0),1)*(1+s1_kerroin*($C398-2019))*$B398,0)</f>
        <v>0</v>
      </c>
      <c r="F398" s="145">
        <f t="shared" si="112"/>
        <v>0</v>
      </c>
      <c r="G398" s="145">
        <f t="shared" si="118"/>
        <v>0</v>
      </c>
      <c r="H398" s="145">
        <f t="shared" si="119"/>
        <v>0</v>
      </c>
      <c r="I398" s="145">
        <f t="shared" si="113"/>
        <v>0</v>
      </c>
      <c r="J398" s="145">
        <f t="shared" si="114"/>
        <v>0</v>
      </c>
      <c r="K398" s="142" t="str">
        <f t="shared" si="120"/>
        <v>kWh</v>
      </c>
      <c r="L398" s="146">
        <f>IFERROR(INDEX(Työkonekanta!$I$3:$I$27,MATCH('S1 Sähkö'!$A398,Työkonekanta!$A$3:$A$24,0),1)*(I398+J398)*f_adblue,0)</f>
        <v>0</v>
      </c>
      <c r="M398" s="146">
        <f t="shared" si="107"/>
        <v>0</v>
      </c>
      <c r="N398" s="143" t="str">
        <f>IF(tuulisähkö_vuosi&lt;='S1 Sähkö'!C398,"tuulisähkö",ostosähkö_nyt)</f>
        <v>jäännössähkö</v>
      </c>
      <c r="O398" s="147">
        <f>INDEX(Muuttujat!$J$5:$J$21,MATCH($C398,Muuttujat!$H$5:$H$21,0),1)</f>
        <v>60.765893284281319</v>
      </c>
      <c r="P398" s="342">
        <f>1-(INDEX(Muuttujat!$O$5:$O$21,MATCH($C398,Muuttujat!$N$5:$N$21,0),1))</f>
        <v>0.9</v>
      </c>
      <c r="Q398" s="342">
        <f>INDEX(Muuttujat!$O$5:$O$21,MATCH($C398,Muuttujat!$N$5:$N$21,0),1)</f>
        <v>0.1</v>
      </c>
      <c r="R398" s="148">
        <f>INDEX(Muuttujat!$P$5:$P$21,MATCH($C398,Muuttujat!$N$5:$N$21,0),1)</f>
        <v>0.10417875759940039</v>
      </c>
      <c r="S398" s="149">
        <f t="shared" si="115"/>
        <v>0</v>
      </c>
      <c r="T398" s="150">
        <f t="shared" si="116"/>
        <v>0</v>
      </c>
      <c r="U398" s="150">
        <f t="shared" si="117"/>
        <v>0</v>
      </c>
      <c r="V398" s="150">
        <f>IFERROR(INDEX(Työkonekanta!$J$3:$J$27,MATCH($A398,Työkonekanta!$A$3:$A$24,0),1)*$B398*ef_li_ion_akku/1000/1000/INDEX(Työkonekanta!$K$3:$K$27,MATCH($A398,Työkonekanta!$A$3:$A$24,0)),0)</f>
        <v>0</v>
      </c>
      <c r="W398" s="149">
        <f t="shared" si="108"/>
        <v>0</v>
      </c>
      <c r="X398" s="150">
        <f t="shared" si="109"/>
        <v>0</v>
      </c>
      <c r="Y398" s="151">
        <f t="shared" si="110"/>
        <v>0</v>
      </c>
      <c r="Z398" s="152">
        <f t="shared" si="121"/>
        <v>0</v>
      </c>
      <c r="AA398" s="153">
        <f t="shared" si="122"/>
        <v>0</v>
      </c>
      <c r="AB398" s="153">
        <f t="shared" si="123"/>
        <v>0</v>
      </c>
      <c r="AC398" s="154">
        <f t="shared" si="111"/>
        <v>0</v>
      </c>
      <c r="AD398" s="156">
        <f t="shared" si="124"/>
        <v>0</v>
      </c>
      <c r="AE398" s="182"/>
      <c r="AG398" s="2"/>
    </row>
    <row r="399" spans="1:37">
      <c r="A399" s="139">
        <v>7</v>
      </c>
      <c r="B399" s="139" cm="1">
        <f t="array" ref="B399">IFERROR(IF(A399=s1_id_korvattava1,INDEX($AG$3:$AG$19,MATCH(C399,$AF$3:$AF$19,0),1),IF(A399=s1_id_korvaava1,INDEX($AH$3:$AH$19,MATCH(C399,$AF$3:$AF$19,0),1),IF(A399=s1_id_korvattava2,INDEX($AI$3:$AI$19,MATCH(C399,$AF$3:$AF$19,0),1),IF(A399=s1_id_korvaava2,INDEX($AJ$3:$AJ$19,MATCH(C399,$AF$3:$AF$19,0),1),INDEX(Työkonekanta!$F$3:$F$27,MATCH('S1 Sähkö'!$A399,Työkonekanta!$A$3:$A$24,0),1))))),0)</f>
        <v>1</v>
      </c>
      <c r="C399" s="140">
        <v>2032</v>
      </c>
      <c r="D399" s="141" t="str">
        <f>IFERROR(INDEX(Työkonekanta!$D$3:$D$27,MATCH('S1 Sähkö'!$A399,Työkonekanta!$A$3:$A$24,0),1),"undefined")</f>
        <v>pom</v>
      </c>
      <c r="E399" s="145">
        <f>IFERROR(INDEX(Työkonekanta!$G$3:$G$27,MATCH($A399,Työkonekanta!$A$3:$A$24,0),1)*INDEX(Työkonekanta!$H$3:$H$27,MATCH($A399,Työkonekanta!$A$3:$A$24,0),1)*(1+s1_kerroin*($C399-2019))*$B399,0)</f>
        <v>11299.999999999998</v>
      </c>
      <c r="F399" s="145">
        <f t="shared" si="112"/>
        <v>405669.99999999994</v>
      </c>
      <c r="G399" s="145">
        <f t="shared" si="118"/>
        <v>365102.99999999994</v>
      </c>
      <c r="H399" s="145">
        <f t="shared" si="119"/>
        <v>40567</v>
      </c>
      <c r="I399" s="145">
        <f t="shared" si="113"/>
        <v>10169.999999999998</v>
      </c>
      <c r="J399" s="145">
        <f t="shared" si="114"/>
        <v>1182.7113702623908</v>
      </c>
      <c r="K399" s="142" t="str">
        <f t="shared" si="120"/>
        <v>l</v>
      </c>
      <c r="L399" s="146">
        <f>IFERROR(INDEX(Työkonekanta!$I$3:$I$27,MATCH('S1 Sähkö'!$A399,Työkonekanta!$A$3:$A$24,0),1)*(I399+J399)*f_adblue,0)</f>
        <v>0</v>
      </c>
      <c r="M399" s="146">
        <f t="shared" si="107"/>
        <v>0</v>
      </c>
      <c r="N399" s="143" t="str">
        <f>IF(tuulisähkö_vuosi&lt;='S1 Sähkö'!C399,"tuulisähkö",ostosähkö_nyt)</f>
        <v>jäännössähkö</v>
      </c>
      <c r="O399" s="147">
        <f>INDEX(Muuttujat!$J$5:$J$21,MATCH($C399,Muuttujat!$H$5:$H$21,0),1)</f>
        <v>60.765893284281319</v>
      </c>
      <c r="P399" s="342">
        <f>1-(INDEX(Muuttujat!$O$5:$O$21,MATCH($C399,Muuttujat!$N$5:$N$21,0),1))</f>
        <v>0.9</v>
      </c>
      <c r="Q399" s="342">
        <f>INDEX(Muuttujat!$O$5:$O$21,MATCH($C399,Muuttujat!$N$5:$N$21,0),1)</f>
        <v>0.1</v>
      </c>
      <c r="R399" s="148">
        <f>INDEX(Muuttujat!$P$5:$P$21,MATCH($C399,Muuttujat!$N$5:$N$21,0),1)</f>
        <v>0.10417875759940039</v>
      </c>
      <c r="S399" s="149">
        <f t="shared" si="115"/>
        <v>6.9004466999999989</v>
      </c>
      <c r="T399" s="150">
        <f t="shared" si="116"/>
        <v>2.5313808</v>
      </c>
      <c r="U399" s="150">
        <f t="shared" si="117"/>
        <v>0</v>
      </c>
      <c r="V399" s="150">
        <f>IFERROR(INDEX(Työkonekanta!$J$3:$J$27,MATCH($A399,Työkonekanta!$A$3:$A$24,0),1)*$B399*ef_li_ion_akku/1000/1000/INDEX(Työkonekanta!$K$3:$K$27,MATCH($A399,Työkonekanta!$A$3:$A$24,0)),0)</f>
        <v>0</v>
      </c>
      <c r="W399" s="149">
        <f t="shared" si="108"/>
        <v>26.947615061861995</v>
      </c>
      <c r="X399" s="150">
        <f t="shared" si="109"/>
        <v>0.35905259579999993</v>
      </c>
      <c r="Y399" s="151">
        <f t="shared" si="110"/>
        <v>0</v>
      </c>
      <c r="Z399" s="152">
        <f t="shared" si="121"/>
        <v>9.4318274999999989</v>
      </c>
      <c r="AA399" s="153">
        <f t="shared" si="122"/>
        <v>26.947615061861995</v>
      </c>
      <c r="AB399" s="153">
        <f t="shared" si="123"/>
        <v>27.306667657661997</v>
      </c>
      <c r="AC399" s="154">
        <f t="shared" si="111"/>
        <v>36.379442561861993</v>
      </c>
      <c r="AD399" s="156">
        <f t="shared" si="124"/>
        <v>36.738495157661994</v>
      </c>
      <c r="AE399" s="182"/>
      <c r="AG399" s="2"/>
    </row>
    <row r="400" spans="1:37">
      <c r="A400" s="139">
        <v>8</v>
      </c>
      <c r="B400" s="139" cm="1">
        <f t="array" ref="B400">IFERROR(IF(A400=s1_id_korvattava1,INDEX($AG$3:$AG$19,MATCH(C400,$AF$3:$AF$19,0),1),IF(A400=s1_id_korvaava1,INDEX($AH$3:$AH$19,MATCH(C400,$AF$3:$AF$19,0),1),IF(A400=s1_id_korvattava2,INDEX($AI$3:$AI$19,MATCH(C400,$AF$3:$AF$19,0),1),IF(A400=s1_id_korvaava2,INDEX($AJ$3:$AJ$19,MATCH(C400,$AF$3:$AF$19,0),1),INDEX(Työkonekanta!$F$3:$F$27,MATCH('S1 Sähkö'!$A400,Työkonekanta!$A$3:$A$24,0),1))))),0)</f>
        <v>1</v>
      </c>
      <c r="C400" s="140">
        <v>2032</v>
      </c>
      <c r="D400" s="141" t="str">
        <f>IFERROR(INDEX(Työkonekanta!$D$3:$D$27,MATCH('S1 Sähkö'!$A400,Työkonekanta!$A$3:$A$24,0),1),"undefined")</f>
        <v>pom</v>
      </c>
      <c r="E400" s="145">
        <f>IFERROR(INDEX(Työkonekanta!$G$3:$G$27,MATCH($A400,Työkonekanta!$A$3:$A$24,0),1)*INDEX(Työkonekanta!$H$3:$H$27,MATCH($A400,Työkonekanta!$A$3:$A$24,0),1)*(1+s1_kerroin*($C400-2019))*$B400,0)</f>
        <v>11299.999999999998</v>
      </c>
      <c r="F400" s="145">
        <f t="shared" si="112"/>
        <v>405669.99999999994</v>
      </c>
      <c r="G400" s="145">
        <f t="shared" si="118"/>
        <v>365102.99999999994</v>
      </c>
      <c r="H400" s="145">
        <f t="shared" si="119"/>
        <v>40567</v>
      </c>
      <c r="I400" s="145">
        <f t="shared" si="113"/>
        <v>10169.999999999998</v>
      </c>
      <c r="J400" s="145">
        <f t="shared" si="114"/>
        <v>1182.7113702623908</v>
      </c>
      <c r="K400" s="142" t="str">
        <f t="shared" si="120"/>
        <v>l</v>
      </c>
      <c r="L400" s="146">
        <f>IFERROR(INDEX(Työkonekanta!$I$3:$I$27,MATCH('S1 Sähkö'!$A400,Työkonekanta!$A$3:$A$24,0),1)*(I400+J400)*f_adblue,0)</f>
        <v>567.63556851311944</v>
      </c>
      <c r="M400" s="146">
        <f t="shared" si="107"/>
        <v>0</v>
      </c>
      <c r="N400" s="143" t="str">
        <f>IF(tuulisähkö_vuosi&lt;='S1 Sähkö'!C400,"tuulisähkö",ostosähkö_nyt)</f>
        <v>jäännössähkö</v>
      </c>
      <c r="O400" s="147">
        <f>INDEX(Muuttujat!$J$5:$J$21,MATCH($C400,Muuttujat!$H$5:$H$21,0),1)</f>
        <v>60.765893284281319</v>
      </c>
      <c r="P400" s="342">
        <f>1-(INDEX(Muuttujat!$O$5:$O$21,MATCH($C400,Muuttujat!$N$5:$N$21,0),1))</f>
        <v>0.9</v>
      </c>
      <c r="Q400" s="342">
        <f>INDEX(Muuttujat!$O$5:$O$21,MATCH($C400,Muuttujat!$N$5:$N$21,0),1)</f>
        <v>0.1</v>
      </c>
      <c r="R400" s="148">
        <f>INDEX(Muuttujat!$P$5:$P$21,MATCH($C400,Muuttujat!$N$5:$N$21,0),1)</f>
        <v>0.10417875759940039</v>
      </c>
      <c r="S400" s="149">
        <f t="shared" si="115"/>
        <v>6.9004466999999989</v>
      </c>
      <c r="T400" s="150">
        <f t="shared" si="116"/>
        <v>2.5313808</v>
      </c>
      <c r="U400" s="150">
        <f t="shared" si="117"/>
        <v>0</v>
      </c>
      <c r="V400" s="150">
        <f>IFERROR(INDEX(Työkonekanta!$J$3:$J$27,MATCH($A400,Työkonekanta!$A$3:$A$24,0),1)*$B400*ef_li_ion_akku/1000/1000/INDEX(Työkonekanta!$K$3:$K$27,MATCH($A400,Työkonekanta!$A$3:$A$24,0)),0)</f>
        <v>0</v>
      </c>
      <c r="W400" s="149">
        <f t="shared" si="108"/>
        <v>26.947615061861995</v>
      </c>
      <c r="X400" s="150">
        <f t="shared" si="109"/>
        <v>0.35905259579999993</v>
      </c>
      <c r="Y400" s="151">
        <f t="shared" si="110"/>
        <v>0.14758524781341106</v>
      </c>
      <c r="Z400" s="152">
        <f t="shared" si="121"/>
        <v>9.4318274999999989</v>
      </c>
      <c r="AA400" s="153">
        <f t="shared" si="122"/>
        <v>27.095200309675405</v>
      </c>
      <c r="AB400" s="153">
        <f t="shared" si="123"/>
        <v>27.454252905475407</v>
      </c>
      <c r="AC400" s="154">
        <f t="shared" si="111"/>
        <v>36.527027809675403</v>
      </c>
      <c r="AD400" s="156">
        <f t="shared" si="124"/>
        <v>36.886080405475404</v>
      </c>
      <c r="AE400" s="182"/>
      <c r="AG400" s="2"/>
    </row>
    <row r="401" spans="1:37">
      <c r="A401" s="139">
        <v>9</v>
      </c>
      <c r="B401" s="139" cm="1">
        <f t="array" ref="B401">IFERROR(IF(A401=s1_id_korvattava1,INDEX($AG$3:$AG$19,MATCH(C401,$AF$3:$AF$19,0),1),IF(A401=s1_id_korvaava1,INDEX($AH$3:$AH$19,MATCH(C401,$AF$3:$AF$19,0),1),IF(A401=s1_id_korvattava2,INDEX($AI$3:$AI$19,MATCH(C401,$AF$3:$AF$19,0),1),IF(A401=s1_id_korvaava2,INDEX($AJ$3:$AJ$19,MATCH(C401,$AF$3:$AF$19,0),1),INDEX(Työkonekanta!$F$3:$F$27,MATCH('S1 Sähkö'!$A401,Työkonekanta!$A$3:$A$24,0),1))))),0)</f>
        <v>0</v>
      </c>
      <c r="C401" s="140">
        <v>2032</v>
      </c>
      <c r="D401" s="141" t="str">
        <f>IFERROR(INDEX(Työkonekanta!$D$3:$D$27,MATCH('S1 Sähkö'!$A401,Työkonekanta!$A$3:$A$24,0),1),"undefined")</f>
        <v>sähkö</v>
      </c>
      <c r="E401" s="145">
        <f>IFERROR(INDEX(Työkonekanta!$G$3:$G$27,MATCH($A401,Työkonekanta!$A$3:$A$24,0),1)*INDEX(Työkonekanta!$H$3:$H$27,MATCH($A401,Työkonekanta!$A$3:$A$24,0),1)*(1+s1_kerroin*($C401-2019))*$B401,0)</f>
        <v>0</v>
      </c>
      <c r="F401" s="145">
        <f t="shared" si="112"/>
        <v>0</v>
      </c>
      <c r="G401" s="145">
        <f t="shared" si="118"/>
        <v>0</v>
      </c>
      <c r="H401" s="145">
        <f t="shared" si="119"/>
        <v>0</v>
      </c>
      <c r="I401" s="145">
        <f t="shared" si="113"/>
        <v>0</v>
      </c>
      <c r="J401" s="145">
        <f t="shared" si="114"/>
        <v>0</v>
      </c>
      <c r="K401" s="142" t="str">
        <f t="shared" si="120"/>
        <v>kWh</v>
      </c>
      <c r="L401" s="146">
        <f>IFERROR(INDEX(Työkonekanta!$I$3:$I$27,MATCH('S1 Sähkö'!$A401,Työkonekanta!$A$3:$A$24,0),1)*(I401+J401)*f_adblue,0)</f>
        <v>0</v>
      </c>
      <c r="M401" s="146">
        <f t="shared" si="107"/>
        <v>0</v>
      </c>
      <c r="N401" s="143" t="str">
        <f>IF(tuulisähkö_vuosi&lt;='S1 Sähkö'!C401,"tuulisähkö",ostosähkö_nyt)</f>
        <v>jäännössähkö</v>
      </c>
      <c r="O401" s="147">
        <f>INDEX(Muuttujat!$J$5:$J$21,MATCH($C401,Muuttujat!$H$5:$H$21,0),1)</f>
        <v>60.765893284281319</v>
      </c>
      <c r="P401" s="342">
        <f>1-(INDEX(Muuttujat!$O$5:$O$21,MATCH($C401,Muuttujat!$N$5:$N$21,0),1))</f>
        <v>0.9</v>
      </c>
      <c r="Q401" s="342">
        <f>INDEX(Muuttujat!$O$5:$O$21,MATCH($C401,Muuttujat!$N$5:$N$21,0),1)</f>
        <v>0.1</v>
      </c>
      <c r="R401" s="148">
        <f>INDEX(Muuttujat!$P$5:$P$21,MATCH($C401,Muuttujat!$N$5:$N$21,0),1)</f>
        <v>0.10417875759940039</v>
      </c>
      <c r="S401" s="149">
        <f t="shared" si="115"/>
        <v>0</v>
      </c>
      <c r="T401" s="150">
        <f t="shared" si="116"/>
        <v>0</v>
      </c>
      <c r="U401" s="150">
        <f t="shared" si="117"/>
        <v>0</v>
      </c>
      <c r="V401" s="150">
        <f>IFERROR(INDEX(Työkonekanta!$J$3:$J$27,MATCH($A401,Työkonekanta!$A$3:$A$24,0),1)*$B401*ef_li_ion_akku/1000/1000/INDEX(Työkonekanta!$K$3:$K$27,MATCH($A401,Työkonekanta!$A$3:$A$24,0)),0)</f>
        <v>0</v>
      </c>
      <c r="W401" s="149">
        <f t="shared" si="108"/>
        <v>0</v>
      </c>
      <c r="X401" s="150">
        <f t="shared" si="109"/>
        <v>0</v>
      </c>
      <c r="Y401" s="151">
        <f t="shared" si="110"/>
        <v>0</v>
      </c>
      <c r="Z401" s="152">
        <f t="shared" si="121"/>
        <v>0</v>
      </c>
      <c r="AA401" s="153">
        <f t="shared" si="122"/>
        <v>0</v>
      </c>
      <c r="AB401" s="153">
        <f t="shared" si="123"/>
        <v>0</v>
      </c>
      <c r="AC401" s="154">
        <f t="shared" si="111"/>
        <v>0</v>
      </c>
      <c r="AD401" s="156">
        <f t="shared" si="124"/>
        <v>0</v>
      </c>
      <c r="AE401" s="182"/>
      <c r="AG401" s="2"/>
    </row>
    <row r="402" spans="1:37">
      <c r="A402" s="139">
        <v>10</v>
      </c>
      <c r="B402" s="139" cm="1">
        <f t="array" ref="B402">IFERROR(IF(A402=s1_id_korvattava1,INDEX($AG$3:$AG$19,MATCH(C402,$AF$3:$AF$19,0),1),IF(A402=s1_id_korvaava1,INDEX($AH$3:$AH$19,MATCH(C402,$AF$3:$AF$19,0),1),IF(A402=s1_id_korvattava2,INDEX($AI$3:$AI$19,MATCH(C402,$AF$3:$AF$19,0),1),IF(A402=s1_id_korvaava2,INDEX($AJ$3:$AJ$19,MATCH(C402,$AF$3:$AF$19,0),1),INDEX(Työkonekanta!$F$3:$F$27,MATCH('S1 Sähkö'!$A402,Työkonekanta!$A$3:$A$24,0),1))))),0)</f>
        <v>0</v>
      </c>
      <c r="C402" s="140">
        <v>2032</v>
      </c>
      <c r="D402" s="141" t="str">
        <f>IFERROR(INDEX(Työkonekanta!$D$3:$D$27,MATCH('S1 Sähkö'!$A402,Työkonekanta!$A$3:$A$24,0),1),"undefined")</f>
        <v>sähkö</v>
      </c>
      <c r="E402" s="145">
        <f>IFERROR(INDEX(Työkonekanta!$G$3:$G$27,MATCH($A402,Työkonekanta!$A$3:$A$24,0),1)*INDEX(Työkonekanta!$H$3:$H$27,MATCH($A402,Työkonekanta!$A$3:$A$24,0),1)*(1+s1_kerroin*($C402-2019))*$B402,0)</f>
        <v>0</v>
      </c>
      <c r="F402" s="145">
        <f t="shared" si="112"/>
        <v>0</v>
      </c>
      <c r="G402" s="145">
        <f t="shared" si="118"/>
        <v>0</v>
      </c>
      <c r="H402" s="145">
        <f t="shared" si="119"/>
        <v>0</v>
      </c>
      <c r="I402" s="145">
        <f t="shared" si="113"/>
        <v>0</v>
      </c>
      <c r="J402" s="145">
        <f t="shared" si="114"/>
        <v>0</v>
      </c>
      <c r="K402" s="142" t="str">
        <f t="shared" si="120"/>
        <v>kWh</v>
      </c>
      <c r="L402" s="146">
        <f>IFERROR(INDEX(Työkonekanta!$I$3:$I$27,MATCH('S1 Sähkö'!$A402,Työkonekanta!$A$3:$A$24,0),1)*(I402+J402)*f_adblue,0)</f>
        <v>0</v>
      </c>
      <c r="M402" s="146">
        <f t="shared" si="107"/>
        <v>0</v>
      </c>
      <c r="N402" s="143" t="str">
        <f>IF(tuulisähkö_vuosi&lt;='S1 Sähkö'!C402,"tuulisähkö",ostosähkö_nyt)</f>
        <v>jäännössähkö</v>
      </c>
      <c r="O402" s="147">
        <f>INDEX(Muuttujat!$J$5:$J$21,MATCH($C402,Muuttujat!$H$5:$H$21,0),1)</f>
        <v>60.765893284281319</v>
      </c>
      <c r="P402" s="342">
        <f>1-(INDEX(Muuttujat!$O$5:$O$21,MATCH($C402,Muuttujat!$N$5:$N$21,0),1))</f>
        <v>0.9</v>
      </c>
      <c r="Q402" s="342">
        <f>INDEX(Muuttujat!$O$5:$O$21,MATCH($C402,Muuttujat!$N$5:$N$21,0),1)</f>
        <v>0.1</v>
      </c>
      <c r="R402" s="148">
        <f>INDEX(Muuttujat!$P$5:$P$21,MATCH($C402,Muuttujat!$N$5:$N$21,0),1)</f>
        <v>0.10417875759940039</v>
      </c>
      <c r="S402" s="149">
        <f t="shared" si="115"/>
        <v>0</v>
      </c>
      <c r="T402" s="150">
        <f t="shared" si="116"/>
        <v>0</v>
      </c>
      <c r="U402" s="150">
        <f t="shared" si="117"/>
        <v>0</v>
      </c>
      <c r="V402" s="150">
        <f>IFERROR(INDEX(Työkonekanta!$J$3:$J$27,MATCH($A402,Työkonekanta!$A$3:$A$24,0),1)*$B402*ef_li_ion_akku/1000/1000/INDEX(Työkonekanta!$K$3:$K$27,MATCH($A402,Työkonekanta!$A$3:$A$24,0)),0)</f>
        <v>0</v>
      </c>
      <c r="W402" s="149">
        <f t="shared" si="108"/>
        <v>0</v>
      </c>
      <c r="X402" s="150">
        <f t="shared" si="109"/>
        <v>0</v>
      </c>
      <c r="Y402" s="151">
        <f t="shared" si="110"/>
        <v>0</v>
      </c>
      <c r="Z402" s="152">
        <f t="shared" si="121"/>
        <v>0</v>
      </c>
      <c r="AA402" s="153">
        <f t="shared" si="122"/>
        <v>0</v>
      </c>
      <c r="AB402" s="153">
        <f t="shared" si="123"/>
        <v>0</v>
      </c>
      <c r="AC402" s="154">
        <f t="shared" si="111"/>
        <v>0</v>
      </c>
      <c r="AD402" s="156">
        <f t="shared" si="124"/>
        <v>0</v>
      </c>
      <c r="AE402" s="182"/>
      <c r="AG402" s="2"/>
    </row>
    <row r="403" spans="1:37">
      <c r="A403" s="139">
        <v>11</v>
      </c>
      <c r="B403" s="139" cm="1">
        <f t="array" ref="B403">IFERROR(IF(A403=s1_id_korvattava1,INDEX($AG$3:$AG$19,MATCH(C403,$AF$3:$AF$19,0),1),IF(A403=s1_id_korvaava1,INDEX($AH$3:$AH$19,MATCH(C403,$AF$3:$AF$19,0),1),IF(A403=s1_id_korvattava2,INDEX($AI$3:$AI$19,MATCH(C403,$AF$3:$AF$19,0),1),IF(A403=s1_id_korvaava2,INDEX($AJ$3:$AJ$19,MATCH(C403,$AF$3:$AF$19,0),1),INDEX(Työkonekanta!$F$3:$F$27,MATCH('S1 Sähkö'!$A403,Työkonekanta!$A$3:$A$24,0),1))))),0)</f>
        <v>1</v>
      </c>
      <c r="C403" s="140">
        <v>2032</v>
      </c>
      <c r="D403" s="141" t="str">
        <f>IFERROR(INDEX(Työkonekanta!$D$3:$D$27,MATCH('S1 Sähkö'!$A403,Työkonekanta!$A$3:$A$24,0),1),"undefined")</f>
        <v>pom</v>
      </c>
      <c r="E403" s="145">
        <f>IFERROR(INDEX(Työkonekanta!$G$3:$G$27,MATCH($A403,Työkonekanta!$A$3:$A$24,0),1)*INDEX(Työkonekanta!$H$3:$H$27,MATCH($A403,Työkonekanta!$A$3:$A$24,0),1)*(1+s1_kerroin*($C403-2019))*$B403,0)</f>
        <v>11299.999999999998</v>
      </c>
      <c r="F403" s="145">
        <f t="shared" si="112"/>
        <v>405669.99999999994</v>
      </c>
      <c r="G403" s="145">
        <f t="shared" si="118"/>
        <v>365102.99999999994</v>
      </c>
      <c r="H403" s="145">
        <f t="shared" si="119"/>
        <v>40567</v>
      </c>
      <c r="I403" s="145">
        <f t="shared" si="113"/>
        <v>10169.999999999998</v>
      </c>
      <c r="J403" s="145">
        <f t="shared" si="114"/>
        <v>1182.7113702623908</v>
      </c>
      <c r="K403" s="142" t="str">
        <f t="shared" si="120"/>
        <v>l</v>
      </c>
      <c r="L403" s="146">
        <f>IFERROR(INDEX(Työkonekanta!$I$3:$I$27,MATCH('S1 Sähkö'!$A403,Työkonekanta!$A$3:$A$24,0),1)*(I403+J403)*f_adblue,0)</f>
        <v>567.63556851311944</v>
      </c>
      <c r="M403" s="146">
        <f t="shared" ref="M403:M466" si="125">IF($D403="sähkö",conv_kwh_mj*$E403,0)</f>
        <v>0</v>
      </c>
      <c r="N403" s="143" t="str">
        <f>IF(tuulisähkö_vuosi&lt;='S1 Sähkö'!C403,"tuulisähkö",ostosähkö_nyt)</f>
        <v>jäännössähkö</v>
      </c>
      <c r="O403" s="147">
        <f>INDEX(Muuttujat!$J$5:$J$21,MATCH($C403,Muuttujat!$H$5:$H$21,0),1)</f>
        <v>60.765893284281319</v>
      </c>
      <c r="P403" s="342">
        <f>1-(INDEX(Muuttujat!$O$5:$O$21,MATCH($C403,Muuttujat!$N$5:$N$21,0),1))</f>
        <v>0.9</v>
      </c>
      <c r="Q403" s="342">
        <f>INDEX(Muuttujat!$O$5:$O$21,MATCH($C403,Muuttujat!$N$5:$N$21,0),1)</f>
        <v>0.1</v>
      </c>
      <c r="R403" s="148">
        <f>INDEX(Muuttujat!$P$5:$P$21,MATCH($C403,Muuttujat!$N$5:$N$21,0),1)</f>
        <v>0.10417875759940039</v>
      </c>
      <c r="S403" s="149">
        <f t="shared" si="115"/>
        <v>6.9004466999999989</v>
      </c>
      <c r="T403" s="150">
        <f t="shared" si="116"/>
        <v>2.5313808</v>
      </c>
      <c r="U403" s="150">
        <f t="shared" si="117"/>
        <v>0</v>
      </c>
      <c r="V403" s="150">
        <f>IFERROR(INDEX(Työkonekanta!$J$3:$J$27,MATCH($A403,Työkonekanta!$A$3:$A$24,0),1)*$B403*ef_li_ion_akku/1000/1000/INDEX(Työkonekanta!$K$3:$K$27,MATCH($A403,Työkonekanta!$A$3:$A$24,0)),0)</f>
        <v>0</v>
      </c>
      <c r="W403" s="149">
        <f t="shared" ref="W403:W466" si="126">($I403*IF($D403="pom",ef_v_co2_pom,0))/1000/1000</f>
        <v>26.947615061861995</v>
      </c>
      <c r="X403" s="150">
        <f t="shared" ref="X403:X466" si="127">($E403*(IF($D403="pom",ef_v_ch4_pom,0)*gwp100_ch4+IF($D403="pom",ef_v_n2o_pom,0)*gwp100_n2o))/1000/1000</f>
        <v>0.35905259579999993</v>
      </c>
      <c r="Y403" s="151">
        <f t="shared" ref="Y403:Y466" si="128">$L403*ef_v_co2_adblue/1000/1000</f>
        <v>0.14758524781341106</v>
      </c>
      <c r="Z403" s="152">
        <f t="shared" si="121"/>
        <v>9.4318274999999989</v>
      </c>
      <c r="AA403" s="153">
        <f t="shared" si="122"/>
        <v>27.095200309675405</v>
      </c>
      <c r="AB403" s="153">
        <f t="shared" si="123"/>
        <v>27.454252905475407</v>
      </c>
      <c r="AC403" s="154">
        <f t="shared" ref="AC403:AC466" si="129">$Z403+$AA403</f>
        <v>36.527027809675403</v>
      </c>
      <c r="AD403" s="156">
        <f t="shared" si="124"/>
        <v>36.886080405475404</v>
      </c>
      <c r="AE403" s="182"/>
      <c r="AG403" s="2"/>
    </row>
    <row r="404" spans="1:37">
      <c r="A404" s="139">
        <v>12</v>
      </c>
      <c r="B404" s="139" cm="1">
        <f t="array" ref="B404">IFERROR(IF(A404=s1_id_korvattava1,INDEX($AG$3:$AG$19,MATCH(C404,$AF$3:$AF$19,0),1),IF(A404=s1_id_korvaava1,INDEX($AH$3:$AH$19,MATCH(C404,$AF$3:$AF$19,0),1),IF(A404=s1_id_korvattava2,INDEX($AI$3:$AI$19,MATCH(C404,$AF$3:$AF$19,0),1),IF(A404=s1_id_korvaava2,INDEX($AJ$3:$AJ$19,MATCH(C404,$AF$3:$AF$19,0),1),INDEX(Työkonekanta!$F$3:$F$27,MATCH('S1 Sähkö'!$A404,Työkonekanta!$A$3:$A$24,0),1))))),0)</f>
        <v>1</v>
      </c>
      <c r="C404" s="140">
        <v>2032</v>
      </c>
      <c r="D404" s="141" t="str">
        <f>IFERROR(INDEX(Työkonekanta!$D$3:$D$27,MATCH('S1 Sähkö'!$A404,Työkonekanta!$A$3:$A$24,0),1),"undefined")</f>
        <v>pom</v>
      </c>
      <c r="E404" s="145">
        <f>IFERROR(INDEX(Työkonekanta!$G$3:$G$27,MATCH($A404,Työkonekanta!$A$3:$A$24,0),1)*INDEX(Työkonekanta!$H$3:$H$27,MATCH($A404,Työkonekanta!$A$3:$A$24,0),1)*(1+s1_kerroin*($C404-2019))*$B404,0)</f>
        <v>11299.999999999998</v>
      </c>
      <c r="F404" s="145">
        <f t="shared" si="112"/>
        <v>405669.99999999994</v>
      </c>
      <c r="G404" s="145">
        <f t="shared" si="118"/>
        <v>365102.99999999994</v>
      </c>
      <c r="H404" s="145">
        <f t="shared" si="119"/>
        <v>40567</v>
      </c>
      <c r="I404" s="145">
        <f t="shared" si="113"/>
        <v>10169.999999999998</v>
      </c>
      <c r="J404" s="145">
        <f t="shared" si="114"/>
        <v>1182.7113702623908</v>
      </c>
      <c r="K404" s="142" t="str">
        <f t="shared" si="120"/>
        <v>l</v>
      </c>
      <c r="L404" s="146">
        <f>IFERROR(INDEX(Työkonekanta!$I$3:$I$27,MATCH('S1 Sähkö'!$A404,Työkonekanta!$A$3:$A$24,0),1)*(I404+J404)*f_adblue,0)</f>
        <v>567.63556851311944</v>
      </c>
      <c r="M404" s="146">
        <f t="shared" si="125"/>
        <v>0</v>
      </c>
      <c r="N404" s="143" t="str">
        <f>IF(tuulisähkö_vuosi&lt;='S1 Sähkö'!C404,"tuulisähkö",ostosähkö_nyt)</f>
        <v>jäännössähkö</v>
      </c>
      <c r="O404" s="147">
        <f>INDEX(Muuttujat!$J$5:$J$21,MATCH($C404,Muuttujat!$H$5:$H$21,0),1)</f>
        <v>60.765893284281319</v>
      </c>
      <c r="P404" s="342">
        <f>1-(INDEX(Muuttujat!$O$5:$O$21,MATCH($C404,Muuttujat!$N$5:$N$21,0),1))</f>
        <v>0.9</v>
      </c>
      <c r="Q404" s="342">
        <f>INDEX(Muuttujat!$O$5:$O$21,MATCH($C404,Muuttujat!$N$5:$N$21,0),1)</f>
        <v>0.1</v>
      </c>
      <c r="R404" s="148">
        <f>INDEX(Muuttujat!$P$5:$P$21,MATCH($C404,Muuttujat!$N$5:$N$21,0),1)</f>
        <v>0.10417875759940039</v>
      </c>
      <c r="S404" s="149">
        <f t="shared" si="115"/>
        <v>6.9004466999999989</v>
      </c>
      <c r="T404" s="150">
        <f t="shared" si="116"/>
        <v>2.5313808</v>
      </c>
      <c r="U404" s="150">
        <f t="shared" si="117"/>
        <v>0</v>
      </c>
      <c r="V404" s="150">
        <f>IFERROR(INDEX(Työkonekanta!$J$3:$J$27,MATCH($A404,Työkonekanta!$A$3:$A$24,0),1)*$B404*ef_li_ion_akku/1000/1000/INDEX(Työkonekanta!$K$3:$K$27,MATCH($A404,Työkonekanta!$A$3:$A$24,0)),0)</f>
        <v>0</v>
      </c>
      <c r="W404" s="149">
        <f t="shared" si="126"/>
        <v>26.947615061861995</v>
      </c>
      <c r="X404" s="150">
        <f t="shared" si="127"/>
        <v>0.35905259579999993</v>
      </c>
      <c r="Y404" s="151">
        <f t="shared" si="128"/>
        <v>0.14758524781341106</v>
      </c>
      <c r="Z404" s="152">
        <f t="shared" si="121"/>
        <v>9.4318274999999989</v>
      </c>
      <c r="AA404" s="153">
        <f t="shared" si="122"/>
        <v>27.095200309675405</v>
      </c>
      <c r="AB404" s="153">
        <f t="shared" si="123"/>
        <v>27.454252905475407</v>
      </c>
      <c r="AC404" s="154">
        <f t="shared" si="129"/>
        <v>36.527027809675403</v>
      </c>
      <c r="AD404" s="156">
        <f t="shared" si="124"/>
        <v>36.886080405475404</v>
      </c>
      <c r="AE404" s="182"/>
      <c r="AG404" s="2"/>
    </row>
    <row r="405" spans="1:37">
      <c r="A405" s="139">
        <v>13</v>
      </c>
      <c r="B405" s="139" cm="1">
        <f t="array" ref="B405">IFERROR(IF(A405=s1_id_korvattava1,INDEX($AG$3:$AG$19,MATCH(C405,$AF$3:$AF$19,0),1),IF(A405=s1_id_korvaava1,INDEX($AH$3:$AH$19,MATCH(C405,$AF$3:$AF$19,0),1),IF(A405=s1_id_korvattava2,INDEX($AI$3:$AI$19,MATCH(C405,$AF$3:$AF$19,0),1),IF(A405=s1_id_korvaava2,INDEX($AJ$3:$AJ$19,MATCH(C405,$AF$3:$AF$19,0),1),INDEX(Työkonekanta!$F$3:$F$27,MATCH('S1 Sähkö'!$A405,Työkonekanta!$A$3:$A$24,0),1))))),0)</f>
        <v>0</v>
      </c>
      <c r="C405" s="140">
        <v>2032</v>
      </c>
      <c r="D405" s="141" t="str">
        <f>IFERROR(INDEX(Työkonekanta!$D$3:$D$27,MATCH('S1 Sähkö'!$A405,Työkonekanta!$A$3:$A$24,0),1),"undefined")</f>
        <v>pom</v>
      </c>
      <c r="E405" s="145">
        <f>IFERROR(INDEX(Työkonekanta!$G$3:$G$27,MATCH($A405,Työkonekanta!$A$3:$A$24,0),1)*INDEX(Työkonekanta!$H$3:$H$27,MATCH($A405,Työkonekanta!$A$3:$A$24,0),1)*(1+s1_kerroin*($C405-2019))*$B405,0)</f>
        <v>0</v>
      </c>
      <c r="F405" s="145">
        <f t="shared" si="112"/>
        <v>0</v>
      </c>
      <c r="G405" s="145">
        <f t="shared" si="118"/>
        <v>0</v>
      </c>
      <c r="H405" s="145">
        <f t="shared" si="119"/>
        <v>0</v>
      </c>
      <c r="I405" s="145">
        <f t="shared" si="113"/>
        <v>0</v>
      </c>
      <c r="J405" s="145">
        <f t="shared" si="114"/>
        <v>0</v>
      </c>
      <c r="K405" s="142" t="str">
        <f t="shared" si="120"/>
        <v>l</v>
      </c>
      <c r="L405" s="146">
        <f>IFERROR(INDEX(Työkonekanta!$I$3:$I$27,MATCH('S1 Sähkö'!$A405,Työkonekanta!$A$3:$A$24,0),1)*(I405+J405)*f_adblue,0)</f>
        <v>0</v>
      </c>
      <c r="M405" s="146">
        <f t="shared" si="125"/>
        <v>0</v>
      </c>
      <c r="N405" s="143" t="str">
        <f>IF(tuulisähkö_vuosi&lt;='S1 Sähkö'!C405,"tuulisähkö",ostosähkö_nyt)</f>
        <v>jäännössähkö</v>
      </c>
      <c r="O405" s="147">
        <f>INDEX(Muuttujat!$J$5:$J$21,MATCH($C405,Muuttujat!$H$5:$H$21,0),1)</f>
        <v>60.765893284281319</v>
      </c>
      <c r="P405" s="342">
        <f>1-(INDEX(Muuttujat!$O$5:$O$21,MATCH($C405,Muuttujat!$N$5:$N$21,0),1))</f>
        <v>0.9</v>
      </c>
      <c r="Q405" s="342">
        <f>INDEX(Muuttujat!$O$5:$O$21,MATCH($C405,Muuttujat!$N$5:$N$21,0),1)</f>
        <v>0.1</v>
      </c>
      <c r="R405" s="148">
        <f>INDEX(Muuttujat!$P$5:$P$21,MATCH($C405,Muuttujat!$N$5:$N$21,0),1)</f>
        <v>0.10417875759940039</v>
      </c>
      <c r="S405" s="149">
        <f t="shared" si="115"/>
        <v>0</v>
      </c>
      <c r="T405" s="150">
        <f t="shared" si="116"/>
        <v>0</v>
      </c>
      <c r="U405" s="150">
        <f t="shared" si="117"/>
        <v>0</v>
      </c>
      <c r="V405" s="150">
        <f>IFERROR(INDEX(Työkonekanta!$J$3:$J$27,MATCH($A405,Työkonekanta!$A$3:$A$24,0),1)*$B405*ef_li_ion_akku/1000/1000/INDEX(Työkonekanta!$K$3:$K$27,MATCH($A405,Työkonekanta!$A$3:$A$24,0)),0)</f>
        <v>0</v>
      </c>
      <c r="W405" s="149">
        <f t="shared" si="126"/>
        <v>0</v>
      </c>
      <c r="X405" s="150">
        <f t="shared" si="127"/>
        <v>0</v>
      </c>
      <c r="Y405" s="151">
        <f t="shared" si="128"/>
        <v>0</v>
      </c>
      <c r="Z405" s="152">
        <f t="shared" si="121"/>
        <v>0</v>
      </c>
      <c r="AA405" s="153">
        <f t="shared" si="122"/>
        <v>0</v>
      </c>
      <c r="AB405" s="153">
        <f t="shared" si="123"/>
        <v>0</v>
      </c>
      <c r="AC405" s="154">
        <f t="shared" si="129"/>
        <v>0</v>
      </c>
      <c r="AD405" s="156">
        <f t="shared" si="124"/>
        <v>0</v>
      </c>
      <c r="AE405" s="182"/>
      <c r="AG405" s="2"/>
    </row>
    <row r="406" spans="1:37">
      <c r="A406" s="139">
        <v>14</v>
      </c>
      <c r="B406" s="139" cm="1">
        <f t="array" ref="B406">IFERROR(IF(A406=s1_id_korvattava1,INDEX($AG$3:$AG$19,MATCH(C406,$AF$3:$AF$19,0),1),IF(A406=s1_id_korvaava1,INDEX($AH$3:$AH$19,MATCH(C406,$AF$3:$AF$19,0),1),IF(A406=s1_id_korvattava2,INDEX($AI$3:$AI$19,MATCH(C406,$AF$3:$AF$19,0),1),IF(A406=s1_id_korvaava2,INDEX($AJ$3:$AJ$19,MATCH(C406,$AF$3:$AF$19,0),1),INDEX(Työkonekanta!$F$3:$F$27,MATCH('S1 Sähkö'!$A406,Työkonekanta!$A$3:$A$24,0),1))))),0)</f>
        <v>0</v>
      </c>
      <c r="C406" s="140">
        <v>2032</v>
      </c>
      <c r="D406" s="141" t="str">
        <f>IFERROR(INDEX(Työkonekanta!$D$3:$D$27,MATCH('S1 Sähkö'!$A406,Työkonekanta!$A$3:$A$24,0),1),"undefined")</f>
        <v>pom</v>
      </c>
      <c r="E406" s="145">
        <f>IFERROR(INDEX(Työkonekanta!$G$3:$G$27,MATCH($A406,Työkonekanta!$A$3:$A$24,0),1)*INDEX(Työkonekanta!$H$3:$H$27,MATCH($A406,Työkonekanta!$A$3:$A$24,0),1)*(1+s1_kerroin*($C406-2019))*$B406,0)</f>
        <v>0</v>
      </c>
      <c r="F406" s="145">
        <f t="shared" si="112"/>
        <v>0</v>
      </c>
      <c r="G406" s="145">
        <f t="shared" si="118"/>
        <v>0</v>
      </c>
      <c r="H406" s="145">
        <f t="shared" si="119"/>
        <v>0</v>
      </c>
      <c r="I406" s="145">
        <f t="shared" si="113"/>
        <v>0</v>
      </c>
      <c r="J406" s="145">
        <f t="shared" si="114"/>
        <v>0</v>
      </c>
      <c r="K406" s="142" t="str">
        <f t="shared" si="120"/>
        <v>l</v>
      </c>
      <c r="L406" s="146">
        <f>IFERROR(INDEX(Työkonekanta!$I$3:$I$27,MATCH('S1 Sähkö'!$A406,Työkonekanta!$A$3:$A$24,0),1)*(I406+J406)*f_adblue,0)</f>
        <v>0</v>
      </c>
      <c r="M406" s="146">
        <f t="shared" si="125"/>
        <v>0</v>
      </c>
      <c r="N406" s="143" t="str">
        <f>IF(tuulisähkö_vuosi&lt;='S1 Sähkö'!C406,"tuulisähkö",ostosähkö_nyt)</f>
        <v>jäännössähkö</v>
      </c>
      <c r="O406" s="147">
        <f>INDEX(Muuttujat!$J$5:$J$21,MATCH($C406,Muuttujat!$H$5:$H$21,0),1)</f>
        <v>60.765893284281319</v>
      </c>
      <c r="P406" s="342">
        <f>1-(INDEX(Muuttujat!$O$5:$O$21,MATCH($C406,Muuttujat!$N$5:$N$21,0),1))</f>
        <v>0.9</v>
      </c>
      <c r="Q406" s="342">
        <f>INDEX(Muuttujat!$O$5:$O$21,MATCH($C406,Muuttujat!$N$5:$N$21,0),1)</f>
        <v>0.1</v>
      </c>
      <c r="R406" s="148">
        <f>INDEX(Muuttujat!$P$5:$P$21,MATCH($C406,Muuttujat!$N$5:$N$21,0),1)</f>
        <v>0.10417875759940039</v>
      </c>
      <c r="S406" s="149">
        <f t="shared" si="115"/>
        <v>0</v>
      </c>
      <c r="T406" s="150">
        <f t="shared" si="116"/>
        <v>0</v>
      </c>
      <c r="U406" s="150">
        <f t="shared" si="117"/>
        <v>0</v>
      </c>
      <c r="V406" s="150">
        <f>IFERROR(INDEX(Työkonekanta!$J$3:$J$27,MATCH($A406,Työkonekanta!$A$3:$A$24,0),1)*$B406*ef_li_ion_akku/1000/1000/INDEX(Työkonekanta!$K$3:$K$27,MATCH($A406,Työkonekanta!$A$3:$A$24,0)),0)</f>
        <v>0</v>
      </c>
      <c r="W406" s="149">
        <f t="shared" si="126"/>
        <v>0</v>
      </c>
      <c r="X406" s="150">
        <f t="shared" si="127"/>
        <v>0</v>
      </c>
      <c r="Y406" s="151">
        <f t="shared" si="128"/>
        <v>0</v>
      </c>
      <c r="Z406" s="152">
        <f t="shared" si="121"/>
        <v>0</v>
      </c>
      <c r="AA406" s="153">
        <f t="shared" si="122"/>
        <v>0</v>
      </c>
      <c r="AB406" s="153">
        <f t="shared" si="123"/>
        <v>0</v>
      </c>
      <c r="AC406" s="154">
        <f t="shared" si="129"/>
        <v>0</v>
      </c>
      <c r="AD406" s="156">
        <f t="shared" si="124"/>
        <v>0</v>
      </c>
      <c r="AE406" s="182"/>
      <c r="AG406" s="2"/>
    </row>
    <row r="407" spans="1:37">
      <c r="A407" s="139">
        <v>15</v>
      </c>
      <c r="B407" s="139" cm="1">
        <f t="array" ref="B407">IFERROR(IF(A407=s1_id_korvattava1,INDEX($AG$3:$AG$19,MATCH(C407,$AF$3:$AF$19,0),1),IF(A407=s1_id_korvaava1,INDEX($AH$3:$AH$19,MATCH(C407,$AF$3:$AF$19,0),1),IF(A407=s1_id_korvattava2,INDEX($AI$3:$AI$19,MATCH(C407,$AF$3:$AF$19,0),1),IF(A407=s1_id_korvaava2,INDEX($AJ$3:$AJ$19,MATCH(C407,$AF$3:$AF$19,0),1),INDEX(Työkonekanta!$F$3:$F$27,MATCH('S1 Sähkö'!$A407,Työkonekanta!$A$3:$A$24,0),1))))),0)</f>
        <v>0</v>
      </c>
      <c r="C407" s="140">
        <v>2032</v>
      </c>
      <c r="D407" s="141" t="str">
        <f>IFERROR(INDEX(Työkonekanta!$D$3:$D$27,MATCH('S1 Sähkö'!$A407,Työkonekanta!$A$3:$A$24,0),1),"undefined")</f>
        <v>sähkö</v>
      </c>
      <c r="E407" s="145">
        <f>IFERROR(INDEX(Työkonekanta!$G$3:$G$27,MATCH($A407,Työkonekanta!$A$3:$A$24,0),1)*INDEX(Työkonekanta!$H$3:$H$27,MATCH($A407,Työkonekanta!$A$3:$A$24,0),1)*(1+s1_kerroin*($C407-2019))*$B407,0)</f>
        <v>0</v>
      </c>
      <c r="F407" s="145">
        <f t="shared" si="112"/>
        <v>0</v>
      </c>
      <c r="G407" s="145">
        <f t="shared" si="118"/>
        <v>0</v>
      </c>
      <c r="H407" s="145">
        <f t="shared" si="119"/>
        <v>0</v>
      </c>
      <c r="I407" s="145">
        <f t="shared" si="113"/>
        <v>0</v>
      </c>
      <c r="J407" s="145">
        <f t="shared" si="114"/>
        <v>0</v>
      </c>
      <c r="K407" s="142" t="str">
        <f t="shared" si="120"/>
        <v>kWh</v>
      </c>
      <c r="L407" s="146">
        <f>IFERROR(INDEX(Työkonekanta!$I$3:$I$27,MATCH('S1 Sähkö'!$A407,Työkonekanta!$A$3:$A$24,0),1)*(I407+J407)*f_adblue,0)</f>
        <v>0</v>
      </c>
      <c r="M407" s="146">
        <f t="shared" si="125"/>
        <v>0</v>
      </c>
      <c r="N407" s="143" t="str">
        <f>IF(tuulisähkö_vuosi&lt;='S1 Sähkö'!C407,"tuulisähkö",ostosähkö_nyt)</f>
        <v>jäännössähkö</v>
      </c>
      <c r="O407" s="147">
        <f>INDEX(Muuttujat!$J$5:$J$21,MATCH($C407,Muuttujat!$H$5:$H$21,0),1)</f>
        <v>60.765893284281319</v>
      </c>
      <c r="P407" s="342">
        <f>1-(INDEX(Muuttujat!$O$5:$O$21,MATCH($C407,Muuttujat!$N$5:$N$21,0),1))</f>
        <v>0.9</v>
      </c>
      <c r="Q407" s="342">
        <f>INDEX(Muuttujat!$O$5:$O$21,MATCH($C407,Muuttujat!$N$5:$N$21,0),1)</f>
        <v>0.1</v>
      </c>
      <c r="R407" s="148">
        <f>INDEX(Muuttujat!$P$5:$P$21,MATCH($C407,Muuttujat!$N$5:$N$21,0),1)</f>
        <v>0.10417875759940039</v>
      </c>
      <c r="S407" s="149">
        <f t="shared" si="115"/>
        <v>0</v>
      </c>
      <c r="T407" s="150">
        <f t="shared" si="116"/>
        <v>0</v>
      </c>
      <c r="U407" s="150">
        <f t="shared" si="117"/>
        <v>0</v>
      </c>
      <c r="V407" s="150">
        <f>IFERROR(INDEX(Työkonekanta!$J$3:$J$27,MATCH($A407,Työkonekanta!$A$3:$A$24,0),1)*$B407*ef_li_ion_akku/1000/1000/INDEX(Työkonekanta!$K$3:$K$27,MATCH($A407,Työkonekanta!$A$3:$A$24,0)),0)</f>
        <v>0</v>
      </c>
      <c r="W407" s="149">
        <f t="shared" si="126"/>
        <v>0</v>
      </c>
      <c r="X407" s="150">
        <f t="shared" si="127"/>
        <v>0</v>
      </c>
      <c r="Y407" s="151">
        <f t="shared" si="128"/>
        <v>0</v>
      </c>
      <c r="Z407" s="152">
        <f t="shared" si="121"/>
        <v>0</v>
      </c>
      <c r="AA407" s="153">
        <f t="shared" si="122"/>
        <v>0</v>
      </c>
      <c r="AB407" s="153">
        <f t="shared" si="123"/>
        <v>0</v>
      </c>
      <c r="AC407" s="154">
        <f t="shared" si="129"/>
        <v>0</v>
      </c>
      <c r="AD407" s="156">
        <f t="shared" si="124"/>
        <v>0</v>
      </c>
      <c r="AE407" s="182"/>
      <c r="AG407" s="2"/>
    </row>
    <row r="408" spans="1:37">
      <c r="A408" s="139">
        <v>16</v>
      </c>
      <c r="B408" s="139" cm="1">
        <f t="array" ref="B408">IFERROR(IF(A408=s1_id_korvattava1,INDEX($AG$3:$AG$19,MATCH(C408,$AF$3:$AF$19,0),1),IF(A408=s1_id_korvaava1,INDEX($AH$3:$AH$19,MATCH(C408,$AF$3:$AF$19,0),1),IF(A408=s1_id_korvattava2,INDEX($AI$3:$AI$19,MATCH(C408,$AF$3:$AF$19,0),1),IF(A408=s1_id_korvaava2,INDEX($AJ$3:$AJ$19,MATCH(C408,$AF$3:$AF$19,0),1),INDEX(Työkonekanta!$F$3:$F$27,MATCH('S1 Sähkö'!$A408,Työkonekanta!$A$3:$A$24,0),1))))),0)</f>
        <v>0</v>
      </c>
      <c r="C408" s="140">
        <v>2032</v>
      </c>
      <c r="D408" s="141" t="str">
        <f>IFERROR(INDEX(Työkonekanta!$D$3:$D$27,MATCH('S1 Sähkö'!$A408,Työkonekanta!$A$3:$A$24,0),1),"undefined")</f>
        <v>sähkö</v>
      </c>
      <c r="E408" s="145">
        <f>IFERROR(INDEX(Työkonekanta!$G$3:$G$27,MATCH($A408,Työkonekanta!$A$3:$A$24,0),1)*INDEX(Työkonekanta!$H$3:$H$27,MATCH($A408,Työkonekanta!$A$3:$A$24,0),1)*(1+s1_kerroin*($C408-2019))*$B408,0)</f>
        <v>0</v>
      </c>
      <c r="F408" s="145">
        <f t="shared" si="112"/>
        <v>0</v>
      </c>
      <c r="G408" s="145">
        <f t="shared" si="118"/>
        <v>0</v>
      </c>
      <c r="H408" s="145">
        <f t="shared" si="119"/>
        <v>0</v>
      </c>
      <c r="I408" s="145">
        <f t="shared" si="113"/>
        <v>0</v>
      </c>
      <c r="J408" s="145">
        <f t="shared" si="114"/>
        <v>0</v>
      </c>
      <c r="K408" s="142" t="str">
        <f t="shared" si="120"/>
        <v>kWh</v>
      </c>
      <c r="L408" s="146">
        <f>IFERROR(INDEX(Työkonekanta!$I$3:$I$27,MATCH('S1 Sähkö'!$A408,Työkonekanta!$A$3:$A$24,0),1)*(I408+J408)*f_adblue,0)</f>
        <v>0</v>
      </c>
      <c r="M408" s="146">
        <f t="shared" si="125"/>
        <v>0</v>
      </c>
      <c r="N408" s="143" t="str">
        <f>IF(tuulisähkö_vuosi&lt;='S1 Sähkö'!C408,"tuulisähkö",ostosähkö_nyt)</f>
        <v>jäännössähkö</v>
      </c>
      <c r="O408" s="147">
        <f>INDEX(Muuttujat!$J$5:$J$21,MATCH($C408,Muuttujat!$H$5:$H$21,0),1)</f>
        <v>60.765893284281319</v>
      </c>
      <c r="P408" s="342">
        <f>1-(INDEX(Muuttujat!$O$5:$O$21,MATCH($C408,Muuttujat!$N$5:$N$21,0),1))</f>
        <v>0.9</v>
      </c>
      <c r="Q408" s="342">
        <f>INDEX(Muuttujat!$O$5:$O$21,MATCH($C408,Muuttujat!$N$5:$N$21,0),1)</f>
        <v>0.1</v>
      </c>
      <c r="R408" s="148">
        <f>INDEX(Muuttujat!$P$5:$P$21,MATCH($C408,Muuttujat!$N$5:$N$21,0),1)</f>
        <v>0.10417875759940039</v>
      </c>
      <c r="S408" s="149">
        <f t="shared" si="115"/>
        <v>0</v>
      </c>
      <c r="T408" s="150">
        <f t="shared" si="116"/>
        <v>0</v>
      </c>
      <c r="U408" s="150">
        <f t="shared" si="117"/>
        <v>0</v>
      </c>
      <c r="V408" s="150">
        <f>IFERROR(INDEX(Työkonekanta!$J$3:$J$27,MATCH($A408,Työkonekanta!$A$3:$A$24,0),1)*$B408*ef_li_ion_akku/1000/1000/INDEX(Työkonekanta!$K$3:$K$27,MATCH($A408,Työkonekanta!$A$3:$A$24,0)),0)</f>
        <v>0</v>
      </c>
      <c r="W408" s="149">
        <f t="shared" si="126"/>
        <v>0</v>
      </c>
      <c r="X408" s="150">
        <f t="shared" si="127"/>
        <v>0</v>
      </c>
      <c r="Y408" s="151">
        <f t="shared" si="128"/>
        <v>0</v>
      </c>
      <c r="Z408" s="152">
        <f t="shared" si="121"/>
        <v>0</v>
      </c>
      <c r="AA408" s="153">
        <f t="shared" si="122"/>
        <v>0</v>
      </c>
      <c r="AB408" s="153">
        <f t="shared" si="123"/>
        <v>0</v>
      </c>
      <c r="AC408" s="154">
        <f t="shared" si="129"/>
        <v>0</v>
      </c>
      <c r="AD408" s="156">
        <f t="shared" si="124"/>
        <v>0</v>
      </c>
      <c r="AE408" s="182"/>
      <c r="AG408" s="2"/>
    </row>
    <row r="409" spans="1:37">
      <c r="A409" s="139">
        <v>17</v>
      </c>
      <c r="B409" s="139" cm="1">
        <f t="array" ref="B409">IFERROR(IF(A409=s1_id_korvattava1,INDEX($AG$3:$AG$19,MATCH(C409,$AF$3:$AF$19,0),1),IF(A409=s1_id_korvaava1,INDEX($AH$3:$AH$19,MATCH(C409,$AF$3:$AF$19,0),1),IF(A409=s1_id_korvattava2,INDEX($AI$3:$AI$19,MATCH(C409,$AF$3:$AF$19,0),1),IF(A409=s1_id_korvaava2,INDEX($AJ$3:$AJ$19,MATCH(C409,$AF$3:$AF$19,0),1),INDEX(Työkonekanta!$F$3:$F$27,MATCH('S1 Sähkö'!$A409,Työkonekanta!$A$3:$A$24,0),1))))),0)</f>
        <v>0</v>
      </c>
      <c r="C409" s="140">
        <v>2032</v>
      </c>
      <c r="D409" s="141" t="str">
        <f>IFERROR(INDEX(Työkonekanta!$D$3:$D$27,MATCH('S1 Sähkö'!$A409,Työkonekanta!$A$3:$A$24,0),1),"undefined")</f>
        <v>pom</v>
      </c>
      <c r="E409" s="145">
        <f>IFERROR(INDEX(Työkonekanta!$G$3:$G$27,MATCH($A409,Työkonekanta!$A$3:$A$24,0),1)*INDEX(Työkonekanta!$H$3:$H$27,MATCH($A409,Työkonekanta!$A$3:$A$24,0),1)*(1+s1_kerroin*($C409-2019))*$B409,0)</f>
        <v>0</v>
      </c>
      <c r="F409" s="145">
        <f t="shared" si="112"/>
        <v>0</v>
      </c>
      <c r="G409" s="145">
        <f t="shared" si="118"/>
        <v>0</v>
      </c>
      <c r="H409" s="145">
        <f t="shared" si="119"/>
        <v>0</v>
      </c>
      <c r="I409" s="145">
        <f t="shared" si="113"/>
        <v>0</v>
      </c>
      <c r="J409" s="145">
        <f t="shared" si="114"/>
        <v>0</v>
      </c>
      <c r="K409" s="142" t="str">
        <f t="shared" si="120"/>
        <v>l</v>
      </c>
      <c r="L409" s="146">
        <f>IFERROR(INDEX(Työkonekanta!$I$3:$I$27,MATCH('S1 Sähkö'!$A409,Työkonekanta!$A$3:$A$24,0),1)*(I409+J409)*f_adblue,0)</f>
        <v>0</v>
      </c>
      <c r="M409" s="146">
        <f t="shared" si="125"/>
        <v>0</v>
      </c>
      <c r="N409" s="143" t="str">
        <f>IF(tuulisähkö_vuosi&lt;='S1 Sähkö'!C409,"tuulisähkö",ostosähkö_nyt)</f>
        <v>jäännössähkö</v>
      </c>
      <c r="O409" s="147">
        <f>INDEX(Muuttujat!$J$5:$J$21,MATCH($C409,Muuttujat!$H$5:$H$21,0),1)</f>
        <v>60.765893284281319</v>
      </c>
      <c r="P409" s="342">
        <f>1-(INDEX(Muuttujat!$O$5:$O$21,MATCH($C409,Muuttujat!$N$5:$N$21,0),1))</f>
        <v>0.9</v>
      </c>
      <c r="Q409" s="342">
        <f>INDEX(Muuttujat!$O$5:$O$21,MATCH($C409,Muuttujat!$N$5:$N$21,0),1)</f>
        <v>0.1</v>
      </c>
      <c r="R409" s="148">
        <f>INDEX(Muuttujat!$P$5:$P$21,MATCH($C409,Muuttujat!$N$5:$N$21,0),1)</f>
        <v>0.10417875759940039</v>
      </c>
      <c r="S409" s="149">
        <f t="shared" si="115"/>
        <v>0</v>
      </c>
      <c r="T409" s="150">
        <f t="shared" si="116"/>
        <v>0</v>
      </c>
      <c r="U409" s="150">
        <f t="shared" si="117"/>
        <v>0</v>
      </c>
      <c r="V409" s="150">
        <f>IFERROR(INDEX(Työkonekanta!$J$3:$J$27,MATCH($A409,Työkonekanta!$A$3:$A$24,0),1)*$B409*ef_li_ion_akku/1000/1000/INDEX(Työkonekanta!$K$3:$K$27,MATCH($A409,Työkonekanta!$A$3:$A$24,0)),0)</f>
        <v>0</v>
      </c>
      <c r="W409" s="149">
        <f t="shared" si="126"/>
        <v>0</v>
      </c>
      <c r="X409" s="150">
        <f t="shared" si="127"/>
        <v>0</v>
      </c>
      <c r="Y409" s="151">
        <f t="shared" si="128"/>
        <v>0</v>
      </c>
      <c r="Z409" s="152">
        <f t="shared" si="121"/>
        <v>0</v>
      </c>
      <c r="AA409" s="153">
        <f t="shared" si="122"/>
        <v>0</v>
      </c>
      <c r="AB409" s="153">
        <f t="shared" si="123"/>
        <v>0</v>
      </c>
      <c r="AC409" s="154">
        <f t="shared" si="129"/>
        <v>0</v>
      </c>
      <c r="AD409" s="156">
        <f t="shared" si="124"/>
        <v>0</v>
      </c>
      <c r="AE409" s="182"/>
      <c r="AG409" s="2"/>
    </row>
    <row r="410" spans="1:37">
      <c r="A410" s="139">
        <v>18</v>
      </c>
      <c r="B410" s="139" cm="1">
        <f t="array" ref="B410">IFERROR(IF(A410=s1_id_korvattava1,INDEX($AG$3:$AG$19,MATCH(C410,$AF$3:$AF$19,0),1),IF(A410=s1_id_korvaava1,INDEX($AH$3:$AH$19,MATCH(C410,$AF$3:$AF$19,0),1),IF(A410=s1_id_korvattava2,INDEX($AI$3:$AI$19,MATCH(C410,$AF$3:$AF$19,0),1),IF(A410=s1_id_korvaava2,INDEX($AJ$3:$AJ$19,MATCH(C410,$AF$3:$AF$19,0),1),INDEX(Työkonekanta!$F$3:$F$27,MATCH('S1 Sähkö'!$A410,Työkonekanta!$A$3:$A$24,0),1))))),0)</f>
        <v>0</v>
      </c>
      <c r="C410" s="140">
        <v>2032</v>
      </c>
      <c r="D410" s="141" t="str">
        <f>IFERROR(INDEX(Työkonekanta!$D$3:$D$27,MATCH('S1 Sähkö'!$A410,Työkonekanta!$A$3:$A$24,0),1),"undefined")</f>
        <v>pom</v>
      </c>
      <c r="E410" s="145">
        <f>IFERROR(INDEX(Työkonekanta!$G$3:$G$27,MATCH($A410,Työkonekanta!$A$3:$A$24,0),1)*INDEX(Työkonekanta!$H$3:$H$27,MATCH($A410,Työkonekanta!$A$3:$A$24,0),1)*(1+s1_kerroin*($C410-2019))*$B410,0)</f>
        <v>0</v>
      </c>
      <c r="F410" s="145">
        <f t="shared" si="112"/>
        <v>0</v>
      </c>
      <c r="G410" s="145">
        <f t="shared" si="118"/>
        <v>0</v>
      </c>
      <c r="H410" s="145">
        <f t="shared" si="119"/>
        <v>0</v>
      </c>
      <c r="I410" s="145">
        <f t="shared" si="113"/>
        <v>0</v>
      </c>
      <c r="J410" s="145">
        <f t="shared" si="114"/>
        <v>0</v>
      </c>
      <c r="K410" s="142" t="str">
        <f t="shared" si="120"/>
        <v>l</v>
      </c>
      <c r="L410" s="146">
        <f>IFERROR(INDEX(Työkonekanta!$I$3:$I$27,MATCH('S1 Sähkö'!$A410,Työkonekanta!$A$3:$A$24,0),1)*(I410+J410)*f_adblue,0)</f>
        <v>0</v>
      </c>
      <c r="M410" s="146">
        <f t="shared" si="125"/>
        <v>0</v>
      </c>
      <c r="N410" s="143" t="str">
        <f>IF(tuulisähkö_vuosi&lt;='S1 Sähkö'!C410,"tuulisähkö",ostosähkö_nyt)</f>
        <v>jäännössähkö</v>
      </c>
      <c r="O410" s="147">
        <f>INDEX(Muuttujat!$J$5:$J$21,MATCH($C410,Muuttujat!$H$5:$H$21,0),1)</f>
        <v>60.765893284281319</v>
      </c>
      <c r="P410" s="342">
        <f>1-(INDEX(Muuttujat!$O$5:$O$21,MATCH($C410,Muuttujat!$N$5:$N$21,0),1))</f>
        <v>0.9</v>
      </c>
      <c r="Q410" s="342">
        <f>INDEX(Muuttujat!$O$5:$O$21,MATCH($C410,Muuttujat!$N$5:$N$21,0),1)</f>
        <v>0.1</v>
      </c>
      <c r="R410" s="148">
        <f>INDEX(Muuttujat!$P$5:$P$21,MATCH($C410,Muuttujat!$N$5:$N$21,0),1)</f>
        <v>0.10417875759940039</v>
      </c>
      <c r="S410" s="149">
        <f t="shared" si="115"/>
        <v>0</v>
      </c>
      <c r="T410" s="150">
        <f t="shared" si="116"/>
        <v>0</v>
      </c>
      <c r="U410" s="150">
        <f t="shared" si="117"/>
        <v>0</v>
      </c>
      <c r="V410" s="150">
        <f>IFERROR(INDEX(Työkonekanta!$J$3:$J$27,MATCH($A410,Työkonekanta!$A$3:$A$24,0),1)*$B410*ef_li_ion_akku/1000/1000/INDEX(Työkonekanta!$K$3:$K$27,MATCH($A410,Työkonekanta!$A$3:$A$24,0)),0)</f>
        <v>0</v>
      </c>
      <c r="W410" s="149">
        <f t="shared" si="126"/>
        <v>0</v>
      </c>
      <c r="X410" s="150">
        <f t="shared" si="127"/>
        <v>0</v>
      </c>
      <c r="Y410" s="151">
        <f t="shared" si="128"/>
        <v>0</v>
      </c>
      <c r="Z410" s="152">
        <f t="shared" si="121"/>
        <v>0</v>
      </c>
      <c r="AA410" s="153">
        <f t="shared" si="122"/>
        <v>0</v>
      </c>
      <c r="AB410" s="153">
        <f t="shared" si="123"/>
        <v>0</v>
      </c>
      <c r="AC410" s="154">
        <f t="shared" si="129"/>
        <v>0</v>
      </c>
      <c r="AD410" s="156">
        <f t="shared" si="124"/>
        <v>0</v>
      </c>
      <c r="AE410" s="182"/>
      <c r="AG410" s="2"/>
    </row>
    <row r="411" spans="1:37">
      <c r="A411" s="139">
        <v>19</v>
      </c>
      <c r="B411" s="139" cm="1">
        <f t="array" ref="B411">IFERROR(IF(A411=s1_id_korvattava1,INDEX($AG$3:$AG$19,MATCH(C411,$AF$3:$AF$19,0),1),IF(A411=s1_id_korvaava1,INDEX($AH$3:$AH$19,MATCH(C411,$AF$3:$AF$19,0),1),IF(A411=s1_id_korvattava2,INDEX($AI$3:$AI$19,MATCH(C411,$AF$3:$AF$19,0),1),IF(A411=s1_id_korvaava2,INDEX($AJ$3:$AJ$19,MATCH(C411,$AF$3:$AF$19,0),1),INDEX(Työkonekanta!$F$3:$F$27,MATCH('S1 Sähkö'!$A411,Työkonekanta!$A$3:$A$24,0),1))))),0)</f>
        <v>0</v>
      </c>
      <c r="C411" s="140">
        <v>2032</v>
      </c>
      <c r="D411" s="141" t="str">
        <f>IFERROR(INDEX(Työkonekanta!$D$3:$D$27,MATCH('S1 Sähkö'!$A411,Työkonekanta!$A$3:$A$24,0),1),"undefined")</f>
        <v>pom</v>
      </c>
      <c r="E411" s="145">
        <f>IFERROR(INDEX(Työkonekanta!$G$3:$G$27,MATCH($A411,Työkonekanta!$A$3:$A$24,0),1)*INDEX(Työkonekanta!$H$3:$H$27,MATCH($A411,Työkonekanta!$A$3:$A$24,0),1)*(1+s1_kerroin*($C411-2019))*$B411,0)</f>
        <v>0</v>
      </c>
      <c r="F411" s="145">
        <f t="shared" si="112"/>
        <v>0</v>
      </c>
      <c r="G411" s="145">
        <f t="shared" si="118"/>
        <v>0</v>
      </c>
      <c r="H411" s="145">
        <f t="shared" si="119"/>
        <v>0</v>
      </c>
      <c r="I411" s="145">
        <f t="shared" si="113"/>
        <v>0</v>
      </c>
      <c r="J411" s="145">
        <f t="shared" si="114"/>
        <v>0</v>
      </c>
      <c r="K411" s="142" t="str">
        <f t="shared" si="120"/>
        <v>l</v>
      </c>
      <c r="L411" s="146">
        <f>IFERROR(INDEX(Työkonekanta!$I$3:$I$27,MATCH('S1 Sähkö'!$A411,Työkonekanta!$A$3:$A$24,0),1)*(I411+J411)*f_adblue,0)</f>
        <v>0</v>
      </c>
      <c r="M411" s="146">
        <f t="shared" si="125"/>
        <v>0</v>
      </c>
      <c r="N411" s="143" t="str">
        <f>IF(tuulisähkö_vuosi&lt;='S1 Sähkö'!C411,"tuulisähkö",ostosähkö_nyt)</f>
        <v>jäännössähkö</v>
      </c>
      <c r="O411" s="147">
        <f>INDEX(Muuttujat!$J$5:$J$21,MATCH($C411,Muuttujat!$H$5:$H$21,0),1)</f>
        <v>60.765893284281319</v>
      </c>
      <c r="P411" s="342">
        <f>1-(INDEX(Muuttujat!$O$5:$O$21,MATCH($C411,Muuttujat!$N$5:$N$21,0),1))</f>
        <v>0.9</v>
      </c>
      <c r="Q411" s="342">
        <f>INDEX(Muuttujat!$O$5:$O$21,MATCH($C411,Muuttujat!$N$5:$N$21,0),1)</f>
        <v>0.1</v>
      </c>
      <c r="R411" s="148">
        <f>INDEX(Muuttujat!$P$5:$P$21,MATCH($C411,Muuttujat!$N$5:$N$21,0),1)</f>
        <v>0.10417875759940039</v>
      </c>
      <c r="S411" s="149">
        <f t="shared" si="115"/>
        <v>0</v>
      </c>
      <c r="T411" s="150">
        <f t="shared" si="116"/>
        <v>0</v>
      </c>
      <c r="U411" s="150">
        <f t="shared" si="117"/>
        <v>0</v>
      </c>
      <c r="V411" s="150">
        <f>IFERROR(INDEX(Työkonekanta!$J$3:$J$27,MATCH($A411,Työkonekanta!$A$3:$A$24,0),1)*$B411*ef_li_ion_akku/1000/1000/INDEX(Työkonekanta!$K$3:$K$27,MATCH($A411,Työkonekanta!$A$3:$A$24,0)),0)</f>
        <v>0</v>
      </c>
      <c r="W411" s="149">
        <f t="shared" si="126"/>
        <v>0</v>
      </c>
      <c r="X411" s="150">
        <f t="shared" si="127"/>
        <v>0</v>
      </c>
      <c r="Y411" s="151">
        <f t="shared" si="128"/>
        <v>0</v>
      </c>
      <c r="Z411" s="152">
        <f t="shared" si="121"/>
        <v>0</v>
      </c>
      <c r="AA411" s="153">
        <f t="shared" si="122"/>
        <v>0</v>
      </c>
      <c r="AB411" s="153">
        <f t="shared" si="123"/>
        <v>0</v>
      </c>
      <c r="AC411" s="154">
        <f t="shared" si="129"/>
        <v>0</v>
      </c>
      <c r="AD411" s="156">
        <f t="shared" si="124"/>
        <v>0</v>
      </c>
      <c r="AE411" s="182"/>
      <c r="AG411" s="2"/>
    </row>
    <row r="412" spans="1:37">
      <c r="A412" s="139">
        <v>20</v>
      </c>
      <c r="B412" s="139" cm="1">
        <f t="array" ref="B412">IFERROR(IF(A412=s1_id_korvattava1,INDEX($AG$3:$AG$19,MATCH(C412,$AF$3:$AF$19,0),1),IF(A412=s1_id_korvaava1,INDEX($AH$3:$AH$19,MATCH(C412,$AF$3:$AF$19,0),1),IF(A412=s1_id_korvattava2,INDEX($AI$3:$AI$19,MATCH(C412,$AF$3:$AF$19,0),1),IF(A412=s1_id_korvaava2,INDEX($AJ$3:$AJ$19,MATCH(C412,$AF$3:$AF$19,0),1),INDEX(Työkonekanta!$F$3:$F$27,MATCH('S1 Sähkö'!$A412,Työkonekanta!$A$3:$A$24,0),1))))),0)</f>
        <v>0</v>
      </c>
      <c r="C412" s="140">
        <v>2032</v>
      </c>
      <c r="D412" s="141" t="str">
        <f>IFERROR(INDEX(Työkonekanta!$D$3:$D$27,MATCH('S1 Sähkö'!$A412,Työkonekanta!$A$3:$A$24,0),1),"undefined")</f>
        <v>pom</v>
      </c>
      <c r="E412" s="145">
        <f>IFERROR(INDEX(Työkonekanta!$G$3:$G$27,MATCH($A412,Työkonekanta!$A$3:$A$24,0),1)*INDEX(Työkonekanta!$H$3:$H$27,MATCH($A412,Työkonekanta!$A$3:$A$24,0),1)*(1+s1_kerroin*($C412-2019))*$B412,0)</f>
        <v>0</v>
      </c>
      <c r="F412" s="145">
        <f t="shared" si="112"/>
        <v>0</v>
      </c>
      <c r="G412" s="145">
        <f t="shared" si="118"/>
        <v>0</v>
      </c>
      <c r="H412" s="145">
        <f t="shared" si="119"/>
        <v>0</v>
      </c>
      <c r="I412" s="145">
        <f t="shared" si="113"/>
        <v>0</v>
      </c>
      <c r="J412" s="145">
        <f t="shared" si="114"/>
        <v>0</v>
      </c>
      <c r="K412" s="142" t="str">
        <f t="shared" si="120"/>
        <v>l</v>
      </c>
      <c r="L412" s="146">
        <f>IFERROR(INDEX(Työkonekanta!$I$3:$I$27,MATCH('S1 Sähkö'!$A412,Työkonekanta!$A$3:$A$24,0),1)*(I412+J412)*f_adblue,0)</f>
        <v>0</v>
      </c>
      <c r="M412" s="146">
        <f t="shared" si="125"/>
        <v>0</v>
      </c>
      <c r="N412" s="143" t="str">
        <f>IF(tuulisähkö_vuosi&lt;='S1 Sähkö'!C412,"tuulisähkö",ostosähkö_nyt)</f>
        <v>jäännössähkö</v>
      </c>
      <c r="O412" s="147">
        <f>INDEX(Muuttujat!$J$5:$J$21,MATCH($C412,Muuttujat!$H$5:$H$21,0),1)</f>
        <v>60.765893284281319</v>
      </c>
      <c r="P412" s="342">
        <f>1-(INDEX(Muuttujat!$O$5:$O$21,MATCH($C412,Muuttujat!$N$5:$N$21,0),1))</f>
        <v>0.9</v>
      </c>
      <c r="Q412" s="342">
        <f>INDEX(Muuttujat!$O$5:$O$21,MATCH($C412,Muuttujat!$N$5:$N$21,0),1)</f>
        <v>0.1</v>
      </c>
      <c r="R412" s="148">
        <f>INDEX(Muuttujat!$P$5:$P$21,MATCH($C412,Muuttujat!$N$5:$N$21,0),1)</f>
        <v>0.10417875759940039</v>
      </c>
      <c r="S412" s="149">
        <f t="shared" si="115"/>
        <v>0</v>
      </c>
      <c r="T412" s="150">
        <f t="shared" si="116"/>
        <v>0</v>
      </c>
      <c r="U412" s="150">
        <f t="shared" si="117"/>
        <v>0</v>
      </c>
      <c r="V412" s="150">
        <f>IFERROR(INDEX(Työkonekanta!$J$3:$J$27,MATCH($A412,Työkonekanta!$A$3:$A$24,0),1)*$B412*ef_li_ion_akku/1000/1000/INDEX(Työkonekanta!$K$3:$K$27,MATCH($A412,Työkonekanta!$A$3:$A$24,0)),0)</f>
        <v>0</v>
      </c>
      <c r="W412" s="149">
        <f t="shared" si="126"/>
        <v>0</v>
      </c>
      <c r="X412" s="150">
        <f t="shared" si="127"/>
        <v>0</v>
      </c>
      <c r="Y412" s="151">
        <f t="shared" si="128"/>
        <v>0</v>
      </c>
      <c r="Z412" s="152">
        <f t="shared" si="121"/>
        <v>0</v>
      </c>
      <c r="AA412" s="153">
        <f t="shared" si="122"/>
        <v>0</v>
      </c>
      <c r="AB412" s="153">
        <f t="shared" si="123"/>
        <v>0</v>
      </c>
      <c r="AC412" s="154">
        <f t="shared" si="129"/>
        <v>0</v>
      </c>
      <c r="AD412" s="156">
        <f t="shared" si="124"/>
        <v>0</v>
      </c>
      <c r="AE412" s="182"/>
      <c r="AG412" s="2"/>
    </row>
    <row r="413" spans="1:37">
      <c r="A413" s="139">
        <v>21</v>
      </c>
      <c r="B413" s="139" cm="1">
        <f t="array" ref="B413">IFERROR(IF(A413=s1_id_korvattava1,INDEX($AG$3:$AG$19,MATCH(C413,$AF$3:$AF$19,0),1),IF(A413=s1_id_korvaava1,INDEX($AH$3:$AH$19,MATCH(C413,$AF$3:$AF$19,0),1),IF(A413=s1_id_korvattava2,INDEX($AI$3:$AI$19,MATCH(C413,$AF$3:$AF$19,0),1),IF(A413=s1_id_korvaava2,INDEX($AJ$3:$AJ$19,MATCH(C413,$AF$3:$AF$19,0),1),INDEX(Työkonekanta!$F$3:$F$27,MATCH('S1 Sähkö'!$A413,Työkonekanta!$A$3:$A$24,0),1))))),0)</f>
        <v>36</v>
      </c>
      <c r="C413" s="140">
        <v>2032</v>
      </c>
      <c r="D413" s="141" t="str">
        <f>IFERROR(INDEX(Työkonekanta!$D$3:$D$27,MATCH('S1 Sähkö'!$A413,Työkonekanta!$A$3:$A$24,0),1),"undefined")</f>
        <v>sähkö</v>
      </c>
      <c r="E413" s="145">
        <f>IFERROR(INDEX(Työkonekanta!$G$3:$G$27,MATCH($A413,Työkonekanta!$A$3:$A$24,0),1)*INDEX(Työkonekanta!$H$3:$H$27,MATCH($A413,Työkonekanta!$A$3:$A$24,0),1)*(1+s1_kerroin*($C413-2019))*$B413,0)</f>
        <v>473281.66666666663</v>
      </c>
      <c r="F413" s="145">
        <f t="shared" si="112"/>
        <v>0</v>
      </c>
      <c r="G413" s="145">
        <f t="shared" si="118"/>
        <v>0</v>
      </c>
      <c r="H413" s="145">
        <f t="shared" si="119"/>
        <v>0</v>
      </c>
      <c r="I413" s="145">
        <f t="shared" si="113"/>
        <v>0</v>
      </c>
      <c r="J413" s="145">
        <f t="shared" si="114"/>
        <v>0</v>
      </c>
      <c r="K413" s="142" t="str">
        <f t="shared" si="120"/>
        <v>kWh</v>
      </c>
      <c r="L413" s="146">
        <f>IFERROR(INDEX(Työkonekanta!$I$3:$I$27,MATCH('S1 Sähkö'!$A413,Työkonekanta!$A$3:$A$24,0),1)*(I413+J413)*f_adblue,0)</f>
        <v>0</v>
      </c>
      <c r="M413" s="146">
        <f t="shared" si="125"/>
        <v>1703814</v>
      </c>
      <c r="N413" s="143" t="str">
        <f>IF(tuulisähkö_vuosi&lt;='S1 Sähkö'!C413,"tuulisähkö",ostosähkö_nyt)</f>
        <v>jäännössähkö</v>
      </c>
      <c r="O413" s="147">
        <f>INDEX(Muuttujat!$J$5:$J$21,MATCH($C413,Muuttujat!$H$5:$H$21,0),1)</f>
        <v>60.765893284281319</v>
      </c>
      <c r="P413" s="342">
        <f>1-(INDEX(Muuttujat!$O$5:$O$21,MATCH($C413,Muuttujat!$N$5:$N$21,0),1))</f>
        <v>0.9</v>
      </c>
      <c r="Q413" s="342">
        <f>INDEX(Muuttujat!$O$5:$O$21,MATCH($C413,Muuttujat!$N$5:$N$21,0),1)</f>
        <v>0.1</v>
      </c>
      <c r="R413" s="148">
        <f>INDEX(Muuttujat!$P$5:$P$21,MATCH($C413,Muuttujat!$N$5:$N$21,0),1)</f>
        <v>0.10417875759940039</v>
      </c>
      <c r="S413" s="149">
        <f t="shared" si="115"/>
        <v>0</v>
      </c>
      <c r="T413" s="150">
        <f t="shared" si="116"/>
        <v>0</v>
      </c>
      <c r="U413" s="150">
        <f t="shared" si="117"/>
        <v>103.53377970026447</v>
      </c>
      <c r="V413" s="150">
        <f>IFERROR(INDEX(Työkonekanta!$J$3:$J$27,MATCH($A413,Työkonekanta!$A$3:$A$24,0),1)*$B413*ef_li_ion_akku/1000/1000/INDEX(Työkonekanta!$K$3:$K$27,MATCH($A413,Työkonekanta!$A$3:$A$24,0)),0)</f>
        <v>44.353772307692303</v>
      </c>
      <c r="W413" s="149">
        <f t="shared" si="126"/>
        <v>0</v>
      </c>
      <c r="X413" s="150">
        <f t="shared" si="127"/>
        <v>0</v>
      </c>
      <c r="Y413" s="151">
        <f t="shared" si="128"/>
        <v>0</v>
      </c>
      <c r="Z413" s="152">
        <f t="shared" si="121"/>
        <v>147.88755200795677</v>
      </c>
      <c r="AA413" s="153">
        <f t="shared" si="122"/>
        <v>0</v>
      </c>
      <c r="AB413" s="153">
        <f t="shared" si="123"/>
        <v>0</v>
      </c>
      <c r="AC413" s="154">
        <f t="shared" si="129"/>
        <v>147.88755200795677</v>
      </c>
      <c r="AD413" s="156">
        <f t="shared" si="124"/>
        <v>147.88755200795677</v>
      </c>
      <c r="AE413" s="182"/>
      <c r="AG413" s="2"/>
    </row>
    <row r="414" spans="1:37">
      <c r="A414" s="139">
        <v>22</v>
      </c>
      <c r="B414" s="139" cm="1">
        <f t="array" ref="B414">IFERROR(IF(A414=s1_id_korvattava1,INDEX($AG$3:$AG$19,MATCH(C414,$AF$3:$AF$19,0),1),IF(A414=s1_id_korvaava1,INDEX($AH$3:$AH$19,MATCH(C414,$AF$3:$AF$19,0),1),IF(A414=s1_id_korvattava2,INDEX($AI$3:$AI$19,MATCH(C414,$AF$3:$AF$19,0),1),IF(A414=s1_id_korvaava2,INDEX($AJ$3:$AJ$19,MATCH(C414,$AF$3:$AF$19,0),1),INDEX(Työkonekanta!$F$3:$F$27,MATCH('S1 Sähkö'!$A414,Työkonekanta!$A$3:$A$24,0),1))))),0)</f>
        <v>1</v>
      </c>
      <c r="C414" s="140">
        <v>2032</v>
      </c>
      <c r="D414" s="141" t="str">
        <f>IFERROR(INDEX(Työkonekanta!$D$3:$D$27,MATCH('S1 Sähkö'!$A414,Työkonekanta!$A$3:$A$24,0),1),"undefined")</f>
        <v>sähkö</v>
      </c>
      <c r="E414" s="145">
        <f>IFERROR(INDEX(Työkonekanta!$G$3:$G$27,MATCH($A414,Työkonekanta!$A$3:$A$24,0),1)*INDEX(Työkonekanta!$H$3:$H$27,MATCH($A414,Työkonekanta!$A$3:$A$24,0),1)*(1+s1_kerroin*($C414-2019))*$B414,0)</f>
        <v>50333.12962962962</v>
      </c>
      <c r="F414" s="145">
        <f t="shared" si="112"/>
        <v>0</v>
      </c>
      <c r="G414" s="145">
        <f t="shared" si="118"/>
        <v>0</v>
      </c>
      <c r="H414" s="145">
        <f t="shared" si="119"/>
        <v>0</v>
      </c>
      <c r="I414" s="145">
        <f t="shared" si="113"/>
        <v>0</v>
      </c>
      <c r="J414" s="145">
        <f t="shared" si="114"/>
        <v>0</v>
      </c>
      <c r="K414" s="142" t="str">
        <f t="shared" si="120"/>
        <v>kWh</v>
      </c>
      <c r="L414" s="146">
        <f>IFERROR(INDEX(Työkonekanta!$I$3:$I$27,MATCH('S1 Sähkö'!$A414,Työkonekanta!$A$3:$A$24,0),1)*(I414+J414)*f_adblue,0)</f>
        <v>0</v>
      </c>
      <c r="M414" s="146">
        <f t="shared" si="125"/>
        <v>181199.26666666663</v>
      </c>
      <c r="N414" s="143" t="str">
        <f>IF(tuulisähkö_vuosi&lt;='S1 Sähkö'!C414,"tuulisähkö",ostosähkö_nyt)</f>
        <v>jäännössähkö</v>
      </c>
      <c r="O414" s="147">
        <f>INDEX(Muuttujat!$J$5:$J$21,MATCH($C414,Muuttujat!$H$5:$H$21,0),1)</f>
        <v>60.765893284281319</v>
      </c>
      <c r="P414" s="342">
        <f>1-(INDEX(Muuttujat!$O$5:$O$21,MATCH($C414,Muuttujat!$N$5:$N$21,0),1))</f>
        <v>0.9</v>
      </c>
      <c r="Q414" s="342">
        <f>INDEX(Muuttujat!$O$5:$O$21,MATCH($C414,Muuttujat!$N$5:$N$21,0),1)</f>
        <v>0.1</v>
      </c>
      <c r="R414" s="148">
        <f>INDEX(Muuttujat!$P$5:$P$21,MATCH($C414,Muuttujat!$N$5:$N$21,0),1)</f>
        <v>0.10417875759940039</v>
      </c>
      <c r="S414" s="149">
        <f t="shared" si="115"/>
        <v>0</v>
      </c>
      <c r="T414" s="150">
        <f t="shared" si="116"/>
        <v>0</v>
      </c>
      <c r="U414" s="150">
        <f t="shared" si="117"/>
        <v>11.010735301456698</v>
      </c>
      <c r="V414" s="150">
        <f>IFERROR(INDEX(Työkonekanta!$J$3:$J$27,MATCH($A414,Työkonekanta!$A$3:$A$24,0),1)*$B414*ef_li_ion_akku/1000/1000/INDEX(Työkonekanta!$K$3:$K$27,MATCH($A414,Työkonekanta!$A$3:$A$24,0)),0)</f>
        <v>5.2676455384615384</v>
      </c>
      <c r="W414" s="149">
        <f t="shared" si="126"/>
        <v>0</v>
      </c>
      <c r="X414" s="150">
        <f t="shared" si="127"/>
        <v>0</v>
      </c>
      <c r="Y414" s="151">
        <f t="shared" si="128"/>
        <v>0</v>
      </c>
      <c r="Z414" s="152">
        <f t="shared" si="121"/>
        <v>16.278380839918235</v>
      </c>
      <c r="AA414" s="153">
        <f t="shared" si="122"/>
        <v>0</v>
      </c>
      <c r="AB414" s="153">
        <f t="shared" si="123"/>
        <v>0</v>
      </c>
      <c r="AC414" s="154">
        <f t="shared" si="129"/>
        <v>16.278380839918235</v>
      </c>
      <c r="AD414" s="156">
        <f t="shared" si="124"/>
        <v>16.278380839918235</v>
      </c>
      <c r="AE414" s="182"/>
      <c r="AG414" s="2"/>
    </row>
    <row r="415" spans="1:37">
      <c r="A415" s="139">
        <v>23</v>
      </c>
      <c r="B415" s="139" cm="1">
        <f t="array" ref="B415">IFERROR(IF(A415=s1_id_korvattava1,INDEX($AG$3:$AG$19,MATCH(C415,$AF$3:$AF$19,0),1),IF(A415=s1_id_korvaava1,INDEX($AH$3:$AH$19,MATCH(C415,$AF$3:$AF$19,0),1),IF(A415=s1_id_korvattava2,INDEX($AI$3:$AI$19,MATCH(C415,$AF$3:$AF$19,0),1),IF(A415=s1_id_korvaava2,INDEX($AJ$3:$AJ$19,MATCH(C415,$AF$3:$AF$19,0),1),INDEX(Työkonekanta!$F$3:$F$27,MATCH('S1 Sähkö'!$A415,Työkonekanta!$A$3:$A$24,0),1))))),0)</f>
        <v>0</v>
      </c>
      <c r="C415" s="140">
        <v>2032</v>
      </c>
      <c r="D415" s="141" t="str">
        <f>IFERROR(INDEX(Työkonekanta!$D$3:$D$27,MATCH('S1 Sähkö'!$A415,Työkonekanta!$A$3:$A$24,0),1),"undefined")</f>
        <v>undefined</v>
      </c>
      <c r="E415" s="145">
        <f>IFERROR(INDEX(Työkonekanta!$G$3:$G$27,MATCH($A415,Työkonekanta!$A$3:$A$24,0),1)*INDEX(Työkonekanta!$H$3:$H$27,MATCH($A415,Työkonekanta!$A$3:$A$24,0),1)*(1+s1_kerroin*($C415-2019))*$B415,0)</f>
        <v>0</v>
      </c>
      <c r="F415" s="145">
        <f t="shared" si="112"/>
        <v>0</v>
      </c>
      <c r="G415" s="145">
        <f t="shared" si="118"/>
        <v>0</v>
      </c>
      <c r="H415" s="145">
        <f t="shared" si="119"/>
        <v>0</v>
      </c>
      <c r="I415" s="145">
        <f t="shared" si="113"/>
        <v>0</v>
      </c>
      <c r="J415" s="145">
        <f t="shared" si="114"/>
        <v>0</v>
      </c>
      <c r="K415" s="142" t="str">
        <f t="shared" si="120"/>
        <v>undefined</v>
      </c>
      <c r="L415" s="146">
        <f>IFERROR(INDEX(Työkonekanta!$I$3:$I$27,MATCH('S1 Sähkö'!$A415,Työkonekanta!$A$3:$A$24,0),1)*(I415+J415)*f_adblue,0)</f>
        <v>0</v>
      </c>
      <c r="M415" s="146">
        <f t="shared" si="125"/>
        <v>0</v>
      </c>
      <c r="N415" s="143" t="str">
        <f>IF(tuulisähkö_vuosi&lt;='S1 Sähkö'!C415,"tuulisähkö",ostosähkö_nyt)</f>
        <v>jäännössähkö</v>
      </c>
      <c r="O415" s="147">
        <f>INDEX(Muuttujat!$J$5:$J$21,MATCH($C415,Muuttujat!$H$5:$H$21,0),1)</f>
        <v>60.765893284281319</v>
      </c>
      <c r="P415" s="342">
        <f>1-(INDEX(Muuttujat!$O$5:$O$21,MATCH($C415,Muuttujat!$N$5:$N$21,0),1))</f>
        <v>0.9</v>
      </c>
      <c r="Q415" s="342">
        <f>INDEX(Muuttujat!$O$5:$O$21,MATCH($C415,Muuttujat!$N$5:$N$21,0),1)</f>
        <v>0.1</v>
      </c>
      <c r="R415" s="148">
        <f>INDEX(Muuttujat!$P$5:$P$21,MATCH($C415,Muuttujat!$N$5:$N$21,0),1)</f>
        <v>0.10417875759940039</v>
      </c>
      <c r="S415" s="149">
        <f t="shared" si="115"/>
        <v>0</v>
      </c>
      <c r="T415" s="150">
        <f t="shared" si="116"/>
        <v>0</v>
      </c>
      <c r="U415" s="150">
        <f t="shared" si="117"/>
        <v>0</v>
      </c>
      <c r="V415" s="150">
        <f>IFERROR(INDEX(Työkonekanta!$J$3:$J$27,MATCH($A415,Työkonekanta!$A$3:$A$24,0),1)*$B415*ef_li_ion_akku/1000/1000/INDEX(Työkonekanta!$K$3:$K$27,MATCH($A415,Työkonekanta!$A$3:$A$24,0)),0)</f>
        <v>0</v>
      </c>
      <c r="W415" s="149">
        <f t="shared" si="126"/>
        <v>0</v>
      </c>
      <c r="X415" s="150">
        <f t="shared" si="127"/>
        <v>0</v>
      </c>
      <c r="Y415" s="151">
        <f t="shared" si="128"/>
        <v>0</v>
      </c>
      <c r="Z415" s="152">
        <f t="shared" si="121"/>
        <v>0</v>
      </c>
      <c r="AA415" s="153">
        <f t="shared" si="122"/>
        <v>0</v>
      </c>
      <c r="AB415" s="153">
        <f t="shared" si="123"/>
        <v>0</v>
      </c>
      <c r="AC415" s="154">
        <f t="shared" si="129"/>
        <v>0</v>
      </c>
      <c r="AD415" s="156">
        <f t="shared" si="124"/>
        <v>0</v>
      </c>
      <c r="AE415" s="182"/>
      <c r="AJ415" s="28"/>
      <c r="AK415" s="29"/>
    </row>
    <row r="416" spans="1:37">
      <c r="A416" s="139">
        <v>24</v>
      </c>
      <c r="B416" s="139" cm="1">
        <f t="array" ref="B416">IFERROR(IF(A416=s1_id_korvattava1,INDEX($AG$3:$AG$19,MATCH(C416,$AF$3:$AF$19,0),1),IF(A416=s1_id_korvaava1,INDEX($AH$3:$AH$19,MATCH(C416,$AF$3:$AF$19,0),1),IF(A416=s1_id_korvattava2,INDEX($AI$3:$AI$19,MATCH(C416,$AF$3:$AF$19,0),1),IF(A416=s1_id_korvaava2,INDEX($AJ$3:$AJ$19,MATCH(C416,$AF$3:$AF$19,0),1),INDEX(Työkonekanta!$F$3:$F$27,MATCH('S1 Sähkö'!$A416,Työkonekanta!$A$3:$A$24,0),1))))),0)</f>
        <v>0</v>
      </c>
      <c r="C416" s="140">
        <v>2032</v>
      </c>
      <c r="D416" s="141" t="str">
        <f>IFERROR(INDEX(Työkonekanta!$D$3:$D$27,MATCH('S1 Sähkö'!$A416,Työkonekanta!$A$3:$A$24,0),1),"undefined")</f>
        <v>undefined</v>
      </c>
      <c r="E416" s="145">
        <f>IFERROR(INDEX(Työkonekanta!$G$3:$G$27,MATCH($A416,Työkonekanta!$A$3:$A$24,0),1)*INDEX(Työkonekanta!$H$3:$H$27,MATCH($A416,Työkonekanta!$A$3:$A$24,0),1)*(1+s1_kerroin*($C416-2019))*$B416,0)</f>
        <v>0</v>
      </c>
      <c r="F416" s="145">
        <f t="shared" si="112"/>
        <v>0</v>
      </c>
      <c r="G416" s="145">
        <f t="shared" si="118"/>
        <v>0</v>
      </c>
      <c r="H416" s="145">
        <f t="shared" si="119"/>
        <v>0</v>
      </c>
      <c r="I416" s="145">
        <f t="shared" si="113"/>
        <v>0</v>
      </c>
      <c r="J416" s="145">
        <f t="shared" si="114"/>
        <v>0</v>
      </c>
      <c r="K416" s="142" t="str">
        <f t="shared" si="120"/>
        <v>undefined</v>
      </c>
      <c r="L416" s="146">
        <f>IFERROR(INDEX(Työkonekanta!$I$3:$I$27,MATCH('S1 Sähkö'!$A416,Työkonekanta!$A$3:$A$24,0),1)*(I416+J416)*f_adblue,0)</f>
        <v>0</v>
      </c>
      <c r="M416" s="146">
        <f t="shared" si="125"/>
        <v>0</v>
      </c>
      <c r="N416" s="143" t="str">
        <f>IF(tuulisähkö_vuosi&lt;='S1 Sähkö'!C416,"tuulisähkö",ostosähkö_nyt)</f>
        <v>jäännössähkö</v>
      </c>
      <c r="O416" s="147">
        <f>INDEX(Muuttujat!$J$5:$J$21,MATCH($C416,Muuttujat!$H$5:$H$21,0),1)</f>
        <v>60.765893284281319</v>
      </c>
      <c r="P416" s="342">
        <f>1-(INDEX(Muuttujat!$O$5:$O$21,MATCH($C416,Muuttujat!$N$5:$N$21,0),1))</f>
        <v>0.9</v>
      </c>
      <c r="Q416" s="342">
        <f>INDEX(Muuttujat!$O$5:$O$21,MATCH($C416,Muuttujat!$N$5:$N$21,0),1)</f>
        <v>0.1</v>
      </c>
      <c r="R416" s="148">
        <f>INDEX(Muuttujat!$P$5:$P$21,MATCH($C416,Muuttujat!$N$5:$N$21,0),1)</f>
        <v>0.10417875759940039</v>
      </c>
      <c r="S416" s="149">
        <f t="shared" si="115"/>
        <v>0</v>
      </c>
      <c r="T416" s="150">
        <f t="shared" si="116"/>
        <v>0</v>
      </c>
      <c r="U416" s="150">
        <f t="shared" si="117"/>
        <v>0</v>
      </c>
      <c r="V416" s="150">
        <f>IFERROR(INDEX(Työkonekanta!$J$3:$J$27,MATCH($A416,Työkonekanta!$A$3:$A$24,0),1)*$B416*ef_li_ion_akku/1000/1000/INDEX(Työkonekanta!$K$3:$K$27,MATCH($A416,Työkonekanta!$A$3:$A$24,0)),0)</f>
        <v>0</v>
      </c>
      <c r="W416" s="149">
        <f t="shared" si="126"/>
        <v>0</v>
      </c>
      <c r="X416" s="150">
        <f t="shared" si="127"/>
        <v>0</v>
      </c>
      <c r="Y416" s="151">
        <f t="shared" si="128"/>
        <v>0</v>
      </c>
      <c r="Z416" s="152">
        <f t="shared" si="121"/>
        <v>0</v>
      </c>
      <c r="AA416" s="153">
        <f t="shared" si="122"/>
        <v>0</v>
      </c>
      <c r="AB416" s="153">
        <f t="shared" si="123"/>
        <v>0</v>
      </c>
      <c r="AC416" s="154">
        <f t="shared" si="129"/>
        <v>0</v>
      </c>
      <c r="AD416" s="156">
        <f t="shared" si="124"/>
        <v>0</v>
      </c>
      <c r="AE416" s="182"/>
      <c r="AJ416" s="28"/>
      <c r="AK416" s="29"/>
    </row>
    <row r="417" spans="1:37">
      <c r="A417" s="139">
        <v>25</v>
      </c>
      <c r="B417" s="139" cm="1">
        <f t="array" ref="B417">IFERROR(IF(A417=s1_id_korvattava1,INDEX($AG$3:$AG$19,MATCH(C417,$AF$3:$AF$19,0),1),IF(A417=s1_id_korvaava1,INDEX($AH$3:$AH$19,MATCH(C417,$AF$3:$AF$19,0),1),IF(A417=s1_id_korvattava2,INDEX($AI$3:$AI$19,MATCH(C417,$AF$3:$AF$19,0),1),IF(A417=s1_id_korvaava2,INDEX($AJ$3:$AJ$19,MATCH(C417,$AF$3:$AF$19,0),1),INDEX(Työkonekanta!$F$3:$F$27,MATCH('S1 Sähkö'!$A417,Työkonekanta!$A$3:$A$24,0),1))))),0)</f>
        <v>0</v>
      </c>
      <c r="C417" s="140">
        <v>2032</v>
      </c>
      <c r="D417" s="141" t="str">
        <f>IFERROR(INDEX(Työkonekanta!$D$3:$D$27,MATCH('S1 Sähkö'!$A417,Työkonekanta!$A$3:$A$24,0),1),"undefined")</f>
        <v>undefined</v>
      </c>
      <c r="E417" s="145">
        <f>IFERROR(INDEX(Työkonekanta!$G$3:$G$27,MATCH($A417,Työkonekanta!$A$3:$A$24,0),1)*INDEX(Työkonekanta!$H$3:$H$27,MATCH($A417,Työkonekanta!$A$3:$A$24,0),1)*(1+s1_kerroin*($C417-2019))*$B417,0)</f>
        <v>0</v>
      </c>
      <c r="F417" s="145">
        <f t="shared" si="112"/>
        <v>0</v>
      </c>
      <c r="G417" s="145">
        <f t="shared" si="118"/>
        <v>0</v>
      </c>
      <c r="H417" s="145">
        <f t="shared" si="119"/>
        <v>0</v>
      </c>
      <c r="I417" s="145">
        <f t="shared" si="113"/>
        <v>0</v>
      </c>
      <c r="J417" s="145">
        <f t="shared" si="114"/>
        <v>0</v>
      </c>
      <c r="K417" s="142" t="str">
        <f t="shared" si="120"/>
        <v>undefined</v>
      </c>
      <c r="L417" s="146">
        <f>IFERROR(INDEX(Työkonekanta!$I$3:$I$27,MATCH('S1 Sähkö'!$A417,Työkonekanta!$A$3:$A$24,0),1)*(I417+J417)*f_adblue,0)</f>
        <v>0</v>
      </c>
      <c r="M417" s="146">
        <f t="shared" si="125"/>
        <v>0</v>
      </c>
      <c r="N417" s="143" t="str">
        <f>IF(tuulisähkö_vuosi&lt;='S1 Sähkö'!C417,"tuulisähkö",ostosähkö_nyt)</f>
        <v>jäännössähkö</v>
      </c>
      <c r="O417" s="147">
        <f>INDEX(Muuttujat!$J$5:$J$21,MATCH($C417,Muuttujat!$H$5:$H$21,0),1)</f>
        <v>60.765893284281319</v>
      </c>
      <c r="P417" s="342">
        <f>1-(INDEX(Muuttujat!$O$5:$O$21,MATCH($C417,Muuttujat!$N$5:$N$21,0),1))</f>
        <v>0.9</v>
      </c>
      <c r="Q417" s="342">
        <f>INDEX(Muuttujat!$O$5:$O$21,MATCH($C417,Muuttujat!$N$5:$N$21,0),1)</f>
        <v>0.1</v>
      </c>
      <c r="R417" s="148">
        <f>INDEX(Muuttujat!$P$5:$P$21,MATCH($C417,Muuttujat!$N$5:$N$21,0),1)</f>
        <v>0.10417875759940039</v>
      </c>
      <c r="S417" s="149">
        <f t="shared" si="115"/>
        <v>0</v>
      </c>
      <c r="T417" s="150">
        <f t="shared" si="116"/>
        <v>0</v>
      </c>
      <c r="U417" s="150">
        <f t="shared" si="117"/>
        <v>0</v>
      </c>
      <c r="V417" s="150">
        <f>IFERROR(INDEX(Työkonekanta!$J$3:$J$27,MATCH($A417,Työkonekanta!$A$3:$A$24,0),1)*$B417*ef_li_ion_akku/1000/1000/INDEX(Työkonekanta!$K$3:$K$27,MATCH($A417,Työkonekanta!$A$3:$A$24,0)),0)</f>
        <v>0</v>
      </c>
      <c r="W417" s="149">
        <f t="shared" si="126"/>
        <v>0</v>
      </c>
      <c r="X417" s="150">
        <f t="shared" si="127"/>
        <v>0</v>
      </c>
      <c r="Y417" s="151">
        <f t="shared" si="128"/>
        <v>0</v>
      </c>
      <c r="Z417" s="152">
        <f t="shared" si="121"/>
        <v>0</v>
      </c>
      <c r="AA417" s="153">
        <f t="shared" si="122"/>
        <v>0</v>
      </c>
      <c r="AB417" s="153">
        <f t="shared" si="123"/>
        <v>0</v>
      </c>
      <c r="AC417" s="154">
        <f t="shared" si="129"/>
        <v>0</v>
      </c>
      <c r="AD417" s="156">
        <f t="shared" si="124"/>
        <v>0</v>
      </c>
      <c r="AE417" s="182"/>
      <c r="AJ417" s="28"/>
      <c r="AK417" s="29"/>
    </row>
    <row r="418" spans="1:37">
      <c r="A418" s="139">
        <v>26</v>
      </c>
      <c r="B418" s="139" cm="1">
        <f t="array" ref="B418">IFERROR(IF(A418=s1_id_korvattava1,INDEX($AG$3:$AG$19,MATCH(C418,$AF$3:$AF$19,0),1),IF(A418=s1_id_korvaava1,INDEX($AH$3:$AH$19,MATCH(C418,$AF$3:$AF$19,0),1),IF(A418=s1_id_korvattava2,INDEX($AI$3:$AI$19,MATCH(C418,$AF$3:$AF$19,0),1),IF(A418=s1_id_korvaava2,INDEX($AJ$3:$AJ$19,MATCH(C418,$AF$3:$AF$19,0),1),INDEX(Työkonekanta!$F$3:$F$27,MATCH('S1 Sähkö'!$A418,Työkonekanta!$A$3:$A$24,0),1))))),0)</f>
        <v>0</v>
      </c>
      <c r="C418" s="140">
        <v>2032</v>
      </c>
      <c r="D418" s="141" t="str">
        <f>IFERROR(INDEX(Työkonekanta!$D$3:$D$27,MATCH('S1 Sähkö'!$A418,Työkonekanta!$A$3:$A$24,0),1),"undefined")</f>
        <v>undefined</v>
      </c>
      <c r="E418" s="145">
        <f>IFERROR(INDEX(Työkonekanta!$G$3:$G$27,MATCH($A418,Työkonekanta!$A$3:$A$24,0),1)*INDEX(Työkonekanta!$H$3:$H$27,MATCH($A418,Työkonekanta!$A$3:$A$24,0),1)*(1+s1_kerroin*($C418-2019))*$B418,0)</f>
        <v>0</v>
      </c>
      <c r="F418" s="145">
        <f t="shared" si="112"/>
        <v>0</v>
      </c>
      <c r="G418" s="145">
        <f t="shared" si="118"/>
        <v>0</v>
      </c>
      <c r="H418" s="145">
        <f t="shared" si="119"/>
        <v>0</v>
      </c>
      <c r="I418" s="145">
        <f t="shared" si="113"/>
        <v>0</v>
      </c>
      <c r="J418" s="145">
        <f t="shared" si="114"/>
        <v>0</v>
      </c>
      <c r="K418" s="142" t="str">
        <f t="shared" si="120"/>
        <v>undefined</v>
      </c>
      <c r="L418" s="146">
        <f>IFERROR(INDEX(Työkonekanta!$I$3:$I$27,MATCH('S1 Sähkö'!$A418,Työkonekanta!$A$3:$A$24,0),1)*(I418+J418)*f_adblue,0)</f>
        <v>0</v>
      </c>
      <c r="M418" s="146">
        <f t="shared" si="125"/>
        <v>0</v>
      </c>
      <c r="N418" s="143" t="str">
        <f>IF(tuulisähkö_vuosi&lt;='S1 Sähkö'!C418,"tuulisähkö",ostosähkö_nyt)</f>
        <v>jäännössähkö</v>
      </c>
      <c r="O418" s="147">
        <f>INDEX(Muuttujat!$J$5:$J$21,MATCH($C418,Muuttujat!$H$5:$H$21,0),1)</f>
        <v>60.765893284281319</v>
      </c>
      <c r="P418" s="342">
        <f>1-(INDEX(Muuttujat!$O$5:$O$21,MATCH($C418,Muuttujat!$N$5:$N$21,0),1))</f>
        <v>0.9</v>
      </c>
      <c r="Q418" s="342">
        <f>INDEX(Muuttujat!$O$5:$O$21,MATCH($C418,Muuttujat!$N$5:$N$21,0),1)</f>
        <v>0.1</v>
      </c>
      <c r="R418" s="148">
        <f>INDEX(Muuttujat!$P$5:$P$21,MATCH($C418,Muuttujat!$N$5:$N$21,0),1)</f>
        <v>0.10417875759940039</v>
      </c>
      <c r="S418" s="149">
        <f t="shared" si="115"/>
        <v>0</v>
      </c>
      <c r="T418" s="150">
        <f t="shared" si="116"/>
        <v>0</v>
      </c>
      <c r="U418" s="150">
        <f t="shared" si="117"/>
        <v>0</v>
      </c>
      <c r="V418" s="150">
        <f>IFERROR(INDEX(Työkonekanta!$J$3:$J$27,MATCH($A418,Työkonekanta!$A$3:$A$24,0),1)*$B418*ef_li_ion_akku/1000/1000/INDEX(Työkonekanta!$K$3:$K$27,MATCH($A418,Työkonekanta!$A$3:$A$24,0)),0)</f>
        <v>0</v>
      </c>
      <c r="W418" s="149">
        <f t="shared" si="126"/>
        <v>0</v>
      </c>
      <c r="X418" s="150">
        <f t="shared" si="127"/>
        <v>0</v>
      </c>
      <c r="Y418" s="151">
        <f t="shared" si="128"/>
        <v>0</v>
      </c>
      <c r="Z418" s="152">
        <f t="shared" si="121"/>
        <v>0</v>
      </c>
      <c r="AA418" s="153">
        <f t="shared" si="122"/>
        <v>0</v>
      </c>
      <c r="AB418" s="153">
        <f t="shared" si="123"/>
        <v>0</v>
      </c>
      <c r="AC418" s="154">
        <f t="shared" si="129"/>
        <v>0</v>
      </c>
      <c r="AD418" s="156">
        <f t="shared" si="124"/>
        <v>0</v>
      </c>
      <c r="AE418" s="182"/>
      <c r="AJ418" s="28"/>
      <c r="AK418" s="29"/>
    </row>
    <row r="419" spans="1:37">
      <c r="A419" s="139">
        <v>27</v>
      </c>
      <c r="B419" s="139" cm="1">
        <f t="array" ref="B419">IFERROR(IF(A419=s1_id_korvattava1,INDEX($AG$3:$AG$19,MATCH(C419,$AF$3:$AF$19,0),1),IF(A419=s1_id_korvaava1,INDEX($AH$3:$AH$19,MATCH(C419,$AF$3:$AF$19,0),1),IF(A419=s1_id_korvattava2,INDEX($AI$3:$AI$19,MATCH(C419,$AF$3:$AF$19,0),1),IF(A419=s1_id_korvaava2,INDEX($AJ$3:$AJ$19,MATCH(C419,$AF$3:$AF$19,0),1),INDEX(Työkonekanta!$F$3:$F$27,MATCH('S1 Sähkö'!$A419,Työkonekanta!$A$3:$A$24,0),1))))),0)</f>
        <v>0</v>
      </c>
      <c r="C419" s="140">
        <v>2032</v>
      </c>
      <c r="D419" s="141" t="str">
        <f>IFERROR(INDEX(Työkonekanta!$D$3:$D$27,MATCH('S1 Sähkö'!$A419,Työkonekanta!$A$3:$A$24,0),1),"undefined")</f>
        <v>undefined</v>
      </c>
      <c r="E419" s="145">
        <f>IFERROR(INDEX(Työkonekanta!$G$3:$G$27,MATCH($A419,Työkonekanta!$A$3:$A$24,0),1)*INDEX(Työkonekanta!$H$3:$H$27,MATCH($A419,Työkonekanta!$A$3:$A$24,0),1)*(1+s1_kerroin*($C419-2019))*$B419,0)</f>
        <v>0</v>
      </c>
      <c r="F419" s="145">
        <f t="shared" si="112"/>
        <v>0</v>
      </c>
      <c r="G419" s="145">
        <f t="shared" si="118"/>
        <v>0</v>
      </c>
      <c r="H419" s="145">
        <f t="shared" si="119"/>
        <v>0</v>
      </c>
      <c r="I419" s="145">
        <f t="shared" si="113"/>
        <v>0</v>
      </c>
      <c r="J419" s="145">
        <f t="shared" si="114"/>
        <v>0</v>
      </c>
      <c r="K419" s="142" t="str">
        <f t="shared" si="120"/>
        <v>undefined</v>
      </c>
      <c r="L419" s="146">
        <f>IFERROR(INDEX(Työkonekanta!$I$3:$I$27,MATCH('S1 Sähkö'!$A419,Työkonekanta!$A$3:$A$24,0),1)*(I419+J419)*f_adblue,0)</f>
        <v>0</v>
      </c>
      <c r="M419" s="146">
        <f t="shared" si="125"/>
        <v>0</v>
      </c>
      <c r="N419" s="143" t="str">
        <f>IF(tuulisähkö_vuosi&lt;='S1 Sähkö'!C419,"tuulisähkö",ostosähkö_nyt)</f>
        <v>jäännössähkö</v>
      </c>
      <c r="O419" s="147">
        <f>INDEX(Muuttujat!$J$5:$J$21,MATCH($C419,Muuttujat!$H$5:$H$21,0),1)</f>
        <v>60.765893284281319</v>
      </c>
      <c r="P419" s="342">
        <f>1-(INDEX(Muuttujat!$O$5:$O$21,MATCH($C419,Muuttujat!$N$5:$N$21,0),1))</f>
        <v>0.9</v>
      </c>
      <c r="Q419" s="342">
        <f>INDEX(Muuttujat!$O$5:$O$21,MATCH($C419,Muuttujat!$N$5:$N$21,0),1)</f>
        <v>0.1</v>
      </c>
      <c r="R419" s="148">
        <f>INDEX(Muuttujat!$P$5:$P$21,MATCH($C419,Muuttujat!$N$5:$N$21,0),1)</f>
        <v>0.10417875759940039</v>
      </c>
      <c r="S419" s="149">
        <f t="shared" si="115"/>
        <v>0</v>
      </c>
      <c r="T419" s="150">
        <f t="shared" si="116"/>
        <v>0</v>
      </c>
      <c r="U419" s="150">
        <f t="shared" si="117"/>
        <v>0</v>
      </c>
      <c r="V419" s="150">
        <f>IFERROR(INDEX(Työkonekanta!$J$3:$J$27,MATCH($A419,Työkonekanta!$A$3:$A$24,0),1)*$B419*ef_li_ion_akku/1000/1000/INDEX(Työkonekanta!$K$3:$K$27,MATCH($A419,Työkonekanta!$A$3:$A$24,0)),0)</f>
        <v>0</v>
      </c>
      <c r="W419" s="149">
        <f t="shared" si="126"/>
        <v>0</v>
      </c>
      <c r="X419" s="150">
        <f t="shared" si="127"/>
        <v>0</v>
      </c>
      <c r="Y419" s="151">
        <f t="shared" si="128"/>
        <v>0</v>
      </c>
      <c r="Z419" s="152">
        <f t="shared" si="121"/>
        <v>0</v>
      </c>
      <c r="AA419" s="153">
        <f t="shared" si="122"/>
        <v>0</v>
      </c>
      <c r="AB419" s="153">
        <f t="shared" si="123"/>
        <v>0</v>
      </c>
      <c r="AC419" s="154">
        <f t="shared" si="129"/>
        <v>0</v>
      </c>
      <c r="AD419" s="156">
        <f t="shared" si="124"/>
        <v>0</v>
      </c>
      <c r="AE419" s="182"/>
      <c r="AJ419" s="28"/>
      <c r="AK419" s="29"/>
    </row>
    <row r="420" spans="1:37">
      <c r="A420" s="139">
        <v>28</v>
      </c>
      <c r="B420" s="139" cm="1">
        <f t="array" ref="B420">IFERROR(IF(A420=s1_id_korvattava1,INDEX($AG$3:$AG$19,MATCH(C420,$AF$3:$AF$19,0),1),IF(A420=s1_id_korvaava1,INDEX($AH$3:$AH$19,MATCH(C420,$AF$3:$AF$19,0),1),IF(A420=s1_id_korvattava2,INDEX($AI$3:$AI$19,MATCH(C420,$AF$3:$AF$19,0),1),IF(A420=s1_id_korvaava2,INDEX($AJ$3:$AJ$19,MATCH(C420,$AF$3:$AF$19,0),1),INDEX(Työkonekanta!$F$3:$F$27,MATCH('S1 Sähkö'!$A420,Työkonekanta!$A$3:$A$24,0),1))))),0)</f>
        <v>0</v>
      </c>
      <c r="C420" s="140">
        <v>2032</v>
      </c>
      <c r="D420" s="141" t="str">
        <f>IFERROR(INDEX(Työkonekanta!$D$3:$D$27,MATCH('S1 Sähkö'!$A420,Työkonekanta!$A$3:$A$24,0),1),"undefined")</f>
        <v>undefined</v>
      </c>
      <c r="E420" s="145">
        <f>IFERROR(INDEX(Työkonekanta!$G$3:$G$27,MATCH($A420,Työkonekanta!$A$3:$A$24,0),1)*INDEX(Työkonekanta!$H$3:$H$27,MATCH($A420,Työkonekanta!$A$3:$A$24,0),1)*(1+s1_kerroin*($C420-2019))*$B420,0)</f>
        <v>0</v>
      </c>
      <c r="F420" s="145">
        <f t="shared" si="112"/>
        <v>0</v>
      </c>
      <c r="G420" s="145">
        <f t="shared" si="118"/>
        <v>0</v>
      </c>
      <c r="H420" s="145">
        <f t="shared" si="119"/>
        <v>0</v>
      </c>
      <c r="I420" s="145">
        <f t="shared" si="113"/>
        <v>0</v>
      </c>
      <c r="J420" s="145">
        <f t="shared" si="114"/>
        <v>0</v>
      </c>
      <c r="K420" s="142" t="str">
        <f t="shared" si="120"/>
        <v>undefined</v>
      </c>
      <c r="L420" s="146">
        <f>IFERROR(INDEX(Työkonekanta!$I$3:$I$27,MATCH('S1 Sähkö'!$A420,Työkonekanta!$A$3:$A$24,0),1)*(I420+J420)*f_adblue,0)</f>
        <v>0</v>
      </c>
      <c r="M420" s="146">
        <f t="shared" si="125"/>
        <v>0</v>
      </c>
      <c r="N420" s="143" t="str">
        <f>IF(tuulisähkö_vuosi&lt;='S1 Sähkö'!C420,"tuulisähkö",ostosähkö_nyt)</f>
        <v>jäännössähkö</v>
      </c>
      <c r="O420" s="147">
        <f>INDEX(Muuttujat!$J$5:$J$21,MATCH($C420,Muuttujat!$H$5:$H$21,0),1)</f>
        <v>60.765893284281319</v>
      </c>
      <c r="P420" s="342">
        <f>1-(INDEX(Muuttujat!$O$5:$O$21,MATCH($C420,Muuttujat!$N$5:$N$21,0),1))</f>
        <v>0.9</v>
      </c>
      <c r="Q420" s="342">
        <f>INDEX(Muuttujat!$O$5:$O$21,MATCH($C420,Muuttujat!$N$5:$N$21,0),1)</f>
        <v>0.1</v>
      </c>
      <c r="R420" s="148">
        <f>INDEX(Muuttujat!$P$5:$P$21,MATCH($C420,Muuttujat!$N$5:$N$21,0),1)</f>
        <v>0.10417875759940039</v>
      </c>
      <c r="S420" s="149">
        <f t="shared" si="115"/>
        <v>0</v>
      </c>
      <c r="T420" s="150">
        <f t="shared" si="116"/>
        <v>0</v>
      </c>
      <c r="U420" s="150">
        <f t="shared" si="117"/>
        <v>0</v>
      </c>
      <c r="V420" s="150">
        <f>IFERROR(INDEX(Työkonekanta!$J$3:$J$27,MATCH($A420,Työkonekanta!$A$3:$A$24,0),1)*$B420*ef_li_ion_akku/1000/1000/INDEX(Työkonekanta!$K$3:$K$27,MATCH($A420,Työkonekanta!$A$3:$A$24,0)),0)</f>
        <v>0</v>
      </c>
      <c r="W420" s="149">
        <f t="shared" si="126"/>
        <v>0</v>
      </c>
      <c r="X420" s="150">
        <f t="shared" si="127"/>
        <v>0</v>
      </c>
      <c r="Y420" s="151">
        <f t="shared" si="128"/>
        <v>0</v>
      </c>
      <c r="Z420" s="152">
        <f t="shared" si="121"/>
        <v>0</v>
      </c>
      <c r="AA420" s="153">
        <f t="shared" si="122"/>
        <v>0</v>
      </c>
      <c r="AB420" s="153">
        <f t="shared" si="123"/>
        <v>0</v>
      </c>
      <c r="AC420" s="154">
        <f t="shared" si="129"/>
        <v>0</v>
      </c>
      <c r="AD420" s="156">
        <f t="shared" si="124"/>
        <v>0</v>
      </c>
      <c r="AE420" s="182"/>
      <c r="AJ420" s="28"/>
      <c r="AK420" s="29"/>
    </row>
    <row r="421" spans="1:37">
      <c r="A421" s="139">
        <v>29</v>
      </c>
      <c r="B421" s="139" cm="1">
        <f t="array" ref="B421">IFERROR(IF(A421=s1_id_korvattava1,INDEX($AG$3:$AG$19,MATCH(C421,$AF$3:$AF$19,0),1),IF(A421=s1_id_korvaava1,INDEX($AH$3:$AH$19,MATCH(C421,$AF$3:$AF$19,0),1),IF(A421=s1_id_korvattava2,INDEX($AI$3:$AI$19,MATCH(C421,$AF$3:$AF$19,0),1),IF(A421=s1_id_korvaava2,INDEX($AJ$3:$AJ$19,MATCH(C421,$AF$3:$AF$19,0),1),INDEX(Työkonekanta!$F$3:$F$27,MATCH('S1 Sähkö'!$A421,Työkonekanta!$A$3:$A$24,0),1))))),0)</f>
        <v>0</v>
      </c>
      <c r="C421" s="140">
        <v>2032</v>
      </c>
      <c r="D421" s="141" t="str">
        <f>IFERROR(INDEX(Työkonekanta!$D$3:$D$27,MATCH('S1 Sähkö'!$A421,Työkonekanta!$A$3:$A$24,0),1),"undefined")</f>
        <v>undefined</v>
      </c>
      <c r="E421" s="145">
        <f>IFERROR(INDEX(Työkonekanta!$G$3:$G$27,MATCH($A421,Työkonekanta!$A$3:$A$24,0),1)*INDEX(Työkonekanta!$H$3:$H$27,MATCH($A421,Työkonekanta!$A$3:$A$24,0),1)*(1+s1_kerroin*($C421-2019))*$B421,0)</f>
        <v>0</v>
      </c>
      <c r="F421" s="145">
        <f t="shared" si="112"/>
        <v>0</v>
      </c>
      <c r="G421" s="145">
        <f t="shared" si="118"/>
        <v>0</v>
      </c>
      <c r="H421" s="145">
        <f t="shared" si="119"/>
        <v>0</v>
      </c>
      <c r="I421" s="145">
        <f t="shared" si="113"/>
        <v>0</v>
      </c>
      <c r="J421" s="145">
        <f t="shared" si="114"/>
        <v>0</v>
      </c>
      <c r="K421" s="142" t="str">
        <f t="shared" si="120"/>
        <v>undefined</v>
      </c>
      <c r="L421" s="146">
        <f>IFERROR(INDEX(Työkonekanta!$I$3:$I$27,MATCH('S1 Sähkö'!$A421,Työkonekanta!$A$3:$A$24,0),1)*(I421+J421)*f_adblue,0)</f>
        <v>0</v>
      </c>
      <c r="M421" s="146">
        <f t="shared" si="125"/>
        <v>0</v>
      </c>
      <c r="N421" s="143" t="str">
        <f>IF(tuulisähkö_vuosi&lt;='S1 Sähkö'!C421,"tuulisähkö",ostosähkö_nyt)</f>
        <v>jäännössähkö</v>
      </c>
      <c r="O421" s="147">
        <f>INDEX(Muuttujat!$J$5:$J$21,MATCH($C421,Muuttujat!$H$5:$H$21,0),1)</f>
        <v>60.765893284281319</v>
      </c>
      <c r="P421" s="342">
        <f>1-(INDEX(Muuttujat!$O$5:$O$21,MATCH($C421,Muuttujat!$N$5:$N$21,0),1))</f>
        <v>0.9</v>
      </c>
      <c r="Q421" s="342">
        <f>INDEX(Muuttujat!$O$5:$O$21,MATCH($C421,Muuttujat!$N$5:$N$21,0),1)</f>
        <v>0.1</v>
      </c>
      <c r="R421" s="148">
        <f>INDEX(Muuttujat!$P$5:$P$21,MATCH($C421,Muuttujat!$N$5:$N$21,0),1)</f>
        <v>0.10417875759940039</v>
      </c>
      <c r="S421" s="149">
        <f t="shared" si="115"/>
        <v>0</v>
      </c>
      <c r="T421" s="150">
        <f t="shared" si="116"/>
        <v>0</v>
      </c>
      <c r="U421" s="150">
        <f t="shared" si="117"/>
        <v>0</v>
      </c>
      <c r="V421" s="150">
        <f>IFERROR(INDEX(Työkonekanta!$J$3:$J$27,MATCH($A421,Työkonekanta!$A$3:$A$24,0),1)*$B421*ef_li_ion_akku/1000/1000/INDEX(Työkonekanta!$K$3:$K$27,MATCH($A421,Työkonekanta!$A$3:$A$24,0)),0)</f>
        <v>0</v>
      </c>
      <c r="W421" s="149">
        <f t="shared" si="126"/>
        <v>0</v>
      </c>
      <c r="X421" s="150">
        <f t="shared" si="127"/>
        <v>0</v>
      </c>
      <c r="Y421" s="151">
        <f t="shared" si="128"/>
        <v>0</v>
      </c>
      <c r="Z421" s="152">
        <f t="shared" si="121"/>
        <v>0</v>
      </c>
      <c r="AA421" s="153">
        <f t="shared" si="122"/>
        <v>0</v>
      </c>
      <c r="AB421" s="153">
        <f t="shared" si="123"/>
        <v>0</v>
      </c>
      <c r="AC421" s="154">
        <f t="shared" si="129"/>
        <v>0</v>
      </c>
      <c r="AD421" s="156">
        <f t="shared" si="124"/>
        <v>0</v>
      </c>
      <c r="AE421" s="182"/>
      <c r="AJ421" s="28"/>
      <c r="AK421" s="29"/>
    </row>
    <row r="422" spans="1:37">
      <c r="A422" s="139">
        <v>30</v>
      </c>
      <c r="B422" s="139" cm="1">
        <f t="array" ref="B422">IFERROR(IF(A422=s1_id_korvattava1,INDEX($AG$3:$AG$19,MATCH(C422,$AF$3:$AF$19,0),1),IF(A422=s1_id_korvaava1,INDEX($AH$3:$AH$19,MATCH(C422,$AF$3:$AF$19,0),1),IF(A422=s1_id_korvattava2,INDEX($AI$3:$AI$19,MATCH(C422,$AF$3:$AF$19,0),1),IF(A422=s1_id_korvaava2,INDEX($AJ$3:$AJ$19,MATCH(C422,$AF$3:$AF$19,0),1),INDEX(Työkonekanta!$F$3:$F$27,MATCH('S1 Sähkö'!$A422,Työkonekanta!$A$3:$A$24,0),1))))),0)</f>
        <v>0</v>
      </c>
      <c r="C422" s="140">
        <v>2032</v>
      </c>
      <c r="D422" s="141" t="str">
        <f>IFERROR(INDEX(Työkonekanta!$D$3:$D$27,MATCH('S1 Sähkö'!$A422,Työkonekanta!$A$3:$A$24,0),1),"undefined")</f>
        <v>undefined</v>
      </c>
      <c r="E422" s="145">
        <f>IFERROR(INDEX(Työkonekanta!$G$3:$G$27,MATCH($A422,Työkonekanta!$A$3:$A$24,0),1)*INDEX(Työkonekanta!$H$3:$H$27,MATCH($A422,Työkonekanta!$A$3:$A$24,0),1)*(1+s1_kerroin*($C422-2019))*$B422,0)</f>
        <v>0</v>
      </c>
      <c r="F422" s="145">
        <f t="shared" si="112"/>
        <v>0</v>
      </c>
      <c r="G422" s="145">
        <f t="shared" si="118"/>
        <v>0</v>
      </c>
      <c r="H422" s="145">
        <f t="shared" si="119"/>
        <v>0</v>
      </c>
      <c r="I422" s="145">
        <f t="shared" si="113"/>
        <v>0</v>
      </c>
      <c r="J422" s="145">
        <f t="shared" si="114"/>
        <v>0</v>
      </c>
      <c r="K422" s="142" t="str">
        <f t="shared" si="120"/>
        <v>undefined</v>
      </c>
      <c r="L422" s="146">
        <f>IFERROR(INDEX(Työkonekanta!$I$3:$I$27,MATCH('S1 Sähkö'!$A422,Työkonekanta!$A$3:$A$24,0),1)*(I422+J422)*f_adblue,0)</f>
        <v>0</v>
      </c>
      <c r="M422" s="146">
        <f t="shared" si="125"/>
        <v>0</v>
      </c>
      <c r="N422" s="143" t="str">
        <f>IF(tuulisähkö_vuosi&lt;='S1 Sähkö'!C422,"tuulisähkö",ostosähkö_nyt)</f>
        <v>jäännössähkö</v>
      </c>
      <c r="O422" s="147">
        <f>INDEX(Muuttujat!$J$5:$J$21,MATCH($C422,Muuttujat!$H$5:$H$21,0),1)</f>
        <v>60.765893284281319</v>
      </c>
      <c r="P422" s="342">
        <f>1-(INDEX(Muuttujat!$O$5:$O$21,MATCH($C422,Muuttujat!$N$5:$N$21,0),1))</f>
        <v>0.9</v>
      </c>
      <c r="Q422" s="342">
        <f>INDEX(Muuttujat!$O$5:$O$21,MATCH($C422,Muuttujat!$N$5:$N$21,0),1)</f>
        <v>0.1</v>
      </c>
      <c r="R422" s="148">
        <f>INDEX(Muuttujat!$P$5:$P$21,MATCH($C422,Muuttujat!$N$5:$N$21,0),1)</f>
        <v>0.10417875759940039</v>
      </c>
      <c r="S422" s="149">
        <f t="shared" si="115"/>
        <v>0</v>
      </c>
      <c r="T422" s="150">
        <f t="shared" si="116"/>
        <v>0</v>
      </c>
      <c r="U422" s="150">
        <f t="shared" si="117"/>
        <v>0</v>
      </c>
      <c r="V422" s="150">
        <f>IFERROR(INDEX(Työkonekanta!$J$3:$J$27,MATCH($A422,Työkonekanta!$A$3:$A$24,0),1)*$B422*ef_li_ion_akku/1000/1000/INDEX(Työkonekanta!$K$3:$K$27,MATCH($A422,Työkonekanta!$A$3:$A$24,0)),0)</f>
        <v>0</v>
      </c>
      <c r="W422" s="149">
        <f t="shared" si="126"/>
        <v>0</v>
      </c>
      <c r="X422" s="150">
        <f t="shared" si="127"/>
        <v>0</v>
      </c>
      <c r="Y422" s="151">
        <f t="shared" si="128"/>
        <v>0</v>
      </c>
      <c r="Z422" s="152">
        <f t="shared" si="121"/>
        <v>0</v>
      </c>
      <c r="AA422" s="153">
        <f t="shared" si="122"/>
        <v>0</v>
      </c>
      <c r="AB422" s="153">
        <f t="shared" si="123"/>
        <v>0</v>
      </c>
      <c r="AC422" s="154">
        <f t="shared" si="129"/>
        <v>0</v>
      </c>
      <c r="AD422" s="156">
        <f t="shared" si="124"/>
        <v>0</v>
      </c>
      <c r="AE422" s="182"/>
      <c r="AJ422" s="28"/>
      <c r="AK422" s="29"/>
    </row>
    <row r="423" spans="1:37">
      <c r="A423" s="139">
        <v>1</v>
      </c>
      <c r="B423" s="139" cm="1">
        <f t="array" ref="B423">IFERROR(IF(A423=s1_id_korvattava1,INDEX($AG$3:$AG$19,MATCH(C423,$AF$3:$AF$19,0),1),IF(A423=s1_id_korvaava1,INDEX($AH$3:$AH$19,MATCH(C423,$AF$3:$AF$19,0),1),IF(A423=s1_id_korvattava2,INDEX($AI$3:$AI$19,MATCH(C423,$AF$3:$AF$19,0),1),IF(A423=s1_id_korvaava2,INDEX($AJ$3:$AJ$19,MATCH(C423,$AF$3:$AF$19,0),1),INDEX(Työkonekanta!$F$3:$F$27,MATCH('S1 Sähkö'!$A423,Työkonekanta!$A$3:$A$24,0),1))))),0)</f>
        <v>1</v>
      </c>
      <c r="C423" s="140">
        <v>2033</v>
      </c>
      <c r="D423" s="141" t="str">
        <f>IFERROR(INDEX(Työkonekanta!$D$3:$D$27,MATCH('S1 Sähkö'!$A423,Työkonekanta!$A$3:$A$24,0),1),"undefined")</f>
        <v>pom</v>
      </c>
      <c r="E423" s="145">
        <f>IFERROR(INDEX(Työkonekanta!$G$3:$G$27,MATCH($A423,Työkonekanta!$A$3:$A$24,0),1)*INDEX(Työkonekanta!$H$3:$H$27,MATCH($A423,Työkonekanta!$A$3:$A$24,0),1)*(1+s1_kerroin*($C423-2019))*$B423,0)</f>
        <v>11400.000000000002</v>
      </c>
      <c r="F423" s="145">
        <f t="shared" si="112"/>
        <v>409260.00000000006</v>
      </c>
      <c r="G423" s="145">
        <f t="shared" si="118"/>
        <v>368334.00000000006</v>
      </c>
      <c r="H423" s="145">
        <f t="shared" si="119"/>
        <v>40926.000000000007</v>
      </c>
      <c r="I423" s="145">
        <f t="shared" si="113"/>
        <v>10260.000000000002</v>
      </c>
      <c r="J423" s="145">
        <f t="shared" si="114"/>
        <v>1193.177842565598</v>
      </c>
      <c r="K423" s="142" t="str">
        <f t="shared" si="120"/>
        <v>l</v>
      </c>
      <c r="L423" s="146">
        <f>IFERROR(INDEX(Työkonekanta!$I$3:$I$27,MATCH('S1 Sähkö'!$A423,Työkonekanta!$A$3:$A$24,0),1)*(I423+J423)*f_adblue,0)</f>
        <v>572.65889212827994</v>
      </c>
      <c r="M423" s="146">
        <f t="shared" si="125"/>
        <v>0</v>
      </c>
      <c r="N423" s="143" t="str">
        <f>IF(tuulisähkö_vuosi&lt;='S1 Sähkö'!C423,"tuulisähkö",ostosähkö_nyt)</f>
        <v>jäännössähkö</v>
      </c>
      <c r="O423" s="147">
        <f>INDEX(Muuttujat!$J$5:$J$21,MATCH($C423,Muuttujat!$H$5:$H$21,0),1)</f>
        <v>60.158234351438509</v>
      </c>
      <c r="P423" s="342">
        <f>1-(INDEX(Muuttujat!$O$5:$O$21,MATCH($C423,Muuttujat!$N$5:$N$21,0),1))</f>
        <v>0.9</v>
      </c>
      <c r="Q423" s="342">
        <f>INDEX(Muuttujat!$O$5:$O$21,MATCH($C423,Muuttujat!$N$5:$N$21,0),1)</f>
        <v>0.1</v>
      </c>
      <c r="R423" s="148">
        <f>INDEX(Muuttujat!$P$5:$P$21,MATCH($C423,Muuttujat!$N$5:$N$21,0),1)</f>
        <v>0.10417875759940039</v>
      </c>
      <c r="S423" s="149">
        <f t="shared" si="115"/>
        <v>6.9615126000000007</v>
      </c>
      <c r="T423" s="150">
        <f t="shared" si="116"/>
        <v>2.5537824000000007</v>
      </c>
      <c r="U423" s="150">
        <f t="shared" si="117"/>
        <v>0</v>
      </c>
      <c r="V423" s="150">
        <f>IFERROR(INDEX(Työkonekanta!$J$3:$J$27,MATCH($A423,Työkonekanta!$A$3:$A$24,0),1)*$B423*ef_li_ion_akku/1000/1000/INDEX(Työkonekanta!$K$3:$K$27,MATCH($A423,Työkonekanta!$A$3:$A$24,0)),0)</f>
        <v>0</v>
      </c>
      <c r="W423" s="149">
        <f t="shared" si="126"/>
        <v>27.186089531436004</v>
      </c>
      <c r="X423" s="150">
        <f t="shared" si="127"/>
        <v>0.36223005240000006</v>
      </c>
      <c r="Y423" s="151">
        <f t="shared" si="128"/>
        <v>0.14889131195335278</v>
      </c>
      <c r="Z423" s="152">
        <f t="shared" si="121"/>
        <v>9.5152950000000018</v>
      </c>
      <c r="AA423" s="153">
        <f t="shared" si="122"/>
        <v>27.334980843389356</v>
      </c>
      <c r="AB423" s="153">
        <f t="shared" si="123"/>
        <v>27.697210895789357</v>
      </c>
      <c r="AC423" s="154">
        <f t="shared" si="129"/>
        <v>36.850275843389355</v>
      </c>
      <c r="AD423" s="156">
        <f t="shared" si="124"/>
        <v>37.212505895789363</v>
      </c>
      <c r="AE423" s="182"/>
      <c r="AG423" s="2"/>
    </row>
    <row r="424" spans="1:37">
      <c r="A424" s="139">
        <v>2</v>
      </c>
      <c r="B424" s="139" cm="1">
        <f t="array" ref="B424">IFERROR(IF(A424=s1_id_korvattava1,INDEX($AG$3:$AG$19,MATCH(C424,$AF$3:$AF$19,0),1),IF(A424=s1_id_korvaava1,INDEX($AH$3:$AH$19,MATCH(C424,$AF$3:$AF$19,0),1),IF(A424=s1_id_korvattava2,INDEX($AI$3:$AI$19,MATCH(C424,$AF$3:$AF$19,0),1),IF(A424=s1_id_korvaava2,INDEX($AJ$3:$AJ$19,MATCH(C424,$AF$3:$AF$19,0),1),INDEX(Työkonekanta!$F$3:$F$27,MATCH('S1 Sähkö'!$A424,Työkonekanta!$A$3:$A$24,0),1))))),0)</f>
        <v>1</v>
      </c>
      <c r="C424" s="140">
        <v>2033</v>
      </c>
      <c r="D424" s="141" t="str">
        <f>IFERROR(INDEX(Työkonekanta!$D$3:$D$27,MATCH('S1 Sähkö'!$A424,Työkonekanta!$A$3:$A$24,0),1),"undefined")</f>
        <v>pom</v>
      </c>
      <c r="E424" s="145">
        <f>IFERROR(INDEX(Työkonekanta!$G$3:$G$27,MATCH($A424,Työkonekanta!$A$3:$A$24,0),1)*INDEX(Työkonekanta!$H$3:$H$27,MATCH($A424,Työkonekanta!$A$3:$A$24,0),1)*(1+s1_kerroin*($C424-2019))*$B424,0)</f>
        <v>11400.000000000002</v>
      </c>
      <c r="F424" s="145">
        <f t="shared" si="112"/>
        <v>409260.00000000006</v>
      </c>
      <c r="G424" s="145">
        <f t="shared" si="118"/>
        <v>368334.00000000006</v>
      </c>
      <c r="H424" s="145">
        <f t="shared" si="119"/>
        <v>40926.000000000007</v>
      </c>
      <c r="I424" s="145">
        <f t="shared" si="113"/>
        <v>10260.000000000002</v>
      </c>
      <c r="J424" s="145">
        <f t="shared" si="114"/>
        <v>1193.177842565598</v>
      </c>
      <c r="K424" s="142" t="str">
        <f t="shared" si="120"/>
        <v>l</v>
      </c>
      <c r="L424" s="146">
        <f>IFERROR(INDEX(Työkonekanta!$I$3:$I$27,MATCH('S1 Sähkö'!$A424,Työkonekanta!$A$3:$A$24,0),1)*(I424+J424)*f_adblue,0)</f>
        <v>572.65889212827994</v>
      </c>
      <c r="M424" s="146">
        <f t="shared" si="125"/>
        <v>0</v>
      </c>
      <c r="N424" s="143" t="str">
        <f>IF(tuulisähkö_vuosi&lt;='S1 Sähkö'!C424,"tuulisähkö",ostosähkö_nyt)</f>
        <v>jäännössähkö</v>
      </c>
      <c r="O424" s="147">
        <f>INDEX(Muuttujat!$J$5:$J$21,MATCH($C424,Muuttujat!$H$5:$H$21,0),1)</f>
        <v>60.158234351438509</v>
      </c>
      <c r="P424" s="342">
        <f>1-(INDEX(Muuttujat!$O$5:$O$21,MATCH($C424,Muuttujat!$N$5:$N$21,0),1))</f>
        <v>0.9</v>
      </c>
      <c r="Q424" s="342">
        <f>INDEX(Muuttujat!$O$5:$O$21,MATCH($C424,Muuttujat!$N$5:$N$21,0),1)</f>
        <v>0.1</v>
      </c>
      <c r="R424" s="148">
        <f>INDEX(Muuttujat!$P$5:$P$21,MATCH($C424,Muuttujat!$N$5:$N$21,0),1)</f>
        <v>0.10417875759940039</v>
      </c>
      <c r="S424" s="149">
        <f t="shared" si="115"/>
        <v>6.9615126000000007</v>
      </c>
      <c r="T424" s="150">
        <f t="shared" si="116"/>
        <v>2.5537824000000007</v>
      </c>
      <c r="U424" s="150">
        <f t="shared" si="117"/>
        <v>0</v>
      </c>
      <c r="V424" s="150">
        <f>IFERROR(INDEX(Työkonekanta!$J$3:$J$27,MATCH($A424,Työkonekanta!$A$3:$A$24,0),1)*$B424*ef_li_ion_akku/1000/1000/INDEX(Työkonekanta!$K$3:$K$27,MATCH($A424,Työkonekanta!$A$3:$A$24,0)),0)</f>
        <v>0</v>
      </c>
      <c r="W424" s="149">
        <f t="shared" si="126"/>
        <v>27.186089531436004</v>
      </c>
      <c r="X424" s="150">
        <f t="shared" si="127"/>
        <v>0.36223005240000006</v>
      </c>
      <c r="Y424" s="151">
        <f t="shared" si="128"/>
        <v>0.14889131195335278</v>
      </c>
      <c r="Z424" s="152">
        <f t="shared" si="121"/>
        <v>9.5152950000000018</v>
      </c>
      <c r="AA424" s="153">
        <f t="shared" si="122"/>
        <v>27.334980843389356</v>
      </c>
      <c r="AB424" s="153">
        <f t="shared" si="123"/>
        <v>27.697210895789357</v>
      </c>
      <c r="AC424" s="154">
        <f t="shared" si="129"/>
        <v>36.850275843389355</v>
      </c>
      <c r="AD424" s="156">
        <f t="shared" si="124"/>
        <v>37.212505895789363</v>
      </c>
      <c r="AE424" s="182"/>
      <c r="AG424" s="2"/>
    </row>
    <row r="425" spans="1:37">
      <c r="A425" s="139">
        <v>3</v>
      </c>
      <c r="B425" s="139" cm="1">
        <f t="array" ref="B425">IFERROR(IF(A425=s1_id_korvattava1,INDEX($AG$3:$AG$19,MATCH(C425,$AF$3:$AF$19,0),1),IF(A425=s1_id_korvaava1,INDEX($AH$3:$AH$19,MATCH(C425,$AF$3:$AF$19,0),1),IF(A425=s1_id_korvattava2,INDEX($AI$3:$AI$19,MATCH(C425,$AF$3:$AF$19,0),1),IF(A425=s1_id_korvaava2,INDEX($AJ$3:$AJ$19,MATCH(C425,$AF$3:$AF$19,0),1),INDEX(Työkonekanta!$F$3:$F$27,MATCH('S1 Sähkö'!$A425,Työkonekanta!$A$3:$A$24,0),1))))),0)</f>
        <v>1</v>
      </c>
      <c r="C425" s="140">
        <v>2033</v>
      </c>
      <c r="D425" s="141" t="str">
        <f>IFERROR(INDEX(Työkonekanta!$D$3:$D$27,MATCH('S1 Sähkö'!$A425,Työkonekanta!$A$3:$A$24,0),1),"undefined")</f>
        <v>pom</v>
      </c>
      <c r="E425" s="145">
        <f>IFERROR(INDEX(Työkonekanta!$G$3:$G$27,MATCH($A425,Työkonekanta!$A$3:$A$24,0),1)*INDEX(Työkonekanta!$H$3:$H$27,MATCH($A425,Työkonekanta!$A$3:$A$24,0),1)*(1+s1_kerroin*($C425-2019))*$B425,0)</f>
        <v>11400.000000000002</v>
      </c>
      <c r="F425" s="145">
        <f t="shared" si="112"/>
        <v>409260.00000000006</v>
      </c>
      <c r="G425" s="145">
        <f t="shared" si="118"/>
        <v>368334.00000000006</v>
      </c>
      <c r="H425" s="145">
        <f t="shared" si="119"/>
        <v>40926.000000000007</v>
      </c>
      <c r="I425" s="145">
        <f t="shared" si="113"/>
        <v>10260.000000000002</v>
      </c>
      <c r="J425" s="145">
        <f t="shared" si="114"/>
        <v>1193.177842565598</v>
      </c>
      <c r="K425" s="142" t="str">
        <f t="shared" si="120"/>
        <v>l</v>
      </c>
      <c r="L425" s="146">
        <f>IFERROR(INDEX(Työkonekanta!$I$3:$I$27,MATCH('S1 Sähkö'!$A425,Työkonekanta!$A$3:$A$24,0),1)*(I425+J425)*f_adblue,0)</f>
        <v>572.65889212827994</v>
      </c>
      <c r="M425" s="146">
        <f t="shared" si="125"/>
        <v>0</v>
      </c>
      <c r="N425" s="143" t="str">
        <f>IF(tuulisähkö_vuosi&lt;='S1 Sähkö'!C425,"tuulisähkö",ostosähkö_nyt)</f>
        <v>jäännössähkö</v>
      </c>
      <c r="O425" s="147">
        <f>INDEX(Muuttujat!$J$5:$J$21,MATCH($C425,Muuttujat!$H$5:$H$21,0),1)</f>
        <v>60.158234351438509</v>
      </c>
      <c r="P425" s="342">
        <f>1-(INDEX(Muuttujat!$O$5:$O$21,MATCH($C425,Muuttujat!$N$5:$N$21,0),1))</f>
        <v>0.9</v>
      </c>
      <c r="Q425" s="342">
        <f>INDEX(Muuttujat!$O$5:$O$21,MATCH($C425,Muuttujat!$N$5:$N$21,0),1)</f>
        <v>0.1</v>
      </c>
      <c r="R425" s="148">
        <f>INDEX(Muuttujat!$P$5:$P$21,MATCH($C425,Muuttujat!$N$5:$N$21,0),1)</f>
        <v>0.10417875759940039</v>
      </c>
      <c r="S425" s="149">
        <f t="shared" si="115"/>
        <v>6.9615126000000007</v>
      </c>
      <c r="T425" s="150">
        <f t="shared" si="116"/>
        <v>2.5537824000000007</v>
      </c>
      <c r="U425" s="150">
        <f t="shared" si="117"/>
        <v>0</v>
      </c>
      <c r="V425" s="150">
        <f>IFERROR(INDEX(Työkonekanta!$J$3:$J$27,MATCH($A425,Työkonekanta!$A$3:$A$24,0),1)*$B425*ef_li_ion_akku/1000/1000/INDEX(Työkonekanta!$K$3:$K$27,MATCH($A425,Työkonekanta!$A$3:$A$24,0)),0)</f>
        <v>0</v>
      </c>
      <c r="W425" s="149">
        <f t="shared" si="126"/>
        <v>27.186089531436004</v>
      </c>
      <c r="X425" s="150">
        <f t="shared" si="127"/>
        <v>0.36223005240000006</v>
      </c>
      <c r="Y425" s="151">
        <f t="shared" si="128"/>
        <v>0.14889131195335278</v>
      </c>
      <c r="Z425" s="152">
        <f t="shared" si="121"/>
        <v>9.5152950000000018</v>
      </c>
      <c r="AA425" s="153">
        <f t="shared" si="122"/>
        <v>27.334980843389356</v>
      </c>
      <c r="AB425" s="153">
        <f t="shared" si="123"/>
        <v>27.697210895789357</v>
      </c>
      <c r="AC425" s="154">
        <f t="shared" si="129"/>
        <v>36.850275843389355</v>
      </c>
      <c r="AD425" s="156">
        <f t="shared" si="124"/>
        <v>37.212505895789363</v>
      </c>
      <c r="AE425" s="182"/>
      <c r="AG425" s="2"/>
    </row>
    <row r="426" spans="1:37">
      <c r="A426" s="139">
        <v>4</v>
      </c>
      <c r="B426" s="139" cm="1">
        <f t="array" ref="B426">IFERROR(IF(A426=s1_id_korvattava1,INDEX($AG$3:$AG$19,MATCH(C426,$AF$3:$AF$19,0),1),IF(A426=s1_id_korvaava1,INDEX($AH$3:$AH$19,MATCH(C426,$AF$3:$AF$19,0),1),IF(A426=s1_id_korvattava2,INDEX($AI$3:$AI$19,MATCH(C426,$AF$3:$AF$19,0),1),IF(A426=s1_id_korvaava2,INDEX($AJ$3:$AJ$19,MATCH(C426,$AF$3:$AF$19,0),1),INDEX(Työkonekanta!$F$3:$F$27,MATCH('S1 Sähkö'!$A426,Työkonekanta!$A$3:$A$24,0),1))))),0)</f>
        <v>1</v>
      </c>
      <c r="C426" s="140">
        <v>2033</v>
      </c>
      <c r="D426" s="141" t="str">
        <f>IFERROR(INDEX(Työkonekanta!$D$3:$D$27,MATCH('S1 Sähkö'!$A426,Työkonekanta!$A$3:$A$24,0),1),"undefined")</f>
        <v>pom</v>
      </c>
      <c r="E426" s="145">
        <f>IFERROR(INDEX(Työkonekanta!$G$3:$G$27,MATCH($A426,Työkonekanta!$A$3:$A$24,0),1)*INDEX(Työkonekanta!$H$3:$H$27,MATCH($A426,Työkonekanta!$A$3:$A$24,0),1)*(1+s1_kerroin*($C426-2019))*$B426,0)</f>
        <v>11400.000000000002</v>
      </c>
      <c r="F426" s="145">
        <f t="shared" si="112"/>
        <v>409260.00000000006</v>
      </c>
      <c r="G426" s="145">
        <f t="shared" si="118"/>
        <v>368334.00000000006</v>
      </c>
      <c r="H426" s="145">
        <f t="shared" si="119"/>
        <v>40926.000000000007</v>
      </c>
      <c r="I426" s="145">
        <f t="shared" si="113"/>
        <v>10260.000000000002</v>
      </c>
      <c r="J426" s="145">
        <f t="shared" si="114"/>
        <v>1193.177842565598</v>
      </c>
      <c r="K426" s="142" t="str">
        <f t="shared" si="120"/>
        <v>l</v>
      </c>
      <c r="L426" s="146">
        <f>IFERROR(INDEX(Työkonekanta!$I$3:$I$27,MATCH('S1 Sähkö'!$A426,Työkonekanta!$A$3:$A$24,0),1)*(I426+J426)*f_adblue,0)</f>
        <v>572.65889212827994</v>
      </c>
      <c r="M426" s="146">
        <f t="shared" si="125"/>
        <v>0</v>
      </c>
      <c r="N426" s="143" t="str">
        <f>IF(tuulisähkö_vuosi&lt;='S1 Sähkö'!C426,"tuulisähkö",ostosähkö_nyt)</f>
        <v>jäännössähkö</v>
      </c>
      <c r="O426" s="147">
        <f>INDEX(Muuttujat!$J$5:$J$21,MATCH($C426,Muuttujat!$H$5:$H$21,0),1)</f>
        <v>60.158234351438509</v>
      </c>
      <c r="P426" s="342">
        <f>1-(INDEX(Muuttujat!$O$5:$O$21,MATCH($C426,Muuttujat!$N$5:$N$21,0),1))</f>
        <v>0.9</v>
      </c>
      <c r="Q426" s="342">
        <f>INDEX(Muuttujat!$O$5:$O$21,MATCH($C426,Muuttujat!$N$5:$N$21,0),1)</f>
        <v>0.1</v>
      </c>
      <c r="R426" s="148">
        <f>INDEX(Muuttujat!$P$5:$P$21,MATCH($C426,Muuttujat!$N$5:$N$21,0),1)</f>
        <v>0.10417875759940039</v>
      </c>
      <c r="S426" s="149">
        <f t="shared" si="115"/>
        <v>6.9615126000000007</v>
      </c>
      <c r="T426" s="150">
        <f t="shared" si="116"/>
        <v>2.5537824000000007</v>
      </c>
      <c r="U426" s="150">
        <f t="shared" si="117"/>
        <v>0</v>
      </c>
      <c r="V426" s="150">
        <f>IFERROR(INDEX(Työkonekanta!$J$3:$J$27,MATCH($A426,Työkonekanta!$A$3:$A$24,0),1)*$B426*ef_li_ion_akku/1000/1000/INDEX(Työkonekanta!$K$3:$K$27,MATCH($A426,Työkonekanta!$A$3:$A$24,0)),0)</f>
        <v>0</v>
      </c>
      <c r="W426" s="149">
        <f t="shared" si="126"/>
        <v>27.186089531436004</v>
      </c>
      <c r="X426" s="150">
        <f t="shared" si="127"/>
        <v>0.36223005240000006</v>
      </c>
      <c r="Y426" s="151">
        <f t="shared" si="128"/>
        <v>0.14889131195335278</v>
      </c>
      <c r="Z426" s="152">
        <f t="shared" si="121"/>
        <v>9.5152950000000018</v>
      </c>
      <c r="AA426" s="153">
        <f t="shared" si="122"/>
        <v>27.334980843389356</v>
      </c>
      <c r="AB426" s="153">
        <f t="shared" si="123"/>
        <v>27.697210895789357</v>
      </c>
      <c r="AC426" s="154">
        <f t="shared" si="129"/>
        <v>36.850275843389355</v>
      </c>
      <c r="AD426" s="156">
        <f t="shared" si="124"/>
        <v>37.212505895789363</v>
      </c>
      <c r="AE426" s="182"/>
      <c r="AG426" s="2"/>
    </row>
    <row r="427" spans="1:37">
      <c r="A427" s="139">
        <v>5</v>
      </c>
      <c r="B427" s="139" cm="1">
        <f t="array" ref="B427">IFERROR(IF(A427=s1_id_korvattava1,INDEX($AG$3:$AG$19,MATCH(C427,$AF$3:$AF$19,0),1),IF(A427=s1_id_korvaava1,INDEX($AH$3:$AH$19,MATCH(C427,$AF$3:$AF$19,0),1),IF(A427=s1_id_korvattava2,INDEX($AI$3:$AI$19,MATCH(C427,$AF$3:$AF$19,0),1),IF(A427=s1_id_korvaava2,INDEX($AJ$3:$AJ$19,MATCH(C427,$AF$3:$AF$19,0),1),INDEX(Työkonekanta!$F$3:$F$27,MATCH('S1 Sähkö'!$A427,Työkonekanta!$A$3:$A$24,0),1))))),0)</f>
        <v>0</v>
      </c>
      <c r="C427" s="140">
        <v>2033</v>
      </c>
      <c r="D427" s="141" t="str">
        <f>IFERROR(INDEX(Työkonekanta!$D$3:$D$27,MATCH('S1 Sähkö'!$A427,Työkonekanta!$A$3:$A$24,0),1),"undefined")</f>
        <v>sähkö</v>
      </c>
      <c r="E427" s="145">
        <f>IFERROR(INDEX(Työkonekanta!$G$3:$G$27,MATCH($A427,Työkonekanta!$A$3:$A$24,0),1)*INDEX(Työkonekanta!$H$3:$H$27,MATCH($A427,Työkonekanta!$A$3:$A$24,0),1)*(1+s1_kerroin*($C427-2019))*$B427,0)</f>
        <v>0</v>
      </c>
      <c r="F427" s="145">
        <f t="shared" si="112"/>
        <v>0</v>
      </c>
      <c r="G427" s="145">
        <f t="shared" si="118"/>
        <v>0</v>
      </c>
      <c r="H427" s="145">
        <f t="shared" si="119"/>
        <v>0</v>
      </c>
      <c r="I427" s="145">
        <f t="shared" si="113"/>
        <v>0</v>
      </c>
      <c r="J427" s="145">
        <f t="shared" si="114"/>
        <v>0</v>
      </c>
      <c r="K427" s="142" t="str">
        <f t="shared" si="120"/>
        <v>kWh</v>
      </c>
      <c r="L427" s="146">
        <f>IFERROR(INDEX(Työkonekanta!$I$3:$I$27,MATCH('S1 Sähkö'!$A427,Työkonekanta!$A$3:$A$24,0),1)*(I427+J427)*f_adblue,0)</f>
        <v>0</v>
      </c>
      <c r="M427" s="146">
        <f t="shared" si="125"/>
        <v>0</v>
      </c>
      <c r="N427" s="143" t="str">
        <f>IF(tuulisähkö_vuosi&lt;='S1 Sähkö'!C427,"tuulisähkö",ostosähkö_nyt)</f>
        <v>jäännössähkö</v>
      </c>
      <c r="O427" s="147">
        <f>INDEX(Muuttujat!$J$5:$J$21,MATCH($C427,Muuttujat!$H$5:$H$21,0),1)</f>
        <v>60.158234351438509</v>
      </c>
      <c r="P427" s="342">
        <f>1-(INDEX(Muuttujat!$O$5:$O$21,MATCH($C427,Muuttujat!$N$5:$N$21,0),1))</f>
        <v>0.9</v>
      </c>
      <c r="Q427" s="342">
        <f>INDEX(Muuttujat!$O$5:$O$21,MATCH($C427,Muuttujat!$N$5:$N$21,0),1)</f>
        <v>0.1</v>
      </c>
      <c r="R427" s="148">
        <f>INDEX(Muuttujat!$P$5:$P$21,MATCH($C427,Muuttujat!$N$5:$N$21,0),1)</f>
        <v>0.10417875759940039</v>
      </c>
      <c r="S427" s="149">
        <f t="shared" si="115"/>
        <v>0</v>
      </c>
      <c r="T427" s="150">
        <f t="shared" si="116"/>
        <v>0</v>
      </c>
      <c r="U427" s="150">
        <f t="shared" si="117"/>
        <v>0</v>
      </c>
      <c r="V427" s="150">
        <f>IFERROR(INDEX(Työkonekanta!$J$3:$J$27,MATCH($A427,Työkonekanta!$A$3:$A$24,0),1)*$B427*ef_li_ion_akku/1000/1000/INDEX(Työkonekanta!$K$3:$K$27,MATCH($A427,Työkonekanta!$A$3:$A$24,0)),0)</f>
        <v>0</v>
      </c>
      <c r="W427" s="149">
        <f t="shared" si="126"/>
        <v>0</v>
      </c>
      <c r="X427" s="150">
        <f t="shared" si="127"/>
        <v>0</v>
      </c>
      <c r="Y427" s="151">
        <f t="shared" si="128"/>
        <v>0</v>
      </c>
      <c r="Z427" s="152">
        <f t="shared" si="121"/>
        <v>0</v>
      </c>
      <c r="AA427" s="153">
        <f t="shared" si="122"/>
        <v>0</v>
      </c>
      <c r="AB427" s="153">
        <f t="shared" si="123"/>
        <v>0</v>
      </c>
      <c r="AC427" s="154">
        <f t="shared" si="129"/>
        <v>0</v>
      </c>
      <c r="AD427" s="156">
        <f t="shared" si="124"/>
        <v>0</v>
      </c>
      <c r="AE427" s="182"/>
      <c r="AG427" s="2"/>
    </row>
    <row r="428" spans="1:37">
      <c r="A428" s="139">
        <v>6</v>
      </c>
      <c r="B428" s="139" cm="1">
        <f t="array" ref="B428">IFERROR(IF(A428=s1_id_korvattava1,INDEX($AG$3:$AG$19,MATCH(C428,$AF$3:$AF$19,0),1),IF(A428=s1_id_korvaava1,INDEX($AH$3:$AH$19,MATCH(C428,$AF$3:$AF$19,0),1),IF(A428=s1_id_korvattava2,INDEX($AI$3:$AI$19,MATCH(C428,$AF$3:$AF$19,0),1),IF(A428=s1_id_korvaava2,INDEX($AJ$3:$AJ$19,MATCH(C428,$AF$3:$AF$19,0),1),INDEX(Työkonekanta!$F$3:$F$27,MATCH('S1 Sähkö'!$A428,Työkonekanta!$A$3:$A$24,0),1))))),0)</f>
        <v>0</v>
      </c>
      <c r="C428" s="140">
        <v>2033</v>
      </c>
      <c r="D428" s="141" t="str">
        <f>IFERROR(INDEX(Työkonekanta!$D$3:$D$27,MATCH('S1 Sähkö'!$A428,Työkonekanta!$A$3:$A$24,0),1),"undefined")</f>
        <v>sähkö</v>
      </c>
      <c r="E428" s="145">
        <f>IFERROR(INDEX(Työkonekanta!$G$3:$G$27,MATCH($A428,Työkonekanta!$A$3:$A$24,0),1)*INDEX(Työkonekanta!$H$3:$H$27,MATCH($A428,Työkonekanta!$A$3:$A$24,0),1)*(1+s1_kerroin*($C428-2019))*$B428,0)</f>
        <v>0</v>
      </c>
      <c r="F428" s="145">
        <f t="shared" si="112"/>
        <v>0</v>
      </c>
      <c r="G428" s="145">
        <f t="shared" si="118"/>
        <v>0</v>
      </c>
      <c r="H428" s="145">
        <f t="shared" si="119"/>
        <v>0</v>
      </c>
      <c r="I428" s="145">
        <f t="shared" si="113"/>
        <v>0</v>
      </c>
      <c r="J428" s="145">
        <f t="shared" si="114"/>
        <v>0</v>
      </c>
      <c r="K428" s="142" t="str">
        <f t="shared" si="120"/>
        <v>kWh</v>
      </c>
      <c r="L428" s="146">
        <f>IFERROR(INDEX(Työkonekanta!$I$3:$I$27,MATCH('S1 Sähkö'!$A428,Työkonekanta!$A$3:$A$24,0),1)*(I428+J428)*f_adblue,0)</f>
        <v>0</v>
      </c>
      <c r="M428" s="146">
        <f t="shared" si="125"/>
        <v>0</v>
      </c>
      <c r="N428" s="143" t="str">
        <f>IF(tuulisähkö_vuosi&lt;='S1 Sähkö'!C428,"tuulisähkö",ostosähkö_nyt)</f>
        <v>jäännössähkö</v>
      </c>
      <c r="O428" s="147">
        <f>INDEX(Muuttujat!$J$5:$J$21,MATCH($C428,Muuttujat!$H$5:$H$21,0),1)</f>
        <v>60.158234351438509</v>
      </c>
      <c r="P428" s="342">
        <f>1-(INDEX(Muuttujat!$O$5:$O$21,MATCH($C428,Muuttujat!$N$5:$N$21,0),1))</f>
        <v>0.9</v>
      </c>
      <c r="Q428" s="342">
        <f>INDEX(Muuttujat!$O$5:$O$21,MATCH($C428,Muuttujat!$N$5:$N$21,0),1)</f>
        <v>0.1</v>
      </c>
      <c r="R428" s="148">
        <f>INDEX(Muuttujat!$P$5:$P$21,MATCH($C428,Muuttujat!$N$5:$N$21,0),1)</f>
        <v>0.10417875759940039</v>
      </c>
      <c r="S428" s="149">
        <f t="shared" si="115"/>
        <v>0</v>
      </c>
      <c r="T428" s="150">
        <f t="shared" si="116"/>
        <v>0</v>
      </c>
      <c r="U428" s="150">
        <f t="shared" si="117"/>
        <v>0</v>
      </c>
      <c r="V428" s="150">
        <f>IFERROR(INDEX(Työkonekanta!$J$3:$J$27,MATCH($A428,Työkonekanta!$A$3:$A$24,0),1)*$B428*ef_li_ion_akku/1000/1000/INDEX(Työkonekanta!$K$3:$K$27,MATCH($A428,Työkonekanta!$A$3:$A$24,0)),0)</f>
        <v>0</v>
      </c>
      <c r="W428" s="149">
        <f t="shared" si="126"/>
        <v>0</v>
      </c>
      <c r="X428" s="150">
        <f t="shared" si="127"/>
        <v>0</v>
      </c>
      <c r="Y428" s="151">
        <f t="shared" si="128"/>
        <v>0</v>
      </c>
      <c r="Z428" s="152">
        <f t="shared" si="121"/>
        <v>0</v>
      </c>
      <c r="AA428" s="153">
        <f t="shared" si="122"/>
        <v>0</v>
      </c>
      <c r="AB428" s="153">
        <f t="shared" si="123"/>
        <v>0</v>
      </c>
      <c r="AC428" s="154">
        <f t="shared" si="129"/>
        <v>0</v>
      </c>
      <c r="AD428" s="156">
        <f t="shared" si="124"/>
        <v>0</v>
      </c>
      <c r="AE428" s="182"/>
      <c r="AG428" s="2"/>
    </row>
    <row r="429" spans="1:37">
      <c r="A429" s="139">
        <v>7</v>
      </c>
      <c r="B429" s="139" cm="1">
        <f t="array" ref="B429">IFERROR(IF(A429=s1_id_korvattava1,INDEX($AG$3:$AG$19,MATCH(C429,$AF$3:$AF$19,0),1),IF(A429=s1_id_korvaava1,INDEX($AH$3:$AH$19,MATCH(C429,$AF$3:$AF$19,0),1),IF(A429=s1_id_korvattava2,INDEX($AI$3:$AI$19,MATCH(C429,$AF$3:$AF$19,0),1),IF(A429=s1_id_korvaava2,INDEX($AJ$3:$AJ$19,MATCH(C429,$AF$3:$AF$19,0),1),INDEX(Työkonekanta!$F$3:$F$27,MATCH('S1 Sähkö'!$A429,Työkonekanta!$A$3:$A$24,0),1))))),0)</f>
        <v>1</v>
      </c>
      <c r="C429" s="140">
        <v>2033</v>
      </c>
      <c r="D429" s="141" t="str">
        <f>IFERROR(INDEX(Työkonekanta!$D$3:$D$27,MATCH('S1 Sähkö'!$A429,Työkonekanta!$A$3:$A$24,0),1),"undefined")</f>
        <v>pom</v>
      </c>
      <c r="E429" s="145">
        <f>IFERROR(INDEX(Työkonekanta!$G$3:$G$27,MATCH($A429,Työkonekanta!$A$3:$A$24,0),1)*INDEX(Työkonekanta!$H$3:$H$27,MATCH($A429,Työkonekanta!$A$3:$A$24,0),1)*(1+s1_kerroin*($C429-2019))*$B429,0)</f>
        <v>11400.000000000002</v>
      </c>
      <c r="F429" s="145">
        <f t="shared" si="112"/>
        <v>409260.00000000006</v>
      </c>
      <c r="G429" s="145">
        <f t="shared" si="118"/>
        <v>368334.00000000006</v>
      </c>
      <c r="H429" s="145">
        <f t="shared" si="119"/>
        <v>40926.000000000007</v>
      </c>
      <c r="I429" s="145">
        <f t="shared" si="113"/>
        <v>10260.000000000002</v>
      </c>
      <c r="J429" s="145">
        <f t="shared" si="114"/>
        <v>1193.177842565598</v>
      </c>
      <c r="K429" s="142" t="str">
        <f t="shared" si="120"/>
        <v>l</v>
      </c>
      <c r="L429" s="146">
        <f>IFERROR(INDEX(Työkonekanta!$I$3:$I$27,MATCH('S1 Sähkö'!$A429,Työkonekanta!$A$3:$A$24,0),1)*(I429+J429)*f_adblue,0)</f>
        <v>0</v>
      </c>
      <c r="M429" s="146">
        <f t="shared" si="125"/>
        <v>0</v>
      </c>
      <c r="N429" s="143" t="str">
        <f>IF(tuulisähkö_vuosi&lt;='S1 Sähkö'!C429,"tuulisähkö",ostosähkö_nyt)</f>
        <v>jäännössähkö</v>
      </c>
      <c r="O429" s="147">
        <f>INDEX(Muuttujat!$J$5:$J$21,MATCH($C429,Muuttujat!$H$5:$H$21,0),1)</f>
        <v>60.158234351438509</v>
      </c>
      <c r="P429" s="342">
        <f>1-(INDEX(Muuttujat!$O$5:$O$21,MATCH($C429,Muuttujat!$N$5:$N$21,0),1))</f>
        <v>0.9</v>
      </c>
      <c r="Q429" s="342">
        <f>INDEX(Muuttujat!$O$5:$O$21,MATCH($C429,Muuttujat!$N$5:$N$21,0),1)</f>
        <v>0.1</v>
      </c>
      <c r="R429" s="148">
        <f>INDEX(Muuttujat!$P$5:$P$21,MATCH($C429,Muuttujat!$N$5:$N$21,0),1)</f>
        <v>0.10417875759940039</v>
      </c>
      <c r="S429" s="149">
        <f t="shared" si="115"/>
        <v>6.9615126000000007</v>
      </c>
      <c r="T429" s="150">
        <f t="shared" si="116"/>
        <v>2.5537824000000007</v>
      </c>
      <c r="U429" s="150">
        <f t="shared" si="117"/>
        <v>0</v>
      </c>
      <c r="V429" s="150">
        <f>IFERROR(INDEX(Työkonekanta!$J$3:$J$27,MATCH($A429,Työkonekanta!$A$3:$A$24,0),1)*$B429*ef_li_ion_akku/1000/1000/INDEX(Työkonekanta!$K$3:$K$27,MATCH($A429,Työkonekanta!$A$3:$A$24,0)),0)</f>
        <v>0</v>
      </c>
      <c r="W429" s="149">
        <f t="shared" si="126"/>
        <v>27.186089531436004</v>
      </c>
      <c r="X429" s="150">
        <f t="shared" si="127"/>
        <v>0.36223005240000006</v>
      </c>
      <c r="Y429" s="151">
        <f t="shared" si="128"/>
        <v>0</v>
      </c>
      <c r="Z429" s="152">
        <f t="shared" si="121"/>
        <v>9.5152950000000018</v>
      </c>
      <c r="AA429" s="153">
        <f t="shared" si="122"/>
        <v>27.186089531436004</v>
      </c>
      <c r="AB429" s="153">
        <f t="shared" si="123"/>
        <v>27.548319583836005</v>
      </c>
      <c r="AC429" s="154">
        <f t="shared" si="129"/>
        <v>36.701384531436005</v>
      </c>
      <c r="AD429" s="156">
        <f t="shared" si="124"/>
        <v>37.063614583836006</v>
      </c>
      <c r="AE429" s="182"/>
      <c r="AG429" s="2"/>
    </row>
    <row r="430" spans="1:37">
      <c r="A430" s="139">
        <v>8</v>
      </c>
      <c r="B430" s="139" cm="1">
        <f t="array" ref="B430">IFERROR(IF(A430=s1_id_korvattava1,INDEX($AG$3:$AG$19,MATCH(C430,$AF$3:$AF$19,0),1),IF(A430=s1_id_korvaava1,INDEX($AH$3:$AH$19,MATCH(C430,$AF$3:$AF$19,0),1),IF(A430=s1_id_korvattava2,INDEX($AI$3:$AI$19,MATCH(C430,$AF$3:$AF$19,0),1),IF(A430=s1_id_korvaava2,INDEX($AJ$3:$AJ$19,MATCH(C430,$AF$3:$AF$19,0),1),INDEX(Työkonekanta!$F$3:$F$27,MATCH('S1 Sähkö'!$A430,Työkonekanta!$A$3:$A$24,0),1))))),0)</f>
        <v>1</v>
      </c>
      <c r="C430" s="140">
        <v>2033</v>
      </c>
      <c r="D430" s="141" t="str">
        <f>IFERROR(INDEX(Työkonekanta!$D$3:$D$27,MATCH('S1 Sähkö'!$A430,Työkonekanta!$A$3:$A$24,0),1),"undefined")</f>
        <v>pom</v>
      </c>
      <c r="E430" s="145">
        <f>IFERROR(INDEX(Työkonekanta!$G$3:$G$27,MATCH($A430,Työkonekanta!$A$3:$A$24,0),1)*INDEX(Työkonekanta!$H$3:$H$27,MATCH($A430,Työkonekanta!$A$3:$A$24,0),1)*(1+s1_kerroin*($C430-2019))*$B430,0)</f>
        <v>11400.000000000002</v>
      </c>
      <c r="F430" s="145">
        <f t="shared" si="112"/>
        <v>409260.00000000006</v>
      </c>
      <c r="G430" s="145">
        <f t="shared" si="118"/>
        <v>368334.00000000006</v>
      </c>
      <c r="H430" s="145">
        <f t="shared" si="119"/>
        <v>40926.000000000007</v>
      </c>
      <c r="I430" s="145">
        <f t="shared" si="113"/>
        <v>10260.000000000002</v>
      </c>
      <c r="J430" s="145">
        <f t="shared" si="114"/>
        <v>1193.177842565598</v>
      </c>
      <c r="K430" s="142" t="str">
        <f t="shared" si="120"/>
        <v>l</v>
      </c>
      <c r="L430" s="146">
        <f>IFERROR(INDEX(Työkonekanta!$I$3:$I$27,MATCH('S1 Sähkö'!$A430,Työkonekanta!$A$3:$A$24,0),1)*(I430+J430)*f_adblue,0)</f>
        <v>572.65889212827994</v>
      </c>
      <c r="M430" s="146">
        <f t="shared" si="125"/>
        <v>0</v>
      </c>
      <c r="N430" s="143" t="str">
        <f>IF(tuulisähkö_vuosi&lt;='S1 Sähkö'!C430,"tuulisähkö",ostosähkö_nyt)</f>
        <v>jäännössähkö</v>
      </c>
      <c r="O430" s="147">
        <f>INDEX(Muuttujat!$J$5:$J$21,MATCH($C430,Muuttujat!$H$5:$H$21,0),1)</f>
        <v>60.158234351438509</v>
      </c>
      <c r="P430" s="342">
        <f>1-(INDEX(Muuttujat!$O$5:$O$21,MATCH($C430,Muuttujat!$N$5:$N$21,0),1))</f>
        <v>0.9</v>
      </c>
      <c r="Q430" s="342">
        <f>INDEX(Muuttujat!$O$5:$O$21,MATCH($C430,Muuttujat!$N$5:$N$21,0),1)</f>
        <v>0.1</v>
      </c>
      <c r="R430" s="148">
        <f>INDEX(Muuttujat!$P$5:$P$21,MATCH($C430,Muuttujat!$N$5:$N$21,0),1)</f>
        <v>0.10417875759940039</v>
      </c>
      <c r="S430" s="149">
        <f t="shared" si="115"/>
        <v>6.9615126000000007</v>
      </c>
      <c r="T430" s="150">
        <f t="shared" si="116"/>
        <v>2.5537824000000007</v>
      </c>
      <c r="U430" s="150">
        <f t="shared" si="117"/>
        <v>0</v>
      </c>
      <c r="V430" s="150">
        <f>IFERROR(INDEX(Työkonekanta!$J$3:$J$27,MATCH($A430,Työkonekanta!$A$3:$A$24,0),1)*$B430*ef_li_ion_akku/1000/1000/INDEX(Työkonekanta!$K$3:$K$27,MATCH($A430,Työkonekanta!$A$3:$A$24,0)),0)</f>
        <v>0</v>
      </c>
      <c r="W430" s="149">
        <f t="shared" si="126"/>
        <v>27.186089531436004</v>
      </c>
      <c r="X430" s="150">
        <f t="shared" si="127"/>
        <v>0.36223005240000006</v>
      </c>
      <c r="Y430" s="151">
        <f t="shared" si="128"/>
        <v>0.14889131195335278</v>
      </c>
      <c r="Z430" s="152">
        <f t="shared" si="121"/>
        <v>9.5152950000000018</v>
      </c>
      <c r="AA430" s="153">
        <f t="shared" si="122"/>
        <v>27.334980843389356</v>
      </c>
      <c r="AB430" s="153">
        <f t="shared" si="123"/>
        <v>27.697210895789357</v>
      </c>
      <c r="AC430" s="154">
        <f t="shared" si="129"/>
        <v>36.850275843389355</v>
      </c>
      <c r="AD430" s="156">
        <f t="shared" si="124"/>
        <v>37.212505895789363</v>
      </c>
      <c r="AE430" s="182"/>
      <c r="AG430" s="2"/>
    </row>
    <row r="431" spans="1:37">
      <c r="A431" s="139">
        <v>9</v>
      </c>
      <c r="B431" s="139" cm="1">
        <f t="array" ref="B431">IFERROR(IF(A431=s1_id_korvattava1,INDEX($AG$3:$AG$19,MATCH(C431,$AF$3:$AF$19,0),1),IF(A431=s1_id_korvaava1,INDEX($AH$3:$AH$19,MATCH(C431,$AF$3:$AF$19,0),1),IF(A431=s1_id_korvattava2,INDEX($AI$3:$AI$19,MATCH(C431,$AF$3:$AF$19,0),1),IF(A431=s1_id_korvaava2,INDEX($AJ$3:$AJ$19,MATCH(C431,$AF$3:$AF$19,0),1),INDEX(Työkonekanta!$F$3:$F$27,MATCH('S1 Sähkö'!$A431,Työkonekanta!$A$3:$A$24,0),1))))),0)</f>
        <v>0</v>
      </c>
      <c r="C431" s="140">
        <v>2033</v>
      </c>
      <c r="D431" s="141" t="str">
        <f>IFERROR(INDEX(Työkonekanta!$D$3:$D$27,MATCH('S1 Sähkö'!$A431,Työkonekanta!$A$3:$A$24,0),1),"undefined")</f>
        <v>sähkö</v>
      </c>
      <c r="E431" s="145">
        <f>IFERROR(INDEX(Työkonekanta!$G$3:$G$27,MATCH($A431,Työkonekanta!$A$3:$A$24,0),1)*INDEX(Työkonekanta!$H$3:$H$27,MATCH($A431,Työkonekanta!$A$3:$A$24,0),1)*(1+s1_kerroin*($C431-2019))*$B431,0)</f>
        <v>0</v>
      </c>
      <c r="F431" s="145">
        <f t="shared" si="112"/>
        <v>0</v>
      </c>
      <c r="G431" s="145">
        <f t="shared" si="118"/>
        <v>0</v>
      </c>
      <c r="H431" s="145">
        <f t="shared" si="119"/>
        <v>0</v>
      </c>
      <c r="I431" s="145">
        <f t="shared" si="113"/>
        <v>0</v>
      </c>
      <c r="J431" s="145">
        <f t="shared" si="114"/>
        <v>0</v>
      </c>
      <c r="K431" s="142" t="str">
        <f t="shared" si="120"/>
        <v>kWh</v>
      </c>
      <c r="L431" s="146">
        <f>IFERROR(INDEX(Työkonekanta!$I$3:$I$27,MATCH('S1 Sähkö'!$A431,Työkonekanta!$A$3:$A$24,0),1)*(I431+J431)*f_adblue,0)</f>
        <v>0</v>
      </c>
      <c r="M431" s="146">
        <f t="shared" si="125"/>
        <v>0</v>
      </c>
      <c r="N431" s="143" t="str">
        <f>IF(tuulisähkö_vuosi&lt;='S1 Sähkö'!C431,"tuulisähkö",ostosähkö_nyt)</f>
        <v>jäännössähkö</v>
      </c>
      <c r="O431" s="147">
        <f>INDEX(Muuttujat!$J$5:$J$21,MATCH($C431,Muuttujat!$H$5:$H$21,0),1)</f>
        <v>60.158234351438509</v>
      </c>
      <c r="P431" s="342">
        <f>1-(INDEX(Muuttujat!$O$5:$O$21,MATCH($C431,Muuttujat!$N$5:$N$21,0),1))</f>
        <v>0.9</v>
      </c>
      <c r="Q431" s="342">
        <f>INDEX(Muuttujat!$O$5:$O$21,MATCH($C431,Muuttujat!$N$5:$N$21,0),1)</f>
        <v>0.1</v>
      </c>
      <c r="R431" s="148">
        <f>INDEX(Muuttujat!$P$5:$P$21,MATCH($C431,Muuttujat!$N$5:$N$21,0),1)</f>
        <v>0.10417875759940039</v>
      </c>
      <c r="S431" s="149">
        <f t="shared" si="115"/>
        <v>0</v>
      </c>
      <c r="T431" s="150">
        <f t="shared" si="116"/>
        <v>0</v>
      </c>
      <c r="U431" s="150">
        <f t="shared" si="117"/>
        <v>0</v>
      </c>
      <c r="V431" s="150">
        <f>IFERROR(INDEX(Työkonekanta!$J$3:$J$27,MATCH($A431,Työkonekanta!$A$3:$A$24,0),1)*$B431*ef_li_ion_akku/1000/1000/INDEX(Työkonekanta!$K$3:$K$27,MATCH($A431,Työkonekanta!$A$3:$A$24,0)),0)</f>
        <v>0</v>
      </c>
      <c r="W431" s="149">
        <f t="shared" si="126"/>
        <v>0</v>
      </c>
      <c r="X431" s="150">
        <f t="shared" si="127"/>
        <v>0</v>
      </c>
      <c r="Y431" s="151">
        <f t="shared" si="128"/>
        <v>0</v>
      </c>
      <c r="Z431" s="152">
        <f t="shared" si="121"/>
        <v>0</v>
      </c>
      <c r="AA431" s="153">
        <f t="shared" si="122"/>
        <v>0</v>
      </c>
      <c r="AB431" s="153">
        <f t="shared" si="123"/>
        <v>0</v>
      </c>
      <c r="AC431" s="154">
        <f t="shared" si="129"/>
        <v>0</v>
      </c>
      <c r="AD431" s="156">
        <f t="shared" si="124"/>
        <v>0</v>
      </c>
      <c r="AE431" s="182"/>
      <c r="AG431" s="2"/>
    </row>
    <row r="432" spans="1:37">
      <c r="A432" s="139">
        <v>10</v>
      </c>
      <c r="B432" s="139" cm="1">
        <f t="array" ref="B432">IFERROR(IF(A432=s1_id_korvattava1,INDEX($AG$3:$AG$19,MATCH(C432,$AF$3:$AF$19,0),1),IF(A432=s1_id_korvaava1,INDEX($AH$3:$AH$19,MATCH(C432,$AF$3:$AF$19,0),1),IF(A432=s1_id_korvattava2,INDEX($AI$3:$AI$19,MATCH(C432,$AF$3:$AF$19,0),1),IF(A432=s1_id_korvaava2,INDEX($AJ$3:$AJ$19,MATCH(C432,$AF$3:$AF$19,0),1),INDEX(Työkonekanta!$F$3:$F$27,MATCH('S1 Sähkö'!$A432,Työkonekanta!$A$3:$A$24,0),1))))),0)</f>
        <v>0</v>
      </c>
      <c r="C432" s="140">
        <v>2033</v>
      </c>
      <c r="D432" s="141" t="str">
        <f>IFERROR(INDEX(Työkonekanta!$D$3:$D$27,MATCH('S1 Sähkö'!$A432,Työkonekanta!$A$3:$A$24,0),1),"undefined")</f>
        <v>sähkö</v>
      </c>
      <c r="E432" s="145">
        <f>IFERROR(INDEX(Työkonekanta!$G$3:$G$27,MATCH($A432,Työkonekanta!$A$3:$A$24,0),1)*INDEX(Työkonekanta!$H$3:$H$27,MATCH($A432,Työkonekanta!$A$3:$A$24,0),1)*(1+s1_kerroin*($C432-2019))*$B432,0)</f>
        <v>0</v>
      </c>
      <c r="F432" s="145">
        <f t="shared" si="112"/>
        <v>0</v>
      </c>
      <c r="G432" s="145">
        <f t="shared" si="118"/>
        <v>0</v>
      </c>
      <c r="H432" s="145">
        <f t="shared" si="119"/>
        <v>0</v>
      </c>
      <c r="I432" s="145">
        <f t="shared" si="113"/>
        <v>0</v>
      </c>
      <c r="J432" s="145">
        <f t="shared" si="114"/>
        <v>0</v>
      </c>
      <c r="K432" s="142" t="str">
        <f t="shared" si="120"/>
        <v>kWh</v>
      </c>
      <c r="L432" s="146">
        <f>IFERROR(INDEX(Työkonekanta!$I$3:$I$27,MATCH('S1 Sähkö'!$A432,Työkonekanta!$A$3:$A$24,0),1)*(I432+J432)*f_adblue,0)</f>
        <v>0</v>
      </c>
      <c r="M432" s="146">
        <f t="shared" si="125"/>
        <v>0</v>
      </c>
      <c r="N432" s="143" t="str">
        <f>IF(tuulisähkö_vuosi&lt;='S1 Sähkö'!C432,"tuulisähkö",ostosähkö_nyt)</f>
        <v>jäännössähkö</v>
      </c>
      <c r="O432" s="147">
        <f>INDEX(Muuttujat!$J$5:$J$21,MATCH($C432,Muuttujat!$H$5:$H$21,0),1)</f>
        <v>60.158234351438509</v>
      </c>
      <c r="P432" s="342">
        <f>1-(INDEX(Muuttujat!$O$5:$O$21,MATCH($C432,Muuttujat!$N$5:$N$21,0),1))</f>
        <v>0.9</v>
      </c>
      <c r="Q432" s="342">
        <f>INDEX(Muuttujat!$O$5:$O$21,MATCH($C432,Muuttujat!$N$5:$N$21,0),1)</f>
        <v>0.1</v>
      </c>
      <c r="R432" s="148">
        <f>INDEX(Muuttujat!$P$5:$P$21,MATCH($C432,Muuttujat!$N$5:$N$21,0),1)</f>
        <v>0.10417875759940039</v>
      </c>
      <c r="S432" s="149">
        <f t="shared" si="115"/>
        <v>0</v>
      </c>
      <c r="T432" s="150">
        <f t="shared" si="116"/>
        <v>0</v>
      </c>
      <c r="U432" s="150">
        <f t="shared" si="117"/>
        <v>0</v>
      </c>
      <c r="V432" s="150">
        <f>IFERROR(INDEX(Työkonekanta!$J$3:$J$27,MATCH($A432,Työkonekanta!$A$3:$A$24,0),1)*$B432*ef_li_ion_akku/1000/1000/INDEX(Työkonekanta!$K$3:$K$27,MATCH($A432,Työkonekanta!$A$3:$A$24,0)),0)</f>
        <v>0</v>
      </c>
      <c r="W432" s="149">
        <f t="shared" si="126"/>
        <v>0</v>
      </c>
      <c r="X432" s="150">
        <f t="shared" si="127"/>
        <v>0</v>
      </c>
      <c r="Y432" s="151">
        <f t="shared" si="128"/>
        <v>0</v>
      </c>
      <c r="Z432" s="152">
        <f t="shared" si="121"/>
        <v>0</v>
      </c>
      <c r="AA432" s="153">
        <f t="shared" si="122"/>
        <v>0</v>
      </c>
      <c r="AB432" s="153">
        <f t="shared" si="123"/>
        <v>0</v>
      </c>
      <c r="AC432" s="154">
        <f t="shared" si="129"/>
        <v>0</v>
      </c>
      <c r="AD432" s="156">
        <f t="shared" si="124"/>
        <v>0</v>
      </c>
      <c r="AE432" s="182"/>
      <c r="AG432" s="2"/>
    </row>
    <row r="433" spans="1:37">
      <c r="A433" s="139">
        <v>11</v>
      </c>
      <c r="B433" s="139" cm="1">
        <f t="array" ref="B433">IFERROR(IF(A433=s1_id_korvattava1,INDEX($AG$3:$AG$19,MATCH(C433,$AF$3:$AF$19,0),1),IF(A433=s1_id_korvaava1,INDEX($AH$3:$AH$19,MATCH(C433,$AF$3:$AF$19,0),1),IF(A433=s1_id_korvattava2,INDEX($AI$3:$AI$19,MATCH(C433,$AF$3:$AF$19,0),1),IF(A433=s1_id_korvaava2,INDEX($AJ$3:$AJ$19,MATCH(C433,$AF$3:$AF$19,0),1),INDEX(Työkonekanta!$F$3:$F$27,MATCH('S1 Sähkö'!$A433,Työkonekanta!$A$3:$A$24,0),1))))),0)</f>
        <v>1</v>
      </c>
      <c r="C433" s="140">
        <v>2033</v>
      </c>
      <c r="D433" s="141" t="str">
        <f>IFERROR(INDEX(Työkonekanta!$D$3:$D$27,MATCH('S1 Sähkö'!$A433,Työkonekanta!$A$3:$A$24,0),1),"undefined")</f>
        <v>pom</v>
      </c>
      <c r="E433" s="145">
        <f>IFERROR(INDEX(Työkonekanta!$G$3:$G$27,MATCH($A433,Työkonekanta!$A$3:$A$24,0),1)*INDEX(Työkonekanta!$H$3:$H$27,MATCH($A433,Työkonekanta!$A$3:$A$24,0),1)*(1+s1_kerroin*($C433-2019))*$B433,0)</f>
        <v>11400.000000000002</v>
      </c>
      <c r="F433" s="145">
        <f t="shared" si="112"/>
        <v>409260.00000000006</v>
      </c>
      <c r="G433" s="145">
        <f t="shared" si="118"/>
        <v>368334.00000000006</v>
      </c>
      <c r="H433" s="145">
        <f t="shared" si="119"/>
        <v>40926.000000000007</v>
      </c>
      <c r="I433" s="145">
        <f t="shared" si="113"/>
        <v>10260.000000000002</v>
      </c>
      <c r="J433" s="145">
        <f t="shared" si="114"/>
        <v>1193.177842565598</v>
      </c>
      <c r="K433" s="142" t="str">
        <f t="shared" si="120"/>
        <v>l</v>
      </c>
      <c r="L433" s="146">
        <f>IFERROR(INDEX(Työkonekanta!$I$3:$I$27,MATCH('S1 Sähkö'!$A433,Työkonekanta!$A$3:$A$24,0),1)*(I433+J433)*f_adblue,0)</f>
        <v>572.65889212827994</v>
      </c>
      <c r="M433" s="146">
        <f t="shared" si="125"/>
        <v>0</v>
      </c>
      <c r="N433" s="143" t="str">
        <f>IF(tuulisähkö_vuosi&lt;='S1 Sähkö'!C433,"tuulisähkö",ostosähkö_nyt)</f>
        <v>jäännössähkö</v>
      </c>
      <c r="O433" s="147">
        <f>INDEX(Muuttujat!$J$5:$J$21,MATCH($C433,Muuttujat!$H$5:$H$21,0),1)</f>
        <v>60.158234351438509</v>
      </c>
      <c r="P433" s="342">
        <f>1-(INDEX(Muuttujat!$O$5:$O$21,MATCH($C433,Muuttujat!$N$5:$N$21,0),1))</f>
        <v>0.9</v>
      </c>
      <c r="Q433" s="342">
        <f>INDEX(Muuttujat!$O$5:$O$21,MATCH($C433,Muuttujat!$N$5:$N$21,0),1)</f>
        <v>0.1</v>
      </c>
      <c r="R433" s="148">
        <f>INDEX(Muuttujat!$P$5:$P$21,MATCH($C433,Muuttujat!$N$5:$N$21,0),1)</f>
        <v>0.10417875759940039</v>
      </c>
      <c r="S433" s="149">
        <f t="shared" si="115"/>
        <v>6.9615126000000007</v>
      </c>
      <c r="T433" s="150">
        <f t="shared" si="116"/>
        <v>2.5537824000000007</v>
      </c>
      <c r="U433" s="150">
        <f t="shared" si="117"/>
        <v>0</v>
      </c>
      <c r="V433" s="150">
        <f>IFERROR(INDEX(Työkonekanta!$J$3:$J$27,MATCH($A433,Työkonekanta!$A$3:$A$24,0),1)*$B433*ef_li_ion_akku/1000/1000/INDEX(Työkonekanta!$K$3:$K$27,MATCH($A433,Työkonekanta!$A$3:$A$24,0)),0)</f>
        <v>0</v>
      </c>
      <c r="W433" s="149">
        <f t="shared" si="126"/>
        <v>27.186089531436004</v>
      </c>
      <c r="X433" s="150">
        <f t="shared" si="127"/>
        <v>0.36223005240000006</v>
      </c>
      <c r="Y433" s="151">
        <f t="shared" si="128"/>
        <v>0.14889131195335278</v>
      </c>
      <c r="Z433" s="152">
        <f t="shared" si="121"/>
        <v>9.5152950000000018</v>
      </c>
      <c r="AA433" s="153">
        <f t="shared" si="122"/>
        <v>27.334980843389356</v>
      </c>
      <c r="AB433" s="153">
        <f t="shared" si="123"/>
        <v>27.697210895789357</v>
      </c>
      <c r="AC433" s="154">
        <f t="shared" si="129"/>
        <v>36.850275843389355</v>
      </c>
      <c r="AD433" s="156">
        <f t="shared" si="124"/>
        <v>37.212505895789363</v>
      </c>
      <c r="AE433" s="182"/>
      <c r="AG433" s="2"/>
    </row>
    <row r="434" spans="1:37">
      <c r="A434" s="139">
        <v>12</v>
      </c>
      <c r="B434" s="139" cm="1">
        <f t="array" ref="B434">IFERROR(IF(A434=s1_id_korvattava1,INDEX($AG$3:$AG$19,MATCH(C434,$AF$3:$AF$19,0),1),IF(A434=s1_id_korvaava1,INDEX($AH$3:$AH$19,MATCH(C434,$AF$3:$AF$19,0),1),IF(A434=s1_id_korvattava2,INDEX($AI$3:$AI$19,MATCH(C434,$AF$3:$AF$19,0),1),IF(A434=s1_id_korvaava2,INDEX($AJ$3:$AJ$19,MATCH(C434,$AF$3:$AF$19,0),1),INDEX(Työkonekanta!$F$3:$F$27,MATCH('S1 Sähkö'!$A434,Työkonekanta!$A$3:$A$24,0),1))))),0)</f>
        <v>1</v>
      </c>
      <c r="C434" s="140">
        <v>2033</v>
      </c>
      <c r="D434" s="141" t="str">
        <f>IFERROR(INDEX(Työkonekanta!$D$3:$D$27,MATCH('S1 Sähkö'!$A434,Työkonekanta!$A$3:$A$24,0),1),"undefined")</f>
        <v>pom</v>
      </c>
      <c r="E434" s="145">
        <f>IFERROR(INDEX(Työkonekanta!$G$3:$G$27,MATCH($A434,Työkonekanta!$A$3:$A$24,0),1)*INDEX(Työkonekanta!$H$3:$H$27,MATCH($A434,Työkonekanta!$A$3:$A$24,0),1)*(1+s1_kerroin*($C434-2019))*$B434,0)</f>
        <v>11400.000000000002</v>
      </c>
      <c r="F434" s="145">
        <f t="shared" si="112"/>
        <v>409260.00000000006</v>
      </c>
      <c r="G434" s="145">
        <f t="shared" si="118"/>
        <v>368334.00000000006</v>
      </c>
      <c r="H434" s="145">
        <f t="shared" si="119"/>
        <v>40926.000000000007</v>
      </c>
      <c r="I434" s="145">
        <f t="shared" si="113"/>
        <v>10260.000000000002</v>
      </c>
      <c r="J434" s="145">
        <f t="shared" si="114"/>
        <v>1193.177842565598</v>
      </c>
      <c r="K434" s="142" t="str">
        <f t="shared" si="120"/>
        <v>l</v>
      </c>
      <c r="L434" s="146">
        <f>IFERROR(INDEX(Työkonekanta!$I$3:$I$27,MATCH('S1 Sähkö'!$A434,Työkonekanta!$A$3:$A$24,0),1)*(I434+J434)*f_adblue,0)</f>
        <v>572.65889212827994</v>
      </c>
      <c r="M434" s="146">
        <f t="shared" si="125"/>
        <v>0</v>
      </c>
      <c r="N434" s="143" t="str">
        <f>IF(tuulisähkö_vuosi&lt;='S1 Sähkö'!C434,"tuulisähkö",ostosähkö_nyt)</f>
        <v>jäännössähkö</v>
      </c>
      <c r="O434" s="147">
        <f>INDEX(Muuttujat!$J$5:$J$21,MATCH($C434,Muuttujat!$H$5:$H$21,0),1)</f>
        <v>60.158234351438509</v>
      </c>
      <c r="P434" s="342">
        <f>1-(INDEX(Muuttujat!$O$5:$O$21,MATCH($C434,Muuttujat!$N$5:$N$21,0),1))</f>
        <v>0.9</v>
      </c>
      <c r="Q434" s="342">
        <f>INDEX(Muuttujat!$O$5:$O$21,MATCH($C434,Muuttujat!$N$5:$N$21,0),1)</f>
        <v>0.1</v>
      </c>
      <c r="R434" s="148">
        <f>INDEX(Muuttujat!$P$5:$P$21,MATCH($C434,Muuttujat!$N$5:$N$21,0),1)</f>
        <v>0.10417875759940039</v>
      </c>
      <c r="S434" s="149">
        <f t="shared" si="115"/>
        <v>6.9615126000000007</v>
      </c>
      <c r="T434" s="150">
        <f t="shared" si="116"/>
        <v>2.5537824000000007</v>
      </c>
      <c r="U434" s="150">
        <f t="shared" si="117"/>
        <v>0</v>
      </c>
      <c r="V434" s="150">
        <f>IFERROR(INDEX(Työkonekanta!$J$3:$J$27,MATCH($A434,Työkonekanta!$A$3:$A$24,0),1)*$B434*ef_li_ion_akku/1000/1000/INDEX(Työkonekanta!$K$3:$K$27,MATCH($A434,Työkonekanta!$A$3:$A$24,0)),0)</f>
        <v>0</v>
      </c>
      <c r="W434" s="149">
        <f t="shared" si="126"/>
        <v>27.186089531436004</v>
      </c>
      <c r="X434" s="150">
        <f t="shared" si="127"/>
        <v>0.36223005240000006</v>
      </c>
      <c r="Y434" s="151">
        <f t="shared" si="128"/>
        <v>0.14889131195335278</v>
      </c>
      <c r="Z434" s="152">
        <f t="shared" si="121"/>
        <v>9.5152950000000018</v>
      </c>
      <c r="AA434" s="153">
        <f t="shared" si="122"/>
        <v>27.334980843389356</v>
      </c>
      <c r="AB434" s="153">
        <f t="shared" si="123"/>
        <v>27.697210895789357</v>
      </c>
      <c r="AC434" s="154">
        <f t="shared" si="129"/>
        <v>36.850275843389355</v>
      </c>
      <c r="AD434" s="156">
        <f t="shared" si="124"/>
        <v>37.212505895789363</v>
      </c>
      <c r="AE434" s="182"/>
      <c r="AG434" s="2"/>
    </row>
    <row r="435" spans="1:37">
      <c r="A435" s="139">
        <v>13</v>
      </c>
      <c r="B435" s="139" cm="1">
        <f t="array" ref="B435">IFERROR(IF(A435=s1_id_korvattava1,INDEX($AG$3:$AG$19,MATCH(C435,$AF$3:$AF$19,0),1),IF(A435=s1_id_korvaava1,INDEX($AH$3:$AH$19,MATCH(C435,$AF$3:$AF$19,0),1),IF(A435=s1_id_korvattava2,INDEX($AI$3:$AI$19,MATCH(C435,$AF$3:$AF$19,0),1),IF(A435=s1_id_korvaava2,INDEX($AJ$3:$AJ$19,MATCH(C435,$AF$3:$AF$19,0),1),INDEX(Työkonekanta!$F$3:$F$27,MATCH('S1 Sähkö'!$A435,Työkonekanta!$A$3:$A$24,0),1))))),0)</f>
        <v>0</v>
      </c>
      <c r="C435" s="140">
        <v>2033</v>
      </c>
      <c r="D435" s="141" t="str">
        <f>IFERROR(INDEX(Työkonekanta!$D$3:$D$27,MATCH('S1 Sähkö'!$A435,Työkonekanta!$A$3:$A$24,0),1),"undefined")</f>
        <v>pom</v>
      </c>
      <c r="E435" s="145">
        <f>IFERROR(INDEX(Työkonekanta!$G$3:$G$27,MATCH($A435,Työkonekanta!$A$3:$A$24,0),1)*INDEX(Työkonekanta!$H$3:$H$27,MATCH($A435,Työkonekanta!$A$3:$A$24,0),1)*(1+s1_kerroin*($C435-2019))*$B435,0)</f>
        <v>0</v>
      </c>
      <c r="F435" s="145">
        <f t="shared" si="112"/>
        <v>0</v>
      </c>
      <c r="G435" s="145">
        <f t="shared" si="118"/>
        <v>0</v>
      </c>
      <c r="H435" s="145">
        <f t="shared" si="119"/>
        <v>0</v>
      </c>
      <c r="I435" s="145">
        <f t="shared" si="113"/>
        <v>0</v>
      </c>
      <c r="J435" s="145">
        <f t="shared" si="114"/>
        <v>0</v>
      </c>
      <c r="K435" s="142" t="str">
        <f t="shared" si="120"/>
        <v>l</v>
      </c>
      <c r="L435" s="146">
        <f>IFERROR(INDEX(Työkonekanta!$I$3:$I$27,MATCH('S1 Sähkö'!$A435,Työkonekanta!$A$3:$A$24,0),1)*(I435+J435)*f_adblue,0)</f>
        <v>0</v>
      </c>
      <c r="M435" s="146">
        <f t="shared" si="125"/>
        <v>0</v>
      </c>
      <c r="N435" s="143" t="str">
        <f>IF(tuulisähkö_vuosi&lt;='S1 Sähkö'!C435,"tuulisähkö",ostosähkö_nyt)</f>
        <v>jäännössähkö</v>
      </c>
      <c r="O435" s="147">
        <f>INDEX(Muuttujat!$J$5:$J$21,MATCH($C435,Muuttujat!$H$5:$H$21,0),1)</f>
        <v>60.158234351438509</v>
      </c>
      <c r="P435" s="342">
        <f>1-(INDEX(Muuttujat!$O$5:$O$21,MATCH($C435,Muuttujat!$N$5:$N$21,0),1))</f>
        <v>0.9</v>
      </c>
      <c r="Q435" s="342">
        <f>INDEX(Muuttujat!$O$5:$O$21,MATCH($C435,Muuttujat!$N$5:$N$21,0),1)</f>
        <v>0.1</v>
      </c>
      <c r="R435" s="148">
        <f>INDEX(Muuttujat!$P$5:$P$21,MATCH($C435,Muuttujat!$N$5:$N$21,0),1)</f>
        <v>0.10417875759940039</v>
      </c>
      <c r="S435" s="149">
        <f t="shared" si="115"/>
        <v>0</v>
      </c>
      <c r="T435" s="150">
        <f t="shared" si="116"/>
        <v>0</v>
      </c>
      <c r="U435" s="150">
        <f t="shared" si="117"/>
        <v>0</v>
      </c>
      <c r="V435" s="150">
        <f>IFERROR(INDEX(Työkonekanta!$J$3:$J$27,MATCH($A435,Työkonekanta!$A$3:$A$24,0),1)*$B435*ef_li_ion_akku/1000/1000/INDEX(Työkonekanta!$K$3:$K$27,MATCH($A435,Työkonekanta!$A$3:$A$24,0)),0)</f>
        <v>0</v>
      </c>
      <c r="W435" s="149">
        <f t="shared" si="126"/>
        <v>0</v>
      </c>
      <c r="X435" s="150">
        <f t="shared" si="127"/>
        <v>0</v>
      </c>
      <c r="Y435" s="151">
        <f t="shared" si="128"/>
        <v>0</v>
      </c>
      <c r="Z435" s="152">
        <f t="shared" si="121"/>
        <v>0</v>
      </c>
      <c r="AA435" s="153">
        <f t="shared" si="122"/>
        <v>0</v>
      </c>
      <c r="AB435" s="153">
        <f t="shared" si="123"/>
        <v>0</v>
      </c>
      <c r="AC435" s="154">
        <f t="shared" si="129"/>
        <v>0</v>
      </c>
      <c r="AD435" s="156">
        <f t="shared" si="124"/>
        <v>0</v>
      </c>
      <c r="AE435" s="182"/>
      <c r="AG435" s="2"/>
    </row>
    <row r="436" spans="1:37">
      <c r="A436" s="139">
        <v>14</v>
      </c>
      <c r="B436" s="139" cm="1">
        <f t="array" ref="B436">IFERROR(IF(A436=s1_id_korvattava1,INDEX($AG$3:$AG$19,MATCH(C436,$AF$3:$AF$19,0),1),IF(A436=s1_id_korvaava1,INDEX($AH$3:$AH$19,MATCH(C436,$AF$3:$AF$19,0),1),IF(A436=s1_id_korvattava2,INDEX($AI$3:$AI$19,MATCH(C436,$AF$3:$AF$19,0),1),IF(A436=s1_id_korvaava2,INDEX($AJ$3:$AJ$19,MATCH(C436,$AF$3:$AF$19,0),1),INDEX(Työkonekanta!$F$3:$F$27,MATCH('S1 Sähkö'!$A436,Työkonekanta!$A$3:$A$24,0),1))))),0)</f>
        <v>0</v>
      </c>
      <c r="C436" s="140">
        <v>2033</v>
      </c>
      <c r="D436" s="141" t="str">
        <f>IFERROR(INDEX(Työkonekanta!$D$3:$D$27,MATCH('S1 Sähkö'!$A436,Työkonekanta!$A$3:$A$24,0),1),"undefined")</f>
        <v>pom</v>
      </c>
      <c r="E436" s="145">
        <f>IFERROR(INDEX(Työkonekanta!$G$3:$G$27,MATCH($A436,Työkonekanta!$A$3:$A$24,0),1)*INDEX(Työkonekanta!$H$3:$H$27,MATCH($A436,Työkonekanta!$A$3:$A$24,0),1)*(1+s1_kerroin*($C436-2019))*$B436,0)</f>
        <v>0</v>
      </c>
      <c r="F436" s="145">
        <f t="shared" si="112"/>
        <v>0</v>
      </c>
      <c r="G436" s="145">
        <f t="shared" si="118"/>
        <v>0</v>
      </c>
      <c r="H436" s="145">
        <f t="shared" si="119"/>
        <v>0</v>
      </c>
      <c r="I436" s="145">
        <f t="shared" si="113"/>
        <v>0</v>
      </c>
      <c r="J436" s="145">
        <f t="shared" si="114"/>
        <v>0</v>
      </c>
      <c r="K436" s="142" t="str">
        <f t="shared" si="120"/>
        <v>l</v>
      </c>
      <c r="L436" s="146">
        <f>IFERROR(INDEX(Työkonekanta!$I$3:$I$27,MATCH('S1 Sähkö'!$A436,Työkonekanta!$A$3:$A$24,0),1)*(I436+J436)*f_adblue,0)</f>
        <v>0</v>
      </c>
      <c r="M436" s="146">
        <f t="shared" si="125"/>
        <v>0</v>
      </c>
      <c r="N436" s="143" t="str">
        <f>IF(tuulisähkö_vuosi&lt;='S1 Sähkö'!C436,"tuulisähkö",ostosähkö_nyt)</f>
        <v>jäännössähkö</v>
      </c>
      <c r="O436" s="147">
        <f>INDEX(Muuttujat!$J$5:$J$21,MATCH($C436,Muuttujat!$H$5:$H$21,0),1)</f>
        <v>60.158234351438509</v>
      </c>
      <c r="P436" s="342">
        <f>1-(INDEX(Muuttujat!$O$5:$O$21,MATCH($C436,Muuttujat!$N$5:$N$21,0),1))</f>
        <v>0.9</v>
      </c>
      <c r="Q436" s="342">
        <f>INDEX(Muuttujat!$O$5:$O$21,MATCH($C436,Muuttujat!$N$5:$N$21,0),1)</f>
        <v>0.1</v>
      </c>
      <c r="R436" s="148">
        <f>INDEX(Muuttujat!$P$5:$P$21,MATCH($C436,Muuttujat!$N$5:$N$21,0),1)</f>
        <v>0.10417875759940039</v>
      </c>
      <c r="S436" s="149">
        <f t="shared" si="115"/>
        <v>0</v>
      </c>
      <c r="T436" s="150">
        <f t="shared" si="116"/>
        <v>0</v>
      </c>
      <c r="U436" s="150">
        <f t="shared" si="117"/>
        <v>0</v>
      </c>
      <c r="V436" s="150">
        <f>IFERROR(INDEX(Työkonekanta!$J$3:$J$27,MATCH($A436,Työkonekanta!$A$3:$A$24,0),1)*$B436*ef_li_ion_akku/1000/1000/INDEX(Työkonekanta!$K$3:$K$27,MATCH($A436,Työkonekanta!$A$3:$A$24,0)),0)</f>
        <v>0</v>
      </c>
      <c r="W436" s="149">
        <f t="shared" si="126"/>
        <v>0</v>
      </c>
      <c r="X436" s="150">
        <f t="shared" si="127"/>
        <v>0</v>
      </c>
      <c r="Y436" s="151">
        <f t="shared" si="128"/>
        <v>0</v>
      </c>
      <c r="Z436" s="152">
        <f t="shared" si="121"/>
        <v>0</v>
      </c>
      <c r="AA436" s="153">
        <f t="shared" si="122"/>
        <v>0</v>
      </c>
      <c r="AB436" s="153">
        <f t="shared" si="123"/>
        <v>0</v>
      </c>
      <c r="AC436" s="154">
        <f t="shared" si="129"/>
        <v>0</v>
      </c>
      <c r="AD436" s="156">
        <f t="shared" si="124"/>
        <v>0</v>
      </c>
      <c r="AE436" s="182"/>
      <c r="AG436" s="2"/>
    </row>
    <row r="437" spans="1:37">
      <c r="A437" s="139">
        <v>15</v>
      </c>
      <c r="B437" s="139" cm="1">
        <f t="array" ref="B437">IFERROR(IF(A437=s1_id_korvattava1,INDEX($AG$3:$AG$19,MATCH(C437,$AF$3:$AF$19,0),1),IF(A437=s1_id_korvaava1,INDEX($AH$3:$AH$19,MATCH(C437,$AF$3:$AF$19,0),1),IF(A437=s1_id_korvattava2,INDEX($AI$3:$AI$19,MATCH(C437,$AF$3:$AF$19,0),1),IF(A437=s1_id_korvaava2,INDEX($AJ$3:$AJ$19,MATCH(C437,$AF$3:$AF$19,0),1),INDEX(Työkonekanta!$F$3:$F$27,MATCH('S1 Sähkö'!$A437,Työkonekanta!$A$3:$A$24,0),1))))),0)</f>
        <v>0</v>
      </c>
      <c r="C437" s="140">
        <v>2033</v>
      </c>
      <c r="D437" s="141" t="str">
        <f>IFERROR(INDEX(Työkonekanta!$D$3:$D$27,MATCH('S1 Sähkö'!$A437,Työkonekanta!$A$3:$A$24,0),1),"undefined")</f>
        <v>sähkö</v>
      </c>
      <c r="E437" s="145">
        <f>IFERROR(INDEX(Työkonekanta!$G$3:$G$27,MATCH($A437,Työkonekanta!$A$3:$A$24,0),1)*INDEX(Työkonekanta!$H$3:$H$27,MATCH($A437,Työkonekanta!$A$3:$A$24,0),1)*(1+s1_kerroin*($C437-2019))*$B437,0)</f>
        <v>0</v>
      </c>
      <c r="F437" s="145">
        <f t="shared" si="112"/>
        <v>0</v>
      </c>
      <c r="G437" s="145">
        <f t="shared" si="118"/>
        <v>0</v>
      </c>
      <c r="H437" s="145">
        <f t="shared" si="119"/>
        <v>0</v>
      </c>
      <c r="I437" s="145">
        <f t="shared" si="113"/>
        <v>0</v>
      </c>
      <c r="J437" s="145">
        <f t="shared" si="114"/>
        <v>0</v>
      </c>
      <c r="K437" s="142" t="str">
        <f t="shared" si="120"/>
        <v>kWh</v>
      </c>
      <c r="L437" s="146">
        <f>IFERROR(INDEX(Työkonekanta!$I$3:$I$27,MATCH('S1 Sähkö'!$A437,Työkonekanta!$A$3:$A$24,0),1)*(I437+J437)*f_adblue,0)</f>
        <v>0</v>
      </c>
      <c r="M437" s="146">
        <f t="shared" si="125"/>
        <v>0</v>
      </c>
      <c r="N437" s="143" t="str">
        <f>IF(tuulisähkö_vuosi&lt;='S1 Sähkö'!C437,"tuulisähkö",ostosähkö_nyt)</f>
        <v>jäännössähkö</v>
      </c>
      <c r="O437" s="147">
        <f>INDEX(Muuttujat!$J$5:$J$21,MATCH($C437,Muuttujat!$H$5:$H$21,0),1)</f>
        <v>60.158234351438509</v>
      </c>
      <c r="P437" s="342">
        <f>1-(INDEX(Muuttujat!$O$5:$O$21,MATCH($C437,Muuttujat!$N$5:$N$21,0),1))</f>
        <v>0.9</v>
      </c>
      <c r="Q437" s="342">
        <f>INDEX(Muuttujat!$O$5:$O$21,MATCH($C437,Muuttujat!$N$5:$N$21,0),1)</f>
        <v>0.1</v>
      </c>
      <c r="R437" s="148">
        <f>INDEX(Muuttujat!$P$5:$P$21,MATCH($C437,Muuttujat!$N$5:$N$21,0),1)</f>
        <v>0.10417875759940039</v>
      </c>
      <c r="S437" s="149">
        <f t="shared" si="115"/>
        <v>0</v>
      </c>
      <c r="T437" s="150">
        <f t="shared" si="116"/>
        <v>0</v>
      </c>
      <c r="U437" s="150">
        <f t="shared" si="117"/>
        <v>0</v>
      </c>
      <c r="V437" s="150">
        <f>IFERROR(INDEX(Työkonekanta!$J$3:$J$27,MATCH($A437,Työkonekanta!$A$3:$A$24,0),1)*$B437*ef_li_ion_akku/1000/1000/INDEX(Työkonekanta!$K$3:$K$27,MATCH($A437,Työkonekanta!$A$3:$A$24,0)),0)</f>
        <v>0</v>
      </c>
      <c r="W437" s="149">
        <f t="shared" si="126"/>
        <v>0</v>
      </c>
      <c r="X437" s="150">
        <f t="shared" si="127"/>
        <v>0</v>
      </c>
      <c r="Y437" s="151">
        <f t="shared" si="128"/>
        <v>0</v>
      </c>
      <c r="Z437" s="152">
        <f t="shared" si="121"/>
        <v>0</v>
      </c>
      <c r="AA437" s="153">
        <f t="shared" si="122"/>
        <v>0</v>
      </c>
      <c r="AB437" s="153">
        <f t="shared" si="123"/>
        <v>0</v>
      </c>
      <c r="AC437" s="154">
        <f t="shared" si="129"/>
        <v>0</v>
      </c>
      <c r="AD437" s="156">
        <f t="shared" si="124"/>
        <v>0</v>
      </c>
      <c r="AE437" s="182"/>
      <c r="AG437" s="2"/>
    </row>
    <row r="438" spans="1:37">
      <c r="A438" s="139">
        <v>16</v>
      </c>
      <c r="B438" s="139" cm="1">
        <f t="array" ref="B438">IFERROR(IF(A438=s1_id_korvattava1,INDEX($AG$3:$AG$19,MATCH(C438,$AF$3:$AF$19,0),1),IF(A438=s1_id_korvaava1,INDEX($AH$3:$AH$19,MATCH(C438,$AF$3:$AF$19,0),1),IF(A438=s1_id_korvattava2,INDEX($AI$3:$AI$19,MATCH(C438,$AF$3:$AF$19,0),1),IF(A438=s1_id_korvaava2,INDEX($AJ$3:$AJ$19,MATCH(C438,$AF$3:$AF$19,0),1),INDEX(Työkonekanta!$F$3:$F$27,MATCH('S1 Sähkö'!$A438,Työkonekanta!$A$3:$A$24,0),1))))),0)</f>
        <v>0</v>
      </c>
      <c r="C438" s="140">
        <v>2033</v>
      </c>
      <c r="D438" s="141" t="str">
        <f>IFERROR(INDEX(Työkonekanta!$D$3:$D$27,MATCH('S1 Sähkö'!$A438,Työkonekanta!$A$3:$A$24,0),1),"undefined")</f>
        <v>sähkö</v>
      </c>
      <c r="E438" s="145">
        <f>IFERROR(INDEX(Työkonekanta!$G$3:$G$27,MATCH($A438,Työkonekanta!$A$3:$A$24,0),1)*INDEX(Työkonekanta!$H$3:$H$27,MATCH($A438,Työkonekanta!$A$3:$A$24,0),1)*(1+s1_kerroin*($C438-2019))*$B438,0)</f>
        <v>0</v>
      </c>
      <c r="F438" s="145">
        <f t="shared" si="112"/>
        <v>0</v>
      </c>
      <c r="G438" s="145">
        <f t="shared" si="118"/>
        <v>0</v>
      </c>
      <c r="H438" s="145">
        <f t="shared" si="119"/>
        <v>0</v>
      </c>
      <c r="I438" s="145">
        <f t="shared" si="113"/>
        <v>0</v>
      </c>
      <c r="J438" s="145">
        <f t="shared" si="114"/>
        <v>0</v>
      </c>
      <c r="K438" s="142" t="str">
        <f t="shared" si="120"/>
        <v>kWh</v>
      </c>
      <c r="L438" s="146">
        <f>IFERROR(INDEX(Työkonekanta!$I$3:$I$27,MATCH('S1 Sähkö'!$A438,Työkonekanta!$A$3:$A$24,0),1)*(I438+J438)*f_adblue,0)</f>
        <v>0</v>
      </c>
      <c r="M438" s="146">
        <f t="shared" si="125"/>
        <v>0</v>
      </c>
      <c r="N438" s="143" t="str">
        <f>IF(tuulisähkö_vuosi&lt;='S1 Sähkö'!C438,"tuulisähkö",ostosähkö_nyt)</f>
        <v>jäännössähkö</v>
      </c>
      <c r="O438" s="147">
        <f>INDEX(Muuttujat!$J$5:$J$21,MATCH($C438,Muuttujat!$H$5:$H$21,0),1)</f>
        <v>60.158234351438509</v>
      </c>
      <c r="P438" s="342">
        <f>1-(INDEX(Muuttujat!$O$5:$O$21,MATCH($C438,Muuttujat!$N$5:$N$21,0),1))</f>
        <v>0.9</v>
      </c>
      <c r="Q438" s="342">
        <f>INDEX(Muuttujat!$O$5:$O$21,MATCH($C438,Muuttujat!$N$5:$N$21,0),1)</f>
        <v>0.1</v>
      </c>
      <c r="R438" s="148">
        <f>INDEX(Muuttujat!$P$5:$P$21,MATCH($C438,Muuttujat!$N$5:$N$21,0),1)</f>
        <v>0.10417875759940039</v>
      </c>
      <c r="S438" s="149">
        <f t="shared" si="115"/>
        <v>0</v>
      </c>
      <c r="T438" s="150">
        <f t="shared" si="116"/>
        <v>0</v>
      </c>
      <c r="U438" s="150">
        <f t="shared" si="117"/>
        <v>0</v>
      </c>
      <c r="V438" s="150">
        <f>IFERROR(INDEX(Työkonekanta!$J$3:$J$27,MATCH($A438,Työkonekanta!$A$3:$A$24,0),1)*$B438*ef_li_ion_akku/1000/1000/INDEX(Työkonekanta!$K$3:$K$27,MATCH($A438,Työkonekanta!$A$3:$A$24,0)),0)</f>
        <v>0</v>
      </c>
      <c r="W438" s="149">
        <f t="shared" si="126"/>
        <v>0</v>
      </c>
      <c r="X438" s="150">
        <f t="shared" si="127"/>
        <v>0</v>
      </c>
      <c r="Y438" s="151">
        <f t="shared" si="128"/>
        <v>0</v>
      </c>
      <c r="Z438" s="152">
        <f t="shared" si="121"/>
        <v>0</v>
      </c>
      <c r="AA438" s="153">
        <f t="shared" si="122"/>
        <v>0</v>
      </c>
      <c r="AB438" s="153">
        <f t="shared" si="123"/>
        <v>0</v>
      </c>
      <c r="AC438" s="154">
        <f t="shared" si="129"/>
        <v>0</v>
      </c>
      <c r="AD438" s="156">
        <f t="shared" si="124"/>
        <v>0</v>
      </c>
      <c r="AE438" s="182"/>
      <c r="AG438" s="2"/>
    </row>
    <row r="439" spans="1:37">
      <c r="A439" s="139">
        <v>17</v>
      </c>
      <c r="B439" s="139" cm="1">
        <f t="array" ref="B439">IFERROR(IF(A439=s1_id_korvattava1,INDEX($AG$3:$AG$19,MATCH(C439,$AF$3:$AF$19,0),1),IF(A439=s1_id_korvaava1,INDEX($AH$3:$AH$19,MATCH(C439,$AF$3:$AF$19,0),1),IF(A439=s1_id_korvattava2,INDEX($AI$3:$AI$19,MATCH(C439,$AF$3:$AF$19,0),1),IF(A439=s1_id_korvaava2,INDEX($AJ$3:$AJ$19,MATCH(C439,$AF$3:$AF$19,0),1),INDEX(Työkonekanta!$F$3:$F$27,MATCH('S1 Sähkö'!$A439,Työkonekanta!$A$3:$A$24,0),1))))),0)</f>
        <v>0</v>
      </c>
      <c r="C439" s="140">
        <v>2033</v>
      </c>
      <c r="D439" s="141" t="str">
        <f>IFERROR(INDEX(Työkonekanta!$D$3:$D$27,MATCH('S1 Sähkö'!$A439,Työkonekanta!$A$3:$A$24,0),1),"undefined")</f>
        <v>pom</v>
      </c>
      <c r="E439" s="145">
        <f>IFERROR(INDEX(Työkonekanta!$G$3:$G$27,MATCH($A439,Työkonekanta!$A$3:$A$24,0),1)*INDEX(Työkonekanta!$H$3:$H$27,MATCH($A439,Työkonekanta!$A$3:$A$24,0),1)*(1+s1_kerroin*($C439-2019))*$B439,0)</f>
        <v>0</v>
      </c>
      <c r="F439" s="145">
        <f t="shared" si="112"/>
        <v>0</v>
      </c>
      <c r="G439" s="145">
        <f t="shared" si="118"/>
        <v>0</v>
      </c>
      <c r="H439" s="145">
        <f t="shared" si="119"/>
        <v>0</v>
      </c>
      <c r="I439" s="145">
        <f t="shared" si="113"/>
        <v>0</v>
      </c>
      <c r="J439" s="145">
        <f t="shared" si="114"/>
        <v>0</v>
      </c>
      <c r="K439" s="142" t="str">
        <f t="shared" si="120"/>
        <v>l</v>
      </c>
      <c r="L439" s="146">
        <f>IFERROR(INDEX(Työkonekanta!$I$3:$I$27,MATCH('S1 Sähkö'!$A439,Työkonekanta!$A$3:$A$24,0),1)*(I439+J439)*f_adblue,0)</f>
        <v>0</v>
      </c>
      <c r="M439" s="146">
        <f t="shared" si="125"/>
        <v>0</v>
      </c>
      <c r="N439" s="143" t="str">
        <f>IF(tuulisähkö_vuosi&lt;='S1 Sähkö'!C439,"tuulisähkö",ostosähkö_nyt)</f>
        <v>jäännössähkö</v>
      </c>
      <c r="O439" s="147">
        <f>INDEX(Muuttujat!$J$5:$J$21,MATCH($C439,Muuttujat!$H$5:$H$21,0),1)</f>
        <v>60.158234351438509</v>
      </c>
      <c r="P439" s="342">
        <f>1-(INDEX(Muuttujat!$O$5:$O$21,MATCH($C439,Muuttujat!$N$5:$N$21,0),1))</f>
        <v>0.9</v>
      </c>
      <c r="Q439" s="342">
        <f>INDEX(Muuttujat!$O$5:$O$21,MATCH($C439,Muuttujat!$N$5:$N$21,0),1)</f>
        <v>0.1</v>
      </c>
      <c r="R439" s="148">
        <f>INDEX(Muuttujat!$P$5:$P$21,MATCH($C439,Muuttujat!$N$5:$N$21,0),1)</f>
        <v>0.10417875759940039</v>
      </c>
      <c r="S439" s="149">
        <f t="shared" si="115"/>
        <v>0</v>
      </c>
      <c r="T439" s="150">
        <f t="shared" si="116"/>
        <v>0</v>
      </c>
      <c r="U439" s="150">
        <f t="shared" si="117"/>
        <v>0</v>
      </c>
      <c r="V439" s="150">
        <f>IFERROR(INDEX(Työkonekanta!$J$3:$J$27,MATCH($A439,Työkonekanta!$A$3:$A$24,0),1)*$B439*ef_li_ion_akku/1000/1000/INDEX(Työkonekanta!$K$3:$K$27,MATCH($A439,Työkonekanta!$A$3:$A$24,0)),0)</f>
        <v>0</v>
      </c>
      <c r="W439" s="149">
        <f t="shared" si="126"/>
        <v>0</v>
      </c>
      <c r="X439" s="150">
        <f t="shared" si="127"/>
        <v>0</v>
      </c>
      <c r="Y439" s="151">
        <f t="shared" si="128"/>
        <v>0</v>
      </c>
      <c r="Z439" s="152">
        <f t="shared" si="121"/>
        <v>0</v>
      </c>
      <c r="AA439" s="153">
        <f t="shared" si="122"/>
        <v>0</v>
      </c>
      <c r="AB439" s="153">
        <f t="shared" si="123"/>
        <v>0</v>
      </c>
      <c r="AC439" s="154">
        <f t="shared" si="129"/>
        <v>0</v>
      </c>
      <c r="AD439" s="156">
        <f t="shared" si="124"/>
        <v>0</v>
      </c>
      <c r="AE439" s="182"/>
      <c r="AG439" s="2"/>
    </row>
    <row r="440" spans="1:37">
      <c r="A440" s="139">
        <v>18</v>
      </c>
      <c r="B440" s="139" cm="1">
        <f t="array" ref="B440">IFERROR(IF(A440=s1_id_korvattava1,INDEX($AG$3:$AG$19,MATCH(C440,$AF$3:$AF$19,0),1),IF(A440=s1_id_korvaava1,INDEX($AH$3:$AH$19,MATCH(C440,$AF$3:$AF$19,0),1),IF(A440=s1_id_korvattava2,INDEX($AI$3:$AI$19,MATCH(C440,$AF$3:$AF$19,0),1),IF(A440=s1_id_korvaava2,INDEX($AJ$3:$AJ$19,MATCH(C440,$AF$3:$AF$19,0),1),INDEX(Työkonekanta!$F$3:$F$27,MATCH('S1 Sähkö'!$A440,Työkonekanta!$A$3:$A$24,0),1))))),0)</f>
        <v>0</v>
      </c>
      <c r="C440" s="140">
        <v>2033</v>
      </c>
      <c r="D440" s="141" t="str">
        <f>IFERROR(INDEX(Työkonekanta!$D$3:$D$27,MATCH('S1 Sähkö'!$A440,Työkonekanta!$A$3:$A$24,0),1),"undefined")</f>
        <v>pom</v>
      </c>
      <c r="E440" s="145">
        <f>IFERROR(INDEX(Työkonekanta!$G$3:$G$27,MATCH($A440,Työkonekanta!$A$3:$A$24,0),1)*INDEX(Työkonekanta!$H$3:$H$27,MATCH($A440,Työkonekanta!$A$3:$A$24,0),1)*(1+s1_kerroin*($C440-2019))*$B440,0)</f>
        <v>0</v>
      </c>
      <c r="F440" s="145">
        <f t="shared" si="112"/>
        <v>0</v>
      </c>
      <c r="G440" s="145">
        <f t="shared" si="118"/>
        <v>0</v>
      </c>
      <c r="H440" s="145">
        <f t="shared" si="119"/>
        <v>0</v>
      </c>
      <c r="I440" s="145">
        <f t="shared" si="113"/>
        <v>0</v>
      </c>
      <c r="J440" s="145">
        <f t="shared" si="114"/>
        <v>0</v>
      </c>
      <c r="K440" s="142" t="str">
        <f t="shared" si="120"/>
        <v>l</v>
      </c>
      <c r="L440" s="146">
        <f>IFERROR(INDEX(Työkonekanta!$I$3:$I$27,MATCH('S1 Sähkö'!$A440,Työkonekanta!$A$3:$A$24,0),1)*(I440+J440)*f_adblue,0)</f>
        <v>0</v>
      </c>
      <c r="M440" s="146">
        <f t="shared" si="125"/>
        <v>0</v>
      </c>
      <c r="N440" s="143" t="str">
        <f>IF(tuulisähkö_vuosi&lt;='S1 Sähkö'!C440,"tuulisähkö",ostosähkö_nyt)</f>
        <v>jäännössähkö</v>
      </c>
      <c r="O440" s="147">
        <f>INDEX(Muuttujat!$J$5:$J$21,MATCH($C440,Muuttujat!$H$5:$H$21,0),1)</f>
        <v>60.158234351438509</v>
      </c>
      <c r="P440" s="342">
        <f>1-(INDEX(Muuttujat!$O$5:$O$21,MATCH($C440,Muuttujat!$N$5:$N$21,0),1))</f>
        <v>0.9</v>
      </c>
      <c r="Q440" s="342">
        <f>INDEX(Muuttujat!$O$5:$O$21,MATCH($C440,Muuttujat!$N$5:$N$21,0),1)</f>
        <v>0.1</v>
      </c>
      <c r="R440" s="148">
        <f>INDEX(Muuttujat!$P$5:$P$21,MATCH($C440,Muuttujat!$N$5:$N$21,0),1)</f>
        <v>0.10417875759940039</v>
      </c>
      <c r="S440" s="149">
        <f t="shared" si="115"/>
        <v>0</v>
      </c>
      <c r="T440" s="150">
        <f t="shared" si="116"/>
        <v>0</v>
      </c>
      <c r="U440" s="150">
        <f t="shared" si="117"/>
        <v>0</v>
      </c>
      <c r="V440" s="150">
        <f>IFERROR(INDEX(Työkonekanta!$J$3:$J$27,MATCH($A440,Työkonekanta!$A$3:$A$24,0),1)*$B440*ef_li_ion_akku/1000/1000/INDEX(Työkonekanta!$K$3:$K$27,MATCH($A440,Työkonekanta!$A$3:$A$24,0)),0)</f>
        <v>0</v>
      </c>
      <c r="W440" s="149">
        <f t="shared" si="126"/>
        <v>0</v>
      </c>
      <c r="X440" s="150">
        <f t="shared" si="127"/>
        <v>0</v>
      </c>
      <c r="Y440" s="151">
        <f t="shared" si="128"/>
        <v>0</v>
      </c>
      <c r="Z440" s="152">
        <f t="shared" si="121"/>
        <v>0</v>
      </c>
      <c r="AA440" s="153">
        <f t="shared" si="122"/>
        <v>0</v>
      </c>
      <c r="AB440" s="153">
        <f t="shared" si="123"/>
        <v>0</v>
      </c>
      <c r="AC440" s="154">
        <f t="shared" si="129"/>
        <v>0</v>
      </c>
      <c r="AD440" s="156">
        <f t="shared" si="124"/>
        <v>0</v>
      </c>
      <c r="AE440" s="182"/>
      <c r="AG440" s="2"/>
    </row>
    <row r="441" spans="1:37">
      <c r="A441" s="139">
        <v>19</v>
      </c>
      <c r="B441" s="139" cm="1">
        <f t="array" ref="B441">IFERROR(IF(A441=s1_id_korvattava1,INDEX($AG$3:$AG$19,MATCH(C441,$AF$3:$AF$19,0),1),IF(A441=s1_id_korvaava1,INDEX($AH$3:$AH$19,MATCH(C441,$AF$3:$AF$19,0),1),IF(A441=s1_id_korvattava2,INDEX($AI$3:$AI$19,MATCH(C441,$AF$3:$AF$19,0),1),IF(A441=s1_id_korvaava2,INDEX($AJ$3:$AJ$19,MATCH(C441,$AF$3:$AF$19,0),1),INDEX(Työkonekanta!$F$3:$F$27,MATCH('S1 Sähkö'!$A441,Työkonekanta!$A$3:$A$24,0),1))))),0)</f>
        <v>0</v>
      </c>
      <c r="C441" s="140">
        <v>2033</v>
      </c>
      <c r="D441" s="141" t="str">
        <f>IFERROR(INDEX(Työkonekanta!$D$3:$D$27,MATCH('S1 Sähkö'!$A441,Työkonekanta!$A$3:$A$24,0),1),"undefined")</f>
        <v>pom</v>
      </c>
      <c r="E441" s="145">
        <f>IFERROR(INDEX(Työkonekanta!$G$3:$G$27,MATCH($A441,Työkonekanta!$A$3:$A$24,0),1)*INDEX(Työkonekanta!$H$3:$H$27,MATCH($A441,Työkonekanta!$A$3:$A$24,0),1)*(1+s1_kerroin*($C441-2019))*$B441,0)</f>
        <v>0</v>
      </c>
      <c r="F441" s="145">
        <f t="shared" si="112"/>
        <v>0</v>
      </c>
      <c r="G441" s="145">
        <f t="shared" si="118"/>
        <v>0</v>
      </c>
      <c r="H441" s="145">
        <f t="shared" si="119"/>
        <v>0</v>
      </c>
      <c r="I441" s="145">
        <f t="shared" si="113"/>
        <v>0</v>
      </c>
      <c r="J441" s="145">
        <f t="shared" si="114"/>
        <v>0</v>
      </c>
      <c r="K441" s="142" t="str">
        <f t="shared" si="120"/>
        <v>l</v>
      </c>
      <c r="L441" s="146">
        <f>IFERROR(INDEX(Työkonekanta!$I$3:$I$27,MATCH('S1 Sähkö'!$A441,Työkonekanta!$A$3:$A$24,0),1)*(I441+J441)*f_adblue,0)</f>
        <v>0</v>
      </c>
      <c r="M441" s="146">
        <f t="shared" si="125"/>
        <v>0</v>
      </c>
      <c r="N441" s="143" t="str">
        <f>IF(tuulisähkö_vuosi&lt;='S1 Sähkö'!C441,"tuulisähkö",ostosähkö_nyt)</f>
        <v>jäännössähkö</v>
      </c>
      <c r="O441" s="147">
        <f>INDEX(Muuttujat!$J$5:$J$21,MATCH($C441,Muuttujat!$H$5:$H$21,0),1)</f>
        <v>60.158234351438509</v>
      </c>
      <c r="P441" s="342">
        <f>1-(INDEX(Muuttujat!$O$5:$O$21,MATCH($C441,Muuttujat!$N$5:$N$21,0),1))</f>
        <v>0.9</v>
      </c>
      <c r="Q441" s="342">
        <f>INDEX(Muuttujat!$O$5:$O$21,MATCH($C441,Muuttujat!$N$5:$N$21,0),1)</f>
        <v>0.1</v>
      </c>
      <c r="R441" s="148">
        <f>INDEX(Muuttujat!$P$5:$P$21,MATCH($C441,Muuttujat!$N$5:$N$21,0),1)</f>
        <v>0.10417875759940039</v>
      </c>
      <c r="S441" s="149">
        <f t="shared" si="115"/>
        <v>0</v>
      </c>
      <c r="T441" s="150">
        <f t="shared" si="116"/>
        <v>0</v>
      </c>
      <c r="U441" s="150">
        <f t="shared" si="117"/>
        <v>0</v>
      </c>
      <c r="V441" s="150">
        <f>IFERROR(INDEX(Työkonekanta!$J$3:$J$27,MATCH($A441,Työkonekanta!$A$3:$A$24,0),1)*$B441*ef_li_ion_akku/1000/1000/INDEX(Työkonekanta!$K$3:$K$27,MATCH($A441,Työkonekanta!$A$3:$A$24,0)),0)</f>
        <v>0</v>
      </c>
      <c r="W441" s="149">
        <f t="shared" si="126"/>
        <v>0</v>
      </c>
      <c r="X441" s="150">
        <f t="shared" si="127"/>
        <v>0</v>
      </c>
      <c r="Y441" s="151">
        <f t="shared" si="128"/>
        <v>0</v>
      </c>
      <c r="Z441" s="152">
        <f t="shared" si="121"/>
        <v>0</v>
      </c>
      <c r="AA441" s="153">
        <f t="shared" si="122"/>
        <v>0</v>
      </c>
      <c r="AB441" s="153">
        <f t="shared" si="123"/>
        <v>0</v>
      </c>
      <c r="AC441" s="154">
        <f t="shared" si="129"/>
        <v>0</v>
      </c>
      <c r="AD441" s="156">
        <f t="shared" si="124"/>
        <v>0</v>
      </c>
      <c r="AE441" s="182"/>
      <c r="AG441" s="2"/>
    </row>
    <row r="442" spans="1:37">
      <c r="A442" s="139">
        <v>20</v>
      </c>
      <c r="B442" s="139" cm="1">
        <f t="array" ref="B442">IFERROR(IF(A442=s1_id_korvattava1,INDEX($AG$3:$AG$19,MATCH(C442,$AF$3:$AF$19,0),1),IF(A442=s1_id_korvaava1,INDEX($AH$3:$AH$19,MATCH(C442,$AF$3:$AF$19,0),1),IF(A442=s1_id_korvattava2,INDEX($AI$3:$AI$19,MATCH(C442,$AF$3:$AF$19,0),1),IF(A442=s1_id_korvaava2,INDEX($AJ$3:$AJ$19,MATCH(C442,$AF$3:$AF$19,0),1),INDEX(Työkonekanta!$F$3:$F$27,MATCH('S1 Sähkö'!$A442,Työkonekanta!$A$3:$A$24,0),1))))),0)</f>
        <v>0</v>
      </c>
      <c r="C442" s="140">
        <v>2033</v>
      </c>
      <c r="D442" s="141" t="str">
        <f>IFERROR(INDEX(Työkonekanta!$D$3:$D$27,MATCH('S1 Sähkö'!$A442,Työkonekanta!$A$3:$A$24,0),1),"undefined")</f>
        <v>pom</v>
      </c>
      <c r="E442" s="145">
        <f>IFERROR(INDEX(Työkonekanta!$G$3:$G$27,MATCH($A442,Työkonekanta!$A$3:$A$24,0),1)*INDEX(Työkonekanta!$H$3:$H$27,MATCH($A442,Työkonekanta!$A$3:$A$24,0),1)*(1+s1_kerroin*($C442-2019))*$B442,0)</f>
        <v>0</v>
      </c>
      <c r="F442" s="145">
        <f t="shared" si="112"/>
        <v>0</v>
      </c>
      <c r="G442" s="145">
        <f t="shared" si="118"/>
        <v>0</v>
      </c>
      <c r="H442" s="145">
        <f t="shared" si="119"/>
        <v>0</v>
      </c>
      <c r="I442" s="145">
        <f t="shared" si="113"/>
        <v>0</v>
      </c>
      <c r="J442" s="145">
        <f t="shared" si="114"/>
        <v>0</v>
      </c>
      <c r="K442" s="142" t="str">
        <f t="shared" si="120"/>
        <v>l</v>
      </c>
      <c r="L442" s="146">
        <f>IFERROR(INDEX(Työkonekanta!$I$3:$I$27,MATCH('S1 Sähkö'!$A442,Työkonekanta!$A$3:$A$24,0),1)*(I442+J442)*f_adblue,0)</f>
        <v>0</v>
      </c>
      <c r="M442" s="146">
        <f t="shared" si="125"/>
        <v>0</v>
      </c>
      <c r="N442" s="143" t="str">
        <f>IF(tuulisähkö_vuosi&lt;='S1 Sähkö'!C442,"tuulisähkö",ostosähkö_nyt)</f>
        <v>jäännössähkö</v>
      </c>
      <c r="O442" s="147">
        <f>INDEX(Muuttujat!$J$5:$J$21,MATCH($C442,Muuttujat!$H$5:$H$21,0),1)</f>
        <v>60.158234351438509</v>
      </c>
      <c r="P442" s="342">
        <f>1-(INDEX(Muuttujat!$O$5:$O$21,MATCH($C442,Muuttujat!$N$5:$N$21,0),1))</f>
        <v>0.9</v>
      </c>
      <c r="Q442" s="342">
        <f>INDEX(Muuttujat!$O$5:$O$21,MATCH($C442,Muuttujat!$N$5:$N$21,0),1)</f>
        <v>0.1</v>
      </c>
      <c r="R442" s="148">
        <f>INDEX(Muuttujat!$P$5:$P$21,MATCH($C442,Muuttujat!$N$5:$N$21,0),1)</f>
        <v>0.10417875759940039</v>
      </c>
      <c r="S442" s="149">
        <f t="shared" si="115"/>
        <v>0</v>
      </c>
      <c r="T442" s="150">
        <f t="shared" si="116"/>
        <v>0</v>
      </c>
      <c r="U442" s="150">
        <f t="shared" si="117"/>
        <v>0</v>
      </c>
      <c r="V442" s="150">
        <f>IFERROR(INDEX(Työkonekanta!$J$3:$J$27,MATCH($A442,Työkonekanta!$A$3:$A$24,0),1)*$B442*ef_li_ion_akku/1000/1000/INDEX(Työkonekanta!$K$3:$K$27,MATCH($A442,Työkonekanta!$A$3:$A$24,0)),0)</f>
        <v>0</v>
      </c>
      <c r="W442" s="149">
        <f t="shared" si="126"/>
        <v>0</v>
      </c>
      <c r="X442" s="150">
        <f t="shared" si="127"/>
        <v>0</v>
      </c>
      <c r="Y442" s="151">
        <f t="shared" si="128"/>
        <v>0</v>
      </c>
      <c r="Z442" s="152">
        <f t="shared" si="121"/>
        <v>0</v>
      </c>
      <c r="AA442" s="153">
        <f t="shared" si="122"/>
        <v>0</v>
      </c>
      <c r="AB442" s="153">
        <f t="shared" si="123"/>
        <v>0</v>
      </c>
      <c r="AC442" s="154">
        <f t="shared" si="129"/>
        <v>0</v>
      </c>
      <c r="AD442" s="156">
        <f t="shared" si="124"/>
        <v>0</v>
      </c>
      <c r="AE442" s="182"/>
      <c r="AG442" s="2"/>
    </row>
    <row r="443" spans="1:37">
      <c r="A443" s="139">
        <v>21</v>
      </c>
      <c r="B443" s="139" cm="1">
        <f t="array" ref="B443">IFERROR(IF(A443=s1_id_korvattava1,INDEX($AG$3:$AG$19,MATCH(C443,$AF$3:$AF$19,0),1),IF(A443=s1_id_korvaava1,INDEX($AH$3:$AH$19,MATCH(C443,$AF$3:$AF$19,0),1),IF(A443=s1_id_korvattava2,INDEX($AI$3:$AI$19,MATCH(C443,$AF$3:$AF$19,0),1),IF(A443=s1_id_korvaava2,INDEX($AJ$3:$AJ$19,MATCH(C443,$AF$3:$AF$19,0),1),INDEX(Työkonekanta!$F$3:$F$27,MATCH('S1 Sähkö'!$A443,Työkonekanta!$A$3:$A$24,0),1))))),0)</f>
        <v>36</v>
      </c>
      <c r="C443" s="140">
        <v>2033</v>
      </c>
      <c r="D443" s="141" t="str">
        <f>IFERROR(INDEX(Työkonekanta!$D$3:$D$27,MATCH('S1 Sähkö'!$A443,Työkonekanta!$A$3:$A$24,0),1),"undefined")</f>
        <v>sähkö</v>
      </c>
      <c r="E443" s="145">
        <f>IFERROR(INDEX(Työkonekanta!$G$3:$G$27,MATCH($A443,Työkonekanta!$A$3:$A$24,0),1)*INDEX(Työkonekanta!$H$3:$H$27,MATCH($A443,Työkonekanta!$A$3:$A$24,0),1)*(1+s1_kerroin*($C443-2019))*$B443,0)</f>
        <v>477470.00000000006</v>
      </c>
      <c r="F443" s="145">
        <f t="shared" si="112"/>
        <v>0</v>
      </c>
      <c r="G443" s="145">
        <f t="shared" si="118"/>
        <v>0</v>
      </c>
      <c r="H443" s="145">
        <f t="shared" si="119"/>
        <v>0</v>
      </c>
      <c r="I443" s="145">
        <f t="shared" si="113"/>
        <v>0</v>
      </c>
      <c r="J443" s="145">
        <f t="shared" si="114"/>
        <v>0</v>
      </c>
      <c r="K443" s="142" t="str">
        <f t="shared" si="120"/>
        <v>kWh</v>
      </c>
      <c r="L443" s="146">
        <f>IFERROR(INDEX(Työkonekanta!$I$3:$I$27,MATCH('S1 Sähkö'!$A443,Työkonekanta!$A$3:$A$24,0),1)*(I443+J443)*f_adblue,0)</f>
        <v>0</v>
      </c>
      <c r="M443" s="146">
        <f t="shared" si="125"/>
        <v>1718892.0000000002</v>
      </c>
      <c r="N443" s="143" t="str">
        <f>IF(tuulisähkö_vuosi&lt;='S1 Sähkö'!C443,"tuulisähkö",ostosähkö_nyt)</f>
        <v>jäännössähkö</v>
      </c>
      <c r="O443" s="147">
        <f>INDEX(Muuttujat!$J$5:$J$21,MATCH($C443,Muuttujat!$H$5:$H$21,0),1)</f>
        <v>60.158234351438509</v>
      </c>
      <c r="P443" s="342">
        <f>1-(INDEX(Muuttujat!$O$5:$O$21,MATCH($C443,Muuttujat!$N$5:$N$21,0),1))</f>
        <v>0.9</v>
      </c>
      <c r="Q443" s="342">
        <f>INDEX(Muuttujat!$O$5:$O$21,MATCH($C443,Muuttujat!$N$5:$N$21,0),1)</f>
        <v>0.1</v>
      </c>
      <c r="R443" s="148">
        <f>INDEX(Muuttujat!$P$5:$P$21,MATCH($C443,Muuttujat!$N$5:$N$21,0),1)</f>
        <v>0.10417875759940039</v>
      </c>
      <c r="S443" s="149">
        <f t="shared" si="115"/>
        <v>0</v>
      </c>
      <c r="T443" s="150">
        <f t="shared" si="116"/>
        <v>0</v>
      </c>
      <c r="U443" s="150">
        <f t="shared" si="117"/>
        <v>103.40550776081285</v>
      </c>
      <c r="V443" s="150">
        <f>IFERROR(INDEX(Työkonekanta!$J$3:$J$27,MATCH($A443,Työkonekanta!$A$3:$A$24,0),1)*$B443*ef_li_ion_akku/1000/1000/INDEX(Työkonekanta!$K$3:$K$27,MATCH($A443,Työkonekanta!$A$3:$A$24,0)),0)</f>
        <v>44.353772307692303</v>
      </c>
      <c r="W443" s="149">
        <f t="shared" si="126"/>
        <v>0</v>
      </c>
      <c r="X443" s="150">
        <f t="shared" si="127"/>
        <v>0</v>
      </c>
      <c r="Y443" s="151">
        <f t="shared" si="128"/>
        <v>0</v>
      </c>
      <c r="Z443" s="152">
        <f t="shared" si="121"/>
        <v>147.75928006850515</v>
      </c>
      <c r="AA443" s="153">
        <f t="shared" si="122"/>
        <v>0</v>
      </c>
      <c r="AB443" s="153">
        <f t="shared" si="123"/>
        <v>0</v>
      </c>
      <c r="AC443" s="154">
        <f t="shared" si="129"/>
        <v>147.75928006850515</v>
      </c>
      <c r="AD443" s="156">
        <f t="shared" si="124"/>
        <v>147.75928006850515</v>
      </c>
      <c r="AE443" s="182"/>
      <c r="AG443" s="2"/>
    </row>
    <row r="444" spans="1:37">
      <c r="A444" s="139">
        <v>22</v>
      </c>
      <c r="B444" s="139" cm="1">
        <f t="array" ref="B444">IFERROR(IF(A444=s1_id_korvattava1,INDEX($AG$3:$AG$19,MATCH(C444,$AF$3:$AF$19,0),1),IF(A444=s1_id_korvaava1,INDEX($AH$3:$AH$19,MATCH(C444,$AF$3:$AF$19,0),1),IF(A444=s1_id_korvattava2,INDEX($AI$3:$AI$19,MATCH(C444,$AF$3:$AF$19,0),1),IF(A444=s1_id_korvaava2,INDEX($AJ$3:$AJ$19,MATCH(C444,$AF$3:$AF$19,0),1),INDEX(Työkonekanta!$F$3:$F$27,MATCH('S1 Sähkö'!$A444,Työkonekanta!$A$3:$A$24,0),1))))),0)</f>
        <v>1</v>
      </c>
      <c r="C444" s="140">
        <v>2033</v>
      </c>
      <c r="D444" s="141" t="str">
        <f>IFERROR(INDEX(Työkonekanta!$D$3:$D$27,MATCH('S1 Sähkö'!$A444,Työkonekanta!$A$3:$A$24,0),1),"undefined")</f>
        <v>sähkö</v>
      </c>
      <c r="E444" s="145">
        <f>IFERROR(INDEX(Työkonekanta!$G$3:$G$27,MATCH($A444,Työkonekanta!$A$3:$A$24,0),1)*INDEX(Työkonekanta!$H$3:$H$27,MATCH($A444,Työkonekanta!$A$3:$A$24,0),1)*(1+s1_kerroin*($C444-2019))*$B444,0)</f>
        <v>50778.555555555562</v>
      </c>
      <c r="F444" s="145">
        <f t="shared" si="112"/>
        <v>0</v>
      </c>
      <c r="G444" s="145">
        <f t="shared" si="118"/>
        <v>0</v>
      </c>
      <c r="H444" s="145">
        <f t="shared" si="119"/>
        <v>0</v>
      </c>
      <c r="I444" s="145">
        <f t="shared" si="113"/>
        <v>0</v>
      </c>
      <c r="J444" s="145">
        <f t="shared" si="114"/>
        <v>0</v>
      </c>
      <c r="K444" s="142" t="str">
        <f t="shared" si="120"/>
        <v>kWh</v>
      </c>
      <c r="L444" s="146">
        <f>IFERROR(INDEX(Työkonekanta!$I$3:$I$27,MATCH('S1 Sähkö'!$A444,Työkonekanta!$A$3:$A$24,0),1)*(I444+J444)*f_adblue,0)</f>
        <v>0</v>
      </c>
      <c r="M444" s="146">
        <f t="shared" si="125"/>
        <v>182802.80000000002</v>
      </c>
      <c r="N444" s="143" t="str">
        <f>IF(tuulisähkö_vuosi&lt;='S1 Sähkö'!C444,"tuulisähkö",ostosähkö_nyt)</f>
        <v>jäännössähkö</v>
      </c>
      <c r="O444" s="147">
        <f>INDEX(Muuttujat!$J$5:$J$21,MATCH($C444,Muuttujat!$H$5:$H$21,0),1)</f>
        <v>60.158234351438509</v>
      </c>
      <c r="P444" s="342">
        <f>1-(INDEX(Muuttujat!$O$5:$O$21,MATCH($C444,Muuttujat!$N$5:$N$21,0),1))</f>
        <v>0.9</v>
      </c>
      <c r="Q444" s="342">
        <f>INDEX(Muuttujat!$O$5:$O$21,MATCH($C444,Muuttujat!$N$5:$N$21,0),1)</f>
        <v>0.1</v>
      </c>
      <c r="R444" s="148">
        <f>INDEX(Muuttujat!$P$5:$P$21,MATCH($C444,Muuttujat!$N$5:$N$21,0),1)</f>
        <v>0.10417875759940039</v>
      </c>
      <c r="S444" s="149">
        <f t="shared" si="115"/>
        <v>0</v>
      </c>
      <c r="T444" s="150">
        <f t="shared" si="116"/>
        <v>0</v>
      </c>
      <c r="U444" s="150">
        <f t="shared" si="117"/>
        <v>10.997093682499145</v>
      </c>
      <c r="V444" s="150">
        <f>IFERROR(INDEX(Työkonekanta!$J$3:$J$27,MATCH($A444,Työkonekanta!$A$3:$A$24,0),1)*$B444*ef_li_ion_akku/1000/1000/INDEX(Työkonekanta!$K$3:$K$27,MATCH($A444,Työkonekanta!$A$3:$A$24,0)),0)</f>
        <v>5.2676455384615384</v>
      </c>
      <c r="W444" s="149">
        <f t="shared" si="126"/>
        <v>0</v>
      </c>
      <c r="X444" s="150">
        <f t="shared" si="127"/>
        <v>0</v>
      </c>
      <c r="Y444" s="151">
        <f t="shared" si="128"/>
        <v>0</v>
      </c>
      <c r="Z444" s="152">
        <f t="shared" si="121"/>
        <v>16.264739220960685</v>
      </c>
      <c r="AA444" s="153">
        <f t="shared" si="122"/>
        <v>0</v>
      </c>
      <c r="AB444" s="153">
        <f t="shared" si="123"/>
        <v>0</v>
      </c>
      <c r="AC444" s="154">
        <f t="shared" si="129"/>
        <v>16.264739220960685</v>
      </c>
      <c r="AD444" s="156">
        <f t="shared" si="124"/>
        <v>16.264739220960685</v>
      </c>
      <c r="AE444" s="182"/>
      <c r="AG444" s="2"/>
    </row>
    <row r="445" spans="1:37">
      <c r="A445" s="139">
        <v>23</v>
      </c>
      <c r="B445" s="139" cm="1">
        <f t="array" ref="B445">IFERROR(IF(A445=s1_id_korvattava1,INDEX($AG$3:$AG$19,MATCH(C445,$AF$3:$AF$19,0),1),IF(A445=s1_id_korvaava1,INDEX($AH$3:$AH$19,MATCH(C445,$AF$3:$AF$19,0),1),IF(A445=s1_id_korvattava2,INDEX($AI$3:$AI$19,MATCH(C445,$AF$3:$AF$19,0),1),IF(A445=s1_id_korvaava2,INDEX($AJ$3:$AJ$19,MATCH(C445,$AF$3:$AF$19,0),1),INDEX(Työkonekanta!$F$3:$F$27,MATCH('S1 Sähkö'!$A445,Työkonekanta!$A$3:$A$24,0),1))))),0)</f>
        <v>0</v>
      </c>
      <c r="C445" s="140">
        <v>2033</v>
      </c>
      <c r="D445" s="141" t="str">
        <f>IFERROR(INDEX(Työkonekanta!$D$3:$D$27,MATCH('S1 Sähkö'!$A445,Työkonekanta!$A$3:$A$24,0),1),"undefined")</f>
        <v>undefined</v>
      </c>
      <c r="E445" s="145">
        <f>IFERROR(INDEX(Työkonekanta!$G$3:$G$27,MATCH($A445,Työkonekanta!$A$3:$A$24,0),1)*INDEX(Työkonekanta!$H$3:$H$27,MATCH($A445,Työkonekanta!$A$3:$A$24,0),1)*(1+s1_kerroin*($C445-2019))*$B445,0)</f>
        <v>0</v>
      </c>
      <c r="F445" s="145">
        <f t="shared" si="112"/>
        <v>0</v>
      </c>
      <c r="G445" s="145">
        <f t="shared" si="118"/>
        <v>0</v>
      </c>
      <c r="H445" s="145">
        <f t="shared" si="119"/>
        <v>0</v>
      </c>
      <c r="I445" s="145">
        <f t="shared" si="113"/>
        <v>0</v>
      </c>
      <c r="J445" s="145">
        <f t="shared" si="114"/>
        <v>0</v>
      </c>
      <c r="K445" s="142" t="str">
        <f t="shared" si="120"/>
        <v>undefined</v>
      </c>
      <c r="L445" s="146">
        <f>IFERROR(INDEX(Työkonekanta!$I$3:$I$27,MATCH('S1 Sähkö'!$A445,Työkonekanta!$A$3:$A$24,0),1)*(I445+J445)*f_adblue,0)</f>
        <v>0</v>
      </c>
      <c r="M445" s="146">
        <f t="shared" si="125"/>
        <v>0</v>
      </c>
      <c r="N445" s="143" t="str">
        <f>IF(tuulisähkö_vuosi&lt;='S1 Sähkö'!C445,"tuulisähkö",ostosähkö_nyt)</f>
        <v>jäännössähkö</v>
      </c>
      <c r="O445" s="147">
        <f>INDEX(Muuttujat!$J$5:$J$21,MATCH($C445,Muuttujat!$H$5:$H$21,0),1)</f>
        <v>60.158234351438509</v>
      </c>
      <c r="P445" s="342">
        <f>1-(INDEX(Muuttujat!$O$5:$O$21,MATCH($C445,Muuttujat!$N$5:$N$21,0),1))</f>
        <v>0.9</v>
      </c>
      <c r="Q445" s="342">
        <f>INDEX(Muuttujat!$O$5:$O$21,MATCH($C445,Muuttujat!$N$5:$N$21,0),1)</f>
        <v>0.1</v>
      </c>
      <c r="R445" s="148">
        <f>INDEX(Muuttujat!$P$5:$P$21,MATCH($C445,Muuttujat!$N$5:$N$21,0),1)</f>
        <v>0.10417875759940039</v>
      </c>
      <c r="S445" s="149">
        <f t="shared" si="115"/>
        <v>0</v>
      </c>
      <c r="T445" s="150">
        <f t="shared" si="116"/>
        <v>0</v>
      </c>
      <c r="U445" s="150">
        <f t="shared" si="117"/>
        <v>0</v>
      </c>
      <c r="V445" s="150">
        <f>IFERROR(INDEX(Työkonekanta!$J$3:$J$27,MATCH($A445,Työkonekanta!$A$3:$A$24,0),1)*$B445*ef_li_ion_akku/1000/1000/INDEX(Työkonekanta!$K$3:$K$27,MATCH($A445,Työkonekanta!$A$3:$A$24,0)),0)</f>
        <v>0</v>
      </c>
      <c r="W445" s="149">
        <f t="shared" si="126"/>
        <v>0</v>
      </c>
      <c r="X445" s="150">
        <f t="shared" si="127"/>
        <v>0</v>
      </c>
      <c r="Y445" s="151">
        <f t="shared" si="128"/>
        <v>0</v>
      </c>
      <c r="Z445" s="152">
        <f t="shared" si="121"/>
        <v>0</v>
      </c>
      <c r="AA445" s="153">
        <f t="shared" si="122"/>
        <v>0</v>
      </c>
      <c r="AB445" s="153">
        <f t="shared" si="123"/>
        <v>0</v>
      </c>
      <c r="AC445" s="154">
        <f t="shared" si="129"/>
        <v>0</v>
      </c>
      <c r="AD445" s="156">
        <f t="shared" si="124"/>
        <v>0</v>
      </c>
      <c r="AE445" s="182"/>
      <c r="AJ445" s="28"/>
      <c r="AK445" s="29"/>
    </row>
    <row r="446" spans="1:37">
      <c r="A446" s="139">
        <v>24</v>
      </c>
      <c r="B446" s="139" cm="1">
        <f t="array" ref="B446">IFERROR(IF(A446=s1_id_korvattava1,INDEX($AG$3:$AG$19,MATCH(C446,$AF$3:$AF$19,0),1),IF(A446=s1_id_korvaava1,INDEX($AH$3:$AH$19,MATCH(C446,$AF$3:$AF$19,0),1),IF(A446=s1_id_korvattava2,INDEX($AI$3:$AI$19,MATCH(C446,$AF$3:$AF$19,0),1),IF(A446=s1_id_korvaava2,INDEX($AJ$3:$AJ$19,MATCH(C446,$AF$3:$AF$19,0),1),INDEX(Työkonekanta!$F$3:$F$27,MATCH('S1 Sähkö'!$A446,Työkonekanta!$A$3:$A$24,0),1))))),0)</f>
        <v>0</v>
      </c>
      <c r="C446" s="140">
        <v>2033</v>
      </c>
      <c r="D446" s="141" t="str">
        <f>IFERROR(INDEX(Työkonekanta!$D$3:$D$27,MATCH('S1 Sähkö'!$A446,Työkonekanta!$A$3:$A$24,0),1),"undefined")</f>
        <v>undefined</v>
      </c>
      <c r="E446" s="145">
        <f>IFERROR(INDEX(Työkonekanta!$G$3:$G$27,MATCH($A446,Työkonekanta!$A$3:$A$24,0),1)*INDEX(Työkonekanta!$H$3:$H$27,MATCH($A446,Työkonekanta!$A$3:$A$24,0),1)*(1+s1_kerroin*($C446-2019))*$B446,0)</f>
        <v>0</v>
      </c>
      <c r="F446" s="145">
        <f t="shared" si="112"/>
        <v>0</v>
      </c>
      <c r="G446" s="145">
        <f t="shared" si="118"/>
        <v>0</v>
      </c>
      <c r="H446" s="145">
        <f t="shared" si="119"/>
        <v>0</v>
      </c>
      <c r="I446" s="145">
        <f t="shared" si="113"/>
        <v>0</v>
      </c>
      <c r="J446" s="145">
        <f t="shared" si="114"/>
        <v>0</v>
      </c>
      <c r="K446" s="142" t="str">
        <f t="shared" si="120"/>
        <v>undefined</v>
      </c>
      <c r="L446" s="146">
        <f>IFERROR(INDEX(Työkonekanta!$I$3:$I$27,MATCH('S1 Sähkö'!$A446,Työkonekanta!$A$3:$A$24,0),1)*(I446+J446)*f_adblue,0)</f>
        <v>0</v>
      </c>
      <c r="M446" s="146">
        <f t="shared" si="125"/>
        <v>0</v>
      </c>
      <c r="N446" s="143" t="str">
        <f>IF(tuulisähkö_vuosi&lt;='S1 Sähkö'!C446,"tuulisähkö",ostosähkö_nyt)</f>
        <v>jäännössähkö</v>
      </c>
      <c r="O446" s="147">
        <f>INDEX(Muuttujat!$J$5:$J$21,MATCH($C446,Muuttujat!$H$5:$H$21,0),1)</f>
        <v>60.158234351438509</v>
      </c>
      <c r="P446" s="342">
        <f>1-(INDEX(Muuttujat!$O$5:$O$21,MATCH($C446,Muuttujat!$N$5:$N$21,0),1))</f>
        <v>0.9</v>
      </c>
      <c r="Q446" s="342">
        <f>INDEX(Muuttujat!$O$5:$O$21,MATCH($C446,Muuttujat!$N$5:$N$21,0),1)</f>
        <v>0.1</v>
      </c>
      <c r="R446" s="148">
        <f>INDEX(Muuttujat!$P$5:$P$21,MATCH($C446,Muuttujat!$N$5:$N$21,0),1)</f>
        <v>0.10417875759940039</v>
      </c>
      <c r="S446" s="149">
        <f t="shared" si="115"/>
        <v>0</v>
      </c>
      <c r="T446" s="150">
        <f t="shared" si="116"/>
        <v>0</v>
      </c>
      <c r="U446" s="150">
        <f t="shared" si="117"/>
        <v>0</v>
      </c>
      <c r="V446" s="150">
        <f>IFERROR(INDEX(Työkonekanta!$J$3:$J$27,MATCH($A446,Työkonekanta!$A$3:$A$24,0),1)*$B446*ef_li_ion_akku/1000/1000/INDEX(Työkonekanta!$K$3:$K$27,MATCH($A446,Työkonekanta!$A$3:$A$24,0)),0)</f>
        <v>0</v>
      </c>
      <c r="W446" s="149">
        <f t="shared" si="126"/>
        <v>0</v>
      </c>
      <c r="X446" s="150">
        <f t="shared" si="127"/>
        <v>0</v>
      </c>
      <c r="Y446" s="151">
        <f t="shared" si="128"/>
        <v>0</v>
      </c>
      <c r="Z446" s="152">
        <f t="shared" si="121"/>
        <v>0</v>
      </c>
      <c r="AA446" s="153">
        <f t="shared" si="122"/>
        <v>0</v>
      </c>
      <c r="AB446" s="153">
        <f t="shared" si="123"/>
        <v>0</v>
      </c>
      <c r="AC446" s="154">
        <f t="shared" si="129"/>
        <v>0</v>
      </c>
      <c r="AD446" s="156">
        <f t="shared" si="124"/>
        <v>0</v>
      </c>
      <c r="AE446" s="182"/>
      <c r="AJ446" s="28"/>
      <c r="AK446" s="29"/>
    </row>
    <row r="447" spans="1:37">
      <c r="A447" s="139">
        <v>25</v>
      </c>
      <c r="B447" s="139" cm="1">
        <f t="array" ref="B447">IFERROR(IF(A447=s1_id_korvattava1,INDEX($AG$3:$AG$19,MATCH(C447,$AF$3:$AF$19,0),1),IF(A447=s1_id_korvaava1,INDEX($AH$3:$AH$19,MATCH(C447,$AF$3:$AF$19,0),1),IF(A447=s1_id_korvattava2,INDEX($AI$3:$AI$19,MATCH(C447,$AF$3:$AF$19,0),1),IF(A447=s1_id_korvaava2,INDEX($AJ$3:$AJ$19,MATCH(C447,$AF$3:$AF$19,0),1),INDEX(Työkonekanta!$F$3:$F$27,MATCH('S1 Sähkö'!$A447,Työkonekanta!$A$3:$A$24,0),1))))),0)</f>
        <v>0</v>
      </c>
      <c r="C447" s="140">
        <v>2033</v>
      </c>
      <c r="D447" s="141" t="str">
        <f>IFERROR(INDEX(Työkonekanta!$D$3:$D$27,MATCH('S1 Sähkö'!$A447,Työkonekanta!$A$3:$A$24,0),1),"undefined")</f>
        <v>undefined</v>
      </c>
      <c r="E447" s="145">
        <f>IFERROR(INDEX(Työkonekanta!$G$3:$G$27,MATCH($A447,Työkonekanta!$A$3:$A$24,0),1)*INDEX(Työkonekanta!$H$3:$H$27,MATCH($A447,Työkonekanta!$A$3:$A$24,0),1)*(1+s1_kerroin*($C447-2019))*$B447,0)</f>
        <v>0</v>
      </c>
      <c r="F447" s="145">
        <f t="shared" si="112"/>
        <v>0</v>
      </c>
      <c r="G447" s="145">
        <f t="shared" si="118"/>
        <v>0</v>
      </c>
      <c r="H447" s="145">
        <f t="shared" si="119"/>
        <v>0</v>
      </c>
      <c r="I447" s="145">
        <f t="shared" si="113"/>
        <v>0</v>
      </c>
      <c r="J447" s="145">
        <f t="shared" si="114"/>
        <v>0</v>
      </c>
      <c r="K447" s="142" t="str">
        <f t="shared" si="120"/>
        <v>undefined</v>
      </c>
      <c r="L447" s="146">
        <f>IFERROR(INDEX(Työkonekanta!$I$3:$I$27,MATCH('S1 Sähkö'!$A447,Työkonekanta!$A$3:$A$24,0),1)*(I447+J447)*f_adblue,0)</f>
        <v>0</v>
      </c>
      <c r="M447" s="146">
        <f t="shared" si="125"/>
        <v>0</v>
      </c>
      <c r="N447" s="143" t="str">
        <f>IF(tuulisähkö_vuosi&lt;='S1 Sähkö'!C447,"tuulisähkö",ostosähkö_nyt)</f>
        <v>jäännössähkö</v>
      </c>
      <c r="O447" s="147">
        <f>INDEX(Muuttujat!$J$5:$J$21,MATCH($C447,Muuttujat!$H$5:$H$21,0),1)</f>
        <v>60.158234351438509</v>
      </c>
      <c r="P447" s="342">
        <f>1-(INDEX(Muuttujat!$O$5:$O$21,MATCH($C447,Muuttujat!$N$5:$N$21,0),1))</f>
        <v>0.9</v>
      </c>
      <c r="Q447" s="342">
        <f>INDEX(Muuttujat!$O$5:$O$21,MATCH($C447,Muuttujat!$N$5:$N$21,0),1)</f>
        <v>0.1</v>
      </c>
      <c r="R447" s="148">
        <f>INDEX(Muuttujat!$P$5:$P$21,MATCH($C447,Muuttujat!$N$5:$N$21,0),1)</f>
        <v>0.10417875759940039</v>
      </c>
      <c r="S447" s="149">
        <f t="shared" si="115"/>
        <v>0</v>
      </c>
      <c r="T447" s="150">
        <f t="shared" si="116"/>
        <v>0</v>
      </c>
      <c r="U447" s="150">
        <f t="shared" si="117"/>
        <v>0</v>
      </c>
      <c r="V447" s="150">
        <f>IFERROR(INDEX(Työkonekanta!$J$3:$J$27,MATCH($A447,Työkonekanta!$A$3:$A$24,0),1)*$B447*ef_li_ion_akku/1000/1000/INDEX(Työkonekanta!$K$3:$K$27,MATCH($A447,Työkonekanta!$A$3:$A$24,0)),0)</f>
        <v>0</v>
      </c>
      <c r="W447" s="149">
        <f t="shared" si="126"/>
        <v>0</v>
      </c>
      <c r="X447" s="150">
        <f t="shared" si="127"/>
        <v>0</v>
      </c>
      <c r="Y447" s="151">
        <f t="shared" si="128"/>
        <v>0</v>
      </c>
      <c r="Z447" s="152">
        <f t="shared" si="121"/>
        <v>0</v>
      </c>
      <c r="AA447" s="153">
        <f t="shared" si="122"/>
        <v>0</v>
      </c>
      <c r="AB447" s="153">
        <f t="shared" si="123"/>
        <v>0</v>
      </c>
      <c r="AC447" s="154">
        <f t="shared" si="129"/>
        <v>0</v>
      </c>
      <c r="AD447" s="156">
        <f t="shared" si="124"/>
        <v>0</v>
      </c>
      <c r="AE447" s="182"/>
      <c r="AJ447" s="28"/>
      <c r="AK447" s="29"/>
    </row>
    <row r="448" spans="1:37">
      <c r="A448" s="139">
        <v>26</v>
      </c>
      <c r="B448" s="139" cm="1">
        <f t="array" ref="B448">IFERROR(IF(A448=s1_id_korvattava1,INDEX($AG$3:$AG$19,MATCH(C448,$AF$3:$AF$19,0),1),IF(A448=s1_id_korvaava1,INDEX($AH$3:$AH$19,MATCH(C448,$AF$3:$AF$19,0),1),IF(A448=s1_id_korvattava2,INDEX($AI$3:$AI$19,MATCH(C448,$AF$3:$AF$19,0),1),IF(A448=s1_id_korvaava2,INDEX($AJ$3:$AJ$19,MATCH(C448,$AF$3:$AF$19,0),1),INDEX(Työkonekanta!$F$3:$F$27,MATCH('S1 Sähkö'!$A448,Työkonekanta!$A$3:$A$24,0),1))))),0)</f>
        <v>0</v>
      </c>
      <c r="C448" s="140">
        <v>2033</v>
      </c>
      <c r="D448" s="141" t="str">
        <f>IFERROR(INDEX(Työkonekanta!$D$3:$D$27,MATCH('S1 Sähkö'!$A448,Työkonekanta!$A$3:$A$24,0),1),"undefined")</f>
        <v>undefined</v>
      </c>
      <c r="E448" s="145">
        <f>IFERROR(INDEX(Työkonekanta!$G$3:$G$27,MATCH($A448,Työkonekanta!$A$3:$A$24,0),1)*INDEX(Työkonekanta!$H$3:$H$27,MATCH($A448,Työkonekanta!$A$3:$A$24,0),1)*(1+s1_kerroin*($C448-2019))*$B448,0)</f>
        <v>0</v>
      </c>
      <c r="F448" s="145">
        <f t="shared" si="112"/>
        <v>0</v>
      </c>
      <c r="G448" s="145">
        <f t="shared" si="118"/>
        <v>0</v>
      </c>
      <c r="H448" s="145">
        <f t="shared" si="119"/>
        <v>0</v>
      </c>
      <c r="I448" s="145">
        <f t="shared" si="113"/>
        <v>0</v>
      </c>
      <c r="J448" s="145">
        <f t="shared" si="114"/>
        <v>0</v>
      </c>
      <c r="K448" s="142" t="str">
        <f t="shared" si="120"/>
        <v>undefined</v>
      </c>
      <c r="L448" s="146">
        <f>IFERROR(INDEX(Työkonekanta!$I$3:$I$27,MATCH('S1 Sähkö'!$A448,Työkonekanta!$A$3:$A$24,0),1)*(I448+J448)*f_adblue,0)</f>
        <v>0</v>
      </c>
      <c r="M448" s="146">
        <f t="shared" si="125"/>
        <v>0</v>
      </c>
      <c r="N448" s="143" t="str">
        <f>IF(tuulisähkö_vuosi&lt;='S1 Sähkö'!C448,"tuulisähkö",ostosähkö_nyt)</f>
        <v>jäännössähkö</v>
      </c>
      <c r="O448" s="147">
        <f>INDEX(Muuttujat!$J$5:$J$21,MATCH($C448,Muuttujat!$H$5:$H$21,0),1)</f>
        <v>60.158234351438509</v>
      </c>
      <c r="P448" s="342">
        <f>1-(INDEX(Muuttujat!$O$5:$O$21,MATCH($C448,Muuttujat!$N$5:$N$21,0),1))</f>
        <v>0.9</v>
      </c>
      <c r="Q448" s="342">
        <f>INDEX(Muuttujat!$O$5:$O$21,MATCH($C448,Muuttujat!$N$5:$N$21,0),1)</f>
        <v>0.1</v>
      </c>
      <c r="R448" s="148">
        <f>INDEX(Muuttujat!$P$5:$P$21,MATCH($C448,Muuttujat!$N$5:$N$21,0),1)</f>
        <v>0.10417875759940039</v>
      </c>
      <c r="S448" s="149">
        <f t="shared" si="115"/>
        <v>0</v>
      </c>
      <c r="T448" s="150">
        <f t="shared" si="116"/>
        <v>0</v>
      </c>
      <c r="U448" s="150">
        <f t="shared" si="117"/>
        <v>0</v>
      </c>
      <c r="V448" s="150">
        <f>IFERROR(INDEX(Työkonekanta!$J$3:$J$27,MATCH($A448,Työkonekanta!$A$3:$A$24,0),1)*$B448*ef_li_ion_akku/1000/1000/INDEX(Työkonekanta!$K$3:$K$27,MATCH($A448,Työkonekanta!$A$3:$A$24,0)),0)</f>
        <v>0</v>
      </c>
      <c r="W448" s="149">
        <f t="shared" si="126"/>
        <v>0</v>
      </c>
      <c r="X448" s="150">
        <f t="shared" si="127"/>
        <v>0</v>
      </c>
      <c r="Y448" s="151">
        <f t="shared" si="128"/>
        <v>0</v>
      </c>
      <c r="Z448" s="152">
        <f t="shared" si="121"/>
        <v>0</v>
      </c>
      <c r="AA448" s="153">
        <f t="shared" si="122"/>
        <v>0</v>
      </c>
      <c r="AB448" s="153">
        <f t="shared" si="123"/>
        <v>0</v>
      </c>
      <c r="AC448" s="154">
        <f t="shared" si="129"/>
        <v>0</v>
      </c>
      <c r="AD448" s="156">
        <f t="shared" si="124"/>
        <v>0</v>
      </c>
      <c r="AE448" s="182"/>
      <c r="AJ448" s="28"/>
      <c r="AK448" s="29"/>
    </row>
    <row r="449" spans="1:37">
      <c r="A449" s="139">
        <v>27</v>
      </c>
      <c r="B449" s="139" cm="1">
        <f t="array" ref="B449">IFERROR(IF(A449=s1_id_korvattava1,INDEX($AG$3:$AG$19,MATCH(C449,$AF$3:$AF$19,0),1),IF(A449=s1_id_korvaava1,INDEX($AH$3:$AH$19,MATCH(C449,$AF$3:$AF$19,0),1),IF(A449=s1_id_korvattava2,INDEX($AI$3:$AI$19,MATCH(C449,$AF$3:$AF$19,0),1),IF(A449=s1_id_korvaava2,INDEX($AJ$3:$AJ$19,MATCH(C449,$AF$3:$AF$19,0),1),INDEX(Työkonekanta!$F$3:$F$27,MATCH('S1 Sähkö'!$A449,Työkonekanta!$A$3:$A$24,0),1))))),0)</f>
        <v>0</v>
      </c>
      <c r="C449" s="140">
        <v>2033</v>
      </c>
      <c r="D449" s="141" t="str">
        <f>IFERROR(INDEX(Työkonekanta!$D$3:$D$27,MATCH('S1 Sähkö'!$A449,Työkonekanta!$A$3:$A$24,0),1),"undefined")</f>
        <v>undefined</v>
      </c>
      <c r="E449" s="145">
        <f>IFERROR(INDEX(Työkonekanta!$G$3:$G$27,MATCH($A449,Työkonekanta!$A$3:$A$24,0),1)*INDEX(Työkonekanta!$H$3:$H$27,MATCH($A449,Työkonekanta!$A$3:$A$24,0),1)*(1+s1_kerroin*($C449-2019))*$B449,0)</f>
        <v>0</v>
      </c>
      <c r="F449" s="145">
        <f t="shared" si="112"/>
        <v>0</v>
      </c>
      <c r="G449" s="145">
        <f t="shared" si="118"/>
        <v>0</v>
      </c>
      <c r="H449" s="145">
        <f t="shared" si="119"/>
        <v>0</v>
      </c>
      <c r="I449" s="145">
        <f t="shared" si="113"/>
        <v>0</v>
      </c>
      <c r="J449" s="145">
        <f t="shared" si="114"/>
        <v>0</v>
      </c>
      <c r="K449" s="142" t="str">
        <f t="shared" si="120"/>
        <v>undefined</v>
      </c>
      <c r="L449" s="146">
        <f>IFERROR(INDEX(Työkonekanta!$I$3:$I$27,MATCH('S1 Sähkö'!$A449,Työkonekanta!$A$3:$A$24,0),1)*(I449+J449)*f_adblue,0)</f>
        <v>0</v>
      </c>
      <c r="M449" s="146">
        <f t="shared" si="125"/>
        <v>0</v>
      </c>
      <c r="N449" s="143" t="str">
        <f>IF(tuulisähkö_vuosi&lt;='S1 Sähkö'!C449,"tuulisähkö",ostosähkö_nyt)</f>
        <v>jäännössähkö</v>
      </c>
      <c r="O449" s="147">
        <f>INDEX(Muuttujat!$J$5:$J$21,MATCH($C449,Muuttujat!$H$5:$H$21,0),1)</f>
        <v>60.158234351438509</v>
      </c>
      <c r="P449" s="342">
        <f>1-(INDEX(Muuttujat!$O$5:$O$21,MATCH($C449,Muuttujat!$N$5:$N$21,0),1))</f>
        <v>0.9</v>
      </c>
      <c r="Q449" s="342">
        <f>INDEX(Muuttujat!$O$5:$O$21,MATCH($C449,Muuttujat!$N$5:$N$21,0),1)</f>
        <v>0.1</v>
      </c>
      <c r="R449" s="148">
        <f>INDEX(Muuttujat!$P$5:$P$21,MATCH($C449,Muuttujat!$N$5:$N$21,0),1)</f>
        <v>0.10417875759940039</v>
      </c>
      <c r="S449" s="149">
        <f t="shared" si="115"/>
        <v>0</v>
      </c>
      <c r="T449" s="150">
        <f t="shared" si="116"/>
        <v>0</v>
      </c>
      <c r="U449" s="150">
        <f t="shared" si="117"/>
        <v>0</v>
      </c>
      <c r="V449" s="150">
        <f>IFERROR(INDEX(Työkonekanta!$J$3:$J$27,MATCH($A449,Työkonekanta!$A$3:$A$24,0),1)*$B449*ef_li_ion_akku/1000/1000/INDEX(Työkonekanta!$K$3:$K$27,MATCH($A449,Työkonekanta!$A$3:$A$24,0)),0)</f>
        <v>0</v>
      </c>
      <c r="W449" s="149">
        <f t="shared" si="126"/>
        <v>0</v>
      </c>
      <c r="X449" s="150">
        <f t="shared" si="127"/>
        <v>0</v>
      </c>
      <c r="Y449" s="151">
        <f t="shared" si="128"/>
        <v>0</v>
      </c>
      <c r="Z449" s="152">
        <f t="shared" si="121"/>
        <v>0</v>
      </c>
      <c r="AA449" s="153">
        <f t="shared" si="122"/>
        <v>0</v>
      </c>
      <c r="AB449" s="153">
        <f t="shared" si="123"/>
        <v>0</v>
      </c>
      <c r="AC449" s="154">
        <f t="shared" si="129"/>
        <v>0</v>
      </c>
      <c r="AD449" s="156">
        <f t="shared" si="124"/>
        <v>0</v>
      </c>
      <c r="AE449" s="182"/>
      <c r="AJ449" s="28"/>
      <c r="AK449" s="29"/>
    </row>
    <row r="450" spans="1:37">
      <c r="A450" s="139">
        <v>28</v>
      </c>
      <c r="B450" s="139" cm="1">
        <f t="array" ref="B450">IFERROR(IF(A450=s1_id_korvattava1,INDEX($AG$3:$AG$19,MATCH(C450,$AF$3:$AF$19,0),1),IF(A450=s1_id_korvaava1,INDEX($AH$3:$AH$19,MATCH(C450,$AF$3:$AF$19,0),1),IF(A450=s1_id_korvattava2,INDEX($AI$3:$AI$19,MATCH(C450,$AF$3:$AF$19,0),1),IF(A450=s1_id_korvaava2,INDEX($AJ$3:$AJ$19,MATCH(C450,$AF$3:$AF$19,0),1),INDEX(Työkonekanta!$F$3:$F$27,MATCH('S1 Sähkö'!$A450,Työkonekanta!$A$3:$A$24,0),1))))),0)</f>
        <v>0</v>
      </c>
      <c r="C450" s="140">
        <v>2033</v>
      </c>
      <c r="D450" s="141" t="str">
        <f>IFERROR(INDEX(Työkonekanta!$D$3:$D$27,MATCH('S1 Sähkö'!$A450,Työkonekanta!$A$3:$A$24,0),1),"undefined")</f>
        <v>undefined</v>
      </c>
      <c r="E450" s="145">
        <f>IFERROR(INDEX(Työkonekanta!$G$3:$G$27,MATCH($A450,Työkonekanta!$A$3:$A$24,0),1)*INDEX(Työkonekanta!$H$3:$H$27,MATCH($A450,Työkonekanta!$A$3:$A$24,0),1)*(1+s1_kerroin*($C450-2019))*$B450,0)</f>
        <v>0</v>
      </c>
      <c r="F450" s="145">
        <f t="shared" si="112"/>
        <v>0</v>
      </c>
      <c r="G450" s="145">
        <f t="shared" si="118"/>
        <v>0</v>
      </c>
      <c r="H450" s="145">
        <f t="shared" si="119"/>
        <v>0</v>
      </c>
      <c r="I450" s="145">
        <f t="shared" si="113"/>
        <v>0</v>
      </c>
      <c r="J450" s="145">
        <f t="shared" si="114"/>
        <v>0</v>
      </c>
      <c r="K450" s="142" t="str">
        <f t="shared" si="120"/>
        <v>undefined</v>
      </c>
      <c r="L450" s="146">
        <f>IFERROR(INDEX(Työkonekanta!$I$3:$I$27,MATCH('S1 Sähkö'!$A450,Työkonekanta!$A$3:$A$24,0),1)*(I450+J450)*f_adblue,0)</f>
        <v>0</v>
      </c>
      <c r="M450" s="146">
        <f t="shared" si="125"/>
        <v>0</v>
      </c>
      <c r="N450" s="143" t="str">
        <f>IF(tuulisähkö_vuosi&lt;='S1 Sähkö'!C450,"tuulisähkö",ostosähkö_nyt)</f>
        <v>jäännössähkö</v>
      </c>
      <c r="O450" s="147">
        <f>INDEX(Muuttujat!$J$5:$J$21,MATCH($C450,Muuttujat!$H$5:$H$21,0),1)</f>
        <v>60.158234351438509</v>
      </c>
      <c r="P450" s="342">
        <f>1-(INDEX(Muuttujat!$O$5:$O$21,MATCH($C450,Muuttujat!$N$5:$N$21,0),1))</f>
        <v>0.9</v>
      </c>
      <c r="Q450" s="342">
        <f>INDEX(Muuttujat!$O$5:$O$21,MATCH($C450,Muuttujat!$N$5:$N$21,0),1)</f>
        <v>0.1</v>
      </c>
      <c r="R450" s="148">
        <f>INDEX(Muuttujat!$P$5:$P$21,MATCH($C450,Muuttujat!$N$5:$N$21,0),1)</f>
        <v>0.10417875759940039</v>
      </c>
      <c r="S450" s="149">
        <f t="shared" si="115"/>
        <v>0</v>
      </c>
      <c r="T450" s="150">
        <f t="shared" si="116"/>
        <v>0</v>
      </c>
      <c r="U450" s="150">
        <f t="shared" si="117"/>
        <v>0</v>
      </c>
      <c r="V450" s="150">
        <f>IFERROR(INDEX(Työkonekanta!$J$3:$J$27,MATCH($A450,Työkonekanta!$A$3:$A$24,0),1)*$B450*ef_li_ion_akku/1000/1000/INDEX(Työkonekanta!$K$3:$K$27,MATCH($A450,Työkonekanta!$A$3:$A$24,0)),0)</f>
        <v>0</v>
      </c>
      <c r="W450" s="149">
        <f t="shared" si="126"/>
        <v>0</v>
      </c>
      <c r="X450" s="150">
        <f t="shared" si="127"/>
        <v>0</v>
      </c>
      <c r="Y450" s="151">
        <f t="shared" si="128"/>
        <v>0</v>
      </c>
      <c r="Z450" s="152">
        <f t="shared" si="121"/>
        <v>0</v>
      </c>
      <c r="AA450" s="153">
        <f t="shared" si="122"/>
        <v>0</v>
      </c>
      <c r="AB450" s="153">
        <f t="shared" si="123"/>
        <v>0</v>
      </c>
      <c r="AC450" s="154">
        <f t="shared" si="129"/>
        <v>0</v>
      </c>
      <c r="AD450" s="156">
        <f t="shared" si="124"/>
        <v>0</v>
      </c>
      <c r="AE450" s="182"/>
      <c r="AJ450" s="28"/>
      <c r="AK450" s="29"/>
    </row>
    <row r="451" spans="1:37">
      <c r="A451" s="139">
        <v>29</v>
      </c>
      <c r="B451" s="139" cm="1">
        <f t="array" ref="B451">IFERROR(IF(A451=s1_id_korvattava1,INDEX($AG$3:$AG$19,MATCH(C451,$AF$3:$AF$19,0),1),IF(A451=s1_id_korvaava1,INDEX($AH$3:$AH$19,MATCH(C451,$AF$3:$AF$19,0),1),IF(A451=s1_id_korvattava2,INDEX($AI$3:$AI$19,MATCH(C451,$AF$3:$AF$19,0),1),IF(A451=s1_id_korvaava2,INDEX($AJ$3:$AJ$19,MATCH(C451,$AF$3:$AF$19,0),1),INDEX(Työkonekanta!$F$3:$F$27,MATCH('S1 Sähkö'!$A451,Työkonekanta!$A$3:$A$24,0),1))))),0)</f>
        <v>0</v>
      </c>
      <c r="C451" s="140">
        <v>2033</v>
      </c>
      <c r="D451" s="141" t="str">
        <f>IFERROR(INDEX(Työkonekanta!$D$3:$D$27,MATCH('S1 Sähkö'!$A451,Työkonekanta!$A$3:$A$24,0),1),"undefined")</f>
        <v>undefined</v>
      </c>
      <c r="E451" s="145">
        <f>IFERROR(INDEX(Työkonekanta!$G$3:$G$27,MATCH($A451,Työkonekanta!$A$3:$A$24,0),1)*INDEX(Työkonekanta!$H$3:$H$27,MATCH($A451,Työkonekanta!$A$3:$A$24,0),1)*(1+s1_kerroin*($C451-2019))*$B451,0)</f>
        <v>0</v>
      </c>
      <c r="F451" s="145">
        <f t="shared" ref="F451:F514" si="130">IF(D451="pom",$E451*hv_pom,0)</f>
        <v>0</v>
      </c>
      <c r="G451" s="145">
        <f t="shared" si="118"/>
        <v>0</v>
      </c>
      <c r="H451" s="145">
        <f t="shared" si="119"/>
        <v>0</v>
      </c>
      <c r="I451" s="145">
        <f t="shared" ref="I451:I512" si="131">$G451/hv_pom</f>
        <v>0</v>
      </c>
      <c r="J451" s="145">
        <f t="shared" ref="J451:J512" si="132">$H451/hv_biodies</f>
        <v>0</v>
      </c>
      <c r="K451" s="142" t="str">
        <f t="shared" si="120"/>
        <v>undefined</v>
      </c>
      <c r="L451" s="146">
        <f>IFERROR(INDEX(Työkonekanta!$I$3:$I$27,MATCH('S1 Sähkö'!$A451,Työkonekanta!$A$3:$A$24,0),1)*(I451+J451)*f_adblue,0)</f>
        <v>0</v>
      </c>
      <c r="M451" s="146">
        <f t="shared" si="125"/>
        <v>0</v>
      </c>
      <c r="N451" s="143" t="str">
        <f>IF(tuulisähkö_vuosi&lt;='S1 Sähkö'!C451,"tuulisähkö",ostosähkö_nyt)</f>
        <v>jäännössähkö</v>
      </c>
      <c r="O451" s="147">
        <f>INDEX(Muuttujat!$J$5:$J$21,MATCH($C451,Muuttujat!$H$5:$H$21,0),1)</f>
        <v>60.158234351438509</v>
      </c>
      <c r="P451" s="342">
        <f>1-(INDEX(Muuttujat!$O$5:$O$21,MATCH($C451,Muuttujat!$N$5:$N$21,0),1))</f>
        <v>0.9</v>
      </c>
      <c r="Q451" s="342">
        <f>INDEX(Muuttujat!$O$5:$O$21,MATCH($C451,Muuttujat!$N$5:$N$21,0),1)</f>
        <v>0.1</v>
      </c>
      <c r="R451" s="148">
        <f>INDEX(Muuttujat!$P$5:$P$21,MATCH($C451,Muuttujat!$N$5:$N$21,0),1)</f>
        <v>0.10417875759940039</v>
      </c>
      <c r="S451" s="149">
        <f t="shared" ref="S451:S512" si="133">wtt_ef_e_co2_dies*$G451/1000/1000</f>
        <v>0</v>
      </c>
      <c r="T451" s="150">
        <f t="shared" ref="T451:T512" si="134">wtt_ef_e_co2_biodies*$H451/1000/1000</f>
        <v>0</v>
      </c>
      <c r="U451" s="150">
        <f t="shared" ref="U451:U512" si="135">IF(N451="jäännössähkö",$O451,IF(N451="tuulisähkö",wtt_ef_e_co2_el_wind,0))*$M451/1000/1000</f>
        <v>0</v>
      </c>
      <c r="V451" s="150">
        <f>IFERROR(INDEX(Työkonekanta!$J$3:$J$27,MATCH($A451,Työkonekanta!$A$3:$A$24,0),1)*$B451*ef_li_ion_akku/1000/1000/INDEX(Työkonekanta!$K$3:$K$27,MATCH($A451,Työkonekanta!$A$3:$A$24,0)),0)</f>
        <v>0</v>
      </c>
      <c r="W451" s="149">
        <f t="shared" si="126"/>
        <v>0</v>
      </c>
      <c r="X451" s="150">
        <f t="shared" si="127"/>
        <v>0</v>
      </c>
      <c r="Y451" s="151">
        <f t="shared" si="128"/>
        <v>0</v>
      </c>
      <c r="Z451" s="152">
        <f t="shared" si="121"/>
        <v>0</v>
      </c>
      <c r="AA451" s="153">
        <f t="shared" si="122"/>
        <v>0</v>
      </c>
      <c r="AB451" s="153">
        <f t="shared" si="123"/>
        <v>0</v>
      </c>
      <c r="AC451" s="154">
        <f t="shared" si="129"/>
        <v>0</v>
      </c>
      <c r="AD451" s="156">
        <f t="shared" si="124"/>
        <v>0</v>
      </c>
      <c r="AE451" s="182"/>
      <c r="AJ451" s="28"/>
      <c r="AK451" s="29"/>
    </row>
    <row r="452" spans="1:37">
      <c r="A452" s="139">
        <v>30</v>
      </c>
      <c r="B452" s="139" cm="1">
        <f t="array" ref="B452">IFERROR(IF(A452=s1_id_korvattava1,INDEX($AG$3:$AG$19,MATCH(C452,$AF$3:$AF$19,0),1),IF(A452=s1_id_korvaava1,INDEX($AH$3:$AH$19,MATCH(C452,$AF$3:$AF$19,0),1),IF(A452=s1_id_korvattava2,INDEX($AI$3:$AI$19,MATCH(C452,$AF$3:$AF$19,0),1),IF(A452=s1_id_korvaava2,INDEX($AJ$3:$AJ$19,MATCH(C452,$AF$3:$AF$19,0),1),INDEX(Työkonekanta!$F$3:$F$27,MATCH('S1 Sähkö'!$A452,Työkonekanta!$A$3:$A$24,0),1))))),0)</f>
        <v>0</v>
      </c>
      <c r="C452" s="140">
        <v>2033</v>
      </c>
      <c r="D452" s="141" t="str">
        <f>IFERROR(INDEX(Työkonekanta!$D$3:$D$27,MATCH('S1 Sähkö'!$A452,Työkonekanta!$A$3:$A$24,0),1),"undefined")</f>
        <v>undefined</v>
      </c>
      <c r="E452" s="145">
        <f>IFERROR(INDEX(Työkonekanta!$G$3:$G$27,MATCH($A452,Työkonekanta!$A$3:$A$24,0),1)*INDEX(Työkonekanta!$H$3:$H$27,MATCH($A452,Työkonekanta!$A$3:$A$24,0),1)*(1+s1_kerroin*($C452-2019))*$B452,0)</f>
        <v>0</v>
      </c>
      <c r="F452" s="145">
        <f t="shared" si="130"/>
        <v>0</v>
      </c>
      <c r="G452" s="145">
        <f t="shared" ref="G452:G515" si="136">$F452*$P452</f>
        <v>0</v>
      </c>
      <c r="H452" s="145">
        <f t="shared" ref="H452:H515" si="137">$F452*$Q452</f>
        <v>0</v>
      </c>
      <c r="I452" s="145">
        <f t="shared" si="131"/>
        <v>0</v>
      </c>
      <c r="J452" s="145">
        <f t="shared" si="132"/>
        <v>0</v>
      </c>
      <c r="K452" s="142" t="str">
        <f t="shared" ref="K452:K512" si="138">IF($D452="sähkö","kWh",IF($D452="pom","l","undefined"))</f>
        <v>undefined</v>
      </c>
      <c r="L452" s="146">
        <f>IFERROR(INDEX(Työkonekanta!$I$3:$I$27,MATCH('S1 Sähkö'!$A452,Työkonekanta!$A$3:$A$24,0),1)*(I452+J452)*f_adblue,0)</f>
        <v>0</v>
      </c>
      <c r="M452" s="146">
        <f t="shared" si="125"/>
        <v>0</v>
      </c>
      <c r="N452" s="143" t="str">
        <f>IF(tuulisähkö_vuosi&lt;='S1 Sähkö'!C452,"tuulisähkö",ostosähkö_nyt)</f>
        <v>jäännössähkö</v>
      </c>
      <c r="O452" s="147">
        <f>INDEX(Muuttujat!$J$5:$J$21,MATCH($C452,Muuttujat!$H$5:$H$21,0),1)</f>
        <v>60.158234351438509</v>
      </c>
      <c r="P452" s="342">
        <f>1-(INDEX(Muuttujat!$O$5:$O$21,MATCH($C452,Muuttujat!$N$5:$N$21,0),1))</f>
        <v>0.9</v>
      </c>
      <c r="Q452" s="342">
        <f>INDEX(Muuttujat!$O$5:$O$21,MATCH($C452,Muuttujat!$N$5:$N$21,0),1)</f>
        <v>0.1</v>
      </c>
      <c r="R452" s="148">
        <f>INDEX(Muuttujat!$P$5:$P$21,MATCH($C452,Muuttujat!$N$5:$N$21,0),1)</f>
        <v>0.10417875759940039</v>
      </c>
      <c r="S452" s="149">
        <f t="shared" si="133"/>
        <v>0</v>
      </c>
      <c r="T452" s="150">
        <f t="shared" si="134"/>
        <v>0</v>
      </c>
      <c r="U452" s="150">
        <f t="shared" si="135"/>
        <v>0</v>
      </c>
      <c r="V452" s="150">
        <f>IFERROR(INDEX(Työkonekanta!$J$3:$J$27,MATCH($A452,Työkonekanta!$A$3:$A$24,0),1)*$B452*ef_li_ion_akku/1000/1000/INDEX(Työkonekanta!$K$3:$K$27,MATCH($A452,Työkonekanta!$A$3:$A$24,0)),0)</f>
        <v>0</v>
      </c>
      <c r="W452" s="149">
        <f t="shared" si="126"/>
        <v>0</v>
      </c>
      <c r="X452" s="150">
        <f t="shared" si="127"/>
        <v>0</v>
      </c>
      <c r="Y452" s="151">
        <f t="shared" si="128"/>
        <v>0</v>
      </c>
      <c r="Z452" s="152">
        <f t="shared" ref="Z452:Z512" si="139">SUM($S452:$V452)</f>
        <v>0</v>
      </c>
      <c r="AA452" s="153">
        <f t="shared" ref="AA452:AA512" si="140">$W452+$Y452</f>
        <v>0</v>
      </c>
      <c r="AB452" s="153">
        <f t="shared" ref="AB452:AB512" si="141">SUM($W452:$Y452)</f>
        <v>0</v>
      </c>
      <c r="AC452" s="154">
        <f t="shared" si="129"/>
        <v>0</v>
      </c>
      <c r="AD452" s="156">
        <f t="shared" ref="AD452:AD512" si="142">$Z452+$AB452</f>
        <v>0</v>
      </c>
      <c r="AE452" s="182"/>
      <c r="AJ452" s="28"/>
      <c r="AK452" s="29"/>
    </row>
    <row r="453" spans="1:37">
      <c r="A453" s="139">
        <v>1</v>
      </c>
      <c r="B453" s="139" cm="1">
        <f t="array" ref="B453">IFERROR(IF(A453=s1_id_korvattava1,INDEX($AG$3:$AG$19,MATCH(C453,$AF$3:$AF$19,0),1),IF(A453=s1_id_korvaava1,INDEX($AH$3:$AH$19,MATCH(C453,$AF$3:$AF$19,0),1),IF(A453=s1_id_korvattava2,INDEX($AI$3:$AI$19,MATCH(C453,$AF$3:$AF$19,0),1),IF(A453=s1_id_korvaava2,INDEX($AJ$3:$AJ$19,MATCH(C453,$AF$3:$AF$19,0),1),INDEX(Työkonekanta!$F$3:$F$27,MATCH('S1 Sähkö'!$A453,Työkonekanta!$A$3:$A$24,0),1))))),0)</f>
        <v>1</v>
      </c>
      <c r="C453" s="140">
        <v>2034</v>
      </c>
      <c r="D453" s="141" t="str">
        <f>IFERROR(INDEX(Työkonekanta!$D$3:$D$27,MATCH('S1 Sähkö'!$A453,Työkonekanta!$A$3:$A$24,0),1),"undefined")</f>
        <v>pom</v>
      </c>
      <c r="E453" s="145">
        <f>IFERROR(INDEX(Työkonekanta!$G$3:$G$27,MATCH($A453,Työkonekanta!$A$3:$A$24,0),1)*INDEX(Työkonekanta!$H$3:$H$27,MATCH($A453,Työkonekanta!$A$3:$A$24,0),1)*(1+s1_kerroin*($C453-2019))*$B453,0)</f>
        <v>11500</v>
      </c>
      <c r="F453" s="145">
        <f t="shared" si="130"/>
        <v>412850</v>
      </c>
      <c r="G453" s="145">
        <f t="shared" si="136"/>
        <v>371565</v>
      </c>
      <c r="H453" s="145">
        <f t="shared" si="137"/>
        <v>41285</v>
      </c>
      <c r="I453" s="145">
        <f t="shared" si="131"/>
        <v>10350</v>
      </c>
      <c r="J453" s="145">
        <f t="shared" si="132"/>
        <v>1203.6443148688047</v>
      </c>
      <c r="K453" s="142" t="str">
        <f t="shared" si="138"/>
        <v>l</v>
      </c>
      <c r="L453" s="146">
        <f>IFERROR(INDEX(Työkonekanta!$I$3:$I$27,MATCH('S1 Sähkö'!$A453,Työkonekanta!$A$3:$A$24,0),1)*(I453+J453)*f_adblue,0)</f>
        <v>577.68221574344022</v>
      </c>
      <c r="M453" s="146">
        <f t="shared" si="125"/>
        <v>0</v>
      </c>
      <c r="N453" s="143" t="str">
        <f>IF(tuulisähkö_vuosi&lt;='S1 Sähkö'!C453,"tuulisähkö",ostosähkö_nyt)</f>
        <v>jäännössähkö</v>
      </c>
      <c r="O453" s="147">
        <f>INDEX(Muuttujat!$J$5:$J$21,MATCH($C453,Muuttujat!$H$5:$H$21,0),1)</f>
        <v>59.556652007924122</v>
      </c>
      <c r="P453" s="342">
        <f>1-(INDEX(Muuttujat!$O$5:$O$21,MATCH($C453,Muuttujat!$N$5:$N$21,0),1))</f>
        <v>0.9</v>
      </c>
      <c r="Q453" s="342">
        <f>INDEX(Muuttujat!$O$5:$O$21,MATCH($C453,Muuttujat!$N$5:$N$21,0),1)</f>
        <v>0.1</v>
      </c>
      <c r="R453" s="148">
        <f>INDEX(Muuttujat!$P$5:$P$21,MATCH($C453,Muuttujat!$N$5:$N$21,0),1)</f>
        <v>0.10417875759940039</v>
      </c>
      <c r="S453" s="149">
        <f t="shared" si="133"/>
        <v>7.0225784999999989</v>
      </c>
      <c r="T453" s="150">
        <f t="shared" si="134"/>
        <v>2.576184</v>
      </c>
      <c r="U453" s="150">
        <f t="shared" si="135"/>
        <v>0</v>
      </c>
      <c r="V453" s="150">
        <f>IFERROR(INDEX(Työkonekanta!$J$3:$J$27,MATCH($A453,Työkonekanta!$A$3:$A$24,0),1)*$B453*ef_li_ion_akku/1000/1000/INDEX(Työkonekanta!$K$3:$K$27,MATCH($A453,Työkonekanta!$A$3:$A$24,0)),0)</f>
        <v>0</v>
      </c>
      <c r="W453" s="149">
        <f t="shared" si="126"/>
        <v>27.424564001010001</v>
      </c>
      <c r="X453" s="150">
        <f t="shared" si="127"/>
        <v>0.36540750900000002</v>
      </c>
      <c r="Y453" s="151">
        <f t="shared" si="128"/>
        <v>0.15019737609329448</v>
      </c>
      <c r="Z453" s="152">
        <f t="shared" si="139"/>
        <v>9.5987624999999994</v>
      </c>
      <c r="AA453" s="153">
        <f t="shared" si="140"/>
        <v>27.574761377103297</v>
      </c>
      <c r="AB453" s="153">
        <f t="shared" si="141"/>
        <v>27.940168886103297</v>
      </c>
      <c r="AC453" s="154">
        <f t="shared" si="129"/>
        <v>37.173523877103293</v>
      </c>
      <c r="AD453" s="156">
        <f t="shared" si="142"/>
        <v>37.5389313861033</v>
      </c>
      <c r="AE453" s="182"/>
      <c r="AG453" s="2"/>
    </row>
    <row r="454" spans="1:37">
      <c r="A454" s="139">
        <v>2</v>
      </c>
      <c r="B454" s="139" cm="1">
        <f t="array" ref="B454">IFERROR(IF(A454=s1_id_korvattava1,INDEX($AG$3:$AG$19,MATCH(C454,$AF$3:$AF$19,0),1),IF(A454=s1_id_korvaava1,INDEX($AH$3:$AH$19,MATCH(C454,$AF$3:$AF$19,0),1),IF(A454=s1_id_korvattava2,INDEX($AI$3:$AI$19,MATCH(C454,$AF$3:$AF$19,0),1),IF(A454=s1_id_korvaava2,INDEX($AJ$3:$AJ$19,MATCH(C454,$AF$3:$AF$19,0),1),INDEX(Työkonekanta!$F$3:$F$27,MATCH('S1 Sähkö'!$A454,Työkonekanta!$A$3:$A$24,0),1))))),0)</f>
        <v>1</v>
      </c>
      <c r="C454" s="140">
        <v>2034</v>
      </c>
      <c r="D454" s="141" t="str">
        <f>IFERROR(INDEX(Työkonekanta!$D$3:$D$27,MATCH('S1 Sähkö'!$A454,Työkonekanta!$A$3:$A$24,0),1),"undefined")</f>
        <v>pom</v>
      </c>
      <c r="E454" s="145">
        <f>IFERROR(INDEX(Työkonekanta!$G$3:$G$27,MATCH($A454,Työkonekanta!$A$3:$A$24,0),1)*INDEX(Työkonekanta!$H$3:$H$27,MATCH($A454,Työkonekanta!$A$3:$A$24,0),1)*(1+s1_kerroin*($C454-2019))*$B454,0)</f>
        <v>11500</v>
      </c>
      <c r="F454" s="145">
        <f t="shared" si="130"/>
        <v>412850</v>
      </c>
      <c r="G454" s="145">
        <f t="shared" si="136"/>
        <v>371565</v>
      </c>
      <c r="H454" s="145">
        <f t="shared" si="137"/>
        <v>41285</v>
      </c>
      <c r="I454" s="145">
        <f t="shared" si="131"/>
        <v>10350</v>
      </c>
      <c r="J454" s="145">
        <f t="shared" si="132"/>
        <v>1203.6443148688047</v>
      </c>
      <c r="K454" s="142" t="str">
        <f t="shared" si="138"/>
        <v>l</v>
      </c>
      <c r="L454" s="146">
        <f>IFERROR(INDEX(Työkonekanta!$I$3:$I$27,MATCH('S1 Sähkö'!$A454,Työkonekanta!$A$3:$A$24,0),1)*(I454+J454)*f_adblue,0)</f>
        <v>577.68221574344022</v>
      </c>
      <c r="M454" s="146">
        <f t="shared" si="125"/>
        <v>0</v>
      </c>
      <c r="N454" s="143" t="str">
        <f>IF(tuulisähkö_vuosi&lt;='S1 Sähkö'!C454,"tuulisähkö",ostosähkö_nyt)</f>
        <v>jäännössähkö</v>
      </c>
      <c r="O454" s="147">
        <f>INDEX(Muuttujat!$J$5:$J$21,MATCH($C454,Muuttujat!$H$5:$H$21,0),1)</f>
        <v>59.556652007924122</v>
      </c>
      <c r="P454" s="342">
        <f>1-(INDEX(Muuttujat!$O$5:$O$21,MATCH($C454,Muuttujat!$N$5:$N$21,0),1))</f>
        <v>0.9</v>
      </c>
      <c r="Q454" s="342">
        <f>INDEX(Muuttujat!$O$5:$O$21,MATCH($C454,Muuttujat!$N$5:$N$21,0),1)</f>
        <v>0.1</v>
      </c>
      <c r="R454" s="148">
        <f>INDEX(Muuttujat!$P$5:$P$21,MATCH($C454,Muuttujat!$N$5:$N$21,0),1)</f>
        <v>0.10417875759940039</v>
      </c>
      <c r="S454" s="149">
        <f t="shared" si="133"/>
        <v>7.0225784999999989</v>
      </c>
      <c r="T454" s="150">
        <f t="shared" si="134"/>
        <v>2.576184</v>
      </c>
      <c r="U454" s="150">
        <f t="shared" si="135"/>
        <v>0</v>
      </c>
      <c r="V454" s="150">
        <f>IFERROR(INDEX(Työkonekanta!$J$3:$J$27,MATCH($A454,Työkonekanta!$A$3:$A$24,0),1)*$B454*ef_li_ion_akku/1000/1000/INDEX(Työkonekanta!$K$3:$K$27,MATCH($A454,Työkonekanta!$A$3:$A$24,0)),0)</f>
        <v>0</v>
      </c>
      <c r="W454" s="149">
        <f t="shared" si="126"/>
        <v>27.424564001010001</v>
      </c>
      <c r="X454" s="150">
        <f t="shared" si="127"/>
        <v>0.36540750900000002</v>
      </c>
      <c r="Y454" s="151">
        <f t="shared" si="128"/>
        <v>0.15019737609329448</v>
      </c>
      <c r="Z454" s="152">
        <f t="shared" si="139"/>
        <v>9.5987624999999994</v>
      </c>
      <c r="AA454" s="153">
        <f t="shared" si="140"/>
        <v>27.574761377103297</v>
      </c>
      <c r="AB454" s="153">
        <f t="shared" si="141"/>
        <v>27.940168886103297</v>
      </c>
      <c r="AC454" s="154">
        <f t="shared" si="129"/>
        <v>37.173523877103293</v>
      </c>
      <c r="AD454" s="156">
        <f t="shared" si="142"/>
        <v>37.5389313861033</v>
      </c>
      <c r="AE454" s="182"/>
      <c r="AG454" s="2"/>
    </row>
    <row r="455" spans="1:37">
      <c r="A455" s="139">
        <v>3</v>
      </c>
      <c r="B455" s="139" cm="1">
        <f t="array" ref="B455">IFERROR(IF(A455=s1_id_korvattava1,INDEX($AG$3:$AG$19,MATCH(C455,$AF$3:$AF$19,0),1),IF(A455=s1_id_korvaava1,INDEX($AH$3:$AH$19,MATCH(C455,$AF$3:$AF$19,0),1),IF(A455=s1_id_korvattava2,INDEX($AI$3:$AI$19,MATCH(C455,$AF$3:$AF$19,0),1),IF(A455=s1_id_korvaava2,INDEX($AJ$3:$AJ$19,MATCH(C455,$AF$3:$AF$19,0),1),INDEX(Työkonekanta!$F$3:$F$27,MATCH('S1 Sähkö'!$A455,Työkonekanta!$A$3:$A$24,0),1))))),0)</f>
        <v>1</v>
      </c>
      <c r="C455" s="140">
        <v>2034</v>
      </c>
      <c r="D455" s="141" t="str">
        <f>IFERROR(INDEX(Työkonekanta!$D$3:$D$27,MATCH('S1 Sähkö'!$A455,Työkonekanta!$A$3:$A$24,0),1),"undefined")</f>
        <v>pom</v>
      </c>
      <c r="E455" s="145">
        <f>IFERROR(INDEX(Työkonekanta!$G$3:$G$27,MATCH($A455,Työkonekanta!$A$3:$A$24,0),1)*INDEX(Työkonekanta!$H$3:$H$27,MATCH($A455,Työkonekanta!$A$3:$A$24,0),1)*(1+s1_kerroin*($C455-2019))*$B455,0)</f>
        <v>11500</v>
      </c>
      <c r="F455" s="145">
        <f t="shared" si="130"/>
        <v>412850</v>
      </c>
      <c r="G455" s="145">
        <f t="shared" si="136"/>
        <v>371565</v>
      </c>
      <c r="H455" s="145">
        <f t="shared" si="137"/>
        <v>41285</v>
      </c>
      <c r="I455" s="145">
        <f t="shared" si="131"/>
        <v>10350</v>
      </c>
      <c r="J455" s="145">
        <f t="shared" si="132"/>
        <v>1203.6443148688047</v>
      </c>
      <c r="K455" s="142" t="str">
        <f t="shared" si="138"/>
        <v>l</v>
      </c>
      <c r="L455" s="146">
        <f>IFERROR(INDEX(Työkonekanta!$I$3:$I$27,MATCH('S1 Sähkö'!$A455,Työkonekanta!$A$3:$A$24,0),1)*(I455+J455)*f_adblue,0)</f>
        <v>577.68221574344022</v>
      </c>
      <c r="M455" s="146">
        <f t="shared" si="125"/>
        <v>0</v>
      </c>
      <c r="N455" s="143" t="str">
        <f>IF(tuulisähkö_vuosi&lt;='S1 Sähkö'!C455,"tuulisähkö",ostosähkö_nyt)</f>
        <v>jäännössähkö</v>
      </c>
      <c r="O455" s="147">
        <f>INDEX(Muuttujat!$J$5:$J$21,MATCH($C455,Muuttujat!$H$5:$H$21,0),1)</f>
        <v>59.556652007924122</v>
      </c>
      <c r="P455" s="342">
        <f>1-(INDEX(Muuttujat!$O$5:$O$21,MATCH($C455,Muuttujat!$N$5:$N$21,0),1))</f>
        <v>0.9</v>
      </c>
      <c r="Q455" s="342">
        <f>INDEX(Muuttujat!$O$5:$O$21,MATCH($C455,Muuttujat!$N$5:$N$21,0),1)</f>
        <v>0.1</v>
      </c>
      <c r="R455" s="148">
        <f>INDEX(Muuttujat!$P$5:$P$21,MATCH($C455,Muuttujat!$N$5:$N$21,0),1)</f>
        <v>0.10417875759940039</v>
      </c>
      <c r="S455" s="149">
        <f t="shared" si="133"/>
        <v>7.0225784999999989</v>
      </c>
      <c r="T455" s="150">
        <f t="shared" si="134"/>
        <v>2.576184</v>
      </c>
      <c r="U455" s="150">
        <f t="shared" si="135"/>
        <v>0</v>
      </c>
      <c r="V455" s="150">
        <f>IFERROR(INDEX(Työkonekanta!$J$3:$J$27,MATCH($A455,Työkonekanta!$A$3:$A$24,0),1)*$B455*ef_li_ion_akku/1000/1000/INDEX(Työkonekanta!$K$3:$K$27,MATCH($A455,Työkonekanta!$A$3:$A$24,0)),0)</f>
        <v>0</v>
      </c>
      <c r="W455" s="149">
        <f t="shared" si="126"/>
        <v>27.424564001010001</v>
      </c>
      <c r="X455" s="150">
        <f t="shared" si="127"/>
        <v>0.36540750900000002</v>
      </c>
      <c r="Y455" s="151">
        <f t="shared" si="128"/>
        <v>0.15019737609329448</v>
      </c>
      <c r="Z455" s="152">
        <f t="shared" si="139"/>
        <v>9.5987624999999994</v>
      </c>
      <c r="AA455" s="153">
        <f t="shared" si="140"/>
        <v>27.574761377103297</v>
      </c>
      <c r="AB455" s="153">
        <f t="shared" si="141"/>
        <v>27.940168886103297</v>
      </c>
      <c r="AC455" s="154">
        <f t="shared" si="129"/>
        <v>37.173523877103293</v>
      </c>
      <c r="AD455" s="156">
        <f t="shared" si="142"/>
        <v>37.5389313861033</v>
      </c>
      <c r="AE455" s="182"/>
      <c r="AG455" s="2"/>
    </row>
    <row r="456" spans="1:37">
      <c r="A456" s="139">
        <v>4</v>
      </c>
      <c r="B456" s="139" cm="1">
        <f t="array" ref="B456">IFERROR(IF(A456=s1_id_korvattava1,INDEX($AG$3:$AG$19,MATCH(C456,$AF$3:$AF$19,0),1),IF(A456=s1_id_korvaava1,INDEX($AH$3:$AH$19,MATCH(C456,$AF$3:$AF$19,0),1),IF(A456=s1_id_korvattava2,INDEX($AI$3:$AI$19,MATCH(C456,$AF$3:$AF$19,0),1),IF(A456=s1_id_korvaava2,INDEX($AJ$3:$AJ$19,MATCH(C456,$AF$3:$AF$19,0),1),INDEX(Työkonekanta!$F$3:$F$27,MATCH('S1 Sähkö'!$A456,Työkonekanta!$A$3:$A$24,0),1))))),0)</f>
        <v>1</v>
      </c>
      <c r="C456" s="140">
        <v>2034</v>
      </c>
      <c r="D456" s="141" t="str">
        <f>IFERROR(INDEX(Työkonekanta!$D$3:$D$27,MATCH('S1 Sähkö'!$A456,Työkonekanta!$A$3:$A$24,0),1),"undefined")</f>
        <v>pom</v>
      </c>
      <c r="E456" s="145">
        <f>IFERROR(INDEX(Työkonekanta!$G$3:$G$27,MATCH($A456,Työkonekanta!$A$3:$A$24,0),1)*INDEX(Työkonekanta!$H$3:$H$27,MATCH($A456,Työkonekanta!$A$3:$A$24,0),1)*(1+s1_kerroin*($C456-2019))*$B456,0)</f>
        <v>11500</v>
      </c>
      <c r="F456" s="145">
        <f t="shared" si="130"/>
        <v>412850</v>
      </c>
      <c r="G456" s="145">
        <f t="shared" si="136"/>
        <v>371565</v>
      </c>
      <c r="H456" s="145">
        <f t="shared" si="137"/>
        <v>41285</v>
      </c>
      <c r="I456" s="145">
        <f t="shared" si="131"/>
        <v>10350</v>
      </c>
      <c r="J456" s="145">
        <f t="shared" si="132"/>
        <v>1203.6443148688047</v>
      </c>
      <c r="K456" s="142" t="str">
        <f t="shared" si="138"/>
        <v>l</v>
      </c>
      <c r="L456" s="146">
        <f>IFERROR(INDEX(Työkonekanta!$I$3:$I$27,MATCH('S1 Sähkö'!$A456,Työkonekanta!$A$3:$A$24,0),1)*(I456+J456)*f_adblue,0)</f>
        <v>577.68221574344022</v>
      </c>
      <c r="M456" s="146">
        <f t="shared" si="125"/>
        <v>0</v>
      </c>
      <c r="N456" s="143" t="str">
        <f>IF(tuulisähkö_vuosi&lt;='S1 Sähkö'!C456,"tuulisähkö",ostosähkö_nyt)</f>
        <v>jäännössähkö</v>
      </c>
      <c r="O456" s="147">
        <f>INDEX(Muuttujat!$J$5:$J$21,MATCH($C456,Muuttujat!$H$5:$H$21,0),1)</f>
        <v>59.556652007924122</v>
      </c>
      <c r="P456" s="342">
        <f>1-(INDEX(Muuttujat!$O$5:$O$21,MATCH($C456,Muuttujat!$N$5:$N$21,0),1))</f>
        <v>0.9</v>
      </c>
      <c r="Q456" s="342">
        <f>INDEX(Muuttujat!$O$5:$O$21,MATCH($C456,Muuttujat!$N$5:$N$21,0),1)</f>
        <v>0.1</v>
      </c>
      <c r="R456" s="148">
        <f>INDEX(Muuttujat!$P$5:$P$21,MATCH($C456,Muuttujat!$N$5:$N$21,0),1)</f>
        <v>0.10417875759940039</v>
      </c>
      <c r="S456" s="149">
        <f t="shared" si="133"/>
        <v>7.0225784999999989</v>
      </c>
      <c r="T456" s="150">
        <f t="shared" si="134"/>
        <v>2.576184</v>
      </c>
      <c r="U456" s="150">
        <f t="shared" si="135"/>
        <v>0</v>
      </c>
      <c r="V456" s="150">
        <f>IFERROR(INDEX(Työkonekanta!$J$3:$J$27,MATCH($A456,Työkonekanta!$A$3:$A$24,0),1)*$B456*ef_li_ion_akku/1000/1000/INDEX(Työkonekanta!$K$3:$K$27,MATCH($A456,Työkonekanta!$A$3:$A$24,0)),0)</f>
        <v>0</v>
      </c>
      <c r="W456" s="149">
        <f t="shared" si="126"/>
        <v>27.424564001010001</v>
      </c>
      <c r="X456" s="150">
        <f t="shared" si="127"/>
        <v>0.36540750900000002</v>
      </c>
      <c r="Y456" s="151">
        <f t="shared" si="128"/>
        <v>0.15019737609329448</v>
      </c>
      <c r="Z456" s="152">
        <f t="shared" si="139"/>
        <v>9.5987624999999994</v>
      </c>
      <c r="AA456" s="153">
        <f t="shared" si="140"/>
        <v>27.574761377103297</v>
      </c>
      <c r="AB456" s="153">
        <f t="shared" si="141"/>
        <v>27.940168886103297</v>
      </c>
      <c r="AC456" s="154">
        <f t="shared" si="129"/>
        <v>37.173523877103293</v>
      </c>
      <c r="AD456" s="156">
        <f t="shared" si="142"/>
        <v>37.5389313861033</v>
      </c>
      <c r="AE456" s="182"/>
      <c r="AG456" s="2"/>
    </row>
    <row r="457" spans="1:37">
      <c r="A457" s="139">
        <v>5</v>
      </c>
      <c r="B457" s="139" cm="1">
        <f t="array" ref="B457">IFERROR(IF(A457=s1_id_korvattava1,INDEX($AG$3:$AG$19,MATCH(C457,$AF$3:$AF$19,0),1),IF(A457=s1_id_korvaava1,INDEX($AH$3:$AH$19,MATCH(C457,$AF$3:$AF$19,0),1),IF(A457=s1_id_korvattava2,INDEX($AI$3:$AI$19,MATCH(C457,$AF$3:$AF$19,0),1),IF(A457=s1_id_korvaava2,INDEX($AJ$3:$AJ$19,MATCH(C457,$AF$3:$AF$19,0),1),INDEX(Työkonekanta!$F$3:$F$27,MATCH('S1 Sähkö'!$A457,Työkonekanta!$A$3:$A$24,0),1))))),0)</f>
        <v>0</v>
      </c>
      <c r="C457" s="140">
        <v>2034</v>
      </c>
      <c r="D457" s="141" t="str">
        <f>IFERROR(INDEX(Työkonekanta!$D$3:$D$27,MATCH('S1 Sähkö'!$A457,Työkonekanta!$A$3:$A$24,0),1),"undefined")</f>
        <v>sähkö</v>
      </c>
      <c r="E457" s="145">
        <f>IFERROR(INDEX(Työkonekanta!$G$3:$G$27,MATCH($A457,Työkonekanta!$A$3:$A$24,0),1)*INDEX(Työkonekanta!$H$3:$H$27,MATCH($A457,Työkonekanta!$A$3:$A$24,0),1)*(1+s1_kerroin*($C457-2019))*$B457,0)</f>
        <v>0</v>
      </c>
      <c r="F457" s="145">
        <f t="shared" si="130"/>
        <v>0</v>
      </c>
      <c r="G457" s="145">
        <f t="shared" si="136"/>
        <v>0</v>
      </c>
      <c r="H457" s="145">
        <f t="shared" si="137"/>
        <v>0</v>
      </c>
      <c r="I457" s="145">
        <f t="shared" si="131"/>
        <v>0</v>
      </c>
      <c r="J457" s="145">
        <f t="shared" si="132"/>
        <v>0</v>
      </c>
      <c r="K457" s="142" t="str">
        <f t="shared" si="138"/>
        <v>kWh</v>
      </c>
      <c r="L457" s="146">
        <f>IFERROR(INDEX(Työkonekanta!$I$3:$I$27,MATCH('S1 Sähkö'!$A457,Työkonekanta!$A$3:$A$24,0),1)*(I457+J457)*f_adblue,0)</f>
        <v>0</v>
      </c>
      <c r="M457" s="146">
        <f t="shared" si="125"/>
        <v>0</v>
      </c>
      <c r="N457" s="143" t="str">
        <f>IF(tuulisähkö_vuosi&lt;='S1 Sähkö'!C457,"tuulisähkö",ostosähkö_nyt)</f>
        <v>jäännössähkö</v>
      </c>
      <c r="O457" s="147">
        <f>INDEX(Muuttujat!$J$5:$J$21,MATCH($C457,Muuttujat!$H$5:$H$21,0),1)</f>
        <v>59.556652007924122</v>
      </c>
      <c r="P457" s="342">
        <f>1-(INDEX(Muuttujat!$O$5:$O$21,MATCH($C457,Muuttujat!$N$5:$N$21,0),1))</f>
        <v>0.9</v>
      </c>
      <c r="Q457" s="342">
        <f>INDEX(Muuttujat!$O$5:$O$21,MATCH($C457,Muuttujat!$N$5:$N$21,0),1)</f>
        <v>0.1</v>
      </c>
      <c r="R457" s="148">
        <f>INDEX(Muuttujat!$P$5:$P$21,MATCH($C457,Muuttujat!$N$5:$N$21,0),1)</f>
        <v>0.10417875759940039</v>
      </c>
      <c r="S457" s="149">
        <f t="shared" si="133"/>
        <v>0</v>
      </c>
      <c r="T457" s="150">
        <f t="shared" si="134"/>
        <v>0</v>
      </c>
      <c r="U457" s="150">
        <f t="shared" si="135"/>
        <v>0</v>
      </c>
      <c r="V457" s="150">
        <f>IFERROR(INDEX(Työkonekanta!$J$3:$J$27,MATCH($A457,Työkonekanta!$A$3:$A$24,0),1)*$B457*ef_li_ion_akku/1000/1000/INDEX(Työkonekanta!$K$3:$K$27,MATCH($A457,Työkonekanta!$A$3:$A$24,0)),0)</f>
        <v>0</v>
      </c>
      <c r="W457" s="149">
        <f t="shared" si="126"/>
        <v>0</v>
      </c>
      <c r="X457" s="150">
        <f t="shared" si="127"/>
        <v>0</v>
      </c>
      <c r="Y457" s="151">
        <f t="shared" si="128"/>
        <v>0</v>
      </c>
      <c r="Z457" s="152">
        <f t="shared" si="139"/>
        <v>0</v>
      </c>
      <c r="AA457" s="153">
        <f t="shared" si="140"/>
        <v>0</v>
      </c>
      <c r="AB457" s="153">
        <f t="shared" si="141"/>
        <v>0</v>
      </c>
      <c r="AC457" s="154">
        <f t="shared" si="129"/>
        <v>0</v>
      </c>
      <c r="AD457" s="156">
        <f t="shared" si="142"/>
        <v>0</v>
      </c>
      <c r="AE457" s="182"/>
      <c r="AG457" s="2"/>
    </row>
    <row r="458" spans="1:37">
      <c r="A458" s="139">
        <v>6</v>
      </c>
      <c r="B458" s="139" cm="1">
        <f t="array" ref="B458">IFERROR(IF(A458=s1_id_korvattava1,INDEX($AG$3:$AG$19,MATCH(C458,$AF$3:$AF$19,0),1),IF(A458=s1_id_korvaava1,INDEX($AH$3:$AH$19,MATCH(C458,$AF$3:$AF$19,0),1),IF(A458=s1_id_korvattava2,INDEX($AI$3:$AI$19,MATCH(C458,$AF$3:$AF$19,0),1),IF(A458=s1_id_korvaava2,INDEX($AJ$3:$AJ$19,MATCH(C458,$AF$3:$AF$19,0),1),INDEX(Työkonekanta!$F$3:$F$27,MATCH('S1 Sähkö'!$A458,Työkonekanta!$A$3:$A$24,0),1))))),0)</f>
        <v>0</v>
      </c>
      <c r="C458" s="140">
        <v>2034</v>
      </c>
      <c r="D458" s="141" t="str">
        <f>IFERROR(INDEX(Työkonekanta!$D$3:$D$27,MATCH('S1 Sähkö'!$A458,Työkonekanta!$A$3:$A$24,0),1),"undefined")</f>
        <v>sähkö</v>
      </c>
      <c r="E458" s="145">
        <f>IFERROR(INDEX(Työkonekanta!$G$3:$G$27,MATCH($A458,Työkonekanta!$A$3:$A$24,0),1)*INDEX(Työkonekanta!$H$3:$H$27,MATCH($A458,Työkonekanta!$A$3:$A$24,0),1)*(1+s1_kerroin*($C458-2019))*$B458,0)</f>
        <v>0</v>
      </c>
      <c r="F458" s="145">
        <f t="shared" si="130"/>
        <v>0</v>
      </c>
      <c r="G458" s="145">
        <f t="shared" si="136"/>
        <v>0</v>
      </c>
      <c r="H458" s="145">
        <f t="shared" si="137"/>
        <v>0</v>
      </c>
      <c r="I458" s="145">
        <f t="shared" si="131"/>
        <v>0</v>
      </c>
      <c r="J458" s="145">
        <f t="shared" si="132"/>
        <v>0</v>
      </c>
      <c r="K458" s="142" t="str">
        <f t="shared" si="138"/>
        <v>kWh</v>
      </c>
      <c r="L458" s="146">
        <f>IFERROR(INDEX(Työkonekanta!$I$3:$I$27,MATCH('S1 Sähkö'!$A458,Työkonekanta!$A$3:$A$24,0),1)*(I458+J458)*f_adblue,0)</f>
        <v>0</v>
      </c>
      <c r="M458" s="146">
        <f t="shared" si="125"/>
        <v>0</v>
      </c>
      <c r="N458" s="143" t="str">
        <f>IF(tuulisähkö_vuosi&lt;='S1 Sähkö'!C458,"tuulisähkö",ostosähkö_nyt)</f>
        <v>jäännössähkö</v>
      </c>
      <c r="O458" s="147">
        <f>INDEX(Muuttujat!$J$5:$J$21,MATCH($C458,Muuttujat!$H$5:$H$21,0),1)</f>
        <v>59.556652007924122</v>
      </c>
      <c r="P458" s="342">
        <f>1-(INDEX(Muuttujat!$O$5:$O$21,MATCH($C458,Muuttujat!$N$5:$N$21,0),1))</f>
        <v>0.9</v>
      </c>
      <c r="Q458" s="342">
        <f>INDEX(Muuttujat!$O$5:$O$21,MATCH($C458,Muuttujat!$N$5:$N$21,0),1)</f>
        <v>0.1</v>
      </c>
      <c r="R458" s="148">
        <f>INDEX(Muuttujat!$P$5:$P$21,MATCH($C458,Muuttujat!$N$5:$N$21,0),1)</f>
        <v>0.10417875759940039</v>
      </c>
      <c r="S458" s="149">
        <f t="shared" si="133"/>
        <v>0</v>
      </c>
      <c r="T458" s="150">
        <f t="shared" si="134"/>
        <v>0</v>
      </c>
      <c r="U458" s="150">
        <f t="shared" si="135"/>
        <v>0</v>
      </c>
      <c r="V458" s="150">
        <f>IFERROR(INDEX(Työkonekanta!$J$3:$J$27,MATCH($A458,Työkonekanta!$A$3:$A$24,0),1)*$B458*ef_li_ion_akku/1000/1000/INDEX(Työkonekanta!$K$3:$K$27,MATCH($A458,Työkonekanta!$A$3:$A$24,0)),0)</f>
        <v>0</v>
      </c>
      <c r="W458" s="149">
        <f t="shared" si="126"/>
        <v>0</v>
      </c>
      <c r="X458" s="150">
        <f t="shared" si="127"/>
        <v>0</v>
      </c>
      <c r="Y458" s="151">
        <f t="shared" si="128"/>
        <v>0</v>
      </c>
      <c r="Z458" s="152">
        <f t="shared" si="139"/>
        <v>0</v>
      </c>
      <c r="AA458" s="153">
        <f t="shared" si="140"/>
        <v>0</v>
      </c>
      <c r="AB458" s="153">
        <f t="shared" si="141"/>
        <v>0</v>
      </c>
      <c r="AC458" s="154">
        <f t="shared" si="129"/>
        <v>0</v>
      </c>
      <c r="AD458" s="156">
        <f t="shared" si="142"/>
        <v>0</v>
      </c>
      <c r="AE458" s="182"/>
      <c r="AG458" s="2"/>
    </row>
    <row r="459" spans="1:37">
      <c r="A459" s="139">
        <v>7</v>
      </c>
      <c r="B459" s="139" cm="1">
        <f t="array" ref="B459">IFERROR(IF(A459=s1_id_korvattava1,INDEX($AG$3:$AG$19,MATCH(C459,$AF$3:$AF$19,0),1),IF(A459=s1_id_korvaava1,INDEX($AH$3:$AH$19,MATCH(C459,$AF$3:$AF$19,0),1),IF(A459=s1_id_korvattava2,INDEX($AI$3:$AI$19,MATCH(C459,$AF$3:$AF$19,0),1),IF(A459=s1_id_korvaava2,INDEX($AJ$3:$AJ$19,MATCH(C459,$AF$3:$AF$19,0),1),INDEX(Työkonekanta!$F$3:$F$27,MATCH('S1 Sähkö'!$A459,Työkonekanta!$A$3:$A$24,0),1))))),0)</f>
        <v>1</v>
      </c>
      <c r="C459" s="140">
        <v>2034</v>
      </c>
      <c r="D459" s="141" t="str">
        <f>IFERROR(INDEX(Työkonekanta!$D$3:$D$27,MATCH('S1 Sähkö'!$A459,Työkonekanta!$A$3:$A$24,0),1),"undefined")</f>
        <v>pom</v>
      </c>
      <c r="E459" s="145">
        <f>IFERROR(INDEX(Työkonekanta!$G$3:$G$27,MATCH($A459,Työkonekanta!$A$3:$A$24,0),1)*INDEX(Työkonekanta!$H$3:$H$27,MATCH($A459,Työkonekanta!$A$3:$A$24,0),1)*(1+s1_kerroin*($C459-2019))*$B459,0)</f>
        <v>11500</v>
      </c>
      <c r="F459" s="145">
        <f t="shared" si="130"/>
        <v>412850</v>
      </c>
      <c r="G459" s="145">
        <f t="shared" si="136"/>
        <v>371565</v>
      </c>
      <c r="H459" s="145">
        <f t="shared" si="137"/>
        <v>41285</v>
      </c>
      <c r="I459" s="145">
        <f t="shared" si="131"/>
        <v>10350</v>
      </c>
      <c r="J459" s="145">
        <f t="shared" si="132"/>
        <v>1203.6443148688047</v>
      </c>
      <c r="K459" s="142" t="str">
        <f t="shared" si="138"/>
        <v>l</v>
      </c>
      <c r="L459" s="146">
        <f>IFERROR(INDEX(Työkonekanta!$I$3:$I$27,MATCH('S1 Sähkö'!$A459,Työkonekanta!$A$3:$A$24,0),1)*(I459+J459)*f_adblue,0)</f>
        <v>0</v>
      </c>
      <c r="M459" s="146">
        <f t="shared" si="125"/>
        <v>0</v>
      </c>
      <c r="N459" s="143" t="str">
        <f>IF(tuulisähkö_vuosi&lt;='S1 Sähkö'!C459,"tuulisähkö",ostosähkö_nyt)</f>
        <v>jäännössähkö</v>
      </c>
      <c r="O459" s="147">
        <f>INDEX(Muuttujat!$J$5:$J$21,MATCH($C459,Muuttujat!$H$5:$H$21,0),1)</f>
        <v>59.556652007924122</v>
      </c>
      <c r="P459" s="342">
        <f>1-(INDEX(Muuttujat!$O$5:$O$21,MATCH($C459,Muuttujat!$N$5:$N$21,0),1))</f>
        <v>0.9</v>
      </c>
      <c r="Q459" s="342">
        <f>INDEX(Muuttujat!$O$5:$O$21,MATCH($C459,Muuttujat!$N$5:$N$21,0),1)</f>
        <v>0.1</v>
      </c>
      <c r="R459" s="148">
        <f>INDEX(Muuttujat!$P$5:$P$21,MATCH($C459,Muuttujat!$N$5:$N$21,0),1)</f>
        <v>0.10417875759940039</v>
      </c>
      <c r="S459" s="149">
        <f t="shared" si="133"/>
        <v>7.0225784999999989</v>
      </c>
      <c r="T459" s="150">
        <f t="shared" si="134"/>
        <v>2.576184</v>
      </c>
      <c r="U459" s="150">
        <f t="shared" si="135"/>
        <v>0</v>
      </c>
      <c r="V459" s="150">
        <f>IFERROR(INDEX(Työkonekanta!$J$3:$J$27,MATCH($A459,Työkonekanta!$A$3:$A$24,0),1)*$B459*ef_li_ion_akku/1000/1000/INDEX(Työkonekanta!$K$3:$K$27,MATCH($A459,Työkonekanta!$A$3:$A$24,0)),0)</f>
        <v>0</v>
      </c>
      <c r="W459" s="149">
        <f t="shared" si="126"/>
        <v>27.424564001010001</v>
      </c>
      <c r="X459" s="150">
        <f t="shared" si="127"/>
        <v>0.36540750900000002</v>
      </c>
      <c r="Y459" s="151">
        <f t="shared" si="128"/>
        <v>0</v>
      </c>
      <c r="Z459" s="152">
        <f t="shared" si="139"/>
        <v>9.5987624999999994</v>
      </c>
      <c r="AA459" s="153">
        <f t="shared" si="140"/>
        <v>27.424564001010001</v>
      </c>
      <c r="AB459" s="153">
        <f t="shared" si="141"/>
        <v>27.789971510010002</v>
      </c>
      <c r="AC459" s="154">
        <f t="shared" si="129"/>
        <v>37.023326501010004</v>
      </c>
      <c r="AD459" s="156">
        <f t="shared" si="142"/>
        <v>37.388734010009998</v>
      </c>
      <c r="AE459" s="182"/>
      <c r="AG459" s="2"/>
    </row>
    <row r="460" spans="1:37">
      <c r="A460" s="139">
        <v>8</v>
      </c>
      <c r="B460" s="139" cm="1">
        <f t="array" ref="B460">IFERROR(IF(A460=s1_id_korvattava1,INDEX($AG$3:$AG$19,MATCH(C460,$AF$3:$AF$19,0),1),IF(A460=s1_id_korvaava1,INDEX($AH$3:$AH$19,MATCH(C460,$AF$3:$AF$19,0),1),IF(A460=s1_id_korvattava2,INDEX($AI$3:$AI$19,MATCH(C460,$AF$3:$AF$19,0),1),IF(A460=s1_id_korvaava2,INDEX($AJ$3:$AJ$19,MATCH(C460,$AF$3:$AF$19,0),1),INDEX(Työkonekanta!$F$3:$F$27,MATCH('S1 Sähkö'!$A460,Työkonekanta!$A$3:$A$24,0),1))))),0)</f>
        <v>1</v>
      </c>
      <c r="C460" s="140">
        <v>2034</v>
      </c>
      <c r="D460" s="141" t="str">
        <f>IFERROR(INDEX(Työkonekanta!$D$3:$D$27,MATCH('S1 Sähkö'!$A460,Työkonekanta!$A$3:$A$24,0),1),"undefined")</f>
        <v>pom</v>
      </c>
      <c r="E460" s="145">
        <f>IFERROR(INDEX(Työkonekanta!$G$3:$G$27,MATCH($A460,Työkonekanta!$A$3:$A$24,0),1)*INDEX(Työkonekanta!$H$3:$H$27,MATCH($A460,Työkonekanta!$A$3:$A$24,0),1)*(1+s1_kerroin*($C460-2019))*$B460,0)</f>
        <v>11500</v>
      </c>
      <c r="F460" s="145">
        <f t="shared" si="130"/>
        <v>412850</v>
      </c>
      <c r="G460" s="145">
        <f t="shared" si="136"/>
        <v>371565</v>
      </c>
      <c r="H460" s="145">
        <f t="shared" si="137"/>
        <v>41285</v>
      </c>
      <c r="I460" s="145">
        <f t="shared" si="131"/>
        <v>10350</v>
      </c>
      <c r="J460" s="145">
        <f t="shared" si="132"/>
        <v>1203.6443148688047</v>
      </c>
      <c r="K460" s="142" t="str">
        <f t="shared" si="138"/>
        <v>l</v>
      </c>
      <c r="L460" s="146">
        <f>IFERROR(INDEX(Työkonekanta!$I$3:$I$27,MATCH('S1 Sähkö'!$A460,Työkonekanta!$A$3:$A$24,0),1)*(I460+J460)*f_adblue,0)</f>
        <v>577.68221574344022</v>
      </c>
      <c r="M460" s="146">
        <f t="shared" si="125"/>
        <v>0</v>
      </c>
      <c r="N460" s="143" t="str">
        <f>IF(tuulisähkö_vuosi&lt;='S1 Sähkö'!C460,"tuulisähkö",ostosähkö_nyt)</f>
        <v>jäännössähkö</v>
      </c>
      <c r="O460" s="147">
        <f>INDEX(Muuttujat!$J$5:$J$21,MATCH($C460,Muuttujat!$H$5:$H$21,0),1)</f>
        <v>59.556652007924122</v>
      </c>
      <c r="P460" s="342">
        <f>1-(INDEX(Muuttujat!$O$5:$O$21,MATCH($C460,Muuttujat!$N$5:$N$21,0),1))</f>
        <v>0.9</v>
      </c>
      <c r="Q460" s="342">
        <f>INDEX(Muuttujat!$O$5:$O$21,MATCH($C460,Muuttujat!$N$5:$N$21,0),1)</f>
        <v>0.1</v>
      </c>
      <c r="R460" s="148">
        <f>INDEX(Muuttujat!$P$5:$P$21,MATCH($C460,Muuttujat!$N$5:$N$21,0),1)</f>
        <v>0.10417875759940039</v>
      </c>
      <c r="S460" s="149">
        <f t="shared" si="133"/>
        <v>7.0225784999999989</v>
      </c>
      <c r="T460" s="150">
        <f t="shared" si="134"/>
        <v>2.576184</v>
      </c>
      <c r="U460" s="150">
        <f t="shared" si="135"/>
        <v>0</v>
      </c>
      <c r="V460" s="150">
        <f>IFERROR(INDEX(Työkonekanta!$J$3:$J$27,MATCH($A460,Työkonekanta!$A$3:$A$24,0),1)*$B460*ef_li_ion_akku/1000/1000/INDEX(Työkonekanta!$K$3:$K$27,MATCH($A460,Työkonekanta!$A$3:$A$24,0)),0)</f>
        <v>0</v>
      </c>
      <c r="W460" s="149">
        <f t="shared" si="126"/>
        <v>27.424564001010001</v>
      </c>
      <c r="X460" s="150">
        <f t="shared" si="127"/>
        <v>0.36540750900000002</v>
      </c>
      <c r="Y460" s="151">
        <f t="shared" si="128"/>
        <v>0.15019737609329448</v>
      </c>
      <c r="Z460" s="152">
        <f t="shared" si="139"/>
        <v>9.5987624999999994</v>
      </c>
      <c r="AA460" s="153">
        <f t="shared" si="140"/>
        <v>27.574761377103297</v>
      </c>
      <c r="AB460" s="153">
        <f t="shared" si="141"/>
        <v>27.940168886103297</v>
      </c>
      <c r="AC460" s="154">
        <f t="shared" si="129"/>
        <v>37.173523877103293</v>
      </c>
      <c r="AD460" s="156">
        <f t="shared" si="142"/>
        <v>37.5389313861033</v>
      </c>
      <c r="AE460" s="182"/>
      <c r="AG460" s="2"/>
    </row>
    <row r="461" spans="1:37">
      <c r="A461" s="139">
        <v>9</v>
      </c>
      <c r="B461" s="139" cm="1">
        <f t="array" ref="B461">IFERROR(IF(A461=s1_id_korvattava1,INDEX($AG$3:$AG$19,MATCH(C461,$AF$3:$AF$19,0),1),IF(A461=s1_id_korvaava1,INDEX($AH$3:$AH$19,MATCH(C461,$AF$3:$AF$19,0),1),IF(A461=s1_id_korvattava2,INDEX($AI$3:$AI$19,MATCH(C461,$AF$3:$AF$19,0),1),IF(A461=s1_id_korvaava2,INDEX($AJ$3:$AJ$19,MATCH(C461,$AF$3:$AF$19,0),1),INDEX(Työkonekanta!$F$3:$F$27,MATCH('S1 Sähkö'!$A461,Työkonekanta!$A$3:$A$24,0),1))))),0)</f>
        <v>0</v>
      </c>
      <c r="C461" s="140">
        <v>2034</v>
      </c>
      <c r="D461" s="141" t="str">
        <f>IFERROR(INDEX(Työkonekanta!$D$3:$D$27,MATCH('S1 Sähkö'!$A461,Työkonekanta!$A$3:$A$24,0),1),"undefined")</f>
        <v>sähkö</v>
      </c>
      <c r="E461" s="145">
        <f>IFERROR(INDEX(Työkonekanta!$G$3:$G$27,MATCH($A461,Työkonekanta!$A$3:$A$24,0),1)*INDEX(Työkonekanta!$H$3:$H$27,MATCH($A461,Työkonekanta!$A$3:$A$24,0),1)*(1+s1_kerroin*($C461-2019))*$B461,0)</f>
        <v>0</v>
      </c>
      <c r="F461" s="145">
        <f t="shared" si="130"/>
        <v>0</v>
      </c>
      <c r="G461" s="145">
        <f t="shared" si="136"/>
        <v>0</v>
      </c>
      <c r="H461" s="145">
        <f t="shared" si="137"/>
        <v>0</v>
      </c>
      <c r="I461" s="145">
        <f t="shared" si="131"/>
        <v>0</v>
      </c>
      <c r="J461" s="145">
        <f t="shared" si="132"/>
        <v>0</v>
      </c>
      <c r="K461" s="142" t="str">
        <f t="shared" si="138"/>
        <v>kWh</v>
      </c>
      <c r="L461" s="146">
        <f>IFERROR(INDEX(Työkonekanta!$I$3:$I$27,MATCH('S1 Sähkö'!$A461,Työkonekanta!$A$3:$A$24,0),1)*(I461+J461)*f_adblue,0)</f>
        <v>0</v>
      </c>
      <c r="M461" s="146">
        <f t="shared" si="125"/>
        <v>0</v>
      </c>
      <c r="N461" s="143" t="str">
        <f>IF(tuulisähkö_vuosi&lt;='S1 Sähkö'!C461,"tuulisähkö",ostosähkö_nyt)</f>
        <v>jäännössähkö</v>
      </c>
      <c r="O461" s="147">
        <f>INDEX(Muuttujat!$J$5:$J$21,MATCH($C461,Muuttujat!$H$5:$H$21,0),1)</f>
        <v>59.556652007924122</v>
      </c>
      <c r="P461" s="342">
        <f>1-(INDEX(Muuttujat!$O$5:$O$21,MATCH($C461,Muuttujat!$N$5:$N$21,0),1))</f>
        <v>0.9</v>
      </c>
      <c r="Q461" s="342">
        <f>INDEX(Muuttujat!$O$5:$O$21,MATCH($C461,Muuttujat!$N$5:$N$21,0),1)</f>
        <v>0.1</v>
      </c>
      <c r="R461" s="148">
        <f>INDEX(Muuttujat!$P$5:$P$21,MATCH($C461,Muuttujat!$N$5:$N$21,0),1)</f>
        <v>0.10417875759940039</v>
      </c>
      <c r="S461" s="149">
        <f t="shared" si="133"/>
        <v>0</v>
      </c>
      <c r="T461" s="150">
        <f t="shared" si="134"/>
        <v>0</v>
      </c>
      <c r="U461" s="150">
        <f t="shared" si="135"/>
        <v>0</v>
      </c>
      <c r="V461" s="150">
        <f>IFERROR(INDEX(Työkonekanta!$J$3:$J$27,MATCH($A461,Työkonekanta!$A$3:$A$24,0),1)*$B461*ef_li_ion_akku/1000/1000/INDEX(Työkonekanta!$K$3:$K$27,MATCH($A461,Työkonekanta!$A$3:$A$24,0)),0)</f>
        <v>0</v>
      </c>
      <c r="W461" s="149">
        <f t="shared" si="126"/>
        <v>0</v>
      </c>
      <c r="X461" s="150">
        <f t="shared" si="127"/>
        <v>0</v>
      </c>
      <c r="Y461" s="151">
        <f t="shared" si="128"/>
        <v>0</v>
      </c>
      <c r="Z461" s="152">
        <f t="shared" si="139"/>
        <v>0</v>
      </c>
      <c r="AA461" s="153">
        <f t="shared" si="140"/>
        <v>0</v>
      </c>
      <c r="AB461" s="153">
        <f t="shared" si="141"/>
        <v>0</v>
      </c>
      <c r="AC461" s="154">
        <f t="shared" si="129"/>
        <v>0</v>
      </c>
      <c r="AD461" s="156">
        <f t="shared" si="142"/>
        <v>0</v>
      </c>
      <c r="AE461" s="182"/>
      <c r="AG461" s="2"/>
    </row>
    <row r="462" spans="1:37">
      <c r="A462" s="139">
        <v>10</v>
      </c>
      <c r="B462" s="139" cm="1">
        <f t="array" ref="B462">IFERROR(IF(A462=s1_id_korvattava1,INDEX($AG$3:$AG$19,MATCH(C462,$AF$3:$AF$19,0),1),IF(A462=s1_id_korvaava1,INDEX($AH$3:$AH$19,MATCH(C462,$AF$3:$AF$19,0),1),IF(A462=s1_id_korvattava2,INDEX($AI$3:$AI$19,MATCH(C462,$AF$3:$AF$19,0),1),IF(A462=s1_id_korvaava2,INDEX($AJ$3:$AJ$19,MATCH(C462,$AF$3:$AF$19,0),1),INDEX(Työkonekanta!$F$3:$F$27,MATCH('S1 Sähkö'!$A462,Työkonekanta!$A$3:$A$24,0),1))))),0)</f>
        <v>0</v>
      </c>
      <c r="C462" s="140">
        <v>2034</v>
      </c>
      <c r="D462" s="141" t="str">
        <f>IFERROR(INDEX(Työkonekanta!$D$3:$D$27,MATCH('S1 Sähkö'!$A462,Työkonekanta!$A$3:$A$24,0),1),"undefined")</f>
        <v>sähkö</v>
      </c>
      <c r="E462" s="145">
        <f>IFERROR(INDEX(Työkonekanta!$G$3:$G$27,MATCH($A462,Työkonekanta!$A$3:$A$24,0),1)*INDEX(Työkonekanta!$H$3:$H$27,MATCH($A462,Työkonekanta!$A$3:$A$24,0),1)*(1+s1_kerroin*($C462-2019))*$B462,0)</f>
        <v>0</v>
      </c>
      <c r="F462" s="145">
        <f t="shared" si="130"/>
        <v>0</v>
      </c>
      <c r="G462" s="145">
        <f t="shared" si="136"/>
        <v>0</v>
      </c>
      <c r="H462" s="145">
        <f t="shared" si="137"/>
        <v>0</v>
      </c>
      <c r="I462" s="145">
        <f t="shared" si="131"/>
        <v>0</v>
      </c>
      <c r="J462" s="145">
        <f t="shared" si="132"/>
        <v>0</v>
      </c>
      <c r="K462" s="142" t="str">
        <f t="shared" si="138"/>
        <v>kWh</v>
      </c>
      <c r="L462" s="146">
        <f>IFERROR(INDEX(Työkonekanta!$I$3:$I$27,MATCH('S1 Sähkö'!$A462,Työkonekanta!$A$3:$A$24,0),1)*(I462+J462)*f_adblue,0)</f>
        <v>0</v>
      </c>
      <c r="M462" s="146">
        <f t="shared" si="125"/>
        <v>0</v>
      </c>
      <c r="N462" s="143" t="str">
        <f>IF(tuulisähkö_vuosi&lt;='S1 Sähkö'!C462,"tuulisähkö",ostosähkö_nyt)</f>
        <v>jäännössähkö</v>
      </c>
      <c r="O462" s="147">
        <f>INDEX(Muuttujat!$J$5:$J$21,MATCH($C462,Muuttujat!$H$5:$H$21,0),1)</f>
        <v>59.556652007924122</v>
      </c>
      <c r="P462" s="342">
        <f>1-(INDEX(Muuttujat!$O$5:$O$21,MATCH($C462,Muuttujat!$N$5:$N$21,0),1))</f>
        <v>0.9</v>
      </c>
      <c r="Q462" s="342">
        <f>INDEX(Muuttujat!$O$5:$O$21,MATCH($C462,Muuttujat!$N$5:$N$21,0),1)</f>
        <v>0.1</v>
      </c>
      <c r="R462" s="148">
        <f>INDEX(Muuttujat!$P$5:$P$21,MATCH($C462,Muuttujat!$N$5:$N$21,0),1)</f>
        <v>0.10417875759940039</v>
      </c>
      <c r="S462" s="149">
        <f t="shared" si="133"/>
        <v>0</v>
      </c>
      <c r="T462" s="150">
        <f t="shared" si="134"/>
        <v>0</v>
      </c>
      <c r="U462" s="150">
        <f t="shared" si="135"/>
        <v>0</v>
      </c>
      <c r="V462" s="150">
        <f>IFERROR(INDEX(Työkonekanta!$J$3:$J$27,MATCH($A462,Työkonekanta!$A$3:$A$24,0),1)*$B462*ef_li_ion_akku/1000/1000/INDEX(Työkonekanta!$K$3:$K$27,MATCH($A462,Työkonekanta!$A$3:$A$24,0)),0)</f>
        <v>0</v>
      </c>
      <c r="W462" s="149">
        <f t="shared" si="126"/>
        <v>0</v>
      </c>
      <c r="X462" s="150">
        <f t="shared" si="127"/>
        <v>0</v>
      </c>
      <c r="Y462" s="151">
        <f t="shared" si="128"/>
        <v>0</v>
      </c>
      <c r="Z462" s="152">
        <f t="shared" si="139"/>
        <v>0</v>
      </c>
      <c r="AA462" s="153">
        <f t="shared" si="140"/>
        <v>0</v>
      </c>
      <c r="AB462" s="153">
        <f t="shared" si="141"/>
        <v>0</v>
      </c>
      <c r="AC462" s="154">
        <f t="shared" si="129"/>
        <v>0</v>
      </c>
      <c r="AD462" s="156">
        <f t="shared" si="142"/>
        <v>0</v>
      </c>
      <c r="AE462" s="182"/>
      <c r="AG462" s="2"/>
    </row>
    <row r="463" spans="1:37">
      <c r="A463" s="139">
        <v>11</v>
      </c>
      <c r="B463" s="139" cm="1">
        <f t="array" ref="B463">IFERROR(IF(A463=s1_id_korvattava1,INDEX($AG$3:$AG$19,MATCH(C463,$AF$3:$AF$19,0),1),IF(A463=s1_id_korvaava1,INDEX($AH$3:$AH$19,MATCH(C463,$AF$3:$AF$19,0),1),IF(A463=s1_id_korvattava2,INDEX($AI$3:$AI$19,MATCH(C463,$AF$3:$AF$19,0),1),IF(A463=s1_id_korvaava2,INDEX($AJ$3:$AJ$19,MATCH(C463,$AF$3:$AF$19,0),1),INDEX(Työkonekanta!$F$3:$F$27,MATCH('S1 Sähkö'!$A463,Työkonekanta!$A$3:$A$24,0),1))))),0)</f>
        <v>1</v>
      </c>
      <c r="C463" s="140">
        <v>2034</v>
      </c>
      <c r="D463" s="141" t="str">
        <f>IFERROR(INDEX(Työkonekanta!$D$3:$D$27,MATCH('S1 Sähkö'!$A463,Työkonekanta!$A$3:$A$24,0),1),"undefined")</f>
        <v>pom</v>
      </c>
      <c r="E463" s="145">
        <f>IFERROR(INDEX(Työkonekanta!$G$3:$G$27,MATCH($A463,Työkonekanta!$A$3:$A$24,0),1)*INDEX(Työkonekanta!$H$3:$H$27,MATCH($A463,Työkonekanta!$A$3:$A$24,0),1)*(1+s1_kerroin*($C463-2019))*$B463,0)</f>
        <v>11500</v>
      </c>
      <c r="F463" s="145">
        <f t="shared" si="130"/>
        <v>412850</v>
      </c>
      <c r="G463" s="145">
        <f t="shared" si="136"/>
        <v>371565</v>
      </c>
      <c r="H463" s="145">
        <f t="shared" si="137"/>
        <v>41285</v>
      </c>
      <c r="I463" s="145">
        <f t="shared" si="131"/>
        <v>10350</v>
      </c>
      <c r="J463" s="145">
        <f t="shared" si="132"/>
        <v>1203.6443148688047</v>
      </c>
      <c r="K463" s="142" t="str">
        <f t="shared" si="138"/>
        <v>l</v>
      </c>
      <c r="L463" s="146">
        <f>IFERROR(INDEX(Työkonekanta!$I$3:$I$27,MATCH('S1 Sähkö'!$A463,Työkonekanta!$A$3:$A$24,0),1)*(I463+J463)*f_adblue,0)</f>
        <v>577.68221574344022</v>
      </c>
      <c r="M463" s="146">
        <f t="shared" si="125"/>
        <v>0</v>
      </c>
      <c r="N463" s="143" t="str">
        <f>IF(tuulisähkö_vuosi&lt;='S1 Sähkö'!C463,"tuulisähkö",ostosähkö_nyt)</f>
        <v>jäännössähkö</v>
      </c>
      <c r="O463" s="147">
        <f>INDEX(Muuttujat!$J$5:$J$21,MATCH($C463,Muuttujat!$H$5:$H$21,0),1)</f>
        <v>59.556652007924122</v>
      </c>
      <c r="P463" s="342">
        <f>1-(INDEX(Muuttujat!$O$5:$O$21,MATCH($C463,Muuttujat!$N$5:$N$21,0),1))</f>
        <v>0.9</v>
      </c>
      <c r="Q463" s="342">
        <f>INDEX(Muuttujat!$O$5:$O$21,MATCH($C463,Muuttujat!$N$5:$N$21,0),1)</f>
        <v>0.1</v>
      </c>
      <c r="R463" s="148">
        <f>INDEX(Muuttujat!$P$5:$P$21,MATCH($C463,Muuttujat!$N$5:$N$21,0),1)</f>
        <v>0.10417875759940039</v>
      </c>
      <c r="S463" s="149">
        <f t="shared" si="133"/>
        <v>7.0225784999999989</v>
      </c>
      <c r="T463" s="150">
        <f t="shared" si="134"/>
        <v>2.576184</v>
      </c>
      <c r="U463" s="150">
        <f t="shared" si="135"/>
        <v>0</v>
      </c>
      <c r="V463" s="150">
        <f>IFERROR(INDEX(Työkonekanta!$J$3:$J$27,MATCH($A463,Työkonekanta!$A$3:$A$24,0),1)*$B463*ef_li_ion_akku/1000/1000/INDEX(Työkonekanta!$K$3:$K$27,MATCH($A463,Työkonekanta!$A$3:$A$24,0)),0)</f>
        <v>0</v>
      </c>
      <c r="W463" s="149">
        <f t="shared" si="126"/>
        <v>27.424564001010001</v>
      </c>
      <c r="X463" s="150">
        <f t="shared" si="127"/>
        <v>0.36540750900000002</v>
      </c>
      <c r="Y463" s="151">
        <f t="shared" si="128"/>
        <v>0.15019737609329448</v>
      </c>
      <c r="Z463" s="152">
        <f t="shared" si="139"/>
        <v>9.5987624999999994</v>
      </c>
      <c r="AA463" s="153">
        <f t="shared" si="140"/>
        <v>27.574761377103297</v>
      </c>
      <c r="AB463" s="153">
        <f t="shared" si="141"/>
        <v>27.940168886103297</v>
      </c>
      <c r="AC463" s="154">
        <f t="shared" si="129"/>
        <v>37.173523877103293</v>
      </c>
      <c r="AD463" s="156">
        <f t="shared" si="142"/>
        <v>37.5389313861033</v>
      </c>
      <c r="AE463" s="182"/>
      <c r="AG463" s="2"/>
    </row>
    <row r="464" spans="1:37">
      <c r="A464" s="139">
        <v>12</v>
      </c>
      <c r="B464" s="139" cm="1">
        <f t="array" ref="B464">IFERROR(IF(A464=s1_id_korvattava1,INDEX($AG$3:$AG$19,MATCH(C464,$AF$3:$AF$19,0),1),IF(A464=s1_id_korvaava1,INDEX($AH$3:$AH$19,MATCH(C464,$AF$3:$AF$19,0),1),IF(A464=s1_id_korvattava2,INDEX($AI$3:$AI$19,MATCH(C464,$AF$3:$AF$19,0),1),IF(A464=s1_id_korvaava2,INDEX($AJ$3:$AJ$19,MATCH(C464,$AF$3:$AF$19,0),1),INDEX(Työkonekanta!$F$3:$F$27,MATCH('S1 Sähkö'!$A464,Työkonekanta!$A$3:$A$24,0),1))))),0)</f>
        <v>1</v>
      </c>
      <c r="C464" s="140">
        <v>2034</v>
      </c>
      <c r="D464" s="141" t="str">
        <f>IFERROR(INDEX(Työkonekanta!$D$3:$D$27,MATCH('S1 Sähkö'!$A464,Työkonekanta!$A$3:$A$24,0),1),"undefined")</f>
        <v>pom</v>
      </c>
      <c r="E464" s="145">
        <f>IFERROR(INDEX(Työkonekanta!$G$3:$G$27,MATCH($A464,Työkonekanta!$A$3:$A$24,0),1)*INDEX(Työkonekanta!$H$3:$H$27,MATCH($A464,Työkonekanta!$A$3:$A$24,0),1)*(1+s1_kerroin*($C464-2019))*$B464,0)</f>
        <v>11500</v>
      </c>
      <c r="F464" s="145">
        <f t="shared" si="130"/>
        <v>412850</v>
      </c>
      <c r="G464" s="145">
        <f t="shared" si="136"/>
        <v>371565</v>
      </c>
      <c r="H464" s="145">
        <f t="shared" si="137"/>
        <v>41285</v>
      </c>
      <c r="I464" s="145">
        <f t="shared" si="131"/>
        <v>10350</v>
      </c>
      <c r="J464" s="145">
        <f t="shared" si="132"/>
        <v>1203.6443148688047</v>
      </c>
      <c r="K464" s="142" t="str">
        <f t="shared" si="138"/>
        <v>l</v>
      </c>
      <c r="L464" s="146">
        <f>IFERROR(INDEX(Työkonekanta!$I$3:$I$27,MATCH('S1 Sähkö'!$A464,Työkonekanta!$A$3:$A$24,0),1)*(I464+J464)*f_adblue,0)</f>
        <v>577.68221574344022</v>
      </c>
      <c r="M464" s="146">
        <f t="shared" si="125"/>
        <v>0</v>
      </c>
      <c r="N464" s="143" t="str">
        <f>IF(tuulisähkö_vuosi&lt;='S1 Sähkö'!C464,"tuulisähkö",ostosähkö_nyt)</f>
        <v>jäännössähkö</v>
      </c>
      <c r="O464" s="147">
        <f>INDEX(Muuttujat!$J$5:$J$21,MATCH($C464,Muuttujat!$H$5:$H$21,0),1)</f>
        <v>59.556652007924122</v>
      </c>
      <c r="P464" s="342">
        <f>1-(INDEX(Muuttujat!$O$5:$O$21,MATCH($C464,Muuttujat!$N$5:$N$21,0),1))</f>
        <v>0.9</v>
      </c>
      <c r="Q464" s="342">
        <f>INDEX(Muuttujat!$O$5:$O$21,MATCH($C464,Muuttujat!$N$5:$N$21,0),1)</f>
        <v>0.1</v>
      </c>
      <c r="R464" s="148">
        <f>INDEX(Muuttujat!$P$5:$P$21,MATCH($C464,Muuttujat!$N$5:$N$21,0),1)</f>
        <v>0.10417875759940039</v>
      </c>
      <c r="S464" s="149">
        <f t="shared" si="133"/>
        <v>7.0225784999999989</v>
      </c>
      <c r="T464" s="150">
        <f t="shared" si="134"/>
        <v>2.576184</v>
      </c>
      <c r="U464" s="150">
        <f t="shared" si="135"/>
        <v>0</v>
      </c>
      <c r="V464" s="150">
        <f>IFERROR(INDEX(Työkonekanta!$J$3:$J$27,MATCH($A464,Työkonekanta!$A$3:$A$24,0),1)*$B464*ef_li_ion_akku/1000/1000/INDEX(Työkonekanta!$K$3:$K$27,MATCH($A464,Työkonekanta!$A$3:$A$24,0)),0)</f>
        <v>0</v>
      </c>
      <c r="W464" s="149">
        <f t="shared" si="126"/>
        <v>27.424564001010001</v>
      </c>
      <c r="X464" s="150">
        <f t="shared" si="127"/>
        <v>0.36540750900000002</v>
      </c>
      <c r="Y464" s="151">
        <f t="shared" si="128"/>
        <v>0.15019737609329448</v>
      </c>
      <c r="Z464" s="152">
        <f t="shared" si="139"/>
        <v>9.5987624999999994</v>
      </c>
      <c r="AA464" s="153">
        <f t="shared" si="140"/>
        <v>27.574761377103297</v>
      </c>
      <c r="AB464" s="153">
        <f t="shared" si="141"/>
        <v>27.940168886103297</v>
      </c>
      <c r="AC464" s="154">
        <f t="shared" si="129"/>
        <v>37.173523877103293</v>
      </c>
      <c r="AD464" s="156">
        <f t="shared" si="142"/>
        <v>37.5389313861033</v>
      </c>
      <c r="AE464" s="182"/>
      <c r="AG464" s="2"/>
    </row>
    <row r="465" spans="1:37">
      <c r="A465" s="139">
        <v>13</v>
      </c>
      <c r="B465" s="139" cm="1">
        <f t="array" ref="B465">IFERROR(IF(A465=s1_id_korvattava1,INDEX($AG$3:$AG$19,MATCH(C465,$AF$3:$AF$19,0),1),IF(A465=s1_id_korvaava1,INDEX($AH$3:$AH$19,MATCH(C465,$AF$3:$AF$19,0),1),IF(A465=s1_id_korvattava2,INDEX($AI$3:$AI$19,MATCH(C465,$AF$3:$AF$19,0),1),IF(A465=s1_id_korvaava2,INDEX($AJ$3:$AJ$19,MATCH(C465,$AF$3:$AF$19,0),1),INDEX(Työkonekanta!$F$3:$F$27,MATCH('S1 Sähkö'!$A465,Työkonekanta!$A$3:$A$24,0),1))))),0)</f>
        <v>0</v>
      </c>
      <c r="C465" s="140">
        <v>2034</v>
      </c>
      <c r="D465" s="141" t="str">
        <f>IFERROR(INDEX(Työkonekanta!$D$3:$D$27,MATCH('S1 Sähkö'!$A465,Työkonekanta!$A$3:$A$24,0),1),"undefined")</f>
        <v>pom</v>
      </c>
      <c r="E465" s="145">
        <f>IFERROR(INDEX(Työkonekanta!$G$3:$G$27,MATCH($A465,Työkonekanta!$A$3:$A$24,0),1)*INDEX(Työkonekanta!$H$3:$H$27,MATCH($A465,Työkonekanta!$A$3:$A$24,0),1)*(1+s1_kerroin*($C465-2019))*$B465,0)</f>
        <v>0</v>
      </c>
      <c r="F465" s="145">
        <f t="shared" si="130"/>
        <v>0</v>
      </c>
      <c r="G465" s="145">
        <f t="shared" si="136"/>
        <v>0</v>
      </c>
      <c r="H465" s="145">
        <f t="shared" si="137"/>
        <v>0</v>
      </c>
      <c r="I465" s="145">
        <f t="shared" si="131"/>
        <v>0</v>
      </c>
      <c r="J465" s="145">
        <f t="shared" si="132"/>
        <v>0</v>
      </c>
      <c r="K465" s="142" t="str">
        <f t="shared" si="138"/>
        <v>l</v>
      </c>
      <c r="L465" s="146">
        <f>IFERROR(INDEX(Työkonekanta!$I$3:$I$27,MATCH('S1 Sähkö'!$A465,Työkonekanta!$A$3:$A$24,0),1)*(I465+J465)*f_adblue,0)</f>
        <v>0</v>
      </c>
      <c r="M465" s="146">
        <f t="shared" si="125"/>
        <v>0</v>
      </c>
      <c r="N465" s="143" t="str">
        <f>IF(tuulisähkö_vuosi&lt;='S1 Sähkö'!C465,"tuulisähkö",ostosähkö_nyt)</f>
        <v>jäännössähkö</v>
      </c>
      <c r="O465" s="147">
        <f>INDEX(Muuttujat!$J$5:$J$21,MATCH($C465,Muuttujat!$H$5:$H$21,0),1)</f>
        <v>59.556652007924122</v>
      </c>
      <c r="P465" s="342">
        <f>1-(INDEX(Muuttujat!$O$5:$O$21,MATCH($C465,Muuttujat!$N$5:$N$21,0),1))</f>
        <v>0.9</v>
      </c>
      <c r="Q465" s="342">
        <f>INDEX(Muuttujat!$O$5:$O$21,MATCH($C465,Muuttujat!$N$5:$N$21,0),1)</f>
        <v>0.1</v>
      </c>
      <c r="R465" s="148">
        <f>INDEX(Muuttujat!$P$5:$P$21,MATCH($C465,Muuttujat!$N$5:$N$21,0),1)</f>
        <v>0.10417875759940039</v>
      </c>
      <c r="S465" s="149">
        <f t="shared" si="133"/>
        <v>0</v>
      </c>
      <c r="T465" s="150">
        <f t="shared" si="134"/>
        <v>0</v>
      </c>
      <c r="U465" s="150">
        <f t="shared" si="135"/>
        <v>0</v>
      </c>
      <c r="V465" s="150">
        <f>IFERROR(INDEX(Työkonekanta!$J$3:$J$27,MATCH($A465,Työkonekanta!$A$3:$A$24,0),1)*$B465*ef_li_ion_akku/1000/1000/INDEX(Työkonekanta!$K$3:$K$27,MATCH($A465,Työkonekanta!$A$3:$A$24,0)),0)</f>
        <v>0</v>
      </c>
      <c r="W465" s="149">
        <f t="shared" si="126"/>
        <v>0</v>
      </c>
      <c r="X465" s="150">
        <f t="shared" si="127"/>
        <v>0</v>
      </c>
      <c r="Y465" s="151">
        <f t="shared" si="128"/>
        <v>0</v>
      </c>
      <c r="Z465" s="152">
        <f t="shared" si="139"/>
        <v>0</v>
      </c>
      <c r="AA465" s="153">
        <f t="shared" si="140"/>
        <v>0</v>
      </c>
      <c r="AB465" s="153">
        <f t="shared" si="141"/>
        <v>0</v>
      </c>
      <c r="AC465" s="154">
        <f t="shared" si="129"/>
        <v>0</v>
      </c>
      <c r="AD465" s="156">
        <f t="shared" si="142"/>
        <v>0</v>
      </c>
      <c r="AE465" s="182"/>
      <c r="AG465" s="2"/>
    </row>
    <row r="466" spans="1:37">
      <c r="A466" s="139">
        <v>14</v>
      </c>
      <c r="B466" s="139" cm="1">
        <f t="array" ref="B466">IFERROR(IF(A466=s1_id_korvattava1,INDEX($AG$3:$AG$19,MATCH(C466,$AF$3:$AF$19,0),1),IF(A466=s1_id_korvaava1,INDEX($AH$3:$AH$19,MATCH(C466,$AF$3:$AF$19,0),1),IF(A466=s1_id_korvattava2,INDEX($AI$3:$AI$19,MATCH(C466,$AF$3:$AF$19,0),1),IF(A466=s1_id_korvaava2,INDEX($AJ$3:$AJ$19,MATCH(C466,$AF$3:$AF$19,0),1),INDEX(Työkonekanta!$F$3:$F$27,MATCH('S1 Sähkö'!$A466,Työkonekanta!$A$3:$A$24,0),1))))),0)</f>
        <v>0</v>
      </c>
      <c r="C466" s="140">
        <v>2034</v>
      </c>
      <c r="D466" s="141" t="str">
        <f>IFERROR(INDEX(Työkonekanta!$D$3:$D$27,MATCH('S1 Sähkö'!$A466,Työkonekanta!$A$3:$A$24,0),1),"undefined")</f>
        <v>pom</v>
      </c>
      <c r="E466" s="145">
        <f>IFERROR(INDEX(Työkonekanta!$G$3:$G$27,MATCH($A466,Työkonekanta!$A$3:$A$24,0),1)*INDEX(Työkonekanta!$H$3:$H$27,MATCH($A466,Työkonekanta!$A$3:$A$24,0),1)*(1+s1_kerroin*($C466-2019))*$B466,0)</f>
        <v>0</v>
      </c>
      <c r="F466" s="145">
        <f t="shared" si="130"/>
        <v>0</v>
      </c>
      <c r="G466" s="145">
        <f t="shared" si="136"/>
        <v>0</v>
      </c>
      <c r="H466" s="145">
        <f t="shared" si="137"/>
        <v>0</v>
      </c>
      <c r="I466" s="145">
        <f t="shared" si="131"/>
        <v>0</v>
      </c>
      <c r="J466" s="145">
        <f t="shared" si="132"/>
        <v>0</v>
      </c>
      <c r="K466" s="142" t="str">
        <f t="shared" si="138"/>
        <v>l</v>
      </c>
      <c r="L466" s="146">
        <f>IFERROR(INDEX(Työkonekanta!$I$3:$I$27,MATCH('S1 Sähkö'!$A466,Työkonekanta!$A$3:$A$24,0),1)*(I466+J466)*f_adblue,0)</f>
        <v>0</v>
      </c>
      <c r="M466" s="146">
        <f t="shared" si="125"/>
        <v>0</v>
      </c>
      <c r="N466" s="143" t="str">
        <f>IF(tuulisähkö_vuosi&lt;='S1 Sähkö'!C466,"tuulisähkö",ostosähkö_nyt)</f>
        <v>jäännössähkö</v>
      </c>
      <c r="O466" s="147">
        <f>INDEX(Muuttujat!$J$5:$J$21,MATCH($C466,Muuttujat!$H$5:$H$21,0),1)</f>
        <v>59.556652007924122</v>
      </c>
      <c r="P466" s="342">
        <f>1-(INDEX(Muuttujat!$O$5:$O$21,MATCH($C466,Muuttujat!$N$5:$N$21,0),1))</f>
        <v>0.9</v>
      </c>
      <c r="Q466" s="342">
        <f>INDEX(Muuttujat!$O$5:$O$21,MATCH($C466,Muuttujat!$N$5:$N$21,0),1)</f>
        <v>0.1</v>
      </c>
      <c r="R466" s="148">
        <f>INDEX(Muuttujat!$P$5:$P$21,MATCH($C466,Muuttujat!$N$5:$N$21,0),1)</f>
        <v>0.10417875759940039</v>
      </c>
      <c r="S466" s="149">
        <f t="shared" si="133"/>
        <v>0</v>
      </c>
      <c r="T466" s="150">
        <f t="shared" si="134"/>
        <v>0</v>
      </c>
      <c r="U466" s="150">
        <f t="shared" si="135"/>
        <v>0</v>
      </c>
      <c r="V466" s="150">
        <f>IFERROR(INDEX(Työkonekanta!$J$3:$J$27,MATCH($A466,Työkonekanta!$A$3:$A$24,0),1)*$B466*ef_li_ion_akku/1000/1000/INDEX(Työkonekanta!$K$3:$K$27,MATCH($A466,Työkonekanta!$A$3:$A$24,0)),0)</f>
        <v>0</v>
      </c>
      <c r="W466" s="149">
        <f t="shared" si="126"/>
        <v>0</v>
      </c>
      <c r="X466" s="150">
        <f t="shared" si="127"/>
        <v>0</v>
      </c>
      <c r="Y466" s="151">
        <f t="shared" si="128"/>
        <v>0</v>
      </c>
      <c r="Z466" s="152">
        <f t="shared" si="139"/>
        <v>0</v>
      </c>
      <c r="AA466" s="153">
        <f t="shared" si="140"/>
        <v>0</v>
      </c>
      <c r="AB466" s="153">
        <f t="shared" si="141"/>
        <v>0</v>
      </c>
      <c r="AC466" s="154">
        <f t="shared" si="129"/>
        <v>0</v>
      </c>
      <c r="AD466" s="156">
        <f t="shared" si="142"/>
        <v>0</v>
      </c>
      <c r="AE466" s="182"/>
      <c r="AG466" s="2"/>
    </row>
    <row r="467" spans="1:37">
      <c r="A467" s="139">
        <v>15</v>
      </c>
      <c r="B467" s="139" cm="1">
        <f t="array" ref="B467">IFERROR(IF(A467=s1_id_korvattava1,INDEX($AG$3:$AG$19,MATCH(C467,$AF$3:$AF$19,0),1),IF(A467=s1_id_korvaava1,INDEX($AH$3:$AH$19,MATCH(C467,$AF$3:$AF$19,0),1),IF(A467=s1_id_korvattava2,INDEX($AI$3:$AI$19,MATCH(C467,$AF$3:$AF$19,0),1),IF(A467=s1_id_korvaava2,INDEX($AJ$3:$AJ$19,MATCH(C467,$AF$3:$AF$19,0),1),INDEX(Työkonekanta!$F$3:$F$27,MATCH('S1 Sähkö'!$A467,Työkonekanta!$A$3:$A$24,0),1))))),0)</f>
        <v>0</v>
      </c>
      <c r="C467" s="140">
        <v>2034</v>
      </c>
      <c r="D467" s="141" t="str">
        <f>IFERROR(INDEX(Työkonekanta!$D$3:$D$27,MATCH('S1 Sähkö'!$A467,Työkonekanta!$A$3:$A$24,0),1),"undefined")</f>
        <v>sähkö</v>
      </c>
      <c r="E467" s="145">
        <f>IFERROR(INDEX(Työkonekanta!$G$3:$G$27,MATCH($A467,Työkonekanta!$A$3:$A$24,0),1)*INDEX(Työkonekanta!$H$3:$H$27,MATCH($A467,Työkonekanta!$A$3:$A$24,0),1)*(1+s1_kerroin*($C467-2019))*$B467,0)</f>
        <v>0</v>
      </c>
      <c r="F467" s="145">
        <f t="shared" si="130"/>
        <v>0</v>
      </c>
      <c r="G467" s="145">
        <f t="shared" si="136"/>
        <v>0</v>
      </c>
      <c r="H467" s="145">
        <f t="shared" si="137"/>
        <v>0</v>
      </c>
      <c r="I467" s="145">
        <f t="shared" si="131"/>
        <v>0</v>
      </c>
      <c r="J467" s="145">
        <f t="shared" si="132"/>
        <v>0</v>
      </c>
      <c r="K467" s="142" t="str">
        <f t="shared" si="138"/>
        <v>kWh</v>
      </c>
      <c r="L467" s="146">
        <f>IFERROR(INDEX(Työkonekanta!$I$3:$I$27,MATCH('S1 Sähkö'!$A467,Työkonekanta!$A$3:$A$24,0),1)*(I467+J467)*f_adblue,0)</f>
        <v>0</v>
      </c>
      <c r="M467" s="146">
        <f t="shared" ref="M467:M512" si="143">IF($D467="sähkö",conv_kwh_mj*$E467,0)</f>
        <v>0</v>
      </c>
      <c r="N467" s="143" t="str">
        <f>IF(tuulisähkö_vuosi&lt;='S1 Sähkö'!C467,"tuulisähkö",ostosähkö_nyt)</f>
        <v>jäännössähkö</v>
      </c>
      <c r="O467" s="147">
        <f>INDEX(Muuttujat!$J$5:$J$21,MATCH($C467,Muuttujat!$H$5:$H$21,0),1)</f>
        <v>59.556652007924122</v>
      </c>
      <c r="P467" s="342">
        <f>1-(INDEX(Muuttujat!$O$5:$O$21,MATCH($C467,Muuttujat!$N$5:$N$21,0),1))</f>
        <v>0.9</v>
      </c>
      <c r="Q467" s="342">
        <f>INDEX(Muuttujat!$O$5:$O$21,MATCH($C467,Muuttujat!$N$5:$N$21,0),1)</f>
        <v>0.1</v>
      </c>
      <c r="R467" s="148">
        <f>INDEX(Muuttujat!$P$5:$P$21,MATCH($C467,Muuttujat!$N$5:$N$21,0),1)</f>
        <v>0.10417875759940039</v>
      </c>
      <c r="S467" s="149">
        <f t="shared" si="133"/>
        <v>0</v>
      </c>
      <c r="T467" s="150">
        <f t="shared" si="134"/>
        <v>0</v>
      </c>
      <c r="U467" s="150">
        <f t="shared" si="135"/>
        <v>0</v>
      </c>
      <c r="V467" s="150">
        <f>IFERROR(INDEX(Työkonekanta!$J$3:$J$27,MATCH($A467,Työkonekanta!$A$3:$A$24,0),1)*$B467*ef_li_ion_akku/1000/1000/INDEX(Työkonekanta!$K$3:$K$27,MATCH($A467,Työkonekanta!$A$3:$A$24,0)),0)</f>
        <v>0</v>
      </c>
      <c r="W467" s="149">
        <f t="shared" ref="W467:W512" si="144">($I467*IF($D467="pom",ef_v_co2_pom,0))/1000/1000</f>
        <v>0</v>
      </c>
      <c r="X467" s="150">
        <f t="shared" ref="X467:X512" si="145">($E467*(IF($D467="pom",ef_v_ch4_pom,0)*gwp100_ch4+IF($D467="pom",ef_v_n2o_pom,0)*gwp100_n2o))/1000/1000</f>
        <v>0</v>
      </c>
      <c r="Y467" s="151">
        <f t="shared" ref="Y467:Y512" si="146">$L467*ef_v_co2_adblue/1000/1000</f>
        <v>0</v>
      </c>
      <c r="Z467" s="152">
        <f t="shared" si="139"/>
        <v>0</v>
      </c>
      <c r="AA467" s="153">
        <f t="shared" si="140"/>
        <v>0</v>
      </c>
      <c r="AB467" s="153">
        <f t="shared" si="141"/>
        <v>0</v>
      </c>
      <c r="AC467" s="154">
        <f t="shared" ref="AC467:AC512" si="147">$Z467+$AA467</f>
        <v>0</v>
      </c>
      <c r="AD467" s="156">
        <f t="shared" si="142"/>
        <v>0</v>
      </c>
      <c r="AE467" s="182"/>
      <c r="AG467" s="2"/>
    </row>
    <row r="468" spans="1:37">
      <c r="A468" s="139">
        <v>16</v>
      </c>
      <c r="B468" s="139" cm="1">
        <f t="array" ref="B468">IFERROR(IF(A468=s1_id_korvattava1,INDEX($AG$3:$AG$19,MATCH(C468,$AF$3:$AF$19,0),1),IF(A468=s1_id_korvaava1,INDEX($AH$3:$AH$19,MATCH(C468,$AF$3:$AF$19,0),1),IF(A468=s1_id_korvattava2,INDEX($AI$3:$AI$19,MATCH(C468,$AF$3:$AF$19,0),1),IF(A468=s1_id_korvaava2,INDEX($AJ$3:$AJ$19,MATCH(C468,$AF$3:$AF$19,0),1),INDEX(Työkonekanta!$F$3:$F$27,MATCH('S1 Sähkö'!$A468,Työkonekanta!$A$3:$A$24,0),1))))),0)</f>
        <v>0</v>
      </c>
      <c r="C468" s="140">
        <v>2034</v>
      </c>
      <c r="D468" s="141" t="str">
        <f>IFERROR(INDEX(Työkonekanta!$D$3:$D$27,MATCH('S1 Sähkö'!$A468,Työkonekanta!$A$3:$A$24,0),1),"undefined")</f>
        <v>sähkö</v>
      </c>
      <c r="E468" s="145">
        <f>IFERROR(INDEX(Työkonekanta!$G$3:$G$27,MATCH($A468,Työkonekanta!$A$3:$A$24,0),1)*INDEX(Työkonekanta!$H$3:$H$27,MATCH($A468,Työkonekanta!$A$3:$A$24,0),1)*(1+s1_kerroin*($C468-2019))*$B468,0)</f>
        <v>0</v>
      </c>
      <c r="F468" s="145">
        <f t="shared" si="130"/>
        <v>0</v>
      </c>
      <c r="G468" s="145">
        <f t="shared" si="136"/>
        <v>0</v>
      </c>
      <c r="H468" s="145">
        <f t="shared" si="137"/>
        <v>0</v>
      </c>
      <c r="I468" s="145">
        <f t="shared" si="131"/>
        <v>0</v>
      </c>
      <c r="J468" s="145">
        <f t="shared" si="132"/>
        <v>0</v>
      </c>
      <c r="K468" s="142" t="str">
        <f t="shared" si="138"/>
        <v>kWh</v>
      </c>
      <c r="L468" s="146">
        <f>IFERROR(INDEX(Työkonekanta!$I$3:$I$27,MATCH('S1 Sähkö'!$A468,Työkonekanta!$A$3:$A$24,0),1)*(I468+J468)*f_adblue,0)</f>
        <v>0</v>
      </c>
      <c r="M468" s="146">
        <f t="shared" si="143"/>
        <v>0</v>
      </c>
      <c r="N468" s="143" t="str">
        <f>IF(tuulisähkö_vuosi&lt;='S1 Sähkö'!C468,"tuulisähkö",ostosähkö_nyt)</f>
        <v>jäännössähkö</v>
      </c>
      <c r="O468" s="147">
        <f>INDEX(Muuttujat!$J$5:$J$21,MATCH($C468,Muuttujat!$H$5:$H$21,0),1)</f>
        <v>59.556652007924122</v>
      </c>
      <c r="P468" s="342">
        <f>1-(INDEX(Muuttujat!$O$5:$O$21,MATCH($C468,Muuttujat!$N$5:$N$21,0),1))</f>
        <v>0.9</v>
      </c>
      <c r="Q468" s="342">
        <f>INDEX(Muuttujat!$O$5:$O$21,MATCH($C468,Muuttujat!$N$5:$N$21,0),1)</f>
        <v>0.1</v>
      </c>
      <c r="R468" s="148">
        <f>INDEX(Muuttujat!$P$5:$P$21,MATCH($C468,Muuttujat!$N$5:$N$21,0),1)</f>
        <v>0.10417875759940039</v>
      </c>
      <c r="S468" s="149">
        <f t="shared" si="133"/>
        <v>0</v>
      </c>
      <c r="T468" s="150">
        <f t="shared" si="134"/>
        <v>0</v>
      </c>
      <c r="U468" s="150">
        <f t="shared" si="135"/>
        <v>0</v>
      </c>
      <c r="V468" s="150">
        <f>IFERROR(INDEX(Työkonekanta!$J$3:$J$27,MATCH($A468,Työkonekanta!$A$3:$A$24,0),1)*$B468*ef_li_ion_akku/1000/1000/INDEX(Työkonekanta!$K$3:$K$27,MATCH($A468,Työkonekanta!$A$3:$A$24,0)),0)</f>
        <v>0</v>
      </c>
      <c r="W468" s="149">
        <f t="shared" si="144"/>
        <v>0</v>
      </c>
      <c r="X468" s="150">
        <f t="shared" si="145"/>
        <v>0</v>
      </c>
      <c r="Y468" s="151">
        <f t="shared" si="146"/>
        <v>0</v>
      </c>
      <c r="Z468" s="152">
        <f t="shared" si="139"/>
        <v>0</v>
      </c>
      <c r="AA468" s="153">
        <f t="shared" si="140"/>
        <v>0</v>
      </c>
      <c r="AB468" s="153">
        <f t="shared" si="141"/>
        <v>0</v>
      </c>
      <c r="AC468" s="154">
        <f t="shared" si="147"/>
        <v>0</v>
      </c>
      <c r="AD468" s="156">
        <f t="shared" si="142"/>
        <v>0</v>
      </c>
      <c r="AE468" s="182"/>
      <c r="AG468" s="2"/>
    </row>
    <row r="469" spans="1:37">
      <c r="A469" s="139">
        <v>17</v>
      </c>
      <c r="B469" s="139" cm="1">
        <f t="array" ref="B469">IFERROR(IF(A469=s1_id_korvattava1,INDEX($AG$3:$AG$19,MATCH(C469,$AF$3:$AF$19,0),1),IF(A469=s1_id_korvaava1,INDEX($AH$3:$AH$19,MATCH(C469,$AF$3:$AF$19,0),1),IF(A469=s1_id_korvattava2,INDEX($AI$3:$AI$19,MATCH(C469,$AF$3:$AF$19,0),1),IF(A469=s1_id_korvaava2,INDEX($AJ$3:$AJ$19,MATCH(C469,$AF$3:$AF$19,0),1),INDEX(Työkonekanta!$F$3:$F$27,MATCH('S1 Sähkö'!$A469,Työkonekanta!$A$3:$A$24,0),1))))),0)</f>
        <v>0</v>
      </c>
      <c r="C469" s="140">
        <v>2034</v>
      </c>
      <c r="D469" s="141" t="str">
        <f>IFERROR(INDEX(Työkonekanta!$D$3:$D$27,MATCH('S1 Sähkö'!$A469,Työkonekanta!$A$3:$A$24,0),1),"undefined")</f>
        <v>pom</v>
      </c>
      <c r="E469" s="145">
        <f>IFERROR(INDEX(Työkonekanta!$G$3:$G$27,MATCH($A469,Työkonekanta!$A$3:$A$24,0),1)*INDEX(Työkonekanta!$H$3:$H$27,MATCH($A469,Työkonekanta!$A$3:$A$24,0),1)*(1+s1_kerroin*($C469-2019))*$B469,0)</f>
        <v>0</v>
      </c>
      <c r="F469" s="145">
        <f t="shared" si="130"/>
        <v>0</v>
      </c>
      <c r="G469" s="145">
        <f t="shared" si="136"/>
        <v>0</v>
      </c>
      <c r="H469" s="145">
        <f t="shared" si="137"/>
        <v>0</v>
      </c>
      <c r="I469" s="145">
        <f t="shared" si="131"/>
        <v>0</v>
      </c>
      <c r="J469" s="145">
        <f t="shared" si="132"/>
        <v>0</v>
      </c>
      <c r="K469" s="142" t="str">
        <f t="shared" si="138"/>
        <v>l</v>
      </c>
      <c r="L469" s="146">
        <f>IFERROR(INDEX(Työkonekanta!$I$3:$I$27,MATCH('S1 Sähkö'!$A469,Työkonekanta!$A$3:$A$24,0),1)*(I469+J469)*f_adblue,0)</f>
        <v>0</v>
      </c>
      <c r="M469" s="146">
        <f t="shared" si="143"/>
        <v>0</v>
      </c>
      <c r="N469" s="143" t="str">
        <f>IF(tuulisähkö_vuosi&lt;='S1 Sähkö'!C469,"tuulisähkö",ostosähkö_nyt)</f>
        <v>jäännössähkö</v>
      </c>
      <c r="O469" s="147">
        <f>INDEX(Muuttujat!$J$5:$J$21,MATCH($C469,Muuttujat!$H$5:$H$21,0),1)</f>
        <v>59.556652007924122</v>
      </c>
      <c r="P469" s="342">
        <f>1-(INDEX(Muuttujat!$O$5:$O$21,MATCH($C469,Muuttujat!$N$5:$N$21,0),1))</f>
        <v>0.9</v>
      </c>
      <c r="Q469" s="342">
        <f>INDEX(Muuttujat!$O$5:$O$21,MATCH($C469,Muuttujat!$N$5:$N$21,0),1)</f>
        <v>0.1</v>
      </c>
      <c r="R469" s="148">
        <f>INDEX(Muuttujat!$P$5:$P$21,MATCH($C469,Muuttujat!$N$5:$N$21,0),1)</f>
        <v>0.10417875759940039</v>
      </c>
      <c r="S469" s="149">
        <f t="shared" si="133"/>
        <v>0</v>
      </c>
      <c r="T469" s="150">
        <f t="shared" si="134"/>
        <v>0</v>
      </c>
      <c r="U469" s="150">
        <f t="shared" si="135"/>
        <v>0</v>
      </c>
      <c r="V469" s="150">
        <f>IFERROR(INDEX(Työkonekanta!$J$3:$J$27,MATCH($A469,Työkonekanta!$A$3:$A$24,0),1)*$B469*ef_li_ion_akku/1000/1000/INDEX(Työkonekanta!$K$3:$K$27,MATCH($A469,Työkonekanta!$A$3:$A$24,0)),0)</f>
        <v>0</v>
      </c>
      <c r="W469" s="149">
        <f t="shared" si="144"/>
        <v>0</v>
      </c>
      <c r="X469" s="150">
        <f t="shared" si="145"/>
        <v>0</v>
      </c>
      <c r="Y469" s="151">
        <f t="shared" si="146"/>
        <v>0</v>
      </c>
      <c r="Z469" s="152">
        <f t="shared" si="139"/>
        <v>0</v>
      </c>
      <c r="AA469" s="153">
        <f t="shared" si="140"/>
        <v>0</v>
      </c>
      <c r="AB469" s="153">
        <f t="shared" si="141"/>
        <v>0</v>
      </c>
      <c r="AC469" s="154">
        <f t="shared" si="147"/>
        <v>0</v>
      </c>
      <c r="AD469" s="156">
        <f t="shared" si="142"/>
        <v>0</v>
      </c>
      <c r="AE469" s="182"/>
      <c r="AG469" s="2"/>
    </row>
    <row r="470" spans="1:37">
      <c r="A470" s="139">
        <v>18</v>
      </c>
      <c r="B470" s="139" cm="1">
        <f t="array" ref="B470">IFERROR(IF(A470=s1_id_korvattava1,INDEX($AG$3:$AG$19,MATCH(C470,$AF$3:$AF$19,0),1),IF(A470=s1_id_korvaava1,INDEX($AH$3:$AH$19,MATCH(C470,$AF$3:$AF$19,0),1),IF(A470=s1_id_korvattava2,INDEX($AI$3:$AI$19,MATCH(C470,$AF$3:$AF$19,0),1),IF(A470=s1_id_korvaava2,INDEX($AJ$3:$AJ$19,MATCH(C470,$AF$3:$AF$19,0),1),INDEX(Työkonekanta!$F$3:$F$27,MATCH('S1 Sähkö'!$A470,Työkonekanta!$A$3:$A$24,0),1))))),0)</f>
        <v>0</v>
      </c>
      <c r="C470" s="140">
        <v>2034</v>
      </c>
      <c r="D470" s="141" t="str">
        <f>IFERROR(INDEX(Työkonekanta!$D$3:$D$27,MATCH('S1 Sähkö'!$A470,Työkonekanta!$A$3:$A$24,0),1),"undefined")</f>
        <v>pom</v>
      </c>
      <c r="E470" s="145">
        <f>IFERROR(INDEX(Työkonekanta!$G$3:$G$27,MATCH($A470,Työkonekanta!$A$3:$A$24,0),1)*INDEX(Työkonekanta!$H$3:$H$27,MATCH($A470,Työkonekanta!$A$3:$A$24,0),1)*(1+s1_kerroin*($C470-2019))*$B470,0)</f>
        <v>0</v>
      </c>
      <c r="F470" s="145">
        <f t="shared" si="130"/>
        <v>0</v>
      </c>
      <c r="G470" s="145">
        <f t="shared" si="136"/>
        <v>0</v>
      </c>
      <c r="H470" s="145">
        <f t="shared" si="137"/>
        <v>0</v>
      </c>
      <c r="I470" s="145">
        <f t="shared" si="131"/>
        <v>0</v>
      </c>
      <c r="J470" s="145">
        <f t="shared" si="132"/>
        <v>0</v>
      </c>
      <c r="K470" s="142" t="str">
        <f t="shared" si="138"/>
        <v>l</v>
      </c>
      <c r="L470" s="146">
        <f>IFERROR(INDEX(Työkonekanta!$I$3:$I$27,MATCH('S1 Sähkö'!$A470,Työkonekanta!$A$3:$A$24,0),1)*(I470+J470)*f_adblue,0)</f>
        <v>0</v>
      </c>
      <c r="M470" s="146">
        <f t="shared" si="143"/>
        <v>0</v>
      </c>
      <c r="N470" s="143" t="str">
        <f>IF(tuulisähkö_vuosi&lt;='S1 Sähkö'!C470,"tuulisähkö",ostosähkö_nyt)</f>
        <v>jäännössähkö</v>
      </c>
      <c r="O470" s="147">
        <f>INDEX(Muuttujat!$J$5:$J$21,MATCH($C470,Muuttujat!$H$5:$H$21,0),1)</f>
        <v>59.556652007924122</v>
      </c>
      <c r="P470" s="342">
        <f>1-(INDEX(Muuttujat!$O$5:$O$21,MATCH($C470,Muuttujat!$N$5:$N$21,0),1))</f>
        <v>0.9</v>
      </c>
      <c r="Q470" s="342">
        <f>INDEX(Muuttujat!$O$5:$O$21,MATCH($C470,Muuttujat!$N$5:$N$21,0),1)</f>
        <v>0.1</v>
      </c>
      <c r="R470" s="148">
        <f>INDEX(Muuttujat!$P$5:$P$21,MATCH($C470,Muuttujat!$N$5:$N$21,0),1)</f>
        <v>0.10417875759940039</v>
      </c>
      <c r="S470" s="149">
        <f t="shared" si="133"/>
        <v>0</v>
      </c>
      <c r="T470" s="150">
        <f t="shared" si="134"/>
        <v>0</v>
      </c>
      <c r="U470" s="150">
        <f t="shared" si="135"/>
        <v>0</v>
      </c>
      <c r="V470" s="150">
        <f>IFERROR(INDEX(Työkonekanta!$J$3:$J$27,MATCH($A470,Työkonekanta!$A$3:$A$24,0),1)*$B470*ef_li_ion_akku/1000/1000/INDEX(Työkonekanta!$K$3:$K$27,MATCH($A470,Työkonekanta!$A$3:$A$24,0)),0)</f>
        <v>0</v>
      </c>
      <c r="W470" s="149">
        <f t="shared" si="144"/>
        <v>0</v>
      </c>
      <c r="X470" s="150">
        <f t="shared" si="145"/>
        <v>0</v>
      </c>
      <c r="Y470" s="151">
        <f t="shared" si="146"/>
        <v>0</v>
      </c>
      <c r="Z470" s="152">
        <f t="shared" si="139"/>
        <v>0</v>
      </c>
      <c r="AA470" s="153">
        <f t="shared" si="140"/>
        <v>0</v>
      </c>
      <c r="AB470" s="153">
        <f t="shared" si="141"/>
        <v>0</v>
      </c>
      <c r="AC470" s="154">
        <f t="shared" si="147"/>
        <v>0</v>
      </c>
      <c r="AD470" s="156">
        <f t="shared" si="142"/>
        <v>0</v>
      </c>
      <c r="AE470" s="182"/>
      <c r="AG470" s="2"/>
    </row>
    <row r="471" spans="1:37">
      <c r="A471" s="139">
        <v>19</v>
      </c>
      <c r="B471" s="139" cm="1">
        <f t="array" ref="B471">IFERROR(IF(A471=s1_id_korvattava1,INDEX($AG$3:$AG$19,MATCH(C471,$AF$3:$AF$19,0),1),IF(A471=s1_id_korvaava1,INDEX($AH$3:$AH$19,MATCH(C471,$AF$3:$AF$19,0),1),IF(A471=s1_id_korvattava2,INDEX($AI$3:$AI$19,MATCH(C471,$AF$3:$AF$19,0),1),IF(A471=s1_id_korvaava2,INDEX($AJ$3:$AJ$19,MATCH(C471,$AF$3:$AF$19,0),1),INDEX(Työkonekanta!$F$3:$F$27,MATCH('S1 Sähkö'!$A471,Työkonekanta!$A$3:$A$24,0),1))))),0)</f>
        <v>0</v>
      </c>
      <c r="C471" s="140">
        <v>2034</v>
      </c>
      <c r="D471" s="141" t="str">
        <f>IFERROR(INDEX(Työkonekanta!$D$3:$D$27,MATCH('S1 Sähkö'!$A471,Työkonekanta!$A$3:$A$24,0),1),"undefined")</f>
        <v>pom</v>
      </c>
      <c r="E471" s="145">
        <f>IFERROR(INDEX(Työkonekanta!$G$3:$G$27,MATCH($A471,Työkonekanta!$A$3:$A$24,0),1)*INDEX(Työkonekanta!$H$3:$H$27,MATCH($A471,Työkonekanta!$A$3:$A$24,0),1)*(1+s1_kerroin*($C471-2019))*$B471,0)</f>
        <v>0</v>
      </c>
      <c r="F471" s="145">
        <f t="shared" si="130"/>
        <v>0</v>
      </c>
      <c r="G471" s="145">
        <f t="shared" si="136"/>
        <v>0</v>
      </c>
      <c r="H471" s="145">
        <f t="shared" si="137"/>
        <v>0</v>
      </c>
      <c r="I471" s="145">
        <f t="shared" si="131"/>
        <v>0</v>
      </c>
      <c r="J471" s="145">
        <f t="shared" si="132"/>
        <v>0</v>
      </c>
      <c r="K471" s="142" t="str">
        <f t="shared" si="138"/>
        <v>l</v>
      </c>
      <c r="L471" s="146">
        <f>IFERROR(INDEX(Työkonekanta!$I$3:$I$27,MATCH('S1 Sähkö'!$A471,Työkonekanta!$A$3:$A$24,0),1)*(I471+J471)*f_adblue,0)</f>
        <v>0</v>
      </c>
      <c r="M471" s="146">
        <f t="shared" si="143"/>
        <v>0</v>
      </c>
      <c r="N471" s="143" t="str">
        <f>IF(tuulisähkö_vuosi&lt;='S1 Sähkö'!C471,"tuulisähkö",ostosähkö_nyt)</f>
        <v>jäännössähkö</v>
      </c>
      <c r="O471" s="147">
        <f>INDEX(Muuttujat!$J$5:$J$21,MATCH($C471,Muuttujat!$H$5:$H$21,0),1)</f>
        <v>59.556652007924122</v>
      </c>
      <c r="P471" s="342">
        <f>1-(INDEX(Muuttujat!$O$5:$O$21,MATCH($C471,Muuttujat!$N$5:$N$21,0),1))</f>
        <v>0.9</v>
      </c>
      <c r="Q471" s="342">
        <f>INDEX(Muuttujat!$O$5:$O$21,MATCH($C471,Muuttujat!$N$5:$N$21,0),1)</f>
        <v>0.1</v>
      </c>
      <c r="R471" s="148">
        <f>INDEX(Muuttujat!$P$5:$P$21,MATCH($C471,Muuttujat!$N$5:$N$21,0),1)</f>
        <v>0.10417875759940039</v>
      </c>
      <c r="S471" s="149">
        <f t="shared" si="133"/>
        <v>0</v>
      </c>
      <c r="T471" s="150">
        <f t="shared" si="134"/>
        <v>0</v>
      </c>
      <c r="U471" s="150">
        <f t="shared" si="135"/>
        <v>0</v>
      </c>
      <c r="V471" s="150">
        <f>IFERROR(INDEX(Työkonekanta!$J$3:$J$27,MATCH($A471,Työkonekanta!$A$3:$A$24,0),1)*$B471*ef_li_ion_akku/1000/1000/INDEX(Työkonekanta!$K$3:$K$27,MATCH($A471,Työkonekanta!$A$3:$A$24,0)),0)</f>
        <v>0</v>
      </c>
      <c r="W471" s="149">
        <f t="shared" si="144"/>
        <v>0</v>
      </c>
      <c r="X471" s="150">
        <f t="shared" si="145"/>
        <v>0</v>
      </c>
      <c r="Y471" s="151">
        <f t="shared" si="146"/>
        <v>0</v>
      </c>
      <c r="Z471" s="152">
        <f t="shared" si="139"/>
        <v>0</v>
      </c>
      <c r="AA471" s="153">
        <f t="shared" si="140"/>
        <v>0</v>
      </c>
      <c r="AB471" s="153">
        <f t="shared" si="141"/>
        <v>0</v>
      </c>
      <c r="AC471" s="154">
        <f t="shared" si="147"/>
        <v>0</v>
      </c>
      <c r="AD471" s="156">
        <f t="shared" si="142"/>
        <v>0</v>
      </c>
      <c r="AE471" s="182"/>
      <c r="AG471" s="2"/>
    </row>
    <row r="472" spans="1:37">
      <c r="A472" s="139">
        <v>20</v>
      </c>
      <c r="B472" s="139" cm="1">
        <f t="array" ref="B472">IFERROR(IF(A472=s1_id_korvattava1,INDEX($AG$3:$AG$19,MATCH(C472,$AF$3:$AF$19,0),1),IF(A472=s1_id_korvaava1,INDEX($AH$3:$AH$19,MATCH(C472,$AF$3:$AF$19,0),1),IF(A472=s1_id_korvattava2,INDEX($AI$3:$AI$19,MATCH(C472,$AF$3:$AF$19,0),1),IF(A472=s1_id_korvaava2,INDEX($AJ$3:$AJ$19,MATCH(C472,$AF$3:$AF$19,0),1),INDEX(Työkonekanta!$F$3:$F$27,MATCH('S1 Sähkö'!$A472,Työkonekanta!$A$3:$A$24,0),1))))),0)</f>
        <v>0</v>
      </c>
      <c r="C472" s="140">
        <v>2034</v>
      </c>
      <c r="D472" s="141" t="str">
        <f>IFERROR(INDEX(Työkonekanta!$D$3:$D$27,MATCH('S1 Sähkö'!$A472,Työkonekanta!$A$3:$A$24,0),1),"undefined")</f>
        <v>pom</v>
      </c>
      <c r="E472" s="145">
        <f>IFERROR(INDEX(Työkonekanta!$G$3:$G$27,MATCH($A472,Työkonekanta!$A$3:$A$24,0),1)*INDEX(Työkonekanta!$H$3:$H$27,MATCH($A472,Työkonekanta!$A$3:$A$24,0),1)*(1+s1_kerroin*($C472-2019))*$B472,0)</f>
        <v>0</v>
      </c>
      <c r="F472" s="145">
        <f t="shared" si="130"/>
        <v>0</v>
      </c>
      <c r="G472" s="145">
        <f t="shared" si="136"/>
        <v>0</v>
      </c>
      <c r="H472" s="145">
        <f t="shared" si="137"/>
        <v>0</v>
      </c>
      <c r="I472" s="145">
        <f t="shared" si="131"/>
        <v>0</v>
      </c>
      <c r="J472" s="145">
        <f t="shared" si="132"/>
        <v>0</v>
      </c>
      <c r="K472" s="142" t="str">
        <f t="shared" si="138"/>
        <v>l</v>
      </c>
      <c r="L472" s="146">
        <f>IFERROR(INDEX(Työkonekanta!$I$3:$I$27,MATCH('S1 Sähkö'!$A472,Työkonekanta!$A$3:$A$24,0),1)*(I472+J472)*f_adblue,0)</f>
        <v>0</v>
      </c>
      <c r="M472" s="146">
        <f t="shared" si="143"/>
        <v>0</v>
      </c>
      <c r="N472" s="143" t="str">
        <f>IF(tuulisähkö_vuosi&lt;='S1 Sähkö'!C472,"tuulisähkö",ostosähkö_nyt)</f>
        <v>jäännössähkö</v>
      </c>
      <c r="O472" s="147">
        <f>INDEX(Muuttujat!$J$5:$J$21,MATCH($C472,Muuttujat!$H$5:$H$21,0),1)</f>
        <v>59.556652007924122</v>
      </c>
      <c r="P472" s="342">
        <f>1-(INDEX(Muuttujat!$O$5:$O$21,MATCH($C472,Muuttujat!$N$5:$N$21,0),1))</f>
        <v>0.9</v>
      </c>
      <c r="Q472" s="342">
        <f>INDEX(Muuttujat!$O$5:$O$21,MATCH($C472,Muuttujat!$N$5:$N$21,0),1)</f>
        <v>0.1</v>
      </c>
      <c r="R472" s="148">
        <f>INDEX(Muuttujat!$P$5:$P$21,MATCH($C472,Muuttujat!$N$5:$N$21,0),1)</f>
        <v>0.10417875759940039</v>
      </c>
      <c r="S472" s="149">
        <f t="shared" si="133"/>
        <v>0</v>
      </c>
      <c r="T472" s="150">
        <f t="shared" si="134"/>
        <v>0</v>
      </c>
      <c r="U472" s="150">
        <f t="shared" si="135"/>
        <v>0</v>
      </c>
      <c r="V472" s="150">
        <f>IFERROR(INDEX(Työkonekanta!$J$3:$J$27,MATCH($A472,Työkonekanta!$A$3:$A$24,0),1)*$B472*ef_li_ion_akku/1000/1000/INDEX(Työkonekanta!$K$3:$K$27,MATCH($A472,Työkonekanta!$A$3:$A$24,0)),0)</f>
        <v>0</v>
      </c>
      <c r="W472" s="149">
        <f t="shared" si="144"/>
        <v>0</v>
      </c>
      <c r="X472" s="150">
        <f t="shared" si="145"/>
        <v>0</v>
      </c>
      <c r="Y472" s="151">
        <f t="shared" si="146"/>
        <v>0</v>
      </c>
      <c r="Z472" s="152">
        <f t="shared" si="139"/>
        <v>0</v>
      </c>
      <c r="AA472" s="153">
        <f t="shared" si="140"/>
        <v>0</v>
      </c>
      <c r="AB472" s="153">
        <f t="shared" si="141"/>
        <v>0</v>
      </c>
      <c r="AC472" s="154">
        <f t="shared" si="147"/>
        <v>0</v>
      </c>
      <c r="AD472" s="156">
        <f t="shared" si="142"/>
        <v>0</v>
      </c>
      <c r="AE472" s="182"/>
      <c r="AG472" s="2"/>
    </row>
    <row r="473" spans="1:37">
      <c r="A473" s="139">
        <v>21</v>
      </c>
      <c r="B473" s="139" cm="1">
        <f t="array" ref="B473">IFERROR(IF(A473=s1_id_korvattava1,INDEX($AG$3:$AG$19,MATCH(C473,$AF$3:$AF$19,0),1),IF(A473=s1_id_korvaava1,INDEX($AH$3:$AH$19,MATCH(C473,$AF$3:$AF$19,0),1),IF(A473=s1_id_korvattava2,INDEX($AI$3:$AI$19,MATCH(C473,$AF$3:$AF$19,0),1),IF(A473=s1_id_korvaava2,INDEX($AJ$3:$AJ$19,MATCH(C473,$AF$3:$AF$19,0),1),INDEX(Työkonekanta!$F$3:$F$27,MATCH('S1 Sähkö'!$A473,Työkonekanta!$A$3:$A$24,0),1))))),0)</f>
        <v>36</v>
      </c>
      <c r="C473" s="140">
        <v>2034</v>
      </c>
      <c r="D473" s="141" t="str">
        <f>IFERROR(INDEX(Työkonekanta!$D$3:$D$27,MATCH('S1 Sähkö'!$A473,Työkonekanta!$A$3:$A$24,0),1),"undefined")</f>
        <v>sähkö</v>
      </c>
      <c r="E473" s="145">
        <f>IFERROR(INDEX(Työkonekanta!$G$3:$G$27,MATCH($A473,Työkonekanta!$A$3:$A$24,0),1)*INDEX(Työkonekanta!$H$3:$H$27,MATCH($A473,Työkonekanta!$A$3:$A$24,0),1)*(1+s1_kerroin*($C473-2019))*$B473,0)</f>
        <v>481658.33333333331</v>
      </c>
      <c r="F473" s="145">
        <f t="shared" si="130"/>
        <v>0</v>
      </c>
      <c r="G473" s="145">
        <f t="shared" si="136"/>
        <v>0</v>
      </c>
      <c r="H473" s="145">
        <f t="shared" si="137"/>
        <v>0</v>
      </c>
      <c r="I473" s="145">
        <f t="shared" si="131"/>
        <v>0</v>
      </c>
      <c r="J473" s="145">
        <f t="shared" si="132"/>
        <v>0</v>
      </c>
      <c r="K473" s="142" t="str">
        <f t="shared" si="138"/>
        <v>kWh</v>
      </c>
      <c r="L473" s="146">
        <f>IFERROR(INDEX(Työkonekanta!$I$3:$I$27,MATCH('S1 Sähkö'!$A473,Työkonekanta!$A$3:$A$24,0),1)*(I473+J473)*f_adblue,0)</f>
        <v>0</v>
      </c>
      <c r="M473" s="146">
        <f t="shared" si="143"/>
        <v>1733970</v>
      </c>
      <c r="N473" s="143" t="str">
        <f>IF(tuulisähkö_vuosi&lt;='S1 Sähkö'!C473,"tuulisähkö",ostosähkö_nyt)</f>
        <v>jäännössähkö</v>
      </c>
      <c r="O473" s="147">
        <f>INDEX(Muuttujat!$J$5:$J$21,MATCH($C473,Muuttujat!$H$5:$H$21,0),1)</f>
        <v>59.556652007924122</v>
      </c>
      <c r="P473" s="342">
        <f>1-(INDEX(Muuttujat!$O$5:$O$21,MATCH($C473,Muuttujat!$N$5:$N$21,0),1))</f>
        <v>0.9</v>
      </c>
      <c r="Q473" s="342">
        <f>INDEX(Muuttujat!$O$5:$O$21,MATCH($C473,Muuttujat!$N$5:$N$21,0),1)</f>
        <v>0.1</v>
      </c>
      <c r="R473" s="148">
        <f>INDEX(Muuttujat!$P$5:$P$21,MATCH($C473,Muuttujat!$N$5:$N$21,0),1)</f>
        <v>0.10417875759940039</v>
      </c>
      <c r="S473" s="149">
        <f t="shared" si="133"/>
        <v>0</v>
      </c>
      <c r="T473" s="150">
        <f t="shared" si="134"/>
        <v>0</v>
      </c>
      <c r="U473" s="150">
        <f t="shared" si="135"/>
        <v>103.26944788218019</v>
      </c>
      <c r="V473" s="150">
        <f>IFERROR(INDEX(Työkonekanta!$J$3:$J$27,MATCH($A473,Työkonekanta!$A$3:$A$24,0),1)*$B473*ef_li_ion_akku/1000/1000/INDEX(Työkonekanta!$K$3:$K$27,MATCH($A473,Työkonekanta!$A$3:$A$24,0)),0)</f>
        <v>44.353772307692303</v>
      </c>
      <c r="W473" s="149">
        <f t="shared" si="144"/>
        <v>0</v>
      </c>
      <c r="X473" s="150">
        <f t="shared" si="145"/>
        <v>0</v>
      </c>
      <c r="Y473" s="151">
        <f t="shared" si="146"/>
        <v>0</v>
      </c>
      <c r="Z473" s="152">
        <f t="shared" si="139"/>
        <v>147.62322018987248</v>
      </c>
      <c r="AA473" s="153">
        <f t="shared" si="140"/>
        <v>0</v>
      </c>
      <c r="AB473" s="153">
        <f t="shared" si="141"/>
        <v>0</v>
      </c>
      <c r="AC473" s="154">
        <f t="shared" si="147"/>
        <v>147.62322018987248</v>
      </c>
      <c r="AD473" s="156">
        <f t="shared" si="142"/>
        <v>147.62322018987248</v>
      </c>
      <c r="AE473" s="182"/>
      <c r="AG473" s="2"/>
    </row>
    <row r="474" spans="1:37">
      <c r="A474" s="139">
        <v>22</v>
      </c>
      <c r="B474" s="139" cm="1">
        <f t="array" ref="B474">IFERROR(IF(A474=s1_id_korvattava1,INDEX($AG$3:$AG$19,MATCH(C474,$AF$3:$AF$19,0),1),IF(A474=s1_id_korvaava1,INDEX($AH$3:$AH$19,MATCH(C474,$AF$3:$AF$19,0),1),IF(A474=s1_id_korvattava2,INDEX($AI$3:$AI$19,MATCH(C474,$AF$3:$AF$19,0),1),IF(A474=s1_id_korvaava2,INDEX($AJ$3:$AJ$19,MATCH(C474,$AF$3:$AF$19,0),1),INDEX(Työkonekanta!$F$3:$F$27,MATCH('S1 Sähkö'!$A474,Työkonekanta!$A$3:$A$24,0),1))))),0)</f>
        <v>1</v>
      </c>
      <c r="C474" s="140">
        <v>2034</v>
      </c>
      <c r="D474" s="141" t="str">
        <f>IFERROR(INDEX(Työkonekanta!$D$3:$D$27,MATCH('S1 Sähkö'!$A474,Työkonekanta!$A$3:$A$24,0),1),"undefined")</f>
        <v>sähkö</v>
      </c>
      <c r="E474" s="145">
        <f>IFERROR(INDEX(Työkonekanta!$G$3:$G$27,MATCH($A474,Työkonekanta!$A$3:$A$24,0),1)*INDEX(Työkonekanta!$H$3:$H$27,MATCH($A474,Työkonekanta!$A$3:$A$24,0),1)*(1+s1_kerroin*($C474-2019))*$B474,0)</f>
        <v>51223.981481481474</v>
      </c>
      <c r="F474" s="145">
        <f t="shared" si="130"/>
        <v>0</v>
      </c>
      <c r="G474" s="145">
        <f t="shared" si="136"/>
        <v>0</v>
      </c>
      <c r="H474" s="145">
        <f t="shared" si="137"/>
        <v>0</v>
      </c>
      <c r="I474" s="145">
        <f t="shared" si="131"/>
        <v>0</v>
      </c>
      <c r="J474" s="145">
        <f t="shared" si="132"/>
        <v>0</v>
      </c>
      <c r="K474" s="142" t="str">
        <f t="shared" si="138"/>
        <v>kWh</v>
      </c>
      <c r="L474" s="146">
        <f>IFERROR(INDEX(Työkonekanta!$I$3:$I$27,MATCH('S1 Sähkö'!$A474,Työkonekanta!$A$3:$A$24,0),1)*(I474+J474)*f_adblue,0)</f>
        <v>0</v>
      </c>
      <c r="M474" s="146">
        <f t="shared" si="143"/>
        <v>184406.33333333331</v>
      </c>
      <c r="N474" s="143" t="str">
        <f>IF(tuulisähkö_vuosi&lt;='S1 Sähkö'!C474,"tuulisähkö",ostosähkö_nyt)</f>
        <v>jäännössähkö</v>
      </c>
      <c r="O474" s="147">
        <f>INDEX(Muuttujat!$J$5:$J$21,MATCH($C474,Muuttujat!$H$5:$H$21,0),1)</f>
        <v>59.556652007924122</v>
      </c>
      <c r="P474" s="342">
        <f>1-(INDEX(Muuttujat!$O$5:$O$21,MATCH($C474,Muuttujat!$N$5:$N$21,0),1))</f>
        <v>0.9</v>
      </c>
      <c r="Q474" s="342">
        <f>INDEX(Muuttujat!$O$5:$O$21,MATCH($C474,Muuttujat!$N$5:$N$21,0),1)</f>
        <v>0.1</v>
      </c>
      <c r="R474" s="148">
        <f>INDEX(Muuttujat!$P$5:$P$21,MATCH($C474,Muuttujat!$N$5:$N$21,0),1)</f>
        <v>0.10417875759940039</v>
      </c>
      <c r="S474" s="149">
        <f t="shared" si="133"/>
        <v>0</v>
      </c>
      <c r="T474" s="150">
        <f t="shared" si="134"/>
        <v>0</v>
      </c>
      <c r="U474" s="150">
        <f t="shared" si="135"/>
        <v>10.98262382239059</v>
      </c>
      <c r="V474" s="150">
        <f>IFERROR(INDEX(Työkonekanta!$J$3:$J$27,MATCH($A474,Työkonekanta!$A$3:$A$24,0),1)*$B474*ef_li_ion_akku/1000/1000/INDEX(Työkonekanta!$K$3:$K$27,MATCH($A474,Työkonekanta!$A$3:$A$24,0)),0)</f>
        <v>5.2676455384615384</v>
      </c>
      <c r="W474" s="149">
        <f t="shared" si="144"/>
        <v>0</v>
      </c>
      <c r="X474" s="150">
        <f t="shared" si="145"/>
        <v>0</v>
      </c>
      <c r="Y474" s="151">
        <f t="shared" si="146"/>
        <v>0</v>
      </c>
      <c r="Z474" s="152">
        <f t="shared" si="139"/>
        <v>16.25026936085213</v>
      </c>
      <c r="AA474" s="153">
        <f t="shared" si="140"/>
        <v>0</v>
      </c>
      <c r="AB474" s="153">
        <f t="shared" si="141"/>
        <v>0</v>
      </c>
      <c r="AC474" s="154">
        <f t="shared" si="147"/>
        <v>16.25026936085213</v>
      </c>
      <c r="AD474" s="156">
        <f t="shared" si="142"/>
        <v>16.25026936085213</v>
      </c>
      <c r="AE474" s="182"/>
      <c r="AG474" s="2"/>
    </row>
    <row r="475" spans="1:37">
      <c r="A475" s="139">
        <v>23</v>
      </c>
      <c r="B475" s="139" cm="1">
        <f t="array" ref="B475">IFERROR(IF(A475=s1_id_korvattava1,INDEX($AG$3:$AG$19,MATCH(C475,$AF$3:$AF$19,0),1),IF(A475=s1_id_korvaava1,INDEX($AH$3:$AH$19,MATCH(C475,$AF$3:$AF$19,0),1),IF(A475=s1_id_korvattava2,INDEX($AI$3:$AI$19,MATCH(C475,$AF$3:$AF$19,0),1),IF(A475=s1_id_korvaava2,INDEX($AJ$3:$AJ$19,MATCH(C475,$AF$3:$AF$19,0),1),INDEX(Työkonekanta!$F$3:$F$27,MATCH('S1 Sähkö'!$A475,Työkonekanta!$A$3:$A$24,0),1))))),0)</f>
        <v>0</v>
      </c>
      <c r="C475" s="140">
        <v>2034</v>
      </c>
      <c r="D475" s="141" t="str">
        <f>IFERROR(INDEX(Työkonekanta!$D$3:$D$27,MATCH('S1 Sähkö'!$A475,Työkonekanta!$A$3:$A$24,0),1),"undefined")</f>
        <v>undefined</v>
      </c>
      <c r="E475" s="145">
        <f>IFERROR(INDEX(Työkonekanta!$G$3:$G$27,MATCH($A475,Työkonekanta!$A$3:$A$24,0),1)*INDEX(Työkonekanta!$H$3:$H$27,MATCH($A475,Työkonekanta!$A$3:$A$24,0),1)*(1+s1_kerroin*($C475-2019))*$B475,0)</f>
        <v>0</v>
      </c>
      <c r="F475" s="145">
        <f t="shared" si="130"/>
        <v>0</v>
      </c>
      <c r="G475" s="145">
        <f t="shared" si="136"/>
        <v>0</v>
      </c>
      <c r="H475" s="145">
        <f t="shared" si="137"/>
        <v>0</v>
      </c>
      <c r="I475" s="145">
        <f t="shared" si="131"/>
        <v>0</v>
      </c>
      <c r="J475" s="145">
        <f t="shared" si="132"/>
        <v>0</v>
      </c>
      <c r="K475" s="142" t="str">
        <f t="shared" si="138"/>
        <v>undefined</v>
      </c>
      <c r="L475" s="146">
        <f>IFERROR(INDEX(Työkonekanta!$I$3:$I$27,MATCH('S1 Sähkö'!$A475,Työkonekanta!$A$3:$A$24,0),1)*(I475+J475)*f_adblue,0)</f>
        <v>0</v>
      </c>
      <c r="M475" s="146">
        <f t="shared" si="143"/>
        <v>0</v>
      </c>
      <c r="N475" s="143" t="str">
        <f>IF(tuulisähkö_vuosi&lt;='S1 Sähkö'!C475,"tuulisähkö",ostosähkö_nyt)</f>
        <v>jäännössähkö</v>
      </c>
      <c r="O475" s="147">
        <f>INDEX(Muuttujat!$J$5:$J$21,MATCH($C475,Muuttujat!$H$5:$H$21,0),1)</f>
        <v>59.556652007924122</v>
      </c>
      <c r="P475" s="342">
        <f>1-(INDEX(Muuttujat!$O$5:$O$21,MATCH($C475,Muuttujat!$N$5:$N$21,0),1))</f>
        <v>0.9</v>
      </c>
      <c r="Q475" s="342">
        <f>INDEX(Muuttujat!$O$5:$O$21,MATCH($C475,Muuttujat!$N$5:$N$21,0),1)</f>
        <v>0.1</v>
      </c>
      <c r="R475" s="148">
        <f>INDEX(Muuttujat!$P$5:$P$21,MATCH($C475,Muuttujat!$N$5:$N$21,0),1)</f>
        <v>0.10417875759940039</v>
      </c>
      <c r="S475" s="149">
        <f t="shared" si="133"/>
        <v>0</v>
      </c>
      <c r="T475" s="150">
        <f t="shared" si="134"/>
        <v>0</v>
      </c>
      <c r="U475" s="150">
        <f t="shared" si="135"/>
        <v>0</v>
      </c>
      <c r="V475" s="150">
        <f>IFERROR(INDEX(Työkonekanta!$J$3:$J$27,MATCH($A475,Työkonekanta!$A$3:$A$24,0),1)*$B475*ef_li_ion_akku/1000/1000/INDEX(Työkonekanta!$K$3:$K$27,MATCH($A475,Työkonekanta!$A$3:$A$24,0)),0)</f>
        <v>0</v>
      </c>
      <c r="W475" s="149">
        <f t="shared" si="144"/>
        <v>0</v>
      </c>
      <c r="X475" s="150">
        <f t="shared" si="145"/>
        <v>0</v>
      </c>
      <c r="Y475" s="151">
        <f t="shared" si="146"/>
        <v>0</v>
      </c>
      <c r="Z475" s="152">
        <f t="shared" si="139"/>
        <v>0</v>
      </c>
      <c r="AA475" s="153">
        <f t="shared" si="140"/>
        <v>0</v>
      </c>
      <c r="AB475" s="153">
        <f t="shared" si="141"/>
        <v>0</v>
      </c>
      <c r="AC475" s="154">
        <f t="shared" si="147"/>
        <v>0</v>
      </c>
      <c r="AD475" s="156">
        <f t="shared" si="142"/>
        <v>0</v>
      </c>
      <c r="AE475" s="182"/>
      <c r="AJ475" s="28"/>
      <c r="AK475" s="29"/>
    </row>
    <row r="476" spans="1:37">
      <c r="A476" s="139">
        <v>24</v>
      </c>
      <c r="B476" s="139" cm="1">
        <f t="array" ref="B476">IFERROR(IF(A476=s1_id_korvattava1,INDEX($AG$3:$AG$19,MATCH(C476,$AF$3:$AF$19,0),1),IF(A476=s1_id_korvaava1,INDEX($AH$3:$AH$19,MATCH(C476,$AF$3:$AF$19,0),1),IF(A476=s1_id_korvattava2,INDEX($AI$3:$AI$19,MATCH(C476,$AF$3:$AF$19,0),1),IF(A476=s1_id_korvaava2,INDEX($AJ$3:$AJ$19,MATCH(C476,$AF$3:$AF$19,0),1),INDEX(Työkonekanta!$F$3:$F$27,MATCH('S1 Sähkö'!$A476,Työkonekanta!$A$3:$A$24,0),1))))),0)</f>
        <v>0</v>
      </c>
      <c r="C476" s="140">
        <v>2034</v>
      </c>
      <c r="D476" s="141" t="str">
        <f>IFERROR(INDEX(Työkonekanta!$D$3:$D$27,MATCH('S1 Sähkö'!$A476,Työkonekanta!$A$3:$A$24,0),1),"undefined")</f>
        <v>undefined</v>
      </c>
      <c r="E476" s="145">
        <f>IFERROR(INDEX(Työkonekanta!$G$3:$G$27,MATCH($A476,Työkonekanta!$A$3:$A$24,0),1)*INDEX(Työkonekanta!$H$3:$H$27,MATCH($A476,Työkonekanta!$A$3:$A$24,0),1)*(1+s1_kerroin*($C476-2019))*$B476,0)</f>
        <v>0</v>
      </c>
      <c r="F476" s="145">
        <f t="shared" si="130"/>
        <v>0</v>
      </c>
      <c r="G476" s="145">
        <f t="shared" si="136"/>
        <v>0</v>
      </c>
      <c r="H476" s="145">
        <f t="shared" si="137"/>
        <v>0</v>
      </c>
      <c r="I476" s="145">
        <f t="shared" si="131"/>
        <v>0</v>
      </c>
      <c r="J476" s="145">
        <f t="shared" si="132"/>
        <v>0</v>
      </c>
      <c r="K476" s="142" t="str">
        <f t="shared" si="138"/>
        <v>undefined</v>
      </c>
      <c r="L476" s="146">
        <f>IFERROR(INDEX(Työkonekanta!$I$3:$I$27,MATCH('S1 Sähkö'!$A476,Työkonekanta!$A$3:$A$24,0),1)*(I476+J476)*f_adblue,0)</f>
        <v>0</v>
      </c>
      <c r="M476" s="146">
        <f t="shared" si="143"/>
        <v>0</v>
      </c>
      <c r="N476" s="143" t="str">
        <f>IF(tuulisähkö_vuosi&lt;='S1 Sähkö'!C476,"tuulisähkö",ostosähkö_nyt)</f>
        <v>jäännössähkö</v>
      </c>
      <c r="O476" s="147">
        <f>INDEX(Muuttujat!$J$5:$J$21,MATCH($C476,Muuttujat!$H$5:$H$21,0),1)</f>
        <v>59.556652007924122</v>
      </c>
      <c r="P476" s="342">
        <f>1-(INDEX(Muuttujat!$O$5:$O$21,MATCH($C476,Muuttujat!$N$5:$N$21,0),1))</f>
        <v>0.9</v>
      </c>
      <c r="Q476" s="342">
        <f>INDEX(Muuttujat!$O$5:$O$21,MATCH($C476,Muuttujat!$N$5:$N$21,0),1)</f>
        <v>0.1</v>
      </c>
      <c r="R476" s="148">
        <f>INDEX(Muuttujat!$P$5:$P$21,MATCH($C476,Muuttujat!$N$5:$N$21,0),1)</f>
        <v>0.10417875759940039</v>
      </c>
      <c r="S476" s="149">
        <f t="shared" si="133"/>
        <v>0</v>
      </c>
      <c r="T476" s="150">
        <f t="shared" si="134"/>
        <v>0</v>
      </c>
      <c r="U476" s="150">
        <f t="shared" si="135"/>
        <v>0</v>
      </c>
      <c r="V476" s="150">
        <f>IFERROR(INDEX(Työkonekanta!$J$3:$J$27,MATCH($A476,Työkonekanta!$A$3:$A$24,0),1)*$B476*ef_li_ion_akku/1000/1000/INDEX(Työkonekanta!$K$3:$K$27,MATCH($A476,Työkonekanta!$A$3:$A$24,0)),0)</f>
        <v>0</v>
      </c>
      <c r="W476" s="149">
        <f t="shared" si="144"/>
        <v>0</v>
      </c>
      <c r="X476" s="150">
        <f t="shared" si="145"/>
        <v>0</v>
      </c>
      <c r="Y476" s="151">
        <f t="shared" si="146"/>
        <v>0</v>
      </c>
      <c r="Z476" s="152">
        <f t="shared" si="139"/>
        <v>0</v>
      </c>
      <c r="AA476" s="153">
        <f t="shared" si="140"/>
        <v>0</v>
      </c>
      <c r="AB476" s="153">
        <f t="shared" si="141"/>
        <v>0</v>
      </c>
      <c r="AC476" s="154">
        <f t="shared" si="147"/>
        <v>0</v>
      </c>
      <c r="AD476" s="156">
        <f t="shared" si="142"/>
        <v>0</v>
      </c>
      <c r="AE476" s="182"/>
      <c r="AJ476" s="28"/>
      <c r="AK476" s="29"/>
    </row>
    <row r="477" spans="1:37">
      <c r="A477" s="139">
        <v>25</v>
      </c>
      <c r="B477" s="139" cm="1">
        <f t="array" ref="B477">IFERROR(IF(A477=s1_id_korvattava1,INDEX($AG$3:$AG$19,MATCH(C477,$AF$3:$AF$19,0),1),IF(A477=s1_id_korvaava1,INDEX($AH$3:$AH$19,MATCH(C477,$AF$3:$AF$19,0),1),IF(A477=s1_id_korvattava2,INDEX($AI$3:$AI$19,MATCH(C477,$AF$3:$AF$19,0),1),IF(A477=s1_id_korvaava2,INDEX($AJ$3:$AJ$19,MATCH(C477,$AF$3:$AF$19,0),1),INDEX(Työkonekanta!$F$3:$F$27,MATCH('S1 Sähkö'!$A477,Työkonekanta!$A$3:$A$24,0),1))))),0)</f>
        <v>0</v>
      </c>
      <c r="C477" s="140">
        <v>2034</v>
      </c>
      <c r="D477" s="141" t="str">
        <f>IFERROR(INDEX(Työkonekanta!$D$3:$D$27,MATCH('S1 Sähkö'!$A477,Työkonekanta!$A$3:$A$24,0),1),"undefined")</f>
        <v>undefined</v>
      </c>
      <c r="E477" s="145">
        <f>IFERROR(INDEX(Työkonekanta!$G$3:$G$27,MATCH($A477,Työkonekanta!$A$3:$A$24,0),1)*INDEX(Työkonekanta!$H$3:$H$27,MATCH($A477,Työkonekanta!$A$3:$A$24,0),1)*(1+s1_kerroin*($C477-2019))*$B477,0)</f>
        <v>0</v>
      </c>
      <c r="F477" s="145">
        <f t="shared" si="130"/>
        <v>0</v>
      </c>
      <c r="G477" s="145">
        <f t="shared" si="136"/>
        <v>0</v>
      </c>
      <c r="H477" s="145">
        <f t="shared" si="137"/>
        <v>0</v>
      </c>
      <c r="I477" s="145">
        <f t="shared" si="131"/>
        <v>0</v>
      </c>
      <c r="J477" s="145">
        <f t="shared" si="132"/>
        <v>0</v>
      </c>
      <c r="K477" s="142" t="str">
        <f t="shared" si="138"/>
        <v>undefined</v>
      </c>
      <c r="L477" s="146">
        <f>IFERROR(INDEX(Työkonekanta!$I$3:$I$27,MATCH('S1 Sähkö'!$A477,Työkonekanta!$A$3:$A$24,0),1)*(I477+J477)*f_adblue,0)</f>
        <v>0</v>
      </c>
      <c r="M477" s="146">
        <f t="shared" si="143"/>
        <v>0</v>
      </c>
      <c r="N477" s="143" t="str">
        <f>IF(tuulisähkö_vuosi&lt;='S1 Sähkö'!C477,"tuulisähkö",ostosähkö_nyt)</f>
        <v>jäännössähkö</v>
      </c>
      <c r="O477" s="147">
        <f>INDEX(Muuttujat!$J$5:$J$21,MATCH($C477,Muuttujat!$H$5:$H$21,0),1)</f>
        <v>59.556652007924122</v>
      </c>
      <c r="P477" s="342">
        <f>1-(INDEX(Muuttujat!$O$5:$O$21,MATCH($C477,Muuttujat!$N$5:$N$21,0),1))</f>
        <v>0.9</v>
      </c>
      <c r="Q477" s="342">
        <f>INDEX(Muuttujat!$O$5:$O$21,MATCH($C477,Muuttujat!$N$5:$N$21,0),1)</f>
        <v>0.1</v>
      </c>
      <c r="R477" s="148">
        <f>INDEX(Muuttujat!$P$5:$P$21,MATCH($C477,Muuttujat!$N$5:$N$21,0),1)</f>
        <v>0.10417875759940039</v>
      </c>
      <c r="S477" s="149">
        <f t="shared" si="133"/>
        <v>0</v>
      </c>
      <c r="T477" s="150">
        <f t="shared" si="134"/>
        <v>0</v>
      </c>
      <c r="U477" s="150">
        <f t="shared" si="135"/>
        <v>0</v>
      </c>
      <c r="V477" s="150">
        <f>IFERROR(INDEX(Työkonekanta!$J$3:$J$27,MATCH($A477,Työkonekanta!$A$3:$A$24,0),1)*$B477*ef_li_ion_akku/1000/1000/INDEX(Työkonekanta!$K$3:$K$27,MATCH($A477,Työkonekanta!$A$3:$A$24,0)),0)</f>
        <v>0</v>
      </c>
      <c r="W477" s="149">
        <f t="shared" si="144"/>
        <v>0</v>
      </c>
      <c r="X477" s="150">
        <f t="shared" si="145"/>
        <v>0</v>
      </c>
      <c r="Y477" s="151">
        <f t="shared" si="146"/>
        <v>0</v>
      </c>
      <c r="Z477" s="152">
        <f t="shared" si="139"/>
        <v>0</v>
      </c>
      <c r="AA477" s="153">
        <f t="shared" si="140"/>
        <v>0</v>
      </c>
      <c r="AB477" s="153">
        <f t="shared" si="141"/>
        <v>0</v>
      </c>
      <c r="AC477" s="154">
        <f t="shared" si="147"/>
        <v>0</v>
      </c>
      <c r="AD477" s="156">
        <f t="shared" si="142"/>
        <v>0</v>
      </c>
      <c r="AE477" s="182"/>
      <c r="AJ477" s="28"/>
      <c r="AK477" s="29"/>
    </row>
    <row r="478" spans="1:37">
      <c r="A478" s="139">
        <v>26</v>
      </c>
      <c r="B478" s="139" cm="1">
        <f t="array" ref="B478">IFERROR(IF(A478=s1_id_korvattava1,INDEX($AG$3:$AG$19,MATCH(C478,$AF$3:$AF$19,0),1),IF(A478=s1_id_korvaava1,INDEX($AH$3:$AH$19,MATCH(C478,$AF$3:$AF$19,0),1),IF(A478=s1_id_korvattava2,INDEX($AI$3:$AI$19,MATCH(C478,$AF$3:$AF$19,0),1),IF(A478=s1_id_korvaava2,INDEX($AJ$3:$AJ$19,MATCH(C478,$AF$3:$AF$19,0),1),INDEX(Työkonekanta!$F$3:$F$27,MATCH('S1 Sähkö'!$A478,Työkonekanta!$A$3:$A$24,0),1))))),0)</f>
        <v>0</v>
      </c>
      <c r="C478" s="140">
        <v>2034</v>
      </c>
      <c r="D478" s="141" t="str">
        <f>IFERROR(INDEX(Työkonekanta!$D$3:$D$27,MATCH('S1 Sähkö'!$A478,Työkonekanta!$A$3:$A$24,0),1),"undefined")</f>
        <v>undefined</v>
      </c>
      <c r="E478" s="145">
        <f>IFERROR(INDEX(Työkonekanta!$G$3:$G$27,MATCH($A478,Työkonekanta!$A$3:$A$24,0),1)*INDEX(Työkonekanta!$H$3:$H$27,MATCH($A478,Työkonekanta!$A$3:$A$24,0),1)*(1+s1_kerroin*($C478-2019))*$B478,0)</f>
        <v>0</v>
      </c>
      <c r="F478" s="145">
        <f t="shared" si="130"/>
        <v>0</v>
      </c>
      <c r="G478" s="145">
        <f t="shared" si="136"/>
        <v>0</v>
      </c>
      <c r="H478" s="145">
        <f t="shared" si="137"/>
        <v>0</v>
      </c>
      <c r="I478" s="145">
        <f t="shared" si="131"/>
        <v>0</v>
      </c>
      <c r="J478" s="145">
        <f t="shared" si="132"/>
        <v>0</v>
      </c>
      <c r="K478" s="142" t="str">
        <f t="shared" si="138"/>
        <v>undefined</v>
      </c>
      <c r="L478" s="146">
        <f>IFERROR(INDEX(Työkonekanta!$I$3:$I$27,MATCH('S1 Sähkö'!$A478,Työkonekanta!$A$3:$A$24,0),1)*(I478+J478)*f_adblue,0)</f>
        <v>0</v>
      </c>
      <c r="M478" s="146">
        <f t="shared" si="143"/>
        <v>0</v>
      </c>
      <c r="N478" s="143" t="str">
        <f>IF(tuulisähkö_vuosi&lt;='S1 Sähkö'!C478,"tuulisähkö",ostosähkö_nyt)</f>
        <v>jäännössähkö</v>
      </c>
      <c r="O478" s="147">
        <f>INDEX(Muuttujat!$J$5:$J$21,MATCH($C478,Muuttujat!$H$5:$H$21,0),1)</f>
        <v>59.556652007924122</v>
      </c>
      <c r="P478" s="342">
        <f>1-(INDEX(Muuttujat!$O$5:$O$21,MATCH($C478,Muuttujat!$N$5:$N$21,0),1))</f>
        <v>0.9</v>
      </c>
      <c r="Q478" s="342">
        <f>INDEX(Muuttujat!$O$5:$O$21,MATCH($C478,Muuttujat!$N$5:$N$21,0),1)</f>
        <v>0.1</v>
      </c>
      <c r="R478" s="148">
        <f>INDEX(Muuttujat!$P$5:$P$21,MATCH($C478,Muuttujat!$N$5:$N$21,0),1)</f>
        <v>0.10417875759940039</v>
      </c>
      <c r="S478" s="149">
        <f t="shared" si="133"/>
        <v>0</v>
      </c>
      <c r="T478" s="150">
        <f t="shared" si="134"/>
        <v>0</v>
      </c>
      <c r="U478" s="150">
        <f t="shared" si="135"/>
        <v>0</v>
      </c>
      <c r="V478" s="150">
        <f>IFERROR(INDEX(Työkonekanta!$J$3:$J$27,MATCH($A478,Työkonekanta!$A$3:$A$24,0),1)*$B478*ef_li_ion_akku/1000/1000/INDEX(Työkonekanta!$K$3:$K$27,MATCH($A478,Työkonekanta!$A$3:$A$24,0)),0)</f>
        <v>0</v>
      </c>
      <c r="W478" s="149">
        <f t="shared" si="144"/>
        <v>0</v>
      </c>
      <c r="X478" s="150">
        <f t="shared" si="145"/>
        <v>0</v>
      </c>
      <c r="Y478" s="151">
        <f t="shared" si="146"/>
        <v>0</v>
      </c>
      <c r="Z478" s="152">
        <f t="shared" si="139"/>
        <v>0</v>
      </c>
      <c r="AA478" s="153">
        <f t="shared" si="140"/>
        <v>0</v>
      </c>
      <c r="AB478" s="153">
        <f t="shared" si="141"/>
        <v>0</v>
      </c>
      <c r="AC478" s="154">
        <f t="shared" si="147"/>
        <v>0</v>
      </c>
      <c r="AD478" s="156">
        <f t="shared" si="142"/>
        <v>0</v>
      </c>
      <c r="AE478" s="182"/>
      <c r="AJ478" s="28"/>
      <c r="AK478" s="29"/>
    </row>
    <row r="479" spans="1:37">
      <c r="A479" s="139">
        <v>27</v>
      </c>
      <c r="B479" s="139" cm="1">
        <f t="array" ref="B479">IFERROR(IF(A479=s1_id_korvattava1,INDEX($AG$3:$AG$19,MATCH(C479,$AF$3:$AF$19,0),1),IF(A479=s1_id_korvaava1,INDEX($AH$3:$AH$19,MATCH(C479,$AF$3:$AF$19,0),1),IF(A479=s1_id_korvattava2,INDEX($AI$3:$AI$19,MATCH(C479,$AF$3:$AF$19,0),1),IF(A479=s1_id_korvaava2,INDEX($AJ$3:$AJ$19,MATCH(C479,$AF$3:$AF$19,0),1),INDEX(Työkonekanta!$F$3:$F$27,MATCH('S1 Sähkö'!$A479,Työkonekanta!$A$3:$A$24,0),1))))),0)</f>
        <v>0</v>
      </c>
      <c r="C479" s="140">
        <v>2034</v>
      </c>
      <c r="D479" s="141" t="str">
        <f>IFERROR(INDEX(Työkonekanta!$D$3:$D$27,MATCH('S1 Sähkö'!$A479,Työkonekanta!$A$3:$A$24,0),1),"undefined")</f>
        <v>undefined</v>
      </c>
      <c r="E479" s="145">
        <f>IFERROR(INDEX(Työkonekanta!$G$3:$G$27,MATCH($A479,Työkonekanta!$A$3:$A$24,0),1)*INDEX(Työkonekanta!$H$3:$H$27,MATCH($A479,Työkonekanta!$A$3:$A$24,0),1)*(1+s1_kerroin*($C479-2019))*$B479,0)</f>
        <v>0</v>
      </c>
      <c r="F479" s="145">
        <f t="shared" si="130"/>
        <v>0</v>
      </c>
      <c r="G479" s="145">
        <f t="shared" si="136"/>
        <v>0</v>
      </c>
      <c r="H479" s="145">
        <f t="shared" si="137"/>
        <v>0</v>
      </c>
      <c r="I479" s="145">
        <f t="shared" si="131"/>
        <v>0</v>
      </c>
      <c r="J479" s="145">
        <f t="shared" si="132"/>
        <v>0</v>
      </c>
      <c r="K479" s="142" t="str">
        <f t="shared" si="138"/>
        <v>undefined</v>
      </c>
      <c r="L479" s="146">
        <f>IFERROR(INDEX(Työkonekanta!$I$3:$I$27,MATCH('S1 Sähkö'!$A479,Työkonekanta!$A$3:$A$24,0),1)*(I479+J479)*f_adblue,0)</f>
        <v>0</v>
      </c>
      <c r="M479" s="146">
        <f t="shared" si="143"/>
        <v>0</v>
      </c>
      <c r="N479" s="143" t="str">
        <f>IF(tuulisähkö_vuosi&lt;='S1 Sähkö'!C479,"tuulisähkö",ostosähkö_nyt)</f>
        <v>jäännössähkö</v>
      </c>
      <c r="O479" s="147">
        <f>INDEX(Muuttujat!$J$5:$J$21,MATCH($C479,Muuttujat!$H$5:$H$21,0),1)</f>
        <v>59.556652007924122</v>
      </c>
      <c r="P479" s="342">
        <f>1-(INDEX(Muuttujat!$O$5:$O$21,MATCH($C479,Muuttujat!$N$5:$N$21,0),1))</f>
        <v>0.9</v>
      </c>
      <c r="Q479" s="342">
        <f>INDEX(Muuttujat!$O$5:$O$21,MATCH($C479,Muuttujat!$N$5:$N$21,0),1)</f>
        <v>0.1</v>
      </c>
      <c r="R479" s="148">
        <f>INDEX(Muuttujat!$P$5:$P$21,MATCH($C479,Muuttujat!$N$5:$N$21,0),1)</f>
        <v>0.10417875759940039</v>
      </c>
      <c r="S479" s="149">
        <f t="shared" si="133"/>
        <v>0</v>
      </c>
      <c r="T479" s="150">
        <f t="shared" si="134"/>
        <v>0</v>
      </c>
      <c r="U479" s="150">
        <f t="shared" si="135"/>
        <v>0</v>
      </c>
      <c r="V479" s="150">
        <f>IFERROR(INDEX(Työkonekanta!$J$3:$J$27,MATCH($A479,Työkonekanta!$A$3:$A$24,0),1)*$B479*ef_li_ion_akku/1000/1000/INDEX(Työkonekanta!$K$3:$K$27,MATCH($A479,Työkonekanta!$A$3:$A$24,0)),0)</f>
        <v>0</v>
      </c>
      <c r="W479" s="149">
        <f t="shared" si="144"/>
        <v>0</v>
      </c>
      <c r="X479" s="150">
        <f t="shared" si="145"/>
        <v>0</v>
      </c>
      <c r="Y479" s="151">
        <f t="shared" si="146"/>
        <v>0</v>
      </c>
      <c r="Z479" s="152">
        <f t="shared" si="139"/>
        <v>0</v>
      </c>
      <c r="AA479" s="153">
        <f t="shared" si="140"/>
        <v>0</v>
      </c>
      <c r="AB479" s="153">
        <f t="shared" si="141"/>
        <v>0</v>
      </c>
      <c r="AC479" s="154">
        <f t="shared" si="147"/>
        <v>0</v>
      </c>
      <c r="AD479" s="156">
        <f t="shared" si="142"/>
        <v>0</v>
      </c>
      <c r="AE479" s="182"/>
      <c r="AJ479" s="28"/>
      <c r="AK479" s="29"/>
    </row>
    <row r="480" spans="1:37">
      <c r="A480" s="139">
        <v>28</v>
      </c>
      <c r="B480" s="139" cm="1">
        <f t="array" ref="B480">IFERROR(IF(A480=s1_id_korvattava1,INDEX($AG$3:$AG$19,MATCH(C480,$AF$3:$AF$19,0),1),IF(A480=s1_id_korvaava1,INDEX($AH$3:$AH$19,MATCH(C480,$AF$3:$AF$19,0),1),IF(A480=s1_id_korvattava2,INDEX($AI$3:$AI$19,MATCH(C480,$AF$3:$AF$19,0),1),IF(A480=s1_id_korvaava2,INDEX($AJ$3:$AJ$19,MATCH(C480,$AF$3:$AF$19,0),1),INDEX(Työkonekanta!$F$3:$F$27,MATCH('S1 Sähkö'!$A480,Työkonekanta!$A$3:$A$24,0),1))))),0)</f>
        <v>0</v>
      </c>
      <c r="C480" s="140">
        <v>2034</v>
      </c>
      <c r="D480" s="141" t="str">
        <f>IFERROR(INDEX(Työkonekanta!$D$3:$D$27,MATCH('S1 Sähkö'!$A480,Työkonekanta!$A$3:$A$24,0),1),"undefined")</f>
        <v>undefined</v>
      </c>
      <c r="E480" s="145">
        <f>IFERROR(INDEX(Työkonekanta!$G$3:$G$27,MATCH($A480,Työkonekanta!$A$3:$A$24,0),1)*INDEX(Työkonekanta!$H$3:$H$27,MATCH($A480,Työkonekanta!$A$3:$A$24,0),1)*(1+s1_kerroin*($C480-2019))*$B480,0)</f>
        <v>0</v>
      </c>
      <c r="F480" s="145">
        <f t="shared" si="130"/>
        <v>0</v>
      </c>
      <c r="G480" s="145">
        <f t="shared" si="136"/>
        <v>0</v>
      </c>
      <c r="H480" s="145">
        <f t="shared" si="137"/>
        <v>0</v>
      </c>
      <c r="I480" s="145">
        <f t="shared" si="131"/>
        <v>0</v>
      </c>
      <c r="J480" s="145">
        <f t="shared" si="132"/>
        <v>0</v>
      </c>
      <c r="K480" s="142" t="str">
        <f t="shared" si="138"/>
        <v>undefined</v>
      </c>
      <c r="L480" s="146">
        <f>IFERROR(INDEX(Työkonekanta!$I$3:$I$27,MATCH('S1 Sähkö'!$A480,Työkonekanta!$A$3:$A$24,0),1)*(I480+J480)*f_adblue,0)</f>
        <v>0</v>
      </c>
      <c r="M480" s="146">
        <f t="shared" si="143"/>
        <v>0</v>
      </c>
      <c r="N480" s="143" t="str">
        <f>IF(tuulisähkö_vuosi&lt;='S1 Sähkö'!C480,"tuulisähkö",ostosähkö_nyt)</f>
        <v>jäännössähkö</v>
      </c>
      <c r="O480" s="147">
        <f>INDEX(Muuttujat!$J$5:$J$21,MATCH($C480,Muuttujat!$H$5:$H$21,0),1)</f>
        <v>59.556652007924122</v>
      </c>
      <c r="P480" s="342">
        <f>1-(INDEX(Muuttujat!$O$5:$O$21,MATCH($C480,Muuttujat!$N$5:$N$21,0),1))</f>
        <v>0.9</v>
      </c>
      <c r="Q480" s="342">
        <f>INDEX(Muuttujat!$O$5:$O$21,MATCH($C480,Muuttujat!$N$5:$N$21,0),1)</f>
        <v>0.1</v>
      </c>
      <c r="R480" s="148">
        <f>INDEX(Muuttujat!$P$5:$P$21,MATCH($C480,Muuttujat!$N$5:$N$21,0),1)</f>
        <v>0.10417875759940039</v>
      </c>
      <c r="S480" s="149">
        <f t="shared" si="133"/>
        <v>0</v>
      </c>
      <c r="T480" s="150">
        <f t="shared" si="134"/>
        <v>0</v>
      </c>
      <c r="U480" s="150">
        <f t="shared" si="135"/>
        <v>0</v>
      </c>
      <c r="V480" s="150">
        <f>IFERROR(INDEX(Työkonekanta!$J$3:$J$27,MATCH($A480,Työkonekanta!$A$3:$A$24,0),1)*$B480*ef_li_ion_akku/1000/1000/INDEX(Työkonekanta!$K$3:$K$27,MATCH($A480,Työkonekanta!$A$3:$A$24,0)),0)</f>
        <v>0</v>
      </c>
      <c r="W480" s="149">
        <f t="shared" si="144"/>
        <v>0</v>
      </c>
      <c r="X480" s="150">
        <f t="shared" si="145"/>
        <v>0</v>
      </c>
      <c r="Y480" s="151">
        <f t="shared" si="146"/>
        <v>0</v>
      </c>
      <c r="Z480" s="152">
        <f t="shared" si="139"/>
        <v>0</v>
      </c>
      <c r="AA480" s="153">
        <f t="shared" si="140"/>
        <v>0</v>
      </c>
      <c r="AB480" s="153">
        <f t="shared" si="141"/>
        <v>0</v>
      </c>
      <c r="AC480" s="154">
        <f t="shared" si="147"/>
        <v>0</v>
      </c>
      <c r="AD480" s="156">
        <f t="shared" si="142"/>
        <v>0</v>
      </c>
      <c r="AE480" s="182"/>
      <c r="AJ480" s="28"/>
      <c r="AK480" s="29"/>
    </row>
    <row r="481" spans="1:37">
      <c r="A481" s="139">
        <v>29</v>
      </c>
      <c r="B481" s="139" cm="1">
        <f t="array" ref="B481">IFERROR(IF(A481=s1_id_korvattava1,INDEX($AG$3:$AG$19,MATCH(C481,$AF$3:$AF$19,0),1),IF(A481=s1_id_korvaava1,INDEX($AH$3:$AH$19,MATCH(C481,$AF$3:$AF$19,0),1),IF(A481=s1_id_korvattava2,INDEX($AI$3:$AI$19,MATCH(C481,$AF$3:$AF$19,0),1),IF(A481=s1_id_korvaava2,INDEX($AJ$3:$AJ$19,MATCH(C481,$AF$3:$AF$19,0),1),INDEX(Työkonekanta!$F$3:$F$27,MATCH('S1 Sähkö'!$A481,Työkonekanta!$A$3:$A$24,0),1))))),0)</f>
        <v>0</v>
      </c>
      <c r="C481" s="140">
        <v>2034</v>
      </c>
      <c r="D481" s="141" t="str">
        <f>IFERROR(INDEX(Työkonekanta!$D$3:$D$27,MATCH('S1 Sähkö'!$A481,Työkonekanta!$A$3:$A$24,0),1),"undefined")</f>
        <v>undefined</v>
      </c>
      <c r="E481" s="145">
        <f>IFERROR(INDEX(Työkonekanta!$G$3:$G$27,MATCH($A481,Työkonekanta!$A$3:$A$24,0),1)*INDEX(Työkonekanta!$H$3:$H$27,MATCH($A481,Työkonekanta!$A$3:$A$24,0),1)*(1+s1_kerroin*($C481-2019))*$B481,0)</f>
        <v>0</v>
      </c>
      <c r="F481" s="145">
        <f t="shared" si="130"/>
        <v>0</v>
      </c>
      <c r="G481" s="145">
        <f t="shared" si="136"/>
        <v>0</v>
      </c>
      <c r="H481" s="145">
        <f t="shared" si="137"/>
        <v>0</v>
      </c>
      <c r="I481" s="145">
        <f t="shared" si="131"/>
        <v>0</v>
      </c>
      <c r="J481" s="145">
        <f t="shared" si="132"/>
        <v>0</v>
      </c>
      <c r="K481" s="142" t="str">
        <f t="shared" si="138"/>
        <v>undefined</v>
      </c>
      <c r="L481" s="146">
        <f>IFERROR(INDEX(Työkonekanta!$I$3:$I$27,MATCH('S1 Sähkö'!$A481,Työkonekanta!$A$3:$A$24,0),1)*(I481+J481)*f_adblue,0)</f>
        <v>0</v>
      </c>
      <c r="M481" s="146">
        <f t="shared" si="143"/>
        <v>0</v>
      </c>
      <c r="N481" s="143" t="str">
        <f>IF(tuulisähkö_vuosi&lt;='S1 Sähkö'!C481,"tuulisähkö",ostosähkö_nyt)</f>
        <v>jäännössähkö</v>
      </c>
      <c r="O481" s="147">
        <f>INDEX(Muuttujat!$J$5:$J$21,MATCH($C481,Muuttujat!$H$5:$H$21,0),1)</f>
        <v>59.556652007924122</v>
      </c>
      <c r="P481" s="342">
        <f>1-(INDEX(Muuttujat!$O$5:$O$21,MATCH($C481,Muuttujat!$N$5:$N$21,0),1))</f>
        <v>0.9</v>
      </c>
      <c r="Q481" s="342">
        <f>INDEX(Muuttujat!$O$5:$O$21,MATCH($C481,Muuttujat!$N$5:$N$21,0),1)</f>
        <v>0.1</v>
      </c>
      <c r="R481" s="148">
        <f>INDEX(Muuttujat!$P$5:$P$21,MATCH($C481,Muuttujat!$N$5:$N$21,0),1)</f>
        <v>0.10417875759940039</v>
      </c>
      <c r="S481" s="149">
        <f t="shared" si="133"/>
        <v>0</v>
      </c>
      <c r="T481" s="150">
        <f t="shared" si="134"/>
        <v>0</v>
      </c>
      <c r="U481" s="150">
        <f t="shared" si="135"/>
        <v>0</v>
      </c>
      <c r="V481" s="150">
        <f>IFERROR(INDEX(Työkonekanta!$J$3:$J$27,MATCH($A481,Työkonekanta!$A$3:$A$24,0),1)*$B481*ef_li_ion_akku/1000/1000/INDEX(Työkonekanta!$K$3:$K$27,MATCH($A481,Työkonekanta!$A$3:$A$24,0)),0)</f>
        <v>0</v>
      </c>
      <c r="W481" s="149">
        <f t="shared" si="144"/>
        <v>0</v>
      </c>
      <c r="X481" s="150">
        <f t="shared" si="145"/>
        <v>0</v>
      </c>
      <c r="Y481" s="151">
        <f t="shared" si="146"/>
        <v>0</v>
      </c>
      <c r="Z481" s="152">
        <f t="shared" si="139"/>
        <v>0</v>
      </c>
      <c r="AA481" s="153">
        <f t="shared" si="140"/>
        <v>0</v>
      </c>
      <c r="AB481" s="153">
        <f t="shared" si="141"/>
        <v>0</v>
      </c>
      <c r="AC481" s="154">
        <f t="shared" si="147"/>
        <v>0</v>
      </c>
      <c r="AD481" s="156">
        <f t="shared" si="142"/>
        <v>0</v>
      </c>
      <c r="AE481" s="182"/>
      <c r="AJ481" s="28"/>
      <c r="AK481" s="29"/>
    </row>
    <row r="482" spans="1:37">
      <c r="A482" s="139">
        <v>30</v>
      </c>
      <c r="B482" s="139" cm="1">
        <f t="array" ref="B482">IFERROR(IF(A482=s1_id_korvattava1,INDEX($AG$3:$AG$19,MATCH(C482,$AF$3:$AF$19,0),1),IF(A482=s1_id_korvaava1,INDEX($AH$3:$AH$19,MATCH(C482,$AF$3:$AF$19,0),1),IF(A482=s1_id_korvattava2,INDEX($AI$3:$AI$19,MATCH(C482,$AF$3:$AF$19,0),1),IF(A482=s1_id_korvaava2,INDEX($AJ$3:$AJ$19,MATCH(C482,$AF$3:$AF$19,0),1),INDEX(Työkonekanta!$F$3:$F$27,MATCH('S1 Sähkö'!$A482,Työkonekanta!$A$3:$A$24,0),1))))),0)</f>
        <v>0</v>
      </c>
      <c r="C482" s="140">
        <v>2034</v>
      </c>
      <c r="D482" s="141" t="str">
        <f>IFERROR(INDEX(Työkonekanta!$D$3:$D$27,MATCH('S1 Sähkö'!$A482,Työkonekanta!$A$3:$A$24,0),1),"undefined")</f>
        <v>undefined</v>
      </c>
      <c r="E482" s="145">
        <f>IFERROR(INDEX(Työkonekanta!$G$3:$G$27,MATCH($A482,Työkonekanta!$A$3:$A$24,0),1)*INDEX(Työkonekanta!$H$3:$H$27,MATCH($A482,Työkonekanta!$A$3:$A$24,0),1)*(1+s1_kerroin*($C482-2019))*$B482,0)</f>
        <v>0</v>
      </c>
      <c r="F482" s="145">
        <f t="shared" si="130"/>
        <v>0</v>
      </c>
      <c r="G482" s="145">
        <f t="shared" si="136"/>
        <v>0</v>
      </c>
      <c r="H482" s="145">
        <f t="shared" si="137"/>
        <v>0</v>
      </c>
      <c r="I482" s="145">
        <f t="shared" si="131"/>
        <v>0</v>
      </c>
      <c r="J482" s="145">
        <f t="shared" si="132"/>
        <v>0</v>
      </c>
      <c r="K482" s="142" t="str">
        <f t="shared" si="138"/>
        <v>undefined</v>
      </c>
      <c r="L482" s="146">
        <f>IFERROR(INDEX(Työkonekanta!$I$3:$I$27,MATCH('S1 Sähkö'!$A482,Työkonekanta!$A$3:$A$24,0),1)*(I482+J482)*f_adblue,0)</f>
        <v>0</v>
      </c>
      <c r="M482" s="146">
        <f t="shared" si="143"/>
        <v>0</v>
      </c>
      <c r="N482" s="143" t="str">
        <f>IF(tuulisähkö_vuosi&lt;='S1 Sähkö'!C482,"tuulisähkö",ostosähkö_nyt)</f>
        <v>jäännössähkö</v>
      </c>
      <c r="O482" s="147">
        <f>INDEX(Muuttujat!$J$5:$J$21,MATCH($C482,Muuttujat!$H$5:$H$21,0),1)</f>
        <v>59.556652007924122</v>
      </c>
      <c r="P482" s="342">
        <f>1-(INDEX(Muuttujat!$O$5:$O$21,MATCH($C482,Muuttujat!$N$5:$N$21,0),1))</f>
        <v>0.9</v>
      </c>
      <c r="Q482" s="342">
        <f>INDEX(Muuttujat!$O$5:$O$21,MATCH($C482,Muuttujat!$N$5:$N$21,0),1)</f>
        <v>0.1</v>
      </c>
      <c r="R482" s="148">
        <f>INDEX(Muuttujat!$P$5:$P$21,MATCH($C482,Muuttujat!$N$5:$N$21,0),1)</f>
        <v>0.10417875759940039</v>
      </c>
      <c r="S482" s="149">
        <f t="shared" si="133"/>
        <v>0</v>
      </c>
      <c r="T482" s="150">
        <f t="shared" si="134"/>
        <v>0</v>
      </c>
      <c r="U482" s="150">
        <f t="shared" si="135"/>
        <v>0</v>
      </c>
      <c r="V482" s="150">
        <f>IFERROR(INDEX(Työkonekanta!$J$3:$J$27,MATCH($A482,Työkonekanta!$A$3:$A$24,0),1)*$B482*ef_li_ion_akku/1000/1000/INDEX(Työkonekanta!$K$3:$K$27,MATCH($A482,Työkonekanta!$A$3:$A$24,0)),0)</f>
        <v>0</v>
      </c>
      <c r="W482" s="149">
        <f t="shared" si="144"/>
        <v>0</v>
      </c>
      <c r="X482" s="150">
        <f t="shared" si="145"/>
        <v>0</v>
      </c>
      <c r="Y482" s="151">
        <f t="shared" si="146"/>
        <v>0</v>
      </c>
      <c r="Z482" s="152">
        <f t="shared" si="139"/>
        <v>0</v>
      </c>
      <c r="AA482" s="153">
        <f t="shared" si="140"/>
        <v>0</v>
      </c>
      <c r="AB482" s="153">
        <f t="shared" si="141"/>
        <v>0</v>
      </c>
      <c r="AC482" s="154">
        <f t="shared" si="147"/>
        <v>0</v>
      </c>
      <c r="AD482" s="156">
        <f t="shared" si="142"/>
        <v>0</v>
      </c>
      <c r="AE482" s="182"/>
      <c r="AJ482" s="28"/>
      <c r="AK482" s="29"/>
    </row>
    <row r="483" spans="1:37">
      <c r="A483" s="139">
        <v>1</v>
      </c>
      <c r="B483" s="139" cm="1">
        <f t="array" ref="B483">IFERROR(IF(A483=s1_id_korvattava1,INDEX($AG$3:$AG$19,MATCH(C483,$AF$3:$AF$19,0),1),IF(A483=s1_id_korvaava1,INDEX($AH$3:$AH$19,MATCH(C483,$AF$3:$AF$19,0),1),IF(A483=s1_id_korvattava2,INDEX($AI$3:$AI$19,MATCH(C483,$AF$3:$AF$19,0),1),IF(A483=s1_id_korvaava2,INDEX($AJ$3:$AJ$19,MATCH(C483,$AF$3:$AF$19,0),1),INDEX(Työkonekanta!$F$3:$F$27,MATCH('S1 Sähkö'!$A483,Työkonekanta!$A$3:$A$24,0),1))))),0)</f>
        <v>1</v>
      </c>
      <c r="C483" s="140">
        <v>2035</v>
      </c>
      <c r="D483" s="141" t="str">
        <f>IFERROR(INDEX(Työkonekanta!$D$3:$D$27,MATCH('S1 Sähkö'!$A483,Työkonekanta!$A$3:$A$24,0),1),"undefined")</f>
        <v>pom</v>
      </c>
      <c r="E483" s="145">
        <f>IFERROR(INDEX(Työkonekanta!$G$3:$G$27,MATCH($A483,Työkonekanta!$A$3:$A$24,0),1)*INDEX(Työkonekanta!$H$3:$H$27,MATCH($A483,Työkonekanta!$A$3:$A$24,0),1)*(1+s1_kerroin*($C483-2019))*$B483,0)</f>
        <v>11600</v>
      </c>
      <c r="F483" s="145">
        <f t="shared" si="130"/>
        <v>416440</v>
      </c>
      <c r="G483" s="145">
        <f t="shared" si="136"/>
        <v>374796</v>
      </c>
      <c r="H483" s="145">
        <f t="shared" si="137"/>
        <v>41644</v>
      </c>
      <c r="I483" s="145">
        <f t="shared" si="131"/>
        <v>10440</v>
      </c>
      <c r="J483" s="145">
        <f t="shared" si="132"/>
        <v>1214.1107871720117</v>
      </c>
      <c r="K483" s="142" t="str">
        <f t="shared" si="138"/>
        <v>l</v>
      </c>
      <c r="L483" s="146">
        <f>IFERROR(INDEX(Työkonekanta!$I$3:$I$27,MATCH('S1 Sähkö'!$A483,Työkonekanta!$A$3:$A$24,0),1)*(I483+J483)*f_adblue,0)</f>
        <v>582.70553935860062</v>
      </c>
      <c r="M483" s="146">
        <f t="shared" si="143"/>
        <v>0</v>
      </c>
      <c r="N483" s="143" t="str">
        <f>IF(tuulisähkö_vuosi&lt;='S1 Sähkö'!C483,"tuulisähkö",ostosähkö_nyt)</f>
        <v>jäännössähkö</v>
      </c>
      <c r="O483" s="147">
        <f>INDEX(Muuttujat!$J$5:$J$21,MATCH($C483,Muuttujat!$H$5:$H$21,0),1)</f>
        <v>58.961085487844883</v>
      </c>
      <c r="P483" s="342">
        <f>1-(INDEX(Muuttujat!$O$5:$O$21,MATCH($C483,Muuttujat!$N$5:$N$21,0),1))</f>
        <v>0.9</v>
      </c>
      <c r="Q483" s="342">
        <f>INDEX(Muuttujat!$O$5:$O$21,MATCH($C483,Muuttujat!$N$5:$N$21,0),1)</f>
        <v>0.1</v>
      </c>
      <c r="R483" s="148">
        <f>INDEX(Muuttujat!$P$5:$P$21,MATCH($C483,Muuttujat!$N$5:$N$21,0),1)</f>
        <v>0.10417875759940039</v>
      </c>
      <c r="S483" s="149">
        <f t="shared" si="133"/>
        <v>7.083644399999999</v>
      </c>
      <c r="T483" s="150">
        <f t="shared" si="134"/>
        <v>2.5985855999999998</v>
      </c>
      <c r="U483" s="150">
        <f t="shared" si="135"/>
        <v>0</v>
      </c>
      <c r="V483" s="150">
        <f>IFERROR(INDEX(Työkonekanta!$J$3:$J$27,MATCH($A483,Työkonekanta!$A$3:$A$24,0),1)*$B483*ef_li_ion_akku/1000/1000/INDEX(Työkonekanta!$K$3:$K$27,MATCH($A483,Työkonekanta!$A$3:$A$24,0)),0)</f>
        <v>0</v>
      </c>
      <c r="W483" s="149">
        <f t="shared" si="144"/>
        <v>27.663038470584002</v>
      </c>
      <c r="X483" s="150">
        <f t="shared" si="145"/>
        <v>0.36858496559999998</v>
      </c>
      <c r="Y483" s="151">
        <f t="shared" si="146"/>
        <v>0.15150344023323614</v>
      </c>
      <c r="Z483" s="152">
        <f t="shared" si="139"/>
        <v>9.6822299999999988</v>
      </c>
      <c r="AA483" s="153">
        <f t="shared" si="140"/>
        <v>27.814541910817237</v>
      </c>
      <c r="AB483" s="153">
        <f t="shared" si="141"/>
        <v>28.183126876417237</v>
      </c>
      <c r="AC483" s="154">
        <f t="shared" si="147"/>
        <v>37.496771910817237</v>
      </c>
      <c r="AD483" s="156">
        <f t="shared" si="142"/>
        <v>37.865356876417238</v>
      </c>
      <c r="AE483" s="182"/>
      <c r="AG483" s="2"/>
    </row>
    <row r="484" spans="1:37">
      <c r="A484" s="139">
        <v>2</v>
      </c>
      <c r="B484" s="139" cm="1">
        <f t="array" ref="B484">IFERROR(IF(A484=s1_id_korvattava1,INDEX($AG$3:$AG$19,MATCH(C484,$AF$3:$AF$19,0),1),IF(A484=s1_id_korvaava1,INDEX($AH$3:$AH$19,MATCH(C484,$AF$3:$AF$19,0),1),IF(A484=s1_id_korvattava2,INDEX($AI$3:$AI$19,MATCH(C484,$AF$3:$AF$19,0),1),IF(A484=s1_id_korvaava2,INDEX($AJ$3:$AJ$19,MATCH(C484,$AF$3:$AF$19,0),1),INDEX(Työkonekanta!$F$3:$F$27,MATCH('S1 Sähkö'!$A484,Työkonekanta!$A$3:$A$24,0),1))))),0)</f>
        <v>1</v>
      </c>
      <c r="C484" s="140">
        <v>2035</v>
      </c>
      <c r="D484" s="141" t="str">
        <f>IFERROR(INDEX(Työkonekanta!$D$3:$D$27,MATCH('S1 Sähkö'!$A484,Työkonekanta!$A$3:$A$24,0),1),"undefined")</f>
        <v>pom</v>
      </c>
      <c r="E484" s="145">
        <f>IFERROR(INDEX(Työkonekanta!$G$3:$G$27,MATCH($A484,Työkonekanta!$A$3:$A$24,0),1)*INDEX(Työkonekanta!$H$3:$H$27,MATCH($A484,Työkonekanta!$A$3:$A$24,0),1)*(1+s1_kerroin*($C484-2019))*$B484,0)</f>
        <v>11600</v>
      </c>
      <c r="F484" s="145">
        <f t="shared" si="130"/>
        <v>416440</v>
      </c>
      <c r="G484" s="145">
        <f t="shared" si="136"/>
        <v>374796</v>
      </c>
      <c r="H484" s="145">
        <f t="shared" si="137"/>
        <v>41644</v>
      </c>
      <c r="I484" s="145">
        <f t="shared" si="131"/>
        <v>10440</v>
      </c>
      <c r="J484" s="145">
        <f t="shared" si="132"/>
        <v>1214.1107871720117</v>
      </c>
      <c r="K484" s="142" t="str">
        <f t="shared" si="138"/>
        <v>l</v>
      </c>
      <c r="L484" s="146">
        <f>IFERROR(INDEX(Työkonekanta!$I$3:$I$27,MATCH('S1 Sähkö'!$A484,Työkonekanta!$A$3:$A$24,0),1)*(I484+J484)*f_adblue,0)</f>
        <v>582.70553935860062</v>
      </c>
      <c r="M484" s="146">
        <f t="shared" si="143"/>
        <v>0</v>
      </c>
      <c r="N484" s="143" t="str">
        <f>IF(tuulisähkö_vuosi&lt;='S1 Sähkö'!C484,"tuulisähkö",ostosähkö_nyt)</f>
        <v>jäännössähkö</v>
      </c>
      <c r="O484" s="147">
        <f>INDEX(Muuttujat!$J$5:$J$21,MATCH($C484,Muuttujat!$H$5:$H$21,0),1)</f>
        <v>58.961085487844883</v>
      </c>
      <c r="P484" s="342">
        <f>1-(INDEX(Muuttujat!$O$5:$O$21,MATCH($C484,Muuttujat!$N$5:$N$21,0),1))</f>
        <v>0.9</v>
      </c>
      <c r="Q484" s="342">
        <f>INDEX(Muuttujat!$O$5:$O$21,MATCH($C484,Muuttujat!$N$5:$N$21,0),1)</f>
        <v>0.1</v>
      </c>
      <c r="R484" s="148">
        <f>INDEX(Muuttujat!$P$5:$P$21,MATCH($C484,Muuttujat!$N$5:$N$21,0),1)</f>
        <v>0.10417875759940039</v>
      </c>
      <c r="S484" s="149">
        <f t="shared" si="133"/>
        <v>7.083644399999999</v>
      </c>
      <c r="T484" s="150">
        <f t="shared" si="134"/>
        <v>2.5985855999999998</v>
      </c>
      <c r="U484" s="150">
        <f t="shared" si="135"/>
        <v>0</v>
      </c>
      <c r="V484" s="150">
        <f>IFERROR(INDEX(Työkonekanta!$J$3:$J$27,MATCH($A484,Työkonekanta!$A$3:$A$24,0),1)*$B484*ef_li_ion_akku/1000/1000/INDEX(Työkonekanta!$K$3:$K$27,MATCH($A484,Työkonekanta!$A$3:$A$24,0)),0)</f>
        <v>0</v>
      </c>
      <c r="W484" s="149">
        <f t="shared" si="144"/>
        <v>27.663038470584002</v>
      </c>
      <c r="X484" s="150">
        <f t="shared" si="145"/>
        <v>0.36858496559999998</v>
      </c>
      <c r="Y484" s="151">
        <f t="shared" si="146"/>
        <v>0.15150344023323614</v>
      </c>
      <c r="Z484" s="152">
        <f t="shared" si="139"/>
        <v>9.6822299999999988</v>
      </c>
      <c r="AA484" s="153">
        <f t="shared" si="140"/>
        <v>27.814541910817237</v>
      </c>
      <c r="AB484" s="153">
        <f t="shared" si="141"/>
        <v>28.183126876417237</v>
      </c>
      <c r="AC484" s="154">
        <f t="shared" si="147"/>
        <v>37.496771910817237</v>
      </c>
      <c r="AD484" s="156">
        <f t="shared" si="142"/>
        <v>37.865356876417238</v>
      </c>
      <c r="AE484" s="182"/>
      <c r="AG484" s="2"/>
    </row>
    <row r="485" spans="1:37">
      <c r="A485" s="139">
        <v>3</v>
      </c>
      <c r="B485" s="139" cm="1">
        <f t="array" ref="B485">IFERROR(IF(A485=s1_id_korvattava1,INDEX($AG$3:$AG$19,MATCH(C485,$AF$3:$AF$19,0),1),IF(A485=s1_id_korvaava1,INDEX($AH$3:$AH$19,MATCH(C485,$AF$3:$AF$19,0),1),IF(A485=s1_id_korvattava2,INDEX($AI$3:$AI$19,MATCH(C485,$AF$3:$AF$19,0),1),IF(A485=s1_id_korvaava2,INDEX($AJ$3:$AJ$19,MATCH(C485,$AF$3:$AF$19,0),1),INDEX(Työkonekanta!$F$3:$F$27,MATCH('S1 Sähkö'!$A485,Työkonekanta!$A$3:$A$24,0),1))))),0)</f>
        <v>1</v>
      </c>
      <c r="C485" s="140">
        <v>2035</v>
      </c>
      <c r="D485" s="141" t="str">
        <f>IFERROR(INDEX(Työkonekanta!$D$3:$D$27,MATCH('S1 Sähkö'!$A485,Työkonekanta!$A$3:$A$24,0),1),"undefined")</f>
        <v>pom</v>
      </c>
      <c r="E485" s="145">
        <f>IFERROR(INDEX(Työkonekanta!$G$3:$G$27,MATCH($A485,Työkonekanta!$A$3:$A$24,0),1)*INDEX(Työkonekanta!$H$3:$H$27,MATCH($A485,Työkonekanta!$A$3:$A$24,0),1)*(1+s1_kerroin*($C485-2019))*$B485,0)</f>
        <v>11600</v>
      </c>
      <c r="F485" s="145">
        <f t="shared" si="130"/>
        <v>416440</v>
      </c>
      <c r="G485" s="145">
        <f t="shared" si="136"/>
        <v>374796</v>
      </c>
      <c r="H485" s="145">
        <f t="shared" si="137"/>
        <v>41644</v>
      </c>
      <c r="I485" s="145">
        <f t="shared" si="131"/>
        <v>10440</v>
      </c>
      <c r="J485" s="145">
        <f t="shared" si="132"/>
        <v>1214.1107871720117</v>
      </c>
      <c r="K485" s="142" t="str">
        <f t="shared" si="138"/>
        <v>l</v>
      </c>
      <c r="L485" s="146">
        <f>IFERROR(INDEX(Työkonekanta!$I$3:$I$27,MATCH('S1 Sähkö'!$A485,Työkonekanta!$A$3:$A$24,0),1)*(I485+J485)*f_adblue,0)</f>
        <v>582.70553935860062</v>
      </c>
      <c r="M485" s="146">
        <f t="shared" si="143"/>
        <v>0</v>
      </c>
      <c r="N485" s="143" t="str">
        <f>IF(tuulisähkö_vuosi&lt;='S1 Sähkö'!C485,"tuulisähkö",ostosähkö_nyt)</f>
        <v>jäännössähkö</v>
      </c>
      <c r="O485" s="147">
        <f>INDEX(Muuttujat!$J$5:$J$21,MATCH($C485,Muuttujat!$H$5:$H$21,0),1)</f>
        <v>58.961085487844883</v>
      </c>
      <c r="P485" s="342">
        <f>1-(INDEX(Muuttujat!$O$5:$O$21,MATCH($C485,Muuttujat!$N$5:$N$21,0),1))</f>
        <v>0.9</v>
      </c>
      <c r="Q485" s="342">
        <f>INDEX(Muuttujat!$O$5:$O$21,MATCH($C485,Muuttujat!$N$5:$N$21,0),1)</f>
        <v>0.1</v>
      </c>
      <c r="R485" s="148">
        <f>INDEX(Muuttujat!$P$5:$P$21,MATCH($C485,Muuttujat!$N$5:$N$21,0),1)</f>
        <v>0.10417875759940039</v>
      </c>
      <c r="S485" s="149">
        <f t="shared" si="133"/>
        <v>7.083644399999999</v>
      </c>
      <c r="T485" s="150">
        <f t="shared" si="134"/>
        <v>2.5985855999999998</v>
      </c>
      <c r="U485" s="150">
        <f t="shared" si="135"/>
        <v>0</v>
      </c>
      <c r="V485" s="150">
        <f>IFERROR(INDEX(Työkonekanta!$J$3:$J$27,MATCH($A485,Työkonekanta!$A$3:$A$24,0),1)*$B485*ef_li_ion_akku/1000/1000/INDEX(Työkonekanta!$K$3:$K$27,MATCH($A485,Työkonekanta!$A$3:$A$24,0)),0)</f>
        <v>0</v>
      </c>
      <c r="W485" s="149">
        <f t="shared" si="144"/>
        <v>27.663038470584002</v>
      </c>
      <c r="X485" s="150">
        <f t="shared" si="145"/>
        <v>0.36858496559999998</v>
      </c>
      <c r="Y485" s="151">
        <f t="shared" si="146"/>
        <v>0.15150344023323614</v>
      </c>
      <c r="Z485" s="152">
        <f t="shared" si="139"/>
        <v>9.6822299999999988</v>
      </c>
      <c r="AA485" s="153">
        <f t="shared" si="140"/>
        <v>27.814541910817237</v>
      </c>
      <c r="AB485" s="153">
        <f t="shared" si="141"/>
        <v>28.183126876417237</v>
      </c>
      <c r="AC485" s="154">
        <f t="shared" si="147"/>
        <v>37.496771910817237</v>
      </c>
      <c r="AD485" s="156">
        <f t="shared" si="142"/>
        <v>37.865356876417238</v>
      </c>
      <c r="AE485" s="182"/>
      <c r="AG485" s="2"/>
    </row>
    <row r="486" spans="1:37">
      <c r="A486" s="139">
        <v>4</v>
      </c>
      <c r="B486" s="139" cm="1">
        <f t="array" ref="B486">IFERROR(IF(A486=s1_id_korvattava1,INDEX($AG$3:$AG$19,MATCH(C486,$AF$3:$AF$19,0),1),IF(A486=s1_id_korvaava1,INDEX($AH$3:$AH$19,MATCH(C486,$AF$3:$AF$19,0),1),IF(A486=s1_id_korvattava2,INDEX($AI$3:$AI$19,MATCH(C486,$AF$3:$AF$19,0),1),IF(A486=s1_id_korvaava2,INDEX($AJ$3:$AJ$19,MATCH(C486,$AF$3:$AF$19,0),1),INDEX(Työkonekanta!$F$3:$F$27,MATCH('S1 Sähkö'!$A486,Työkonekanta!$A$3:$A$24,0),1))))),0)</f>
        <v>1</v>
      </c>
      <c r="C486" s="140">
        <v>2035</v>
      </c>
      <c r="D486" s="141" t="str">
        <f>IFERROR(INDEX(Työkonekanta!$D$3:$D$27,MATCH('S1 Sähkö'!$A486,Työkonekanta!$A$3:$A$24,0),1),"undefined")</f>
        <v>pom</v>
      </c>
      <c r="E486" s="145">
        <f>IFERROR(INDEX(Työkonekanta!$G$3:$G$27,MATCH($A486,Työkonekanta!$A$3:$A$24,0),1)*INDEX(Työkonekanta!$H$3:$H$27,MATCH($A486,Työkonekanta!$A$3:$A$24,0),1)*(1+s1_kerroin*($C486-2019))*$B486,0)</f>
        <v>11600</v>
      </c>
      <c r="F486" s="145">
        <f t="shared" si="130"/>
        <v>416440</v>
      </c>
      <c r="G486" s="145">
        <f t="shared" si="136"/>
        <v>374796</v>
      </c>
      <c r="H486" s="145">
        <f t="shared" si="137"/>
        <v>41644</v>
      </c>
      <c r="I486" s="145">
        <f t="shared" si="131"/>
        <v>10440</v>
      </c>
      <c r="J486" s="145">
        <f t="shared" si="132"/>
        <v>1214.1107871720117</v>
      </c>
      <c r="K486" s="142" t="str">
        <f t="shared" si="138"/>
        <v>l</v>
      </c>
      <c r="L486" s="146">
        <f>IFERROR(INDEX(Työkonekanta!$I$3:$I$27,MATCH('S1 Sähkö'!$A486,Työkonekanta!$A$3:$A$24,0),1)*(I486+J486)*f_adblue,0)</f>
        <v>582.70553935860062</v>
      </c>
      <c r="M486" s="146">
        <f t="shared" si="143"/>
        <v>0</v>
      </c>
      <c r="N486" s="143" t="str">
        <f>IF(tuulisähkö_vuosi&lt;='S1 Sähkö'!C486,"tuulisähkö",ostosähkö_nyt)</f>
        <v>jäännössähkö</v>
      </c>
      <c r="O486" s="147">
        <f>INDEX(Muuttujat!$J$5:$J$21,MATCH($C486,Muuttujat!$H$5:$H$21,0),1)</f>
        <v>58.961085487844883</v>
      </c>
      <c r="P486" s="342">
        <f>1-(INDEX(Muuttujat!$O$5:$O$21,MATCH($C486,Muuttujat!$N$5:$N$21,0),1))</f>
        <v>0.9</v>
      </c>
      <c r="Q486" s="342">
        <f>INDEX(Muuttujat!$O$5:$O$21,MATCH($C486,Muuttujat!$N$5:$N$21,0),1)</f>
        <v>0.1</v>
      </c>
      <c r="R486" s="148">
        <f>INDEX(Muuttujat!$P$5:$P$21,MATCH($C486,Muuttujat!$N$5:$N$21,0),1)</f>
        <v>0.10417875759940039</v>
      </c>
      <c r="S486" s="149">
        <f t="shared" si="133"/>
        <v>7.083644399999999</v>
      </c>
      <c r="T486" s="150">
        <f t="shared" si="134"/>
        <v>2.5985855999999998</v>
      </c>
      <c r="U486" s="150">
        <f t="shared" si="135"/>
        <v>0</v>
      </c>
      <c r="V486" s="150">
        <f>IFERROR(INDEX(Työkonekanta!$J$3:$J$27,MATCH($A486,Työkonekanta!$A$3:$A$24,0),1)*$B486*ef_li_ion_akku/1000/1000/INDEX(Työkonekanta!$K$3:$K$27,MATCH($A486,Työkonekanta!$A$3:$A$24,0)),0)</f>
        <v>0</v>
      </c>
      <c r="W486" s="149">
        <f t="shared" si="144"/>
        <v>27.663038470584002</v>
      </c>
      <c r="X486" s="150">
        <f t="shared" si="145"/>
        <v>0.36858496559999998</v>
      </c>
      <c r="Y486" s="151">
        <f t="shared" si="146"/>
        <v>0.15150344023323614</v>
      </c>
      <c r="Z486" s="152">
        <f t="shared" si="139"/>
        <v>9.6822299999999988</v>
      </c>
      <c r="AA486" s="153">
        <f t="shared" si="140"/>
        <v>27.814541910817237</v>
      </c>
      <c r="AB486" s="153">
        <f t="shared" si="141"/>
        <v>28.183126876417237</v>
      </c>
      <c r="AC486" s="154">
        <f t="shared" si="147"/>
        <v>37.496771910817237</v>
      </c>
      <c r="AD486" s="156">
        <f t="shared" si="142"/>
        <v>37.865356876417238</v>
      </c>
      <c r="AE486" s="182"/>
      <c r="AG486" s="2"/>
    </row>
    <row r="487" spans="1:37">
      <c r="A487" s="139">
        <v>5</v>
      </c>
      <c r="B487" s="139" cm="1">
        <f t="array" ref="B487">IFERROR(IF(A487=s1_id_korvattava1,INDEX($AG$3:$AG$19,MATCH(C487,$AF$3:$AF$19,0),1),IF(A487=s1_id_korvaava1,INDEX($AH$3:$AH$19,MATCH(C487,$AF$3:$AF$19,0),1),IF(A487=s1_id_korvattava2,INDEX($AI$3:$AI$19,MATCH(C487,$AF$3:$AF$19,0),1),IF(A487=s1_id_korvaava2,INDEX($AJ$3:$AJ$19,MATCH(C487,$AF$3:$AF$19,0),1),INDEX(Työkonekanta!$F$3:$F$27,MATCH('S1 Sähkö'!$A487,Työkonekanta!$A$3:$A$24,0),1))))),0)</f>
        <v>0</v>
      </c>
      <c r="C487" s="140">
        <v>2035</v>
      </c>
      <c r="D487" s="141" t="str">
        <f>IFERROR(INDEX(Työkonekanta!$D$3:$D$27,MATCH('S1 Sähkö'!$A487,Työkonekanta!$A$3:$A$24,0),1),"undefined")</f>
        <v>sähkö</v>
      </c>
      <c r="E487" s="145">
        <f>IFERROR(INDEX(Työkonekanta!$G$3:$G$27,MATCH($A487,Työkonekanta!$A$3:$A$24,0),1)*INDEX(Työkonekanta!$H$3:$H$27,MATCH($A487,Työkonekanta!$A$3:$A$24,0),1)*(1+s1_kerroin*($C487-2019))*$B487,0)</f>
        <v>0</v>
      </c>
      <c r="F487" s="145">
        <f t="shared" si="130"/>
        <v>0</v>
      </c>
      <c r="G487" s="145">
        <f t="shared" si="136"/>
        <v>0</v>
      </c>
      <c r="H487" s="145">
        <f t="shared" si="137"/>
        <v>0</v>
      </c>
      <c r="I487" s="145">
        <f t="shared" si="131"/>
        <v>0</v>
      </c>
      <c r="J487" s="145">
        <f t="shared" si="132"/>
        <v>0</v>
      </c>
      <c r="K487" s="142" t="str">
        <f t="shared" si="138"/>
        <v>kWh</v>
      </c>
      <c r="L487" s="146">
        <f>IFERROR(INDEX(Työkonekanta!$I$3:$I$27,MATCH('S1 Sähkö'!$A487,Työkonekanta!$A$3:$A$24,0),1)*(I487+J487)*f_adblue,0)</f>
        <v>0</v>
      </c>
      <c r="M487" s="146">
        <f t="shared" si="143"/>
        <v>0</v>
      </c>
      <c r="N487" s="143" t="str">
        <f>IF(tuulisähkö_vuosi&lt;='S1 Sähkö'!C487,"tuulisähkö",ostosähkö_nyt)</f>
        <v>jäännössähkö</v>
      </c>
      <c r="O487" s="147">
        <f>INDEX(Muuttujat!$J$5:$J$21,MATCH($C487,Muuttujat!$H$5:$H$21,0),1)</f>
        <v>58.961085487844883</v>
      </c>
      <c r="P487" s="342">
        <f>1-(INDEX(Muuttujat!$O$5:$O$21,MATCH($C487,Muuttujat!$N$5:$N$21,0),1))</f>
        <v>0.9</v>
      </c>
      <c r="Q487" s="342">
        <f>INDEX(Muuttujat!$O$5:$O$21,MATCH($C487,Muuttujat!$N$5:$N$21,0),1)</f>
        <v>0.1</v>
      </c>
      <c r="R487" s="148">
        <f>INDEX(Muuttujat!$P$5:$P$21,MATCH($C487,Muuttujat!$N$5:$N$21,0),1)</f>
        <v>0.10417875759940039</v>
      </c>
      <c r="S487" s="149">
        <f t="shared" si="133"/>
        <v>0</v>
      </c>
      <c r="T487" s="150">
        <f t="shared" si="134"/>
        <v>0</v>
      </c>
      <c r="U487" s="150">
        <f t="shared" si="135"/>
        <v>0</v>
      </c>
      <c r="V487" s="150">
        <f>IFERROR(INDEX(Työkonekanta!$J$3:$J$27,MATCH($A487,Työkonekanta!$A$3:$A$24,0),1)*$B487*ef_li_ion_akku/1000/1000/INDEX(Työkonekanta!$K$3:$K$27,MATCH($A487,Työkonekanta!$A$3:$A$24,0)),0)</f>
        <v>0</v>
      </c>
      <c r="W487" s="149">
        <f t="shared" si="144"/>
        <v>0</v>
      </c>
      <c r="X487" s="150">
        <f t="shared" si="145"/>
        <v>0</v>
      </c>
      <c r="Y487" s="151">
        <f t="shared" si="146"/>
        <v>0</v>
      </c>
      <c r="Z487" s="152">
        <f t="shared" si="139"/>
        <v>0</v>
      </c>
      <c r="AA487" s="153">
        <f t="shared" si="140"/>
        <v>0</v>
      </c>
      <c r="AB487" s="153">
        <f t="shared" si="141"/>
        <v>0</v>
      </c>
      <c r="AC487" s="154">
        <f t="shared" si="147"/>
        <v>0</v>
      </c>
      <c r="AD487" s="156">
        <f t="shared" si="142"/>
        <v>0</v>
      </c>
      <c r="AE487" s="182"/>
      <c r="AG487" s="2"/>
    </row>
    <row r="488" spans="1:37">
      <c r="A488" s="139">
        <v>6</v>
      </c>
      <c r="B488" s="139" cm="1">
        <f t="array" ref="B488">IFERROR(IF(A488=s1_id_korvattava1,INDEX($AG$3:$AG$19,MATCH(C488,$AF$3:$AF$19,0),1),IF(A488=s1_id_korvaava1,INDEX($AH$3:$AH$19,MATCH(C488,$AF$3:$AF$19,0),1),IF(A488=s1_id_korvattava2,INDEX($AI$3:$AI$19,MATCH(C488,$AF$3:$AF$19,0),1),IF(A488=s1_id_korvaava2,INDEX($AJ$3:$AJ$19,MATCH(C488,$AF$3:$AF$19,0),1),INDEX(Työkonekanta!$F$3:$F$27,MATCH('S1 Sähkö'!$A488,Työkonekanta!$A$3:$A$24,0),1))))),0)</f>
        <v>0</v>
      </c>
      <c r="C488" s="140">
        <v>2035</v>
      </c>
      <c r="D488" s="141" t="str">
        <f>IFERROR(INDEX(Työkonekanta!$D$3:$D$27,MATCH('S1 Sähkö'!$A488,Työkonekanta!$A$3:$A$24,0),1),"undefined")</f>
        <v>sähkö</v>
      </c>
      <c r="E488" s="145">
        <f>IFERROR(INDEX(Työkonekanta!$G$3:$G$27,MATCH($A488,Työkonekanta!$A$3:$A$24,0),1)*INDEX(Työkonekanta!$H$3:$H$27,MATCH($A488,Työkonekanta!$A$3:$A$24,0),1)*(1+s1_kerroin*($C488-2019))*$B488,0)</f>
        <v>0</v>
      </c>
      <c r="F488" s="145">
        <f t="shared" si="130"/>
        <v>0</v>
      </c>
      <c r="G488" s="145">
        <f t="shared" si="136"/>
        <v>0</v>
      </c>
      <c r="H488" s="145">
        <f t="shared" si="137"/>
        <v>0</v>
      </c>
      <c r="I488" s="145">
        <f t="shared" si="131"/>
        <v>0</v>
      </c>
      <c r="J488" s="145">
        <f t="shared" si="132"/>
        <v>0</v>
      </c>
      <c r="K488" s="142" t="str">
        <f t="shared" si="138"/>
        <v>kWh</v>
      </c>
      <c r="L488" s="146">
        <f>IFERROR(INDEX(Työkonekanta!$I$3:$I$27,MATCH('S1 Sähkö'!$A488,Työkonekanta!$A$3:$A$24,0),1)*(I488+J488)*f_adblue,0)</f>
        <v>0</v>
      </c>
      <c r="M488" s="146">
        <f t="shared" si="143"/>
        <v>0</v>
      </c>
      <c r="N488" s="143" t="str">
        <f>IF(tuulisähkö_vuosi&lt;='S1 Sähkö'!C488,"tuulisähkö",ostosähkö_nyt)</f>
        <v>jäännössähkö</v>
      </c>
      <c r="O488" s="147">
        <f>INDEX(Muuttujat!$J$5:$J$21,MATCH($C488,Muuttujat!$H$5:$H$21,0),1)</f>
        <v>58.961085487844883</v>
      </c>
      <c r="P488" s="342">
        <f>1-(INDEX(Muuttujat!$O$5:$O$21,MATCH($C488,Muuttujat!$N$5:$N$21,0),1))</f>
        <v>0.9</v>
      </c>
      <c r="Q488" s="342">
        <f>INDEX(Muuttujat!$O$5:$O$21,MATCH($C488,Muuttujat!$N$5:$N$21,0),1)</f>
        <v>0.1</v>
      </c>
      <c r="R488" s="148">
        <f>INDEX(Muuttujat!$P$5:$P$21,MATCH($C488,Muuttujat!$N$5:$N$21,0),1)</f>
        <v>0.10417875759940039</v>
      </c>
      <c r="S488" s="149">
        <f t="shared" si="133"/>
        <v>0</v>
      </c>
      <c r="T488" s="150">
        <f t="shared" si="134"/>
        <v>0</v>
      </c>
      <c r="U488" s="150">
        <f t="shared" si="135"/>
        <v>0</v>
      </c>
      <c r="V488" s="150">
        <f>IFERROR(INDEX(Työkonekanta!$J$3:$J$27,MATCH($A488,Työkonekanta!$A$3:$A$24,0),1)*$B488*ef_li_ion_akku/1000/1000/INDEX(Työkonekanta!$K$3:$K$27,MATCH($A488,Työkonekanta!$A$3:$A$24,0)),0)</f>
        <v>0</v>
      </c>
      <c r="W488" s="149">
        <f t="shared" si="144"/>
        <v>0</v>
      </c>
      <c r="X488" s="150">
        <f t="shared" si="145"/>
        <v>0</v>
      </c>
      <c r="Y488" s="151">
        <f t="shared" si="146"/>
        <v>0</v>
      </c>
      <c r="Z488" s="152">
        <f t="shared" si="139"/>
        <v>0</v>
      </c>
      <c r="AA488" s="153">
        <f t="shared" si="140"/>
        <v>0</v>
      </c>
      <c r="AB488" s="153">
        <f t="shared" si="141"/>
        <v>0</v>
      </c>
      <c r="AC488" s="154">
        <f t="shared" si="147"/>
        <v>0</v>
      </c>
      <c r="AD488" s="156">
        <f t="shared" si="142"/>
        <v>0</v>
      </c>
      <c r="AE488" s="182"/>
      <c r="AG488" s="2"/>
    </row>
    <row r="489" spans="1:37">
      <c r="A489" s="139">
        <v>7</v>
      </c>
      <c r="B489" s="139" cm="1">
        <f t="array" ref="B489">IFERROR(IF(A489=s1_id_korvattava1,INDEX($AG$3:$AG$19,MATCH(C489,$AF$3:$AF$19,0),1),IF(A489=s1_id_korvaava1,INDEX($AH$3:$AH$19,MATCH(C489,$AF$3:$AF$19,0),1),IF(A489=s1_id_korvattava2,INDEX($AI$3:$AI$19,MATCH(C489,$AF$3:$AF$19,0),1),IF(A489=s1_id_korvaava2,INDEX($AJ$3:$AJ$19,MATCH(C489,$AF$3:$AF$19,0),1),INDEX(Työkonekanta!$F$3:$F$27,MATCH('S1 Sähkö'!$A489,Työkonekanta!$A$3:$A$24,0),1))))),0)</f>
        <v>1</v>
      </c>
      <c r="C489" s="140">
        <v>2035</v>
      </c>
      <c r="D489" s="141" t="str">
        <f>IFERROR(INDEX(Työkonekanta!$D$3:$D$27,MATCH('S1 Sähkö'!$A489,Työkonekanta!$A$3:$A$24,0),1),"undefined")</f>
        <v>pom</v>
      </c>
      <c r="E489" s="145">
        <f>IFERROR(INDEX(Työkonekanta!$G$3:$G$27,MATCH($A489,Työkonekanta!$A$3:$A$24,0),1)*INDEX(Työkonekanta!$H$3:$H$27,MATCH($A489,Työkonekanta!$A$3:$A$24,0),1)*(1+s1_kerroin*($C489-2019))*$B489,0)</f>
        <v>11600</v>
      </c>
      <c r="F489" s="145">
        <f t="shared" si="130"/>
        <v>416440</v>
      </c>
      <c r="G489" s="145">
        <f t="shared" si="136"/>
        <v>374796</v>
      </c>
      <c r="H489" s="145">
        <f t="shared" si="137"/>
        <v>41644</v>
      </c>
      <c r="I489" s="145">
        <f t="shared" si="131"/>
        <v>10440</v>
      </c>
      <c r="J489" s="145">
        <f t="shared" si="132"/>
        <v>1214.1107871720117</v>
      </c>
      <c r="K489" s="142" t="str">
        <f t="shared" si="138"/>
        <v>l</v>
      </c>
      <c r="L489" s="146">
        <f>IFERROR(INDEX(Työkonekanta!$I$3:$I$27,MATCH('S1 Sähkö'!$A489,Työkonekanta!$A$3:$A$24,0),1)*(I489+J489)*f_adblue,0)</f>
        <v>0</v>
      </c>
      <c r="M489" s="146">
        <f t="shared" si="143"/>
        <v>0</v>
      </c>
      <c r="N489" s="143" t="str">
        <f>IF(tuulisähkö_vuosi&lt;='S1 Sähkö'!C489,"tuulisähkö",ostosähkö_nyt)</f>
        <v>jäännössähkö</v>
      </c>
      <c r="O489" s="147">
        <f>INDEX(Muuttujat!$J$5:$J$21,MATCH($C489,Muuttujat!$H$5:$H$21,0),1)</f>
        <v>58.961085487844883</v>
      </c>
      <c r="P489" s="342">
        <f>1-(INDEX(Muuttujat!$O$5:$O$21,MATCH($C489,Muuttujat!$N$5:$N$21,0),1))</f>
        <v>0.9</v>
      </c>
      <c r="Q489" s="342">
        <f>INDEX(Muuttujat!$O$5:$O$21,MATCH($C489,Muuttujat!$N$5:$N$21,0),1)</f>
        <v>0.1</v>
      </c>
      <c r="R489" s="148">
        <f>INDEX(Muuttujat!$P$5:$P$21,MATCH($C489,Muuttujat!$N$5:$N$21,0),1)</f>
        <v>0.10417875759940039</v>
      </c>
      <c r="S489" s="149">
        <f t="shared" si="133"/>
        <v>7.083644399999999</v>
      </c>
      <c r="T489" s="150">
        <f t="shared" si="134"/>
        <v>2.5985855999999998</v>
      </c>
      <c r="U489" s="150">
        <f t="shared" si="135"/>
        <v>0</v>
      </c>
      <c r="V489" s="150">
        <f>IFERROR(INDEX(Työkonekanta!$J$3:$J$27,MATCH($A489,Työkonekanta!$A$3:$A$24,0),1)*$B489*ef_li_ion_akku/1000/1000/INDEX(Työkonekanta!$K$3:$K$27,MATCH($A489,Työkonekanta!$A$3:$A$24,0)),0)</f>
        <v>0</v>
      </c>
      <c r="W489" s="149">
        <f t="shared" si="144"/>
        <v>27.663038470584002</v>
      </c>
      <c r="X489" s="150">
        <f t="shared" si="145"/>
        <v>0.36858496559999998</v>
      </c>
      <c r="Y489" s="151">
        <f t="shared" si="146"/>
        <v>0</v>
      </c>
      <c r="Z489" s="152">
        <f t="shared" si="139"/>
        <v>9.6822299999999988</v>
      </c>
      <c r="AA489" s="153">
        <f t="shared" si="140"/>
        <v>27.663038470584002</v>
      </c>
      <c r="AB489" s="153">
        <f t="shared" si="141"/>
        <v>28.031623436184002</v>
      </c>
      <c r="AC489" s="154">
        <f t="shared" si="147"/>
        <v>37.345268470584003</v>
      </c>
      <c r="AD489" s="156">
        <f t="shared" si="142"/>
        <v>37.713853436184003</v>
      </c>
      <c r="AE489" s="182"/>
      <c r="AG489" s="2"/>
    </row>
    <row r="490" spans="1:37">
      <c r="A490" s="139">
        <v>8</v>
      </c>
      <c r="B490" s="139" cm="1">
        <f t="array" ref="B490">IFERROR(IF(A490=s1_id_korvattava1,INDEX($AG$3:$AG$19,MATCH(C490,$AF$3:$AF$19,0),1),IF(A490=s1_id_korvaava1,INDEX($AH$3:$AH$19,MATCH(C490,$AF$3:$AF$19,0),1),IF(A490=s1_id_korvattava2,INDEX($AI$3:$AI$19,MATCH(C490,$AF$3:$AF$19,0),1),IF(A490=s1_id_korvaava2,INDEX($AJ$3:$AJ$19,MATCH(C490,$AF$3:$AF$19,0),1),INDEX(Työkonekanta!$F$3:$F$27,MATCH('S1 Sähkö'!$A490,Työkonekanta!$A$3:$A$24,0),1))))),0)</f>
        <v>1</v>
      </c>
      <c r="C490" s="140">
        <v>2035</v>
      </c>
      <c r="D490" s="141" t="str">
        <f>IFERROR(INDEX(Työkonekanta!$D$3:$D$27,MATCH('S1 Sähkö'!$A490,Työkonekanta!$A$3:$A$24,0),1),"undefined")</f>
        <v>pom</v>
      </c>
      <c r="E490" s="145">
        <f>IFERROR(INDEX(Työkonekanta!$G$3:$G$27,MATCH($A490,Työkonekanta!$A$3:$A$24,0),1)*INDEX(Työkonekanta!$H$3:$H$27,MATCH($A490,Työkonekanta!$A$3:$A$24,0),1)*(1+s1_kerroin*($C490-2019))*$B490,0)</f>
        <v>11600</v>
      </c>
      <c r="F490" s="145">
        <f t="shared" si="130"/>
        <v>416440</v>
      </c>
      <c r="G490" s="145">
        <f t="shared" si="136"/>
        <v>374796</v>
      </c>
      <c r="H490" s="145">
        <f t="shared" si="137"/>
        <v>41644</v>
      </c>
      <c r="I490" s="145">
        <f t="shared" si="131"/>
        <v>10440</v>
      </c>
      <c r="J490" s="145">
        <f t="shared" si="132"/>
        <v>1214.1107871720117</v>
      </c>
      <c r="K490" s="142" t="str">
        <f t="shared" si="138"/>
        <v>l</v>
      </c>
      <c r="L490" s="146">
        <f>IFERROR(INDEX(Työkonekanta!$I$3:$I$27,MATCH('S1 Sähkö'!$A490,Työkonekanta!$A$3:$A$24,0),1)*(I490+J490)*f_adblue,0)</f>
        <v>582.70553935860062</v>
      </c>
      <c r="M490" s="146">
        <f t="shared" si="143"/>
        <v>0</v>
      </c>
      <c r="N490" s="143" t="str">
        <f>IF(tuulisähkö_vuosi&lt;='S1 Sähkö'!C490,"tuulisähkö",ostosähkö_nyt)</f>
        <v>jäännössähkö</v>
      </c>
      <c r="O490" s="147">
        <f>INDEX(Muuttujat!$J$5:$J$21,MATCH($C490,Muuttujat!$H$5:$H$21,0),1)</f>
        <v>58.961085487844883</v>
      </c>
      <c r="P490" s="342">
        <f>1-(INDEX(Muuttujat!$O$5:$O$21,MATCH($C490,Muuttujat!$N$5:$N$21,0),1))</f>
        <v>0.9</v>
      </c>
      <c r="Q490" s="342">
        <f>INDEX(Muuttujat!$O$5:$O$21,MATCH($C490,Muuttujat!$N$5:$N$21,0),1)</f>
        <v>0.1</v>
      </c>
      <c r="R490" s="148">
        <f>INDEX(Muuttujat!$P$5:$P$21,MATCH($C490,Muuttujat!$N$5:$N$21,0),1)</f>
        <v>0.10417875759940039</v>
      </c>
      <c r="S490" s="149">
        <f t="shared" si="133"/>
        <v>7.083644399999999</v>
      </c>
      <c r="T490" s="150">
        <f t="shared" si="134"/>
        <v>2.5985855999999998</v>
      </c>
      <c r="U490" s="150">
        <f t="shared" si="135"/>
        <v>0</v>
      </c>
      <c r="V490" s="150">
        <f>IFERROR(INDEX(Työkonekanta!$J$3:$J$27,MATCH($A490,Työkonekanta!$A$3:$A$24,0),1)*$B490*ef_li_ion_akku/1000/1000/INDEX(Työkonekanta!$K$3:$K$27,MATCH($A490,Työkonekanta!$A$3:$A$24,0)),0)</f>
        <v>0</v>
      </c>
      <c r="W490" s="149">
        <f t="shared" si="144"/>
        <v>27.663038470584002</v>
      </c>
      <c r="X490" s="150">
        <f t="shared" si="145"/>
        <v>0.36858496559999998</v>
      </c>
      <c r="Y490" s="151">
        <f t="shared" si="146"/>
        <v>0.15150344023323614</v>
      </c>
      <c r="Z490" s="152">
        <f t="shared" si="139"/>
        <v>9.6822299999999988</v>
      </c>
      <c r="AA490" s="153">
        <f t="shared" si="140"/>
        <v>27.814541910817237</v>
      </c>
      <c r="AB490" s="153">
        <f t="shared" si="141"/>
        <v>28.183126876417237</v>
      </c>
      <c r="AC490" s="154">
        <f t="shared" si="147"/>
        <v>37.496771910817237</v>
      </c>
      <c r="AD490" s="156">
        <f t="shared" si="142"/>
        <v>37.865356876417238</v>
      </c>
      <c r="AE490" s="182"/>
      <c r="AG490" s="2"/>
    </row>
    <row r="491" spans="1:37">
      <c r="A491" s="139">
        <v>9</v>
      </c>
      <c r="B491" s="139" cm="1">
        <f t="array" ref="B491">IFERROR(IF(A491=s1_id_korvattava1,INDEX($AG$3:$AG$19,MATCH(C491,$AF$3:$AF$19,0),1),IF(A491=s1_id_korvaava1,INDEX($AH$3:$AH$19,MATCH(C491,$AF$3:$AF$19,0),1),IF(A491=s1_id_korvattava2,INDEX($AI$3:$AI$19,MATCH(C491,$AF$3:$AF$19,0),1),IF(A491=s1_id_korvaava2,INDEX($AJ$3:$AJ$19,MATCH(C491,$AF$3:$AF$19,0),1),INDEX(Työkonekanta!$F$3:$F$27,MATCH('S1 Sähkö'!$A491,Työkonekanta!$A$3:$A$24,0),1))))),0)</f>
        <v>0</v>
      </c>
      <c r="C491" s="140">
        <v>2035</v>
      </c>
      <c r="D491" s="141" t="str">
        <f>IFERROR(INDEX(Työkonekanta!$D$3:$D$27,MATCH('S1 Sähkö'!$A491,Työkonekanta!$A$3:$A$24,0),1),"undefined")</f>
        <v>sähkö</v>
      </c>
      <c r="E491" s="145">
        <f>IFERROR(INDEX(Työkonekanta!$G$3:$G$27,MATCH($A491,Työkonekanta!$A$3:$A$24,0),1)*INDEX(Työkonekanta!$H$3:$H$27,MATCH($A491,Työkonekanta!$A$3:$A$24,0),1)*(1+s1_kerroin*($C491-2019))*$B491,0)</f>
        <v>0</v>
      </c>
      <c r="F491" s="145">
        <f t="shared" si="130"/>
        <v>0</v>
      </c>
      <c r="G491" s="145">
        <f t="shared" si="136"/>
        <v>0</v>
      </c>
      <c r="H491" s="145">
        <f t="shared" si="137"/>
        <v>0</v>
      </c>
      <c r="I491" s="145">
        <f t="shared" si="131"/>
        <v>0</v>
      </c>
      <c r="J491" s="145">
        <f t="shared" si="132"/>
        <v>0</v>
      </c>
      <c r="K491" s="142" t="str">
        <f t="shared" si="138"/>
        <v>kWh</v>
      </c>
      <c r="L491" s="146">
        <f>IFERROR(INDEX(Työkonekanta!$I$3:$I$27,MATCH('S1 Sähkö'!$A491,Työkonekanta!$A$3:$A$24,0),1)*(I491+J491)*f_adblue,0)</f>
        <v>0</v>
      </c>
      <c r="M491" s="146">
        <f t="shared" si="143"/>
        <v>0</v>
      </c>
      <c r="N491" s="143" t="str">
        <f>IF(tuulisähkö_vuosi&lt;='S1 Sähkö'!C491,"tuulisähkö",ostosähkö_nyt)</f>
        <v>jäännössähkö</v>
      </c>
      <c r="O491" s="147">
        <f>INDEX(Muuttujat!$J$5:$J$21,MATCH($C491,Muuttujat!$H$5:$H$21,0),1)</f>
        <v>58.961085487844883</v>
      </c>
      <c r="P491" s="342">
        <f>1-(INDEX(Muuttujat!$O$5:$O$21,MATCH($C491,Muuttujat!$N$5:$N$21,0),1))</f>
        <v>0.9</v>
      </c>
      <c r="Q491" s="342">
        <f>INDEX(Muuttujat!$O$5:$O$21,MATCH($C491,Muuttujat!$N$5:$N$21,0),1)</f>
        <v>0.1</v>
      </c>
      <c r="R491" s="148">
        <f>INDEX(Muuttujat!$P$5:$P$21,MATCH($C491,Muuttujat!$N$5:$N$21,0),1)</f>
        <v>0.10417875759940039</v>
      </c>
      <c r="S491" s="149">
        <f t="shared" si="133"/>
        <v>0</v>
      </c>
      <c r="T491" s="150">
        <f t="shared" si="134"/>
        <v>0</v>
      </c>
      <c r="U491" s="150">
        <f t="shared" si="135"/>
        <v>0</v>
      </c>
      <c r="V491" s="150">
        <f>IFERROR(INDEX(Työkonekanta!$J$3:$J$27,MATCH($A491,Työkonekanta!$A$3:$A$24,0),1)*$B491*ef_li_ion_akku/1000/1000/INDEX(Työkonekanta!$K$3:$K$27,MATCH($A491,Työkonekanta!$A$3:$A$24,0)),0)</f>
        <v>0</v>
      </c>
      <c r="W491" s="149">
        <f t="shared" si="144"/>
        <v>0</v>
      </c>
      <c r="X491" s="150">
        <f t="shared" si="145"/>
        <v>0</v>
      </c>
      <c r="Y491" s="151">
        <f t="shared" si="146"/>
        <v>0</v>
      </c>
      <c r="Z491" s="152">
        <f t="shared" si="139"/>
        <v>0</v>
      </c>
      <c r="AA491" s="153">
        <f t="shared" si="140"/>
        <v>0</v>
      </c>
      <c r="AB491" s="153">
        <f t="shared" si="141"/>
        <v>0</v>
      </c>
      <c r="AC491" s="154">
        <f t="shared" si="147"/>
        <v>0</v>
      </c>
      <c r="AD491" s="156">
        <f t="shared" si="142"/>
        <v>0</v>
      </c>
      <c r="AE491" s="182"/>
      <c r="AG491" s="2"/>
    </row>
    <row r="492" spans="1:37">
      <c r="A492" s="139">
        <v>10</v>
      </c>
      <c r="B492" s="139" cm="1">
        <f t="array" ref="B492">IFERROR(IF(A492=s1_id_korvattava1,INDEX($AG$3:$AG$19,MATCH(C492,$AF$3:$AF$19,0),1),IF(A492=s1_id_korvaava1,INDEX($AH$3:$AH$19,MATCH(C492,$AF$3:$AF$19,0),1),IF(A492=s1_id_korvattava2,INDEX($AI$3:$AI$19,MATCH(C492,$AF$3:$AF$19,0),1),IF(A492=s1_id_korvaava2,INDEX($AJ$3:$AJ$19,MATCH(C492,$AF$3:$AF$19,0),1),INDEX(Työkonekanta!$F$3:$F$27,MATCH('S1 Sähkö'!$A492,Työkonekanta!$A$3:$A$24,0),1))))),0)</f>
        <v>0</v>
      </c>
      <c r="C492" s="140">
        <v>2035</v>
      </c>
      <c r="D492" s="141" t="str">
        <f>IFERROR(INDEX(Työkonekanta!$D$3:$D$27,MATCH('S1 Sähkö'!$A492,Työkonekanta!$A$3:$A$24,0),1),"undefined")</f>
        <v>sähkö</v>
      </c>
      <c r="E492" s="145">
        <f>IFERROR(INDEX(Työkonekanta!$G$3:$G$27,MATCH($A492,Työkonekanta!$A$3:$A$24,0),1)*INDEX(Työkonekanta!$H$3:$H$27,MATCH($A492,Työkonekanta!$A$3:$A$24,0),1)*(1+s1_kerroin*($C492-2019))*$B492,0)</f>
        <v>0</v>
      </c>
      <c r="F492" s="145">
        <f t="shared" si="130"/>
        <v>0</v>
      </c>
      <c r="G492" s="145">
        <f t="shared" si="136"/>
        <v>0</v>
      </c>
      <c r="H492" s="145">
        <f t="shared" si="137"/>
        <v>0</v>
      </c>
      <c r="I492" s="145">
        <f t="shared" si="131"/>
        <v>0</v>
      </c>
      <c r="J492" s="145">
        <f t="shared" si="132"/>
        <v>0</v>
      </c>
      <c r="K492" s="142" t="str">
        <f t="shared" si="138"/>
        <v>kWh</v>
      </c>
      <c r="L492" s="146">
        <f>IFERROR(INDEX(Työkonekanta!$I$3:$I$27,MATCH('S1 Sähkö'!$A492,Työkonekanta!$A$3:$A$24,0),1)*(I492+J492)*f_adblue,0)</f>
        <v>0</v>
      </c>
      <c r="M492" s="146">
        <f t="shared" si="143"/>
        <v>0</v>
      </c>
      <c r="N492" s="143" t="str">
        <f>IF(tuulisähkö_vuosi&lt;='S1 Sähkö'!C492,"tuulisähkö",ostosähkö_nyt)</f>
        <v>jäännössähkö</v>
      </c>
      <c r="O492" s="147">
        <f>INDEX(Muuttujat!$J$5:$J$21,MATCH($C492,Muuttujat!$H$5:$H$21,0),1)</f>
        <v>58.961085487844883</v>
      </c>
      <c r="P492" s="342">
        <f>1-(INDEX(Muuttujat!$O$5:$O$21,MATCH($C492,Muuttujat!$N$5:$N$21,0),1))</f>
        <v>0.9</v>
      </c>
      <c r="Q492" s="342">
        <f>INDEX(Muuttujat!$O$5:$O$21,MATCH($C492,Muuttujat!$N$5:$N$21,0),1)</f>
        <v>0.1</v>
      </c>
      <c r="R492" s="148">
        <f>INDEX(Muuttujat!$P$5:$P$21,MATCH($C492,Muuttujat!$N$5:$N$21,0),1)</f>
        <v>0.10417875759940039</v>
      </c>
      <c r="S492" s="149">
        <f t="shared" si="133"/>
        <v>0</v>
      </c>
      <c r="T492" s="150">
        <f t="shared" si="134"/>
        <v>0</v>
      </c>
      <c r="U492" s="150">
        <f t="shared" si="135"/>
        <v>0</v>
      </c>
      <c r="V492" s="150">
        <f>IFERROR(INDEX(Työkonekanta!$J$3:$J$27,MATCH($A492,Työkonekanta!$A$3:$A$24,0),1)*$B492*ef_li_ion_akku/1000/1000/INDEX(Työkonekanta!$K$3:$K$27,MATCH($A492,Työkonekanta!$A$3:$A$24,0)),0)</f>
        <v>0</v>
      </c>
      <c r="W492" s="149">
        <f t="shared" si="144"/>
        <v>0</v>
      </c>
      <c r="X492" s="150">
        <f t="shared" si="145"/>
        <v>0</v>
      </c>
      <c r="Y492" s="151">
        <f t="shared" si="146"/>
        <v>0</v>
      </c>
      <c r="Z492" s="152">
        <f t="shared" si="139"/>
        <v>0</v>
      </c>
      <c r="AA492" s="153">
        <f t="shared" si="140"/>
        <v>0</v>
      </c>
      <c r="AB492" s="153">
        <f t="shared" si="141"/>
        <v>0</v>
      </c>
      <c r="AC492" s="154">
        <f t="shared" si="147"/>
        <v>0</v>
      </c>
      <c r="AD492" s="156">
        <f t="shared" si="142"/>
        <v>0</v>
      </c>
      <c r="AE492" s="182"/>
      <c r="AG492" s="2"/>
    </row>
    <row r="493" spans="1:37">
      <c r="A493" s="139">
        <v>11</v>
      </c>
      <c r="B493" s="139" cm="1">
        <f t="array" ref="B493">IFERROR(IF(A493=s1_id_korvattava1,INDEX($AG$3:$AG$19,MATCH(C493,$AF$3:$AF$19,0),1),IF(A493=s1_id_korvaava1,INDEX($AH$3:$AH$19,MATCH(C493,$AF$3:$AF$19,0),1),IF(A493=s1_id_korvattava2,INDEX($AI$3:$AI$19,MATCH(C493,$AF$3:$AF$19,0),1),IF(A493=s1_id_korvaava2,INDEX($AJ$3:$AJ$19,MATCH(C493,$AF$3:$AF$19,0),1),INDEX(Työkonekanta!$F$3:$F$27,MATCH('S1 Sähkö'!$A493,Työkonekanta!$A$3:$A$24,0),1))))),0)</f>
        <v>1</v>
      </c>
      <c r="C493" s="140">
        <v>2035</v>
      </c>
      <c r="D493" s="141" t="str">
        <f>IFERROR(INDEX(Työkonekanta!$D$3:$D$27,MATCH('S1 Sähkö'!$A493,Työkonekanta!$A$3:$A$24,0),1),"undefined")</f>
        <v>pom</v>
      </c>
      <c r="E493" s="145">
        <f>IFERROR(INDEX(Työkonekanta!$G$3:$G$27,MATCH($A493,Työkonekanta!$A$3:$A$24,0),1)*INDEX(Työkonekanta!$H$3:$H$27,MATCH($A493,Työkonekanta!$A$3:$A$24,0),1)*(1+s1_kerroin*($C493-2019))*$B493,0)</f>
        <v>11600</v>
      </c>
      <c r="F493" s="145">
        <f t="shared" si="130"/>
        <v>416440</v>
      </c>
      <c r="G493" s="145">
        <f t="shared" si="136"/>
        <v>374796</v>
      </c>
      <c r="H493" s="145">
        <f t="shared" si="137"/>
        <v>41644</v>
      </c>
      <c r="I493" s="145">
        <f t="shared" si="131"/>
        <v>10440</v>
      </c>
      <c r="J493" s="145">
        <f t="shared" si="132"/>
        <v>1214.1107871720117</v>
      </c>
      <c r="K493" s="142" t="str">
        <f t="shared" si="138"/>
        <v>l</v>
      </c>
      <c r="L493" s="146">
        <f>IFERROR(INDEX(Työkonekanta!$I$3:$I$27,MATCH('S1 Sähkö'!$A493,Työkonekanta!$A$3:$A$24,0),1)*(I493+J493)*f_adblue,0)</f>
        <v>582.70553935860062</v>
      </c>
      <c r="M493" s="146">
        <f t="shared" si="143"/>
        <v>0</v>
      </c>
      <c r="N493" s="143" t="str">
        <f>IF(tuulisähkö_vuosi&lt;='S1 Sähkö'!C493,"tuulisähkö",ostosähkö_nyt)</f>
        <v>jäännössähkö</v>
      </c>
      <c r="O493" s="147">
        <f>INDEX(Muuttujat!$J$5:$J$21,MATCH($C493,Muuttujat!$H$5:$H$21,0),1)</f>
        <v>58.961085487844883</v>
      </c>
      <c r="P493" s="342">
        <f>1-(INDEX(Muuttujat!$O$5:$O$21,MATCH($C493,Muuttujat!$N$5:$N$21,0),1))</f>
        <v>0.9</v>
      </c>
      <c r="Q493" s="342">
        <f>INDEX(Muuttujat!$O$5:$O$21,MATCH($C493,Muuttujat!$N$5:$N$21,0),1)</f>
        <v>0.1</v>
      </c>
      <c r="R493" s="148">
        <f>INDEX(Muuttujat!$P$5:$P$21,MATCH($C493,Muuttujat!$N$5:$N$21,0),1)</f>
        <v>0.10417875759940039</v>
      </c>
      <c r="S493" s="149">
        <f t="shared" si="133"/>
        <v>7.083644399999999</v>
      </c>
      <c r="T493" s="150">
        <f t="shared" si="134"/>
        <v>2.5985855999999998</v>
      </c>
      <c r="U493" s="150">
        <f t="shared" si="135"/>
        <v>0</v>
      </c>
      <c r="V493" s="150">
        <f>IFERROR(INDEX(Työkonekanta!$J$3:$J$27,MATCH($A493,Työkonekanta!$A$3:$A$24,0),1)*$B493*ef_li_ion_akku/1000/1000/INDEX(Työkonekanta!$K$3:$K$27,MATCH($A493,Työkonekanta!$A$3:$A$24,0)),0)</f>
        <v>0</v>
      </c>
      <c r="W493" s="149">
        <f t="shared" si="144"/>
        <v>27.663038470584002</v>
      </c>
      <c r="X493" s="150">
        <f t="shared" si="145"/>
        <v>0.36858496559999998</v>
      </c>
      <c r="Y493" s="151">
        <f t="shared" si="146"/>
        <v>0.15150344023323614</v>
      </c>
      <c r="Z493" s="152">
        <f t="shared" si="139"/>
        <v>9.6822299999999988</v>
      </c>
      <c r="AA493" s="153">
        <f t="shared" si="140"/>
        <v>27.814541910817237</v>
      </c>
      <c r="AB493" s="153">
        <f t="shared" si="141"/>
        <v>28.183126876417237</v>
      </c>
      <c r="AC493" s="154">
        <f t="shared" si="147"/>
        <v>37.496771910817237</v>
      </c>
      <c r="AD493" s="156">
        <f t="shared" si="142"/>
        <v>37.865356876417238</v>
      </c>
      <c r="AE493" s="182"/>
      <c r="AG493" s="2"/>
    </row>
    <row r="494" spans="1:37">
      <c r="A494" s="139">
        <v>12</v>
      </c>
      <c r="B494" s="139" cm="1">
        <f t="array" ref="B494">IFERROR(IF(A494=s1_id_korvattava1,INDEX($AG$3:$AG$19,MATCH(C494,$AF$3:$AF$19,0),1),IF(A494=s1_id_korvaava1,INDEX($AH$3:$AH$19,MATCH(C494,$AF$3:$AF$19,0),1),IF(A494=s1_id_korvattava2,INDEX($AI$3:$AI$19,MATCH(C494,$AF$3:$AF$19,0),1),IF(A494=s1_id_korvaava2,INDEX($AJ$3:$AJ$19,MATCH(C494,$AF$3:$AF$19,0),1),INDEX(Työkonekanta!$F$3:$F$27,MATCH('S1 Sähkö'!$A494,Työkonekanta!$A$3:$A$24,0),1))))),0)</f>
        <v>1</v>
      </c>
      <c r="C494" s="140">
        <v>2035</v>
      </c>
      <c r="D494" s="141" t="str">
        <f>IFERROR(INDEX(Työkonekanta!$D$3:$D$27,MATCH('S1 Sähkö'!$A494,Työkonekanta!$A$3:$A$24,0),1),"undefined")</f>
        <v>pom</v>
      </c>
      <c r="E494" s="145">
        <f>IFERROR(INDEX(Työkonekanta!$G$3:$G$27,MATCH($A494,Työkonekanta!$A$3:$A$24,0),1)*INDEX(Työkonekanta!$H$3:$H$27,MATCH($A494,Työkonekanta!$A$3:$A$24,0),1)*(1+s1_kerroin*($C494-2019))*$B494,0)</f>
        <v>11600</v>
      </c>
      <c r="F494" s="145">
        <f t="shared" si="130"/>
        <v>416440</v>
      </c>
      <c r="G494" s="145">
        <f t="shared" si="136"/>
        <v>374796</v>
      </c>
      <c r="H494" s="145">
        <f t="shared" si="137"/>
        <v>41644</v>
      </c>
      <c r="I494" s="145">
        <f t="shared" si="131"/>
        <v>10440</v>
      </c>
      <c r="J494" s="145">
        <f t="shared" si="132"/>
        <v>1214.1107871720117</v>
      </c>
      <c r="K494" s="142" t="str">
        <f t="shared" si="138"/>
        <v>l</v>
      </c>
      <c r="L494" s="146">
        <f>IFERROR(INDEX(Työkonekanta!$I$3:$I$27,MATCH('S1 Sähkö'!$A494,Työkonekanta!$A$3:$A$24,0),1)*(I494+J494)*f_adblue,0)</f>
        <v>582.70553935860062</v>
      </c>
      <c r="M494" s="146">
        <f t="shared" si="143"/>
        <v>0</v>
      </c>
      <c r="N494" s="143" t="str">
        <f>IF(tuulisähkö_vuosi&lt;='S1 Sähkö'!C494,"tuulisähkö",ostosähkö_nyt)</f>
        <v>jäännössähkö</v>
      </c>
      <c r="O494" s="147">
        <f>INDEX(Muuttujat!$J$5:$J$21,MATCH($C494,Muuttujat!$H$5:$H$21,0),1)</f>
        <v>58.961085487844883</v>
      </c>
      <c r="P494" s="342">
        <f>1-(INDEX(Muuttujat!$O$5:$O$21,MATCH($C494,Muuttujat!$N$5:$N$21,0),1))</f>
        <v>0.9</v>
      </c>
      <c r="Q494" s="342">
        <f>INDEX(Muuttujat!$O$5:$O$21,MATCH($C494,Muuttujat!$N$5:$N$21,0),1)</f>
        <v>0.1</v>
      </c>
      <c r="R494" s="148">
        <f>INDEX(Muuttujat!$P$5:$P$21,MATCH($C494,Muuttujat!$N$5:$N$21,0),1)</f>
        <v>0.10417875759940039</v>
      </c>
      <c r="S494" s="149">
        <f t="shared" si="133"/>
        <v>7.083644399999999</v>
      </c>
      <c r="T494" s="150">
        <f t="shared" si="134"/>
        <v>2.5985855999999998</v>
      </c>
      <c r="U494" s="150">
        <f t="shared" si="135"/>
        <v>0</v>
      </c>
      <c r="V494" s="150">
        <f>IFERROR(INDEX(Työkonekanta!$J$3:$J$27,MATCH($A494,Työkonekanta!$A$3:$A$24,0),1)*$B494*ef_li_ion_akku/1000/1000/INDEX(Työkonekanta!$K$3:$K$27,MATCH($A494,Työkonekanta!$A$3:$A$24,0)),0)</f>
        <v>0</v>
      </c>
      <c r="W494" s="149">
        <f t="shared" si="144"/>
        <v>27.663038470584002</v>
      </c>
      <c r="X494" s="150">
        <f t="shared" si="145"/>
        <v>0.36858496559999998</v>
      </c>
      <c r="Y494" s="151">
        <f t="shared" si="146"/>
        <v>0.15150344023323614</v>
      </c>
      <c r="Z494" s="152">
        <f t="shared" si="139"/>
        <v>9.6822299999999988</v>
      </c>
      <c r="AA494" s="153">
        <f t="shared" si="140"/>
        <v>27.814541910817237</v>
      </c>
      <c r="AB494" s="153">
        <f t="shared" si="141"/>
        <v>28.183126876417237</v>
      </c>
      <c r="AC494" s="154">
        <f t="shared" si="147"/>
        <v>37.496771910817237</v>
      </c>
      <c r="AD494" s="156">
        <f t="shared" si="142"/>
        <v>37.865356876417238</v>
      </c>
      <c r="AE494" s="182"/>
      <c r="AG494" s="2"/>
    </row>
    <row r="495" spans="1:37">
      <c r="A495" s="139">
        <v>13</v>
      </c>
      <c r="B495" s="139" cm="1">
        <f t="array" ref="B495">IFERROR(IF(A495=s1_id_korvattava1,INDEX($AG$3:$AG$19,MATCH(C495,$AF$3:$AF$19,0),1),IF(A495=s1_id_korvaava1,INDEX($AH$3:$AH$19,MATCH(C495,$AF$3:$AF$19,0),1),IF(A495=s1_id_korvattava2,INDEX($AI$3:$AI$19,MATCH(C495,$AF$3:$AF$19,0),1),IF(A495=s1_id_korvaava2,INDEX($AJ$3:$AJ$19,MATCH(C495,$AF$3:$AF$19,0),1),INDEX(Työkonekanta!$F$3:$F$27,MATCH('S1 Sähkö'!$A495,Työkonekanta!$A$3:$A$24,0),1))))),0)</f>
        <v>0</v>
      </c>
      <c r="C495" s="140">
        <v>2035</v>
      </c>
      <c r="D495" s="141" t="str">
        <f>IFERROR(INDEX(Työkonekanta!$D$3:$D$27,MATCH('S1 Sähkö'!$A495,Työkonekanta!$A$3:$A$24,0),1),"undefined")</f>
        <v>pom</v>
      </c>
      <c r="E495" s="145">
        <f>IFERROR(INDEX(Työkonekanta!$G$3:$G$27,MATCH($A495,Työkonekanta!$A$3:$A$24,0),1)*INDEX(Työkonekanta!$H$3:$H$27,MATCH($A495,Työkonekanta!$A$3:$A$24,0),1)*(1+s1_kerroin*($C495-2019))*$B495,0)</f>
        <v>0</v>
      </c>
      <c r="F495" s="145">
        <f t="shared" si="130"/>
        <v>0</v>
      </c>
      <c r="G495" s="145">
        <f t="shared" si="136"/>
        <v>0</v>
      </c>
      <c r="H495" s="145">
        <f t="shared" si="137"/>
        <v>0</v>
      </c>
      <c r="I495" s="145">
        <f t="shared" si="131"/>
        <v>0</v>
      </c>
      <c r="J495" s="145">
        <f t="shared" si="132"/>
        <v>0</v>
      </c>
      <c r="K495" s="142" t="str">
        <f t="shared" si="138"/>
        <v>l</v>
      </c>
      <c r="L495" s="146">
        <f>IFERROR(INDEX(Työkonekanta!$I$3:$I$27,MATCH('S1 Sähkö'!$A495,Työkonekanta!$A$3:$A$24,0),1)*(I495+J495)*f_adblue,0)</f>
        <v>0</v>
      </c>
      <c r="M495" s="146">
        <f t="shared" si="143"/>
        <v>0</v>
      </c>
      <c r="N495" s="143" t="str">
        <f>IF(tuulisähkö_vuosi&lt;='S1 Sähkö'!C495,"tuulisähkö",ostosähkö_nyt)</f>
        <v>jäännössähkö</v>
      </c>
      <c r="O495" s="147">
        <f>INDEX(Muuttujat!$J$5:$J$21,MATCH($C495,Muuttujat!$H$5:$H$21,0),1)</f>
        <v>58.961085487844883</v>
      </c>
      <c r="P495" s="342">
        <f>1-(INDEX(Muuttujat!$O$5:$O$21,MATCH($C495,Muuttujat!$N$5:$N$21,0),1))</f>
        <v>0.9</v>
      </c>
      <c r="Q495" s="342">
        <f>INDEX(Muuttujat!$O$5:$O$21,MATCH($C495,Muuttujat!$N$5:$N$21,0),1)</f>
        <v>0.1</v>
      </c>
      <c r="R495" s="148">
        <f>INDEX(Muuttujat!$P$5:$P$21,MATCH($C495,Muuttujat!$N$5:$N$21,0),1)</f>
        <v>0.10417875759940039</v>
      </c>
      <c r="S495" s="149">
        <f t="shared" si="133"/>
        <v>0</v>
      </c>
      <c r="T495" s="150">
        <f t="shared" si="134"/>
        <v>0</v>
      </c>
      <c r="U495" s="150">
        <f t="shared" si="135"/>
        <v>0</v>
      </c>
      <c r="V495" s="150">
        <f>IFERROR(INDEX(Työkonekanta!$J$3:$J$27,MATCH($A495,Työkonekanta!$A$3:$A$24,0),1)*$B495*ef_li_ion_akku/1000/1000/INDEX(Työkonekanta!$K$3:$K$27,MATCH($A495,Työkonekanta!$A$3:$A$24,0)),0)</f>
        <v>0</v>
      </c>
      <c r="W495" s="149">
        <f t="shared" si="144"/>
        <v>0</v>
      </c>
      <c r="X495" s="150">
        <f t="shared" si="145"/>
        <v>0</v>
      </c>
      <c r="Y495" s="151">
        <f t="shared" si="146"/>
        <v>0</v>
      </c>
      <c r="Z495" s="152">
        <f t="shared" si="139"/>
        <v>0</v>
      </c>
      <c r="AA495" s="153">
        <f t="shared" si="140"/>
        <v>0</v>
      </c>
      <c r="AB495" s="153">
        <f t="shared" si="141"/>
        <v>0</v>
      </c>
      <c r="AC495" s="154">
        <f t="shared" si="147"/>
        <v>0</v>
      </c>
      <c r="AD495" s="156">
        <f t="shared" si="142"/>
        <v>0</v>
      </c>
      <c r="AE495" s="182"/>
      <c r="AG495" s="2"/>
    </row>
    <row r="496" spans="1:37">
      <c r="A496" s="139">
        <v>14</v>
      </c>
      <c r="B496" s="139" cm="1">
        <f t="array" ref="B496">IFERROR(IF(A496=s1_id_korvattava1,INDEX($AG$3:$AG$19,MATCH(C496,$AF$3:$AF$19,0),1),IF(A496=s1_id_korvaava1,INDEX($AH$3:$AH$19,MATCH(C496,$AF$3:$AF$19,0),1),IF(A496=s1_id_korvattava2,INDEX($AI$3:$AI$19,MATCH(C496,$AF$3:$AF$19,0),1),IF(A496=s1_id_korvaava2,INDEX($AJ$3:$AJ$19,MATCH(C496,$AF$3:$AF$19,0),1),INDEX(Työkonekanta!$F$3:$F$27,MATCH('S1 Sähkö'!$A496,Työkonekanta!$A$3:$A$24,0),1))))),0)</f>
        <v>0</v>
      </c>
      <c r="C496" s="140">
        <v>2035</v>
      </c>
      <c r="D496" s="141" t="str">
        <f>IFERROR(INDEX(Työkonekanta!$D$3:$D$27,MATCH('S1 Sähkö'!$A496,Työkonekanta!$A$3:$A$24,0),1),"undefined")</f>
        <v>pom</v>
      </c>
      <c r="E496" s="145">
        <f>IFERROR(INDEX(Työkonekanta!$G$3:$G$27,MATCH($A496,Työkonekanta!$A$3:$A$24,0),1)*INDEX(Työkonekanta!$H$3:$H$27,MATCH($A496,Työkonekanta!$A$3:$A$24,0),1)*(1+s1_kerroin*($C496-2019))*$B496,0)</f>
        <v>0</v>
      </c>
      <c r="F496" s="145">
        <f t="shared" si="130"/>
        <v>0</v>
      </c>
      <c r="G496" s="145">
        <f t="shared" si="136"/>
        <v>0</v>
      </c>
      <c r="H496" s="145">
        <f t="shared" si="137"/>
        <v>0</v>
      </c>
      <c r="I496" s="145">
        <f t="shared" si="131"/>
        <v>0</v>
      </c>
      <c r="J496" s="145">
        <f t="shared" si="132"/>
        <v>0</v>
      </c>
      <c r="K496" s="142" t="str">
        <f t="shared" si="138"/>
        <v>l</v>
      </c>
      <c r="L496" s="146">
        <f>IFERROR(INDEX(Työkonekanta!$I$3:$I$27,MATCH('S1 Sähkö'!$A496,Työkonekanta!$A$3:$A$24,0),1)*(I496+J496)*f_adblue,0)</f>
        <v>0</v>
      </c>
      <c r="M496" s="146">
        <f t="shared" si="143"/>
        <v>0</v>
      </c>
      <c r="N496" s="143" t="str">
        <f>IF(tuulisähkö_vuosi&lt;='S1 Sähkö'!C496,"tuulisähkö",ostosähkö_nyt)</f>
        <v>jäännössähkö</v>
      </c>
      <c r="O496" s="147">
        <f>INDEX(Muuttujat!$J$5:$J$21,MATCH($C496,Muuttujat!$H$5:$H$21,0),1)</f>
        <v>58.961085487844883</v>
      </c>
      <c r="P496" s="342">
        <f>1-(INDEX(Muuttujat!$O$5:$O$21,MATCH($C496,Muuttujat!$N$5:$N$21,0),1))</f>
        <v>0.9</v>
      </c>
      <c r="Q496" s="342">
        <f>INDEX(Muuttujat!$O$5:$O$21,MATCH($C496,Muuttujat!$N$5:$N$21,0),1)</f>
        <v>0.1</v>
      </c>
      <c r="R496" s="148">
        <f>INDEX(Muuttujat!$P$5:$P$21,MATCH($C496,Muuttujat!$N$5:$N$21,0),1)</f>
        <v>0.10417875759940039</v>
      </c>
      <c r="S496" s="149">
        <f t="shared" si="133"/>
        <v>0</v>
      </c>
      <c r="T496" s="150">
        <f t="shared" si="134"/>
        <v>0</v>
      </c>
      <c r="U496" s="150">
        <f t="shared" si="135"/>
        <v>0</v>
      </c>
      <c r="V496" s="150">
        <f>IFERROR(INDEX(Työkonekanta!$J$3:$J$27,MATCH($A496,Työkonekanta!$A$3:$A$24,0),1)*$B496*ef_li_ion_akku/1000/1000/INDEX(Työkonekanta!$K$3:$K$27,MATCH($A496,Työkonekanta!$A$3:$A$24,0)),0)</f>
        <v>0</v>
      </c>
      <c r="W496" s="149">
        <f t="shared" si="144"/>
        <v>0</v>
      </c>
      <c r="X496" s="150">
        <f t="shared" si="145"/>
        <v>0</v>
      </c>
      <c r="Y496" s="151">
        <f t="shared" si="146"/>
        <v>0</v>
      </c>
      <c r="Z496" s="152">
        <f t="shared" si="139"/>
        <v>0</v>
      </c>
      <c r="AA496" s="153">
        <f t="shared" si="140"/>
        <v>0</v>
      </c>
      <c r="AB496" s="153">
        <f t="shared" si="141"/>
        <v>0</v>
      </c>
      <c r="AC496" s="154">
        <f t="shared" si="147"/>
        <v>0</v>
      </c>
      <c r="AD496" s="156">
        <f t="shared" si="142"/>
        <v>0</v>
      </c>
      <c r="AE496" s="182"/>
      <c r="AG496" s="2"/>
    </row>
    <row r="497" spans="1:37">
      <c r="A497" s="139">
        <v>15</v>
      </c>
      <c r="B497" s="139" cm="1">
        <f t="array" ref="B497">IFERROR(IF(A497=s1_id_korvattava1,INDEX($AG$3:$AG$19,MATCH(C497,$AF$3:$AF$19,0),1),IF(A497=s1_id_korvaava1,INDEX($AH$3:$AH$19,MATCH(C497,$AF$3:$AF$19,0),1),IF(A497=s1_id_korvattava2,INDEX($AI$3:$AI$19,MATCH(C497,$AF$3:$AF$19,0),1),IF(A497=s1_id_korvaava2,INDEX($AJ$3:$AJ$19,MATCH(C497,$AF$3:$AF$19,0),1),INDEX(Työkonekanta!$F$3:$F$27,MATCH('S1 Sähkö'!$A497,Työkonekanta!$A$3:$A$24,0),1))))),0)</f>
        <v>0</v>
      </c>
      <c r="C497" s="140">
        <v>2035</v>
      </c>
      <c r="D497" s="141" t="str">
        <f>IFERROR(INDEX(Työkonekanta!$D$3:$D$27,MATCH('S1 Sähkö'!$A497,Työkonekanta!$A$3:$A$24,0),1),"undefined")</f>
        <v>sähkö</v>
      </c>
      <c r="E497" s="145">
        <f>IFERROR(INDEX(Työkonekanta!$G$3:$G$27,MATCH($A497,Työkonekanta!$A$3:$A$24,0),1)*INDEX(Työkonekanta!$H$3:$H$27,MATCH($A497,Työkonekanta!$A$3:$A$24,0),1)*(1+s1_kerroin*($C497-2019))*$B497,0)</f>
        <v>0</v>
      </c>
      <c r="F497" s="145">
        <f t="shared" si="130"/>
        <v>0</v>
      </c>
      <c r="G497" s="145">
        <f t="shared" si="136"/>
        <v>0</v>
      </c>
      <c r="H497" s="145">
        <f t="shared" si="137"/>
        <v>0</v>
      </c>
      <c r="I497" s="145">
        <f t="shared" si="131"/>
        <v>0</v>
      </c>
      <c r="J497" s="145">
        <f t="shared" si="132"/>
        <v>0</v>
      </c>
      <c r="K497" s="142" t="str">
        <f t="shared" si="138"/>
        <v>kWh</v>
      </c>
      <c r="L497" s="146">
        <f>IFERROR(INDEX(Työkonekanta!$I$3:$I$27,MATCH('S1 Sähkö'!$A497,Työkonekanta!$A$3:$A$24,0),1)*(I497+J497)*f_adblue,0)</f>
        <v>0</v>
      </c>
      <c r="M497" s="146">
        <f t="shared" si="143"/>
        <v>0</v>
      </c>
      <c r="N497" s="143" t="str">
        <f>IF(tuulisähkö_vuosi&lt;='S1 Sähkö'!C497,"tuulisähkö",ostosähkö_nyt)</f>
        <v>jäännössähkö</v>
      </c>
      <c r="O497" s="147">
        <f>INDEX(Muuttujat!$J$5:$J$21,MATCH($C497,Muuttujat!$H$5:$H$21,0),1)</f>
        <v>58.961085487844883</v>
      </c>
      <c r="P497" s="342">
        <f>1-(INDEX(Muuttujat!$O$5:$O$21,MATCH($C497,Muuttujat!$N$5:$N$21,0),1))</f>
        <v>0.9</v>
      </c>
      <c r="Q497" s="342">
        <f>INDEX(Muuttujat!$O$5:$O$21,MATCH($C497,Muuttujat!$N$5:$N$21,0),1)</f>
        <v>0.1</v>
      </c>
      <c r="R497" s="148">
        <f>INDEX(Muuttujat!$P$5:$P$21,MATCH($C497,Muuttujat!$N$5:$N$21,0),1)</f>
        <v>0.10417875759940039</v>
      </c>
      <c r="S497" s="149">
        <f t="shared" si="133"/>
        <v>0</v>
      </c>
      <c r="T497" s="150">
        <f t="shared" si="134"/>
        <v>0</v>
      </c>
      <c r="U497" s="150">
        <f t="shared" si="135"/>
        <v>0</v>
      </c>
      <c r="V497" s="150">
        <f>IFERROR(INDEX(Työkonekanta!$J$3:$J$27,MATCH($A497,Työkonekanta!$A$3:$A$24,0),1)*$B497*ef_li_ion_akku/1000/1000/INDEX(Työkonekanta!$K$3:$K$27,MATCH($A497,Työkonekanta!$A$3:$A$24,0)),0)</f>
        <v>0</v>
      </c>
      <c r="W497" s="149">
        <f t="shared" si="144"/>
        <v>0</v>
      </c>
      <c r="X497" s="150">
        <f t="shared" si="145"/>
        <v>0</v>
      </c>
      <c r="Y497" s="151">
        <f t="shared" si="146"/>
        <v>0</v>
      </c>
      <c r="Z497" s="152">
        <f t="shared" si="139"/>
        <v>0</v>
      </c>
      <c r="AA497" s="153">
        <f t="shared" si="140"/>
        <v>0</v>
      </c>
      <c r="AB497" s="153">
        <f t="shared" si="141"/>
        <v>0</v>
      </c>
      <c r="AC497" s="154">
        <f t="shared" si="147"/>
        <v>0</v>
      </c>
      <c r="AD497" s="156">
        <f t="shared" si="142"/>
        <v>0</v>
      </c>
      <c r="AE497" s="182"/>
      <c r="AG497" s="2"/>
    </row>
    <row r="498" spans="1:37">
      <c r="A498" s="139">
        <v>16</v>
      </c>
      <c r="B498" s="139" cm="1">
        <f t="array" ref="B498">IFERROR(IF(A498=s1_id_korvattava1,INDEX($AG$3:$AG$19,MATCH(C498,$AF$3:$AF$19,0),1),IF(A498=s1_id_korvaava1,INDEX($AH$3:$AH$19,MATCH(C498,$AF$3:$AF$19,0),1),IF(A498=s1_id_korvattava2,INDEX($AI$3:$AI$19,MATCH(C498,$AF$3:$AF$19,0),1),IF(A498=s1_id_korvaava2,INDEX($AJ$3:$AJ$19,MATCH(C498,$AF$3:$AF$19,0),1),INDEX(Työkonekanta!$F$3:$F$27,MATCH('S1 Sähkö'!$A498,Työkonekanta!$A$3:$A$24,0),1))))),0)</f>
        <v>0</v>
      </c>
      <c r="C498" s="140">
        <v>2035</v>
      </c>
      <c r="D498" s="141" t="str">
        <f>IFERROR(INDEX(Työkonekanta!$D$3:$D$27,MATCH('S1 Sähkö'!$A498,Työkonekanta!$A$3:$A$24,0),1),"undefined")</f>
        <v>sähkö</v>
      </c>
      <c r="E498" s="145">
        <f>IFERROR(INDEX(Työkonekanta!$G$3:$G$27,MATCH($A498,Työkonekanta!$A$3:$A$24,0),1)*INDEX(Työkonekanta!$H$3:$H$27,MATCH($A498,Työkonekanta!$A$3:$A$24,0),1)*(1+s1_kerroin*($C498-2019))*$B498,0)</f>
        <v>0</v>
      </c>
      <c r="F498" s="145">
        <f t="shared" si="130"/>
        <v>0</v>
      </c>
      <c r="G498" s="145">
        <f t="shared" si="136"/>
        <v>0</v>
      </c>
      <c r="H498" s="145">
        <f t="shared" si="137"/>
        <v>0</v>
      </c>
      <c r="I498" s="145">
        <f t="shared" si="131"/>
        <v>0</v>
      </c>
      <c r="J498" s="145">
        <f t="shared" si="132"/>
        <v>0</v>
      </c>
      <c r="K498" s="142" t="str">
        <f t="shared" si="138"/>
        <v>kWh</v>
      </c>
      <c r="L498" s="146">
        <f>IFERROR(INDEX(Työkonekanta!$I$3:$I$27,MATCH('S1 Sähkö'!$A498,Työkonekanta!$A$3:$A$24,0),1)*(I498+J498)*f_adblue,0)</f>
        <v>0</v>
      </c>
      <c r="M498" s="146">
        <f t="shared" si="143"/>
        <v>0</v>
      </c>
      <c r="N498" s="143" t="str">
        <f>IF(tuulisähkö_vuosi&lt;='S1 Sähkö'!C498,"tuulisähkö",ostosähkö_nyt)</f>
        <v>jäännössähkö</v>
      </c>
      <c r="O498" s="147">
        <f>INDEX(Muuttujat!$J$5:$J$21,MATCH($C498,Muuttujat!$H$5:$H$21,0),1)</f>
        <v>58.961085487844883</v>
      </c>
      <c r="P498" s="342">
        <f>1-(INDEX(Muuttujat!$O$5:$O$21,MATCH($C498,Muuttujat!$N$5:$N$21,0),1))</f>
        <v>0.9</v>
      </c>
      <c r="Q498" s="342">
        <f>INDEX(Muuttujat!$O$5:$O$21,MATCH($C498,Muuttujat!$N$5:$N$21,0),1)</f>
        <v>0.1</v>
      </c>
      <c r="R498" s="148">
        <f>INDEX(Muuttujat!$P$5:$P$21,MATCH($C498,Muuttujat!$N$5:$N$21,0),1)</f>
        <v>0.10417875759940039</v>
      </c>
      <c r="S498" s="149">
        <f t="shared" si="133"/>
        <v>0</v>
      </c>
      <c r="T498" s="150">
        <f t="shared" si="134"/>
        <v>0</v>
      </c>
      <c r="U498" s="150">
        <f t="shared" si="135"/>
        <v>0</v>
      </c>
      <c r="V498" s="150">
        <f>IFERROR(INDEX(Työkonekanta!$J$3:$J$27,MATCH($A498,Työkonekanta!$A$3:$A$24,0),1)*$B498*ef_li_ion_akku/1000/1000/INDEX(Työkonekanta!$K$3:$K$27,MATCH($A498,Työkonekanta!$A$3:$A$24,0)),0)</f>
        <v>0</v>
      </c>
      <c r="W498" s="149">
        <f t="shared" si="144"/>
        <v>0</v>
      </c>
      <c r="X498" s="150">
        <f t="shared" si="145"/>
        <v>0</v>
      </c>
      <c r="Y498" s="151">
        <f t="shared" si="146"/>
        <v>0</v>
      </c>
      <c r="Z498" s="152">
        <f t="shared" si="139"/>
        <v>0</v>
      </c>
      <c r="AA498" s="153">
        <f t="shared" si="140"/>
        <v>0</v>
      </c>
      <c r="AB498" s="153">
        <f t="shared" si="141"/>
        <v>0</v>
      </c>
      <c r="AC498" s="154">
        <f t="shared" si="147"/>
        <v>0</v>
      </c>
      <c r="AD498" s="156">
        <f t="shared" si="142"/>
        <v>0</v>
      </c>
      <c r="AE498" s="182"/>
      <c r="AG498" s="2"/>
    </row>
    <row r="499" spans="1:37">
      <c r="A499" s="139">
        <v>17</v>
      </c>
      <c r="B499" s="139" cm="1">
        <f t="array" ref="B499">IFERROR(IF(A499=s1_id_korvattava1,INDEX($AG$3:$AG$19,MATCH(C499,$AF$3:$AF$19,0),1),IF(A499=s1_id_korvaava1,INDEX($AH$3:$AH$19,MATCH(C499,$AF$3:$AF$19,0),1),IF(A499=s1_id_korvattava2,INDEX($AI$3:$AI$19,MATCH(C499,$AF$3:$AF$19,0),1),IF(A499=s1_id_korvaava2,INDEX($AJ$3:$AJ$19,MATCH(C499,$AF$3:$AF$19,0),1),INDEX(Työkonekanta!$F$3:$F$27,MATCH('S1 Sähkö'!$A499,Työkonekanta!$A$3:$A$24,0),1))))),0)</f>
        <v>0</v>
      </c>
      <c r="C499" s="140">
        <v>2035</v>
      </c>
      <c r="D499" s="141" t="str">
        <f>IFERROR(INDEX(Työkonekanta!$D$3:$D$27,MATCH('S1 Sähkö'!$A499,Työkonekanta!$A$3:$A$24,0),1),"undefined")</f>
        <v>pom</v>
      </c>
      <c r="E499" s="145">
        <f>IFERROR(INDEX(Työkonekanta!$G$3:$G$27,MATCH($A499,Työkonekanta!$A$3:$A$24,0),1)*INDEX(Työkonekanta!$H$3:$H$27,MATCH($A499,Työkonekanta!$A$3:$A$24,0),1)*(1+s1_kerroin*($C499-2019))*$B499,0)</f>
        <v>0</v>
      </c>
      <c r="F499" s="145">
        <f t="shared" si="130"/>
        <v>0</v>
      </c>
      <c r="G499" s="145">
        <f t="shared" si="136"/>
        <v>0</v>
      </c>
      <c r="H499" s="145">
        <f t="shared" si="137"/>
        <v>0</v>
      </c>
      <c r="I499" s="145">
        <f t="shared" si="131"/>
        <v>0</v>
      </c>
      <c r="J499" s="145">
        <f t="shared" si="132"/>
        <v>0</v>
      </c>
      <c r="K499" s="142" t="str">
        <f t="shared" si="138"/>
        <v>l</v>
      </c>
      <c r="L499" s="146">
        <f>IFERROR(INDEX(Työkonekanta!$I$3:$I$27,MATCH('S1 Sähkö'!$A499,Työkonekanta!$A$3:$A$24,0),1)*(I499+J499)*f_adblue,0)</f>
        <v>0</v>
      </c>
      <c r="M499" s="146">
        <f t="shared" si="143"/>
        <v>0</v>
      </c>
      <c r="N499" s="143" t="str">
        <f>IF(tuulisähkö_vuosi&lt;='S1 Sähkö'!C499,"tuulisähkö",ostosähkö_nyt)</f>
        <v>jäännössähkö</v>
      </c>
      <c r="O499" s="147">
        <f>INDEX(Muuttujat!$J$5:$J$21,MATCH($C499,Muuttujat!$H$5:$H$21,0),1)</f>
        <v>58.961085487844883</v>
      </c>
      <c r="P499" s="342">
        <f>1-(INDEX(Muuttujat!$O$5:$O$21,MATCH($C499,Muuttujat!$N$5:$N$21,0),1))</f>
        <v>0.9</v>
      </c>
      <c r="Q499" s="342">
        <f>INDEX(Muuttujat!$O$5:$O$21,MATCH($C499,Muuttujat!$N$5:$N$21,0),1)</f>
        <v>0.1</v>
      </c>
      <c r="R499" s="148">
        <f>INDEX(Muuttujat!$P$5:$P$21,MATCH($C499,Muuttujat!$N$5:$N$21,0),1)</f>
        <v>0.10417875759940039</v>
      </c>
      <c r="S499" s="149">
        <f t="shared" si="133"/>
        <v>0</v>
      </c>
      <c r="T499" s="150">
        <f t="shared" si="134"/>
        <v>0</v>
      </c>
      <c r="U499" s="150">
        <f t="shared" si="135"/>
        <v>0</v>
      </c>
      <c r="V499" s="150">
        <f>IFERROR(INDEX(Työkonekanta!$J$3:$J$27,MATCH($A499,Työkonekanta!$A$3:$A$24,0),1)*$B499*ef_li_ion_akku/1000/1000/INDEX(Työkonekanta!$K$3:$K$27,MATCH($A499,Työkonekanta!$A$3:$A$24,0)),0)</f>
        <v>0</v>
      </c>
      <c r="W499" s="149">
        <f t="shared" si="144"/>
        <v>0</v>
      </c>
      <c r="X499" s="150">
        <f t="shared" si="145"/>
        <v>0</v>
      </c>
      <c r="Y499" s="151">
        <f t="shared" si="146"/>
        <v>0</v>
      </c>
      <c r="Z499" s="152">
        <f t="shared" si="139"/>
        <v>0</v>
      </c>
      <c r="AA499" s="153">
        <f t="shared" si="140"/>
        <v>0</v>
      </c>
      <c r="AB499" s="153">
        <f t="shared" si="141"/>
        <v>0</v>
      </c>
      <c r="AC499" s="154">
        <f t="shared" si="147"/>
        <v>0</v>
      </c>
      <c r="AD499" s="156">
        <f t="shared" si="142"/>
        <v>0</v>
      </c>
      <c r="AE499" s="182"/>
      <c r="AG499" s="2"/>
    </row>
    <row r="500" spans="1:37">
      <c r="A500" s="139">
        <v>18</v>
      </c>
      <c r="B500" s="139" cm="1">
        <f t="array" ref="B500">IFERROR(IF(A500=s1_id_korvattava1,INDEX($AG$3:$AG$19,MATCH(C500,$AF$3:$AF$19,0),1),IF(A500=s1_id_korvaava1,INDEX($AH$3:$AH$19,MATCH(C500,$AF$3:$AF$19,0),1),IF(A500=s1_id_korvattava2,INDEX($AI$3:$AI$19,MATCH(C500,$AF$3:$AF$19,0),1),IF(A500=s1_id_korvaava2,INDEX($AJ$3:$AJ$19,MATCH(C500,$AF$3:$AF$19,0),1),INDEX(Työkonekanta!$F$3:$F$27,MATCH('S1 Sähkö'!$A500,Työkonekanta!$A$3:$A$24,0),1))))),0)</f>
        <v>0</v>
      </c>
      <c r="C500" s="140">
        <v>2035</v>
      </c>
      <c r="D500" s="141" t="str">
        <f>IFERROR(INDEX(Työkonekanta!$D$3:$D$27,MATCH('S1 Sähkö'!$A500,Työkonekanta!$A$3:$A$24,0),1),"undefined")</f>
        <v>pom</v>
      </c>
      <c r="E500" s="145">
        <f>IFERROR(INDEX(Työkonekanta!$G$3:$G$27,MATCH($A500,Työkonekanta!$A$3:$A$24,0),1)*INDEX(Työkonekanta!$H$3:$H$27,MATCH($A500,Työkonekanta!$A$3:$A$24,0),1)*(1+s1_kerroin*($C500-2019))*$B500,0)</f>
        <v>0</v>
      </c>
      <c r="F500" s="145">
        <f t="shared" si="130"/>
        <v>0</v>
      </c>
      <c r="G500" s="145">
        <f t="shared" si="136"/>
        <v>0</v>
      </c>
      <c r="H500" s="145">
        <f t="shared" si="137"/>
        <v>0</v>
      </c>
      <c r="I500" s="145">
        <f t="shared" si="131"/>
        <v>0</v>
      </c>
      <c r="J500" s="145">
        <f t="shared" si="132"/>
        <v>0</v>
      </c>
      <c r="K500" s="142" t="str">
        <f t="shared" si="138"/>
        <v>l</v>
      </c>
      <c r="L500" s="146">
        <f>IFERROR(INDEX(Työkonekanta!$I$3:$I$27,MATCH('S1 Sähkö'!$A500,Työkonekanta!$A$3:$A$24,0),1)*(I500+J500)*f_adblue,0)</f>
        <v>0</v>
      </c>
      <c r="M500" s="146">
        <f t="shared" si="143"/>
        <v>0</v>
      </c>
      <c r="N500" s="143" t="str">
        <f>IF(tuulisähkö_vuosi&lt;='S1 Sähkö'!C500,"tuulisähkö",ostosähkö_nyt)</f>
        <v>jäännössähkö</v>
      </c>
      <c r="O500" s="147">
        <f>INDEX(Muuttujat!$J$5:$J$21,MATCH($C500,Muuttujat!$H$5:$H$21,0),1)</f>
        <v>58.961085487844883</v>
      </c>
      <c r="P500" s="342">
        <f>1-(INDEX(Muuttujat!$O$5:$O$21,MATCH($C500,Muuttujat!$N$5:$N$21,0),1))</f>
        <v>0.9</v>
      </c>
      <c r="Q500" s="342">
        <f>INDEX(Muuttujat!$O$5:$O$21,MATCH($C500,Muuttujat!$N$5:$N$21,0),1)</f>
        <v>0.1</v>
      </c>
      <c r="R500" s="148">
        <f>INDEX(Muuttujat!$P$5:$P$21,MATCH($C500,Muuttujat!$N$5:$N$21,0),1)</f>
        <v>0.10417875759940039</v>
      </c>
      <c r="S500" s="149">
        <f t="shared" si="133"/>
        <v>0</v>
      </c>
      <c r="T500" s="150">
        <f t="shared" si="134"/>
        <v>0</v>
      </c>
      <c r="U500" s="150">
        <f t="shared" si="135"/>
        <v>0</v>
      </c>
      <c r="V500" s="150">
        <f>IFERROR(INDEX(Työkonekanta!$J$3:$J$27,MATCH($A500,Työkonekanta!$A$3:$A$24,0),1)*$B500*ef_li_ion_akku/1000/1000/INDEX(Työkonekanta!$K$3:$K$27,MATCH($A500,Työkonekanta!$A$3:$A$24,0)),0)</f>
        <v>0</v>
      </c>
      <c r="W500" s="149">
        <f t="shared" si="144"/>
        <v>0</v>
      </c>
      <c r="X500" s="150">
        <f t="shared" si="145"/>
        <v>0</v>
      </c>
      <c r="Y500" s="151">
        <f t="shared" si="146"/>
        <v>0</v>
      </c>
      <c r="Z500" s="152">
        <f t="shared" si="139"/>
        <v>0</v>
      </c>
      <c r="AA500" s="153">
        <f t="shared" si="140"/>
        <v>0</v>
      </c>
      <c r="AB500" s="153">
        <f t="shared" si="141"/>
        <v>0</v>
      </c>
      <c r="AC500" s="154">
        <f t="shared" si="147"/>
        <v>0</v>
      </c>
      <c r="AD500" s="156">
        <f t="shared" si="142"/>
        <v>0</v>
      </c>
      <c r="AE500" s="182"/>
      <c r="AG500" s="2"/>
    </row>
    <row r="501" spans="1:37">
      <c r="A501" s="139">
        <v>19</v>
      </c>
      <c r="B501" s="139" cm="1">
        <f t="array" ref="B501">IFERROR(IF(A501=s1_id_korvattava1,INDEX($AG$3:$AG$19,MATCH(C501,$AF$3:$AF$19,0),1),IF(A501=s1_id_korvaava1,INDEX($AH$3:$AH$19,MATCH(C501,$AF$3:$AF$19,0),1),IF(A501=s1_id_korvattava2,INDEX($AI$3:$AI$19,MATCH(C501,$AF$3:$AF$19,0),1),IF(A501=s1_id_korvaava2,INDEX($AJ$3:$AJ$19,MATCH(C501,$AF$3:$AF$19,0),1),INDEX(Työkonekanta!$F$3:$F$27,MATCH('S1 Sähkö'!$A501,Työkonekanta!$A$3:$A$24,0),1))))),0)</f>
        <v>0</v>
      </c>
      <c r="C501" s="140">
        <v>2035</v>
      </c>
      <c r="D501" s="141" t="str">
        <f>IFERROR(INDEX(Työkonekanta!$D$3:$D$27,MATCH('S1 Sähkö'!$A501,Työkonekanta!$A$3:$A$24,0),1),"undefined")</f>
        <v>pom</v>
      </c>
      <c r="E501" s="145">
        <f>IFERROR(INDEX(Työkonekanta!$G$3:$G$27,MATCH($A501,Työkonekanta!$A$3:$A$24,0),1)*INDEX(Työkonekanta!$H$3:$H$27,MATCH($A501,Työkonekanta!$A$3:$A$24,0),1)*(1+s1_kerroin*($C501-2019))*$B501,0)</f>
        <v>0</v>
      </c>
      <c r="F501" s="145">
        <f t="shared" si="130"/>
        <v>0</v>
      </c>
      <c r="G501" s="145">
        <f t="shared" si="136"/>
        <v>0</v>
      </c>
      <c r="H501" s="145">
        <f t="shared" si="137"/>
        <v>0</v>
      </c>
      <c r="I501" s="145">
        <f t="shared" si="131"/>
        <v>0</v>
      </c>
      <c r="J501" s="145">
        <f t="shared" si="132"/>
        <v>0</v>
      </c>
      <c r="K501" s="142" t="str">
        <f t="shared" si="138"/>
        <v>l</v>
      </c>
      <c r="L501" s="146">
        <f>IFERROR(INDEX(Työkonekanta!$I$3:$I$27,MATCH('S1 Sähkö'!$A501,Työkonekanta!$A$3:$A$24,0),1)*(I501+J501)*f_adblue,0)</f>
        <v>0</v>
      </c>
      <c r="M501" s="146">
        <f t="shared" si="143"/>
        <v>0</v>
      </c>
      <c r="N501" s="143" t="str">
        <f>IF(tuulisähkö_vuosi&lt;='S1 Sähkö'!C501,"tuulisähkö",ostosähkö_nyt)</f>
        <v>jäännössähkö</v>
      </c>
      <c r="O501" s="147">
        <f>INDEX(Muuttujat!$J$5:$J$21,MATCH($C501,Muuttujat!$H$5:$H$21,0),1)</f>
        <v>58.961085487844883</v>
      </c>
      <c r="P501" s="342">
        <f>1-(INDEX(Muuttujat!$O$5:$O$21,MATCH($C501,Muuttujat!$N$5:$N$21,0),1))</f>
        <v>0.9</v>
      </c>
      <c r="Q501" s="342">
        <f>INDEX(Muuttujat!$O$5:$O$21,MATCH($C501,Muuttujat!$N$5:$N$21,0),1)</f>
        <v>0.1</v>
      </c>
      <c r="R501" s="148">
        <f>INDEX(Muuttujat!$P$5:$P$21,MATCH($C501,Muuttujat!$N$5:$N$21,0),1)</f>
        <v>0.10417875759940039</v>
      </c>
      <c r="S501" s="149">
        <f t="shared" si="133"/>
        <v>0</v>
      </c>
      <c r="T501" s="150">
        <f t="shared" si="134"/>
        <v>0</v>
      </c>
      <c r="U501" s="150">
        <f t="shared" si="135"/>
        <v>0</v>
      </c>
      <c r="V501" s="150">
        <f>IFERROR(INDEX(Työkonekanta!$J$3:$J$27,MATCH($A501,Työkonekanta!$A$3:$A$24,0),1)*$B501*ef_li_ion_akku/1000/1000/INDEX(Työkonekanta!$K$3:$K$27,MATCH($A501,Työkonekanta!$A$3:$A$24,0)),0)</f>
        <v>0</v>
      </c>
      <c r="W501" s="149">
        <f t="shared" si="144"/>
        <v>0</v>
      </c>
      <c r="X501" s="150">
        <f t="shared" si="145"/>
        <v>0</v>
      </c>
      <c r="Y501" s="151">
        <f t="shared" si="146"/>
        <v>0</v>
      </c>
      <c r="Z501" s="152">
        <f t="shared" si="139"/>
        <v>0</v>
      </c>
      <c r="AA501" s="153">
        <f t="shared" si="140"/>
        <v>0</v>
      </c>
      <c r="AB501" s="153">
        <f t="shared" si="141"/>
        <v>0</v>
      </c>
      <c r="AC501" s="154">
        <f t="shared" si="147"/>
        <v>0</v>
      </c>
      <c r="AD501" s="156">
        <f t="shared" si="142"/>
        <v>0</v>
      </c>
      <c r="AE501" s="182"/>
      <c r="AG501" s="2"/>
    </row>
    <row r="502" spans="1:37">
      <c r="A502" s="139">
        <v>20</v>
      </c>
      <c r="B502" s="139" cm="1">
        <f t="array" ref="B502">IFERROR(IF(A502=s1_id_korvattava1,INDEX($AG$3:$AG$19,MATCH(C502,$AF$3:$AF$19,0),1),IF(A502=s1_id_korvaava1,INDEX($AH$3:$AH$19,MATCH(C502,$AF$3:$AF$19,0),1),IF(A502=s1_id_korvattava2,INDEX($AI$3:$AI$19,MATCH(C502,$AF$3:$AF$19,0),1),IF(A502=s1_id_korvaava2,INDEX($AJ$3:$AJ$19,MATCH(C502,$AF$3:$AF$19,0),1),INDEX(Työkonekanta!$F$3:$F$27,MATCH('S1 Sähkö'!$A502,Työkonekanta!$A$3:$A$24,0),1))))),0)</f>
        <v>0</v>
      </c>
      <c r="C502" s="140">
        <v>2035</v>
      </c>
      <c r="D502" s="141" t="str">
        <f>IFERROR(INDEX(Työkonekanta!$D$3:$D$27,MATCH('S1 Sähkö'!$A502,Työkonekanta!$A$3:$A$24,0),1),"undefined")</f>
        <v>pom</v>
      </c>
      <c r="E502" s="145">
        <f>IFERROR(INDEX(Työkonekanta!$G$3:$G$27,MATCH($A502,Työkonekanta!$A$3:$A$24,0),1)*INDEX(Työkonekanta!$H$3:$H$27,MATCH($A502,Työkonekanta!$A$3:$A$24,0),1)*(1+s1_kerroin*($C502-2019))*$B502,0)</f>
        <v>0</v>
      </c>
      <c r="F502" s="145">
        <f t="shared" si="130"/>
        <v>0</v>
      </c>
      <c r="G502" s="145">
        <f t="shared" si="136"/>
        <v>0</v>
      </c>
      <c r="H502" s="145">
        <f t="shared" si="137"/>
        <v>0</v>
      </c>
      <c r="I502" s="145">
        <f t="shared" si="131"/>
        <v>0</v>
      </c>
      <c r="J502" s="145">
        <f t="shared" si="132"/>
        <v>0</v>
      </c>
      <c r="K502" s="142" t="str">
        <f t="shared" si="138"/>
        <v>l</v>
      </c>
      <c r="L502" s="146">
        <f>IFERROR(INDEX(Työkonekanta!$I$3:$I$27,MATCH('S1 Sähkö'!$A502,Työkonekanta!$A$3:$A$24,0),1)*(I502+J502)*f_adblue,0)</f>
        <v>0</v>
      </c>
      <c r="M502" s="146">
        <f t="shared" si="143"/>
        <v>0</v>
      </c>
      <c r="N502" s="143" t="str">
        <f>IF(tuulisähkö_vuosi&lt;='S1 Sähkö'!C502,"tuulisähkö",ostosähkö_nyt)</f>
        <v>jäännössähkö</v>
      </c>
      <c r="O502" s="147">
        <f>INDEX(Muuttujat!$J$5:$J$21,MATCH($C502,Muuttujat!$H$5:$H$21,0),1)</f>
        <v>58.961085487844883</v>
      </c>
      <c r="P502" s="342">
        <f>1-(INDEX(Muuttujat!$O$5:$O$21,MATCH($C502,Muuttujat!$N$5:$N$21,0),1))</f>
        <v>0.9</v>
      </c>
      <c r="Q502" s="342">
        <f>INDEX(Muuttujat!$O$5:$O$21,MATCH($C502,Muuttujat!$N$5:$N$21,0),1)</f>
        <v>0.1</v>
      </c>
      <c r="R502" s="148">
        <f>INDEX(Muuttujat!$P$5:$P$21,MATCH($C502,Muuttujat!$N$5:$N$21,0),1)</f>
        <v>0.10417875759940039</v>
      </c>
      <c r="S502" s="149">
        <f t="shared" si="133"/>
        <v>0</v>
      </c>
      <c r="T502" s="150">
        <f t="shared" si="134"/>
        <v>0</v>
      </c>
      <c r="U502" s="150">
        <f t="shared" si="135"/>
        <v>0</v>
      </c>
      <c r="V502" s="150">
        <f>IFERROR(INDEX(Työkonekanta!$J$3:$J$27,MATCH($A502,Työkonekanta!$A$3:$A$24,0),1)*$B502*ef_li_ion_akku/1000/1000/INDEX(Työkonekanta!$K$3:$K$27,MATCH($A502,Työkonekanta!$A$3:$A$24,0)),0)</f>
        <v>0</v>
      </c>
      <c r="W502" s="149">
        <f t="shared" si="144"/>
        <v>0</v>
      </c>
      <c r="X502" s="150">
        <f t="shared" si="145"/>
        <v>0</v>
      </c>
      <c r="Y502" s="151">
        <f t="shared" si="146"/>
        <v>0</v>
      </c>
      <c r="Z502" s="152">
        <f t="shared" si="139"/>
        <v>0</v>
      </c>
      <c r="AA502" s="153">
        <f t="shared" si="140"/>
        <v>0</v>
      </c>
      <c r="AB502" s="153">
        <f t="shared" si="141"/>
        <v>0</v>
      </c>
      <c r="AC502" s="154">
        <f t="shared" si="147"/>
        <v>0</v>
      </c>
      <c r="AD502" s="156">
        <f t="shared" si="142"/>
        <v>0</v>
      </c>
      <c r="AE502" s="182"/>
      <c r="AG502" s="2"/>
    </row>
    <row r="503" spans="1:37">
      <c r="A503" s="139">
        <v>21</v>
      </c>
      <c r="B503" s="139" cm="1">
        <f t="array" ref="B503">IFERROR(IF(A503=s1_id_korvattava1,INDEX($AG$3:$AG$19,MATCH(C503,$AF$3:$AF$19,0),1),IF(A503=s1_id_korvaava1,INDEX($AH$3:$AH$19,MATCH(C503,$AF$3:$AF$19,0),1),IF(A503=s1_id_korvattava2,INDEX($AI$3:$AI$19,MATCH(C503,$AF$3:$AF$19,0),1),IF(A503=s1_id_korvaava2,INDEX($AJ$3:$AJ$19,MATCH(C503,$AF$3:$AF$19,0),1),INDEX(Työkonekanta!$F$3:$F$27,MATCH('S1 Sähkö'!$A503,Työkonekanta!$A$3:$A$24,0),1))))),0)</f>
        <v>36</v>
      </c>
      <c r="C503" s="140">
        <v>2035</v>
      </c>
      <c r="D503" s="141" t="str">
        <f>IFERROR(INDEX(Työkonekanta!$D$3:$D$27,MATCH('S1 Sähkö'!$A503,Työkonekanta!$A$3:$A$24,0),1),"undefined")</f>
        <v>sähkö</v>
      </c>
      <c r="E503" s="145">
        <f>IFERROR(INDEX(Työkonekanta!$G$3:$G$27,MATCH($A503,Työkonekanta!$A$3:$A$24,0),1)*INDEX(Työkonekanta!$H$3:$H$27,MATCH($A503,Työkonekanta!$A$3:$A$24,0),1)*(1+s1_kerroin*($C503-2019))*$B503,0)</f>
        <v>485846.66666666663</v>
      </c>
      <c r="F503" s="145">
        <f t="shared" si="130"/>
        <v>0</v>
      </c>
      <c r="G503" s="145">
        <f t="shared" si="136"/>
        <v>0</v>
      </c>
      <c r="H503" s="145">
        <f t="shared" si="137"/>
        <v>0</v>
      </c>
      <c r="I503" s="145">
        <f t="shared" si="131"/>
        <v>0</v>
      </c>
      <c r="J503" s="145">
        <f t="shared" si="132"/>
        <v>0</v>
      </c>
      <c r="K503" s="142" t="str">
        <f t="shared" si="138"/>
        <v>kWh</v>
      </c>
      <c r="L503" s="146">
        <f>IFERROR(INDEX(Työkonekanta!$I$3:$I$27,MATCH('S1 Sähkö'!$A503,Työkonekanta!$A$3:$A$24,0),1)*(I503+J503)*f_adblue,0)</f>
        <v>0</v>
      </c>
      <c r="M503" s="146">
        <f t="shared" si="143"/>
        <v>1749048</v>
      </c>
      <c r="N503" s="143" t="str">
        <f>IF(tuulisähkö_vuosi&lt;='S1 Sähkö'!C503,"tuulisähkö",ostosähkö_nyt)</f>
        <v>jäännössähkö</v>
      </c>
      <c r="O503" s="147">
        <f>INDEX(Muuttujat!$J$5:$J$21,MATCH($C503,Muuttujat!$H$5:$H$21,0),1)</f>
        <v>58.961085487844883</v>
      </c>
      <c r="P503" s="342">
        <f>1-(INDEX(Muuttujat!$O$5:$O$21,MATCH($C503,Muuttujat!$N$5:$N$21,0),1))</f>
        <v>0.9</v>
      </c>
      <c r="Q503" s="342">
        <f>INDEX(Muuttujat!$O$5:$O$21,MATCH($C503,Muuttujat!$N$5:$N$21,0),1)</f>
        <v>0.1</v>
      </c>
      <c r="R503" s="148">
        <f>INDEX(Muuttujat!$P$5:$P$21,MATCH($C503,Muuttujat!$N$5:$N$21,0),1)</f>
        <v>0.10417875759940039</v>
      </c>
      <c r="S503" s="149">
        <f t="shared" si="133"/>
        <v>0</v>
      </c>
      <c r="T503" s="150">
        <f t="shared" si="134"/>
        <v>0</v>
      </c>
      <c r="U503" s="150">
        <f t="shared" si="135"/>
        <v>103.12576865034413</v>
      </c>
      <c r="V503" s="150">
        <f>IFERROR(INDEX(Työkonekanta!$J$3:$J$27,MATCH($A503,Työkonekanta!$A$3:$A$24,0),1)*$B503*ef_li_ion_akku/1000/1000/INDEX(Työkonekanta!$K$3:$K$27,MATCH($A503,Työkonekanta!$A$3:$A$24,0)),0)</f>
        <v>44.353772307692303</v>
      </c>
      <c r="W503" s="149">
        <f t="shared" si="144"/>
        <v>0</v>
      </c>
      <c r="X503" s="150">
        <f t="shared" si="145"/>
        <v>0</v>
      </c>
      <c r="Y503" s="151">
        <f t="shared" si="146"/>
        <v>0</v>
      </c>
      <c r="Z503" s="152">
        <f t="shared" si="139"/>
        <v>147.47954095803644</v>
      </c>
      <c r="AA503" s="153">
        <f t="shared" si="140"/>
        <v>0</v>
      </c>
      <c r="AB503" s="153">
        <f t="shared" si="141"/>
        <v>0</v>
      </c>
      <c r="AC503" s="154">
        <f t="shared" si="147"/>
        <v>147.47954095803644</v>
      </c>
      <c r="AD503" s="156">
        <f t="shared" si="142"/>
        <v>147.47954095803644</v>
      </c>
      <c r="AE503" s="182"/>
      <c r="AG503" s="2"/>
    </row>
    <row r="504" spans="1:37">
      <c r="A504" s="139">
        <v>22</v>
      </c>
      <c r="B504" s="139" cm="1">
        <f t="array" ref="B504">IFERROR(IF(A504=s1_id_korvattava1,INDEX($AG$3:$AG$19,MATCH(C504,$AF$3:$AF$19,0),1),IF(A504=s1_id_korvaava1,INDEX($AH$3:$AH$19,MATCH(C504,$AF$3:$AF$19,0),1),IF(A504=s1_id_korvattava2,INDEX($AI$3:$AI$19,MATCH(C504,$AF$3:$AF$19,0),1),IF(A504=s1_id_korvaava2,INDEX($AJ$3:$AJ$19,MATCH(C504,$AF$3:$AF$19,0),1),INDEX(Työkonekanta!$F$3:$F$27,MATCH('S1 Sähkö'!$A504,Työkonekanta!$A$3:$A$24,0),1))))),0)</f>
        <v>1</v>
      </c>
      <c r="C504" s="140">
        <v>2035</v>
      </c>
      <c r="D504" s="141" t="str">
        <f>IFERROR(INDEX(Työkonekanta!$D$3:$D$27,MATCH('S1 Sähkö'!$A504,Työkonekanta!$A$3:$A$24,0),1),"undefined")</f>
        <v>sähkö</v>
      </c>
      <c r="E504" s="145">
        <f>IFERROR(INDEX(Työkonekanta!$G$3:$G$27,MATCH($A504,Työkonekanta!$A$3:$A$24,0),1)*INDEX(Työkonekanta!$H$3:$H$27,MATCH($A504,Työkonekanta!$A$3:$A$24,0),1)*(1+s1_kerroin*($C504-2019))*$B504,0)</f>
        <v>51669.407407407401</v>
      </c>
      <c r="F504" s="145">
        <f t="shared" si="130"/>
        <v>0</v>
      </c>
      <c r="G504" s="145">
        <f t="shared" si="136"/>
        <v>0</v>
      </c>
      <c r="H504" s="145">
        <f t="shared" si="137"/>
        <v>0</v>
      </c>
      <c r="I504" s="145">
        <f t="shared" si="131"/>
        <v>0</v>
      </c>
      <c r="J504" s="145">
        <f t="shared" si="132"/>
        <v>0</v>
      </c>
      <c r="K504" s="142" t="str">
        <f t="shared" si="138"/>
        <v>kWh</v>
      </c>
      <c r="L504" s="146">
        <f>IFERROR(INDEX(Työkonekanta!$I$3:$I$27,MATCH('S1 Sähkö'!$A504,Työkonekanta!$A$3:$A$24,0),1)*(I504+J504)*f_adblue,0)</f>
        <v>0</v>
      </c>
      <c r="M504" s="146">
        <f t="shared" si="143"/>
        <v>186009.86666666664</v>
      </c>
      <c r="N504" s="143" t="str">
        <f>IF(tuulisähkö_vuosi&lt;='S1 Sähkö'!C504,"tuulisähkö",ostosähkö_nyt)</f>
        <v>jäännössähkö</v>
      </c>
      <c r="O504" s="147">
        <f>INDEX(Muuttujat!$J$5:$J$21,MATCH($C504,Muuttujat!$H$5:$H$21,0),1)</f>
        <v>58.961085487844883</v>
      </c>
      <c r="P504" s="342">
        <f>1-(INDEX(Muuttujat!$O$5:$O$21,MATCH($C504,Muuttujat!$N$5:$N$21,0),1))</f>
        <v>0.9</v>
      </c>
      <c r="Q504" s="342">
        <f>INDEX(Muuttujat!$O$5:$O$21,MATCH($C504,Muuttujat!$N$5:$N$21,0),1)</f>
        <v>0.1</v>
      </c>
      <c r="R504" s="148">
        <f>INDEX(Muuttujat!$P$5:$P$21,MATCH($C504,Muuttujat!$N$5:$N$21,0),1)</f>
        <v>0.10417875759940039</v>
      </c>
      <c r="S504" s="149">
        <f t="shared" si="133"/>
        <v>0</v>
      </c>
      <c r="T504" s="150">
        <f t="shared" si="134"/>
        <v>0</v>
      </c>
      <c r="U504" s="150">
        <f t="shared" si="135"/>
        <v>10.967343650115959</v>
      </c>
      <c r="V504" s="150">
        <f>IFERROR(INDEX(Työkonekanta!$J$3:$J$27,MATCH($A504,Työkonekanta!$A$3:$A$24,0),1)*$B504*ef_li_ion_akku/1000/1000/INDEX(Työkonekanta!$K$3:$K$27,MATCH($A504,Työkonekanta!$A$3:$A$24,0)),0)</f>
        <v>5.2676455384615384</v>
      </c>
      <c r="W504" s="149">
        <f t="shared" si="144"/>
        <v>0</v>
      </c>
      <c r="X504" s="150">
        <f t="shared" si="145"/>
        <v>0</v>
      </c>
      <c r="Y504" s="151">
        <f t="shared" si="146"/>
        <v>0</v>
      </c>
      <c r="Z504" s="152">
        <f t="shared" si="139"/>
        <v>16.234989188577497</v>
      </c>
      <c r="AA504" s="153">
        <f t="shared" si="140"/>
        <v>0</v>
      </c>
      <c r="AB504" s="153">
        <f t="shared" si="141"/>
        <v>0</v>
      </c>
      <c r="AC504" s="154">
        <f t="shared" si="147"/>
        <v>16.234989188577497</v>
      </c>
      <c r="AD504" s="156">
        <f t="shared" si="142"/>
        <v>16.234989188577497</v>
      </c>
      <c r="AE504" s="182"/>
      <c r="AG504" s="2"/>
    </row>
    <row r="505" spans="1:37">
      <c r="A505" s="139">
        <v>23</v>
      </c>
      <c r="B505" s="139" cm="1">
        <f t="array" ref="B505">IFERROR(IF(A505=s1_id_korvattava1,INDEX($AG$3:$AG$19,MATCH(C505,$AF$3:$AF$19,0),1),IF(A505=s1_id_korvaava1,INDEX($AH$3:$AH$19,MATCH(C505,$AF$3:$AF$19,0),1),IF(A505=s1_id_korvattava2,INDEX($AI$3:$AI$19,MATCH(C505,$AF$3:$AF$19,0),1),IF(A505=s1_id_korvaava2,INDEX($AJ$3:$AJ$19,MATCH(C505,$AF$3:$AF$19,0),1),INDEX(Työkonekanta!$F$3:$F$27,MATCH('S1 Sähkö'!$A505,Työkonekanta!$A$3:$A$24,0),1))))),0)</f>
        <v>0</v>
      </c>
      <c r="C505" s="140">
        <v>2035</v>
      </c>
      <c r="D505" s="141" t="str">
        <f>IFERROR(INDEX(Työkonekanta!$D$3:$D$27,MATCH('S1 Sähkö'!$A505,Työkonekanta!$A$3:$A$24,0),1),"undefined")</f>
        <v>undefined</v>
      </c>
      <c r="E505" s="145">
        <f>IFERROR(INDEX(Työkonekanta!$G$3:$G$27,MATCH($A505,Työkonekanta!$A$3:$A$24,0),1)*INDEX(Työkonekanta!$H$3:$H$27,MATCH($A505,Työkonekanta!$A$3:$A$24,0),1)*(1+s1_kerroin*($C505-2019))*$B505,0)</f>
        <v>0</v>
      </c>
      <c r="F505" s="145">
        <f t="shared" si="130"/>
        <v>0</v>
      </c>
      <c r="G505" s="145">
        <f t="shared" si="136"/>
        <v>0</v>
      </c>
      <c r="H505" s="145">
        <f t="shared" si="137"/>
        <v>0</v>
      </c>
      <c r="I505" s="145">
        <f t="shared" si="131"/>
        <v>0</v>
      </c>
      <c r="J505" s="145">
        <f t="shared" si="132"/>
        <v>0</v>
      </c>
      <c r="K505" s="142" t="str">
        <f t="shared" si="138"/>
        <v>undefined</v>
      </c>
      <c r="L505" s="146">
        <f>IFERROR(INDEX(Työkonekanta!$I$3:$I$27,MATCH('S1 Sähkö'!$A505,Työkonekanta!$A$3:$A$24,0),1)*(I505+J505)*f_adblue,0)</f>
        <v>0</v>
      </c>
      <c r="M505" s="146">
        <f t="shared" si="143"/>
        <v>0</v>
      </c>
      <c r="N505" s="143" t="str">
        <f>IF(tuulisähkö_vuosi&lt;='S1 Sähkö'!C505,"tuulisähkö",ostosähkö_nyt)</f>
        <v>jäännössähkö</v>
      </c>
      <c r="O505" s="147">
        <f>INDEX(Muuttujat!$J$5:$J$21,MATCH($C505,Muuttujat!$H$5:$H$21,0),1)</f>
        <v>58.961085487844883</v>
      </c>
      <c r="P505" s="342">
        <f>1-(INDEX(Muuttujat!$O$5:$O$21,MATCH($C505,Muuttujat!$N$5:$N$21,0),1))</f>
        <v>0.9</v>
      </c>
      <c r="Q505" s="342">
        <f>INDEX(Muuttujat!$O$5:$O$21,MATCH($C505,Muuttujat!$N$5:$N$21,0),1)</f>
        <v>0.1</v>
      </c>
      <c r="R505" s="148">
        <f>INDEX(Muuttujat!$P$5:$P$21,MATCH($C505,Muuttujat!$N$5:$N$21,0),1)</f>
        <v>0.10417875759940039</v>
      </c>
      <c r="S505" s="149">
        <f t="shared" si="133"/>
        <v>0</v>
      </c>
      <c r="T505" s="150">
        <f t="shared" si="134"/>
        <v>0</v>
      </c>
      <c r="U505" s="150">
        <f t="shared" si="135"/>
        <v>0</v>
      </c>
      <c r="V505" s="150">
        <f>IFERROR(INDEX(Työkonekanta!$J$3:$J$27,MATCH($A505,Työkonekanta!$A$3:$A$24,0),1)*$B505*ef_li_ion_akku/1000/1000/INDEX(Työkonekanta!$K$3:$K$27,MATCH($A505,Työkonekanta!$A$3:$A$24,0)),0)</f>
        <v>0</v>
      </c>
      <c r="W505" s="149">
        <f t="shared" si="144"/>
        <v>0</v>
      </c>
      <c r="X505" s="150">
        <f t="shared" si="145"/>
        <v>0</v>
      </c>
      <c r="Y505" s="151">
        <f t="shared" si="146"/>
        <v>0</v>
      </c>
      <c r="Z505" s="152">
        <f t="shared" si="139"/>
        <v>0</v>
      </c>
      <c r="AA505" s="153">
        <f t="shared" si="140"/>
        <v>0</v>
      </c>
      <c r="AB505" s="153">
        <f t="shared" si="141"/>
        <v>0</v>
      </c>
      <c r="AC505" s="154">
        <f t="shared" si="147"/>
        <v>0</v>
      </c>
      <c r="AD505" s="156">
        <f t="shared" si="142"/>
        <v>0</v>
      </c>
      <c r="AE505" s="182"/>
      <c r="AJ505" s="28"/>
      <c r="AK505" s="29"/>
    </row>
    <row r="506" spans="1:37">
      <c r="A506" s="139">
        <v>24</v>
      </c>
      <c r="B506" s="139" cm="1">
        <f t="array" ref="B506">IFERROR(IF(A506=s1_id_korvattava1,INDEX($AG$3:$AG$19,MATCH(C506,$AF$3:$AF$19,0),1),IF(A506=s1_id_korvaava1,INDEX($AH$3:$AH$19,MATCH(C506,$AF$3:$AF$19,0),1),IF(A506=s1_id_korvattava2,INDEX($AI$3:$AI$19,MATCH(C506,$AF$3:$AF$19,0),1),IF(A506=s1_id_korvaava2,INDEX($AJ$3:$AJ$19,MATCH(C506,$AF$3:$AF$19,0),1),INDEX(Työkonekanta!$F$3:$F$27,MATCH('S1 Sähkö'!$A506,Työkonekanta!$A$3:$A$24,0),1))))),0)</f>
        <v>0</v>
      </c>
      <c r="C506" s="140">
        <v>2035</v>
      </c>
      <c r="D506" s="141" t="str">
        <f>IFERROR(INDEX(Työkonekanta!$D$3:$D$27,MATCH('S1 Sähkö'!$A506,Työkonekanta!$A$3:$A$24,0),1),"undefined")</f>
        <v>undefined</v>
      </c>
      <c r="E506" s="145">
        <f>IFERROR(INDEX(Työkonekanta!$G$3:$G$27,MATCH($A506,Työkonekanta!$A$3:$A$24,0),1)*INDEX(Työkonekanta!$H$3:$H$27,MATCH($A506,Työkonekanta!$A$3:$A$24,0),1)*(1+s1_kerroin*($C506-2019))*$B506,0)</f>
        <v>0</v>
      </c>
      <c r="F506" s="145">
        <f t="shared" si="130"/>
        <v>0</v>
      </c>
      <c r="G506" s="145">
        <f t="shared" si="136"/>
        <v>0</v>
      </c>
      <c r="H506" s="145">
        <f t="shared" si="137"/>
        <v>0</v>
      </c>
      <c r="I506" s="145">
        <f t="shared" si="131"/>
        <v>0</v>
      </c>
      <c r="J506" s="145">
        <f t="shared" si="132"/>
        <v>0</v>
      </c>
      <c r="K506" s="142" t="str">
        <f t="shared" si="138"/>
        <v>undefined</v>
      </c>
      <c r="L506" s="146">
        <f>IFERROR(INDEX(Työkonekanta!$I$3:$I$27,MATCH('S1 Sähkö'!$A506,Työkonekanta!$A$3:$A$24,0),1)*(I506+J506)*f_adblue,0)</f>
        <v>0</v>
      </c>
      <c r="M506" s="146">
        <f t="shared" si="143"/>
        <v>0</v>
      </c>
      <c r="N506" s="143" t="str">
        <f>IF(tuulisähkö_vuosi&lt;='S1 Sähkö'!C506,"tuulisähkö",ostosähkö_nyt)</f>
        <v>jäännössähkö</v>
      </c>
      <c r="O506" s="147">
        <f>INDEX(Muuttujat!$J$5:$J$21,MATCH($C506,Muuttujat!$H$5:$H$21,0),1)</f>
        <v>58.961085487844883</v>
      </c>
      <c r="P506" s="342">
        <f>1-(INDEX(Muuttujat!$O$5:$O$21,MATCH($C506,Muuttujat!$N$5:$N$21,0),1))</f>
        <v>0.9</v>
      </c>
      <c r="Q506" s="342">
        <f>INDEX(Muuttujat!$O$5:$O$21,MATCH($C506,Muuttujat!$N$5:$N$21,0),1)</f>
        <v>0.1</v>
      </c>
      <c r="R506" s="148">
        <f>INDEX(Muuttujat!$P$5:$P$21,MATCH($C506,Muuttujat!$N$5:$N$21,0),1)</f>
        <v>0.10417875759940039</v>
      </c>
      <c r="S506" s="149">
        <f t="shared" si="133"/>
        <v>0</v>
      </c>
      <c r="T506" s="150">
        <f t="shared" si="134"/>
        <v>0</v>
      </c>
      <c r="U506" s="150">
        <f t="shared" si="135"/>
        <v>0</v>
      </c>
      <c r="V506" s="150">
        <f>IFERROR(INDEX(Työkonekanta!$J$3:$J$27,MATCH($A506,Työkonekanta!$A$3:$A$24,0),1)*$B506*ef_li_ion_akku/1000/1000/INDEX(Työkonekanta!$K$3:$K$27,MATCH($A506,Työkonekanta!$A$3:$A$24,0)),0)</f>
        <v>0</v>
      </c>
      <c r="W506" s="149">
        <f t="shared" si="144"/>
        <v>0</v>
      </c>
      <c r="X506" s="150">
        <f t="shared" si="145"/>
        <v>0</v>
      </c>
      <c r="Y506" s="151">
        <f t="shared" si="146"/>
        <v>0</v>
      </c>
      <c r="Z506" s="152">
        <f t="shared" si="139"/>
        <v>0</v>
      </c>
      <c r="AA506" s="153">
        <f t="shared" si="140"/>
        <v>0</v>
      </c>
      <c r="AB506" s="153">
        <f t="shared" si="141"/>
        <v>0</v>
      </c>
      <c r="AC506" s="154">
        <f t="shared" si="147"/>
        <v>0</v>
      </c>
      <c r="AD506" s="156">
        <f t="shared" si="142"/>
        <v>0</v>
      </c>
      <c r="AE506" s="182"/>
      <c r="AJ506" s="28"/>
      <c r="AK506" s="29"/>
    </row>
    <row r="507" spans="1:37">
      <c r="A507" s="139">
        <v>25</v>
      </c>
      <c r="B507" s="139" cm="1">
        <f t="array" ref="B507">IFERROR(IF(A507=s1_id_korvattava1,INDEX($AG$3:$AG$19,MATCH(C507,$AF$3:$AF$19,0),1),IF(A507=s1_id_korvaava1,INDEX($AH$3:$AH$19,MATCH(C507,$AF$3:$AF$19,0),1),IF(A507=s1_id_korvattava2,INDEX($AI$3:$AI$19,MATCH(C507,$AF$3:$AF$19,0),1),IF(A507=s1_id_korvaava2,INDEX($AJ$3:$AJ$19,MATCH(C507,$AF$3:$AF$19,0),1),INDEX(Työkonekanta!$F$3:$F$27,MATCH('S1 Sähkö'!$A507,Työkonekanta!$A$3:$A$24,0),1))))),0)</f>
        <v>0</v>
      </c>
      <c r="C507" s="140">
        <v>2035</v>
      </c>
      <c r="D507" s="141" t="str">
        <f>IFERROR(INDEX(Työkonekanta!$D$3:$D$27,MATCH('S1 Sähkö'!$A507,Työkonekanta!$A$3:$A$24,0),1),"undefined")</f>
        <v>undefined</v>
      </c>
      <c r="E507" s="145">
        <f>IFERROR(INDEX(Työkonekanta!$G$3:$G$27,MATCH($A507,Työkonekanta!$A$3:$A$24,0),1)*INDEX(Työkonekanta!$H$3:$H$27,MATCH($A507,Työkonekanta!$A$3:$A$24,0),1)*(1+s1_kerroin*($C507-2019))*$B507,0)</f>
        <v>0</v>
      </c>
      <c r="F507" s="145">
        <f t="shared" si="130"/>
        <v>0</v>
      </c>
      <c r="G507" s="145">
        <f t="shared" si="136"/>
        <v>0</v>
      </c>
      <c r="H507" s="145">
        <f t="shared" si="137"/>
        <v>0</v>
      </c>
      <c r="I507" s="145">
        <f t="shared" si="131"/>
        <v>0</v>
      </c>
      <c r="J507" s="145">
        <f t="shared" si="132"/>
        <v>0</v>
      </c>
      <c r="K507" s="142" t="str">
        <f t="shared" si="138"/>
        <v>undefined</v>
      </c>
      <c r="L507" s="146">
        <f>IFERROR(INDEX(Työkonekanta!$I$3:$I$27,MATCH('S1 Sähkö'!$A507,Työkonekanta!$A$3:$A$24,0),1)*(I507+J507)*f_adblue,0)</f>
        <v>0</v>
      </c>
      <c r="M507" s="146">
        <f t="shared" si="143"/>
        <v>0</v>
      </c>
      <c r="N507" s="143" t="str">
        <f>IF(tuulisähkö_vuosi&lt;='S1 Sähkö'!C507,"tuulisähkö",ostosähkö_nyt)</f>
        <v>jäännössähkö</v>
      </c>
      <c r="O507" s="147">
        <f>INDEX(Muuttujat!$J$5:$J$21,MATCH($C507,Muuttujat!$H$5:$H$21,0),1)</f>
        <v>58.961085487844883</v>
      </c>
      <c r="P507" s="342">
        <f>1-(INDEX(Muuttujat!$O$5:$O$21,MATCH($C507,Muuttujat!$N$5:$N$21,0),1))</f>
        <v>0.9</v>
      </c>
      <c r="Q507" s="342">
        <f>INDEX(Muuttujat!$O$5:$O$21,MATCH($C507,Muuttujat!$N$5:$N$21,0),1)</f>
        <v>0.1</v>
      </c>
      <c r="R507" s="148">
        <f>INDEX(Muuttujat!$P$5:$P$21,MATCH($C507,Muuttujat!$N$5:$N$21,0),1)</f>
        <v>0.10417875759940039</v>
      </c>
      <c r="S507" s="149">
        <f t="shared" si="133"/>
        <v>0</v>
      </c>
      <c r="T507" s="150">
        <f t="shared" si="134"/>
        <v>0</v>
      </c>
      <c r="U507" s="150">
        <f t="shared" si="135"/>
        <v>0</v>
      </c>
      <c r="V507" s="150">
        <f>IFERROR(INDEX(Työkonekanta!$J$3:$J$27,MATCH($A507,Työkonekanta!$A$3:$A$24,0),1)*$B507*ef_li_ion_akku/1000/1000/INDEX(Työkonekanta!$K$3:$K$27,MATCH($A507,Työkonekanta!$A$3:$A$24,0)),0)</f>
        <v>0</v>
      </c>
      <c r="W507" s="149">
        <f t="shared" si="144"/>
        <v>0</v>
      </c>
      <c r="X507" s="150">
        <f t="shared" si="145"/>
        <v>0</v>
      </c>
      <c r="Y507" s="151">
        <f t="shared" si="146"/>
        <v>0</v>
      </c>
      <c r="Z507" s="152">
        <f t="shared" si="139"/>
        <v>0</v>
      </c>
      <c r="AA507" s="153">
        <f t="shared" si="140"/>
        <v>0</v>
      </c>
      <c r="AB507" s="153">
        <f t="shared" si="141"/>
        <v>0</v>
      </c>
      <c r="AC507" s="154">
        <f t="shared" si="147"/>
        <v>0</v>
      </c>
      <c r="AD507" s="156">
        <f t="shared" si="142"/>
        <v>0</v>
      </c>
      <c r="AE507" s="182"/>
      <c r="AJ507" s="28"/>
      <c r="AK507" s="29"/>
    </row>
    <row r="508" spans="1:37">
      <c r="A508" s="139">
        <v>26</v>
      </c>
      <c r="B508" s="139" cm="1">
        <f t="array" ref="B508">IFERROR(IF(A508=s1_id_korvattava1,INDEX($AG$3:$AG$19,MATCH(C508,$AF$3:$AF$19,0),1),IF(A508=s1_id_korvaava1,INDEX($AH$3:$AH$19,MATCH(C508,$AF$3:$AF$19,0),1),IF(A508=s1_id_korvattava2,INDEX($AI$3:$AI$19,MATCH(C508,$AF$3:$AF$19,0),1),IF(A508=s1_id_korvaava2,INDEX($AJ$3:$AJ$19,MATCH(C508,$AF$3:$AF$19,0),1),INDEX(Työkonekanta!$F$3:$F$27,MATCH('S1 Sähkö'!$A508,Työkonekanta!$A$3:$A$24,0),1))))),0)</f>
        <v>0</v>
      </c>
      <c r="C508" s="140">
        <v>2035</v>
      </c>
      <c r="D508" s="141" t="str">
        <f>IFERROR(INDEX(Työkonekanta!$D$3:$D$27,MATCH('S1 Sähkö'!$A508,Työkonekanta!$A$3:$A$24,0),1),"undefined")</f>
        <v>undefined</v>
      </c>
      <c r="E508" s="145">
        <f>IFERROR(INDEX(Työkonekanta!$G$3:$G$27,MATCH($A508,Työkonekanta!$A$3:$A$24,0),1)*INDEX(Työkonekanta!$H$3:$H$27,MATCH($A508,Työkonekanta!$A$3:$A$24,0),1)*(1+s1_kerroin*($C508-2019))*$B508,0)</f>
        <v>0</v>
      </c>
      <c r="F508" s="145">
        <f t="shared" si="130"/>
        <v>0</v>
      </c>
      <c r="G508" s="145">
        <f t="shared" si="136"/>
        <v>0</v>
      </c>
      <c r="H508" s="145">
        <f t="shared" si="137"/>
        <v>0</v>
      </c>
      <c r="I508" s="145">
        <f t="shared" si="131"/>
        <v>0</v>
      </c>
      <c r="J508" s="145">
        <f t="shared" si="132"/>
        <v>0</v>
      </c>
      <c r="K508" s="142" t="str">
        <f t="shared" si="138"/>
        <v>undefined</v>
      </c>
      <c r="L508" s="146">
        <f>IFERROR(INDEX(Työkonekanta!$I$3:$I$27,MATCH('S1 Sähkö'!$A508,Työkonekanta!$A$3:$A$24,0),1)*(I508+J508)*f_adblue,0)</f>
        <v>0</v>
      </c>
      <c r="M508" s="146">
        <f t="shared" si="143"/>
        <v>0</v>
      </c>
      <c r="N508" s="143" t="str">
        <f>IF(tuulisähkö_vuosi&lt;='S1 Sähkö'!C508,"tuulisähkö",ostosähkö_nyt)</f>
        <v>jäännössähkö</v>
      </c>
      <c r="O508" s="147">
        <f>INDEX(Muuttujat!$J$5:$J$21,MATCH($C508,Muuttujat!$H$5:$H$21,0),1)</f>
        <v>58.961085487844883</v>
      </c>
      <c r="P508" s="342">
        <f>1-(INDEX(Muuttujat!$O$5:$O$21,MATCH($C508,Muuttujat!$N$5:$N$21,0),1))</f>
        <v>0.9</v>
      </c>
      <c r="Q508" s="342">
        <f>INDEX(Muuttujat!$O$5:$O$21,MATCH($C508,Muuttujat!$N$5:$N$21,0),1)</f>
        <v>0.1</v>
      </c>
      <c r="R508" s="148">
        <f>INDEX(Muuttujat!$P$5:$P$21,MATCH($C508,Muuttujat!$N$5:$N$21,0),1)</f>
        <v>0.10417875759940039</v>
      </c>
      <c r="S508" s="149">
        <f t="shared" si="133"/>
        <v>0</v>
      </c>
      <c r="T508" s="150">
        <f t="shared" si="134"/>
        <v>0</v>
      </c>
      <c r="U508" s="150">
        <f t="shared" si="135"/>
        <v>0</v>
      </c>
      <c r="V508" s="150">
        <f>IFERROR(INDEX(Työkonekanta!$J$3:$J$27,MATCH($A508,Työkonekanta!$A$3:$A$24,0),1)*$B508*ef_li_ion_akku/1000/1000/INDEX(Työkonekanta!$K$3:$K$27,MATCH($A508,Työkonekanta!$A$3:$A$24,0)),0)</f>
        <v>0</v>
      </c>
      <c r="W508" s="149">
        <f t="shared" si="144"/>
        <v>0</v>
      </c>
      <c r="X508" s="150">
        <f t="shared" si="145"/>
        <v>0</v>
      </c>
      <c r="Y508" s="151">
        <f t="shared" si="146"/>
        <v>0</v>
      </c>
      <c r="Z508" s="152">
        <f t="shared" si="139"/>
        <v>0</v>
      </c>
      <c r="AA508" s="153">
        <f t="shared" si="140"/>
        <v>0</v>
      </c>
      <c r="AB508" s="153">
        <f t="shared" si="141"/>
        <v>0</v>
      </c>
      <c r="AC508" s="154">
        <f t="shared" si="147"/>
        <v>0</v>
      </c>
      <c r="AD508" s="156">
        <f t="shared" si="142"/>
        <v>0</v>
      </c>
      <c r="AE508" s="182"/>
      <c r="AJ508" s="28"/>
      <c r="AK508" s="29"/>
    </row>
    <row r="509" spans="1:37">
      <c r="A509" s="139">
        <v>27</v>
      </c>
      <c r="B509" s="139" cm="1">
        <f t="array" ref="B509">IFERROR(IF(A509=s1_id_korvattava1,INDEX($AG$3:$AG$19,MATCH(C509,$AF$3:$AF$19,0),1),IF(A509=s1_id_korvaava1,INDEX($AH$3:$AH$19,MATCH(C509,$AF$3:$AF$19,0),1),IF(A509=s1_id_korvattava2,INDEX($AI$3:$AI$19,MATCH(C509,$AF$3:$AF$19,0),1),IF(A509=s1_id_korvaava2,INDEX($AJ$3:$AJ$19,MATCH(C509,$AF$3:$AF$19,0),1),INDEX(Työkonekanta!$F$3:$F$27,MATCH('S1 Sähkö'!$A509,Työkonekanta!$A$3:$A$24,0),1))))),0)</f>
        <v>0</v>
      </c>
      <c r="C509" s="140">
        <v>2035</v>
      </c>
      <c r="D509" s="141" t="str">
        <f>IFERROR(INDEX(Työkonekanta!$D$3:$D$27,MATCH('S1 Sähkö'!$A509,Työkonekanta!$A$3:$A$24,0),1),"undefined")</f>
        <v>undefined</v>
      </c>
      <c r="E509" s="145">
        <f>IFERROR(INDEX(Työkonekanta!$G$3:$G$27,MATCH($A509,Työkonekanta!$A$3:$A$24,0),1)*INDEX(Työkonekanta!$H$3:$H$27,MATCH($A509,Työkonekanta!$A$3:$A$24,0),1)*(1+s1_kerroin*($C509-2019))*$B509,0)</f>
        <v>0</v>
      </c>
      <c r="F509" s="145">
        <f t="shared" si="130"/>
        <v>0</v>
      </c>
      <c r="G509" s="145">
        <f t="shared" si="136"/>
        <v>0</v>
      </c>
      <c r="H509" s="145">
        <f t="shared" si="137"/>
        <v>0</v>
      </c>
      <c r="I509" s="145">
        <f t="shared" si="131"/>
        <v>0</v>
      </c>
      <c r="J509" s="145">
        <f t="shared" si="132"/>
        <v>0</v>
      </c>
      <c r="K509" s="142" t="str">
        <f t="shared" si="138"/>
        <v>undefined</v>
      </c>
      <c r="L509" s="146">
        <f>IFERROR(INDEX(Työkonekanta!$I$3:$I$27,MATCH('S1 Sähkö'!$A509,Työkonekanta!$A$3:$A$24,0),1)*(I509+J509)*f_adblue,0)</f>
        <v>0</v>
      </c>
      <c r="M509" s="146">
        <f t="shared" si="143"/>
        <v>0</v>
      </c>
      <c r="N509" s="143" t="str">
        <f>IF(tuulisähkö_vuosi&lt;='S1 Sähkö'!C509,"tuulisähkö",ostosähkö_nyt)</f>
        <v>jäännössähkö</v>
      </c>
      <c r="O509" s="147">
        <f>INDEX(Muuttujat!$J$5:$J$21,MATCH($C509,Muuttujat!$H$5:$H$21,0),1)</f>
        <v>58.961085487844883</v>
      </c>
      <c r="P509" s="342">
        <f>1-(INDEX(Muuttujat!$O$5:$O$21,MATCH($C509,Muuttujat!$N$5:$N$21,0),1))</f>
        <v>0.9</v>
      </c>
      <c r="Q509" s="342">
        <f>INDEX(Muuttujat!$O$5:$O$21,MATCH($C509,Muuttujat!$N$5:$N$21,0),1)</f>
        <v>0.1</v>
      </c>
      <c r="R509" s="148">
        <f>INDEX(Muuttujat!$P$5:$P$21,MATCH($C509,Muuttujat!$N$5:$N$21,0),1)</f>
        <v>0.10417875759940039</v>
      </c>
      <c r="S509" s="149">
        <f t="shared" si="133"/>
        <v>0</v>
      </c>
      <c r="T509" s="150">
        <f t="shared" si="134"/>
        <v>0</v>
      </c>
      <c r="U509" s="150">
        <f t="shared" si="135"/>
        <v>0</v>
      </c>
      <c r="V509" s="150">
        <f>IFERROR(INDEX(Työkonekanta!$J$3:$J$27,MATCH($A509,Työkonekanta!$A$3:$A$24,0),1)*$B509*ef_li_ion_akku/1000/1000/INDEX(Työkonekanta!$K$3:$K$27,MATCH($A509,Työkonekanta!$A$3:$A$24,0)),0)</f>
        <v>0</v>
      </c>
      <c r="W509" s="149">
        <f t="shared" si="144"/>
        <v>0</v>
      </c>
      <c r="X509" s="150">
        <f t="shared" si="145"/>
        <v>0</v>
      </c>
      <c r="Y509" s="151">
        <f t="shared" si="146"/>
        <v>0</v>
      </c>
      <c r="Z509" s="152">
        <f t="shared" si="139"/>
        <v>0</v>
      </c>
      <c r="AA509" s="153">
        <f t="shared" si="140"/>
        <v>0</v>
      </c>
      <c r="AB509" s="153">
        <f t="shared" si="141"/>
        <v>0</v>
      </c>
      <c r="AC509" s="154">
        <f t="shared" si="147"/>
        <v>0</v>
      </c>
      <c r="AD509" s="156">
        <f t="shared" si="142"/>
        <v>0</v>
      </c>
      <c r="AE509" s="182"/>
      <c r="AJ509" s="28"/>
      <c r="AK509" s="29"/>
    </row>
    <row r="510" spans="1:37">
      <c r="A510" s="139">
        <v>28</v>
      </c>
      <c r="B510" s="139" cm="1">
        <f t="array" ref="B510">IFERROR(IF(A510=s1_id_korvattava1,INDEX($AG$3:$AG$19,MATCH(C510,$AF$3:$AF$19,0),1),IF(A510=s1_id_korvaava1,INDEX($AH$3:$AH$19,MATCH(C510,$AF$3:$AF$19,0),1),IF(A510=s1_id_korvattava2,INDEX($AI$3:$AI$19,MATCH(C510,$AF$3:$AF$19,0),1),IF(A510=s1_id_korvaava2,INDEX($AJ$3:$AJ$19,MATCH(C510,$AF$3:$AF$19,0),1),INDEX(Työkonekanta!$F$3:$F$27,MATCH('S1 Sähkö'!$A510,Työkonekanta!$A$3:$A$24,0),1))))),0)</f>
        <v>0</v>
      </c>
      <c r="C510" s="140">
        <v>2035</v>
      </c>
      <c r="D510" s="141" t="str">
        <f>IFERROR(INDEX(Työkonekanta!$D$3:$D$27,MATCH('S1 Sähkö'!$A510,Työkonekanta!$A$3:$A$24,0),1),"undefined")</f>
        <v>undefined</v>
      </c>
      <c r="E510" s="145">
        <f>IFERROR(INDEX(Työkonekanta!$G$3:$G$27,MATCH($A510,Työkonekanta!$A$3:$A$24,0),1)*INDEX(Työkonekanta!$H$3:$H$27,MATCH($A510,Työkonekanta!$A$3:$A$24,0),1)*(1+s1_kerroin*($C510-2019))*$B510,0)</f>
        <v>0</v>
      </c>
      <c r="F510" s="145">
        <f t="shared" si="130"/>
        <v>0</v>
      </c>
      <c r="G510" s="145">
        <f t="shared" si="136"/>
        <v>0</v>
      </c>
      <c r="H510" s="145">
        <f t="shared" si="137"/>
        <v>0</v>
      </c>
      <c r="I510" s="145">
        <f t="shared" si="131"/>
        <v>0</v>
      </c>
      <c r="J510" s="145">
        <f t="shared" si="132"/>
        <v>0</v>
      </c>
      <c r="K510" s="142" t="str">
        <f t="shared" si="138"/>
        <v>undefined</v>
      </c>
      <c r="L510" s="146">
        <f>IFERROR(INDEX(Työkonekanta!$I$3:$I$27,MATCH('S1 Sähkö'!$A510,Työkonekanta!$A$3:$A$24,0),1)*(I510+J510)*f_adblue,0)</f>
        <v>0</v>
      </c>
      <c r="M510" s="146">
        <f t="shared" si="143"/>
        <v>0</v>
      </c>
      <c r="N510" s="143" t="str">
        <f>IF(tuulisähkö_vuosi&lt;='S1 Sähkö'!C510,"tuulisähkö",ostosähkö_nyt)</f>
        <v>jäännössähkö</v>
      </c>
      <c r="O510" s="147">
        <f>INDEX(Muuttujat!$J$5:$J$21,MATCH($C510,Muuttujat!$H$5:$H$21,0),1)</f>
        <v>58.961085487844883</v>
      </c>
      <c r="P510" s="342">
        <f>1-(INDEX(Muuttujat!$O$5:$O$21,MATCH($C510,Muuttujat!$N$5:$N$21,0),1))</f>
        <v>0.9</v>
      </c>
      <c r="Q510" s="342">
        <f>INDEX(Muuttujat!$O$5:$O$21,MATCH($C510,Muuttujat!$N$5:$N$21,0),1)</f>
        <v>0.1</v>
      </c>
      <c r="R510" s="148">
        <f>INDEX(Muuttujat!$P$5:$P$21,MATCH($C510,Muuttujat!$N$5:$N$21,0),1)</f>
        <v>0.10417875759940039</v>
      </c>
      <c r="S510" s="149">
        <f t="shared" si="133"/>
        <v>0</v>
      </c>
      <c r="T510" s="150">
        <f t="shared" si="134"/>
        <v>0</v>
      </c>
      <c r="U510" s="150">
        <f t="shared" si="135"/>
        <v>0</v>
      </c>
      <c r="V510" s="150">
        <f>IFERROR(INDEX(Työkonekanta!$J$3:$J$27,MATCH($A510,Työkonekanta!$A$3:$A$24,0),1)*$B510*ef_li_ion_akku/1000/1000/INDEX(Työkonekanta!$K$3:$K$27,MATCH($A510,Työkonekanta!$A$3:$A$24,0)),0)</f>
        <v>0</v>
      </c>
      <c r="W510" s="149">
        <f t="shared" si="144"/>
        <v>0</v>
      </c>
      <c r="X510" s="150">
        <f t="shared" si="145"/>
        <v>0</v>
      </c>
      <c r="Y510" s="151">
        <f t="shared" si="146"/>
        <v>0</v>
      </c>
      <c r="Z510" s="152">
        <f t="shared" si="139"/>
        <v>0</v>
      </c>
      <c r="AA510" s="153">
        <f t="shared" si="140"/>
        <v>0</v>
      </c>
      <c r="AB510" s="153">
        <f t="shared" si="141"/>
        <v>0</v>
      </c>
      <c r="AC510" s="154">
        <f t="shared" si="147"/>
        <v>0</v>
      </c>
      <c r="AD510" s="156">
        <f t="shared" si="142"/>
        <v>0</v>
      </c>
      <c r="AE510" s="182"/>
      <c r="AJ510" s="28"/>
      <c r="AK510" s="29"/>
    </row>
    <row r="511" spans="1:37">
      <c r="A511" s="139">
        <v>29</v>
      </c>
      <c r="B511" s="139" cm="1">
        <f t="array" ref="B511">IFERROR(IF(A511=s1_id_korvattava1,INDEX($AG$3:$AG$19,MATCH(C511,$AF$3:$AF$19,0),1),IF(A511=s1_id_korvaava1,INDEX($AH$3:$AH$19,MATCH(C511,$AF$3:$AF$19,0),1),IF(A511=s1_id_korvattava2,INDEX($AI$3:$AI$19,MATCH(C511,$AF$3:$AF$19,0),1),IF(A511=s1_id_korvaava2,INDEX($AJ$3:$AJ$19,MATCH(C511,$AF$3:$AF$19,0),1),INDEX(Työkonekanta!$F$3:$F$27,MATCH('S1 Sähkö'!$A511,Työkonekanta!$A$3:$A$24,0),1))))),0)</f>
        <v>0</v>
      </c>
      <c r="C511" s="140">
        <v>2035</v>
      </c>
      <c r="D511" s="141" t="str">
        <f>IFERROR(INDEX(Työkonekanta!$D$3:$D$27,MATCH('S1 Sähkö'!$A511,Työkonekanta!$A$3:$A$24,0),1),"undefined")</f>
        <v>undefined</v>
      </c>
      <c r="E511" s="145">
        <f>IFERROR(INDEX(Työkonekanta!$G$3:$G$27,MATCH($A511,Työkonekanta!$A$3:$A$24,0),1)*INDEX(Työkonekanta!$H$3:$H$27,MATCH($A511,Työkonekanta!$A$3:$A$24,0),1)*(1+s1_kerroin*($C511-2019))*$B511,0)</f>
        <v>0</v>
      </c>
      <c r="F511" s="145">
        <f t="shared" si="130"/>
        <v>0</v>
      </c>
      <c r="G511" s="145">
        <f t="shared" si="136"/>
        <v>0</v>
      </c>
      <c r="H511" s="145">
        <f t="shared" si="137"/>
        <v>0</v>
      </c>
      <c r="I511" s="145">
        <f t="shared" si="131"/>
        <v>0</v>
      </c>
      <c r="J511" s="145">
        <f t="shared" si="132"/>
        <v>0</v>
      </c>
      <c r="K511" s="142" t="str">
        <f t="shared" si="138"/>
        <v>undefined</v>
      </c>
      <c r="L511" s="146">
        <f>IFERROR(INDEX(Työkonekanta!$I$3:$I$27,MATCH('S1 Sähkö'!$A511,Työkonekanta!$A$3:$A$24,0),1)*(I511+J511)*f_adblue,0)</f>
        <v>0</v>
      </c>
      <c r="M511" s="146">
        <f t="shared" si="143"/>
        <v>0</v>
      </c>
      <c r="N511" s="143" t="str">
        <f>IF(tuulisähkö_vuosi&lt;='S1 Sähkö'!C511,"tuulisähkö",ostosähkö_nyt)</f>
        <v>jäännössähkö</v>
      </c>
      <c r="O511" s="147">
        <f>INDEX(Muuttujat!$J$5:$J$21,MATCH($C511,Muuttujat!$H$5:$H$21,0),1)</f>
        <v>58.961085487844883</v>
      </c>
      <c r="P511" s="342">
        <f>1-(INDEX(Muuttujat!$O$5:$O$21,MATCH($C511,Muuttujat!$N$5:$N$21,0),1))</f>
        <v>0.9</v>
      </c>
      <c r="Q511" s="342">
        <f>INDEX(Muuttujat!$O$5:$O$21,MATCH($C511,Muuttujat!$N$5:$N$21,0),1)</f>
        <v>0.1</v>
      </c>
      <c r="R511" s="148">
        <f>INDEX(Muuttujat!$P$5:$P$21,MATCH($C511,Muuttujat!$N$5:$N$21,0),1)</f>
        <v>0.10417875759940039</v>
      </c>
      <c r="S511" s="149">
        <f t="shared" si="133"/>
        <v>0</v>
      </c>
      <c r="T511" s="150">
        <f t="shared" si="134"/>
        <v>0</v>
      </c>
      <c r="U511" s="150">
        <f t="shared" si="135"/>
        <v>0</v>
      </c>
      <c r="V511" s="150">
        <f>IFERROR(INDEX(Työkonekanta!$J$3:$J$27,MATCH($A511,Työkonekanta!$A$3:$A$24,0),1)*$B511*ef_li_ion_akku/1000/1000/INDEX(Työkonekanta!$K$3:$K$27,MATCH($A511,Työkonekanta!$A$3:$A$24,0)),0)</f>
        <v>0</v>
      </c>
      <c r="W511" s="149">
        <f t="shared" si="144"/>
        <v>0</v>
      </c>
      <c r="X511" s="150">
        <f t="shared" si="145"/>
        <v>0</v>
      </c>
      <c r="Y511" s="151">
        <f t="shared" si="146"/>
        <v>0</v>
      </c>
      <c r="Z511" s="152">
        <f t="shared" si="139"/>
        <v>0</v>
      </c>
      <c r="AA511" s="153">
        <f t="shared" si="140"/>
        <v>0</v>
      </c>
      <c r="AB511" s="153">
        <f t="shared" si="141"/>
        <v>0</v>
      </c>
      <c r="AC511" s="154">
        <f t="shared" si="147"/>
        <v>0</v>
      </c>
      <c r="AD511" s="156">
        <f t="shared" si="142"/>
        <v>0</v>
      </c>
      <c r="AE511" s="182"/>
      <c r="AJ511" s="28"/>
      <c r="AK511" s="29"/>
    </row>
    <row r="512" spans="1:37">
      <c r="A512" s="165">
        <v>30</v>
      </c>
      <c r="B512" s="139" cm="1">
        <f t="array" ref="B512">IFERROR(IF(A512=s1_id_korvattava1,INDEX($AG$3:$AG$19,MATCH(C512,$AF$3:$AF$19,0),1),IF(A512=s1_id_korvaava1,INDEX($AH$3:$AH$19,MATCH(C512,$AF$3:$AF$19,0),1),IF(A512=s1_id_korvattava2,INDEX($AI$3:$AI$19,MATCH(C512,$AF$3:$AF$19,0),1),IF(A512=s1_id_korvaava2,INDEX($AJ$3:$AJ$19,MATCH(C512,$AF$3:$AF$19,0),1),INDEX(Työkonekanta!$F$3:$F$27,MATCH('S1 Sähkö'!$A512,Työkonekanta!$A$3:$A$24,0),1))))),0)</f>
        <v>0</v>
      </c>
      <c r="C512" s="165">
        <v>2035</v>
      </c>
      <c r="D512" s="166" t="str">
        <f>IFERROR(INDEX(Työkonekanta!$D$3:$D$27,MATCH('S1 Sähkö'!$A512,Työkonekanta!$A$3:$A$24,0),1),"undefined")</f>
        <v>undefined</v>
      </c>
      <c r="E512" s="145">
        <f>IFERROR(INDEX(Työkonekanta!$G$3:$G$27,MATCH($A512,Työkonekanta!$A$3:$A$24,0),1)*INDEX(Työkonekanta!$H$3:$H$27,MATCH($A512,Työkonekanta!$A$3:$A$24,0),1)*(1+s1_kerroin*($C512-2019))*$B512,0)</f>
        <v>0</v>
      </c>
      <c r="F512" s="145">
        <f t="shared" si="130"/>
        <v>0</v>
      </c>
      <c r="G512" s="145">
        <f t="shared" si="136"/>
        <v>0</v>
      </c>
      <c r="H512" s="145">
        <f t="shared" si="137"/>
        <v>0</v>
      </c>
      <c r="I512" s="145">
        <f t="shared" si="131"/>
        <v>0</v>
      </c>
      <c r="J512" s="145">
        <f t="shared" si="132"/>
        <v>0</v>
      </c>
      <c r="K512" s="168" t="str">
        <f t="shared" si="138"/>
        <v>undefined</v>
      </c>
      <c r="L512" s="167">
        <f>IFERROR(INDEX(Työkonekanta!$I$3:$I$27,MATCH('S1 Sähkö'!$A512,Työkonekanta!$A$3:$A$24,0),1)*(I512+J512)*f_adblue,0)</f>
        <v>0</v>
      </c>
      <c r="M512" s="167">
        <f t="shared" si="143"/>
        <v>0</v>
      </c>
      <c r="N512" s="169" t="str">
        <f>IF(tuulisähkö_vuosi&lt;='S1 Sähkö'!C512,"tuulisähkö",ostosähkö_nyt)</f>
        <v>jäännössähkö</v>
      </c>
      <c r="O512" s="170">
        <f>INDEX(Muuttujat!$J$5:$J$21,MATCH($C512,Muuttujat!$H$5:$H$21,0),1)</f>
        <v>58.961085487844883</v>
      </c>
      <c r="P512" s="342">
        <f>1-(INDEX(Muuttujat!$O$5:$O$21,MATCH($C512,Muuttujat!$N$5:$N$21,0),1))</f>
        <v>0.9</v>
      </c>
      <c r="Q512" s="342">
        <f>INDEX(Muuttujat!$O$5:$O$21,MATCH($C512,Muuttujat!$N$5:$N$21,0),1)</f>
        <v>0.1</v>
      </c>
      <c r="R512" s="171">
        <f>INDEX(Muuttujat!$P$5:$P$21,MATCH($C512,Muuttujat!$N$5:$N$21,0),1)</f>
        <v>0.10417875759940039</v>
      </c>
      <c r="S512" s="149">
        <f t="shared" si="133"/>
        <v>0</v>
      </c>
      <c r="T512" s="150">
        <f t="shared" si="134"/>
        <v>0</v>
      </c>
      <c r="U512" s="173">
        <f t="shared" si="135"/>
        <v>0</v>
      </c>
      <c r="V512" s="173">
        <f>IFERROR(INDEX(Työkonekanta!$J$3:$J$27,MATCH($A512,Työkonekanta!$A$3:$A$24,0),1)*$B512*ef_li_ion_akku/1000/1000/INDEX(Työkonekanta!$K$3:$K$27,MATCH($A512,Työkonekanta!$A$3:$A$24,0)),0)</f>
        <v>0</v>
      </c>
      <c r="W512" s="172">
        <f t="shared" si="144"/>
        <v>0</v>
      </c>
      <c r="X512" s="173">
        <f t="shared" si="145"/>
        <v>0</v>
      </c>
      <c r="Y512" s="174">
        <f t="shared" si="146"/>
        <v>0</v>
      </c>
      <c r="Z512" s="175">
        <f t="shared" si="139"/>
        <v>0</v>
      </c>
      <c r="AA512" s="176">
        <f t="shared" si="140"/>
        <v>0</v>
      </c>
      <c r="AB512" s="176">
        <f t="shared" si="141"/>
        <v>0</v>
      </c>
      <c r="AC512" s="177">
        <f t="shared" si="147"/>
        <v>0</v>
      </c>
      <c r="AD512" s="178">
        <f t="shared" si="142"/>
        <v>0</v>
      </c>
      <c r="AE512" s="182"/>
      <c r="AJ512" s="28"/>
      <c r="AK512" s="29"/>
    </row>
    <row r="513" spans="4:33">
      <c r="D513" s="160"/>
      <c r="F513" s="145">
        <f t="shared" si="130"/>
        <v>0</v>
      </c>
      <c r="G513" s="145" t="e">
        <f t="shared" si="136"/>
        <v>#N/A</v>
      </c>
      <c r="H513" s="145" t="e">
        <f t="shared" si="137"/>
        <v>#N/A</v>
      </c>
      <c r="P513" s="342" t="e">
        <f>1-(INDEX(Muuttujat!$O$5:$O$21,MATCH($C513,Muuttujat!$N$5:$N$21,0),1))</f>
        <v>#N/A</v>
      </c>
      <c r="Q513" s="342" t="e">
        <f>INDEX(Muuttujat!$O$5:$O$21,MATCH($C513,Muuttujat!$N$5:$N$21,0),1)</f>
        <v>#N/A</v>
      </c>
      <c r="R513" s="162"/>
      <c r="S513" s="163"/>
      <c r="T513" s="163"/>
      <c r="U513" s="163"/>
      <c r="V513" s="163"/>
      <c r="W513" s="163"/>
      <c r="X513" s="163"/>
      <c r="Y513" s="160"/>
      <c r="Z513" s="164"/>
      <c r="AA513" s="164"/>
      <c r="AB513" s="164"/>
      <c r="AC513" s="164"/>
      <c r="AD513" s="164"/>
      <c r="AE513" s="24"/>
      <c r="AG513" s="2"/>
    </row>
    <row r="514" spans="4:33">
      <c r="D514" s="160"/>
      <c r="F514" s="145">
        <f t="shared" si="130"/>
        <v>0</v>
      </c>
      <c r="G514" s="145" t="e">
        <f t="shared" si="136"/>
        <v>#N/A</v>
      </c>
      <c r="H514" s="145" t="e">
        <f t="shared" si="137"/>
        <v>#N/A</v>
      </c>
      <c r="P514" s="342" t="e">
        <f>1-(INDEX(Muuttujat!$O$5:$O$21,MATCH($C514,Muuttujat!$N$5:$N$21,0),1))</f>
        <v>#N/A</v>
      </c>
      <c r="Q514" s="342" t="e">
        <f>INDEX(Muuttujat!$O$5:$O$21,MATCH($C514,Muuttujat!$N$5:$N$21,0),1)</f>
        <v>#N/A</v>
      </c>
      <c r="R514" s="162"/>
      <c r="S514" s="163"/>
      <c r="T514" s="163"/>
      <c r="U514" s="163"/>
      <c r="V514" s="163"/>
      <c r="W514" s="163"/>
      <c r="X514" s="163"/>
      <c r="Y514" s="160"/>
      <c r="Z514" s="164"/>
      <c r="AA514" s="164"/>
      <c r="AB514" s="164"/>
      <c r="AC514" s="164"/>
      <c r="AD514" s="164"/>
      <c r="AE514" s="24"/>
      <c r="AG514" s="2"/>
    </row>
    <row r="515" spans="4:33">
      <c r="D515" s="160"/>
      <c r="F515" s="145">
        <f t="shared" ref="F515:F578" si="148">IF(D515="pom",$E515*hv_pom,0)</f>
        <v>0</v>
      </c>
      <c r="G515" s="145" t="e">
        <f t="shared" si="136"/>
        <v>#N/A</v>
      </c>
      <c r="H515" s="145" t="e">
        <f t="shared" si="137"/>
        <v>#N/A</v>
      </c>
      <c r="P515" s="342" t="e">
        <f>1-(INDEX(Muuttujat!$O$5:$O$21,MATCH($C515,Muuttujat!$N$5:$N$21,0),1))</f>
        <v>#N/A</v>
      </c>
      <c r="Q515" s="342" t="e">
        <f>INDEX(Muuttujat!$O$5:$O$21,MATCH($C515,Muuttujat!$N$5:$N$21,0),1)</f>
        <v>#N/A</v>
      </c>
      <c r="R515" s="162"/>
      <c r="S515" s="163"/>
      <c r="T515" s="163"/>
      <c r="U515" s="163"/>
      <c r="V515" s="163"/>
      <c r="W515" s="163"/>
      <c r="X515" s="163"/>
      <c r="Y515" s="160"/>
      <c r="Z515" s="164"/>
      <c r="AA515" s="164"/>
      <c r="AB515" s="164"/>
      <c r="AC515" s="164"/>
      <c r="AD515" s="164"/>
      <c r="AE515" s="24"/>
      <c r="AG515" s="2"/>
    </row>
    <row r="516" spans="4:33">
      <c r="D516" s="160"/>
      <c r="F516" s="145">
        <f t="shared" si="148"/>
        <v>0</v>
      </c>
      <c r="G516" s="145" t="e">
        <f t="shared" ref="G516:G579" si="149">$F516*$P516</f>
        <v>#N/A</v>
      </c>
      <c r="H516" s="145" t="e">
        <f t="shared" ref="H516:H579" si="150">$F516*$Q516</f>
        <v>#N/A</v>
      </c>
      <c r="P516" s="342" t="e">
        <f>1-(INDEX(Muuttujat!$O$5:$O$21,MATCH($C516,Muuttujat!$N$5:$N$21,0),1))</f>
        <v>#N/A</v>
      </c>
      <c r="Q516" s="342" t="e">
        <f>INDEX(Muuttujat!$O$5:$O$21,MATCH($C516,Muuttujat!$N$5:$N$21,0),1)</f>
        <v>#N/A</v>
      </c>
      <c r="R516" s="162"/>
      <c r="S516" s="163"/>
      <c r="T516" s="163"/>
      <c r="U516" s="163"/>
      <c r="V516" s="163"/>
      <c r="W516" s="163"/>
      <c r="X516" s="163"/>
      <c r="Y516" s="160"/>
      <c r="Z516" s="164"/>
      <c r="AA516" s="164"/>
      <c r="AB516" s="164"/>
      <c r="AC516" s="164"/>
      <c r="AD516" s="164"/>
      <c r="AE516" s="24"/>
      <c r="AG516" s="2"/>
    </row>
    <row r="517" spans="4:33">
      <c r="D517" s="160"/>
      <c r="F517" s="145">
        <f t="shared" si="148"/>
        <v>0</v>
      </c>
      <c r="G517" s="145" t="e">
        <f t="shared" si="149"/>
        <v>#N/A</v>
      </c>
      <c r="H517" s="145" t="e">
        <f t="shared" si="150"/>
        <v>#N/A</v>
      </c>
      <c r="P517" s="342" t="e">
        <f>1-(INDEX(Muuttujat!$O$5:$O$21,MATCH($C517,Muuttujat!$N$5:$N$21,0),1))</f>
        <v>#N/A</v>
      </c>
      <c r="Q517" s="342" t="e">
        <f>INDEX(Muuttujat!$O$5:$O$21,MATCH($C517,Muuttujat!$N$5:$N$21,0),1)</f>
        <v>#N/A</v>
      </c>
      <c r="R517" s="162"/>
      <c r="S517" s="163"/>
      <c r="T517" s="163"/>
      <c r="U517" s="163"/>
      <c r="V517" s="163"/>
      <c r="W517" s="163"/>
      <c r="X517" s="163"/>
      <c r="Y517" s="160"/>
      <c r="Z517" s="164"/>
      <c r="AA517" s="164"/>
      <c r="AB517" s="164"/>
      <c r="AC517" s="164"/>
      <c r="AD517" s="164"/>
      <c r="AE517" s="24"/>
      <c r="AG517" s="2"/>
    </row>
    <row r="518" spans="4:33">
      <c r="D518" s="160"/>
      <c r="F518" s="145">
        <f t="shared" si="148"/>
        <v>0</v>
      </c>
      <c r="G518" s="145" t="e">
        <f t="shared" si="149"/>
        <v>#N/A</v>
      </c>
      <c r="H518" s="145" t="e">
        <f t="shared" si="150"/>
        <v>#N/A</v>
      </c>
      <c r="P518" s="342" t="e">
        <f>1-(INDEX(Muuttujat!$O$5:$O$21,MATCH($C518,Muuttujat!$N$5:$N$21,0),1))</f>
        <v>#N/A</v>
      </c>
      <c r="Q518" s="342" t="e">
        <f>INDEX(Muuttujat!$O$5:$O$21,MATCH($C518,Muuttujat!$N$5:$N$21,0),1)</f>
        <v>#N/A</v>
      </c>
      <c r="R518" s="162"/>
      <c r="S518" s="163"/>
      <c r="T518" s="163"/>
      <c r="U518" s="163"/>
      <c r="V518" s="163"/>
      <c r="W518" s="163"/>
      <c r="X518" s="163"/>
      <c r="Y518" s="160"/>
      <c r="Z518" s="164"/>
      <c r="AA518" s="164"/>
      <c r="AB518" s="164"/>
      <c r="AC518" s="164"/>
      <c r="AD518" s="164"/>
      <c r="AE518" s="24"/>
      <c r="AG518" s="2"/>
    </row>
    <row r="519" spans="4:33">
      <c r="D519" s="160"/>
      <c r="F519" s="145">
        <f t="shared" si="148"/>
        <v>0</v>
      </c>
      <c r="G519" s="145" t="e">
        <f t="shared" si="149"/>
        <v>#N/A</v>
      </c>
      <c r="H519" s="145" t="e">
        <f t="shared" si="150"/>
        <v>#N/A</v>
      </c>
      <c r="P519" s="342" t="e">
        <f>1-(INDEX(Muuttujat!$O$5:$O$21,MATCH($C519,Muuttujat!$N$5:$N$21,0),1))</f>
        <v>#N/A</v>
      </c>
      <c r="Q519" s="342" t="e">
        <f>INDEX(Muuttujat!$O$5:$O$21,MATCH($C519,Muuttujat!$N$5:$N$21,0),1)</f>
        <v>#N/A</v>
      </c>
      <c r="R519" s="162"/>
      <c r="S519" s="163"/>
      <c r="T519" s="163"/>
      <c r="U519" s="163"/>
      <c r="V519" s="163"/>
      <c r="W519" s="163"/>
      <c r="X519" s="163"/>
      <c r="Y519" s="160"/>
      <c r="Z519" s="164"/>
      <c r="AA519" s="164"/>
      <c r="AB519" s="164"/>
      <c r="AC519" s="164"/>
      <c r="AD519" s="164"/>
      <c r="AE519" s="24"/>
      <c r="AG519" s="2"/>
    </row>
    <row r="520" spans="4:33">
      <c r="D520" s="160"/>
      <c r="F520" s="145">
        <f t="shared" si="148"/>
        <v>0</v>
      </c>
      <c r="G520" s="145" t="e">
        <f t="shared" si="149"/>
        <v>#N/A</v>
      </c>
      <c r="H520" s="145" t="e">
        <f t="shared" si="150"/>
        <v>#N/A</v>
      </c>
      <c r="P520" s="342" t="e">
        <f>1-(INDEX(Muuttujat!$O$5:$O$21,MATCH($C520,Muuttujat!$N$5:$N$21,0),1))</f>
        <v>#N/A</v>
      </c>
      <c r="Q520" s="342" t="e">
        <f>INDEX(Muuttujat!$O$5:$O$21,MATCH($C520,Muuttujat!$N$5:$N$21,0),1)</f>
        <v>#N/A</v>
      </c>
      <c r="R520" s="162"/>
      <c r="S520" s="163"/>
      <c r="T520" s="163"/>
      <c r="U520" s="163"/>
      <c r="V520" s="163"/>
      <c r="W520" s="163"/>
      <c r="X520" s="163"/>
      <c r="Y520" s="160"/>
      <c r="Z520" s="164"/>
      <c r="AA520" s="164"/>
      <c r="AB520" s="164"/>
      <c r="AC520" s="164"/>
      <c r="AD520" s="164"/>
      <c r="AE520" s="24"/>
      <c r="AG520" s="2"/>
    </row>
    <row r="521" spans="4:33">
      <c r="D521" s="160"/>
      <c r="F521" s="145">
        <f t="shared" si="148"/>
        <v>0</v>
      </c>
      <c r="G521" s="145" t="e">
        <f t="shared" si="149"/>
        <v>#N/A</v>
      </c>
      <c r="H521" s="145" t="e">
        <f t="shared" si="150"/>
        <v>#N/A</v>
      </c>
      <c r="P521" s="342" t="e">
        <f>1-(INDEX(Muuttujat!$O$5:$O$21,MATCH($C521,Muuttujat!$N$5:$N$21,0),1))</f>
        <v>#N/A</v>
      </c>
      <c r="Q521" s="342" t="e">
        <f>INDEX(Muuttujat!$O$5:$O$21,MATCH($C521,Muuttujat!$N$5:$N$21,0),1)</f>
        <v>#N/A</v>
      </c>
      <c r="R521" s="162"/>
      <c r="S521" s="163"/>
      <c r="T521" s="163"/>
      <c r="U521" s="163"/>
      <c r="V521" s="163"/>
      <c r="W521" s="163"/>
      <c r="X521" s="163"/>
      <c r="Y521" s="160"/>
      <c r="Z521" s="164"/>
      <c r="AA521" s="164"/>
      <c r="AB521" s="164"/>
      <c r="AC521" s="164"/>
      <c r="AD521" s="164"/>
      <c r="AE521" s="24"/>
      <c r="AG521" s="2"/>
    </row>
    <row r="522" spans="4:33">
      <c r="D522" s="160"/>
      <c r="F522" s="145">
        <f t="shared" si="148"/>
        <v>0</v>
      </c>
      <c r="G522" s="145" t="e">
        <f t="shared" si="149"/>
        <v>#N/A</v>
      </c>
      <c r="H522" s="145" t="e">
        <f t="shared" si="150"/>
        <v>#N/A</v>
      </c>
      <c r="P522" s="342" t="e">
        <f>1-(INDEX(Muuttujat!$O$5:$O$21,MATCH($C522,Muuttujat!$N$5:$N$21,0),1))</f>
        <v>#N/A</v>
      </c>
      <c r="Q522" s="342" t="e">
        <f>INDEX(Muuttujat!$O$5:$O$21,MATCH($C522,Muuttujat!$N$5:$N$21,0),1)</f>
        <v>#N/A</v>
      </c>
      <c r="R522" s="162"/>
      <c r="S522" s="163"/>
      <c r="T522" s="163"/>
      <c r="U522" s="163"/>
      <c r="V522" s="163"/>
      <c r="W522" s="163"/>
      <c r="X522" s="163"/>
      <c r="Y522" s="160"/>
      <c r="Z522" s="164"/>
      <c r="AA522" s="164"/>
      <c r="AB522" s="164"/>
      <c r="AC522" s="164"/>
      <c r="AD522" s="164"/>
      <c r="AE522" s="24"/>
      <c r="AG522" s="2"/>
    </row>
    <row r="523" spans="4:33">
      <c r="D523" s="160"/>
      <c r="F523" s="145">
        <f t="shared" si="148"/>
        <v>0</v>
      </c>
      <c r="G523" s="145" t="e">
        <f t="shared" si="149"/>
        <v>#N/A</v>
      </c>
      <c r="H523" s="145" t="e">
        <f t="shared" si="150"/>
        <v>#N/A</v>
      </c>
      <c r="P523" s="342" t="e">
        <f>1-(INDEX(Muuttujat!$O$5:$O$21,MATCH($C523,Muuttujat!$N$5:$N$21,0),1))</f>
        <v>#N/A</v>
      </c>
      <c r="Q523" s="342" t="e">
        <f>INDEX(Muuttujat!$O$5:$O$21,MATCH($C523,Muuttujat!$N$5:$N$21,0),1)</f>
        <v>#N/A</v>
      </c>
      <c r="R523" s="162"/>
      <c r="S523" s="163"/>
      <c r="T523" s="163"/>
      <c r="U523" s="163"/>
      <c r="V523" s="163"/>
      <c r="W523" s="163"/>
      <c r="X523" s="163"/>
      <c r="Y523" s="160"/>
      <c r="Z523" s="164"/>
      <c r="AA523" s="164"/>
      <c r="AB523" s="164"/>
      <c r="AC523" s="164"/>
      <c r="AD523" s="164"/>
      <c r="AE523" s="24"/>
      <c r="AG523" s="2"/>
    </row>
    <row r="524" spans="4:33">
      <c r="D524" s="160"/>
      <c r="F524" s="145">
        <f t="shared" si="148"/>
        <v>0</v>
      </c>
      <c r="G524" s="145" t="e">
        <f t="shared" si="149"/>
        <v>#N/A</v>
      </c>
      <c r="H524" s="145" t="e">
        <f t="shared" si="150"/>
        <v>#N/A</v>
      </c>
      <c r="P524" s="342" t="e">
        <f>1-(INDEX(Muuttujat!$O$5:$O$21,MATCH($C524,Muuttujat!$N$5:$N$21,0),1))</f>
        <v>#N/A</v>
      </c>
      <c r="Q524" s="342" t="e">
        <f>INDEX(Muuttujat!$O$5:$O$21,MATCH($C524,Muuttujat!$N$5:$N$21,0),1)</f>
        <v>#N/A</v>
      </c>
      <c r="R524" s="162"/>
      <c r="S524" s="163"/>
      <c r="T524" s="163"/>
      <c r="U524" s="163"/>
      <c r="V524" s="163"/>
      <c r="W524" s="163"/>
      <c r="X524" s="163"/>
      <c r="Y524" s="160"/>
      <c r="Z524" s="164"/>
      <c r="AA524" s="164"/>
      <c r="AB524" s="164"/>
      <c r="AC524" s="164"/>
      <c r="AD524" s="164"/>
      <c r="AE524" s="24"/>
      <c r="AG524" s="2"/>
    </row>
    <row r="525" spans="4:33">
      <c r="D525" s="160"/>
      <c r="F525" s="145">
        <f t="shared" si="148"/>
        <v>0</v>
      </c>
      <c r="G525" s="145" t="e">
        <f t="shared" si="149"/>
        <v>#N/A</v>
      </c>
      <c r="H525" s="145" t="e">
        <f t="shared" si="150"/>
        <v>#N/A</v>
      </c>
      <c r="P525" s="342" t="e">
        <f>1-(INDEX(Muuttujat!$O$5:$O$21,MATCH($C525,Muuttujat!$N$5:$N$21,0),1))</f>
        <v>#N/A</v>
      </c>
      <c r="Q525" s="342" t="e">
        <f>INDEX(Muuttujat!$O$5:$O$21,MATCH($C525,Muuttujat!$N$5:$N$21,0),1)</f>
        <v>#N/A</v>
      </c>
      <c r="R525" s="162"/>
      <c r="S525" s="163"/>
      <c r="T525" s="163"/>
      <c r="U525" s="163"/>
      <c r="V525" s="163"/>
      <c r="W525" s="163"/>
      <c r="X525" s="163"/>
      <c r="Y525" s="160"/>
      <c r="Z525" s="164"/>
      <c r="AA525" s="164"/>
      <c r="AB525" s="164"/>
      <c r="AC525" s="164"/>
      <c r="AD525" s="164"/>
      <c r="AE525" s="24"/>
      <c r="AG525" s="2"/>
    </row>
    <row r="526" spans="4:33">
      <c r="D526" s="160"/>
      <c r="F526" s="145">
        <f t="shared" si="148"/>
        <v>0</v>
      </c>
      <c r="G526" s="145" t="e">
        <f t="shared" si="149"/>
        <v>#N/A</v>
      </c>
      <c r="H526" s="145" t="e">
        <f t="shared" si="150"/>
        <v>#N/A</v>
      </c>
      <c r="P526" s="342" t="e">
        <f>1-(INDEX(Muuttujat!$O$5:$O$21,MATCH($C526,Muuttujat!$N$5:$N$21,0),1))</f>
        <v>#N/A</v>
      </c>
      <c r="Q526" s="342" t="e">
        <f>INDEX(Muuttujat!$O$5:$O$21,MATCH($C526,Muuttujat!$N$5:$N$21,0),1)</f>
        <v>#N/A</v>
      </c>
      <c r="R526" s="162"/>
      <c r="S526" s="163"/>
      <c r="T526" s="163"/>
      <c r="U526" s="163"/>
      <c r="V526" s="163"/>
      <c r="W526" s="163"/>
      <c r="X526" s="163"/>
      <c r="Y526" s="160"/>
      <c r="Z526" s="164"/>
      <c r="AA526" s="164"/>
      <c r="AB526" s="164"/>
      <c r="AC526" s="164"/>
      <c r="AD526" s="164"/>
      <c r="AE526" s="24"/>
      <c r="AG526" s="2"/>
    </row>
    <row r="527" spans="4:33">
      <c r="D527" s="160"/>
      <c r="F527" s="145">
        <f t="shared" si="148"/>
        <v>0</v>
      </c>
      <c r="G527" s="145" t="e">
        <f t="shared" si="149"/>
        <v>#N/A</v>
      </c>
      <c r="H527" s="145" t="e">
        <f t="shared" si="150"/>
        <v>#N/A</v>
      </c>
      <c r="P527" s="342" t="e">
        <f>1-(INDEX(Muuttujat!$O$5:$O$21,MATCH($C527,Muuttujat!$N$5:$N$21,0),1))</f>
        <v>#N/A</v>
      </c>
      <c r="Q527" s="342" t="e">
        <f>INDEX(Muuttujat!$O$5:$O$21,MATCH($C527,Muuttujat!$N$5:$N$21,0),1)</f>
        <v>#N/A</v>
      </c>
      <c r="R527" s="162"/>
      <c r="S527" s="163"/>
      <c r="T527" s="163"/>
      <c r="U527" s="163"/>
      <c r="V527" s="163"/>
      <c r="W527" s="163"/>
      <c r="X527" s="163"/>
      <c r="Y527" s="160"/>
      <c r="Z527" s="164"/>
      <c r="AA527" s="164"/>
      <c r="AB527" s="164"/>
      <c r="AC527" s="164"/>
      <c r="AD527" s="164"/>
      <c r="AE527" s="24"/>
      <c r="AG527" s="2"/>
    </row>
    <row r="528" spans="4:33">
      <c r="D528" s="160"/>
      <c r="F528" s="145">
        <f t="shared" si="148"/>
        <v>0</v>
      </c>
      <c r="G528" s="145" t="e">
        <f t="shared" si="149"/>
        <v>#N/A</v>
      </c>
      <c r="H528" s="145" t="e">
        <f t="shared" si="150"/>
        <v>#N/A</v>
      </c>
      <c r="P528" s="342" t="e">
        <f>1-(INDEX(Muuttujat!$O$5:$O$21,MATCH($C528,Muuttujat!$N$5:$N$21,0),1))</f>
        <v>#N/A</v>
      </c>
      <c r="Q528" s="342" t="e">
        <f>INDEX(Muuttujat!$O$5:$O$21,MATCH($C528,Muuttujat!$N$5:$N$21,0),1)</f>
        <v>#N/A</v>
      </c>
      <c r="R528" s="162"/>
      <c r="S528" s="163"/>
      <c r="T528" s="163"/>
      <c r="U528" s="163"/>
      <c r="V528" s="163"/>
      <c r="W528" s="163"/>
      <c r="X528" s="163"/>
      <c r="Y528" s="160"/>
      <c r="Z528" s="164"/>
      <c r="AA528" s="164"/>
      <c r="AB528" s="164"/>
      <c r="AC528" s="164"/>
      <c r="AD528" s="164"/>
      <c r="AE528" s="24"/>
      <c r="AG528" s="2"/>
    </row>
    <row r="529" spans="4:33">
      <c r="D529" s="160"/>
      <c r="F529" s="145">
        <f t="shared" si="148"/>
        <v>0</v>
      </c>
      <c r="G529" s="145" t="e">
        <f t="shared" si="149"/>
        <v>#N/A</v>
      </c>
      <c r="H529" s="145" t="e">
        <f t="shared" si="150"/>
        <v>#N/A</v>
      </c>
      <c r="P529" s="342" t="e">
        <f>1-(INDEX(Muuttujat!$O$5:$O$21,MATCH($C529,Muuttujat!$N$5:$N$21,0),1))</f>
        <v>#N/A</v>
      </c>
      <c r="Q529" s="342" t="e">
        <f>INDEX(Muuttujat!$O$5:$O$21,MATCH($C529,Muuttujat!$N$5:$N$21,0),1)</f>
        <v>#N/A</v>
      </c>
      <c r="R529" s="162"/>
      <c r="S529" s="163"/>
      <c r="T529" s="163"/>
      <c r="U529" s="163"/>
      <c r="V529" s="163"/>
      <c r="W529" s="163"/>
      <c r="X529" s="163"/>
      <c r="Y529" s="160"/>
      <c r="Z529" s="164"/>
      <c r="AA529" s="164"/>
      <c r="AB529" s="164"/>
      <c r="AC529" s="164"/>
      <c r="AD529" s="164"/>
      <c r="AE529" s="24"/>
      <c r="AG529" s="2"/>
    </row>
    <row r="530" spans="4:33">
      <c r="D530" s="160"/>
      <c r="F530" s="145">
        <f t="shared" si="148"/>
        <v>0</v>
      </c>
      <c r="G530" s="145" t="e">
        <f t="shared" si="149"/>
        <v>#N/A</v>
      </c>
      <c r="H530" s="145" t="e">
        <f t="shared" si="150"/>
        <v>#N/A</v>
      </c>
      <c r="P530" s="342" t="e">
        <f>1-(INDEX(Muuttujat!$O$5:$O$21,MATCH($C530,Muuttujat!$N$5:$N$21,0),1))</f>
        <v>#N/A</v>
      </c>
      <c r="Q530" s="342" t="e">
        <f>INDEX(Muuttujat!$O$5:$O$21,MATCH($C530,Muuttujat!$N$5:$N$21,0),1)</f>
        <v>#N/A</v>
      </c>
      <c r="R530" s="162"/>
      <c r="S530" s="163"/>
      <c r="T530" s="163"/>
      <c r="U530" s="163"/>
      <c r="V530" s="163"/>
      <c r="W530" s="163"/>
      <c r="X530" s="163"/>
      <c r="Y530" s="160"/>
      <c r="Z530" s="164"/>
      <c r="AA530" s="164"/>
      <c r="AB530" s="164"/>
      <c r="AC530" s="164"/>
      <c r="AD530" s="164"/>
      <c r="AE530" s="24"/>
      <c r="AG530" s="2"/>
    </row>
    <row r="531" spans="4:33">
      <c r="D531" s="160"/>
      <c r="F531" s="145">
        <f t="shared" si="148"/>
        <v>0</v>
      </c>
      <c r="G531" s="145" t="e">
        <f t="shared" si="149"/>
        <v>#N/A</v>
      </c>
      <c r="H531" s="145" t="e">
        <f t="shared" si="150"/>
        <v>#N/A</v>
      </c>
      <c r="P531" s="342" t="e">
        <f>1-(INDEX(Muuttujat!$O$5:$O$21,MATCH($C531,Muuttujat!$N$5:$N$21,0),1))</f>
        <v>#N/A</v>
      </c>
      <c r="Q531" s="342" t="e">
        <f>INDEX(Muuttujat!$O$5:$O$21,MATCH($C531,Muuttujat!$N$5:$N$21,0),1)</f>
        <v>#N/A</v>
      </c>
      <c r="R531" s="162"/>
      <c r="S531" s="163"/>
      <c r="T531" s="163"/>
      <c r="U531" s="163"/>
      <c r="V531" s="163"/>
      <c r="W531" s="163"/>
      <c r="X531" s="163"/>
      <c r="Y531" s="160"/>
      <c r="Z531" s="164"/>
      <c r="AA531" s="164"/>
      <c r="AB531" s="164"/>
      <c r="AC531" s="164"/>
      <c r="AD531" s="164"/>
      <c r="AE531" s="24"/>
      <c r="AG531" s="2"/>
    </row>
    <row r="532" spans="4:33">
      <c r="D532" s="160"/>
      <c r="F532" s="145">
        <f t="shared" si="148"/>
        <v>0</v>
      </c>
      <c r="G532" s="145" t="e">
        <f t="shared" si="149"/>
        <v>#N/A</v>
      </c>
      <c r="H532" s="145" t="e">
        <f t="shared" si="150"/>
        <v>#N/A</v>
      </c>
      <c r="P532" s="342" t="e">
        <f>1-(INDEX(Muuttujat!$O$5:$O$21,MATCH($C532,Muuttujat!$N$5:$N$21,0),1))</f>
        <v>#N/A</v>
      </c>
      <c r="Q532" s="342" t="e">
        <f>INDEX(Muuttujat!$O$5:$O$21,MATCH($C532,Muuttujat!$N$5:$N$21,0),1)</f>
        <v>#N/A</v>
      </c>
      <c r="R532" s="162"/>
      <c r="S532" s="163"/>
      <c r="T532" s="163"/>
      <c r="U532" s="163"/>
      <c r="V532" s="163"/>
      <c r="W532" s="163"/>
      <c r="X532" s="163"/>
      <c r="Y532" s="160"/>
      <c r="Z532" s="164"/>
      <c r="AA532" s="164"/>
      <c r="AB532" s="164"/>
      <c r="AC532" s="164"/>
      <c r="AD532" s="164"/>
      <c r="AE532" s="24"/>
      <c r="AG532" s="2"/>
    </row>
    <row r="533" spans="4:33">
      <c r="D533" s="160"/>
      <c r="F533" s="145">
        <f t="shared" si="148"/>
        <v>0</v>
      </c>
      <c r="G533" s="145" t="e">
        <f t="shared" si="149"/>
        <v>#N/A</v>
      </c>
      <c r="H533" s="145" t="e">
        <f t="shared" si="150"/>
        <v>#N/A</v>
      </c>
      <c r="P533" s="342" t="e">
        <f>1-(INDEX(Muuttujat!$O$5:$O$21,MATCH($C533,Muuttujat!$N$5:$N$21,0),1))</f>
        <v>#N/A</v>
      </c>
      <c r="Q533" s="342" t="e">
        <f>INDEX(Muuttujat!$O$5:$O$21,MATCH($C533,Muuttujat!$N$5:$N$21,0),1)</f>
        <v>#N/A</v>
      </c>
      <c r="R533" s="162"/>
      <c r="S533" s="163"/>
      <c r="T533" s="163"/>
      <c r="U533" s="163"/>
      <c r="V533" s="163"/>
      <c r="W533" s="163"/>
      <c r="X533" s="163"/>
      <c r="Y533" s="160"/>
      <c r="Z533" s="164"/>
      <c r="AA533" s="164"/>
      <c r="AB533" s="164"/>
      <c r="AC533" s="164"/>
      <c r="AD533" s="164"/>
      <c r="AE533" s="24"/>
      <c r="AG533" s="2"/>
    </row>
    <row r="534" spans="4:33">
      <c r="D534" s="160"/>
      <c r="F534" s="145">
        <f t="shared" si="148"/>
        <v>0</v>
      </c>
      <c r="G534" s="145" t="e">
        <f t="shared" si="149"/>
        <v>#N/A</v>
      </c>
      <c r="H534" s="145" t="e">
        <f t="shared" si="150"/>
        <v>#N/A</v>
      </c>
      <c r="P534" s="342" t="e">
        <f>1-(INDEX(Muuttujat!$O$5:$O$21,MATCH($C534,Muuttujat!$N$5:$N$21,0),1))</f>
        <v>#N/A</v>
      </c>
      <c r="Q534" s="342" t="e">
        <f>INDEX(Muuttujat!$O$5:$O$21,MATCH($C534,Muuttujat!$N$5:$N$21,0),1)</f>
        <v>#N/A</v>
      </c>
      <c r="R534" s="162"/>
      <c r="S534" s="163"/>
      <c r="T534" s="163"/>
      <c r="U534" s="163"/>
      <c r="V534" s="163"/>
      <c r="W534" s="163"/>
      <c r="X534" s="163"/>
      <c r="Y534" s="160"/>
      <c r="Z534" s="164"/>
      <c r="AA534" s="164"/>
      <c r="AB534" s="164"/>
      <c r="AC534" s="164"/>
      <c r="AD534" s="164"/>
      <c r="AE534" s="24"/>
      <c r="AG534" s="2"/>
    </row>
    <row r="535" spans="4:33">
      <c r="D535" s="160"/>
      <c r="F535" s="145">
        <f t="shared" si="148"/>
        <v>0</v>
      </c>
      <c r="G535" s="145" t="e">
        <f t="shared" si="149"/>
        <v>#N/A</v>
      </c>
      <c r="H535" s="145" t="e">
        <f t="shared" si="150"/>
        <v>#N/A</v>
      </c>
      <c r="P535" s="342" t="e">
        <f>1-(INDEX(Muuttujat!$O$5:$O$21,MATCH($C535,Muuttujat!$N$5:$N$21,0),1))</f>
        <v>#N/A</v>
      </c>
      <c r="Q535" s="342" t="e">
        <f>INDEX(Muuttujat!$O$5:$O$21,MATCH($C535,Muuttujat!$N$5:$N$21,0),1)</f>
        <v>#N/A</v>
      </c>
      <c r="R535" s="162"/>
      <c r="S535" s="163"/>
      <c r="T535" s="163"/>
      <c r="U535" s="163"/>
      <c r="V535" s="163"/>
      <c r="W535" s="163"/>
      <c r="X535" s="163"/>
      <c r="Y535" s="160"/>
      <c r="Z535" s="164"/>
      <c r="AA535" s="164"/>
      <c r="AB535" s="164"/>
      <c r="AC535" s="164"/>
      <c r="AD535" s="164"/>
      <c r="AE535" s="24"/>
      <c r="AG535" s="2"/>
    </row>
    <row r="536" spans="4:33">
      <c r="D536" s="160"/>
      <c r="F536" s="145">
        <f t="shared" si="148"/>
        <v>0</v>
      </c>
      <c r="G536" s="145" t="e">
        <f t="shared" si="149"/>
        <v>#N/A</v>
      </c>
      <c r="H536" s="145" t="e">
        <f t="shared" si="150"/>
        <v>#N/A</v>
      </c>
      <c r="P536" s="342" t="e">
        <f>1-(INDEX(Muuttujat!$O$5:$O$21,MATCH($C536,Muuttujat!$N$5:$N$21,0),1))</f>
        <v>#N/A</v>
      </c>
      <c r="Q536" s="342" t="e">
        <f>INDEX(Muuttujat!$O$5:$O$21,MATCH($C536,Muuttujat!$N$5:$N$21,0),1)</f>
        <v>#N/A</v>
      </c>
      <c r="R536" s="162"/>
      <c r="S536" s="163"/>
      <c r="T536" s="163"/>
      <c r="U536" s="163"/>
      <c r="V536" s="163"/>
      <c r="W536" s="163"/>
      <c r="X536" s="163"/>
      <c r="Y536" s="160"/>
      <c r="Z536" s="164"/>
      <c r="AA536" s="164"/>
      <c r="AB536" s="164"/>
      <c r="AC536" s="164"/>
      <c r="AD536" s="164"/>
      <c r="AE536" s="24"/>
      <c r="AG536" s="2"/>
    </row>
    <row r="537" spans="4:33">
      <c r="D537" s="160"/>
      <c r="F537" s="145">
        <f t="shared" si="148"/>
        <v>0</v>
      </c>
      <c r="G537" s="145" t="e">
        <f t="shared" si="149"/>
        <v>#N/A</v>
      </c>
      <c r="H537" s="145" t="e">
        <f t="shared" si="150"/>
        <v>#N/A</v>
      </c>
      <c r="P537" s="342" t="e">
        <f>1-(INDEX(Muuttujat!$O$5:$O$21,MATCH($C537,Muuttujat!$N$5:$N$21,0),1))</f>
        <v>#N/A</v>
      </c>
      <c r="Q537" s="342" t="e">
        <f>INDEX(Muuttujat!$O$5:$O$21,MATCH($C537,Muuttujat!$N$5:$N$21,0),1)</f>
        <v>#N/A</v>
      </c>
      <c r="R537" s="162"/>
      <c r="S537" s="163"/>
      <c r="T537" s="163"/>
      <c r="U537" s="163"/>
      <c r="V537" s="163"/>
      <c r="W537" s="163"/>
      <c r="X537" s="163"/>
      <c r="Y537" s="160"/>
      <c r="Z537" s="164"/>
      <c r="AA537" s="164"/>
      <c r="AB537" s="164"/>
      <c r="AC537" s="164"/>
      <c r="AD537" s="164"/>
      <c r="AE537" s="24"/>
      <c r="AG537" s="2"/>
    </row>
    <row r="538" spans="4:33">
      <c r="D538" s="160"/>
      <c r="F538" s="145">
        <f t="shared" si="148"/>
        <v>0</v>
      </c>
      <c r="G538" s="145" t="e">
        <f t="shared" si="149"/>
        <v>#N/A</v>
      </c>
      <c r="H538" s="145" t="e">
        <f t="shared" si="150"/>
        <v>#N/A</v>
      </c>
      <c r="P538" s="342" t="e">
        <f>1-(INDEX(Muuttujat!$O$5:$O$21,MATCH($C538,Muuttujat!$N$5:$N$21,0),1))</f>
        <v>#N/A</v>
      </c>
      <c r="Q538" s="342" t="e">
        <f>INDEX(Muuttujat!$O$5:$O$21,MATCH($C538,Muuttujat!$N$5:$N$21,0),1)</f>
        <v>#N/A</v>
      </c>
      <c r="R538" s="162"/>
      <c r="S538" s="163"/>
      <c r="T538" s="163"/>
      <c r="U538" s="163"/>
      <c r="V538" s="163"/>
      <c r="W538" s="163"/>
      <c r="X538" s="163"/>
      <c r="Y538" s="160"/>
      <c r="Z538" s="164"/>
      <c r="AA538" s="164"/>
      <c r="AB538" s="164"/>
      <c r="AC538" s="164"/>
      <c r="AD538" s="164"/>
      <c r="AE538" s="24"/>
      <c r="AG538" s="2"/>
    </row>
    <row r="539" spans="4:33">
      <c r="D539" s="160"/>
      <c r="F539" s="145">
        <f t="shared" si="148"/>
        <v>0</v>
      </c>
      <c r="G539" s="145" t="e">
        <f t="shared" si="149"/>
        <v>#N/A</v>
      </c>
      <c r="H539" s="145" t="e">
        <f t="shared" si="150"/>
        <v>#N/A</v>
      </c>
      <c r="P539" s="342" t="e">
        <f>1-(INDEX(Muuttujat!$O$5:$O$21,MATCH($C539,Muuttujat!$N$5:$N$21,0),1))</f>
        <v>#N/A</v>
      </c>
      <c r="Q539" s="342" t="e">
        <f>INDEX(Muuttujat!$O$5:$O$21,MATCH($C539,Muuttujat!$N$5:$N$21,0),1)</f>
        <v>#N/A</v>
      </c>
      <c r="R539" s="162"/>
      <c r="S539" s="163"/>
      <c r="T539" s="163"/>
      <c r="U539" s="163"/>
      <c r="V539" s="163"/>
      <c r="W539" s="163"/>
      <c r="X539" s="163"/>
      <c r="Y539" s="160"/>
      <c r="Z539" s="164"/>
      <c r="AA539" s="164"/>
      <c r="AB539" s="164"/>
      <c r="AC539" s="164"/>
      <c r="AD539" s="164"/>
      <c r="AE539" s="24"/>
      <c r="AG539" s="2"/>
    </row>
    <row r="540" spans="4:33">
      <c r="D540" s="160"/>
      <c r="F540" s="145">
        <f t="shared" si="148"/>
        <v>0</v>
      </c>
      <c r="G540" s="145" t="e">
        <f t="shared" si="149"/>
        <v>#N/A</v>
      </c>
      <c r="H540" s="145" t="e">
        <f t="shared" si="150"/>
        <v>#N/A</v>
      </c>
      <c r="P540" s="342" t="e">
        <f>1-(INDEX(Muuttujat!$O$5:$O$21,MATCH($C540,Muuttujat!$N$5:$N$21,0),1))</f>
        <v>#N/A</v>
      </c>
      <c r="Q540" s="342" t="e">
        <f>INDEX(Muuttujat!$O$5:$O$21,MATCH($C540,Muuttujat!$N$5:$N$21,0),1)</f>
        <v>#N/A</v>
      </c>
      <c r="R540" s="162"/>
      <c r="S540" s="163"/>
      <c r="T540" s="163"/>
      <c r="U540" s="163"/>
      <c r="V540" s="163"/>
      <c r="W540" s="163"/>
      <c r="X540" s="163"/>
      <c r="Y540" s="160"/>
      <c r="Z540" s="164"/>
      <c r="AA540" s="164"/>
      <c r="AB540" s="164"/>
      <c r="AC540" s="164"/>
      <c r="AD540" s="164"/>
      <c r="AE540" s="24"/>
      <c r="AG540" s="2"/>
    </row>
    <row r="541" spans="4:33">
      <c r="D541" s="160"/>
      <c r="F541" s="145">
        <f t="shared" si="148"/>
        <v>0</v>
      </c>
      <c r="G541" s="145" t="e">
        <f t="shared" si="149"/>
        <v>#N/A</v>
      </c>
      <c r="H541" s="145" t="e">
        <f t="shared" si="150"/>
        <v>#N/A</v>
      </c>
      <c r="P541" s="342" t="e">
        <f>1-(INDEX(Muuttujat!$O$5:$O$21,MATCH($C541,Muuttujat!$N$5:$N$21,0),1))</f>
        <v>#N/A</v>
      </c>
      <c r="Q541" s="342" t="e">
        <f>INDEX(Muuttujat!$O$5:$O$21,MATCH($C541,Muuttujat!$N$5:$N$21,0),1)</f>
        <v>#N/A</v>
      </c>
      <c r="R541" s="162"/>
      <c r="S541" s="163"/>
      <c r="T541" s="163"/>
      <c r="U541" s="163"/>
      <c r="V541" s="163"/>
      <c r="W541" s="163"/>
      <c r="X541" s="163"/>
      <c r="Y541" s="160"/>
      <c r="Z541" s="164"/>
      <c r="AA541" s="164"/>
      <c r="AB541" s="164"/>
      <c r="AC541" s="164"/>
      <c r="AD541" s="164"/>
      <c r="AE541" s="24"/>
      <c r="AG541" s="2"/>
    </row>
    <row r="542" spans="4:33">
      <c r="D542" s="160"/>
      <c r="F542" s="145">
        <f t="shared" si="148"/>
        <v>0</v>
      </c>
      <c r="G542" s="145" t="e">
        <f t="shared" si="149"/>
        <v>#N/A</v>
      </c>
      <c r="H542" s="145" t="e">
        <f t="shared" si="150"/>
        <v>#N/A</v>
      </c>
      <c r="P542" s="342" t="e">
        <f>1-(INDEX(Muuttujat!$O$5:$O$21,MATCH($C542,Muuttujat!$N$5:$N$21,0),1))</f>
        <v>#N/A</v>
      </c>
      <c r="Q542" s="342" t="e">
        <f>INDEX(Muuttujat!$O$5:$O$21,MATCH($C542,Muuttujat!$N$5:$N$21,0),1)</f>
        <v>#N/A</v>
      </c>
      <c r="R542" s="162"/>
      <c r="S542" s="163"/>
      <c r="T542" s="163"/>
      <c r="U542" s="163"/>
      <c r="V542" s="163"/>
      <c r="W542" s="163"/>
      <c r="X542" s="163"/>
      <c r="Y542" s="160"/>
      <c r="Z542" s="164"/>
      <c r="AA542" s="164"/>
      <c r="AB542" s="164"/>
      <c r="AC542" s="164"/>
      <c r="AD542" s="164"/>
      <c r="AE542" s="24"/>
      <c r="AG542" s="2"/>
    </row>
    <row r="543" spans="4:33">
      <c r="D543" s="160"/>
      <c r="F543" s="145">
        <f t="shared" si="148"/>
        <v>0</v>
      </c>
      <c r="G543" s="145" t="e">
        <f t="shared" si="149"/>
        <v>#N/A</v>
      </c>
      <c r="H543" s="145" t="e">
        <f t="shared" si="150"/>
        <v>#N/A</v>
      </c>
      <c r="P543" s="342" t="e">
        <f>1-(INDEX(Muuttujat!$O$5:$O$21,MATCH($C543,Muuttujat!$N$5:$N$21,0),1))</f>
        <v>#N/A</v>
      </c>
      <c r="Q543" s="342" t="e">
        <f>INDEX(Muuttujat!$O$5:$O$21,MATCH($C543,Muuttujat!$N$5:$N$21,0),1)</f>
        <v>#N/A</v>
      </c>
      <c r="R543" s="162"/>
      <c r="S543" s="163"/>
      <c r="T543" s="163"/>
      <c r="U543" s="163"/>
      <c r="V543" s="163"/>
      <c r="W543" s="163"/>
      <c r="X543" s="163"/>
      <c r="Y543" s="160"/>
      <c r="Z543" s="164"/>
      <c r="AA543" s="164"/>
      <c r="AB543" s="164"/>
      <c r="AC543" s="164"/>
      <c r="AD543" s="164"/>
      <c r="AE543" s="24"/>
      <c r="AG543" s="2"/>
    </row>
    <row r="544" spans="4:33">
      <c r="D544" s="160"/>
      <c r="F544" s="145">
        <f t="shared" si="148"/>
        <v>0</v>
      </c>
      <c r="G544" s="145" t="e">
        <f t="shared" si="149"/>
        <v>#N/A</v>
      </c>
      <c r="H544" s="145" t="e">
        <f t="shared" si="150"/>
        <v>#N/A</v>
      </c>
      <c r="P544" s="342" t="e">
        <f>1-(INDEX(Muuttujat!$O$5:$O$21,MATCH($C544,Muuttujat!$N$5:$N$21,0),1))</f>
        <v>#N/A</v>
      </c>
      <c r="Q544" s="342" t="e">
        <f>INDEX(Muuttujat!$O$5:$O$21,MATCH($C544,Muuttujat!$N$5:$N$21,0),1)</f>
        <v>#N/A</v>
      </c>
      <c r="R544" s="162"/>
      <c r="S544" s="163"/>
      <c r="T544" s="163"/>
      <c r="U544" s="163"/>
      <c r="V544" s="163"/>
      <c r="W544" s="163"/>
      <c r="X544" s="163"/>
      <c r="Y544" s="160"/>
      <c r="Z544" s="164"/>
      <c r="AA544" s="164"/>
      <c r="AB544" s="164"/>
      <c r="AC544" s="164"/>
      <c r="AD544" s="164"/>
      <c r="AE544" s="24"/>
      <c r="AG544" s="2"/>
    </row>
    <row r="545" spans="4:33">
      <c r="D545" s="160"/>
      <c r="F545" s="145">
        <f t="shared" si="148"/>
        <v>0</v>
      </c>
      <c r="G545" s="145" t="e">
        <f t="shared" si="149"/>
        <v>#N/A</v>
      </c>
      <c r="H545" s="145" t="e">
        <f t="shared" si="150"/>
        <v>#N/A</v>
      </c>
      <c r="P545" s="342" t="e">
        <f>1-(INDEX(Muuttujat!$O$5:$O$21,MATCH($C545,Muuttujat!$N$5:$N$21,0),1))</f>
        <v>#N/A</v>
      </c>
      <c r="Q545" s="342" t="e">
        <f>INDEX(Muuttujat!$O$5:$O$21,MATCH($C545,Muuttujat!$N$5:$N$21,0),1)</f>
        <v>#N/A</v>
      </c>
      <c r="R545" s="162"/>
      <c r="S545" s="163"/>
      <c r="T545" s="163"/>
      <c r="U545" s="163"/>
      <c r="V545" s="163"/>
      <c r="W545" s="163"/>
      <c r="X545" s="163"/>
      <c r="Y545" s="160"/>
      <c r="Z545" s="164"/>
      <c r="AA545" s="164"/>
      <c r="AB545" s="164"/>
      <c r="AC545" s="164"/>
      <c r="AD545" s="164"/>
      <c r="AE545" s="24"/>
      <c r="AG545" s="2"/>
    </row>
    <row r="546" spans="4:33">
      <c r="D546" s="160"/>
      <c r="F546" s="145">
        <f t="shared" si="148"/>
        <v>0</v>
      </c>
      <c r="G546" s="145" t="e">
        <f t="shared" si="149"/>
        <v>#N/A</v>
      </c>
      <c r="H546" s="145" t="e">
        <f t="shared" si="150"/>
        <v>#N/A</v>
      </c>
      <c r="P546" s="342" t="e">
        <f>1-(INDEX(Muuttujat!$O$5:$O$21,MATCH($C546,Muuttujat!$N$5:$N$21,0),1))</f>
        <v>#N/A</v>
      </c>
      <c r="Q546" s="342" t="e">
        <f>INDEX(Muuttujat!$O$5:$O$21,MATCH($C546,Muuttujat!$N$5:$N$21,0),1)</f>
        <v>#N/A</v>
      </c>
      <c r="R546" s="162"/>
      <c r="S546" s="163"/>
      <c r="T546" s="163"/>
      <c r="U546" s="163"/>
      <c r="V546" s="163"/>
      <c r="W546" s="163"/>
      <c r="X546" s="163"/>
      <c r="Y546" s="160"/>
      <c r="Z546" s="164"/>
      <c r="AA546" s="164"/>
      <c r="AB546" s="164"/>
      <c r="AC546" s="164"/>
      <c r="AD546" s="164"/>
      <c r="AE546" s="24"/>
      <c r="AG546" s="2"/>
    </row>
    <row r="547" spans="4:33">
      <c r="D547" s="160"/>
      <c r="F547" s="145">
        <f t="shared" si="148"/>
        <v>0</v>
      </c>
      <c r="G547" s="145" t="e">
        <f t="shared" si="149"/>
        <v>#N/A</v>
      </c>
      <c r="H547" s="145" t="e">
        <f t="shared" si="150"/>
        <v>#N/A</v>
      </c>
      <c r="P547" s="342" t="e">
        <f>1-(INDEX(Muuttujat!$O$5:$O$21,MATCH($C547,Muuttujat!$N$5:$N$21,0),1))</f>
        <v>#N/A</v>
      </c>
      <c r="Q547" s="342" t="e">
        <f>INDEX(Muuttujat!$O$5:$O$21,MATCH($C547,Muuttujat!$N$5:$N$21,0),1)</f>
        <v>#N/A</v>
      </c>
      <c r="R547" s="162"/>
      <c r="S547" s="163"/>
      <c r="T547" s="163"/>
      <c r="U547" s="163"/>
      <c r="V547" s="163"/>
      <c r="W547" s="163"/>
      <c r="X547" s="163"/>
      <c r="Y547" s="160"/>
      <c r="Z547" s="164"/>
      <c r="AA547" s="164"/>
      <c r="AB547" s="164"/>
      <c r="AC547" s="164"/>
      <c r="AD547" s="164"/>
      <c r="AE547" s="24"/>
      <c r="AG547" s="2"/>
    </row>
    <row r="548" spans="4:33">
      <c r="D548" s="160"/>
      <c r="F548" s="145">
        <f t="shared" si="148"/>
        <v>0</v>
      </c>
      <c r="G548" s="145" t="e">
        <f t="shared" si="149"/>
        <v>#N/A</v>
      </c>
      <c r="H548" s="145" t="e">
        <f t="shared" si="150"/>
        <v>#N/A</v>
      </c>
      <c r="P548" s="342" t="e">
        <f>1-(INDEX(Muuttujat!$O$5:$O$21,MATCH($C548,Muuttujat!$N$5:$N$21,0),1))</f>
        <v>#N/A</v>
      </c>
      <c r="Q548" s="342" t="e">
        <f>INDEX(Muuttujat!$O$5:$O$21,MATCH($C548,Muuttujat!$N$5:$N$21,0),1)</f>
        <v>#N/A</v>
      </c>
      <c r="R548" s="162"/>
      <c r="S548" s="163"/>
      <c r="T548" s="163"/>
      <c r="U548" s="163"/>
      <c r="V548" s="163"/>
      <c r="W548" s="163"/>
      <c r="X548" s="163"/>
      <c r="Y548" s="160"/>
      <c r="Z548" s="164"/>
      <c r="AA548" s="164"/>
      <c r="AB548" s="164"/>
      <c r="AC548" s="164"/>
      <c r="AD548" s="164"/>
      <c r="AE548" s="24"/>
      <c r="AG548" s="2"/>
    </row>
    <row r="549" spans="4:33">
      <c r="D549" s="160"/>
      <c r="F549" s="145">
        <f t="shared" si="148"/>
        <v>0</v>
      </c>
      <c r="G549" s="145" t="e">
        <f t="shared" si="149"/>
        <v>#N/A</v>
      </c>
      <c r="H549" s="145" t="e">
        <f t="shared" si="150"/>
        <v>#N/A</v>
      </c>
      <c r="P549" s="342" t="e">
        <f>1-(INDEX(Muuttujat!$O$5:$O$21,MATCH($C549,Muuttujat!$N$5:$N$21,0),1))</f>
        <v>#N/A</v>
      </c>
      <c r="Q549" s="342" t="e">
        <f>INDEX(Muuttujat!$O$5:$O$21,MATCH($C549,Muuttujat!$N$5:$N$21,0),1)</f>
        <v>#N/A</v>
      </c>
      <c r="R549" s="162"/>
      <c r="S549" s="163"/>
      <c r="T549" s="163"/>
      <c r="U549" s="163"/>
      <c r="V549" s="163"/>
      <c r="W549" s="163"/>
      <c r="X549" s="163"/>
      <c r="Y549" s="160"/>
      <c r="Z549" s="164"/>
      <c r="AA549" s="164"/>
      <c r="AB549" s="164"/>
      <c r="AC549" s="164"/>
      <c r="AD549" s="164"/>
      <c r="AE549" s="24"/>
      <c r="AG549" s="2"/>
    </row>
    <row r="550" spans="4:33">
      <c r="D550" s="160"/>
      <c r="F550" s="145">
        <f t="shared" si="148"/>
        <v>0</v>
      </c>
      <c r="G550" s="145" t="e">
        <f t="shared" si="149"/>
        <v>#N/A</v>
      </c>
      <c r="H550" s="145" t="e">
        <f t="shared" si="150"/>
        <v>#N/A</v>
      </c>
      <c r="P550" s="342" t="e">
        <f>1-(INDEX(Muuttujat!$O$5:$O$21,MATCH($C550,Muuttujat!$N$5:$N$21,0),1))</f>
        <v>#N/A</v>
      </c>
      <c r="Q550" s="342" t="e">
        <f>INDEX(Muuttujat!$O$5:$O$21,MATCH($C550,Muuttujat!$N$5:$N$21,0),1)</f>
        <v>#N/A</v>
      </c>
      <c r="R550" s="162"/>
      <c r="S550" s="163"/>
      <c r="T550" s="163"/>
      <c r="U550" s="163"/>
      <c r="V550" s="163"/>
      <c r="W550" s="163"/>
      <c r="X550" s="163"/>
      <c r="Y550" s="160"/>
      <c r="Z550" s="164"/>
      <c r="AA550" s="164"/>
      <c r="AB550" s="164"/>
      <c r="AC550" s="164"/>
      <c r="AD550" s="164"/>
      <c r="AE550" s="24"/>
      <c r="AG550" s="2"/>
    </row>
    <row r="551" spans="4:33">
      <c r="D551" s="160"/>
      <c r="F551" s="145">
        <f t="shared" si="148"/>
        <v>0</v>
      </c>
      <c r="G551" s="145" t="e">
        <f t="shared" si="149"/>
        <v>#N/A</v>
      </c>
      <c r="H551" s="145" t="e">
        <f t="shared" si="150"/>
        <v>#N/A</v>
      </c>
      <c r="P551" s="342" t="e">
        <f>1-(INDEX(Muuttujat!$O$5:$O$21,MATCH($C551,Muuttujat!$N$5:$N$21,0),1))</f>
        <v>#N/A</v>
      </c>
      <c r="Q551" s="342" t="e">
        <f>INDEX(Muuttujat!$O$5:$O$21,MATCH($C551,Muuttujat!$N$5:$N$21,0),1)</f>
        <v>#N/A</v>
      </c>
      <c r="R551" s="162"/>
      <c r="S551" s="163"/>
      <c r="T551" s="163"/>
      <c r="U551" s="163"/>
      <c r="V551" s="163"/>
      <c r="W551" s="163"/>
      <c r="X551" s="163"/>
      <c r="Y551" s="160"/>
      <c r="Z551" s="164"/>
      <c r="AA551" s="164"/>
      <c r="AB551" s="164"/>
      <c r="AC551" s="164"/>
      <c r="AD551" s="164"/>
      <c r="AE551" s="24"/>
      <c r="AG551" s="2"/>
    </row>
    <row r="552" spans="4:33">
      <c r="D552" s="160"/>
      <c r="F552" s="145">
        <f t="shared" si="148"/>
        <v>0</v>
      </c>
      <c r="G552" s="145" t="e">
        <f t="shared" si="149"/>
        <v>#N/A</v>
      </c>
      <c r="H552" s="145" t="e">
        <f t="shared" si="150"/>
        <v>#N/A</v>
      </c>
      <c r="P552" s="342" t="e">
        <f>1-(INDEX(Muuttujat!$O$5:$O$21,MATCH($C552,Muuttujat!$N$5:$N$21,0),1))</f>
        <v>#N/A</v>
      </c>
      <c r="Q552" s="342" t="e">
        <f>INDEX(Muuttujat!$O$5:$O$21,MATCH($C552,Muuttujat!$N$5:$N$21,0),1)</f>
        <v>#N/A</v>
      </c>
      <c r="R552" s="162"/>
      <c r="S552" s="163"/>
      <c r="T552" s="163"/>
      <c r="U552" s="163"/>
      <c r="V552" s="163"/>
      <c r="W552" s="163"/>
      <c r="X552" s="163"/>
      <c r="Y552" s="160"/>
      <c r="Z552" s="164"/>
      <c r="AA552" s="164"/>
      <c r="AB552" s="164"/>
      <c r="AC552" s="164"/>
      <c r="AD552" s="164"/>
      <c r="AE552" s="24"/>
      <c r="AG552" s="2"/>
    </row>
    <row r="553" spans="4:33">
      <c r="D553" s="160"/>
      <c r="F553" s="145">
        <f t="shared" si="148"/>
        <v>0</v>
      </c>
      <c r="G553" s="145" t="e">
        <f t="shared" si="149"/>
        <v>#N/A</v>
      </c>
      <c r="H553" s="145" t="e">
        <f t="shared" si="150"/>
        <v>#N/A</v>
      </c>
      <c r="P553" s="342" t="e">
        <f>1-(INDEX(Muuttujat!$O$5:$O$21,MATCH($C553,Muuttujat!$N$5:$N$21,0),1))</f>
        <v>#N/A</v>
      </c>
      <c r="Q553" s="342" t="e">
        <f>INDEX(Muuttujat!$O$5:$O$21,MATCH($C553,Muuttujat!$N$5:$N$21,0),1)</f>
        <v>#N/A</v>
      </c>
      <c r="R553" s="162"/>
      <c r="S553" s="163"/>
      <c r="T553" s="163"/>
      <c r="U553" s="163"/>
      <c r="V553" s="163"/>
      <c r="W553" s="163"/>
      <c r="X553" s="163"/>
      <c r="Y553" s="160"/>
      <c r="Z553" s="164"/>
      <c r="AA553" s="164"/>
      <c r="AB553" s="164"/>
      <c r="AC553" s="164"/>
      <c r="AD553" s="164"/>
      <c r="AE553" s="24"/>
      <c r="AG553" s="2"/>
    </row>
    <row r="554" spans="4:33">
      <c r="D554" s="160"/>
      <c r="F554" s="145">
        <f t="shared" si="148"/>
        <v>0</v>
      </c>
      <c r="G554" s="145" t="e">
        <f t="shared" si="149"/>
        <v>#N/A</v>
      </c>
      <c r="H554" s="145" t="e">
        <f t="shared" si="150"/>
        <v>#N/A</v>
      </c>
      <c r="P554" s="342" t="e">
        <f>1-(INDEX(Muuttujat!$O$5:$O$21,MATCH($C554,Muuttujat!$N$5:$N$21,0),1))</f>
        <v>#N/A</v>
      </c>
      <c r="Q554" s="342" t="e">
        <f>INDEX(Muuttujat!$O$5:$O$21,MATCH($C554,Muuttujat!$N$5:$N$21,0),1)</f>
        <v>#N/A</v>
      </c>
      <c r="R554" s="162"/>
      <c r="S554" s="163"/>
      <c r="T554" s="163"/>
      <c r="U554" s="163"/>
      <c r="V554" s="163"/>
      <c r="W554" s="163"/>
      <c r="X554" s="163"/>
      <c r="Y554" s="160"/>
      <c r="Z554" s="164"/>
      <c r="AA554" s="164"/>
      <c r="AB554" s="164"/>
      <c r="AC554" s="164"/>
      <c r="AD554" s="164"/>
      <c r="AE554" s="24"/>
      <c r="AG554" s="2"/>
    </row>
    <row r="555" spans="4:33">
      <c r="D555" s="160"/>
      <c r="F555" s="145">
        <f t="shared" si="148"/>
        <v>0</v>
      </c>
      <c r="G555" s="145" t="e">
        <f t="shared" si="149"/>
        <v>#N/A</v>
      </c>
      <c r="H555" s="145" t="e">
        <f t="shared" si="150"/>
        <v>#N/A</v>
      </c>
      <c r="P555" s="342" t="e">
        <f>1-(INDEX(Muuttujat!$O$5:$O$21,MATCH($C555,Muuttujat!$N$5:$N$21,0),1))</f>
        <v>#N/A</v>
      </c>
      <c r="Q555" s="342" t="e">
        <f>INDEX(Muuttujat!$O$5:$O$21,MATCH($C555,Muuttujat!$N$5:$N$21,0),1)</f>
        <v>#N/A</v>
      </c>
      <c r="R555" s="162"/>
      <c r="S555" s="163"/>
      <c r="T555" s="163"/>
      <c r="U555" s="163"/>
      <c r="V555" s="163"/>
      <c r="W555" s="163"/>
      <c r="X555" s="163"/>
      <c r="Y555" s="160"/>
      <c r="Z555" s="164"/>
      <c r="AA555" s="164"/>
      <c r="AB555" s="164"/>
      <c r="AC555" s="164"/>
      <c r="AD555" s="164"/>
      <c r="AE555" s="24"/>
      <c r="AG555" s="2"/>
    </row>
    <row r="556" spans="4:33">
      <c r="D556" s="160"/>
      <c r="F556" s="145">
        <f t="shared" si="148"/>
        <v>0</v>
      </c>
      <c r="G556" s="145" t="e">
        <f t="shared" si="149"/>
        <v>#N/A</v>
      </c>
      <c r="H556" s="145" t="e">
        <f t="shared" si="150"/>
        <v>#N/A</v>
      </c>
      <c r="P556" s="342" t="e">
        <f>1-(INDEX(Muuttujat!$O$5:$O$21,MATCH($C556,Muuttujat!$N$5:$N$21,0),1))</f>
        <v>#N/A</v>
      </c>
      <c r="Q556" s="342" t="e">
        <f>INDEX(Muuttujat!$O$5:$O$21,MATCH($C556,Muuttujat!$N$5:$N$21,0),1)</f>
        <v>#N/A</v>
      </c>
      <c r="R556" s="162"/>
      <c r="S556" s="163"/>
      <c r="T556" s="163"/>
      <c r="U556" s="163"/>
      <c r="V556" s="163"/>
      <c r="W556" s="163"/>
      <c r="X556" s="163"/>
      <c r="Y556" s="160"/>
      <c r="Z556" s="164"/>
      <c r="AA556" s="164"/>
      <c r="AB556" s="164"/>
      <c r="AC556" s="164"/>
      <c r="AD556" s="164"/>
      <c r="AE556" s="24"/>
      <c r="AG556" s="2"/>
    </row>
    <row r="557" spans="4:33">
      <c r="D557" s="160"/>
      <c r="F557" s="145">
        <f t="shared" si="148"/>
        <v>0</v>
      </c>
      <c r="G557" s="145" t="e">
        <f t="shared" si="149"/>
        <v>#N/A</v>
      </c>
      <c r="H557" s="145" t="e">
        <f t="shared" si="150"/>
        <v>#N/A</v>
      </c>
      <c r="P557" s="342" t="e">
        <f>1-(INDEX(Muuttujat!$O$5:$O$21,MATCH($C557,Muuttujat!$N$5:$N$21,0),1))</f>
        <v>#N/A</v>
      </c>
      <c r="Q557" s="342" t="e">
        <f>INDEX(Muuttujat!$O$5:$O$21,MATCH($C557,Muuttujat!$N$5:$N$21,0),1)</f>
        <v>#N/A</v>
      </c>
      <c r="R557" s="162"/>
      <c r="S557" s="163"/>
      <c r="T557" s="163"/>
      <c r="U557" s="163"/>
      <c r="V557" s="163"/>
      <c r="W557" s="163"/>
      <c r="X557" s="163"/>
      <c r="Y557" s="160"/>
      <c r="Z557" s="164"/>
      <c r="AA557" s="164"/>
      <c r="AB557" s="164"/>
      <c r="AC557" s="164"/>
      <c r="AD557" s="164"/>
      <c r="AE557" s="24"/>
      <c r="AG557" s="2"/>
    </row>
    <row r="558" spans="4:33">
      <c r="D558" s="160"/>
      <c r="F558" s="145">
        <f t="shared" si="148"/>
        <v>0</v>
      </c>
      <c r="G558" s="145" t="e">
        <f t="shared" si="149"/>
        <v>#N/A</v>
      </c>
      <c r="H558" s="145" t="e">
        <f t="shared" si="150"/>
        <v>#N/A</v>
      </c>
      <c r="P558" s="342" t="e">
        <f>1-(INDEX(Muuttujat!$O$5:$O$21,MATCH($C558,Muuttujat!$N$5:$N$21,0),1))</f>
        <v>#N/A</v>
      </c>
      <c r="Q558" s="342" t="e">
        <f>INDEX(Muuttujat!$O$5:$O$21,MATCH($C558,Muuttujat!$N$5:$N$21,0),1)</f>
        <v>#N/A</v>
      </c>
      <c r="R558" s="162"/>
      <c r="S558" s="163"/>
      <c r="T558" s="163"/>
      <c r="U558" s="163"/>
      <c r="V558" s="163"/>
      <c r="W558" s="163"/>
      <c r="X558" s="163"/>
      <c r="Y558" s="160"/>
      <c r="Z558" s="164"/>
      <c r="AA558" s="164"/>
      <c r="AB558" s="164"/>
      <c r="AC558" s="164"/>
      <c r="AD558" s="164"/>
      <c r="AE558" s="24"/>
      <c r="AG558" s="2"/>
    </row>
    <row r="559" spans="4:33">
      <c r="D559" s="160"/>
      <c r="F559" s="145">
        <f t="shared" si="148"/>
        <v>0</v>
      </c>
      <c r="G559" s="145" t="e">
        <f t="shared" si="149"/>
        <v>#N/A</v>
      </c>
      <c r="H559" s="145" t="e">
        <f t="shared" si="150"/>
        <v>#N/A</v>
      </c>
      <c r="P559" s="342" t="e">
        <f>1-(INDEX(Muuttujat!$O$5:$O$21,MATCH($C559,Muuttujat!$N$5:$N$21,0),1))</f>
        <v>#N/A</v>
      </c>
      <c r="Q559" s="342" t="e">
        <f>INDEX(Muuttujat!$O$5:$O$21,MATCH($C559,Muuttujat!$N$5:$N$21,0),1)</f>
        <v>#N/A</v>
      </c>
      <c r="R559" s="162"/>
      <c r="S559" s="163"/>
      <c r="T559" s="163"/>
      <c r="U559" s="163"/>
      <c r="V559" s="163"/>
      <c r="W559" s="163"/>
      <c r="X559" s="163"/>
      <c r="Y559" s="160"/>
      <c r="Z559" s="164"/>
      <c r="AA559" s="164"/>
      <c r="AB559" s="164"/>
      <c r="AC559" s="164"/>
      <c r="AD559" s="164"/>
      <c r="AE559" s="24"/>
      <c r="AG559" s="2"/>
    </row>
    <row r="560" spans="4:33">
      <c r="D560" s="160"/>
      <c r="F560" s="145">
        <f t="shared" si="148"/>
        <v>0</v>
      </c>
      <c r="G560" s="145" t="e">
        <f t="shared" si="149"/>
        <v>#N/A</v>
      </c>
      <c r="H560" s="145" t="e">
        <f t="shared" si="150"/>
        <v>#N/A</v>
      </c>
      <c r="P560" s="342" t="e">
        <f>1-(INDEX(Muuttujat!$O$5:$O$21,MATCH($C560,Muuttujat!$N$5:$N$21,0),1))</f>
        <v>#N/A</v>
      </c>
      <c r="Q560" s="342" t="e">
        <f>INDEX(Muuttujat!$O$5:$O$21,MATCH($C560,Muuttujat!$N$5:$N$21,0),1)</f>
        <v>#N/A</v>
      </c>
      <c r="R560" s="162"/>
      <c r="S560" s="163"/>
      <c r="T560" s="163"/>
      <c r="U560" s="163"/>
      <c r="V560" s="163"/>
      <c r="W560" s="163"/>
      <c r="X560" s="163"/>
      <c r="Y560" s="160"/>
      <c r="Z560" s="164"/>
      <c r="AA560" s="164"/>
      <c r="AB560" s="164"/>
      <c r="AC560" s="164"/>
      <c r="AD560" s="164"/>
      <c r="AE560" s="24"/>
      <c r="AG560" s="2"/>
    </row>
    <row r="561" spans="4:33">
      <c r="D561" s="160"/>
      <c r="F561" s="145">
        <f t="shared" si="148"/>
        <v>0</v>
      </c>
      <c r="G561" s="145" t="e">
        <f t="shared" si="149"/>
        <v>#N/A</v>
      </c>
      <c r="H561" s="145" t="e">
        <f t="shared" si="150"/>
        <v>#N/A</v>
      </c>
      <c r="P561" s="342" t="e">
        <f>1-(INDEX(Muuttujat!$O$5:$O$21,MATCH($C561,Muuttujat!$N$5:$N$21,0),1))</f>
        <v>#N/A</v>
      </c>
      <c r="Q561" s="342" t="e">
        <f>INDEX(Muuttujat!$O$5:$O$21,MATCH($C561,Muuttujat!$N$5:$N$21,0),1)</f>
        <v>#N/A</v>
      </c>
      <c r="R561" s="162"/>
      <c r="S561" s="163"/>
      <c r="T561" s="163"/>
      <c r="U561" s="163"/>
      <c r="V561" s="163"/>
      <c r="W561" s="163"/>
      <c r="X561" s="163"/>
      <c r="Y561" s="160"/>
      <c r="Z561" s="164"/>
      <c r="AA561" s="164"/>
      <c r="AB561" s="164"/>
      <c r="AC561" s="164"/>
      <c r="AD561" s="164"/>
      <c r="AE561" s="24"/>
      <c r="AG561" s="2"/>
    </row>
    <row r="562" spans="4:33">
      <c r="D562" s="160"/>
      <c r="F562" s="145">
        <f t="shared" si="148"/>
        <v>0</v>
      </c>
      <c r="G562" s="145" t="e">
        <f t="shared" si="149"/>
        <v>#N/A</v>
      </c>
      <c r="H562" s="145" t="e">
        <f t="shared" si="150"/>
        <v>#N/A</v>
      </c>
      <c r="P562" s="342" t="e">
        <f>1-(INDEX(Muuttujat!$O$5:$O$21,MATCH($C562,Muuttujat!$N$5:$N$21,0),1))</f>
        <v>#N/A</v>
      </c>
      <c r="Q562" s="342" t="e">
        <f>INDEX(Muuttujat!$O$5:$O$21,MATCH($C562,Muuttujat!$N$5:$N$21,0),1)</f>
        <v>#N/A</v>
      </c>
      <c r="R562" s="162"/>
      <c r="S562" s="163"/>
      <c r="T562" s="163"/>
      <c r="U562" s="163"/>
      <c r="V562" s="163"/>
      <c r="W562" s="163"/>
      <c r="X562" s="163"/>
      <c r="Y562" s="160"/>
      <c r="Z562" s="164"/>
      <c r="AA562" s="164"/>
      <c r="AB562" s="164"/>
      <c r="AC562" s="164"/>
      <c r="AD562" s="164"/>
      <c r="AE562" s="24"/>
      <c r="AG562" s="2"/>
    </row>
    <row r="563" spans="4:33">
      <c r="D563" s="160"/>
      <c r="F563" s="145">
        <f t="shared" si="148"/>
        <v>0</v>
      </c>
      <c r="G563" s="145" t="e">
        <f t="shared" si="149"/>
        <v>#N/A</v>
      </c>
      <c r="H563" s="145" t="e">
        <f t="shared" si="150"/>
        <v>#N/A</v>
      </c>
      <c r="P563" s="342" t="e">
        <f>1-(INDEX(Muuttujat!$O$5:$O$21,MATCH($C563,Muuttujat!$N$5:$N$21,0),1))</f>
        <v>#N/A</v>
      </c>
      <c r="Q563" s="342" t="e">
        <f>INDEX(Muuttujat!$O$5:$O$21,MATCH($C563,Muuttujat!$N$5:$N$21,0),1)</f>
        <v>#N/A</v>
      </c>
      <c r="R563" s="162"/>
      <c r="S563" s="163"/>
      <c r="T563" s="163"/>
      <c r="U563" s="163"/>
      <c r="V563" s="163"/>
      <c r="W563" s="163"/>
      <c r="X563" s="163"/>
      <c r="Y563" s="160"/>
      <c r="Z563" s="164"/>
      <c r="AA563" s="164"/>
      <c r="AB563" s="164"/>
      <c r="AC563" s="164"/>
      <c r="AD563" s="164"/>
      <c r="AE563" s="24"/>
      <c r="AG563" s="2"/>
    </row>
    <row r="564" spans="4:33">
      <c r="D564" s="160"/>
      <c r="F564" s="145">
        <f t="shared" si="148"/>
        <v>0</v>
      </c>
      <c r="G564" s="145" t="e">
        <f t="shared" si="149"/>
        <v>#N/A</v>
      </c>
      <c r="H564" s="145" t="e">
        <f t="shared" si="150"/>
        <v>#N/A</v>
      </c>
      <c r="P564" s="342" t="e">
        <f>1-(INDEX(Muuttujat!$O$5:$O$21,MATCH($C564,Muuttujat!$N$5:$N$21,0),1))</f>
        <v>#N/A</v>
      </c>
      <c r="Q564" s="342" t="e">
        <f>INDEX(Muuttujat!$O$5:$O$21,MATCH($C564,Muuttujat!$N$5:$N$21,0),1)</f>
        <v>#N/A</v>
      </c>
      <c r="R564" s="162"/>
      <c r="S564" s="163"/>
      <c r="T564" s="163"/>
      <c r="U564" s="163"/>
      <c r="V564" s="163"/>
      <c r="W564" s="163"/>
      <c r="X564" s="163"/>
      <c r="Y564" s="160"/>
      <c r="Z564" s="164"/>
      <c r="AA564" s="164"/>
      <c r="AB564" s="164"/>
      <c r="AC564" s="164"/>
      <c r="AD564" s="164"/>
      <c r="AE564" s="24"/>
      <c r="AG564" s="2"/>
    </row>
    <row r="565" spans="4:33">
      <c r="D565" s="160"/>
      <c r="F565" s="145">
        <f t="shared" si="148"/>
        <v>0</v>
      </c>
      <c r="G565" s="145" t="e">
        <f t="shared" si="149"/>
        <v>#N/A</v>
      </c>
      <c r="H565" s="145" t="e">
        <f t="shared" si="150"/>
        <v>#N/A</v>
      </c>
      <c r="P565" s="342" t="e">
        <f>1-(INDEX(Muuttujat!$O$5:$O$21,MATCH($C565,Muuttujat!$N$5:$N$21,0),1))</f>
        <v>#N/A</v>
      </c>
      <c r="Q565" s="342" t="e">
        <f>INDEX(Muuttujat!$O$5:$O$21,MATCH($C565,Muuttujat!$N$5:$N$21,0),1)</f>
        <v>#N/A</v>
      </c>
      <c r="R565" s="162"/>
      <c r="S565" s="163"/>
      <c r="T565" s="163"/>
      <c r="U565" s="163"/>
      <c r="V565" s="163"/>
      <c r="W565" s="163"/>
      <c r="X565" s="163"/>
      <c r="Y565" s="160"/>
      <c r="Z565" s="164"/>
      <c r="AA565" s="164"/>
      <c r="AB565" s="164"/>
      <c r="AC565" s="164"/>
      <c r="AD565" s="164"/>
      <c r="AE565" s="24"/>
      <c r="AG565" s="2"/>
    </row>
    <row r="566" spans="4:33">
      <c r="D566" s="160"/>
      <c r="F566" s="145">
        <f t="shared" si="148"/>
        <v>0</v>
      </c>
      <c r="G566" s="145" t="e">
        <f t="shared" si="149"/>
        <v>#N/A</v>
      </c>
      <c r="H566" s="145" t="e">
        <f t="shared" si="150"/>
        <v>#N/A</v>
      </c>
      <c r="P566" s="342" t="e">
        <f>1-(INDEX(Muuttujat!$O$5:$O$21,MATCH($C566,Muuttujat!$N$5:$N$21,0),1))</f>
        <v>#N/A</v>
      </c>
      <c r="Q566" s="342" t="e">
        <f>INDEX(Muuttujat!$O$5:$O$21,MATCH($C566,Muuttujat!$N$5:$N$21,0),1)</f>
        <v>#N/A</v>
      </c>
      <c r="R566" s="162"/>
      <c r="S566" s="163"/>
      <c r="T566" s="163"/>
      <c r="U566" s="163"/>
      <c r="V566" s="163"/>
      <c r="W566" s="163"/>
      <c r="X566" s="163"/>
      <c r="Y566" s="160"/>
      <c r="Z566" s="164"/>
      <c r="AA566" s="164"/>
      <c r="AB566" s="164"/>
      <c r="AC566" s="164"/>
      <c r="AD566" s="164"/>
      <c r="AE566" s="24"/>
      <c r="AG566" s="2"/>
    </row>
    <row r="567" spans="4:33">
      <c r="D567" s="160"/>
      <c r="F567" s="145">
        <f t="shared" si="148"/>
        <v>0</v>
      </c>
      <c r="G567" s="145" t="e">
        <f t="shared" si="149"/>
        <v>#N/A</v>
      </c>
      <c r="H567" s="145" t="e">
        <f t="shared" si="150"/>
        <v>#N/A</v>
      </c>
      <c r="P567" s="342" t="e">
        <f>1-(INDEX(Muuttujat!$O$5:$O$21,MATCH($C567,Muuttujat!$N$5:$N$21,0),1))</f>
        <v>#N/A</v>
      </c>
      <c r="Q567" s="342" t="e">
        <f>INDEX(Muuttujat!$O$5:$O$21,MATCH($C567,Muuttujat!$N$5:$N$21,0),1)</f>
        <v>#N/A</v>
      </c>
      <c r="R567" s="162"/>
      <c r="S567" s="163"/>
      <c r="T567" s="163"/>
      <c r="U567" s="163"/>
      <c r="V567" s="163"/>
      <c r="W567" s="163"/>
      <c r="X567" s="163"/>
      <c r="Y567" s="160"/>
      <c r="Z567" s="164"/>
      <c r="AA567" s="164"/>
      <c r="AB567" s="164"/>
      <c r="AC567" s="164"/>
      <c r="AD567" s="164"/>
      <c r="AE567" s="24"/>
      <c r="AG567" s="2"/>
    </row>
    <row r="568" spans="4:33">
      <c r="D568" s="160"/>
      <c r="F568" s="145">
        <f t="shared" si="148"/>
        <v>0</v>
      </c>
      <c r="G568" s="145" t="e">
        <f t="shared" si="149"/>
        <v>#N/A</v>
      </c>
      <c r="H568" s="145" t="e">
        <f t="shared" si="150"/>
        <v>#N/A</v>
      </c>
      <c r="P568" s="342" t="e">
        <f>1-(INDEX(Muuttujat!$O$5:$O$21,MATCH($C568,Muuttujat!$N$5:$N$21,0),1))</f>
        <v>#N/A</v>
      </c>
      <c r="Q568" s="342" t="e">
        <f>INDEX(Muuttujat!$O$5:$O$21,MATCH($C568,Muuttujat!$N$5:$N$21,0),1)</f>
        <v>#N/A</v>
      </c>
      <c r="R568" s="162"/>
      <c r="S568" s="163"/>
      <c r="T568" s="163"/>
      <c r="U568" s="163"/>
      <c r="V568" s="163"/>
      <c r="W568" s="163"/>
      <c r="X568" s="163"/>
      <c r="Y568" s="160"/>
      <c r="Z568" s="164"/>
      <c r="AA568" s="164"/>
      <c r="AB568" s="164"/>
      <c r="AC568" s="164"/>
      <c r="AD568" s="164"/>
      <c r="AE568" s="24"/>
      <c r="AG568" s="2"/>
    </row>
    <row r="569" spans="4:33">
      <c r="D569" s="160"/>
      <c r="F569" s="145">
        <f t="shared" si="148"/>
        <v>0</v>
      </c>
      <c r="G569" s="145" t="e">
        <f t="shared" si="149"/>
        <v>#N/A</v>
      </c>
      <c r="H569" s="145" t="e">
        <f t="shared" si="150"/>
        <v>#N/A</v>
      </c>
      <c r="P569" s="342" t="e">
        <f>1-(INDEX(Muuttujat!$O$5:$O$21,MATCH($C569,Muuttujat!$N$5:$N$21,0),1))</f>
        <v>#N/A</v>
      </c>
      <c r="Q569" s="342" t="e">
        <f>INDEX(Muuttujat!$O$5:$O$21,MATCH($C569,Muuttujat!$N$5:$N$21,0),1)</f>
        <v>#N/A</v>
      </c>
      <c r="R569" s="162"/>
      <c r="S569" s="163"/>
      <c r="T569" s="163"/>
      <c r="U569" s="163"/>
      <c r="V569" s="163"/>
      <c r="W569" s="163"/>
      <c r="X569" s="163"/>
      <c r="Y569" s="160"/>
      <c r="Z569" s="164"/>
      <c r="AA569" s="164"/>
      <c r="AB569" s="164"/>
      <c r="AC569" s="164"/>
      <c r="AD569" s="164"/>
      <c r="AE569" s="24"/>
      <c r="AG569" s="2"/>
    </row>
    <row r="570" spans="4:33">
      <c r="D570" s="160"/>
      <c r="F570" s="145">
        <f t="shared" si="148"/>
        <v>0</v>
      </c>
      <c r="G570" s="145" t="e">
        <f t="shared" si="149"/>
        <v>#N/A</v>
      </c>
      <c r="H570" s="145" t="e">
        <f t="shared" si="150"/>
        <v>#N/A</v>
      </c>
      <c r="P570" s="342" t="e">
        <f>1-(INDEX(Muuttujat!$O$5:$O$21,MATCH($C570,Muuttujat!$N$5:$N$21,0),1))</f>
        <v>#N/A</v>
      </c>
      <c r="Q570" s="342" t="e">
        <f>INDEX(Muuttujat!$O$5:$O$21,MATCH($C570,Muuttujat!$N$5:$N$21,0),1)</f>
        <v>#N/A</v>
      </c>
      <c r="R570" s="162"/>
      <c r="S570" s="163"/>
      <c r="T570" s="163"/>
      <c r="U570" s="163"/>
      <c r="V570" s="163"/>
      <c r="W570" s="163"/>
      <c r="X570" s="163"/>
      <c r="Y570" s="160"/>
      <c r="Z570" s="164"/>
      <c r="AA570" s="164"/>
      <c r="AB570" s="164"/>
      <c r="AC570" s="164"/>
      <c r="AD570" s="164"/>
      <c r="AE570" s="24"/>
      <c r="AG570" s="2"/>
    </row>
    <row r="571" spans="4:33">
      <c r="D571" s="160"/>
      <c r="F571" s="145">
        <f t="shared" si="148"/>
        <v>0</v>
      </c>
      <c r="G571" s="145" t="e">
        <f t="shared" si="149"/>
        <v>#N/A</v>
      </c>
      <c r="H571" s="145" t="e">
        <f t="shared" si="150"/>
        <v>#N/A</v>
      </c>
      <c r="P571" s="342" t="e">
        <f>1-(INDEX(Muuttujat!$O$5:$O$21,MATCH($C571,Muuttujat!$N$5:$N$21,0),1))</f>
        <v>#N/A</v>
      </c>
      <c r="Q571" s="342" t="e">
        <f>INDEX(Muuttujat!$O$5:$O$21,MATCH($C571,Muuttujat!$N$5:$N$21,0),1)</f>
        <v>#N/A</v>
      </c>
      <c r="R571" s="162"/>
      <c r="S571" s="163"/>
      <c r="T571" s="163"/>
      <c r="U571" s="163"/>
      <c r="V571" s="163"/>
      <c r="W571" s="163"/>
      <c r="X571" s="163"/>
      <c r="Y571" s="160"/>
      <c r="Z571" s="164"/>
      <c r="AA571" s="164"/>
      <c r="AB571" s="164"/>
      <c r="AC571" s="164"/>
      <c r="AD571" s="164"/>
      <c r="AE571" s="24"/>
      <c r="AG571" s="2"/>
    </row>
    <row r="572" spans="4:33">
      <c r="D572" s="160"/>
      <c r="F572" s="145">
        <f t="shared" si="148"/>
        <v>0</v>
      </c>
      <c r="G572" s="145" t="e">
        <f t="shared" si="149"/>
        <v>#N/A</v>
      </c>
      <c r="H572" s="145" t="e">
        <f t="shared" si="150"/>
        <v>#N/A</v>
      </c>
      <c r="P572" s="342" t="e">
        <f>1-(INDEX(Muuttujat!$O$5:$O$21,MATCH($C572,Muuttujat!$N$5:$N$21,0),1))</f>
        <v>#N/A</v>
      </c>
      <c r="Q572" s="342" t="e">
        <f>INDEX(Muuttujat!$O$5:$O$21,MATCH($C572,Muuttujat!$N$5:$N$21,0),1)</f>
        <v>#N/A</v>
      </c>
      <c r="R572" s="162"/>
      <c r="S572" s="163"/>
      <c r="T572" s="163"/>
      <c r="U572" s="163"/>
      <c r="V572" s="163"/>
      <c r="W572" s="163"/>
      <c r="X572" s="163"/>
      <c r="Y572" s="160"/>
      <c r="Z572" s="164"/>
      <c r="AA572" s="164"/>
      <c r="AB572" s="164"/>
      <c r="AC572" s="164"/>
      <c r="AD572" s="164"/>
      <c r="AE572" s="24"/>
      <c r="AG572" s="2"/>
    </row>
    <row r="573" spans="4:33">
      <c r="D573" s="160"/>
      <c r="F573" s="145">
        <f t="shared" si="148"/>
        <v>0</v>
      </c>
      <c r="G573" s="145" t="e">
        <f t="shared" si="149"/>
        <v>#N/A</v>
      </c>
      <c r="H573" s="145" t="e">
        <f t="shared" si="150"/>
        <v>#N/A</v>
      </c>
      <c r="P573" s="342" t="e">
        <f>1-(INDEX(Muuttujat!$O$5:$O$21,MATCH($C573,Muuttujat!$N$5:$N$21,0),1))</f>
        <v>#N/A</v>
      </c>
      <c r="Q573" s="342" t="e">
        <f>INDEX(Muuttujat!$O$5:$O$21,MATCH($C573,Muuttujat!$N$5:$N$21,0),1)</f>
        <v>#N/A</v>
      </c>
      <c r="R573" s="162"/>
      <c r="S573" s="163"/>
      <c r="T573" s="163"/>
      <c r="U573" s="163"/>
      <c r="V573" s="163"/>
      <c r="W573" s="163"/>
      <c r="X573" s="163"/>
      <c r="Y573" s="160"/>
      <c r="Z573" s="164"/>
      <c r="AA573" s="164"/>
      <c r="AB573" s="164"/>
      <c r="AC573" s="164"/>
      <c r="AD573" s="164"/>
      <c r="AE573" s="24"/>
      <c r="AG573" s="2"/>
    </row>
    <row r="574" spans="4:33">
      <c r="D574" s="160"/>
      <c r="F574" s="145">
        <f t="shared" si="148"/>
        <v>0</v>
      </c>
      <c r="G574" s="145" t="e">
        <f t="shared" si="149"/>
        <v>#N/A</v>
      </c>
      <c r="H574" s="145" t="e">
        <f t="shared" si="150"/>
        <v>#N/A</v>
      </c>
      <c r="P574" s="342" t="e">
        <f>1-(INDEX(Muuttujat!$O$5:$O$21,MATCH($C574,Muuttujat!$N$5:$N$21,0),1))</f>
        <v>#N/A</v>
      </c>
      <c r="Q574" s="342" t="e">
        <f>INDEX(Muuttujat!$O$5:$O$21,MATCH($C574,Muuttujat!$N$5:$N$21,0),1)</f>
        <v>#N/A</v>
      </c>
      <c r="R574" s="162"/>
      <c r="S574" s="163"/>
      <c r="T574" s="163"/>
      <c r="U574" s="163"/>
      <c r="V574" s="163"/>
      <c r="W574" s="163"/>
      <c r="X574" s="163"/>
      <c r="Y574" s="160"/>
      <c r="Z574" s="164"/>
      <c r="AA574" s="164"/>
      <c r="AB574" s="164"/>
      <c r="AC574" s="164"/>
      <c r="AD574" s="164"/>
      <c r="AE574" s="24"/>
      <c r="AG574" s="2"/>
    </row>
    <row r="575" spans="4:33">
      <c r="D575" s="160"/>
      <c r="F575" s="145">
        <f t="shared" si="148"/>
        <v>0</v>
      </c>
      <c r="G575" s="145" t="e">
        <f t="shared" si="149"/>
        <v>#N/A</v>
      </c>
      <c r="H575" s="145" t="e">
        <f t="shared" si="150"/>
        <v>#N/A</v>
      </c>
      <c r="P575" s="342" t="e">
        <f>1-(INDEX(Muuttujat!$O$5:$O$21,MATCH($C575,Muuttujat!$N$5:$N$21,0),1))</f>
        <v>#N/A</v>
      </c>
      <c r="Q575" s="342" t="e">
        <f>INDEX(Muuttujat!$O$5:$O$21,MATCH($C575,Muuttujat!$N$5:$N$21,0),1)</f>
        <v>#N/A</v>
      </c>
      <c r="R575" s="162"/>
      <c r="S575" s="163"/>
      <c r="T575" s="163"/>
      <c r="U575" s="163"/>
      <c r="V575" s="163"/>
      <c r="W575" s="163"/>
      <c r="X575" s="163"/>
      <c r="Y575" s="160"/>
      <c r="Z575" s="164"/>
      <c r="AA575" s="164"/>
      <c r="AB575" s="164"/>
      <c r="AC575" s="164"/>
      <c r="AD575" s="164"/>
      <c r="AE575" s="24"/>
      <c r="AG575" s="2"/>
    </row>
    <row r="576" spans="4:33">
      <c r="D576" s="160"/>
      <c r="F576" s="145">
        <f t="shared" si="148"/>
        <v>0</v>
      </c>
      <c r="G576" s="145" t="e">
        <f t="shared" si="149"/>
        <v>#N/A</v>
      </c>
      <c r="H576" s="145" t="e">
        <f t="shared" si="150"/>
        <v>#N/A</v>
      </c>
      <c r="P576" s="342" t="e">
        <f>1-(INDEX(Muuttujat!$O$5:$O$21,MATCH($C576,Muuttujat!$N$5:$N$21,0),1))</f>
        <v>#N/A</v>
      </c>
      <c r="Q576" s="342" t="e">
        <f>INDEX(Muuttujat!$O$5:$O$21,MATCH($C576,Muuttujat!$N$5:$N$21,0),1)</f>
        <v>#N/A</v>
      </c>
      <c r="R576" s="162"/>
      <c r="S576" s="163"/>
      <c r="T576" s="163"/>
      <c r="U576" s="163"/>
      <c r="V576" s="163"/>
      <c r="W576" s="163"/>
      <c r="X576" s="163"/>
      <c r="Y576" s="160"/>
      <c r="Z576" s="164"/>
      <c r="AA576" s="164"/>
      <c r="AB576" s="164"/>
      <c r="AC576" s="164"/>
      <c r="AD576" s="164"/>
      <c r="AE576" s="24"/>
      <c r="AG576" s="2"/>
    </row>
    <row r="577" spans="4:33">
      <c r="D577" s="160"/>
      <c r="F577" s="145">
        <f t="shared" si="148"/>
        <v>0</v>
      </c>
      <c r="G577" s="145" t="e">
        <f t="shared" si="149"/>
        <v>#N/A</v>
      </c>
      <c r="H577" s="145" t="e">
        <f t="shared" si="150"/>
        <v>#N/A</v>
      </c>
      <c r="P577" s="342" t="e">
        <f>1-(INDEX(Muuttujat!$O$5:$O$21,MATCH($C577,Muuttujat!$N$5:$N$21,0),1))</f>
        <v>#N/A</v>
      </c>
      <c r="Q577" s="342" t="e">
        <f>INDEX(Muuttujat!$O$5:$O$21,MATCH($C577,Muuttujat!$N$5:$N$21,0),1)</f>
        <v>#N/A</v>
      </c>
      <c r="R577" s="162"/>
      <c r="S577" s="163"/>
      <c r="T577" s="163"/>
      <c r="U577" s="163"/>
      <c r="V577" s="163"/>
      <c r="W577" s="163"/>
      <c r="X577" s="163"/>
      <c r="Y577" s="160"/>
      <c r="Z577" s="164"/>
      <c r="AA577" s="164"/>
      <c r="AB577" s="164"/>
      <c r="AC577" s="164"/>
      <c r="AD577" s="164"/>
      <c r="AE577" s="24"/>
      <c r="AG577" s="2"/>
    </row>
    <row r="578" spans="4:33">
      <c r="D578" s="160"/>
      <c r="F578" s="145">
        <f t="shared" si="148"/>
        <v>0</v>
      </c>
      <c r="G578" s="145" t="e">
        <f t="shared" si="149"/>
        <v>#N/A</v>
      </c>
      <c r="H578" s="145" t="e">
        <f t="shared" si="150"/>
        <v>#N/A</v>
      </c>
      <c r="P578" s="342" t="e">
        <f>1-(INDEX(Muuttujat!$O$5:$O$21,MATCH($C578,Muuttujat!$N$5:$N$21,0),1))</f>
        <v>#N/A</v>
      </c>
      <c r="Q578" s="342" t="e">
        <f>INDEX(Muuttujat!$O$5:$O$21,MATCH($C578,Muuttujat!$N$5:$N$21,0),1)</f>
        <v>#N/A</v>
      </c>
      <c r="R578" s="162"/>
      <c r="S578" s="163"/>
      <c r="T578" s="163"/>
      <c r="U578" s="163"/>
      <c r="V578" s="163"/>
      <c r="W578" s="163"/>
      <c r="X578" s="163"/>
      <c r="Y578" s="160"/>
      <c r="Z578" s="164"/>
      <c r="AA578" s="164"/>
      <c r="AB578" s="164"/>
      <c r="AC578" s="164"/>
      <c r="AD578" s="164"/>
      <c r="AE578" s="24"/>
      <c r="AG578" s="2"/>
    </row>
    <row r="579" spans="4:33">
      <c r="D579" s="160"/>
      <c r="F579" s="145">
        <f t="shared" ref="F579:F642" si="151">IF(D579="pom",$E579*hv_pom,0)</f>
        <v>0</v>
      </c>
      <c r="G579" s="145" t="e">
        <f t="shared" si="149"/>
        <v>#N/A</v>
      </c>
      <c r="H579" s="145" t="e">
        <f t="shared" si="150"/>
        <v>#N/A</v>
      </c>
      <c r="P579" s="342" t="e">
        <f>1-(INDEX(Muuttujat!$O$5:$O$21,MATCH($C579,Muuttujat!$N$5:$N$21,0),1))</f>
        <v>#N/A</v>
      </c>
      <c r="Q579" s="342" t="e">
        <f>INDEX(Muuttujat!$O$5:$O$21,MATCH($C579,Muuttujat!$N$5:$N$21,0),1)</f>
        <v>#N/A</v>
      </c>
      <c r="R579" s="162"/>
      <c r="S579" s="163"/>
      <c r="T579" s="163"/>
      <c r="U579" s="163"/>
      <c r="V579" s="163"/>
      <c r="W579" s="163"/>
      <c r="X579" s="163"/>
      <c r="Y579" s="160"/>
      <c r="Z579" s="164"/>
      <c r="AA579" s="164"/>
      <c r="AB579" s="164"/>
      <c r="AC579" s="164"/>
      <c r="AD579" s="164"/>
      <c r="AE579" s="24"/>
      <c r="AG579" s="2"/>
    </row>
    <row r="580" spans="4:33">
      <c r="D580" s="160"/>
      <c r="F580" s="145">
        <f t="shared" si="151"/>
        <v>0</v>
      </c>
      <c r="G580" s="145" t="e">
        <f t="shared" ref="G580:G643" si="152">$F580*$P580</f>
        <v>#N/A</v>
      </c>
      <c r="H580" s="145" t="e">
        <f t="shared" ref="H580:H643" si="153">$F580*$Q580</f>
        <v>#N/A</v>
      </c>
      <c r="P580" s="342" t="e">
        <f>1-(INDEX(Muuttujat!$O$5:$O$21,MATCH($C580,Muuttujat!$N$5:$N$21,0),1))</f>
        <v>#N/A</v>
      </c>
      <c r="Q580" s="342" t="e">
        <f>INDEX(Muuttujat!$O$5:$O$21,MATCH($C580,Muuttujat!$N$5:$N$21,0),1)</f>
        <v>#N/A</v>
      </c>
      <c r="R580" s="162"/>
      <c r="S580" s="163"/>
      <c r="T580" s="163"/>
      <c r="U580" s="163"/>
      <c r="V580" s="163"/>
      <c r="W580" s="163"/>
      <c r="X580" s="163"/>
      <c r="Y580" s="160"/>
      <c r="Z580" s="164"/>
      <c r="AA580" s="164"/>
      <c r="AB580" s="164"/>
      <c r="AC580" s="164"/>
      <c r="AD580" s="164"/>
      <c r="AE580" s="24"/>
      <c r="AG580" s="2"/>
    </row>
    <row r="581" spans="4:33">
      <c r="D581" s="160"/>
      <c r="F581" s="145">
        <f t="shared" si="151"/>
        <v>0</v>
      </c>
      <c r="G581" s="145" t="e">
        <f t="shared" si="152"/>
        <v>#N/A</v>
      </c>
      <c r="H581" s="145" t="e">
        <f t="shared" si="153"/>
        <v>#N/A</v>
      </c>
      <c r="P581" s="342" t="e">
        <f>1-(INDEX(Muuttujat!$O$5:$O$21,MATCH($C581,Muuttujat!$N$5:$N$21,0),1))</f>
        <v>#N/A</v>
      </c>
      <c r="Q581" s="342" t="e">
        <f>INDEX(Muuttujat!$O$5:$O$21,MATCH($C581,Muuttujat!$N$5:$N$21,0),1)</f>
        <v>#N/A</v>
      </c>
      <c r="R581" s="162"/>
      <c r="S581" s="163"/>
      <c r="T581" s="163"/>
      <c r="U581" s="163"/>
      <c r="V581" s="163"/>
      <c r="W581" s="163"/>
      <c r="X581" s="163"/>
      <c r="Y581" s="160"/>
      <c r="Z581" s="164"/>
      <c r="AA581" s="164"/>
      <c r="AB581" s="164"/>
      <c r="AC581" s="164"/>
      <c r="AD581" s="164"/>
      <c r="AE581" s="24"/>
      <c r="AG581" s="2"/>
    </row>
    <row r="582" spans="4:33">
      <c r="D582" s="160"/>
      <c r="F582" s="145">
        <f t="shared" si="151"/>
        <v>0</v>
      </c>
      <c r="G582" s="145" t="e">
        <f t="shared" si="152"/>
        <v>#N/A</v>
      </c>
      <c r="H582" s="145" t="e">
        <f t="shared" si="153"/>
        <v>#N/A</v>
      </c>
      <c r="P582" s="342" t="e">
        <f>1-(INDEX(Muuttujat!$O$5:$O$21,MATCH($C582,Muuttujat!$N$5:$N$21,0),1))</f>
        <v>#N/A</v>
      </c>
      <c r="Q582" s="342" t="e">
        <f>INDEX(Muuttujat!$O$5:$O$21,MATCH($C582,Muuttujat!$N$5:$N$21,0),1)</f>
        <v>#N/A</v>
      </c>
      <c r="R582" s="162"/>
      <c r="S582" s="163"/>
      <c r="T582" s="163"/>
      <c r="U582" s="163"/>
      <c r="V582" s="163"/>
      <c r="W582" s="163"/>
      <c r="X582" s="163"/>
      <c r="Y582" s="160"/>
      <c r="Z582" s="164"/>
      <c r="AA582" s="164"/>
      <c r="AB582" s="164"/>
      <c r="AC582" s="164"/>
      <c r="AD582" s="164"/>
      <c r="AE582" s="24"/>
      <c r="AG582" s="2"/>
    </row>
    <row r="583" spans="4:33">
      <c r="D583" s="160"/>
      <c r="F583" s="145">
        <f t="shared" si="151"/>
        <v>0</v>
      </c>
      <c r="G583" s="145" t="e">
        <f t="shared" si="152"/>
        <v>#N/A</v>
      </c>
      <c r="H583" s="145" t="e">
        <f t="shared" si="153"/>
        <v>#N/A</v>
      </c>
      <c r="P583" s="342" t="e">
        <f>1-(INDEX(Muuttujat!$O$5:$O$21,MATCH($C583,Muuttujat!$N$5:$N$21,0),1))</f>
        <v>#N/A</v>
      </c>
      <c r="Q583" s="342" t="e">
        <f>INDEX(Muuttujat!$O$5:$O$21,MATCH($C583,Muuttujat!$N$5:$N$21,0),1)</f>
        <v>#N/A</v>
      </c>
      <c r="R583" s="162"/>
      <c r="S583" s="163"/>
      <c r="T583" s="163"/>
      <c r="U583" s="163"/>
      <c r="V583" s="163"/>
      <c r="W583" s="163"/>
      <c r="X583" s="163"/>
      <c r="Y583" s="160"/>
      <c r="Z583" s="164"/>
      <c r="AA583" s="164"/>
      <c r="AB583" s="164"/>
      <c r="AC583" s="164"/>
      <c r="AD583" s="164"/>
      <c r="AE583" s="24"/>
      <c r="AG583" s="2"/>
    </row>
    <row r="584" spans="4:33">
      <c r="D584" s="160"/>
      <c r="F584" s="145">
        <f t="shared" si="151"/>
        <v>0</v>
      </c>
      <c r="G584" s="145" t="e">
        <f t="shared" si="152"/>
        <v>#N/A</v>
      </c>
      <c r="H584" s="145" t="e">
        <f t="shared" si="153"/>
        <v>#N/A</v>
      </c>
      <c r="P584" s="342" t="e">
        <f>1-(INDEX(Muuttujat!$O$5:$O$21,MATCH($C584,Muuttujat!$N$5:$N$21,0),1))</f>
        <v>#N/A</v>
      </c>
      <c r="Q584" s="342" t="e">
        <f>INDEX(Muuttujat!$O$5:$O$21,MATCH($C584,Muuttujat!$N$5:$N$21,0),1)</f>
        <v>#N/A</v>
      </c>
      <c r="R584" s="162"/>
      <c r="S584" s="163"/>
      <c r="T584" s="163"/>
      <c r="U584" s="163"/>
      <c r="V584" s="163"/>
      <c r="W584" s="163"/>
      <c r="X584" s="163"/>
      <c r="Y584" s="160"/>
      <c r="Z584" s="164"/>
      <c r="AA584" s="164"/>
      <c r="AB584" s="164"/>
      <c r="AC584" s="164"/>
      <c r="AD584" s="164"/>
      <c r="AE584" s="24"/>
      <c r="AG584" s="2"/>
    </row>
    <row r="585" spans="4:33">
      <c r="D585" s="160"/>
      <c r="F585" s="145">
        <f t="shared" si="151"/>
        <v>0</v>
      </c>
      <c r="G585" s="145" t="e">
        <f t="shared" si="152"/>
        <v>#N/A</v>
      </c>
      <c r="H585" s="145" t="e">
        <f t="shared" si="153"/>
        <v>#N/A</v>
      </c>
      <c r="P585" s="342" t="e">
        <f>1-(INDEX(Muuttujat!$O$5:$O$21,MATCH($C585,Muuttujat!$N$5:$N$21,0),1))</f>
        <v>#N/A</v>
      </c>
      <c r="Q585" s="342" t="e">
        <f>INDEX(Muuttujat!$O$5:$O$21,MATCH($C585,Muuttujat!$N$5:$N$21,0),1)</f>
        <v>#N/A</v>
      </c>
      <c r="R585" s="162"/>
      <c r="S585" s="163"/>
      <c r="T585" s="163"/>
      <c r="U585" s="163"/>
      <c r="V585" s="163"/>
      <c r="W585" s="163"/>
      <c r="X585" s="163"/>
      <c r="Y585" s="160"/>
      <c r="Z585" s="164"/>
      <c r="AA585" s="164"/>
      <c r="AB585" s="164"/>
      <c r="AC585" s="164"/>
      <c r="AD585" s="164"/>
      <c r="AE585" s="24"/>
      <c r="AG585" s="2"/>
    </row>
    <row r="586" spans="4:33">
      <c r="D586" s="160"/>
      <c r="F586" s="145">
        <f t="shared" si="151"/>
        <v>0</v>
      </c>
      <c r="G586" s="145" t="e">
        <f t="shared" si="152"/>
        <v>#N/A</v>
      </c>
      <c r="H586" s="145" t="e">
        <f t="shared" si="153"/>
        <v>#N/A</v>
      </c>
      <c r="P586" s="342" t="e">
        <f>1-(INDEX(Muuttujat!$O$5:$O$21,MATCH($C586,Muuttujat!$N$5:$N$21,0),1))</f>
        <v>#N/A</v>
      </c>
      <c r="Q586" s="342" t="e">
        <f>INDEX(Muuttujat!$O$5:$O$21,MATCH($C586,Muuttujat!$N$5:$N$21,0),1)</f>
        <v>#N/A</v>
      </c>
      <c r="R586" s="162"/>
      <c r="S586" s="163"/>
      <c r="T586" s="163"/>
      <c r="U586" s="163"/>
      <c r="V586" s="163"/>
      <c r="W586" s="163"/>
      <c r="X586" s="163"/>
      <c r="Y586" s="160"/>
      <c r="Z586" s="164"/>
      <c r="AA586" s="164"/>
      <c r="AB586" s="164"/>
      <c r="AC586" s="164"/>
      <c r="AD586" s="164"/>
      <c r="AE586" s="24"/>
      <c r="AG586" s="2"/>
    </row>
    <row r="587" spans="4:33">
      <c r="D587" s="160"/>
      <c r="F587" s="145">
        <f t="shared" si="151"/>
        <v>0</v>
      </c>
      <c r="G587" s="145" t="e">
        <f t="shared" si="152"/>
        <v>#N/A</v>
      </c>
      <c r="H587" s="145" t="e">
        <f t="shared" si="153"/>
        <v>#N/A</v>
      </c>
      <c r="P587" s="342" t="e">
        <f>1-(INDEX(Muuttujat!$O$5:$O$21,MATCH($C587,Muuttujat!$N$5:$N$21,0),1))</f>
        <v>#N/A</v>
      </c>
      <c r="Q587" s="342" t="e">
        <f>INDEX(Muuttujat!$O$5:$O$21,MATCH($C587,Muuttujat!$N$5:$N$21,0),1)</f>
        <v>#N/A</v>
      </c>
      <c r="R587" s="162"/>
      <c r="S587" s="163"/>
      <c r="T587" s="163"/>
      <c r="U587" s="163"/>
      <c r="V587" s="163"/>
      <c r="W587" s="163"/>
      <c r="X587" s="163"/>
      <c r="Y587" s="160"/>
      <c r="Z587" s="164"/>
      <c r="AA587" s="164"/>
      <c r="AB587" s="164"/>
      <c r="AC587" s="164"/>
      <c r="AD587" s="164"/>
      <c r="AE587" s="24"/>
      <c r="AG587" s="2"/>
    </row>
    <row r="588" spans="4:33">
      <c r="D588" s="160"/>
      <c r="F588" s="145">
        <f t="shared" si="151"/>
        <v>0</v>
      </c>
      <c r="G588" s="145" t="e">
        <f t="shared" si="152"/>
        <v>#N/A</v>
      </c>
      <c r="H588" s="145" t="e">
        <f t="shared" si="153"/>
        <v>#N/A</v>
      </c>
      <c r="P588" s="342" t="e">
        <f>1-(INDEX(Muuttujat!$O$5:$O$21,MATCH($C588,Muuttujat!$N$5:$N$21,0),1))</f>
        <v>#N/A</v>
      </c>
      <c r="Q588" s="342" t="e">
        <f>INDEX(Muuttujat!$O$5:$O$21,MATCH($C588,Muuttujat!$N$5:$N$21,0),1)</f>
        <v>#N/A</v>
      </c>
      <c r="R588" s="162"/>
      <c r="S588" s="163"/>
      <c r="T588" s="163"/>
      <c r="U588" s="163"/>
      <c r="V588" s="163"/>
      <c r="W588" s="163"/>
      <c r="X588" s="163"/>
      <c r="Y588" s="160"/>
      <c r="Z588" s="164"/>
      <c r="AA588" s="164"/>
      <c r="AB588" s="164"/>
      <c r="AC588" s="164"/>
      <c r="AD588" s="164"/>
      <c r="AE588" s="24"/>
      <c r="AG588" s="2"/>
    </row>
    <row r="589" spans="4:33">
      <c r="D589" s="160"/>
      <c r="F589" s="145">
        <f t="shared" si="151"/>
        <v>0</v>
      </c>
      <c r="G589" s="145" t="e">
        <f t="shared" si="152"/>
        <v>#N/A</v>
      </c>
      <c r="H589" s="145" t="e">
        <f t="shared" si="153"/>
        <v>#N/A</v>
      </c>
      <c r="P589" s="342" t="e">
        <f>1-(INDEX(Muuttujat!$O$5:$O$21,MATCH($C589,Muuttujat!$N$5:$N$21,0),1))</f>
        <v>#N/A</v>
      </c>
      <c r="Q589" s="342" t="e">
        <f>INDEX(Muuttujat!$O$5:$O$21,MATCH($C589,Muuttujat!$N$5:$N$21,0),1)</f>
        <v>#N/A</v>
      </c>
      <c r="R589" s="162"/>
      <c r="S589" s="163"/>
      <c r="T589" s="163"/>
      <c r="U589" s="163"/>
      <c r="V589" s="163"/>
      <c r="W589" s="163"/>
      <c r="X589" s="163"/>
      <c r="Y589" s="160"/>
      <c r="Z589" s="164"/>
      <c r="AA589" s="164"/>
      <c r="AB589" s="164"/>
      <c r="AC589" s="164"/>
      <c r="AD589" s="164"/>
      <c r="AE589" s="24"/>
      <c r="AG589" s="2"/>
    </row>
    <row r="590" spans="4:33">
      <c r="D590" s="160"/>
      <c r="F590" s="145">
        <f t="shared" si="151"/>
        <v>0</v>
      </c>
      <c r="G590" s="145" t="e">
        <f t="shared" si="152"/>
        <v>#N/A</v>
      </c>
      <c r="H590" s="145" t="e">
        <f t="shared" si="153"/>
        <v>#N/A</v>
      </c>
      <c r="P590" s="342" t="e">
        <f>1-(INDEX(Muuttujat!$O$5:$O$21,MATCH($C590,Muuttujat!$N$5:$N$21,0),1))</f>
        <v>#N/A</v>
      </c>
      <c r="Q590" s="342" t="e">
        <f>INDEX(Muuttujat!$O$5:$O$21,MATCH($C590,Muuttujat!$N$5:$N$21,0),1)</f>
        <v>#N/A</v>
      </c>
      <c r="R590" s="162"/>
      <c r="S590" s="163"/>
      <c r="T590" s="163"/>
      <c r="U590" s="163"/>
      <c r="V590" s="163"/>
      <c r="W590" s="163"/>
      <c r="X590" s="163"/>
      <c r="Y590" s="160"/>
      <c r="Z590" s="164"/>
      <c r="AA590" s="164"/>
      <c r="AB590" s="164"/>
      <c r="AC590" s="164"/>
      <c r="AD590" s="164"/>
      <c r="AE590" s="24"/>
      <c r="AG590" s="2"/>
    </row>
    <row r="591" spans="4:33">
      <c r="D591" s="160"/>
      <c r="F591" s="145">
        <f t="shared" si="151"/>
        <v>0</v>
      </c>
      <c r="G591" s="145" t="e">
        <f t="shared" si="152"/>
        <v>#N/A</v>
      </c>
      <c r="H591" s="145" t="e">
        <f t="shared" si="153"/>
        <v>#N/A</v>
      </c>
      <c r="P591" s="342" t="e">
        <f>1-(INDEX(Muuttujat!$O$5:$O$21,MATCH($C591,Muuttujat!$N$5:$N$21,0),1))</f>
        <v>#N/A</v>
      </c>
      <c r="Q591" s="342" t="e">
        <f>INDEX(Muuttujat!$O$5:$O$21,MATCH($C591,Muuttujat!$N$5:$N$21,0),1)</f>
        <v>#N/A</v>
      </c>
      <c r="R591" s="162"/>
      <c r="S591" s="163"/>
      <c r="T591" s="163"/>
      <c r="U591" s="163"/>
      <c r="V591" s="163"/>
      <c r="W591" s="163"/>
      <c r="X591" s="163"/>
      <c r="Y591" s="160"/>
      <c r="Z591" s="164"/>
      <c r="AA591" s="164"/>
      <c r="AB591" s="164"/>
      <c r="AC591" s="164"/>
      <c r="AD591" s="164"/>
      <c r="AE591" s="24"/>
      <c r="AG591" s="2"/>
    </row>
    <row r="592" spans="4:33">
      <c r="D592" s="160"/>
      <c r="F592" s="145">
        <f t="shared" si="151"/>
        <v>0</v>
      </c>
      <c r="G592" s="145" t="e">
        <f t="shared" si="152"/>
        <v>#N/A</v>
      </c>
      <c r="H592" s="145" t="e">
        <f t="shared" si="153"/>
        <v>#N/A</v>
      </c>
      <c r="P592" s="342" t="e">
        <f>1-(INDEX(Muuttujat!$O$5:$O$21,MATCH($C592,Muuttujat!$N$5:$N$21,0),1))</f>
        <v>#N/A</v>
      </c>
      <c r="Q592" s="342" t="e">
        <f>INDEX(Muuttujat!$O$5:$O$21,MATCH($C592,Muuttujat!$N$5:$N$21,0),1)</f>
        <v>#N/A</v>
      </c>
      <c r="R592" s="162"/>
      <c r="S592" s="163"/>
      <c r="T592" s="163"/>
      <c r="U592" s="163"/>
      <c r="V592" s="163"/>
      <c r="W592" s="163"/>
      <c r="X592" s="163"/>
      <c r="Y592" s="160"/>
      <c r="Z592" s="164"/>
      <c r="AA592" s="164"/>
      <c r="AB592" s="164"/>
      <c r="AC592" s="164"/>
      <c r="AD592" s="164"/>
      <c r="AE592" s="24"/>
      <c r="AG592" s="2"/>
    </row>
    <row r="593" spans="4:33">
      <c r="D593" s="160"/>
      <c r="F593" s="145">
        <f t="shared" si="151"/>
        <v>0</v>
      </c>
      <c r="G593" s="145" t="e">
        <f t="shared" si="152"/>
        <v>#N/A</v>
      </c>
      <c r="H593" s="145" t="e">
        <f t="shared" si="153"/>
        <v>#N/A</v>
      </c>
      <c r="P593" s="342" t="e">
        <f>1-(INDEX(Muuttujat!$O$5:$O$21,MATCH($C593,Muuttujat!$N$5:$N$21,0),1))</f>
        <v>#N/A</v>
      </c>
      <c r="Q593" s="342" t="e">
        <f>INDEX(Muuttujat!$O$5:$O$21,MATCH($C593,Muuttujat!$N$5:$N$21,0),1)</f>
        <v>#N/A</v>
      </c>
      <c r="R593" s="162"/>
      <c r="S593" s="163"/>
      <c r="T593" s="163"/>
      <c r="U593" s="163"/>
      <c r="V593" s="163"/>
      <c r="W593" s="163"/>
      <c r="X593" s="163"/>
      <c r="Y593" s="160"/>
      <c r="Z593" s="164"/>
      <c r="AA593" s="164"/>
      <c r="AB593" s="164"/>
      <c r="AC593" s="164"/>
      <c r="AD593" s="164"/>
      <c r="AE593" s="24"/>
      <c r="AG593" s="2"/>
    </row>
    <row r="594" spans="4:33">
      <c r="D594" s="160"/>
      <c r="F594" s="145">
        <f t="shared" si="151"/>
        <v>0</v>
      </c>
      <c r="G594" s="145" t="e">
        <f t="shared" si="152"/>
        <v>#N/A</v>
      </c>
      <c r="H594" s="145" t="e">
        <f t="shared" si="153"/>
        <v>#N/A</v>
      </c>
      <c r="P594" s="342" t="e">
        <f>1-(INDEX(Muuttujat!$O$5:$O$21,MATCH($C594,Muuttujat!$N$5:$N$21,0),1))</f>
        <v>#N/A</v>
      </c>
      <c r="Q594" s="342" t="e">
        <f>INDEX(Muuttujat!$O$5:$O$21,MATCH($C594,Muuttujat!$N$5:$N$21,0),1)</f>
        <v>#N/A</v>
      </c>
      <c r="R594" s="162"/>
      <c r="S594" s="163"/>
      <c r="T594" s="163"/>
      <c r="U594" s="163"/>
      <c r="V594" s="163"/>
      <c r="W594" s="163"/>
      <c r="X594" s="163"/>
      <c r="Y594" s="160"/>
      <c r="Z594" s="164"/>
      <c r="AA594" s="164"/>
      <c r="AB594" s="164"/>
      <c r="AC594" s="164"/>
      <c r="AD594" s="164"/>
      <c r="AE594" s="24"/>
      <c r="AG594" s="2"/>
    </row>
    <row r="595" spans="4:33">
      <c r="D595" s="160"/>
      <c r="F595" s="145">
        <f t="shared" si="151"/>
        <v>0</v>
      </c>
      <c r="G595" s="145" t="e">
        <f t="shared" si="152"/>
        <v>#N/A</v>
      </c>
      <c r="H595" s="145" t="e">
        <f t="shared" si="153"/>
        <v>#N/A</v>
      </c>
      <c r="P595" s="342" t="e">
        <f>1-(INDEX(Muuttujat!$O$5:$O$21,MATCH($C595,Muuttujat!$N$5:$N$21,0),1))</f>
        <v>#N/A</v>
      </c>
      <c r="Q595" s="342" t="e">
        <f>INDEX(Muuttujat!$O$5:$O$21,MATCH($C595,Muuttujat!$N$5:$N$21,0),1)</f>
        <v>#N/A</v>
      </c>
      <c r="R595" s="162"/>
      <c r="S595" s="163"/>
      <c r="T595" s="163"/>
      <c r="U595" s="163"/>
      <c r="V595" s="163"/>
      <c r="W595" s="163"/>
      <c r="X595" s="163"/>
      <c r="Y595" s="160"/>
      <c r="Z595" s="164"/>
      <c r="AA595" s="164"/>
      <c r="AB595" s="164"/>
      <c r="AC595" s="164"/>
      <c r="AD595" s="164"/>
      <c r="AE595" s="24"/>
      <c r="AG595" s="2"/>
    </row>
    <row r="596" spans="4:33">
      <c r="D596" s="160"/>
      <c r="F596" s="145">
        <f t="shared" si="151"/>
        <v>0</v>
      </c>
      <c r="G596" s="145" t="e">
        <f t="shared" si="152"/>
        <v>#N/A</v>
      </c>
      <c r="H596" s="145" t="e">
        <f t="shared" si="153"/>
        <v>#N/A</v>
      </c>
      <c r="P596" s="342" t="e">
        <f>1-(INDEX(Muuttujat!$O$5:$O$21,MATCH($C596,Muuttujat!$N$5:$N$21,0),1))</f>
        <v>#N/A</v>
      </c>
      <c r="Q596" s="342" t="e">
        <f>INDEX(Muuttujat!$O$5:$O$21,MATCH($C596,Muuttujat!$N$5:$N$21,0),1)</f>
        <v>#N/A</v>
      </c>
      <c r="R596" s="162"/>
      <c r="S596" s="163"/>
      <c r="T596" s="163"/>
      <c r="U596" s="163"/>
      <c r="V596" s="163"/>
      <c r="W596" s="163"/>
      <c r="X596" s="163"/>
      <c r="Y596" s="160"/>
      <c r="Z596" s="164"/>
      <c r="AA596" s="164"/>
      <c r="AB596" s="164"/>
      <c r="AC596" s="164"/>
      <c r="AD596" s="164"/>
      <c r="AE596" s="24"/>
      <c r="AG596" s="2"/>
    </row>
    <row r="597" spans="4:33">
      <c r="D597" s="160"/>
      <c r="F597" s="145">
        <f t="shared" si="151"/>
        <v>0</v>
      </c>
      <c r="G597" s="145" t="e">
        <f t="shared" si="152"/>
        <v>#N/A</v>
      </c>
      <c r="H597" s="145" t="e">
        <f t="shared" si="153"/>
        <v>#N/A</v>
      </c>
      <c r="P597" s="342" t="e">
        <f>1-(INDEX(Muuttujat!$O$5:$O$21,MATCH($C597,Muuttujat!$N$5:$N$21,0),1))</f>
        <v>#N/A</v>
      </c>
      <c r="Q597" s="342" t="e">
        <f>INDEX(Muuttujat!$O$5:$O$21,MATCH($C597,Muuttujat!$N$5:$N$21,0),1)</f>
        <v>#N/A</v>
      </c>
      <c r="R597" s="162"/>
      <c r="S597" s="163"/>
      <c r="T597" s="163"/>
      <c r="U597" s="163"/>
      <c r="V597" s="163"/>
      <c r="W597" s="163"/>
      <c r="X597" s="163"/>
      <c r="Y597" s="160"/>
      <c r="Z597" s="164"/>
      <c r="AA597" s="164"/>
      <c r="AB597" s="164"/>
      <c r="AC597" s="164"/>
      <c r="AD597" s="164"/>
      <c r="AE597" s="24"/>
      <c r="AG597" s="2"/>
    </row>
    <row r="598" spans="4:33">
      <c r="D598" s="160"/>
      <c r="F598" s="145">
        <f t="shared" si="151"/>
        <v>0</v>
      </c>
      <c r="G598" s="145" t="e">
        <f t="shared" si="152"/>
        <v>#N/A</v>
      </c>
      <c r="H598" s="145" t="e">
        <f t="shared" si="153"/>
        <v>#N/A</v>
      </c>
      <c r="P598" s="342" t="e">
        <f>1-(INDEX(Muuttujat!$O$5:$O$21,MATCH($C598,Muuttujat!$N$5:$N$21,0),1))</f>
        <v>#N/A</v>
      </c>
      <c r="Q598" s="342" t="e">
        <f>INDEX(Muuttujat!$O$5:$O$21,MATCH($C598,Muuttujat!$N$5:$N$21,0),1)</f>
        <v>#N/A</v>
      </c>
      <c r="R598" s="162"/>
      <c r="S598" s="163"/>
      <c r="T598" s="163"/>
      <c r="U598" s="163"/>
      <c r="V598" s="163"/>
      <c r="W598" s="163"/>
      <c r="X598" s="163"/>
      <c r="Y598" s="160"/>
      <c r="Z598" s="164"/>
      <c r="AA598" s="164"/>
      <c r="AB598" s="164"/>
      <c r="AC598" s="164"/>
      <c r="AD598" s="164"/>
      <c r="AE598" s="24"/>
      <c r="AG598" s="2"/>
    </row>
    <row r="599" spans="4:33">
      <c r="D599" s="160"/>
      <c r="F599" s="145">
        <f t="shared" si="151"/>
        <v>0</v>
      </c>
      <c r="G599" s="145" t="e">
        <f t="shared" si="152"/>
        <v>#N/A</v>
      </c>
      <c r="H599" s="145" t="e">
        <f t="shared" si="153"/>
        <v>#N/A</v>
      </c>
      <c r="P599" s="342" t="e">
        <f>1-(INDEX(Muuttujat!$O$5:$O$21,MATCH($C599,Muuttujat!$N$5:$N$21,0),1))</f>
        <v>#N/A</v>
      </c>
      <c r="Q599" s="342" t="e">
        <f>INDEX(Muuttujat!$O$5:$O$21,MATCH($C599,Muuttujat!$N$5:$N$21,0),1)</f>
        <v>#N/A</v>
      </c>
      <c r="R599" s="162"/>
      <c r="S599" s="163"/>
      <c r="T599" s="163"/>
      <c r="U599" s="163"/>
      <c r="V599" s="163"/>
      <c r="W599" s="163"/>
      <c r="X599" s="163"/>
      <c r="Y599" s="160"/>
      <c r="Z599" s="164"/>
      <c r="AA599" s="164"/>
      <c r="AB599" s="164"/>
      <c r="AC599" s="164"/>
      <c r="AD599" s="164"/>
      <c r="AE599" s="24"/>
      <c r="AG599" s="2"/>
    </row>
    <row r="600" spans="4:33">
      <c r="D600" s="160"/>
      <c r="F600" s="145">
        <f t="shared" si="151"/>
        <v>0</v>
      </c>
      <c r="G600" s="145" t="e">
        <f t="shared" si="152"/>
        <v>#N/A</v>
      </c>
      <c r="H600" s="145" t="e">
        <f t="shared" si="153"/>
        <v>#N/A</v>
      </c>
      <c r="P600" s="342" t="e">
        <f>1-(INDEX(Muuttujat!$O$5:$O$21,MATCH($C600,Muuttujat!$N$5:$N$21,0),1))</f>
        <v>#N/A</v>
      </c>
      <c r="Q600" s="342" t="e">
        <f>INDEX(Muuttujat!$O$5:$O$21,MATCH($C600,Muuttujat!$N$5:$N$21,0),1)</f>
        <v>#N/A</v>
      </c>
      <c r="R600" s="162"/>
      <c r="S600" s="163"/>
      <c r="T600" s="163"/>
      <c r="U600" s="163"/>
      <c r="V600" s="163"/>
      <c r="W600" s="163"/>
      <c r="X600" s="163"/>
      <c r="Y600" s="160"/>
      <c r="Z600" s="164"/>
      <c r="AA600" s="164"/>
      <c r="AB600" s="164"/>
      <c r="AC600" s="164"/>
      <c r="AD600" s="164"/>
      <c r="AE600" s="24"/>
      <c r="AG600" s="2"/>
    </row>
    <row r="601" spans="4:33">
      <c r="D601" s="160"/>
      <c r="F601" s="145">
        <f t="shared" si="151"/>
        <v>0</v>
      </c>
      <c r="G601" s="145" t="e">
        <f t="shared" si="152"/>
        <v>#N/A</v>
      </c>
      <c r="H601" s="145" t="e">
        <f t="shared" si="153"/>
        <v>#N/A</v>
      </c>
      <c r="P601" s="342" t="e">
        <f>1-(INDEX(Muuttujat!$O$5:$O$21,MATCH($C601,Muuttujat!$N$5:$N$21,0),1))</f>
        <v>#N/A</v>
      </c>
      <c r="Q601" s="342" t="e">
        <f>INDEX(Muuttujat!$O$5:$O$21,MATCH($C601,Muuttujat!$N$5:$N$21,0),1)</f>
        <v>#N/A</v>
      </c>
      <c r="R601" s="162"/>
      <c r="S601" s="163"/>
      <c r="T601" s="163"/>
      <c r="U601" s="163"/>
      <c r="V601" s="163"/>
      <c r="W601" s="163"/>
      <c r="X601" s="163"/>
      <c r="Y601" s="160"/>
      <c r="Z601" s="164"/>
      <c r="AA601" s="164"/>
      <c r="AB601" s="164"/>
      <c r="AC601" s="164"/>
      <c r="AD601" s="164"/>
      <c r="AE601" s="24"/>
      <c r="AG601" s="2"/>
    </row>
    <row r="602" spans="4:33">
      <c r="D602" s="160"/>
      <c r="F602" s="145">
        <f t="shared" si="151"/>
        <v>0</v>
      </c>
      <c r="G602" s="145" t="e">
        <f t="shared" si="152"/>
        <v>#N/A</v>
      </c>
      <c r="H602" s="145" t="e">
        <f t="shared" si="153"/>
        <v>#N/A</v>
      </c>
      <c r="P602" s="342" t="e">
        <f>1-(INDEX(Muuttujat!$O$5:$O$21,MATCH($C602,Muuttujat!$N$5:$N$21,0),1))</f>
        <v>#N/A</v>
      </c>
      <c r="Q602" s="342" t="e">
        <f>INDEX(Muuttujat!$O$5:$O$21,MATCH($C602,Muuttujat!$N$5:$N$21,0),1)</f>
        <v>#N/A</v>
      </c>
      <c r="R602" s="162"/>
      <c r="S602" s="163"/>
      <c r="T602" s="163"/>
      <c r="U602" s="163"/>
      <c r="V602" s="163"/>
      <c r="W602" s="163"/>
      <c r="X602" s="163"/>
      <c r="Y602" s="160"/>
      <c r="Z602" s="164"/>
      <c r="AA602" s="164"/>
      <c r="AB602" s="164"/>
      <c r="AC602" s="164"/>
      <c r="AD602" s="164"/>
      <c r="AE602" s="24"/>
      <c r="AG602" s="2"/>
    </row>
    <row r="603" spans="4:33">
      <c r="D603" s="160"/>
      <c r="F603" s="145">
        <f t="shared" si="151"/>
        <v>0</v>
      </c>
      <c r="G603" s="145" t="e">
        <f t="shared" si="152"/>
        <v>#N/A</v>
      </c>
      <c r="H603" s="145" t="e">
        <f t="shared" si="153"/>
        <v>#N/A</v>
      </c>
      <c r="P603" s="342" t="e">
        <f>1-(INDEX(Muuttujat!$O$5:$O$21,MATCH($C603,Muuttujat!$N$5:$N$21,0),1))</f>
        <v>#N/A</v>
      </c>
      <c r="Q603" s="342" t="e">
        <f>INDEX(Muuttujat!$O$5:$O$21,MATCH($C603,Muuttujat!$N$5:$N$21,0),1)</f>
        <v>#N/A</v>
      </c>
      <c r="R603" s="162"/>
      <c r="S603" s="163"/>
      <c r="T603" s="163"/>
      <c r="U603" s="163"/>
      <c r="V603" s="163"/>
      <c r="W603" s="163"/>
      <c r="X603" s="163"/>
      <c r="Y603" s="160"/>
      <c r="Z603" s="164"/>
      <c r="AA603" s="164"/>
      <c r="AB603" s="164"/>
      <c r="AC603" s="164"/>
      <c r="AD603" s="164"/>
      <c r="AE603" s="24"/>
      <c r="AG603" s="2"/>
    </row>
    <row r="604" spans="4:33">
      <c r="D604" s="160"/>
      <c r="F604" s="145">
        <f t="shared" si="151"/>
        <v>0</v>
      </c>
      <c r="G604" s="145" t="e">
        <f t="shared" si="152"/>
        <v>#N/A</v>
      </c>
      <c r="H604" s="145" t="e">
        <f t="shared" si="153"/>
        <v>#N/A</v>
      </c>
      <c r="P604" s="342" t="e">
        <f>1-(INDEX(Muuttujat!$O$5:$O$21,MATCH($C604,Muuttujat!$N$5:$N$21,0),1))</f>
        <v>#N/A</v>
      </c>
      <c r="Q604" s="342" t="e">
        <f>INDEX(Muuttujat!$O$5:$O$21,MATCH($C604,Muuttujat!$N$5:$N$21,0),1)</f>
        <v>#N/A</v>
      </c>
      <c r="R604" s="162"/>
      <c r="S604" s="163"/>
      <c r="T604" s="163"/>
      <c r="U604" s="163"/>
      <c r="V604" s="163"/>
      <c r="W604" s="163"/>
      <c r="X604" s="163"/>
      <c r="Y604" s="160"/>
      <c r="Z604" s="164"/>
      <c r="AA604" s="164"/>
      <c r="AB604" s="164"/>
      <c r="AC604" s="164"/>
      <c r="AD604" s="164"/>
      <c r="AE604" s="24"/>
      <c r="AG604" s="2"/>
    </row>
    <row r="605" spans="4:33">
      <c r="D605" s="160"/>
      <c r="F605" s="145">
        <f t="shared" si="151"/>
        <v>0</v>
      </c>
      <c r="G605" s="145" t="e">
        <f t="shared" si="152"/>
        <v>#N/A</v>
      </c>
      <c r="H605" s="145" t="e">
        <f t="shared" si="153"/>
        <v>#N/A</v>
      </c>
      <c r="P605" s="342" t="e">
        <f>1-(INDEX(Muuttujat!$O$5:$O$21,MATCH($C605,Muuttujat!$N$5:$N$21,0),1))</f>
        <v>#N/A</v>
      </c>
      <c r="Q605" s="342" t="e">
        <f>INDEX(Muuttujat!$O$5:$O$21,MATCH($C605,Muuttujat!$N$5:$N$21,0),1)</f>
        <v>#N/A</v>
      </c>
      <c r="R605" s="162"/>
      <c r="S605" s="163"/>
      <c r="T605" s="163"/>
      <c r="U605" s="163"/>
      <c r="V605" s="163"/>
      <c r="W605" s="163"/>
      <c r="X605" s="163"/>
      <c r="Y605" s="160"/>
      <c r="Z605" s="164"/>
      <c r="AA605" s="164"/>
      <c r="AB605" s="164"/>
      <c r="AC605" s="164"/>
      <c r="AD605" s="164"/>
      <c r="AE605" s="24"/>
      <c r="AG605" s="2"/>
    </row>
    <row r="606" spans="4:33">
      <c r="D606" s="160"/>
      <c r="F606" s="145">
        <f t="shared" si="151"/>
        <v>0</v>
      </c>
      <c r="G606" s="145" t="e">
        <f t="shared" si="152"/>
        <v>#N/A</v>
      </c>
      <c r="H606" s="145" t="e">
        <f t="shared" si="153"/>
        <v>#N/A</v>
      </c>
      <c r="P606" s="342" t="e">
        <f>1-(INDEX(Muuttujat!$O$5:$O$21,MATCH($C606,Muuttujat!$N$5:$N$21,0),1))</f>
        <v>#N/A</v>
      </c>
      <c r="Q606" s="342" t="e">
        <f>INDEX(Muuttujat!$O$5:$O$21,MATCH($C606,Muuttujat!$N$5:$N$21,0),1)</f>
        <v>#N/A</v>
      </c>
      <c r="R606" s="162"/>
      <c r="S606" s="163"/>
      <c r="T606" s="163"/>
      <c r="U606" s="163"/>
      <c r="V606" s="163"/>
      <c r="W606" s="163"/>
      <c r="X606" s="163"/>
      <c r="Y606" s="160"/>
      <c r="Z606" s="164"/>
      <c r="AA606" s="164"/>
      <c r="AB606" s="164"/>
      <c r="AC606" s="164"/>
      <c r="AD606" s="164"/>
      <c r="AE606" s="24"/>
      <c r="AG606" s="2"/>
    </row>
    <row r="607" spans="4:33">
      <c r="D607" s="160"/>
      <c r="F607" s="145">
        <f t="shared" si="151"/>
        <v>0</v>
      </c>
      <c r="G607" s="145" t="e">
        <f t="shared" si="152"/>
        <v>#N/A</v>
      </c>
      <c r="H607" s="145" t="e">
        <f t="shared" si="153"/>
        <v>#N/A</v>
      </c>
      <c r="P607" s="342" t="e">
        <f>1-(INDEX(Muuttujat!$O$5:$O$21,MATCH($C607,Muuttujat!$N$5:$N$21,0),1))</f>
        <v>#N/A</v>
      </c>
      <c r="Q607" s="342" t="e">
        <f>INDEX(Muuttujat!$O$5:$O$21,MATCH($C607,Muuttujat!$N$5:$N$21,0),1)</f>
        <v>#N/A</v>
      </c>
      <c r="R607" s="162"/>
      <c r="S607" s="163"/>
      <c r="T607" s="163"/>
      <c r="U607" s="163"/>
      <c r="V607" s="163"/>
      <c r="W607" s="163"/>
      <c r="X607" s="163"/>
      <c r="Y607" s="160"/>
      <c r="Z607" s="164"/>
      <c r="AA607" s="164"/>
      <c r="AB607" s="164"/>
      <c r="AC607" s="164"/>
      <c r="AD607" s="164"/>
      <c r="AE607" s="24"/>
      <c r="AG607" s="2"/>
    </row>
    <row r="608" spans="4:33">
      <c r="D608" s="160"/>
      <c r="F608" s="145">
        <f t="shared" si="151"/>
        <v>0</v>
      </c>
      <c r="G608" s="145" t="e">
        <f t="shared" si="152"/>
        <v>#N/A</v>
      </c>
      <c r="H608" s="145" t="e">
        <f t="shared" si="153"/>
        <v>#N/A</v>
      </c>
      <c r="P608" s="342" t="e">
        <f>1-(INDEX(Muuttujat!$O$5:$O$21,MATCH($C608,Muuttujat!$N$5:$N$21,0),1))</f>
        <v>#N/A</v>
      </c>
      <c r="Q608" s="342" t="e">
        <f>INDEX(Muuttujat!$O$5:$O$21,MATCH($C608,Muuttujat!$N$5:$N$21,0),1)</f>
        <v>#N/A</v>
      </c>
      <c r="R608" s="162"/>
      <c r="S608" s="163"/>
      <c r="T608" s="163"/>
      <c r="U608" s="163"/>
      <c r="V608" s="163"/>
      <c r="W608" s="163"/>
      <c r="X608" s="163"/>
      <c r="Y608" s="160"/>
      <c r="Z608" s="164"/>
      <c r="AA608" s="164"/>
      <c r="AB608" s="164"/>
      <c r="AC608" s="164"/>
      <c r="AD608" s="164"/>
      <c r="AE608" s="24"/>
      <c r="AG608" s="2"/>
    </row>
    <row r="609" spans="4:33">
      <c r="D609" s="160"/>
      <c r="F609" s="145">
        <f t="shared" si="151"/>
        <v>0</v>
      </c>
      <c r="G609" s="145" t="e">
        <f t="shared" si="152"/>
        <v>#N/A</v>
      </c>
      <c r="H609" s="145" t="e">
        <f t="shared" si="153"/>
        <v>#N/A</v>
      </c>
      <c r="P609" s="342" t="e">
        <f>1-(INDEX(Muuttujat!$O$5:$O$21,MATCH($C609,Muuttujat!$N$5:$N$21,0),1))</f>
        <v>#N/A</v>
      </c>
      <c r="Q609" s="342" t="e">
        <f>INDEX(Muuttujat!$O$5:$O$21,MATCH($C609,Muuttujat!$N$5:$N$21,0),1)</f>
        <v>#N/A</v>
      </c>
      <c r="R609" s="162"/>
      <c r="S609" s="163"/>
      <c r="T609" s="163"/>
      <c r="U609" s="163"/>
      <c r="V609" s="163"/>
      <c r="W609" s="163"/>
      <c r="X609" s="163"/>
      <c r="Y609" s="160"/>
      <c r="Z609" s="164"/>
      <c r="AA609" s="164"/>
      <c r="AB609" s="164"/>
      <c r="AC609" s="164"/>
      <c r="AD609" s="164"/>
      <c r="AE609" s="24"/>
      <c r="AG609" s="2"/>
    </row>
    <row r="610" spans="4:33">
      <c r="D610" s="160"/>
      <c r="F610" s="145">
        <f t="shared" si="151"/>
        <v>0</v>
      </c>
      <c r="G610" s="145" t="e">
        <f t="shared" si="152"/>
        <v>#N/A</v>
      </c>
      <c r="H610" s="145" t="e">
        <f t="shared" si="153"/>
        <v>#N/A</v>
      </c>
      <c r="P610" s="342" t="e">
        <f>1-(INDEX(Muuttujat!$O$5:$O$21,MATCH($C610,Muuttujat!$N$5:$N$21,0),1))</f>
        <v>#N/A</v>
      </c>
      <c r="Q610" s="342" t="e">
        <f>INDEX(Muuttujat!$O$5:$O$21,MATCH($C610,Muuttujat!$N$5:$N$21,0),1)</f>
        <v>#N/A</v>
      </c>
      <c r="R610" s="162"/>
      <c r="S610" s="163"/>
      <c r="T610" s="163"/>
      <c r="U610" s="163"/>
      <c r="V610" s="163"/>
      <c r="W610" s="163"/>
      <c r="X610" s="163"/>
      <c r="Y610" s="160"/>
      <c r="Z610" s="164"/>
      <c r="AA610" s="164"/>
      <c r="AB610" s="164"/>
      <c r="AC610" s="164"/>
      <c r="AD610" s="164"/>
      <c r="AE610" s="24"/>
      <c r="AG610" s="2"/>
    </row>
    <row r="611" spans="4:33">
      <c r="D611" s="160"/>
      <c r="F611" s="145">
        <f t="shared" si="151"/>
        <v>0</v>
      </c>
      <c r="G611" s="145" t="e">
        <f t="shared" si="152"/>
        <v>#N/A</v>
      </c>
      <c r="H611" s="145" t="e">
        <f t="shared" si="153"/>
        <v>#N/A</v>
      </c>
      <c r="P611" s="342" t="e">
        <f>1-(INDEX(Muuttujat!$O$5:$O$21,MATCH($C611,Muuttujat!$N$5:$N$21,0),1))</f>
        <v>#N/A</v>
      </c>
      <c r="Q611" s="342" t="e">
        <f>INDEX(Muuttujat!$O$5:$O$21,MATCH($C611,Muuttujat!$N$5:$N$21,0),1)</f>
        <v>#N/A</v>
      </c>
      <c r="R611" s="162"/>
      <c r="S611" s="163"/>
      <c r="T611" s="163"/>
      <c r="U611" s="163"/>
      <c r="V611" s="163"/>
      <c r="W611" s="163"/>
      <c r="X611" s="163"/>
      <c r="Y611" s="160"/>
      <c r="Z611" s="164"/>
      <c r="AA611" s="164"/>
      <c r="AB611" s="164"/>
      <c r="AC611" s="164"/>
      <c r="AD611" s="164"/>
      <c r="AE611" s="24"/>
      <c r="AG611" s="2"/>
    </row>
    <row r="612" spans="4:33">
      <c r="D612" s="160"/>
      <c r="F612" s="145">
        <f t="shared" si="151"/>
        <v>0</v>
      </c>
      <c r="G612" s="145" t="e">
        <f t="shared" si="152"/>
        <v>#N/A</v>
      </c>
      <c r="H612" s="145" t="e">
        <f t="shared" si="153"/>
        <v>#N/A</v>
      </c>
      <c r="P612" s="342" t="e">
        <f>1-(INDEX(Muuttujat!$O$5:$O$21,MATCH($C612,Muuttujat!$N$5:$N$21,0),1))</f>
        <v>#N/A</v>
      </c>
      <c r="Q612" s="342" t="e">
        <f>INDEX(Muuttujat!$O$5:$O$21,MATCH($C612,Muuttujat!$N$5:$N$21,0),1)</f>
        <v>#N/A</v>
      </c>
      <c r="R612" s="162"/>
      <c r="S612" s="163"/>
      <c r="T612" s="163"/>
      <c r="U612" s="163"/>
      <c r="V612" s="163"/>
      <c r="W612" s="163"/>
      <c r="X612" s="163"/>
      <c r="Y612" s="160"/>
      <c r="Z612" s="164"/>
      <c r="AA612" s="164"/>
      <c r="AB612" s="164"/>
      <c r="AC612" s="164"/>
      <c r="AD612" s="164"/>
      <c r="AE612" s="24"/>
      <c r="AG612" s="2"/>
    </row>
    <row r="613" spans="4:33">
      <c r="D613" s="160"/>
      <c r="F613" s="145">
        <f t="shared" si="151"/>
        <v>0</v>
      </c>
      <c r="G613" s="145" t="e">
        <f t="shared" si="152"/>
        <v>#N/A</v>
      </c>
      <c r="H613" s="145" t="e">
        <f t="shared" si="153"/>
        <v>#N/A</v>
      </c>
      <c r="P613" s="342" t="e">
        <f>1-(INDEX(Muuttujat!$O$5:$O$21,MATCH($C613,Muuttujat!$N$5:$N$21,0),1))</f>
        <v>#N/A</v>
      </c>
      <c r="Q613" s="342" t="e">
        <f>INDEX(Muuttujat!$O$5:$O$21,MATCH($C613,Muuttujat!$N$5:$N$21,0),1)</f>
        <v>#N/A</v>
      </c>
      <c r="R613" s="162"/>
      <c r="S613" s="163"/>
      <c r="T613" s="163"/>
      <c r="U613" s="163"/>
      <c r="V613" s="163"/>
      <c r="W613" s="163"/>
      <c r="X613" s="163"/>
      <c r="Y613" s="160"/>
      <c r="Z613" s="164"/>
      <c r="AA613" s="164"/>
      <c r="AB613" s="164"/>
      <c r="AC613" s="164"/>
      <c r="AD613" s="164"/>
      <c r="AE613" s="24"/>
      <c r="AG613" s="2"/>
    </row>
    <row r="614" spans="4:33">
      <c r="D614" s="160"/>
      <c r="F614" s="145">
        <f t="shared" si="151"/>
        <v>0</v>
      </c>
      <c r="G614" s="145" t="e">
        <f t="shared" si="152"/>
        <v>#N/A</v>
      </c>
      <c r="H614" s="145" t="e">
        <f t="shared" si="153"/>
        <v>#N/A</v>
      </c>
      <c r="P614" s="342" t="e">
        <f>1-(INDEX(Muuttujat!$O$5:$O$21,MATCH($C614,Muuttujat!$N$5:$N$21,0),1))</f>
        <v>#N/A</v>
      </c>
      <c r="Q614" s="342" t="e">
        <f>INDEX(Muuttujat!$O$5:$O$21,MATCH($C614,Muuttujat!$N$5:$N$21,0),1)</f>
        <v>#N/A</v>
      </c>
      <c r="R614" s="162"/>
      <c r="S614" s="163"/>
      <c r="T614" s="163"/>
      <c r="U614" s="163"/>
      <c r="V614" s="163"/>
      <c r="W614" s="163"/>
      <c r="X614" s="163"/>
      <c r="Y614" s="160"/>
      <c r="Z614" s="164"/>
      <c r="AA614" s="164"/>
      <c r="AB614" s="164"/>
      <c r="AC614" s="164"/>
      <c r="AD614" s="164"/>
      <c r="AE614" s="24"/>
      <c r="AG614" s="2"/>
    </row>
    <row r="615" spans="4:33">
      <c r="D615" s="160"/>
      <c r="F615" s="145">
        <f t="shared" si="151"/>
        <v>0</v>
      </c>
      <c r="G615" s="145" t="e">
        <f t="shared" si="152"/>
        <v>#N/A</v>
      </c>
      <c r="H615" s="145" t="e">
        <f t="shared" si="153"/>
        <v>#N/A</v>
      </c>
      <c r="P615" s="342" t="e">
        <f>1-(INDEX(Muuttujat!$O$5:$O$21,MATCH($C615,Muuttujat!$N$5:$N$21,0),1))</f>
        <v>#N/A</v>
      </c>
      <c r="Q615" s="342" t="e">
        <f>INDEX(Muuttujat!$O$5:$O$21,MATCH($C615,Muuttujat!$N$5:$N$21,0),1)</f>
        <v>#N/A</v>
      </c>
      <c r="R615" s="162"/>
      <c r="S615" s="163"/>
      <c r="T615" s="163"/>
      <c r="U615" s="163"/>
      <c r="V615" s="163"/>
      <c r="W615" s="163"/>
      <c r="X615" s="163"/>
      <c r="Y615" s="160"/>
      <c r="Z615" s="164"/>
      <c r="AA615" s="164"/>
      <c r="AB615" s="164"/>
      <c r="AC615" s="164"/>
      <c r="AD615" s="164"/>
      <c r="AE615" s="24"/>
      <c r="AG615" s="2"/>
    </row>
    <row r="616" spans="4:33">
      <c r="D616" s="160"/>
      <c r="F616" s="145">
        <f t="shared" si="151"/>
        <v>0</v>
      </c>
      <c r="G616" s="145" t="e">
        <f t="shared" si="152"/>
        <v>#N/A</v>
      </c>
      <c r="H616" s="145" t="e">
        <f t="shared" si="153"/>
        <v>#N/A</v>
      </c>
      <c r="P616" s="342" t="e">
        <f>1-(INDEX(Muuttujat!$O$5:$O$21,MATCH($C616,Muuttujat!$N$5:$N$21,0),1))</f>
        <v>#N/A</v>
      </c>
      <c r="Q616" s="342" t="e">
        <f>INDEX(Muuttujat!$O$5:$O$21,MATCH($C616,Muuttujat!$N$5:$N$21,0),1)</f>
        <v>#N/A</v>
      </c>
      <c r="R616" s="162"/>
      <c r="S616" s="163"/>
      <c r="T616" s="163"/>
      <c r="U616" s="163"/>
      <c r="V616" s="163"/>
      <c r="W616" s="163"/>
      <c r="X616" s="163"/>
      <c r="Y616" s="160"/>
      <c r="Z616" s="164"/>
      <c r="AA616" s="164"/>
      <c r="AB616" s="164"/>
      <c r="AC616" s="164"/>
      <c r="AD616" s="164"/>
      <c r="AE616" s="24"/>
      <c r="AG616" s="2"/>
    </row>
    <row r="617" spans="4:33">
      <c r="D617" s="160"/>
      <c r="F617" s="145">
        <f t="shared" si="151"/>
        <v>0</v>
      </c>
      <c r="G617" s="145" t="e">
        <f t="shared" si="152"/>
        <v>#N/A</v>
      </c>
      <c r="H617" s="145" t="e">
        <f t="shared" si="153"/>
        <v>#N/A</v>
      </c>
      <c r="P617" s="342" t="e">
        <f>1-(INDEX(Muuttujat!$O$5:$O$21,MATCH($C617,Muuttujat!$N$5:$N$21,0),1))</f>
        <v>#N/A</v>
      </c>
      <c r="Q617" s="342" t="e">
        <f>INDEX(Muuttujat!$O$5:$O$21,MATCH($C617,Muuttujat!$N$5:$N$21,0),1)</f>
        <v>#N/A</v>
      </c>
      <c r="R617" s="162"/>
      <c r="S617" s="163"/>
      <c r="T617" s="163"/>
      <c r="U617" s="163"/>
      <c r="V617" s="163"/>
      <c r="W617" s="163"/>
      <c r="X617" s="163"/>
      <c r="Y617" s="160"/>
      <c r="Z617" s="164"/>
      <c r="AA617" s="164"/>
      <c r="AB617" s="164"/>
      <c r="AC617" s="164"/>
      <c r="AD617" s="164"/>
      <c r="AE617" s="24"/>
      <c r="AG617" s="2"/>
    </row>
    <row r="618" spans="4:33">
      <c r="D618" s="160"/>
      <c r="F618" s="145">
        <f t="shared" si="151"/>
        <v>0</v>
      </c>
      <c r="G618" s="145" t="e">
        <f t="shared" si="152"/>
        <v>#N/A</v>
      </c>
      <c r="H618" s="145" t="e">
        <f t="shared" si="153"/>
        <v>#N/A</v>
      </c>
      <c r="P618" s="342" t="e">
        <f>1-(INDEX(Muuttujat!$O$5:$O$21,MATCH($C618,Muuttujat!$N$5:$N$21,0),1))</f>
        <v>#N/A</v>
      </c>
      <c r="Q618" s="342" t="e">
        <f>INDEX(Muuttujat!$O$5:$O$21,MATCH($C618,Muuttujat!$N$5:$N$21,0),1)</f>
        <v>#N/A</v>
      </c>
      <c r="R618" s="162"/>
      <c r="S618" s="163"/>
      <c r="T618" s="163"/>
      <c r="U618" s="163"/>
      <c r="V618" s="163"/>
      <c r="W618" s="163"/>
      <c r="X618" s="163"/>
      <c r="Y618" s="160"/>
      <c r="Z618" s="164"/>
      <c r="AA618" s="164"/>
      <c r="AB618" s="164"/>
      <c r="AC618" s="164"/>
      <c r="AD618" s="164"/>
      <c r="AE618" s="24"/>
      <c r="AG618" s="2"/>
    </row>
    <row r="619" spans="4:33">
      <c r="D619" s="160"/>
      <c r="F619" s="145">
        <f t="shared" si="151"/>
        <v>0</v>
      </c>
      <c r="G619" s="145" t="e">
        <f t="shared" si="152"/>
        <v>#N/A</v>
      </c>
      <c r="H619" s="145" t="e">
        <f t="shared" si="153"/>
        <v>#N/A</v>
      </c>
      <c r="P619" s="342" t="e">
        <f>1-(INDEX(Muuttujat!$O$5:$O$21,MATCH($C619,Muuttujat!$N$5:$N$21,0),1))</f>
        <v>#N/A</v>
      </c>
      <c r="Q619" s="342" t="e">
        <f>INDEX(Muuttujat!$O$5:$O$21,MATCH($C619,Muuttujat!$N$5:$N$21,0),1)</f>
        <v>#N/A</v>
      </c>
      <c r="R619" s="162"/>
      <c r="S619" s="163"/>
      <c r="T619" s="163"/>
      <c r="U619" s="163"/>
      <c r="V619" s="163"/>
      <c r="W619" s="163"/>
      <c r="X619" s="163"/>
      <c r="Y619" s="160"/>
      <c r="Z619" s="164"/>
      <c r="AA619" s="164"/>
      <c r="AB619" s="164"/>
      <c r="AC619" s="164"/>
      <c r="AD619" s="164"/>
      <c r="AE619" s="24"/>
      <c r="AG619" s="2"/>
    </row>
    <row r="620" spans="4:33">
      <c r="D620" s="160"/>
      <c r="F620" s="145">
        <f t="shared" si="151"/>
        <v>0</v>
      </c>
      <c r="G620" s="145" t="e">
        <f t="shared" si="152"/>
        <v>#N/A</v>
      </c>
      <c r="H620" s="145" t="e">
        <f t="shared" si="153"/>
        <v>#N/A</v>
      </c>
      <c r="P620" s="342" t="e">
        <f>1-(INDEX(Muuttujat!$O$5:$O$21,MATCH($C620,Muuttujat!$N$5:$N$21,0),1))</f>
        <v>#N/A</v>
      </c>
      <c r="Q620" s="342" t="e">
        <f>INDEX(Muuttujat!$O$5:$O$21,MATCH($C620,Muuttujat!$N$5:$N$21,0),1)</f>
        <v>#N/A</v>
      </c>
      <c r="R620" s="162"/>
      <c r="S620" s="163"/>
      <c r="T620" s="163"/>
      <c r="U620" s="163"/>
      <c r="V620" s="163"/>
      <c r="W620" s="163"/>
      <c r="X620" s="163"/>
      <c r="Y620" s="160"/>
      <c r="Z620" s="164"/>
      <c r="AA620" s="164"/>
      <c r="AB620" s="164"/>
      <c r="AC620" s="164"/>
      <c r="AD620" s="164"/>
      <c r="AE620" s="24"/>
      <c r="AG620" s="2"/>
    </row>
    <row r="621" spans="4:33">
      <c r="D621" s="160"/>
      <c r="F621" s="145">
        <f t="shared" si="151"/>
        <v>0</v>
      </c>
      <c r="G621" s="145" t="e">
        <f t="shared" si="152"/>
        <v>#N/A</v>
      </c>
      <c r="H621" s="145" t="e">
        <f t="shared" si="153"/>
        <v>#N/A</v>
      </c>
      <c r="P621" s="342" t="e">
        <f>1-(INDEX(Muuttujat!$O$5:$O$21,MATCH($C621,Muuttujat!$N$5:$N$21,0),1))</f>
        <v>#N/A</v>
      </c>
      <c r="Q621" s="342" t="e">
        <f>INDEX(Muuttujat!$O$5:$O$21,MATCH($C621,Muuttujat!$N$5:$N$21,0),1)</f>
        <v>#N/A</v>
      </c>
      <c r="R621" s="162"/>
      <c r="S621" s="163"/>
      <c r="T621" s="163"/>
      <c r="U621" s="163"/>
      <c r="V621" s="163"/>
      <c r="W621" s="163"/>
      <c r="X621" s="163"/>
      <c r="Y621" s="160"/>
      <c r="Z621" s="164"/>
      <c r="AA621" s="164"/>
      <c r="AB621" s="164"/>
      <c r="AC621" s="164"/>
      <c r="AD621" s="164"/>
      <c r="AE621" s="24"/>
      <c r="AG621" s="2"/>
    </row>
    <row r="622" spans="4:33">
      <c r="D622" s="160"/>
      <c r="F622" s="145">
        <f t="shared" si="151"/>
        <v>0</v>
      </c>
      <c r="G622" s="145" t="e">
        <f t="shared" si="152"/>
        <v>#N/A</v>
      </c>
      <c r="H622" s="145" t="e">
        <f t="shared" si="153"/>
        <v>#N/A</v>
      </c>
      <c r="P622" s="342" t="e">
        <f>1-(INDEX(Muuttujat!$O$5:$O$21,MATCH($C622,Muuttujat!$N$5:$N$21,0),1))</f>
        <v>#N/A</v>
      </c>
      <c r="Q622" s="342" t="e">
        <f>INDEX(Muuttujat!$O$5:$O$21,MATCH($C622,Muuttujat!$N$5:$N$21,0),1)</f>
        <v>#N/A</v>
      </c>
      <c r="R622" s="162"/>
      <c r="S622" s="163"/>
      <c r="T622" s="163"/>
      <c r="U622" s="163"/>
      <c r="V622" s="163"/>
      <c r="W622" s="163"/>
      <c r="X622" s="163"/>
      <c r="Y622" s="160"/>
      <c r="Z622" s="164"/>
      <c r="AA622" s="164"/>
      <c r="AB622" s="164"/>
      <c r="AC622" s="164"/>
      <c r="AD622" s="164"/>
      <c r="AE622" s="24"/>
      <c r="AG622" s="2"/>
    </row>
    <row r="623" spans="4:33">
      <c r="D623" s="160"/>
      <c r="F623" s="145">
        <f t="shared" si="151"/>
        <v>0</v>
      </c>
      <c r="G623" s="145" t="e">
        <f t="shared" si="152"/>
        <v>#N/A</v>
      </c>
      <c r="H623" s="145" t="e">
        <f t="shared" si="153"/>
        <v>#N/A</v>
      </c>
      <c r="P623" s="342" t="e">
        <f>1-(INDEX(Muuttujat!$O$5:$O$21,MATCH($C623,Muuttujat!$N$5:$N$21,0),1))</f>
        <v>#N/A</v>
      </c>
      <c r="Q623" s="342" t="e">
        <f>INDEX(Muuttujat!$O$5:$O$21,MATCH($C623,Muuttujat!$N$5:$N$21,0),1)</f>
        <v>#N/A</v>
      </c>
      <c r="R623" s="162"/>
      <c r="S623" s="163"/>
      <c r="T623" s="163"/>
      <c r="U623" s="163"/>
      <c r="V623" s="163"/>
      <c r="W623" s="163"/>
      <c r="X623" s="163"/>
      <c r="Y623" s="160"/>
      <c r="Z623" s="164"/>
      <c r="AA623" s="164"/>
      <c r="AB623" s="164"/>
      <c r="AC623" s="164"/>
      <c r="AD623" s="164"/>
      <c r="AE623" s="24"/>
      <c r="AG623" s="2"/>
    </row>
    <row r="624" spans="4:33">
      <c r="D624" s="160"/>
      <c r="F624" s="145">
        <f t="shared" si="151"/>
        <v>0</v>
      </c>
      <c r="G624" s="145" t="e">
        <f t="shared" si="152"/>
        <v>#N/A</v>
      </c>
      <c r="H624" s="145" t="e">
        <f t="shared" si="153"/>
        <v>#N/A</v>
      </c>
      <c r="P624" s="342" t="e">
        <f>1-(INDEX(Muuttujat!$O$5:$O$21,MATCH($C624,Muuttujat!$N$5:$N$21,0),1))</f>
        <v>#N/A</v>
      </c>
      <c r="Q624" s="342" t="e">
        <f>INDEX(Muuttujat!$O$5:$O$21,MATCH($C624,Muuttujat!$N$5:$N$21,0),1)</f>
        <v>#N/A</v>
      </c>
      <c r="R624" s="162"/>
      <c r="S624" s="163"/>
      <c r="T624" s="163"/>
      <c r="U624" s="163"/>
      <c r="V624" s="163"/>
      <c r="W624" s="163"/>
      <c r="X624" s="163"/>
      <c r="Y624" s="160"/>
      <c r="Z624" s="164"/>
      <c r="AA624" s="164"/>
      <c r="AB624" s="164"/>
      <c r="AC624" s="164"/>
      <c r="AD624" s="164"/>
      <c r="AE624" s="24"/>
      <c r="AG624" s="2"/>
    </row>
    <row r="625" spans="4:33">
      <c r="D625" s="160"/>
      <c r="F625" s="145">
        <f t="shared" si="151"/>
        <v>0</v>
      </c>
      <c r="G625" s="145" t="e">
        <f t="shared" si="152"/>
        <v>#N/A</v>
      </c>
      <c r="H625" s="145" t="e">
        <f t="shared" si="153"/>
        <v>#N/A</v>
      </c>
      <c r="P625" s="342" t="e">
        <f>1-(INDEX(Muuttujat!$O$5:$O$21,MATCH($C625,Muuttujat!$N$5:$N$21,0),1))</f>
        <v>#N/A</v>
      </c>
      <c r="Q625" s="342" t="e">
        <f>INDEX(Muuttujat!$O$5:$O$21,MATCH($C625,Muuttujat!$N$5:$N$21,0),1)</f>
        <v>#N/A</v>
      </c>
      <c r="R625" s="162"/>
      <c r="S625" s="163"/>
      <c r="T625" s="163"/>
      <c r="U625" s="163"/>
      <c r="V625" s="163"/>
      <c r="W625" s="163"/>
      <c r="X625" s="163"/>
      <c r="Y625" s="160"/>
      <c r="Z625" s="164"/>
      <c r="AA625" s="164"/>
      <c r="AB625" s="164"/>
      <c r="AC625" s="164"/>
      <c r="AD625" s="164"/>
      <c r="AE625" s="24"/>
      <c r="AG625" s="2"/>
    </row>
    <row r="626" spans="4:33">
      <c r="D626" s="160"/>
      <c r="F626" s="145">
        <f t="shared" si="151"/>
        <v>0</v>
      </c>
      <c r="G626" s="145" t="e">
        <f t="shared" si="152"/>
        <v>#N/A</v>
      </c>
      <c r="H626" s="145" t="e">
        <f t="shared" si="153"/>
        <v>#N/A</v>
      </c>
      <c r="P626" s="342" t="e">
        <f>1-(INDEX(Muuttujat!$O$5:$O$21,MATCH($C626,Muuttujat!$N$5:$N$21,0),1))</f>
        <v>#N/A</v>
      </c>
      <c r="Q626" s="342" t="e">
        <f>INDEX(Muuttujat!$O$5:$O$21,MATCH($C626,Muuttujat!$N$5:$N$21,0),1)</f>
        <v>#N/A</v>
      </c>
      <c r="R626" s="162"/>
      <c r="S626" s="163"/>
      <c r="T626" s="163"/>
      <c r="U626" s="163"/>
      <c r="V626" s="163"/>
      <c r="W626" s="163"/>
      <c r="X626" s="163"/>
      <c r="Y626" s="160"/>
      <c r="Z626" s="164"/>
      <c r="AA626" s="164"/>
      <c r="AB626" s="164"/>
      <c r="AC626" s="164"/>
      <c r="AD626" s="164"/>
      <c r="AE626" s="24"/>
      <c r="AG626" s="2"/>
    </row>
    <row r="627" spans="4:33">
      <c r="D627" s="160"/>
      <c r="F627" s="145">
        <f t="shared" si="151"/>
        <v>0</v>
      </c>
      <c r="G627" s="145" t="e">
        <f t="shared" si="152"/>
        <v>#N/A</v>
      </c>
      <c r="H627" s="145" t="e">
        <f t="shared" si="153"/>
        <v>#N/A</v>
      </c>
      <c r="P627" s="342" t="e">
        <f>1-(INDEX(Muuttujat!$O$5:$O$21,MATCH($C627,Muuttujat!$N$5:$N$21,0),1))</f>
        <v>#N/A</v>
      </c>
      <c r="Q627" s="342" t="e">
        <f>INDEX(Muuttujat!$O$5:$O$21,MATCH($C627,Muuttujat!$N$5:$N$21,0),1)</f>
        <v>#N/A</v>
      </c>
      <c r="R627" s="162"/>
      <c r="S627" s="163"/>
      <c r="T627" s="163"/>
      <c r="U627" s="163"/>
      <c r="V627" s="163"/>
      <c r="W627" s="163"/>
      <c r="X627" s="163"/>
      <c r="Y627" s="160"/>
      <c r="Z627" s="164"/>
      <c r="AA627" s="164"/>
      <c r="AB627" s="164"/>
      <c r="AC627" s="164"/>
      <c r="AD627" s="164"/>
      <c r="AE627" s="24"/>
      <c r="AG627" s="2"/>
    </row>
    <row r="628" spans="4:33">
      <c r="D628" s="160"/>
      <c r="F628" s="145">
        <f t="shared" si="151"/>
        <v>0</v>
      </c>
      <c r="G628" s="145" t="e">
        <f t="shared" si="152"/>
        <v>#N/A</v>
      </c>
      <c r="H628" s="145" t="e">
        <f t="shared" si="153"/>
        <v>#N/A</v>
      </c>
      <c r="P628" s="342" t="e">
        <f>1-(INDEX(Muuttujat!$O$5:$O$21,MATCH($C628,Muuttujat!$N$5:$N$21,0),1))</f>
        <v>#N/A</v>
      </c>
      <c r="Q628" s="342" t="e">
        <f>INDEX(Muuttujat!$O$5:$O$21,MATCH($C628,Muuttujat!$N$5:$N$21,0),1)</f>
        <v>#N/A</v>
      </c>
      <c r="R628" s="162"/>
      <c r="S628" s="163"/>
      <c r="T628" s="163"/>
      <c r="U628" s="163"/>
      <c r="V628" s="163"/>
      <c r="W628" s="163"/>
      <c r="X628" s="163"/>
      <c r="Y628" s="160"/>
      <c r="Z628" s="164"/>
      <c r="AA628" s="164"/>
      <c r="AB628" s="164"/>
      <c r="AC628" s="164"/>
      <c r="AD628" s="164"/>
      <c r="AE628" s="24"/>
      <c r="AG628" s="2"/>
    </row>
    <row r="629" spans="4:33">
      <c r="D629" s="160"/>
      <c r="F629" s="145">
        <f t="shared" si="151"/>
        <v>0</v>
      </c>
      <c r="G629" s="145" t="e">
        <f t="shared" si="152"/>
        <v>#N/A</v>
      </c>
      <c r="H629" s="145" t="e">
        <f t="shared" si="153"/>
        <v>#N/A</v>
      </c>
      <c r="P629" s="342" t="e">
        <f>1-(INDEX(Muuttujat!$O$5:$O$21,MATCH($C629,Muuttujat!$N$5:$N$21,0),1))</f>
        <v>#N/A</v>
      </c>
      <c r="Q629" s="342" t="e">
        <f>INDEX(Muuttujat!$O$5:$O$21,MATCH($C629,Muuttujat!$N$5:$N$21,0),1)</f>
        <v>#N/A</v>
      </c>
      <c r="R629" s="162"/>
      <c r="S629" s="163"/>
      <c r="T629" s="163"/>
      <c r="U629" s="163"/>
      <c r="V629" s="163"/>
      <c r="W629" s="163"/>
      <c r="X629" s="163"/>
      <c r="Y629" s="160"/>
      <c r="Z629" s="164"/>
      <c r="AA629" s="164"/>
      <c r="AB629" s="164"/>
      <c r="AC629" s="164"/>
      <c r="AD629" s="164"/>
      <c r="AE629" s="24"/>
      <c r="AG629" s="2"/>
    </row>
    <row r="630" spans="4:33">
      <c r="D630" s="160"/>
      <c r="F630" s="145">
        <f t="shared" si="151"/>
        <v>0</v>
      </c>
      <c r="G630" s="145" t="e">
        <f t="shared" si="152"/>
        <v>#N/A</v>
      </c>
      <c r="H630" s="145" t="e">
        <f t="shared" si="153"/>
        <v>#N/A</v>
      </c>
      <c r="P630" s="342" t="e">
        <f>1-(INDEX(Muuttujat!$O$5:$O$21,MATCH($C630,Muuttujat!$N$5:$N$21,0),1))</f>
        <v>#N/A</v>
      </c>
      <c r="Q630" s="342" t="e">
        <f>INDEX(Muuttujat!$O$5:$O$21,MATCH($C630,Muuttujat!$N$5:$N$21,0),1)</f>
        <v>#N/A</v>
      </c>
      <c r="R630" s="162"/>
      <c r="S630" s="163"/>
      <c r="T630" s="163"/>
      <c r="U630" s="163"/>
      <c r="V630" s="163"/>
      <c r="W630" s="163"/>
      <c r="X630" s="163"/>
      <c r="Y630" s="160"/>
      <c r="Z630" s="164"/>
      <c r="AA630" s="164"/>
      <c r="AB630" s="164"/>
      <c r="AC630" s="164"/>
      <c r="AD630" s="164"/>
      <c r="AE630" s="24"/>
      <c r="AG630" s="2"/>
    </row>
    <row r="631" spans="4:33">
      <c r="D631" s="160"/>
      <c r="F631" s="145">
        <f t="shared" si="151"/>
        <v>0</v>
      </c>
      <c r="G631" s="145" t="e">
        <f t="shared" si="152"/>
        <v>#N/A</v>
      </c>
      <c r="H631" s="145" t="e">
        <f t="shared" si="153"/>
        <v>#N/A</v>
      </c>
      <c r="P631" s="342" t="e">
        <f>1-(INDEX(Muuttujat!$O$5:$O$21,MATCH($C631,Muuttujat!$N$5:$N$21,0),1))</f>
        <v>#N/A</v>
      </c>
      <c r="Q631" s="342" t="e">
        <f>INDEX(Muuttujat!$O$5:$O$21,MATCH($C631,Muuttujat!$N$5:$N$21,0),1)</f>
        <v>#N/A</v>
      </c>
      <c r="R631" s="162"/>
      <c r="S631" s="163"/>
      <c r="T631" s="163"/>
      <c r="U631" s="163"/>
      <c r="V631" s="163"/>
      <c r="W631" s="163"/>
      <c r="X631" s="163"/>
      <c r="Y631" s="160"/>
      <c r="Z631" s="164"/>
      <c r="AA631" s="164"/>
      <c r="AB631" s="164"/>
      <c r="AC631" s="164"/>
      <c r="AD631" s="164"/>
      <c r="AE631" s="24"/>
      <c r="AG631" s="2"/>
    </row>
    <row r="632" spans="4:33">
      <c r="D632" s="160"/>
      <c r="F632" s="145">
        <f t="shared" si="151"/>
        <v>0</v>
      </c>
      <c r="G632" s="145" t="e">
        <f t="shared" si="152"/>
        <v>#N/A</v>
      </c>
      <c r="H632" s="145" t="e">
        <f t="shared" si="153"/>
        <v>#N/A</v>
      </c>
      <c r="P632" s="342" t="e">
        <f>1-(INDEX(Muuttujat!$O$5:$O$21,MATCH($C632,Muuttujat!$N$5:$N$21,0),1))</f>
        <v>#N/A</v>
      </c>
      <c r="Q632" s="342" t="e">
        <f>INDEX(Muuttujat!$O$5:$O$21,MATCH($C632,Muuttujat!$N$5:$N$21,0),1)</f>
        <v>#N/A</v>
      </c>
      <c r="R632" s="162"/>
      <c r="S632" s="163"/>
      <c r="T632" s="163"/>
      <c r="U632" s="163"/>
      <c r="V632" s="163"/>
      <c r="W632" s="163"/>
      <c r="X632" s="163"/>
      <c r="Y632" s="160"/>
      <c r="Z632" s="164"/>
      <c r="AA632" s="164"/>
      <c r="AB632" s="164"/>
      <c r="AC632" s="164"/>
      <c r="AD632" s="164"/>
      <c r="AE632" s="24"/>
      <c r="AG632" s="2"/>
    </row>
    <row r="633" spans="4:33">
      <c r="D633" s="160"/>
      <c r="F633" s="145">
        <f t="shared" si="151"/>
        <v>0</v>
      </c>
      <c r="G633" s="145" t="e">
        <f t="shared" si="152"/>
        <v>#N/A</v>
      </c>
      <c r="H633" s="145" t="e">
        <f t="shared" si="153"/>
        <v>#N/A</v>
      </c>
      <c r="P633" s="342" t="e">
        <f>1-(INDEX(Muuttujat!$O$5:$O$21,MATCH($C633,Muuttujat!$N$5:$N$21,0),1))</f>
        <v>#N/A</v>
      </c>
      <c r="Q633" s="342" t="e">
        <f>INDEX(Muuttujat!$O$5:$O$21,MATCH($C633,Muuttujat!$N$5:$N$21,0),1)</f>
        <v>#N/A</v>
      </c>
      <c r="R633" s="162"/>
      <c r="S633" s="163"/>
      <c r="T633" s="163"/>
      <c r="U633" s="163"/>
      <c r="V633" s="163"/>
      <c r="W633" s="163"/>
      <c r="X633" s="163"/>
      <c r="Y633" s="160"/>
      <c r="Z633" s="164"/>
      <c r="AA633" s="164"/>
      <c r="AB633" s="164"/>
      <c r="AC633" s="164"/>
      <c r="AD633" s="164"/>
      <c r="AE633" s="24"/>
      <c r="AG633" s="2"/>
    </row>
    <row r="634" spans="4:33">
      <c r="D634" s="160"/>
      <c r="F634" s="145">
        <f t="shared" si="151"/>
        <v>0</v>
      </c>
      <c r="G634" s="145" t="e">
        <f t="shared" si="152"/>
        <v>#N/A</v>
      </c>
      <c r="H634" s="145" t="e">
        <f t="shared" si="153"/>
        <v>#N/A</v>
      </c>
      <c r="P634" s="342" t="e">
        <f>1-(INDEX(Muuttujat!$O$5:$O$21,MATCH($C634,Muuttujat!$N$5:$N$21,0),1))</f>
        <v>#N/A</v>
      </c>
      <c r="Q634" s="342" t="e">
        <f>INDEX(Muuttujat!$O$5:$O$21,MATCH($C634,Muuttujat!$N$5:$N$21,0),1)</f>
        <v>#N/A</v>
      </c>
      <c r="R634" s="162"/>
      <c r="S634" s="163"/>
      <c r="T634" s="163"/>
      <c r="U634" s="163"/>
      <c r="V634" s="163"/>
      <c r="W634" s="163"/>
      <c r="X634" s="163"/>
      <c r="Y634" s="160"/>
      <c r="Z634" s="164"/>
      <c r="AA634" s="164"/>
      <c r="AB634" s="164"/>
      <c r="AC634" s="164"/>
      <c r="AD634" s="164"/>
      <c r="AE634" s="24"/>
      <c r="AG634" s="2"/>
    </row>
    <row r="635" spans="4:33">
      <c r="D635" s="160"/>
      <c r="F635" s="145">
        <f t="shared" si="151"/>
        <v>0</v>
      </c>
      <c r="G635" s="145" t="e">
        <f t="shared" si="152"/>
        <v>#N/A</v>
      </c>
      <c r="H635" s="145" t="e">
        <f t="shared" si="153"/>
        <v>#N/A</v>
      </c>
      <c r="P635" s="342" t="e">
        <f>1-(INDEX(Muuttujat!$O$5:$O$21,MATCH($C635,Muuttujat!$N$5:$N$21,0),1))</f>
        <v>#N/A</v>
      </c>
      <c r="Q635" s="342" t="e">
        <f>INDEX(Muuttujat!$O$5:$O$21,MATCH($C635,Muuttujat!$N$5:$N$21,0),1)</f>
        <v>#N/A</v>
      </c>
      <c r="R635" s="162"/>
      <c r="S635" s="163"/>
      <c r="T635" s="163"/>
      <c r="U635" s="163"/>
      <c r="V635" s="163"/>
      <c r="W635" s="163"/>
      <c r="X635" s="163"/>
      <c r="Y635" s="160"/>
      <c r="Z635" s="164"/>
      <c r="AA635" s="164"/>
      <c r="AB635" s="164"/>
      <c r="AC635" s="164"/>
      <c r="AD635" s="164"/>
      <c r="AE635" s="24"/>
      <c r="AG635" s="2"/>
    </row>
    <row r="636" spans="4:33">
      <c r="D636" s="160"/>
      <c r="F636" s="145">
        <f t="shared" si="151"/>
        <v>0</v>
      </c>
      <c r="G636" s="145" t="e">
        <f t="shared" si="152"/>
        <v>#N/A</v>
      </c>
      <c r="H636" s="145" t="e">
        <f t="shared" si="153"/>
        <v>#N/A</v>
      </c>
      <c r="P636" s="342" t="e">
        <f>1-(INDEX(Muuttujat!$O$5:$O$21,MATCH($C636,Muuttujat!$N$5:$N$21,0),1))</f>
        <v>#N/A</v>
      </c>
      <c r="Q636" s="342" t="e">
        <f>INDEX(Muuttujat!$O$5:$O$21,MATCH($C636,Muuttujat!$N$5:$N$21,0),1)</f>
        <v>#N/A</v>
      </c>
      <c r="R636" s="162"/>
      <c r="S636" s="163"/>
      <c r="T636" s="163"/>
      <c r="U636" s="163"/>
      <c r="V636" s="163"/>
      <c r="W636" s="163"/>
      <c r="X636" s="163"/>
      <c r="Y636" s="160"/>
      <c r="Z636" s="164"/>
      <c r="AA636" s="164"/>
      <c r="AB636" s="164"/>
      <c r="AC636" s="164"/>
      <c r="AD636" s="164"/>
      <c r="AE636" s="24"/>
      <c r="AG636" s="2"/>
    </row>
    <row r="637" spans="4:33">
      <c r="D637" s="160"/>
      <c r="F637" s="145">
        <f t="shared" si="151"/>
        <v>0</v>
      </c>
      <c r="G637" s="145" t="e">
        <f t="shared" si="152"/>
        <v>#N/A</v>
      </c>
      <c r="H637" s="145" t="e">
        <f t="shared" si="153"/>
        <v>#N/A</v>
      </c>
      <c r="P637" s="342" t="e">
        <f>1-(INDEX(Muuttujat!$O$5:$O$21,MATCH($C637,Muuttujat!$N$5:$N$21,0),1))</f>
        <v>#N/A</v>
      </c>
      <c r="Q637" s="342" t="e">
        <f>INDEX(Muuttujat!$O$5:$O$21,MATCH($C637,Muuttujat!$N$5:$N$21,0),1)</f>
        <v>#N/A</v>
      </c>
      <c r="R637" s="162"/>
      <c r="S637" s="163"/>
      <c r="T637" s="163"/>
      <c r="U637" s="163"/>
      <c r="V637" s="163"/>
      <c r="W637" s="163"/>
      <c r="X637" s="163"/>
      <c r="Y637" s="160"/>
      <c r="Z637" s="164"/>
      <c r="AA637" s="164"/>
      <c r="AB637" s="164"/>
      <c r="AC637" s="164"/>
      <c r="AD637" s="164"/>
      <c r="AE637" s="24"/>
      <c r="AG637" s="2"/>
    </row>
    <row r="638" spans="4:33">
      <c r="D638" s="160"/>
      <c r="F638" s="145">
        <f t="shared" si="151"/>
        <v>0</v>
      </c>
      <c r="G638" s="145" t="e">
        <f t="shared" si="152"/>
        <v>#N/A</v>
      </c>
      <c r="H638" s="145" t="e">
        <f t="shared" si="153"/>
        <v>#N/A</v>
      </c>
      <c r="P638" s="342" t="e">
        <f>1-(INDEX(Muuttujat!$O$5:$O$21,MATCH($C638,Muuttujat!$N$5:$N$21,0),1))</f>
        <v>#N/A</v>
      </c>
      <c r="Q638" s="342" t="e">
        <f>INDEX(Muuttujat!$O$5:$O$21,MATCH($C638,Muuttujat!$N$5:$N$21,0),1)</f>
        <v>#N/A</v>
      </c>
      <c r="R638" s="162"/>
      <c r="S638" s="163"/>
      <c r="T638" s="163"/>
      <c r="U638" s="163"/>
      <c r="V638" s="163"/>
      <c r="W638" s="163"/>
      <c r="X638" s="163"/>
      <c r="Y638" s="160"/>
      <c r="Z638" s="164"/>
      <c r="AA638" s="164"/>
      <c r="AB638" s="164"/>
      <c r="AC638" s="164"/>
      <c r="AD638" s="164"/>
      <c r="AE638" s="24"/>
      <c r="AG638" s="2"/>
    </row>
    <row r="639" spans="4:33">
      <c r="D639" s="160"/>
      <c r="F639" s="145">
        <f t="shared" si="151"/>
        <v>0</v>
      </c>
      <c r="G639" s="145" t="e">
        <f t="shared" si="152"/>
        <v>#N/A</v>
      </c>
      <c r="H639" s="145" t="e">
        <f t="shared" si="153"/>
        <v>#N/A</v>
      </c>
      <c r="P639" s="342" t="e">
        <f>1-(INDEX(Muuttujat!$O$5:$O$21,MATCH($C639,Muuttujat!$N$5:$N$21,0),1))</f>
        <v>#N/A</v>
      </c>
      <c r="Q639" s="342" t="e">
        <f>INDEX(Muuttujat!$O$5:$O$21,MATCH($C639,Muuttujat!$N$5:$N$21,0),1)</f>
        <v>#N/A</v>
      </c>
      <c r="R639" s="162"/>
      <c r="S639" s="163"/>
      <c r="T639" s="163"/>
      <c r="U639" s="163"/>
      <c r="V639" s="163"/>
      <c r="W639" s="163"/>
      <c r="X639" s="163"/>
      <c r="Y639" s="160"/>
      <c r="Z639" s="164"/>
      <c r="AA639" s="164"/>
      <c r="AB639" s="164"/>
      <c r="AC639" s="164"/>
      <c r="AD639" s="164"/>
      <c r="AE639" s="24"/>
      <c r="AG639" s="2"/>
    </row>
    <row r="640" spans="4:33">
      <c r="D640" s="160"/>
      <c r="F640" s="145">
        <f t="shared" si="151"/>
        <v>0</v>
      </c>
      <c r="G640" s="145" t="e">
        <f t="shared" si="152"/>
        <v>#N/A</v>
      </c>
      <c r="H640" s="145" t="e">
        <f t="shared" si="153"/>
        <v>#N/A</v>
      </c>
      <c r="P640" s="342" t="e">
        <f>1-(INDEX(Muuttujat!$O$5:$O$21,MATCH($C640,Muuttujat!$N$5:$N$21,0),1))</f>
        <v>#N/A</v>
      </c>
      <c r="Q640" s="342" t="e">
        <f>INDEX(Muuttujat!$O$5:$O$21,MATCH($C640,Muuttujat!$N$5:$N$21,0),1)</f>
        <v>#N/A</v>
      </c>
      <c r="R640" s="162"/>
      <c r="S640" s="163"/>
      <c r="T640" s="163"/>
      <c r="U640" s="163"/>
      <c r="V640" s="163"/>
      <c r="W640" s="163"/>
      <c r="X640" s="163"/>
      <c r="Y640" s="160"/>
      <c r="Z640" s="164"/>
      <c r="AA640" s="164"/>
      <c r="AB640" s="164"/>
      <c r="AC640" s="164"/>
      <c r="AD640" s="164"/>
      <c r="AE640" s="24"/>
      <c r="AG640" s="2"/>
    </row>
    <row r="641" spans="4:33">
      <c r="D641" s="160"/>
      <c r="F641" s="145">
        <f t="shared" si="151"/>
        <v>0</v>
      </c>
      <c r="G641" s="145" t="e">
        <f t="shared" si="152"/>
        <v>#N/A</v>
      </c>
      <c r="H641" s="145" t="e">
        <f t="shared" si="153"/>
        <v>#N/A</v>
      </c>
      <c r="P641" s="342" t="e">
        <f>1-(INDEX(Muuttujat!$O$5:$O$21,MATCH($C641,Muuttujat!$N$5:$N$21,0),1))</f>
        <v>#N/A</v>
      </c>
      <c r="Q641" s="342" t="e">
        <f>INDEX(Muuttujat!$O$5:$O$21,MATCH($C641,Muuttujat!$N$5:$N$21,0),1)</f>
        <v>#N/A</v>
      </c>
      <c r="R641" s="162"/>
      <c r="S641" s="163"/>
      <c r="T641" s="163"/>
      <c r="U641" s="163"/>
      <c r="V641" s="163"/>
      <c r="W641" s="163"/>
      <c r="X641" s="163"/>
      <c r="Y641" s="160"/>
      <c r="Z641" s="164"/>
      <c r="AA641" s="164"/>
      <c r="AB641" s="164"/>
      <c r="AC641" s="164"/>
      <c r="AD641" s="164"/>
      <c r="AE641" s="24"/>
      <c r="AG641" s="2"/>
    </row>
    <row r="642" spans="4:33">
      <c r="D642" s="160"/>
      <c r="F642" s="145">
        <f t="shared" si="151"/>
        <v>0</v>
      </c>
      <c r="G642" s="145" t="e">
        <f t="shared" si="152"/>
        <v>#N/A</v>
      </c>
      <c r="H642" s="145" t="e">
        <f t="shared" si="153"/>
        <v>#N/A</v>
      </c>
      <c r="P642" s="342" t="e">
        <f>1-(INDEX(Muuttujat!$O$5:$O$21,MATCH($C642,Muuttujat!$N$5:$N$21,0),1))</f>
        <v>#N/A</v>
      </c>
      <c r="Q642" s="342" t="e">
        <f>INDEX(Muuttujat!$O$5:$O$21,MATCH($C642,Muuttujat!$N$5:$N$21,0),1)</f>
        <v>#N/A</v>
      </c>
      <c r="R642" s="162"/>
      <c r="S642" s="163"/>
      <c r="T642" s="163"/>
      <c r="U642" s="163"/>
      <c r="V642" s="163"/>
      <c r="W642" s="163"/>
      <c r="X642" s="163"/>
      <c r="Y642" s="160"/>
      <c r="Z642" s="164"/>
      <c r="AA642" s="164"/>
      <c r="AB642" s="164"/>
      <c r="AC642" s="164"/>
      <c r="AD642" s="164"/>
      <c r="AE642" s="24"/>
      <c r="AG642" s="2"/>
    </row>
    <row r="643" spans="4:33">
      <c r="D643" s="160"/>
      <c r="F643" s="145">
        <f t="shared" ref="F643:F693" si="154">IF(D643="pom",$E643*hv_pom,0)</f>
        <v>0</v>
      </c>
      <c r="G643" s="145" t="e">
        <f t="shared" si="152"/>
        <v>#N/A</v>
      </c>
      <c r="H643" s="145" t="e">
        <f t="shared" si="153"/>
        <v>#N/A</v>
      </c>
      <c r="P643" s="342" t="e">
        <f>1-(INDEX(Muuttujat!$O$5:$O$21,MATCH($C643,Muuttujat!$N$5:$N$21,0),1))</f>
        <v>#N/A</v>
      </c>
      <c r="Q643" s="342" t="e">
        <f>INDEX(Muuttujat!$O$5:$O$21,MATCH($C643,Muuttujat!$N$5:$N$21,0),1)</f>
        <v>#N/A</v>
      </c>
      <c r="R643" s="162"/>
      <c r="S643" s="163"/>
      <c r="T643" s="163"/>
      <c r="U643" s="163"/>
      <c r="V643" s="163"/>
      <c r="W643" s="163"/>
      <c r="X643" s="163"/>
      <c r="Y643" s="160"/>
      <c r="Z643" s="164"/>
      <c r="AA643" s="164"/>
      <c r="AB643" s="164"/>
      <c r="AC643" s="164"/>
      <c r="AD643" s="164"/>
      <c r="AE643" s="24"/>
      <c r="AG643" s="2"/>
    </row>
    <row r="644" spans="4:33">
      <c r="D644" s="160"/>
      <c r="F644" s="145">
        <f t="shared" si="154"/>
        <v>0</v>
      </c>
      <c r="G644" s="145" t="e">
        <f t="shared" ref="G644:G693" si="155">$F644*$P644</f>
        <v>#N/A</v>
      </c>
      <c r="H644" s="145" t="e">
        <f t="shared" ref="H644:H693" si="156">$F644*$Q644</f>
        <v>#N/A</v>
      </c>
      <c r="P644" s="342" t="e">
        <f>1-(INDEX(Muuttujat!$O$5:$O$21,MATCH($C644,Muuttujat!$N$5:$N$21,0),1))</f>
        <v>#N/A</v>
      </c>
      <c r="Q644" s="342" t="e">
        <f>INDEX(Muuttujat!$O$5:$O$21,MATCH($C644,Muuttujat!$N$5:$N$21,0),1)</f>
        <v>#N/A</v>
      </c>
      <c r="R644" s="162"/>
      <c r="S644" s="163"/>
      <c r="T644" s="163"/>
      <c r="U644" s="163"/>
      <c r="V644" s="163"/>
      <c r="W644" s="163"/>
      <c r="X644" s="163"/>
      <c r="Y644" s="160"/>
      <c r="Z644" s="164"/>
      <c r="AA644" s="164"/>
      <c r="AB644" s="164"/>
      <c r="AC644" s="164"/>
      <c r="AD644" s="164"/>
      <c r="AE644" s="24"/>
      <c r="AG644" s="2"/>
    </row>
    <row r="645" spans="4:33">
      <c r="D645" s="160"/>
      <c r="F645" s="145">
        <f t="shared" si="154"/>
        <v>0</v>
      </c>
      <c r="G645" s="145" t="e">
        <f t="shared" si="155"/>
        <v>#N/A</v>
      </c>
      <c r="H645" s="145" t="e">
        <f t="shared" si="156"/>
        <v>#N/A</v>
      </c>
      <c r="P645" s="342" t="e">
        <f>1-(INDEX(Muuttujat!$O$5:$O$21,MATCH($C645,Muuttujat!$N$5:$N$21,0),1))</f>
        <v>#N/A</v>
      </c>
      <c r="Q645" s="342" t="e">
        <f>INDEX(Muuttujat!$O$5:$O$21,MATCH($C645,Muuttujat!$N$5:$N$21,0),1)</f>
        <v>#N/A</v>
      </c>
      <c r="R645" s="162"/>
      <c r="S645" s="163"/>
      <c r="T645" s="163"/>
      <c r="U645" s="163"/>
      <c r="V645" s="163"/>
      <c r="W645" s="163"/>
      <c r="X645" s="163"/>
      <c r="Y645" s="160"/>
      <c r="Z645" s="164"/>
      <c r="AA645" s="164"/>
      <c r="AB645" s="164"/>
      <c r="AC645" s="164"/>
      <c r="AD645" s="164"/>
      <c r="AE645" s="24"/>
      <c r="AG645" s="2"/>
    </row>
    <row r="646" spans="4:33">
      <c r="D646" s="160"/>
      <c r="F646" s="145">
        <f t="shared" si="154"/>
        <v>0</v>
      </c>
      <c r="G646" s="145" t="e">
        <f t="shared" si="155"/>
        <v>#N/A</v>
      </c>
      <c r="H646" s="145" t="e">
        <f t="shared" si="156"/>
        <v>#N/A</v>
      </c>
      <c r="P646" s="342" t="e">
        <f>1-(INDEX(Muuttujat!$O$5:$O$21,MATCH($C646,Muuttujat!$N$5:$N$21,0),1))</f>
        <v>#N/A</v>
      </c>
      <c r="Q646" s="342" t="e">
        <f>INDEX(Muuttujat!$O$5:$O$21,MATCH($C646,Muuttujat!$N$5:$N$21,0),1)</f>
        <v>#N/A</v>
      </c>
      <c r="R646" s="162"/>
      <c r="S646" s="163"/>
      <c r="T646" s="163"/>
      <c r="U646" s="163"/>
      <c r="V646" s="163"/>
      <c r="W646" s="163"/>
      <c r="X646" s="163"/>
      <c r="Y646" s="160"/>
      <c r="Z646" s="164"/>
      <c r="AA646" s="164"/>
      <c r="AB646" s="164"/>
      <c r="AC646" s="164"/>
      <c r="AD646" s="164"/>
      <c r="AE646" s="24"/>
      <c r="AG646" s="2"/>
    </row>
    <row r="647" spans="4:33">
      <c r="D647" s="160"/>
      <c r="F647" s="145">
        <f t="shared" si="154"/>
        <v>0</v>
      </c>
      <c r="G647" s="145" t="e">
        <f t="shared" si="155"/>
        <v>#N/A</v>
      </c>
      <c r="H647" s="145" t="e">
        <f t="shared" si="156"/>
        <v>#N/A</v>
      </c>
      <c r="P647" s="342" t="e">
        <f>1-(INDEX(Muuttujat!$O$5:$O$21,MATCH($C647,Muuttujat!$N$5:$N$21,0),1))</f>
        <v>#N/A</v>
      </c>
      <c r="Q647" s="342" t="e">
        <f>INDEX(Muuttujat!$O$5:$O$21,MATCH($C647,Muuttujat!$N$5:$N$21,0),1)</f>
        <v>#N/A</v>
      </c>
      <c r="R647" s="162"/>
      <c r="S647" s="163"/>
      <c r="T647" s="163"/>
      <c r="U647" s="163"/>
      <c r="V647" s="163"/>
      <c r="W647" s="163"/>
      <c r="X647" s="163"/>
      <c r="Y647" s="160"/>
      <c r="Z647" s="164"/>
      <c r="AA647" s="164"/>
      <c r="AB647" s="164"/>
      <c r="AC647" s="164"/>
      <c r="AD647" s="164"/>
      <c r="AE647" s="24"/>
      <c r="AG647" s="2"/>
    </row>
    <row r="648" spans="4:33">
      <c r="D648" s="160"/>
      <c r="F648" s="145">
        <f t="shared" si="154"/>
        <v>0</v>
      </c>
      <c r="G648" s="145" t="e">
        <f t="shared" si="155"/>
        <v>#N/A</v>
      </c>
      <c r="H648" s="145" t="e">
        <f t="shared" si="156"/>
        <v>#N/A</v>
      </c>
      <c r="P648" s="342" t="e">
        <f>1-(INDEX(Muuttujat!$O$5:$O$21,MATCH($C648,Muuttujat!$N$5:$N$21,0),1))</f>
        <v>#N/A</v>
      </c>
      <c r="Q648" s="342" t="e">
        <f>INDEX(Muuttujat!$O$5:$O$21,MATCH($C648,Muuttujat!$N$5:$N$21,0),1)</f>
        <v>#N/A</v>
      </c>
      <c r="R648" s="162"/>
      <c r="S648" s="163"/>
      <c r="T648" s="163"/>
      <c r="U648" s="163"/>
      <c r="V648" s="163"/>
      <c r="W648" s="163"/>
      <c r="X648" s="163"/>
      <c r="Y648" s="160"/>
      <c r="Z648" s="164"/>
      <c r="AA648" s="164"/>
      <c r="AB648" s="164"/>
      <c r="AC648" s="164"/>
      <c r="AD648" s="164"/>
      <c r="AE648" s="24"/>
      <c r="AG648" s="2"/>
    </row>
    <row r="649" spans="4:33">
      <c r="D649" s="160"/>
      <c r="F649" s="145">
        <f t="shared" si="154"/>
        <v>0</v>
      </c>
      <c r="G649" s="145" t="e">
        <f t="shared" si="155"/>
        <v>#N/A</v>
      </c>
      <c r="H649" s="145" t="e">
        <f t="shared" si="156"/>
        <v>#N/A</v>
      </c>
      <c r="P649" s="342" t="e">
        <f>1-(INDEX(Muuttujat!$O$5:$O$21,MATCH($C649,Muuttujat!$N$5:$N$21,0),1))</f>
        <v>#N/A</v>
      </c>
      <c r="Q649" s="342" t="e">
        <f>INDEX(Muuttujat!$O$5:$O$21,MATCH($C649,Muuttujat!$N$5:$N$21,0),1)</f>
        <v>#N/A</v>
      </c>
      <c r="R649" s="162"/>
      <c r="S649" s="163"/>
      <c r="T649" s="163"/>
      <c r="U649" s="163"/>
      <c r="V649" s="163"/>
      <c r="W649" s="163"/>
      <c r="X649" s="163"/>
      <c r="Y649" s="160"/>
      <c r="Z649" s="164"/>
      <c r="AA649" s="164"/>
      <c r="AB649" s="164"/>
      <c r="AC649" s="164"/>
      <c r="AD649" s="164"/>
      <c r="AE649" s="24"/>
      <c r="AG649" s="2"/>
    </row>
    <row r="650" spans="4:33">
      <c r="D650" s="160"/>
      <c r="F650" s="145">
        <f t="shared" si="154"/>
        <v>0</v>
      </c>
      <c r="G650" s="145" t="e">
        <f t="shared" si="155"/>
        <v>#N/A</v>
      </c>
      <c r="H650" s="145" t="e">
        <f t="shared" si="156"/>
        <v>#N/A</v>
      </c>
      <c r="P650" s="342" t="e">
        <f>1-(INDEX(Muuttujat!$O$5:$O$21,MATCH($C650,Muuttujat!$N$5:$N$21,0),1))</f>
        <v>#N/A</v>
      </c>
      <c r="Q650" s="342" t="e">
        <f>INDEX(Muuttujat!$O$5:$O$21,MATCH($C650,Muuttujat!$N$5:$N$21,0),1)</f>
        <v>#N/A</v>
      </c>
      <c r="R650" s="162"/>
      <c r="S650" s="163"/>
      <c r="T650" s="163"/>
      <c r="U650" s="163"/>
      <c r="V650" s="163"/>
      <c r="W650" s="163"/>
      <c r="X650" s="163"/>
      <c r="Y650" s="160"/>
      <c r="Z650" s="164"/>
      <c r="AA650" s="164"/>
      <c r="AB650" s="164"/>
      <c r="AC650" s="164"/>
      <c r="AD650" s="164"/>
      <c r="AE650" s="24"/>
      <c r="AG650" s="2"/>
    </row>
    <row r="651" spans="4:33">
      <c r="D651" s="160"/>
      <c r="F651" s="145">
        <f t="shared" si="154"/>
        <v>0</v>
      </c>
      <c r="G651" s="145" t="e">
        <f t="shared" si="155"/>
        <v>#N/A</v>
      </c>
      <c r="H651" s="145" t="e">
        <f t="shared" si="156"/>
        <v>#N/A</v>
      </c>
      <c r="P651" s="342" t="e">
        <f>1-(INDEX(Muuttujat!$O$5:$O$21,MATCH($C651,Muuttujat!$N$5:$N$21,0),1))</f>
        <v>#N/A</v>
      </c>
      <c r="Q651" s="342" t="e">
        <f>INDEX(Muuttujat!$O$5:$O$21,MATCH($C651,Muuttujat!$N$5:$N$21,0),1)</f>
        <v>#N/A</v>
      </c>
      <c r="R651" s="162"/>
      <c r="S651" s="163"/>
      <c r="T651" s="163"/>
      <c r="U651" s="163"/>
      <c r="V651" s="163"/>
      <c r="W651" s="163"/>
      <c r="X651" s="163"/>
      <c r="Y651" s="160"/>
      <c r="Z651" s="164"/>
      <c r="AA651" s="164"/>
      <c r="AB651" s="164"/>
      <c r="AC651" s="164"/>
      <c r="AD651" s="164"/>
      <c r="AE651" s="24"/>
      <c r="AG651" s="2"/>
    </row>
    <row r="652" spans="4:33">
      <c r="D652" s="160"/>
      <c r="F652" s="145">
        <f t="shared" si="154"/>
        <v>0</v>
      </c>
      <c r="G652" s="145" t="e">
        <f t="shared" si="155"/>
        <v>#N/A</v>
      </c>
      <c r="H652" s="145" t="e">
        <f t="shared" si="156"/>
        <v>#N/A</v>
      </c>
      <c r="P652" s="342" t="e">
        <f>1-(INDEX(Muuttujat!$O$5:$O$21,MATCH($C652,Muuttujat!$N$5:$N$21,0),1))</f>
        <v>#N/A</v>
      </c>
      <c r="Q652" s="342" t="e">
        <f>INDEX(Muuttujat!$O$5:$O$21,MATCH($C652,Muuttujat!$N$5:$N$21,0),1)</f>
        <v>#N/A</v>
      </c>
      <c r="R652" s="162"/>
      <c r="S652" s="163"/>
      <c r="T652" s="163"/>
      <c r="U652" s="163"/>
      <c r="V652" s="163"/>
      <c r="W652" s="163"/>
      <c r="X652" s="163"/>
      <c r="Y652" s="160"/>
      <c r="Z652" s="164"/>
      <c r="AA652" s="164"/>
      <c r="AB652" s="164"/>
      <c r="AC652" s="164"/>
      <c r="AD652" s="164"/>
      <c r="AE652" s="24"/>
      <c r="AG652" s="2"/>
    </row>
    <row r="653" spans="4:33">
      <c r="D653" s="160"/>
      <c r="F653" s="145">
        <f t="shared" si="154"/>
        <v>0</v>
      </c>
      <c r="G653" s="145" t="e">
        <f t="shared" si="155"/>
        <v>#N/A</v>
      </c>
      <c r="H653" s="145" t="e">
        <f t="shared" si="156"/>
        <v>#N/A</v>
      </c>
      <c r="P653" s="342" t="e">
        <f>1-(INDEX(Muuttujat!$O$5:$O$21,MATCH($C653,Muuttujat!$N$5:$N$21,0),1))</f>
        <v>#N/A</v>
      </c>
      <c r="Q653" s="342" t="e">
        <f>INDEX(Muuttujat!$O$5:$O$21,MATCH($C653,Muuttujat!$N$5:$N$21,0),1)</f>
        <v>#N/A</v>
      </c>
      <c r="R653" s="162"/>
      <c r="S653" s="163"/>
      <c r="T653" s="163"/>
      <c r="U653" s="163"/>
      <c r="V653" s="163"/>
      <c r="W653" s="163"/>
      <c r="X653" s="163"/>
      <c r="Y653" s="160"/>
      <c r="Z653" s="164"/>
      <c r="AA653" s="164"/>
      <c r="AB653" s="164"/>
      <c r="AC653" s="164"/>
      <c r="AD653" s="164"/>
      <c r="AE653" s="24"/>
      <c r="AG653" s="2"/>
    </row>
    <row r="654" spans="4:33">
      <c r="D654" s="160"/>
      <c r="F654" s="145">
        <f t="shared" si="154"/>
        <v>0</v>
      </c>
      <c r="G654" s="145" t="e">
        <f t="shared" si="155"/>
        <v>#N/A</v>
      </c>
      <c r="H654" s="145" t="e">
        <f t="shared" si="156"/>
        <v>#N/A</v>
      </c>
      <c r="P654" s="342" t="e">
        <f>1-(INDEX(Muuttujat!$O$5:$O$21,MATCH($C654,Muuttujat!$N$5:$N$21,0),1))</f>
        <v>#N/A</v>
      </c>
      <c r="Q654" s="342" t="e">
        <f>INDEX(Muuttujat!$O$5:$O$21,MATCH($C654,Muuttujat!$N$5:$N$21,0),1)</f>
        <v>#N/A</v>
      </c>
      <c r="R654" s="162"/>
      <c r="S654" s="163"/>
      <c r="T654" s="163"/>
      <c r="U654" s="163"/>
      <c r="V654" s="163"/>
      <c r="W654" s="163"/>
      <c r="X654" s="163"/>
      <c r="Y654" s="160"/>
      <c r="Z654" s="164"/>
      <c r="AA654" s="164"/>
      <c r="AB654" s="164"/>
      <c r="AC654" s="164"/>
      <c r="AD654" s="164"/>
      <c r="AE654" s="24"/>
      <c r="AG654" s="2"/>
    </row>
    <row r="655" spans="4:33">
      <c r="D655" s="160"/>
      <c r="F655" s="145">
        <f t="shared" si="154"/>
        <v>0</v>
      </c>
      <c r="G655" s="145" t="e">
        <f t="shared" si="155"/>
        <v>#N/A</v>
      </c>
      <c r="H655" s="145" t="e">
        <f t="shared" si="156"/>
        <v>#N/A</v>
      </c>
      <c r="P655" s="342" t="e">
        <f>1-(INDEX(Muuttujat!$O$5:$O$21,MATCH($C655,Muuttujat!$N$5:$N$21,0),1))</f>
        <v>#N/A</v>
      </c>
      <c r="Q655" s="342" t="e">
        <f>INDEX(Muuttujat!$O$5:$O$21,MATCH($C655,Muuttujat!$N$5:$N$21,0),1)</f>
        <v>#N/A</v>
      </c>
      <c r="R655" s="162"/>
      <c r="S655" s="163"/>
      <c r="T655" s="163"/>
      <c r="U655" s="163"/>
      <c r="V655" s="163"/>
      <c r="W655" s="163"/>
      <c r="X655" s="163"/>
      <c r="Y655" s="160"/>
      <c r="Z655" s="164"/>
      <c r="AA655" s="164"/>
      <c r="AB655" s="164"/>
      <c r="AC655" s="164"/>
      <c r="AD655" s="164"/>
      <c r="AE655" s="24"/>
      <c r="AG655" s="2"/>
    </row>
    <row r="656" spans="4:33">
      <c r="D656" s="160"/>
      <c r="F656" s="145">
        <f t="shared" si="154"/>
        <v>0</v>
      </c>
      <c r="G656" s="145" t="e">
        <f t="shared" si="155"/>
        <v>#N/A</v>
      </c>
      <c r="H656" s="145" t="e">
        <f t="shared" si="156"/>
        <v>#N/A</v>
      </c>
      <c r="P656" s="342" t="e">
        <f>1-(INDEX(Muuttujat!$O$5:$O$21,MATCH($C656,Muuttujat!$N$5:$N$21,0),1))</f>
        <v>#N/A</v>
      </c>
      <c r="Q656" s="342" t="e">
        <f>INDEX(Muuttujat!$O$5:$O$21,MATCH($C656,Muuttujat!$N$5:$N$21,0),1)</f>
        <v>#N/A</v>
      </c>
      <c r="R656" s="162"/>
      <c r="S656" s="163"/>
      <c r="T656" s="163"/>
      <c r="U656" s="163"/>
      <c r="V656" s="163"/>
      <c r="W656" s="163"/>
      <c r="X656" s="163"/>
      <c r="Y656" s="160"/>
      <c r="Z656" s="164"/>
      <c r="AA656" s="164"/>
      <c r="AB656" s="164"/>
      <c r="AC656" s="164"/>
      <c r="AD656" s="164"/>
      <c r="AE656" s="24"/>
      <c r="AG656" s="2"/>
    </row>
    <row r="657" spans="4:33">
      <c r="D657" s="160"/>
      <c r="F657" s="145">
        <f t="shared" si="154"/>
        <v>0</v>
      </c>
      <c r="G657" s="145" t="e">
        <f t="shared" si="155"/>
        <v>#N/A</v>
      </c>
      <c r="H657" s="145" t="e">
        <f t="shared" si="156"/>
        <v>#N/A</v>
      </c>
      <c r="P657" s="342" t="e">
        <f>1-(INDEX(Muuttujat!$O$5:$O$21,MATCH($C657,Muuttujat!$N$5:$N$21,0),1))</f>
        <v>#N/A</v>
      </c>
      <c r="Q657" s="342" t="e">
        <f>INDEX(Muuttujat!$O$5:$O$21,MATCH($C657,Muuttujat!$N$5:$N$21,0),1)</f>
        <v>#N/A</v>
      </c>
      <c r="R657" s="162"/>
      <c r="S657" s="163"/>
      <c r="T657" s="163"/>
      <c r="U657" s="163"/>
      <c r="V657" s="163"/>
      <c r="W657" s="163"/>
      <c r="X657" s="163"/>
      <c r="Y657" s="160"/>
      <c r="Z657" s="164"/>
      <c r="AA657" s="164"/>
      <c r="AB657" s="164"/>
      <c r="AC657" s="164"/>
      <c r="AD657" s="164"/>
      <c r="AE657" s="24"/>
      <c r="AG657" s="2"/>
    </row>
    <row r="658" spans="4:33">
      <c r="D658" s="160"/>
      <c r="F658" s="145">
        <f t="shared" si="154"/>
        <v>0</v>
      </c>
      <c r="G658" s="145" t="e">
        <f t="shared" si="155"/>
        <v>#N/A</v>
      </c>
      <c r="H658" s="145" t="e">
        <f t="shared" si="156"/>
        <v>#N/A</v>
      </c>
      <c r="P658" s="342" t="e">
        <f>1-(INDEX(Muuttujat!$O$5:$O$21,MATCH($C658,Muuttujat!$N$5:$N$21,0),1))</f>
        <v>#N/A</v>
      </c>
      <c r="Q658" s="342" t="e">
        <f>INDEX(Muuttujat!$O$5:$O$21,MATCH($C658,Muuttujat!$N$5:$N$21,0),1)</f>
        <v>#N/A</v>
      </c>
      <c r="R658" s="162"/>
      <c r="S658" s="163"/>
      <c r="T658" s="163"/>
      <c r="U658" s="163"/>
      <c r="V658" s="163"/>
      <c r="W658" s="163"/>
      <c r="X658" s="163"/>
      <c r="Y658" s="160"/>
      <c r="Z658" s="164"/>
      <c r="AA658" s="164"/>
      <c r="AB658" s="164"/>
      <c r="AC658" s="164"/>
      <c r="AD658" s="164"/>
      <c r="AE658" s="24"/>
      <c r="AG658" s="2"/>
    </row>
    <row r="659" spans="4:33">
      <c r="D659" s="160"/>
      <c r="F659" s="145">
        <f t="shared" si="154"/>
        <v>0</v>
      </c>
      <c r="G659" s="145" t="e">
        <f t="shared" si="155"/>
        <v>#N/A</v>
      </c>
      <c r="H659" s="145" t="e">
        <f t="shared" si="156"/>
        <v>#N/A</v>
      </c>
      <c r="P659" s="342" t="e">
        <f>1-(INDEX(Muuttujat!$O$5:$O$21,MATCH($C659,Muuttujat!$N$5:$N$21,0),1))</f>
        <v>#N/A</v>
      </c>
      <c r="Q659" s="342" t="e">
        <f>INDEX(Muuttujat!$O$5:$O$21,MATCH($C659,Muuttujat!$N$5:$N$21,0),1)</f>
        <v>#N/A</v>
      </c>
      <c r="R659" s="162"/>
      <c r="S659" s="163"/>
      <c r="T659" s="163"/>
      <c r="U659" s="163"/>
      <c r="V659" s="163"/>
      <c r="W659" s="163"/>
      <c r="X659" s="163"/>
      <c r="Y659" s="160"/>
      <c r="Z659" s="164"/>
      <c r="AA659" s="164"/>
      <c r="AB659" s="164"/>
      <c r="AC659" s="164"/>
      <c r="AD659" s="164"/>
      <c r="AE659" s="24"/>
      <c r="AG659" s="2"/>
    </row>
    <row r="660" spans="4:33">
      <c r="D660" s="160"/>
      <c r="F660" s="145">
        <f t="shared" si="154"/>
        <v>0</v>
      </c>
      <c r="G660" s="145" t="e">
        <f t="shared" si="155"/>
        <v>#N/A</v>
      </c>
      <c r="H660" s="145" t="e">
        <f t="shared" si="156"/>
        <v>#N/A</v>
      </c>
      <c r="P660" s="342" t="e">
        <f>1-(INDEX(Muuttujat!$O$5:$O$21,MATCH($C660,Muuttujat!$N$5:$N$21,0),1))</f>
        <v>#N/A</v>
      </c>
      <c r="Q660" s="342" t="e">
        <f>INDEX(Muuttujat!$O$5:$O$21,MATCH($C660,Muuttujat!$N$5:$N$21,0),1)</f>
        <v>#N/A</v>
      </c>
      <c r="R660" s="162"/>
      <c r="S660" s="163"/>
      <c r="T660" s="163"/>
      <c r="U660" s="163"/>
      <c r="V660" s="163"/>
      <c r="W660" s="163"/>
      <c r="X660" s="163"/>
      <c r="Y660" s="160"/>
      <c r="Z660" s="164"/>
      <c r="AA660" s="164"/>
      <c r="AB660" s="164"/>
      <c r="AC660" s="164"/>
      <c r="AD660" s="164"/>
      <c r="AE660" s="24"/>
      <c r="AG660" s="2"/>
    </row>
    <row r="661" spans="4:33">
      <c r="D661" s="160"/>
      <c r="F661" s="145">
        <f t="shared" si="154"/>
        <v>0</v>
      </c>
      <c r="G661" s="145" t="e">
        <f t="shared" si="155"/>
        <v>#N/A</v>
      </c>
      <c r="H661" s="145" t="e">
        <f t="shared" si="156"/>
        <v>#N/A</v>
      </c>
      <c r="P661" s="342" t="e">
        <f>1-(INDEX(Muuttujat!$O$5:$O$21,MATCH($C661,Muuttujat!$N$5:$N$21,0),1))</f>
        <v>#N/A</v>
      </c>
      <c r="Q661" s="342" t="e">
        <f>INDEX(Muuttujat!$O$5:$O$21,MATCH($C661,Muuttujat!$N$5:$N$21,0),1)</f>
        <v>#N/A</v>
      </c>
      <c r="R661" s="162"/>
      <c r="S661" s="163"/>
      <c r="T661" s="163"/>
      <c r="U661" s="163"/>
      <c r="V661" s="163"/>
      <c r="W661" s="163"/>
      <c r="X661" s="163"/>
      <c r="Y661" s="160"/>
      <c r="Z661" s="164"/>
      <c r="AA661" s="164"/>
      <c r="AB661" s="164"/>
      <c r="AC661" s="164"/>
      <c r="AD661" s="164"/>
      <c r="AE661" s="24"/>
      <c r="AG661" s="2"/>
    </row>
    <row r="662" spans="4:33">
      <c r="D662" s="160"/>
      <c r="F662" s="145">
        <f t="shared" si="154"/>
        <v>0</v>
      </c>
      <c r="G662" s="145" t="e">
        <f t="shared" si="155"/>
        <v>#N/A</v>
      </c>
      <c r="H662" s="145" t="e">
        <f t="shared" si="156"/>
        <v>#N/A</v>
      </c>
      <c r="P662" s="342" t="e">
        <f>1-(INDEX(Muuttujat!$O$5:$O$21,MATCH($C662,Muuttujat!$N$5:$N$21,0),1))</f>
        <v>#N/A</v>
      </c>
      <c r="Q662" s="342" t="e">
        <f>INDEX(Muuttujat!$O$5:$O$21,MATCH($C662,Muuttujat!$N$5:$N$21,0),1)</f>
        <v>#N/A</v>
      </c>
      <c r="R662" s="162"/>
      <c r="S662" s="163"/>
      <c r="T662" s="163"/>
      <c r="U662" s="163"/>
      <c r="V662" s="163"/>
      <c r="W662" s="163"/>
      <c r="X662" s="163"/>
      <c r="Y662" s="160"/>
      <c r="Z662" s="164"/>
      <c r="AA662" s="164"/>
      <c r="AB662" s="164"/>
      <c r="AC662" s="164"/>
      <c r="AD662" s="164"/>
      <c r="AE662" s="24"/>
      <c r="AG662" s="2"/>
    </row>
    <row r="663" spans="4:33">
      <c r="D663" s="160"/>
      <c r="F663" s="145">
        <f t="shared" si="154"/>
        <v>0</v>
      </c>
      <c r="G663" s="145" t="e">
        <f t="shared" si="155"/>
        <v>#N/A</v>
      </c>
      <c r="H663" s="145" t="e">
        <f t="shared" si="156"/>
        <v>#N/A</v>
      </c>
      <c r="P663" s="342" t="e">
        <f>1-(INDEX(Muuttujat!$O$5:$O$21,MATCH($C663,Muuttujat!$N$5:$N$21,0),1))</f>
        <v>#N/A</v>
      </c>
      <c r="Q663" s="342" t="e">
        <f>INDEX(Muuttujat!$O$5:$O$21,MATCH($C663,Muuttujat!$N$5:$N$21,0),1)</f>
        <v>#N/A</v>
      </c>
      <c r="R663" s="162"/>
      <c r="S663" s="163"/>
      <c r="T663" s="163"/>
      <c r="U663" s="163"/>
      <c r="V663" s="163"/>
      <c r="W663" s="163"/>
      <c r="X663" s="163"/>
      <c r="Y663" s="160"/>
      <c r="Z663" s="164"/>
      <c r="AA663" s="164"/>
      <c r="AB663" s="164"/>
      <c r="AC663" s="164"/>
      <c r="AD663" s="164"/>
      <c r="AE663" s="24"/>
      <c r="AG663" s="2"/>
    </row>
    <row r="664" spans="4:33">
      <c r="D664" s="160"/>
      <c r="F664" s="145">
        <f t="shared" si="154"/>
        <v>0</v>
      </c>
      <c r="G664" s="145" t="e">
        <f t="shared" si="155"/>
        <v>#N/A</v>
      </c>
      <c r="H664" s="145" t="e">
        <f t="shared" si="156"/>
        <v>#N/A</v>
      </c>
      <c r="P664" s="342" t="e">
        <f>1-(INDEX(Muuttujat!$O$5:$O$21,MATCH($C664,Muuttujat!$N$5:$N$21,0),1))</f>
        <v>#N/A</v>
      </c>
      <c r="Q664" s="342" t="e">
        <f>INDEX(Muuttujat!$O$5:$O$21,MATCH($C664,Muuttujat!$N$5:$N$21,0),1)</f>
        <v>#N/A</v>
      </c>
      <c r="R664" s="162"/>
      <c r="S664" s="163"/>
      <c r="T664" s="163"/>
      <c r="U664" s="163"/>
      <c r="V664" s="163"/>
      <c r="W664" s="163"/>
      <c r="X664" s="163"/>
      <c r="Y664" s="160"/>
      <c r="Z664" s="164"/>
      <c r="AA664" s="164"/>
      <c r="AB664" s="164"/>
      <c r="AC664" s="164"/>
      <c r="AD664" s="164"/>
      <c r="AE664" s="24"/>
      <c r="AG664" s="2"/>
    </row>
    <row r="665" spans="4:33">
      <c r="D665" s="160"/>
      <c r="F665" s="145">
        <f t="shared" si="154"/>
        <v>0</v>
      </c>
      <c r="G665" s="145" t="e">
        <f t="shared" si="155"/>
        <v>#N/A</v>
      </c>
      <c r="H665" s="145" t="e">
        <f t="shared" si="156"/>
        <v>#N/A</v>
      </c>
      <c r="P665" s="342" t="e">
        <f>1-(INDEX(Muuttujat!$O$5:$O$21,MATCH($C665,Muuttujat!$N$5:$N$21,0),1))</f>
        <v>#N/A</v>
      </c>
      <c r="Q665" s="342" t="e">
        <f>INDEX(Muuttujat!$O$5:$O$21,MATCH($C665,Muuttujat!$N$5:$N$21,0),1)</f>
        <v>#N/A</v>
      </c>
      <c r="R665" s="162"/>
      <c r="S665" s="163"/>
      <c r="T665" s="163"/>
      <c r="U665" s="163"/>
      <c r="V665" s="163"/>
      <c r="W665" s="163"/>
      <c r="X665" s="163"/>
      <c r="Y665" s="160"/>
      <c r="Z665" s="164"/>
      <c r="AA665" s="164"/>
      <c r="AB665" s="164"/>
      <c r="AC665" s="164"/>
      <c r="AD665" s="164"/>
      <c r="AE665" s="24"/>
      <c r="AG665" s="2"/>
    </row>
    <row r="666" spans="4:33">
      <c r="D666" s="160"/>
      <c r="F666" s="145">
        <f t="shared" si="154"/>
        <v>0</v>
      </c>
      <c r="G666" s="145" t="e">
        <f t="shared" si="155"/>
        <v>#N/A</v>
      </c>
      <c r="H666" s="145" t="e">
        <f t="shared" si="156"/>
        <v>#N/A</v>
      </c>
      <c r="P666" s="342" t="e">
        <f>1-(INDEX(Muuttujat!$O$5:$O$21,MATCH($C666,Muuttujat!$N$5:$N$21,0),1))</f>
        <v>#N/A</v>
      </c>
      <c r="Q666" s="342" t="e">
        <f>INDEX(Muuttujat!$O$5:$O$21,MATCH($C666,Muuttujat!$N$5:$N$21,0),1)</f>
        <v>#N/A</v>
      </c>
      <c r="R666" s="162"/>
      <c r="S666" s="163"/>
      <c r="T666" s="163"/>
      <c r="U666" s="163"/>
      <c r="V666" s="163"/>
      <c r="W666" s="163"/>
      <c r="X666" s="163"/>
      <c r="Y666" s="160"/>
      <c r="Z666" s="164"/>
      <c r="AA666" s="164"/>
      <c r="AB666" s="164"/>
      <c r="AC666" s="164"/>
      <c r="AD666" s="164"/>
      <c r="AE666" s="24"/>
      <c r="AG666" s="2"/>
    </row>
    <row r="667" spans="4:33">
      <c r="D667" s="160"/>
      <c r="F667" s="145">
        <f t="shared" si="154"/>
        <v>0</v>
      </c>
      <c r="G667" s="145" t="e">
        <f t="shared" si="155"/>
        <v>#N/A</v>
      </c>
      <c r="H667" s="145" t="e">
        <f t="shared" si="156"/>
        <v>#N/A</v>
      </c>
      <c r="P667" s="342" t="e">
        <f>1-(INDEX(Muuttujat!$O$5:$O$21,MATCH($C667,Muuttujat!$N$5:$N$21,0),1))</f>
        <v>#N/A</v>
      </c>
      <c r="Q667" s="342" t="e">
        <f>INDEX(Muuttujat!$O$5:$O$21,MATCH($C667,Muuttujat!$N$5:$N$21,0),1)</f>
        <v>#N/A</v>
      </c>
      <c r="R667" s="162"/>
      <c r="S667" s="163"/>
      <c r="T667" s="163"/>
      <c r="U667" s="163"/>
      <c r="V667" s="163"/>
      <c r="W667" s="163"/>
      <c r="X667" s="163"/>
      <c r="Y667" s="160"/>
      <c r="Z667" s="164"/>
      <c r="AA667" s="164"/>
      <c r="AB667" s="164"/>
      <c r="AC667" s="164"/>
      <c r="AD667" s="164"/>
      <c r="AE667" s="24"/>
      <c r="AG667" s="2"/>
    </row>
    <row r="668" spans="4:33">
      <c r="D668" s="160"/>
      <c r="F668" s="145">
        <f t="shared" si="154"/>
        <v>0</v>
      </c>
      <c r="G668" s="145" t="e">
        <f t="shared" si="155"/>
        <v>#N/A</v>
      </c>
      <c r="H668" s="145" t="e">
        <f t="shared" si="156"/>
        <v>#N/A</v>
      </c>
      <c r="P668" s="342" t="e">
        <f>1-(INDEX(Muuttujat!$O$5:$O$21,MATCH($C668,Muuttujat!$N$5:$N$21,0),1))</f>
        <v>#N/A</v>
      </c>
      <c r="Q668" s="342" t="e">
        <f>INDEX(Muuttujat!$O$5:$O$21,MATCH($C668,Muuttujat!$N$5:$N$21,0),1)</f>
        <v>#N/A</v>
      </c>
      <c r="R668" s="162"/>
      <c r="S668" s="163"/>
      <c r="T668" s="163"/>
      <c r="U668" s="163"/>
      <c r="V668" s="163"/>
      <c r="W668" s="163"/>
      <c r="X668" s="163"/>
      <c r="Y668" s="160"/>
      <c r="Z668" s="164"/>
      <c r="AA668" s="164"/>
      <c r="AB668" s="164"/>
      <c r="AC668" s="164"/>
      <c r="AD668" s="164"/>
      <c r="AE668" s="24"/>
      <c r="AG668" s="2"/>
    </row>
    <row r="669" spans="4:33">
      <c r="D669" s="160"/>
      <c r="F669" s="145">
        <f t="shared" si="154"/>
        <v>0</v>
      </c>
      <c r="G669" s="145" t="e">
        <f t="shared" si="155"/>
        <v>#N/A</v>
      </c>
      <c r="H669" s="145" t="e">
        <f t="shared" si="156"/>
        <v>#N/A</v>
      </c>
      <c r="P669" s="342" t="e">
        <f>1-(INDEX(Muuttujat!$O$5:$O$21,MATCH($C669,Muuttujat!$N$5:$N$21,0),1))</f>
        <v>#N/A</v>
      </c>
      <c r="Q669" s="342" t="e">
        <f>INDEX(Muuttujat!$O$5:$O$21,MATCH($C669,Muuttujat!$N$5:$N$21,0),1)</f>
        <v>#N/A</v>
      </c>
      <c r="R669" s="162"/>
      <c r="S669" s="163"/>
      <c r="T669" s="163"/>
      <c r="U669" s="163"/>
      <c r="V669" s="163"/>
      <c r="W669" s="163"/>
      <c r="X669" s="163"/>
      <c r="Y669" s="160"/>
      <c r="Z669" s="164"/>
      <c r="AA669" s="164"/>
      <c r="AB669" s="164"/>
      <c r="AC669" s="164"/>
      <c r="AD669" s="164"/>
      <c r="AE669" s="24"/>
      <c r="AG669" s="2"/>
    </row>
    <row r="670" spans="4:33">
      <c r="D670" s="160"/>
      <c r="F670" s="145">
        <f t="shared" si="154"/>
        <v>0</v>
      </c>
      <c r="G670" s="145" t="e">
        <f t="shared" si="155"/>
        <v>#N/A</v>
      </c>
      <c r="H670" s="145" t="e">
        <f t="shared" si="156"/>
        <v>#N/A</v>
      </c>
      <c r="P670" s="342" t="e">
        <f>1-(INDEX(Muuttujat!$O$5:$O$21,MATCH($C670,Muuttujat!$N$5:$N$21,0),1))</f>
        <v>#N/A</v>
      </c>
      <c r="Q670" s="342" t="e">
        <f>INDEX(Muuttujat!$O$5:$O$21,MATCH($C670,Muuttujat!$N$5:$N$21,0),1)</f>
        <v>#N/A</v>
      </c>
      <c r="R670" s="162"/>
      <c r="S670" s="163"/>
      <c r="T670" s="163"/>
      <c r="U670" s="163"/>
      <c r="V670" s="163"/>
      <c r="W670" s="163"/>
      <c r="X670" s="163"/>
      <c r="Y670" s="160"/>
      <c r="Z670" s="164"/>
      <c r="AA670" s="164"/>
      <c r="AB670" s="164"/>
      <c r="AC670" s="164"/>
      <c r="AD670" s="164"/>
      <c r="AE670" s="24"/>
      <c r="AG670" s="2"/>
    </row>
    <row r="671" spans="4:33">
      <c r="D671" s="160"/>
      <c r="F671" s="145">
        <f t="shared" si="154"/>
        <v>0</v>
      </c>
      <c r="G671" s="145" t="e">
        <f t="shared" si="155"/>
        <v>#N/A</v>
      </c>
      <c r="H671" s="145" t="e">
        <f t="shared" si="156"/>
        <v>#N/A</v>
      </c>
      <c r="P671" s="342" t="e">
        <f>1-(INDEX(Muuttujat!$O$5:$O$21,MATCH($C671,Muuttujat!$N$5:$N$21,0),1))</f>
        <v>#N/A</v>
      </c>
      <c r="Q671" s="342" t="e">
        <f>INDEX(Muuttujat!$O$5:$O$21,MATCH($C671,Muuttujat!$N$5:$N$21,0),1)</f>
        <v>#N/A</v>
      </c>
      <c r="R671" s="162"/>
      <c r="S671" s="163"/>
      <c r="T671" s="163"/>
      <c r="U671" s="163"/>
      <c r="V671" s="163"/>
      <c r="W671" s="163"/>
      <c r="X671" s="163"/>
      <c r="Y671" s="160"/>
      <c r="Z671" s="164"/>
      <c r="AA671" s="164"/>
      <c r="AB671" s="164"/>
      <c r="AC671" s="164"/>
      <c r="AD671" s="164"/>
      <c r="AE671" s="24"/>
      <c r="AG671" s="2"/>
    </row>
    <row r="672" spans="4:33">
      <c r="D672" s="160"/>
      <c r="F672" s="145">
        <f t="shared" si="154"/>
        <v>0</v>
      </c>
      <c r="G672" s="145" t="e">
        <f t="shared" si="155"/>
        <v>#N/A</v>
      </c>
      <c r="H672" s="145" t="e">
        <f t="shared" si="156"/>
        <v>#N/A</v>
      </c>
      <c r="P672" s="342" t="e">
        <f>1-(INDEX(Muuttujat!$O$5:$O$21,MATCH($C672,Muuttujat!$N$5:$N$21,0),1))</f>
        <v>#N/A</v>
      </c>
      <c r="Q672" s="342" t="e">
        <f>INDEX(Muuttujat!$O$5:$O$21,MATCH($C672,Muuttujat!$N$5:$N$21,0),1)</f>
        <v>#N/A</v>
      </c>
      <c r="R672" s="162"/>
      <c r="S672" s="163"/>
      <c r="T672" s="163"/>
      <c r="U672" s="163"/>
      <c r="V672" s="163"/>
      <c r="W672" s="163"/>
      <c r="X672" s="163"/>
      <c r="Y672" s="160"/>
      <c r="Z672" s="164"/>
      <c r="AA672" s="164"/>
      <c r="AB672" s="164"/>
      <c r="AC672" s="164"/>
      <c r="AD672" s="164"/>
      <c r="AE672" s="24"/>
      <c r="AG672" s="2"/>
    </row>
    <row r="673" spans="4:33">
      <c r="D673" s="160"/>
      <c r="F673" s="145">
        <f t="shared" si="154"/>
        <v>0</v>
      </c>
      <c r="G673" s="145" t="e">
        <f t="shared" si="155"/>
        <v>#N/A</v>
      </c>
      <c r="H673" s="145" t="e">
        <f t="shared" si="156"/>
        <v>#N/A</v>
      </c>
      <c r="P673" s="342" t="e">
        <f>1-(INDEX(Muuttujat!$O$5:$O$21,MATCH($C673,Muuttujat!$N$5:$N$21,0),1))</f>
        <v>#N/A</v>
      </c>
      <c r="Q673" s="342" t="e">
        <f>INDEX(Muuttujat!$O$5:$O$21,MATCH($C673,Muuttujat!$N$5:$N$21,0),1)</f>
        <v>#N/A</v>
      </c>
      <c r="R673" s="162"/>
      <c r="S673" s="163"/>
      <c r="T673" s="163"/>
      <c r="U673" s="163"/>
      <c r="V673" s="163"/>
      <c r="W673" s="163"/>
      <c r="X673" s="163"/>
      <c r="Y673" s="160"/>
      <c r="Z673" s="164"/>
      <c r="AA673" s="164"/>
      <c r="AB673" s="164"/>
      <c r="AC673" s="164"/>
      <c r="AD673" s="164"/>
      <c r="AE673" s="24"/>
      <c r="AG673" s="2"/>
    </row>
    <row r="674" spans="4:33">
      <c r="D674" s="160"/>
      <c r="F674" s="145">
        <f t="shared" si="154"/>
        <v>0</v>
      </c>
      <c r="G674" s="145" t="e">
        <f t="shared" si="155"/>
        <v>#N/A</v>
      </c>
      <c r="H674" s="145" t="e">
        <f t="shared" si="156"/>
        <v>#N/A</v>
      </c>
      <c r="P674" s="342" t="e">
        <f>1-(INDEX(Muuttujat!$O$5:$O$21,MATCH($C674,Muuttujat!$N$5:$N$21,0),1))</f>
        <v>#N/A</v>
      </c>
      <c r="Q674" s="342" t="e">
        <f>INDEX(Muuttujat!$O$5:$O$21,MATCH($C674,Muuttujat!$N$5:$N$21,0),1)</f>
        <v>#N/A</v>
      </c>
      <c r="R674" s="162"/>
      <c r="S674" s="163"/>
      <c r="T674" s="163"/>
      <c r="U674" s="163"/>
      <c r="V674" s="163"/>
      <c r="W674" s="163"/>
      <c r="X674" s="163"/>
      <c r="Y674" s="160"/>
      <c r="Z674" s="164"/>
      <c r="AA674" s="164"/>
      <c r="AB674" s="164"/>
      <c r="AC674" s="164"/>
      <c r="AD674" s="164"/>
      <c r="AE674" s="24"/>
      <c r="AG674" s="2"/>
    </row>
    <row r="675" spans="4:33">
      <c r="D675" s="160"/>
      <c r="F675" s="145">
        <f t="shared" si="154"/>
        <v>0</v>
      </c>
      <c r="G675" s="145" t="e">
        <f t="shared" si="155"/>
        <v>#N/A</v>
      </c>
      <c r="H675" s="145" t="e">
        <f t="shared" si="156"/>
        <v>#N/A</v>
      </c>
      <c r="P675" s="342" t="e">
        <f>1-(INDEX(Muuttujat!$O$5:$O$21,MATCH($C675,Muuttujat!$N$5:$N$21,0),1))</f>
        <v>#N/A</v>
      </c>
      <c r="Q675" s="342" t="e">
        <f>INDEX(Muuttujat!$O$5:$O$21,MATCH($C675,Muuttujat!$N$5:$N$21,0),1)</f>
        <v>#N/A</v>
      </c>
      <c r="R675" s="162"/>
      <c r="S675" s="163"/>
      <c r="T675" s="163"/>
      <c r="U675" s="163"/>
      <c r="V675" s="163"/>
      <c r="W675" s="163"/>
      <c r="X675" s="163"/>
      <c r="Y675" s="160"/>
      <c r="Z675" s="164"/>
      <c r="AA675" s="164"/>
      <c r="AB675" s="164"/>
      <c r="AC675" s="164"/>
      <c r="AD675" s="164"/>
      <c r="AE675" s="24"/>
      <c r="AG675" s="2"/>
    </row>
    <row r="676" spans="4:33">
      <c r="D676" s="160"/>
      <c r="F676" s="145">
        <f t="shared" si="154"/>
        <v>0</v>
      </c>
      <c r="G676" s="145" t="e">
        <f t="shared" si="155"/>
        <v>#N/A</v>
      </c>
      <c r="H676" s="145" t="e">
        <f t="shared" si="156"/>
        <v>#N/A</v>
      </c>
      <c r="P676" s="342" t="e">
        <f>1-(INDEX(Muuttujat!$O$5:$O$21,MATCH($C676,Muuttujat!$N$5:$N$21,0),1))</f>
        <v>#N/A</v>
      </c>
      <c r="Q676" s="342" t="e">
        <f>INDEX(Muuttujat!$O$5:$O$21,MATCH($C676,Muuttujat!$N$5:$N$21,0),1)</f>
        <v>#N/A</v>
      </c>
      <c r="R676" s="162"/>
      <c r="S676" s="163"/>
      <c r="T676" s="163"/>
      <c r="U676" s="163"/>
      <c r="V676" s="163"/>
      <c r="W676" s="163"/>
      <c r="X676" s="163"/>
      <c r="Y676" s="160"/>
      <c r="Z676" s="164"/>
      <c r="AA676" s="164"/>
      <c r="AB676" s="164"/>
      <c r="AC676" s="164"/>
      <c r="AD676" s="164"/>
      <c r="AE676" s="24"/>
      <c r="AG676" s="2"/>
    </row>
    <row r="677" spans="4:33">
      <c r="D677" s="160"/>
      <c r="F677" s="145">
        <f t="shared" si="154"/>
        <v>0</v>
      </c>
      <c r="G677" s="145" t="e">
        <f t="shared" si="155"/>
        <v>#N/A</v>
      </c>
      <c r="H677" s="145" t="e">
        <f t="shared" si="156"/>
        <v>#N/A</v>
      </c>
      <c r="P677" s="342" t="e">
        <f>1-(INDEX(Muuttujat!$O$5:$O$21,MATCH($C677,Muuttujat!$N$5:$N$21,0),1))</f>
        <v>#N/A</v>
      </c>
      <c r="Q677" s="342" t="e">
        <f>INDEX(Muuttujat!$O$5:$O$21,MATCH($C677,Muuttujat!$N$5:$N$21,0),1)</f>
        <v>#N/A</v>
      </c>
      <c r="R677" s="162"/>
      <c r="S677" s="163"/>
      <c r="T677" s="163"/>
      <c r="U677" s="163"/>
      <c r="V677" s="163"/>
      <c r="W677" s="163"/>
      <c r="X677" s="163"/>
      <c r="Y677" s="160"/>
      <c r="Z677" s="164"/>
      <c r="AA677" s="164"/>
      <c r="AB677" s="164"/>
      <c r="AC677" s="164"/>
      <c r="AD677" s="164"/>
      <c r="AE677" s="24"/>
      <c r="AG677" s="2"/>
    </row>
    <row r="678" spans="4:33">
      <c r="D678" s="160"/>
      <c r="F678" s="145">
        <f t="shared" si="154"/>
        <v>0</v>
      </c>
      <c r="G678" s="145" t="e">
        <f t="shared" si="155"/>
        <v>#N/A</v>
      </c>
      <c r="H678" s="145" t="e">
        <f t="shared" si="156"/>
        <v>#N/A</v>
      </c>
      <c r="P678" s="342" t="e">
        <f>1-(INDEX(Muuttujat!$O$5:$O$21,MATCH($C678,Muuttujat!$N$5:$N$21,0),1))</f>
        <v>#N/A</v>
      </c>
      <c r="Q678" s="342" t="e">
        <f>INDEX(Muuttujat!$O$5:$O$21,MATCH($C678,Muuttujat!$N$5:$N$21,0),1)</f>
        <v>#N/A</v>
      </c>
      <c r="R678" s="162"/>
      <c r="S678" s="163"/>
      <c r="T678" s="163"/>
      <c r="U678" s="163"/>
      <c r="V678" s="163"/>
      <c r="W678" s="163"/>
      <c r="X678" s="163"/>
      <c r="Y678" s="160"/>
      <c r="Z678" s="164"/>
      <c r="AA678" s="164"/>
      <c r="AB678" s="164"/>
      <c r="AC678" s="164"/>
      <c r="AD678" s="164"/>
      <c r="AE678" s="24"/>
      <c r="AG678" s="2"/>
    </row>
    <row r="679" spans="4:33">
      <c r="D679" s="160"/>
      <c r="F679" s="145">
        <f t="shared" si="154"/>
        <v>0</v>
      </c>
      <c r="G679" s="145" t="e">
        <f t="shared" si="155"/>
        <v>#N/A</v>
      </c>
      <c r="H679" s="145" t="e">
        <f t="shared" si="156"/>
        <v>#N/A</v>
      </c>
      <c r="P679" s="342" t="e">
        <f>1-(INDEX(Muuttujat!$O$5:$O$21,MATCH($C679,Muuttujat!$N$5:$N$21,0),1))</f>
        <v>#N/A</v>
      </c>
      <c r="Q679" s="342" t="e">
        <f>INDEX(Muuttujat!$O$5:$O$21,MATCH($C679,Muuttujat!$N$5:$N$21,0),1)</f>
        <v>#N/A</v>
      </c>
      <c r="R679" s="162"/>
      <c r="S679" s="163"/>
      <c r="T679" s="163"/>
      <c r="U679" s="163"/>
      <c r="V679" s="163"/>
      <c r="W679" s="163"/>
      <c r="X679" s="163"/>
      <c r="Y679" s="160"/>
      <c r="Z679" s="164"/>
      <c r="AA679" s="164"/>
      <c r="AB679" s="164"/>
      <c r="AC679" s="164"/>
      <c r="AD679" s="164"/>
      <c r="AE679" s="24"/>
      <c r="AG679" s="2"/>
    </row>
    <row r="680" spans="4:33">
      <c r="D680" s="160"/>
      <c r="F680" s="145">
        <f t="shared" si="154"/>
        <v>0</v>
      </c>
      <c r="G680" s="145" t="e">
        <f t="shared" si="155"/>
        <v>#N/A</v>
      </c>
      <c r="H680" s="145" t="e">
        <f t="shared" si="156"/>
        <v>#N/A</v>
      </c>
      <c r="P680" s="342" t="e">
        <f>1-(INDEX(Muuttujat!$O$5:$O$21,MATCH($C680,Muuttujat!$N$5:$N$21,0),1))</f>
        <v>#N/A</v>
      </c>
      <c r="Q680" s="342" t="e">
        <f>INDEX(Muuttujat!$O$5:$O$21,MATCH($C680,Muuttujat!$N$5:$N$21,0),1)</f>
        <v>#N/A</v>
      </c>
      <c r="R680" s="162"/>
      <c r="S680" s="163"/>
      <c r="T680" s="163"/>
      <c r="U680" s="163"/>
      <c r="V680" s="163"/>
      <c r="W680" s="163"/>
      <c r="X680" s="163"/>
      <c r="Y680" s="160"/>
      <c r="Z680" s="164"/>
      <c r="AA680" s="164"/>
      <c r="AB680" s="164"/>
      <c r="AC680" s="164"/>
      <c r="AD680" s="164"/>
      <c r="AE680" s="24"/>
      <c r="AG680" s="2"/>
    </row>
    <row r="681" spans="4:33">
      <c r="D681" s="160"/>
      <c r="F681" s="145">
        <f t="shared" si="154"/>
        <v>0</v>
      </c>
      <c r="G681" s="145" t="e">
        <f t="shared" si="155"/>
        <v>#N/A</v>
      </c>
      <c r="H681" s="145" t="e">
        <f t="shared" si="156"/>
        <v>#N/A</v>
      </c>
      <c r="P681" s="342" t="e">
        <f>1-(INDEX(Muuttujat!$O$5:$O$21,MATCH($C681,Muuttujat!$N$5:$N$21,0),1))</f>
        <v>#N/A</v>
      </c>
      <c r="Q681" s="342" t="e">
        <f>INDEX(Muuttujat!$O$5:$O$21,MATCH($C681,Muuttujat!$N$5:$N$21,0),1)</f>
        <v>#N/A</v>
      </c>
      <c r="R681" s="162"/>
      <c r="S681" s="163"/>
      <c r="T681" s="163"/>
      <c r="U681" s="163"/>
      <c r="V681" s="163"/>
      <c r="W681" s="163"/>
      <c r="X681" s="163"/>
      <c r="Y681" s="160"/>
      <c r="Z681" s="164"/>
      <c r="AA681" s="164"/>
      <c r="AB681" s="164"/>
      <c r="AC681" s="164"/>
      <c r="AD681" s="164"/>
      <c r="AE681" s="24"/>
      <c r="AG681" s="2"/>
    </row>
    <row r="682" spans="4:33">
      <c r="D682" s="160"/>
      <c r="F682" s="145">
        <f t="shared" si="154"/>
        <v>0</v>
      </c>
      <c r="G682" s="145" t="e">
        <f t="shared" si="155"/>
        <v>#N/A</v>
      </c>
      <c r="H682" s="145" t="e">
        <f t="shared" si="156"/>
        <v>#N/A</v>
      </c>
      <c r="P682" s="342" t="e">
        <f>1-(INDEX(Muuttujat!$O$5:$O$21,MATCH($C682,Muuttujat!$N$5:$N$21,0),1))</f>
        <v>#N/A</v>
      </c>
      <c r="Q682" s="342" t="e">
        <f>INDEX(Muuttujat!$O$5:$O$21,MATCH($C682,Muuttujat!$N$5:$N$21,0),1)</f>
        <v>#N/A</v>
      </c>
      <c r="R682" s="162"/>
      <c r="S682" s="163"/>
      <c r="T682" s="163"/>
      <c r="U682" s="163"/>
      <c r="V682" s="163"/>
      <c r="W682" s="163"/>
      <c r="X682" s="163"/>
      <c r="Y682" s="160"/>
      <c r="Z682" s="164"/>
      <c r="AA682" s="164"/>
      <c r="AB682" s="164"/>
      <c r="AC682" s="164"/>
      <c r="AD682" s="164"/>
      <c r="AE682" s="24"/>
      <c r="AG682" s="2"/>
    </row>
    <row r="683" spans="4:33">
      <c r="D683" s="160"/>
      <c r="F683" s="145">
        <f t="shared" si="154"/>
        <v>0</v>
      </c>
      <c r="G683" s="145" t="e">
        <f t="shared" si="155"/>
        <v>#N/A</v>
      </c>
      <c r="H683" s="145" t="e">
        <f t="shared" si="156"/>
        <v>#N/A</v>
      </c>
      <c r="P683" s="342" t="e">
        <f>1-(INDEX(Muuttujat!$O$5:$O$21,MATCH($C683,Muuttujat!$N$5:$N$21,0),1))</f>
        <v>#N/A</v>
      </c>
      <c r="Q683" s="342" t="e">
        <f>INDEX(Muuttujat!$O$5:$O$21,MATCH($C683,Muuttujat!$N$5:$N$21,0),1)</f>
        <v>#N/A</v>
      </c>
      <c r="R683" s="162"/>
      <c r="S683" s="163"/>
      <c r="T683" s="163"/>
      <c r="U683" s="163"/>
      <c r="V683" s="163"/>
      <c r="W683" s="163"/>
      <c r="X683" s="163"/>
      <c r="Y683" s="160"/>
      <c r="Z683" s="164"/>
      <c r="AA683" s="164"/>
      <c r="AB683" s="164"/>
      <c r="AC683" s="164"/>
      <c r="AD683" s="164"/>
      <c r="AE683" s="24"/>
      <c r="AG683" s="2"/>
    </row>
    <row r="684" spans="4:33">
      <c r="D684" s="160"/>
      <c r="F684" s="145">
        <f t="shared" si="154"/>
        <v>0</v>
      </c>
      <c r="G684" s="145" t="e">
        <f t="shared" si="155"/>
        <v>#N/A</v>
      </c>
      <c r="H684" s="145" t="e">
        <f t="shared" si="156"/>
        <v>#N/A</v>
      </c>
      <c r="P684" s="342" t="e">
        <f>1-(INDEX(Muuttujat!$O$5:$O$21,MATCH($C684,Muuttujat!$N$5:$N$21,0),1))</f>
        <v>#N/A</v>
      </c>
      <c r="Q684" s="342" t="e">
        <f>INDEX(Muuttujat!$O$5:$O$21,MATCH($C684,Muuttujat!$N$5:$N$21,0),1)</f>
        <v>#N/A</v>
      </c>
      <c r="R684" s="162"/>
      <c r="S684" s="163"/>
      <c r="T684" s="163"/>
      <c r="U684" s="163"/>
      <c r="V684" s="163"/>
      <c r="W684" s="163"/>
      <c r="X684" s="163"/>
      <c r="Y684" s="160"/>
      <c r="Z684" s="164"/>
      <c r="AA684" s="164"/>
      <c r="AB684" s="164"/>
      <c r="AC684" s="164"/>
      <c r="AD684" s="164"/>
      <c r="AE684" s="24"/>
      <c r="AG684" s="2"/>
    </row>
    <row r="685" spans="4:33">
      <c r="D685" s="160"/>
      <c r="F685" s="145">
        <f t="shared" si="154"/>
        <v>0</v>
      </c>
      <c r="G685" s="145" t="e">
        <f t="shared" si="155"/>
        <v>#N/A</v>
      </c>
      <c r="H685" s="145" t="e">
        <f t="shared" si="156"/>
        <v>#N/A</v>
      </c>
      <c r="P685" s="342" t="e">
        <f>1-(INDEX(Muuttujat!$O$5:$O$21,MATCH($C685,Muuttujat!$N$5:$N$21,0),1))</f>
        <v>#N/A</v>
      </c>
      <c r="Q685" s="342" t="e">
        <f>INDEX(Muuttujat!$O$5:$O$21,MATCH($C685,Muuttujat!$N$5:$N$21,0),1)</f>
        <v>#N/A</v>
      </c>
      <c r="R685" s="162"/>
      <c r="S685" s="163"/>
      <c r="T685" s="163"/>
      <c r="U685" s="163"/>
      <c r="V685" s="163"/>
      <c r="W685" s="163"/>
      <c r="X685" s="163"/>
      <c r="Y685" s="160"/>
      <c r="Z685" s="164"/>
      <c r="AA685" s="164"/>
      <c r="AB685" s="164"/>
      <c r="AC685" s="164"/>
      <c r="AD685" s="164"/>
      <c r="AE685" s="24"/>
      <c r="AG685" s="2"/>
    </row>
    <row r="686" spans="4:33">
      <c r="D686" s="160"/>
      <c r="F686" s="145">
        <f t="shared" si="154"/>
        <v>0</v>
      </c>
      <c r="G686" s="145" t="e">
        <f t="shared" si="155"/>
        <v>#N/A</v>
      </c>
      <c r="H686" s="145" t="e">
        <f t="shared" si="156"/>
        <v>#N/A</v>
      </c>
      <c r="P686" s="342" t="e">
        <f>1-(INDEX(Muuttujat!$O$5:$O$21,MATCH($C686,Muuttujat!$N$5:$N$21,0),1))</f>
        <v>#N/A</v>
      </c>
      <c r="Q686" s="342" t="e">
        <f>INDEX(Muuttujat!$O$5:$O$21,MATCH($C686,Muuttujat!$N$5:$N$21,0),1)</f>
        <v>#N/A</v>
      </c>
      <c r="R686" s="162"/>
      <c r="S686" s="163"/>
      <c r="T686" s="163"/>
      <c r="U686" s="163"/>
      <c r="W686" s="163"/>
      <c r="X686" s="163"/>
      <c r="Y686" s="160"/>
      <c r="Z686" s="164"/>
      <c r="AA686" s="164"/>
      <c r="AB686" s="164"/>
      <c r="AC686" s="164"/>
      <c r="AD686" s="164"/>
      <c r="AE686" s="24"/>
      <c r="AG686" s="2"/>
    </row>
    <row r="687" spans="4:33">
      <c r="D687" s="160"/>
      <c r="F687" s="145">
        <f t="shared" si="154"/>
        <v>0</v>
      </c>
      <c r="G687" s="145" t="e">
        <f t="shared" si="155"/>
        <v>#N/A</v>
      </c>
      <c r="H687" s="145" t="e">
        <f t="shared" si="156"/>
        <v>#N/A</v>
      </c>
      <c r="P687" s="342" t="e">
        <f>1-(INDEX(Muuttujat!$O$5:$O$21,MATCH($C687,Muuttujat!$N$5:$N$21,0),1))</f>
        <v>#N/A</v>
      </c>
      <c r="Q687" s="342" t="e">
        <f>INDEX(Muuttujat!$O$5:$O$21,MATCH($C687,Muuttujat!$N$5:$N$21,0),1)</f>
        <v>#N/A</v>
      </c>
      <c r="R687" s="162"/>
      <c r="S687" s="163"/>
      <c r="T687" s="163"/>
      <c r="U687" s="163"/>
      <c r="W687" s="163"/>
      <c r="X687" s="163"/>
      <c r="Y687" s="160"/>
      <c r="Z687" s="164"/>
      <c r="AA687" s="164"/>
      <c r="AB687" s="164"/>
      <c r="AC687" s="164"/>
      <c r="AD687" s="164"/>
      <c r="AE687" s="24"/>
      <c r="AG687" s="2"/>
    </row>
    <row r="688" spans="4:33">
      <c r="D688" s="160"/>
      <c r="F688" s="145">
        <f t="shared" si="154"/>
        <v>0</v>
      </c>
      <c r="G688" s="145" t="e">
        <f t="shared" si="155"/>
        <v>#N/A</v>
      </c>
      <c r="H688" s="145" t="e">
        <f t="shared" si="156"/>
        <v>#N/A</v>
      </c>
      <c r="P688" s="342" t="e">
        <f>1-(INDEX(Muuttujat!$O$5:$O$21,MATCH($C688,Muuttujat!$N$5:$N$21,0),1))</f>
        <v>#N/A</v>
      </c>
      <c r="Q688" s="342" t="e">
        <f>INDEX(Muuttujat!$O$5:$O$21,MATCH($C688,Muuttujat!$N$5:$N$21,0),1)</f>
        <v>#N/A</v>
      </c>
      <c r="R688" s="162"/>
      <c r="S688" s="163"/>
      <c r="T688" s="163"/>
      <c r="U688" s="163"/>
      <c r="W688" s="163"/>
      <c r="X688" s="163"/>
      <c r="Y688" s="160"/>
      <c r="Z688" s="164"/>
      <c r="AA688" s="164"/>
      <c r="AB688" s="164"/>
      <c r="AC688" s="164"/>
      <c r="AD688" s="164"/>
      <c r="AE688" s="24"/>
      <c r="AG688" s="2"/>
    </row>
    <row r="689" spans="4:33">
      <c r="D689" s="160"/>
      <c r="F689" s="145">
        <f t="shared" si="154"/>
        <v>0</v>
      </c>
      <c r="G689" s="145" t="e">
        <f t="shared" si="155"/>
        <v>#N/A</v>
      </c>
      <c r="H689" s="145" t="e">
        <f t="shared" si="156"/>
        <v>#N/A</v>
      </c>
      <c r="P689" s="342" t="e">
        <f>1-(INDEX(Muuttujat!$O$5:$O$21,MATCH($C689,Muuttujat!$N$5:$N$21,0),1))</f>
        <v>#N/A</v>
      </c>
      <c r="Q689" s="342" t="e">
        <f>INDEX(Muuttujat!$O$5:$O$21,MATCH($C689,Muuttujat!$N$5:$N$21,0),1)</f>
        <v>#N/A</v>
      </c>
      <c r="R689" s="162"/>
      <c r="S689" s="163"/>
      <c r="T689" s="163"/>
      <c r="U689" s="163"/>
      <c r="W689" s="163"/>
      <c r="X689" s="163"/>
      <c r="Y689" s="160"/>
      <c r="Z689" s="164"/>
      <c r="AA689" s="164"/>
      <c r="AB689" s="164"/>
      <c r="AC689" s="164"/>
      <c r="AD689" s="164"/>
      <c r="AE689" s="24"/>
      <c r="AG689" s="2"/>
    </row>
    <row r="690" spans="4:33">
      <c r="D690" s="160"/>
      <c r="F690" s="145">
        <f t="shared" si="154"/>
        <v>0</v>
      </c>
      <c r="G690" s="145" t="e">
        <f t="shared" si="155"/>
        <v>#N/A</v>
      </c>
      <c r="H690" s="145" t="e">
        <f t="shared" si="156"/>
        <v>#N/A</v>
      </c>
      <c r="P690" s="342" t="e">
        <f>1-(INDEX(Muuttujat!$O$5:$O$21,MATCH($C690,Muuttujat!$N$5:$N$21,0),1))</f>
        <v>#N/A</v>
      </c>
      <c r="Q690" s="342" t="e">
        <f>INDEX(Muuttujat!$O$5:$O$21,MATCH($C690,Muuttujat!$N$5:$N$21,0),1)</f>
        <v>#N/A</v>
      </c>
      <c r="R690" s="162"/>
      <c r="S690" s="163"/>
      <c r="T690" s="163"/>
      <c r="U690" s="163"/>
      <c r="W690" s="163"/>
      <c r="X690" s="163"/>
      <c r="Y690" s="160"/>
      <c r="Z690" s="164"/>
      <c r="AA690" s="164"/>
      <c r="AB690" s="164"/>
      <c r="AC690" s="164"/>
      <c r="AD690" s="164"/>
      <c r="AE690" s="24"/>
      <c r="AG690" s="2"/>
    </row>
    <row r="691" spans="4:33">
      <c r="D691" s="160"/>
      <c r="F691" s="145">
        <f t="shared" si="154"/>
        <v>0</v>
      </c>
      <c r="G691" s="145" t="e">
        <f t="shared" si="155"/>
        <v>#N/A</v>
      </c>
      <c r="H691" s="145" t="e">
        <f t="shared" si="156"/>
        <v>#N/A</v>
      </c>
      <c r="P691" s="342" t="e">
        <f>1-(INDEX(Muuttujat!$O$5:$O$21,MATCH($C691,Muuttujat!$N$5:$N$21,0),1))</f>
        <v>#N/A</v>
      </c>
      <c r="Q691" s="342" t="e">
        <f>INDEX(Muuttujat!$O$5:$O$21,MATCH($C691,Muuttujat!$N$5:$N$21,0),1)</f>
        <v>#N/A</v>
      </c>
      <c r="R691" s="162"/>
      <c r="S691" s="163"/>
      <c r="T691" s="163"/>
      <c r="U691" s="163"/>
      <c r="W691" s="163"/>
      <c r="X691" s="163"/>
      <c r="Y691" s="160"/>
      <c r="Z691" s="164"/>
      <c r="AA691" s="164"/>
      <c r="AB691" s="164"/>
      <c r="AC691" s="164"/>
      <c r="AD691" s="164"/>
      <c r="AE691" s="24"/>
      <c r="AG691" s="2"/>
    </row>
    <row r="692" spans="4:33">
      <c r="D692" s="160"/>
      <c r="F692" s="145">
        <f t="shared" si="154"/>
        <v>0</v>
      </c>
      <c r="G692" s="145" t="e">
        <f t="shared" si="155"/>
        <v>#N/A</v>
      </c>
      <c r="H692" s="145" t="e">
        <f t="shared" si="156"/>
        <v>#N/A</v>
      </c>
      <c r="P692" s="342" t="e">
        <f>1-(INDEX(Muuttujat!$O$5:$O$21,MATCH($C692,Muuttujat!$N$5:$N$21,0),1))</f>
        <v>#N/A</v>
      </c>
      <c r="Q692" s="342" t="e">
        <f>INDEX(Muuttujat!$O$5:$O$21,MATCH($C692,Muuttujat!$N$5:$N$21,0),1)</f>
        <v>#N/A</v>
      </c>
      <c r="R692" s="162"/>
      <c r="S692" s="163"/>
      <c r="T692" s="163"/>
      <c r="U692" s="163"/>
      <c r="W692" s="163"/>
      <c r="X692" s="163"/>
      <c r="Y692" s="160"/>
      <c r="Z692" s="164"/>
      <c r="AA692" s="164"/>
      <c r="AB692" s="164"/>
      <c r="AC692" s="164"/>
      <c r="AD692" s="164"/>
      <c r="AE692" s="24"/>
      <c r="AG692" s="2"/>
    </row>
    <row r="693" spans="4:33">
      <c r="D693" s="160"/>
      <c r="F693" s="145">
        <f t="shared" si="154"/>
        <v>0</v>
      </c>
      <c r="G693" s="145" t="e">
        <f t="shared" si="155"/>
        <v>#N/A</v>
      </c>
      <c r="H693" s="145" t="e">
        <f t="shared" si="156"/>
        <v>#N/A</v>
      </c>
      <c r="P693" s="342" t="e">
        <f>1-(INDEX(Muuttujat!$O$5:$O$21,MATCH($C693,Muuttujat!$N$5:$N$21,0),1))</f>
        <v>#N/A</v>
      </c>
      <c r="Q693" s="342" t="e">
        <f>INDEX(Muuttujat!$O$5:$O$21,MATCH($C693,Muuttujat!$N$5:$N$21,0),1)</f>
        <v>#N/A</v>
      </c>
      <c r="R693" s="162"/>
      <c r="S693" s="163"/>
      <c r="T693" s="163"/>
      <c r="U693" s="163"/>
      <c r="W693" s="163"/>
      <c r="X693" s="163"/>
      <c r="Y693" s="160"/>
      <c r="Z693" s="164"/>
      <c r="AA693" s="164"/>
      <c r="AB693" s="164"/>
      <c r="AC693" s="164"/>
      <c r="AD693" s="164"/>
      <c r="AE693" s="24"/>
      <c r="AG693" s="2"/>
    </row>
  </sheetData>
  <autoFilter ref="A2:AD693"/>
  <mergeCells count="6">
    <mergeCell ref="Z1:AD1"/>
    <mergeCell ref="A1:C1"/>
    <mergeCell ref="D1:M1"/>
    <mergeCell ref="N1:R1"/>
    <mergeCell ref="S1:V1"/>
    <mergeCell ref="W1:Y1"/>
  </mergeCells>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693"/>
  <sheetViews>
    <sheetView workbookViewId="0">
      <selection sqref="A1:C1"/>
    </sheetView>
  </sheetViews>
  <sheetFormatPr defaultColWidth="9.109375" defaultRowHeight="13.8"/>
  <cols>
    <col min="1" max="1" width="10.109375" style="159" customWidth="1"/>
    <col min="2" max="2" width="10.109375" style="159" hidden="1" customWidth="1"/>
    <col min="3" max="3" width="10.109375" style="159" customWidth="1"/>
    <col min="4" max="4" width="11.5546875" style="157" customWidth="1"/>
    <col min="5" max="5" width="10.109375" style="161" customWidth="1"/>
    <col min="6" max="7" width="13.109375" style="161" hidden="1" customWidth="1"/>
    <col min="8" max="8" width="10.109375" style="161" hidden="1" customWidth="1"/>
    <col min="9" max="9" width="11.6640625" style="161" customWidth="1"/>
    <col min="10" max="10" width="10.109375" style="161" customWidth="1"/>
    <col min="11" max="12" width="10.109375" style="157" customWidth="1"/>
    <col min="13" max="13" width="12.6640625" style="160" customWidth="1"/>
    <col min="14" max="14" width="15" style="160" hidden="1" customWidth="1"/>
    <col min="15" max="17" width="14" style="160" hidden="1" customWidth="1"/>
    <col min="18" max="18" width="14.5546875" style="160" hidden="1" customWidth="1"/>
    <col min="19" max="20" width="15" style="160" customWidth="1"/>
    <col min="21" max="23" width="13" style="160" customWidth="1"/>
    <col min="24" max="24" width="14.44140625" style="160" customWidth="1"/>
    <col min="25" max="25" width="10.109375" style="157" customWidth="1"/>
    <col min="26" max="30" width="10.6640625" style="157" customWidth="1"/>
    <col min="31" max="31" width="5.88671875" style="157" customWidth="1"/>
    <col min="32" max="32" width="7.5546875" style="6" customWidth="1"/>
    <col min="33" max="33" width="11.44140625" style="6" customWidth="1"/>
    <col min="34" max="34" width="11.109375" style="6" customWidth="1"/>
    <col min="35" max="35" width="9.109375" style="6"/>
    <col min="36" max="36" width="9.44140625" style="6" customWidth="1"/>
    <col min="37" max="16384" width="9.109375" style="6"/>
  </cols>
  <sheetData>
    <row r="1" spans="1:36" s="157" customFormat="1">
      <c r="A1" s="384" t="s">
        <v>257</v>
      </c>
      <c r="B1" s="384"/>
      <c r="C1" s="384"/>
      <c r="D1" s="385" t="s">
        <v>258</v>
      </c>
      <c r="E1" s="386"/>
      <c r="F1" s="386"/>
      <c r="G1" s="386"/>
      <c r="H1" s="386"/>
      <c r="I1" s="386"/>
      <c r="J1" s="386"/>
      <c r="K1" s="386"/>
      <c r="L1" s="386"/>
      <c r="M1" s="386"/>
      <c r="N1" s="387" t="s">
        <v>259</v>
      </c>
      <c r="O1" s="388"/>
      <c r="P1" s="388"/>
      <c r="Q1" s="388"/>
      <c r="R1" s="389"/>
      <c r="S1" s="387" t="s">
        <v>260</v>
      </c>
      <c r="T1" s="388"/>
      <c r="U1" s="388"/>
      <c r="V1" s="389"/>
      <c r="W1" s="387" t="s">
        <v>261</v>
      </c>
      <c r="X1" s="388"/>
      <c r="Y1" s="388"/>
      <c r="Z1" s="385" t="s">
        <v>262</v>
      </c>
      <c r="AA1" s="386"/>
      <c r="AB1" s="386"/>
      <c r="AC1" s="386"/>
      <c r="AD1" s="386"/>
    </row>
    <row r="2" spans="1:36" s="181" customFormat="1" ht="41.4">
      <c r="A2" s="132" t="s">
        <v>220</v>
      </c>
      <c r="B2" s="133" t="s">
        <v>263</v>
      </c>
      <c r="C2" s="133" t="s">
        <v>42</v>
      </c>
      <c r="D2" s="132" t="s">
        <v>264</v>
      </c>
      <c r="E2" s="133" t="s">
        <v>265</v>
      </c>
      <c r="F2" s="133" t="s">
        <v>266</v>
      </c>
      <c r="G2" s="133" t="s">
        <v>267</v>
      </c>
      <c r="H2" s="133" t="s">
        <v>268</v>
      </c>
      <c r="I2" s="133" t="s">
        <v>298</v>
      </c>
      <c r="J2" s="133" t="s">
        <v>299</v>
      </c>
      <c r="K2" s="133" t="s">
        <v>271</v>
      </c>
      <c r="L2" s="133" t="s">
        <v>272</v>
      </c>
      <c r="M2" s="133" t="s">
        <v>273</v>
      </c>
      <c r="N2" s="132" t="s">
        <v>274</v>
      </c>
      <c r="O2" s="133" t="s">
        <v>275</v>
      </c>
      <c r="P2" s="133" t="s">
        <v>276</v>
      </c>
      <c r="Q2" s="133" t="s">
        <v>277</v>
      </c>
      <c r="R2" s="343" t="s">
        <v>302</v>
      </c>
      <c r="S2" s="134" t="s">
        <v>279</v>
      </c>
      <c r="T2" s="135" t="s">
        <v>280</v>
      </c>
      <c r="U2" s="135" t="s">
        <v>281</v>
      </c>
      <c r="V2" s="135" t="s">
        <v>282</v>
      </c>
      <c r="W2" s="134" t="s">
        <v>283</v>
      </c>
      <c r="X2" s="135" t="s">
        <v>284</v>
      </c>
      <c r="Y2" s="135" t="s">
        <v>285</v>
      </c>
      <c r="Z2" s="136" t="s">
        <v>286</v>
      </c>
      <c r="AA2" s="137" t="s">
        <v>287</v>
      </c>
      <c r="AB2" s="137" t="s">
        <v>25</v>
      </c>
      <c r="AC2" s="138" t="s">
        <v>288</v>
      </c>
      <c r="AD2" s="155" t="s">
        <v>43</v>
      </c>
      <c r="AF2" s="391" t="s">
        <v>303</v>
      </c>
      <c r="AG2" s="391"/>
      <c r="AH2" s="391"/>
    </row>
    <row r="3" spans="1:36">
      <c r="A3" s="139">
        <v>1</v>
      </c>
      <c r="B3" s="139">
        <f>IFERROR(INDEX(Työkonekanta!$F$3:$F$27,MATCH('S2 Bio'!$A3,Työkonekanta!$A$3:$A$24,0),1),0)</f>
        <v>1</v>
      </c>
      <c r="C3" s="140">
        <v>2019</v>
      </c>
      <c r="D3" s="141" t="str">
        <f>IFERROR(INDEX(Työkonekanta!$D$3:$D$27,MATCH('S2 Bio'!$A3,Työkonekanta!$A$3:$A$24,0),1),"undefined")</f>
        <v>pom</v>
      </c>
      <c r="E3" s="145">
        <f>IFERROR(INDEX(Työkonekanta!$G$3:$G$27,MATCH($A3,Työkonekanta!$A$3:$A$24,0),1)*INDEX(Työkonekanta!$H$3:$H$27,MATCH($A3,Työkonekanta!$A$3:$A$24,0),1)*(1+_xlfn.SINGLE(s2_kerroin)*($C3-2019))*$B3,0)</f>
        <v>10000</v>
      </c>
      <c r="F3" s="145">
        <f t="shared" ref="F3:F66" si="0">IF(D3="pom",$E3*hv_pom,0)</f>
        <v>359000</v>
      </c>
      <c r="G3" s="145">
        <f>$F3*$P3</f>
        <v>359000</v>
      </c>
      <c r="H3" s="145">
        <f>$F3*$Q3</f>
        <v>0</v>
      </c>
      <c r="I3" s="145">
        <f t="shared" ref="I3:I66" si="1">$G3/hv_pom</f>
        <v>10000</v>
      </c>
      <c r="J3" s="145">
        <f t="shared" ref="J3:J66" si="2">$H3/hv_biodies</f>
        <v>0</v>
      </c>
      <c r="K3" s="142" t="str">
        <f>IF($D3="sähkö","kWh",IF($D3="pom","l","undefined"))</f>
        <v>l</v>
      </c>
      <c r="L3" s="146">
        <f>IFERROR(INDEX(Työkonekanta!$I$3:$I$27,MATCH('S2 Bio'!$A3,Työkonekanta!$A$3:$A$24,0),1)*(I3+J3)*f_adblue,0)</f>
        <v>500</v>
      </c>
      <c r="M3" s="146">
        <f t="shared" ref="M3:M82" si="3">IF($D3="sähkö",conv_kwh_mj*$E3,0)</f>
        <v>0</v>
      </c>
      <c r="N3" s="143" t="str">
        <f>IF(tuulisähkö_vuosi&lt;='S2 Bio'!C3,"tuulisähkö",ostosähkö_nyt)</f>
        <v>jäännössähkö</v>
      </c>
      <c r="O3" s="147">
        <f>INDEX(Muuttujat!$J$5:$J$21,MATCH($C3,Muuttujat!$H$5:$H$21,0),1)</f>
        <v>69.24722222222222</v>
      </c>
      <c r="P3" s="148">
        <f>1-Q3</f>
        <v>1</v>
      </c>
      <c r="Q3" s="148">
        <f t="shared" ref="Q3:R22" si="4">IF(biosiirtymä_luonne="äkillinen",INDEX($AG$4:$AG$20,MATCH($C3,$AF$4:$AF$20,0),1),INDEX($AH$4:$AH$20,MATCH($C3,$AF$4:$AF$20,0),1))</f>
        <v>0</v>
      </c>
      <c r="R3" s="148">
        <f t="shared" si="4"/>
        <v>0</v>
      </c>
      <c r="S3" s="149">
        <f t="shared" ref="S3:S66" si="5">wtt_ef_e_co2_dies*$G3/1000/1000</f>
        <v>6.785099999999999</v>
      </c>
      <c r="T3" s="150">
        <f t="shared" ref="T3:T66" si="6">wtt_ef_e_co2_biodies*$H3/1000/1000</f>
        <v>0</v>
      </c>
      <c r="U3" s="150">
        <f t="shared" ref="U3:U66" si="7">IF(N3="jäännössähkö",$O3,IF(N3="tuulisähkö",wtt_ef_e_co2_el_wind,0))*$M3/1000/1000</f>
        <v>0</v>
      </c>
      <c r="V3" s="150">
        <f>IFERROR(INDEX(Työkonekanta!$J$3:$J$27,MATCH($A3,Työkonekanta!$A$3:$A$24,0),1)*$B3*ef_li_ion_akku/1000/1000/INDEX(Työkonekanta!$K$3:$K$27,MATCH($A3,Työkonekanta!$A$3:$A$24,0)),0)</f>
        <v>0</v>
      </c>
      <c r="W3" s="149">
        <f t="shared" ref="W3:W82" si="8">($I3*IF($D3="pom",ef_v_co2_pom,0))/1000/1000</f>
        <v>26.497163285999999</v>
      </c>
      <c r="X3" s="150">
        <f t="shared" ref="X3:X82" si="9">($E3*(IF($D3="pom",ef_v_ch4_pom,0)*gwp100_ch4+IF($D3="pom",ef_v_n2o_pom,0)*gwp100_n2o))/1000/1000</f>
        <v>0.31774565999999999</v>
      </c>
      <c r="Y3" s="151">
        <f t="shared" ref="Y3:Y82" si="10">$L3*ef_v_co2_adblue/1000/1000</f>
        <v>0.13</v>
      </c>
      <c r="Z3" s="152">
        <f>SUM($S3:$V3)</f>
        <v>6.785099999999999</v>
      </c>
      <c r="AA3" s="153">
        <f>$W3+$Y3</f>
        <v>26.627163285999998</v>
      </c>
      <c r="AB3" s="153">
        <f>SUM($W3:$Y3)</f>
        <v>26.944908945999998</v>
      </c>
      <c r="AC3" s="154">
        <f t="shared" ref="AC3:AC82" si="11">$Z3+$AA3</f>
        <v>33.412263285999998</v>
      </c>
      <c r="AD3" s="180">
        <f>$Z3+$AB3</f>
        <v>33.730008945999998</v>
      </c>
      <c r="AE3" s="160"/>
      <c r="AF3" s="68" t="s">
        <v>42</v>
      </c>
      <c r="AG3" s="68" t="s">
        <v>304</v>
      </c>
      <c r="AH3" s="69" t="s">
        <v>305</v>
      </c>
    </row>
    <row r="4" spans="1:36">
      <c r="A4" s="139">
        <v>2</v>
      </c>
      <c r="B4" s="139">
        <f>IFERROR(INDEX(Työkonekanta!$F$3:$F$27,MATCH('S2 Bio'!$A4,Työkonekanta!$A$3:$A$24,0),1),0)</f>
        <v>1</v>
      </c>
      <c r="C4" s="140">
        <v>2019</v>
      </c>
      <c r="D4" s="141" t="str">
        <f>IFERROR(INDEX(Työkonekanta!$D$3:$D$27,MATCH('S2 Bio'!$A4,Työkonekanta!$A$3:$A$24,0),1),"undefined")</f>
        <v>pom</v>
      </c>
      <c r="E4" s="145">
        <f>IFERROR(INDEX(Työkonekanta!$G$3:$G$27,MATCH($A4,Työkonekanta!$A$3:$A$24,0),1)*INDEX(Työkonekanta!$H$3:$H$27,MATCH($A4,Työkonekanta!$A$3:$A$24,0),1)*(1+_xlfn.SINGLE(s2_kerroin)*($C4-2019))*$B4,0)</f>
        <v>10000</v>
      </c>
      <c r="F4" s="145">
        <f t="shared" si="0"/>
        <v>359000</v>
      </c>
      <c r="G4" s="145">
        <f t="shared" ref="G4:G67" si="12">$F4*$P4</f>
        <v>359000</v>
      </c>
      <c r="H4" s="145">
        <f t="shared" ref="H4:H67" si="13">$F4*$Q4</f>
        <v>0</v>
      </c>
      <c r="I4" s="145">
        <f t="shared" si="1"/>
        <v>10000</v>
      </c>
      <c r="J4" s="145">
        <f t="shared" si="2"/>
        <v>0</v>
      </c>
      <c r="K4" s="142" t="str">
        <f t="shared" ref="K4:K67" si="14">IF($D4="sähkö","kWh",IF($D4="pom","l","undefined"))</f>
        <v>l</v>
      </c>
      <c r="L4" s="146">
        <f>IFERROR(INDEX(Työkonekanta!$I$3:$I$27,MATCH('S2 Bio'!$A4,Työkonekanta!$A$3:$A$24,0),1)*(I4+J4)*f_adblue,0)</f>
        <v>500</v>
      </c>
      <c r="M4" s="146">
        <f t="shared" si="3"/>
        <v>0</v>
      </c>
      <c r="N4" s="143" t="str">
        <f>IF(tuulisähkö_vuosi&lt;='S2 Bio'!C4,"tuulisähkö",ostosähkö_nyt)</f>
        <v>jäännössähkö</v>
      </c>
      <c r="O4" s="147">
        <f>INDEX(Muuttujat!$J$5:$J$21,MATCH($C4,Muuttujat!$H$5:$H$21,0),1)</f>
        <v>69.24722222222222</v>
      </c>
      <c r="P4" s="148">
        <f t="shared" ref="P4:P67" si="15">1-Q4</f>
        <v>1</v>
      </c>
      <c r="Q4" s="148">
        <f t="shared" si="4"/>
        <v>0</v>
      </c>
      <c r="R4" s="148">
        <f t="shared" si="4"/>
        <v>0</v>
      </c>
      <c r="S4" s="149">
        <f t="shared" si="5"/>
        <v>6.785099999999999</v>
      </c>
      <c r="T4" s="150">
        <f t="shared" si="6"/>
        <v>0</v>
      </c>
      <c r="U4" s="150">
        <f t="shared" si="7"/>
        <v>0</v>
      </c>
      <c r="V4" s="150">
        <f>IFERROR(INDEX(Työkonekanta!$J$3:$J$27,MATCH($A4,Työkonekanta!$A$3:$A$24,0),1)*$B4*ef_li_ion_akku/1000/1000/INDEX(Työkonekanta!$K$3:$K$27,MATCH($A4,Työkonekanta!$A$3:$A$24,0)),0)</f>
        <v>0</v>
      </c>
      <c r="W4" s="149">
        <f t="shared" si="8"/>
        <v>26.497163285999999</v>
      </c>
      <c r="X4" s="150">
        <f t="shared" si="9"/>
        <v>0.31774565999999999</v>
      </c>
      <c r="Y4" s="151">
        <f t="shared" si="10"/>
        <v>0.13</v>
      </c>
      <c r="Z4" s="152">
        <f t="shared" ref="Z4:Z67" si="16">SUM($S4:$V4)</f>
        <v>6.785099999999999</v>
      </c>
      <c r="AA4" s="153">
        <f t="shared" ref="AA4:AA67" si="17">$W4+$Y4</f>
        <v>26.627163285999998</v>
      </c>
      <c r="AB4" s="153">
        <f t="shared" ref="AB4:AB67" si="18">SUM($W4:$Y4)</f>
        <v>26.944908945999998</v>
      </c>
      <c r="AC4" s="154">
        <f t="shared" si="11"/>
        <v>33.412263285999998</v>
      </c>
      <c r="AD4" s="180">
        <f t="shared" ref="AD4:AD67" si="19">$Z4+$AB4</f>
        <v>33.730008945999998</v>
      </c>
      <c r="AE4" s="160"/>
      <c r="AF4" s="185">
        <v>2019</v>
      </c>
      <c r="AG4" s="70">
        <v>0</v>
      </c>
      <c r="AH4" s="71">
        <v>0</v>
      </c>
    </row>
    <row r="5" spans="1:36">
      <c r="A5" s="139">
        <v>3</v>
      </c>
      <c r="B5" s="139">
        <f>IFERROR(INDEX(Työkonekanta!$F$3:$F$27,MATCH('S2 Bio'!$A5,Työkonekanta!$A$3:$A$24,0),1),0)</f>
        <v>1</v>
      </c>
      <c r="C5" s="140">
        <v>2019</v>
      </c>
      <c r="D5" s="141" t="str">
        <f>IFERROR(INDEX(Työkonekanta!$D$3:$D$27,MATCH('S2 Bio'!$A5,Työkonekanta!$A$3:$A$24,0),1),"undefined")</f>
        <v>pom</v>
      </c>
      <c r="E5" s="145">
        <f>IFERROR(INDEX(Työkonekanta!$G$3:$G$27,MATCH($A5,Työkonekanta!$A$3:$A$24,0),1)*INDEX(Työkonekanta!$H$3:$H$27,MATCH($A5,Työkonekanta!$A$3:$A$24,0),1)*(1+_xlfn.SINGLE(s2_kerroin)*($C5-2019))*$B5,0)</f>
        <v>10000</v>
      </c>
      <c r="F5" s="145">
        <f t="shared" si="0"/>
        <v>359000</v>
      </c>
      <c r="G5" s="145">
        <f t="shared" si="12"/>
        <v>359000</v>
      </c>
      <c r="H5" s="145">
        <f t="shared" si="13"/>
        <v>0</v>
      </c>
      <c r="I5" s="145">
        <f t="shared" si="1"/>
        <v>10000</v>
      </c>
      <c r="J5" s="145">
        <f t="shared" si="2"/>
        <v>0</v>
      </c>
      <c r="K5" s="142" t="str">
        <f t="shared" si="14"/>
        <v>l</v>
      </c>
      <c r="L5" s="146">
        <f>IFERROR(INDEX(Työkonekanta!$I$3:$I$27,MATCH('S2 Bio'!$A5,Työkonekanta!$A$3:$A$24,0),1)*(I5+J5)*f_adblue,0)</f>
        <v>500</v>
      </c>
      <c r="M5" s="146">
        <f t="shared" si="3"/>
        <v>0</v>
      </c>
      <c r="N5" s="143" t="str">
        <f>IF(tuulisähkö_vuosi&lt;='S2 Bio'!C5,"tuulisähkö",ostosähkö_nyt)</f>
        <v>jäännössähkö</v>
      </c>
      <c r="O5" s="147">
        <f>INDEX(Muuttujat!$J$5:$J$21,MATCH($C5,Muuttujat!$H$5:$H$21,0),1)</f>
        <v>69.24722222222222</v>
      </c>
      <c r="P5" s="148">
        <f t="shared" si="15"/>
        <v>1</v>
      </c>
      <c r="Q5" s="148">
        <f t="shared" si="4"/>
        <v>0</v>
      </c>
      <c r="R5" s="148">
        <f t="shared" si="4"/>
        <v>0</v>
      </c>
      <c r="S5" s="149">
        <f t="shared" si="5"/>
        <v>6.785099999999999</v>
      </c>
      <c r="T5" s="150">
        <f t="shared" si="6"/>
        <v>0</v>
      </c>
      <c r="U5" s="150">
        <f t="shared" si="7"/>
        <v>0</v>
      </c>
      <c r="V5" s="150">
        <f>IFERROR(INDEX(Työkonekanta!$J$3:$J$27,MATCH($A5,Työkonekanta!$A$3:$A$24,0),1)*$B5*ef_li_ion_akku/1000/1000/INDEX(Työkonekanta!$K$3:$K$27,MATCH($A5,Työkonekanta!$A$3:$A$24,0)),0)</f>
        <v>0</v>
      </c>
      <c r="W5" s="149">
        <f t="shared" si="8"/>
        <v>26.497163285999999</v>
      </c>
      <c r="X5" s="150">
        <f t="shared" si="9"/>
        <v>0.31774565999999999</v>
      </c>
      <c r="Y5" s="151">
        <f t="shared" si="10"/>
        <v>0.13</v>
      </c>
      <c r="Z5" s="152">
        <f t="shared" si="16"/>
        <v>6.785099999999999</v>
      </c>
      <c r="AA5" s="153">
        <f t="shared" si="17"/>
        <v>26.627163285999998</v>
      </c>
      <c r="AB5" s="153">
        <f t="shared" si="18"/>
        <v>26.944908945999998</v>
      </c>
      <c r="AC5" s="154">
        <f t="shared" si="11"/>
        <v>33.412263285999998</v>
      </c>
      <c r="AD5" s="180">
        <f t="shared" si="19"/>
        <v>33.730008945999998</v>
      </c>
      <c r="AE5" s="160"/>
      <c r="AF5" s="185">
        <v>2020</v>
      </c>
      <c r="AG5" s="70">
        <v>0</v>
      </c>
      <c r="AH5" s="71">
        <v>0</v>
      </c>
    </row>
    <row r="6" spans="1:36">
      <c r="A6" s="139">
        <v>4</v>
      </c>
      <c r="B6" s="139">
        <f>IFERROR(INDEX(Työkonekanta!$F$3:$F$27,MATCH('S2 Bio'!$A6,Työkonekanta!$A$3:$A$24,0),1),0)</f>
        <v>1</v>
      </c>
      <c r="C6" s="140">
        <v>2019</v>
      </c>
      <c r="D6" s="141" t="str">
        <f>IFERROR(INDEX(Työkonekanta!$D$3:$D$27,MATCH('S2 Bio'!$A6,Työkonekanta!$A$3:$A$24,0),1),"undefined")</f>
        <v>pom</v>
      </c>
      <c r="E6" s="145">
        <f>IFERROR(INDEX(Työkonekanta!$G$3:$G$27,MATCH($A6,Työkonekanta!$A$3:$A$24,0),1)*INDEX(Työkonekanta!$H$3:$H$27,MATCH($A6,Työkonekanta!$A$3:$A$24,0),1)*(1+_xlfn.SINGLE(s2_kerroin)*($C6-2019))*$B6,0)</f>
        <v>10000</v>
      </c>
      <c r="F6" s="145">
        <f t="shared" si="0"/>
        <v>359000</v>
      </c>
      <c r="G6" s="145">
        <f t="shared" si="12"/>
        <v>359000</v>
      </c>
      <c r="H6" s="145">
        <f t="shared" si="13"/>
        <v>0</v>
      </c>
      <c r="I6" s="145">
        <f t="shared" si="1"/>
        <v>10000</v>
      </c>
      <c r="J6" s="145">
        <f t="shared" si="2"/>
        <v>0</v>
      </c>
      <c r="K6" s="142" t="str">
        <f t="shared" si="14"/>
        <v>l</v>
      </c>
      <c r="L6" s="146">
        <f>IFERROR(INDEX(Työkonekanta!$I$3:$I$27,MATCH('S2 Bio'!$A6,Työkonekanta!$A$3:$A$24,0),1)*(I6+J6)*f_adblue,0)</f>
        <v>500</v>
      </c>
      <c r="M6" s="146">
        <f t="shared" si="3"/>
        <v>0</v>
      </c>
      <c r="N6" s="143" t="str">
        <f>IF(tuulisähkö_vuosi&lt;='S2 Bio'!C6,"tuulisähkö",ostosähkö_nyt)</f>
        <v>jäännössähkö</v>
      </c>
      <c r="O6" s="147">
        <f>INDEX(Muuttujat!$J$5:$J$21,MATCH($C6,Muuttujat!$H$5:$H$21,0),1)</f>
        <v>69.24722222222222</v>
      </c>
      <c r="P6" s="148">
        <f t="shared" si="15"/>
        <v>1</v>
      </c>
      <c r="Q6" s="148">
        <f t="shared" si="4"/>
        <v>0</v>
      </c>
      <c r="R6" s="148">
        <f t="shared" si="4"/>
        <v>0</v>
      </c>
      <c r="S6" s="149">
        <f t="shared" si="5"/>
        <v>6.785099999999999</v>
      </c>
      <c r="T6" s="150">
        <f t="shared" si="6"/>
        <v>0</v>
      </c>
      <c r="U6" s="150">
        <f t="shared" si="7"/>
        <v>0</v>
      </c>
      <c r="V6" s="150">
        <f>IFERROR(INDEX(Työkonekanta!$J$3:$J$27,MATCH($A6,Työkonekanta!$A$3:$A$24,0),1)*$B6*ef_li_ion_akku/1000/1000/INDEX(Työkonekanta!$K$3:$K$27,MATCH($A6,Työkonekanta!$A$3:$A$24,0)),0)</f>
        <v>0</v>
      </c>
      <c r="W6" s="149">
        <f t="shared" si="8"/>
        <v>26.497163285999999</v>
      </c>
      <c r="X6" s="150">
        <f t="shared" si="9"/>
        <v>0.31774565999999999</v>
      </c>
      <c r="Y6" s="151">
        <f t="shared" si="10"/>
        <v>0.13</v>
      </c>
      <c r="Z6" s="152">
        <f t="shared" si="16"/>
        <v>6.785099999999999</v>
      </c>
      <c r="AA6" s="153">
        <f t="shared" si="17"/>
        <v>26.627163285999998</v>
      </c>
      <c r="AB6" s="153">
        <f t="shared" si="18"/>
        <v>26.944908945999998</v>
      </c>
      <c r="AC6" s="154">
        <f t="shared" si="11"/>
        <v>33.412263285999998</v>
      </c>
      <c r="AD6" s="180">
        <f t="shared" si="19"/>
        <v>33.730008945999998</v>
      </c>
      <c r="AE6" s="160"/>
      <c r="AF6" s="185">
        <v>2021</v>
      </c>
      <c r="AG6" s="70">
        <f>IF(AND(biosiirtymä_luonne="äkillinen",$AF6&gt;=biosiirtymä_vuosi),1,INDEX(Muuttujat!$O$5:$O$21,MATCH($AF6,Muuttujat!$N$5:$N$21,0),1))</f>
        <v>0.03</v>
      </c>
      <c r="AH6" s="71">
        <f>IF(AF6&gt;=biosiirtymä_vuosi,1,INDEX(Muuttujat!$O$5:$O$21,MATCH($AF$6,Muuttujat!$N$5:$N$21,0),1)+$AH$25*(AF6-2020))</f>
        <v>9.4666666666666663E-2</v>
      </c>
      <c r="AJ6" s="67"/>
    </row>
    <row r="7" spans="1:36">
      <c r="A7" s="139">
        <v>5</v>
      </c>
      <c r="B7" s="139">
        <f>IFERROR(INDEX(Työkonekanta!$F$3:$F$27,MATCH('S2 Bio'!$A7,Työkonekanta!$A$3:$A$24,0),1),0)</f>
        <v>0</v>
      </c>
      <c r="C7" s="140">
        <v>2019</v>
      </c>
      <c r="D7" s="141" t="str">
        <f>IFERROR(INDEX(Työkonekanta!$D$3:$D$27,MATCH('S2 Bio'!$A7,Työkonekanta!$A$3:$A$24,0),1),"undefined")</f>
        <v>sähkö</v>
      </c>
      <c r="E7" s="145">
        <f>IFERROR(INDEX(Työkonekanta!$G$3:$G$27,MATCH($A7,Työkonekanta!$A$3:$A$24,0),1)*INDEX(Työkonekanta!$H$3:$H$27,MATCH($A7,Työkonekanta!$A$3:$A$24,0),1)*(1+_xlfn.SINGLE(s2_kerroin)*($C7-2019))*$B7,0)</f>
        <v>0</v>
      </c>
      <c r="F7" s="145">
        <f t="shared" si="0"/>
        <v>0</v>
      </c>
      <c r="G7" s="145">
        <f t="shared" si="12"/>
        <v>0</v>
      </c>
      <c r="H7" s="145">
        <f t="shared" si="13"/>
        <v>0</v>
      </c>
      <c r="I7" s="145">
        <f t="shared" si="1"/>
        <v>0</v>
      </c>
      <c r="J7" s="145">
        <f t="shared" si="2"/>
        <v>0</v>
      </c>
      <c r="K7" s="142" t="str">
        <f t="shared" si="14"/>
        <v>kWh</v>
      </c>
      <c r="L7" s="146">
        <f>IFERROR(INDEX(Työkonekanta!$I$3:$I$27,MATCH('S2 Bio'!$A7,Työkonekanta!$A$3:$A$24,0),1)*(I7+J7)*f_adblue,0)</f>
        <v>0</v>
      </c>
      <c r="M7" s="146">
        <f t="shared" si="3"/>
        <v>0</v>
      </c>
      <c r="N7" s="143" t="str">
        <f>IF(tuulisähkö_vuosi&lt;='S2 Bio'!C7,"tuulisähkö",ostosähkö_nyt)</f>
        <v>jäännössähkö</v>
      </c>
      <c r="O7" s="147">
        <f>INDEX(Muuttujat!$J$5:$J$21,MATCH($C7,Muuttujat!$H$5:$H$21,0),1)</f>
        <v>69.24722222222222</v>
      </c>
      <c r="P7" s="148">
        <f t="shared" si="15"/>
        <v>1</v>
      </c>
      <c r="Q7" s="148">
        <f t="shared" si="4"/>
        <v>0</v>
      </c>
      <c r="R7" s="148">
        <f t="shared" si="4"/>
        <v>0</v>
      </c>
      <c r="S7" s="149">
        <f t="shared" si="5"/>
        <v>0</v>
      </c>
      <c r="T7" s="150">
        <f t="shared" si="6"/>
        <v>0</v>
      </c>
      <c r="U7" s="150">
        <f t="shared" si="7"/>
        <v>0</v>
      </c>
      <c r="V7" s="150">
        <f>IFERROR(INDEX(Työkonekanta!$J$3:$J$27,MATCH($A7,Työkonekanta!$A$3:$A$24,0),1)*$B7*ef_li_ion_akku/1000/1000/INDEX(Työkonekanta!$K$3:$K$27,MATCH($A7,Työkonekanta!$A$3:$A$24,0)),0)</f>
        <v>0</v>
      </c>
      <c r="W7" s="149">
        <f t="shared" si="8"/>
        <v>0</v>
      </c>
      <c r="X7" s="150">
        <f t="shared" si="9"/>
        <v>0</v>
      </c>
      <c r="Y7" s="151">
        <f t="shared" si="10"/>
        <v>0</v>
      </c>
      <c r="Z7" s="152">
        <f t="shared" si="16"/>
        <v>0</v>
      </c>
      <c r="AA7" s="153">
        <f t="shared" si="17"/>
        <v>0</v>
      </c>
      <c r="AB7" s="153">
        <f t="shared" si="18"/>
        <v>0</v>
      </c>
      <c r="AC7" s="154">
        <f t="shared" si="11"/>
        <v>0</v>
      </c>
      <c r="AD7" s="180">
        <f t="shared" si="19"/>
        <v>0</v>
      </c>
      <c r="AE7" s="160"/>
      <c r="AF7" s="185">
        <v>2022</v>
      </c>
      <c r="AG7" s="70">
        <f>IF(AND(biosiirtymä_luonne="äkillinen",$AF7&gt;=biosiirtymä_vuosi),1,INDEX(Muuttujat!$O$5:$O$21,MATCH($AF7,Muuttujat!$N$5:$N$21,0),1))</f>
        <v>0.04</v>
      </c>
      <c r="AH7" s="71">
        <f>IF(AF7&gt;=biosiirtymä_vuosi,1,INDEX(Muuttujat!$O$5:$O$21,MATCH($AF$6,Muuttujat!$N$5:$N$21,0),1)+$AH$25*(AF7-2020))</f>
        <v>0.15933333333333333</v>
      </c>
      <c r="AJ7" s="67"/>
    </row>
    <row r="8" spans="1:36">
      <c r="A8" s="139">
        <v>6</v>
      </c>
      <c r="B8" s="139">
        <f>IFERROR(INDEX(Työkonekanta!$F$3:$F$27,MATCH('S2 Bio'!$A8,Työkonekanta!$A$3:$A$24,0),1),0)</f>
        <v>0</v>
      </c>
      <c r="C8" s="140">
        <v>2019</v>
      </c>
      <c r="D8" s="141" t="str">
        <f>IFERROR(INDEX(Työkonekanta!$D$3:$D$27,MATCH('S2 Bio'!$A8,Työkonekanta!$A$3:$A$24,0),1),"undefined")</f>
        <v>sähkö</v>
      </c>
      <c r="E8" s="145">
        <f>IFERROR(INDEX(Työkonekanta!$G$3:$G$27,MATCH($A8,Työkonekanta!$A$3:$A$24,0),1)*INDEX(Työkonekanta!$H$3:$H$27,MATCH($A8,Työkonekanta!$A$3:$A$24,0),1)*(1+_xlfn.SINGLE(s2_kerroin)*($C8-2019))*$B8,0)</f>
        <v>0</v>
      </c>
      <c r="F8" s="145">
        <f t="shared" si="0"/>
        <v>0</v>
      </c>
      <c r="G8" s="145">
        <f t="shared" si="12"/>
        <v>0</v>
      </c>
      <c r="H8" s="145">
        <f t="shared" si="13"/>
        <v>0</v>
      </c>
      <c r="I8" s="145">
        <f t="shared" si="1"/>
        <v>0</v>
      </c>
      <c r="J8" s="145">
        <f t="shared" si="2"/>
        <v>0</v>
      </c>
      <c r="K8" s="142" t="str">
        <f t="shared" si="14"/>
        <v>kWh</v>
      </c>
      <c r="L8" s="146">
        <f>IFERROR(INDEX(Työkonekanta!$I$3:$I$27,MATCH('S2 Bio'!$A8,Työkonekanta!$A$3:$A$24,0),1)*(I8+J8)*f_adblue,0)</f>
        <v>0</v>
      </c>
      <c r="M8" s="146">
        <f t="shared" si="3"/>
        <v>0</v>
      </c>
      <c r="N8" s="143" t="str">
        <f>IF(tuulisähkö_vuosi&lt;='S2 Bio'!C8,"tuulisähkö",ostosähkö_nyt)</f>
        <v>jäännössähkö</v>
      </c>
      <c r="O8" s="147">
        <f>INDEX(Muuttujat!$J$5:$J$21,MATCH($C8,Muuttujat!$H$5:$H$21,0),1)</f>
        <v>69.24722222222222</v>
      </c>
      <c r="P8" s="148">
        <f t="shared" si="15"/>
        <v>1</v>
      </c>
      <c r="Q8" s="148">
        <f t="shared" si="4"/>
        <v>0</v>
      </c>
      <c r="R8" s="148">
        <f t="shared" si="4"/>
        <v>0</v>
      </c>
      <c r="S8" s="149">
        <f t="shared" si="5"/>
        <v>0</v>
      </c>
      <c r="T8" s="150">
        <f t="shared" si="6"/>
        <v>0</v>
      </c>
      <c r="U8" s="150">
        <f t="shared" si="7"/>
        <v>0</v>
      </c>
      <c r="V8" s="150">
        <f>IFERROR(INDEX(Työkonekanta!$J$3:$J$27,MATCH($A8,Työkonekanta!$A$3:$A$24,0),1)*$B8*ef_li_ion_akku/1000/1000/INDEX(Työkonekanta!$K$3:$K$27,MATCH($A8,Työkonekanta!$A$3:$A$24,0)),0)</f>
        <v>0</v>
      </c>
      <c r="W8" s="149">
        <f t="shared" si="8"/>
        <v>0</v>
      </c>
      <c r="X8" s="150">
        <f t="shared" si="9"/>
        <v>0</v>
      </c>
      <c r="Y8" s="151">
        <f t="shared" si="10"/>
        <v>0</v>
      </c>
      <c r="Z8" s="152">
        <f t="shared" si="16"/>
        <v>0</v>
      </c>
      <c r="AA8" s="153">
        <f t="shared" si="17"/>
        <v>0</v>
      </c>
      <c r="AB8" s="153">
        <f t="shared" si="18"/>
        <v>0</v>
      </c>
      <c r="AC8" s="154">
        <f t="shared" si="11"/>
        <v>0</v>
      </c>
      <c r="AD8" s="180">
        <f t="shared" si="19"/>
        <v>0</v>
      </c>
      <c r="AE8" s="160"/>
      <c r="AF8" s="185">
        <v>2023</v>
      </c>
      <c r="AG8" s="70">
        <f>IF(AND(biosiirtymä_luonne="äkillinen",$AF8&gt;=biosiirtymä_vuosi),1,INDEX(Muuttujat!$O$5:$O$21,MATCH($AF8,Muuttujat!$N$5:$N$21,0),1))</f>
        <v>0.05</v>
      </c>
      <c r="AH8" s="71">
        <f>IF(AF8&gt;=biosiirtymä_vuosi,1,INDEX(Muuttujat!$O$5:$O$21,MATCH($AF$6,Muuttujat!$N$5:$N$21,0),1)+$AH$25*(AF8-2020))</f>
        <v>0.224</v>
      </c>
      <c r="AJ8" s="67"/>
    </row>
    <row r="9" spans="1:36">
      <c r="A9" s="139">
        <v>7</v>
      </c>
      <c r="B9" s="139">
        <f>IFERROR(INDEX(Työkonekanta!$F$3:$F$27,MATCH('S2 Bio'!$A9,Työkonekanta!$A$3:$A$24,0),1),0)</f>
        <v>1</v>
      </c>
      <c r="C9" s="140">
        <v>2019</v>
      </c>
      <c r="D9" s="141" t="str">
        <f>IFERROR(INDEX(Työkonekanta!$D$3:$D$27,MATCH('S2 Bio'!$A9,Työkonekanta!$A$3:$A$24,0),1),"undefined")</f>
        <v>pom</v>
      </c>
      <c r="E9" s="145">
        <f>IFERROR(INDEX(Työkonekanta!$G$3:$G$27,MATCH($A9,Työkonekanta!$A$3:$A$24,0),1)*INDEX(Työkonekanta!$H$3:$H$27,MATCH($A9,Työkonekanta!$A$3:$A$24,0),1)*(1+_xlfn.SINGLE(s2_kerroin)*($C9-2019))*$B9,0)</f>
        <v>10000</v>
      </c>
      <c r="F9" s="145">
        <f t="shared" si="0"/>
        <v>359000</v>
      </c>
      <c r="G9" s="145">
        <f t="shared" si="12"/>
        <v>359000</v>
      </c>
      <c r="H9" s="145">
        <f t="shared" si="13"/>
        <v>0</v>
      </c>
      <c r="I9" s="145">
        <f t="shared" si="1"/>
        <v>10000</v>
      </c>
      <c r="J9" s="145">
        <f t="shared" si="2"/>
        <v>0</v>
      </c>
      <c r="K9" s="142" t="str">
        <f t="shared" si="14"/>
        <v>l</v>
      </c>
      <c r="L9" s="146">
        <f>IFERROR(INDEX(Työkonekanta!$I$3:$I$27,MATCH('S2 Bio'!$A9,Työkonekanta!$A$3:$A$24,0),1)*(I9+J9)*f_adblue,0)</f>
        <v>0</v>
      </c>
      <c r="M9" s="146">
        <f t="shared" si="3"/>
        <v>0</v>
      </c>
      <c r="N9" s="143" t="str">
        <f>IF(tuulisähkö_vuosi&lt;='S2 Bio'!C9,"tuulisähkö",ostosähkö_nyt)</f>
        <v>jäännössähkö</v>
      </c>
      <c r="O9" s="147">
        <f>INDEX(Muuttujat!$J$5:$J$21,MATCH($C9,Muuttujat!$H$5:$H$21,0),1)</f>
        <v>69.24722222222222</v>
      </c>
      <c r="P9" s="148">
        <f t="shared" si="15"/>
        <v>1</v>
      </c>
      <c r="Q9" s="148">
        <f t="shared" si="4"/>
        <v>0</v>
      </c>
      <c r="R9" s="148">
        <f t="shared" si="4"/>
        <v>0</v>
      </c>
      <c r="S9" s="149">
        <f t="shared" si="5"/>
        <v>6.785099999999999</v>
      </c>
      <c r="T9" s="150">
        <f t="shared" si="6"/>
        <v>0</v>
      </c>
      <c r="U9" s="150">
        <f t="shared" si="7"/>
        <v>0</v>
      </c>
      <c r="V9" s="150">
        <f>IFERROR(INDEX(Työkonekanta!$J$3:$J$27,MATCH($A9,Työkonekanta!$A$3:$A$24,0),1)*$B9*ef_li_ion_akku/1000/1000/INDEX(Työkonekanta!$K$3:$K$27,MATCH($A9,Työkonekanta!$A$3:$A$24,0)),0)</f>
        <v>0</v>
      </c>
      <c r="W9" s="149">
        <f t="shared" si="8"/>
        <v>26.497163285999999</v>
      </c>
      <c r="X9" s="150">
        <f t="shared" si="9"/>
        <v>0.31774565999999999</v>
      </c>
      <c r="Y9" s="151">
        <f t="shared" si="10"/>
        <v>0</v>
      </c>
      <c r="Z9" s="152">
        <f t="shared" si="16"/>
        <v>6.785099999999999</v>
      </c>
      <c r="AA9" s="153">
        <f t="shared" si="17"/>
        <v>26.497163285999999</v>
      </c>
      <c r="AB9" s="153">
        <f t="shared" si="18"/>
        <v>26.814908945999999</v>
      </c>
      <c r="AC9" s="154">
        <f t="shared" si="11"/>
        <v>33.282263285999996</v>
      </c>
      <c r="AD9" s="180">
        <f t="shared" si="19"/>
        <v>33.600008945999996</v>
      </c>
      <c r="AE9" s="160"/>
      <c r="AF9" s="185">
        <v>2024</v>
      </c>
      <c r="AG9" s="70">
        <f>IF(AND(biosiirtymä_luonne="äkillinen",$AF9&gt;=biosiirtymä_vuosi),1,INDEX(Muuttujat!$O$5:$O$21,MATCH($AF9,Muuttujat!$N$5:$N$21,0),1))</f>
        <v>0.06</v>
      </c>
      <c r="AH9" s="71">
        <f>IF(AF9&gt;=biosiirtymä_vuosi,1,INDEX(Muuttujat!$O$5:$O$21,MATCH($AF$6,Muuttujat!$N$5:$N$21,0),1)+$AH$25*(AF9-2020))</f>
        <v>0.28866666666666663</v>
      </c>
      <c r="AJ9" s="67"/>
    </row>
    <row r="10" spans="1:36">
      <c r="A10" s="139">
        <v>8</v>
      </c>
      <c r="B10" s="139">
        <f>IFERROR(INDEX(Työkonekanta!$F$3:$F$27,MATCH('S2 Bio'!$A10,Työkonekanta!$A$3:$A$24,0),1),0)</f>
        <v>1</v>
      </c>
      <c r="C10" s="140">
        <v>2019</v>
      </c>
      <c r="D10" s="141" t="str">
        <f>IFERROR(INDEX(Työkonekanta!$D$3:$D$27,MATCH('S2 Bio'!$A10,Työkonekanta!$A$3:$A$24,0),1),"undefined")</f>
        <v>pom</v>
      </c>
      <c r="E10" s="145">
        <f>IFERROR(INDEX(Työkonekanta!$G$3:$G$27,MATCH($A10,Työkonekanta!$A$3:$A$24,0),1)*INDEX(Työkonekanta!$H$3:$H$27,MATCH($A10,Työkonekanta!$A$3:$A$24,0),1)*(1+_xlfn.SINGLE(s2_kerroin)*($C10-2019))*$B10,0)</f>
        <v>10000</v>
      </c>
      <c r="F10" s="145">
        <f t="shared" si="0"/>
        <v>359000</v>
      </c>
      <c r="G10" s="145">
        <f t="shared" si="12"/>
        <v>359000</v>
      </c>
      <c r="H10" s="145">
        <f t="shared" si="13"/>
        <v>0</v>
      </c>
      <c r="I10" s="145">
        <f t="shared" si="1"/>
        <v>10000</v>
      </c>
      <c r="J10" s="145">
        <f t="shared" si="2"/>
        <v>0</v>
      </c>
      <c r="K10" s="142" t="str">
        <f t="shared" si="14"/>
        <v>l</v>
      </c>
      <c r="L10" s="146">
        <f>IFERROR(INDEX(Työkonekanta!$I$3:$I$27,MATCH('S2 Bio'!$A10,Työkonekanta!$A$3:$A$24,0),1)*(I10+J10)*f_adblue,0)</f>
        <v>500</v>
      </c>
      <c r="M10" s="146">
        <f t="shared" si="3"/>
        <v>0</v>
      </c>
      <c r="N10" s="143" t="str">
        <f>IF(tuulisähkö_vuosi&lt;='S2 Bio'!C10,"tuulisähkö",ostosähkö_nyt)</f>
        <v>jäännössähkö</v>
      </c>
      <c r="O10" s="147">
        <f>INDEX(Muuttujat!$J$5:$J$21,MATCH($C10,Muuttujat!$H$5:$H$21,0),1)</f>
        <v>69.24722222222222</v>
      </c>
      <c r="P10" s="148">
        <f t="shared" si="15"/>
        <v>1</v>
      </c>
      <c r="Q10" s="148">
        <f t="shared" si="4"/>
        <v>0</v>
      </c>
      <c r="R10" s="148">
        <f t="shared" si="4"/>
        <v>0</v>
      </c>
      <c r="S10" s="149">
        <f t="shared" si="5"/>
        <v>6.785099999999999</v>
      </c>
      <c r="T10" s="150">
        <f t="shared" si="6"/>
        <v>0</v>
      </c>
      <c r="U10" s="150">
        <f t="shared" si="7"/>
        <v>0</v>
      </c>
      <c r="V10" s="150">
        <f>IFERROR(INDEX(Työkonekanta!$J$3:$J$27,MATCH($A10,Työkonekanta!$A$3:$A$24,0),1)*$B10*ef_li_ion_akku/1000/1000/INDEX(Työkonekanta!$K$3:$K$27,MATCH($A10,Työkonekanta!$A$3:$A$24,0)),0)</f>
        <v>0</v>
      </c>
      <c r="W10" s="149">
        <f t="shared" si="8"/>
        <v>26.497163285999999</v>
      </c>
      <c r="X10" s="150">
        <f t="shared" si="9"/>
        <v>0.31774565999999999</v>
      </c>
      <c r="Y10" s="151">
        <f t="shared" si="10"/>
        <v>0.13</v>
      </c>
      <c r="Z10" s="152">
        <f t="shared" si="16"/>
        <v>6.785099999999999</v>
      </c>
      <c r="AA10" s="153">
        <f t="shared" si="17"/>
        <v>26.627163285999998</v>
      </c>
      <c r="AB10" s="153">
        <f t="shared" si="18"/>
        <v>26.944908945999998</v>
      </c>
      <c r="AC10" s="154">
        <f t="shared" si="11"/>
        <v>33.412263285999998</v>
      </c>
      <c r="AD10" s="180">
        <f t="shared" si="19"/>
        <v>33.730008945999998</v>
      </c>
      <c r="AE10" s="160"/>
      <c r="AF10" s="185">
        <v>2025</v>
      </c>
      <c r="AG10" s="70">
        <f>IF(AND(biosiirtymä_luonne="äkillinen",$AF10&gt;=biosiirtymä_vuosi),1,INDEX(Muuttujat!$O$5:$O$21,MATCH($AF10,Muuttujat!$N$5:$N$21,0),1))</f>
        <v>7.0000000000000007E-2</v>
      </c>
      <c r="AH10" s="71">
        <f>IF(AF10&gt;=biosiirtymä_vuosi,1,INDEX(Muuttujat!$O$5:$O$21,MATCH($AF$6,Muuttujat!$N$5:$N$21,0),1)+$AH$25*(AF10-2020))</f>
        <v>0.35333333333333328</v>
      </c>
      <c r="AJ10" s="67"/>
    </row>
    <row r="11" spans="1:36">
      <c r="A11" s="139">
        <v>9</v>
      </c>
      <c r="B11" s="139">
        <f>IFERROR(INDEX(Työkonekanta!$F$3:$F$27,MATCH('S2 Bio'!$A11,Työkonekanta!$A$3:$A$24,0),1),0)</f>
        <v>0</v>
      </c>
      <c r="C11" s="140">
        <v>2019</v>
      </c>
      <c r="D11" s="141" t="str">
        <f>IFERROR(INDEX(Työkonekanta!$D$3:$D$27,MATCH('S2 Bio'!$A11,Työkonekanta!$A$3:$A$24,0),1),"undefined")</f>
        <v>sähkö</v>
      </c>
      <c r="E11" s="145">
        <f>IFERROR(INDEX(Työkonekanta!$G$3:$G$27,MATCH($A11,Työkonekanta!$A$3:$A$24,0),1)*INDEX(Työkonekanta!$H$3:$H$27,MATCH($A11,Työkonekanta!$A$3:$A$24,0),1)*(1+_xlfn.SINGLE(s2_kerroin)*($C11-2019))*$B11,0)</f>
        <v>0</v>
      </c>
      <c r="F11" s="145">
        <f t="shared" si="0"/>
        <v>0</v>
      </c>
      <c r="G11" s="145">
        <f t="shared" si="12"/>
        <v>0</v>
      </c>
      <c r="H11" s="145">
        <f t="shared" si="13"/>
        <v>0</v>
      </c>
      <c r="I11" s="145">
        <f t="shared" si="1"/>
        <v>0</v>
      </c>
      <c r="J11" s="145">
        <f t="shared" si="2"/>
        <v>0</v>
      </c>
      <c r="K11" s="142" t="str">
        <f t="shared" si="14"/>
        <v>kWh</v>
      </c>
      <c r="L11" s="146">
        <f>IFERROR(INDEX(Työkonekanta!$I$3:$I$27,MATCH('S2 Bio'!$A11,Työkonekanta!$A$3:$A$24,0),1)*(I11+J11)*f_adblue,0)</f>
        <v>0</v>
      </c>
      <c r="M11" s="146">
        <f t="shared" si="3"/>
        <v>0</v>
      </c>
      <c r="N11" s="143" t="str">
        <f>IF(tuulisähkö_vuosi&lt;='S2 Bio'!C11,"tuulisähkö",ostosähkö_nyt)</f>
        <v>jäännössähkö</v>
      </c>
      <c r="O11" s="147">
        <f>INDEX(Muuttujat!$J$5:$J$21,MATCH($C11,Muuttujat!$H$5:$H$21,0),1)</f>
        <v>69.24722222222222</v>
      </c>
      <c r="P11" s="148">
        <f t="shared" si="15"/>
        <v>1</v>
      </c>
      <c r="Q11" s="148">
        <f t="shared" si="4"/>
        <v>0</v>
      </c>
      <c r="R11" s="148">
        <f t="shared" si="4"/>
        <v>0</v>
      </c>
      <c r="S11" s="149">
        <f t="shared" si="5"/>
        <v>0</v>
      </c>
      <c r="T11" s="150">
        <f t="shared" si="6"/>
        <v>0</v>
      </c>
      <c r="U11" s="150">
        <f t="shared" si="7"/>
        <v>0</v>
      </c>
      <c r="V11" s="150">
        <f>IFERROR(INDEX(Työkonekanta!$J$3:$J$27,MATCH($A11,Työkonekanta!$A$3:$A$24,0),1)*$B11*ef_li_ion_akku/1000/1000/INDEX(Työkonekanta!$K$3:$K$27,MATCH($A11,Työkonekanta!$A$3:$A$24,0)),0)</f>
        <v>0</v>
      </c>
      <c r="W11" s="149">
        <f t="shared" si="8"/>
        <v>0</v>
      </c>
      <c r="X11" s="150">
        <f t="shared" si="9"/>
        <v>0</v>
      </c>
      <c r="Y11" s="151">
        <f t="shared" si="10"/>
        <v>0</v>
      </c>
      <c r="Z11" s="152">
        <f t="shared" si="16"/>
        <v>0</v>
      </c>
      <c r="AA11" s="153">
        <f t="shared" si="17"/>
        <v>0</v>
      </c>
      <c r="AB11" s="153">
        <f t="shared" si="18"/>
        <v>0</v>
      </c>
      <c r="AC11" s="154">
        <f t="shared" si="11"/>
        <v>0</v>
      </c>
      <c r="AD11" s="180">
        <f t="shared" si="19"/>
        <v>0</v>
      </c>
      <c r="AE11" s="160"/>
      <c r="AF11" s="185">
        <v>2026</v>
      </c>
      <c r="AG11" s="70">
        <f>IF(AND(biosiirtymä_luonne="äkillinen",$AF11&gt;=biosiirtymä_vuosi),1,INDEX(Muuttujat!$O$5:$O$21,MATCH($AF11,Muuttujat!$N$5:$N$21,0),1))</f>
        <v>0.08</v>
      </c>
      <c r="AH11" s="71">
        <f>IF(AF11&gt;=biosiirtymä_vuosi,1,INDEX(Muuttujat!$O$5:$O$21,MATCH($AF$6,Muuttujat!$N$5:$N$21,0),1)+$AH$25*(AF11-2020))</f>
        <v>0.41800000000000004</v>
      </c>
      <c r="AJ11" s="67"/>
    </row>
    <row r="12" spans="1:36">
      <c r="A12" s="139">
        <v>10</v>
      </c>
      <c r="B12" s="139">
        <f>IFERROR(INDEX(Työkonekanta!$F$3:$F$27,MATCH('S2 Bio'!$A12,Työkonekanta!$A$3:$A$24,0),1),0)</f>
        <v>0</v>
      </c>
      <c r="C12" s="140">
        <v>2019</v>
      </c>
      <c r="D12" s="141" t="str">
        <f>IFERROR(INDEX(Työkonekanta!$D$3:$D$27,MATCH('S2 Bio'!$A12,Työkonekanta!$A$3:$A$24,0),1),"undefined")</f>
        <v>sähkö</v>
      </c>
      <c r="E12" s="145">
        <f>IFERROR(INDEX(Työkonekanta!$G$3:$G$27,MATCH($A12,Työkonekanta!$A$3:$A$24,0),1)*INDEX(Työkonekanta!$H$3:$H$27,MATCH($A12,Työkonekanta!$A$3:$A$24,0),1)*(1+_xlfn.SINGLE(s2_kerroin)*($C12-2019))*$B12,0)</f>
        <v>0</v>
      </c>
      <c r="F12" s="145">
        <f t="shared" si="0"/>
        <v>0</v>
      </c>
      <c r="G12" s="145">
        <f t="shared" si="12"/>
        <v>0</v>
      </c>
      <c r="H12" s="145">
        <f t="shared" si="13"/>
        <v>0</v>
      </c>
      <c r="I12" s="145">
        <f t="shared" si="1"/>
        <v>0</v>
      </c>
      <c r="J12" s="145">
        <f t="shared" si="2"/>
        <v>0</v>
      </c>
      <c r="K12" s="142" t="str">
        <f t="shared" si="14"/>
        <v>kWh</v>
      </c>
      <c r="L12" s="146">
        <f>IFERROR(INDEX(Työkonekanta!$I$3:$I$27,MATCH('S2 Bio'!$A12,Työkonekanta!$A$3:$A$24,0),1)*(I12+J12)*f_adblue,0)</f>
        <v>0</v>
      </c>
      <c r="M12" s="146">
        <f t="shared" si="3"/>
        <v>0</v>
      </c>
      <c r="N12" s="143" t="str">
        <f>IF(tuulisähkö_vuosi&lt;='S2 Bio'!C12,"tuulisähkö",ostosähkö_nyt)</f>
        <v>jäännössähkö</v>
      </c>
      <c r="O12" s="147">
        <f>INDEX(Muuttujat!$J$5:$J$21,MATCH($C12,Muuttujat!$H$5:$H$21,0),1)</f>
        <v>69.24722222222222</v>
      </c>
      <c r="P12" s="148">
        <f t="shared" si="15"/>
        <v>1</v>
      </c>
      <c r="Q12" s="148">
        <f t="shared" si="4"/>
        <v>0</v>
      </c>
      <c r="R12" s="148">
        <f t="shared" si="4"/>
        <v>0</v>
      </c>
      <c r="S12" s="149">
        <f t="shared" si="5"/>
        <v>0</v>
      </c>
      <c r="T12" s="150">
        <f t="shared" si="6"/>
        <v>0</v>
      </c>
      <c r="U12" s="150">
        <f t="shared" si="7"/>
        <v>0</v>
      </c>
      <c r="V12" s="150">
        <f>IFERROR(INDEX(Työkonekanta!$J$3:$J$27,MATCH($A12,Työkonekanta!$A$3:$A$24,0),1)*$B12*ef_li_ion_akku/1000/1000/INDEX(Työkonekanta!$K$3:$K$27,MATCH($A12,Työkonekanta!$A$3:$A$24,0)),0)</f>
        <v>0</v>
      </c>
      <c r="W12" s="149">
        <f t="shared" si="8"/>
        <v>0</v>
      </c>
      <c r="X12" s="150">
        <f t="shared" si="9"/>
        <v>0</v>
      </c>
      <c r="Y12" s="151">
        <f t="shared" si="10"/>
        <v>0</v>
      </c>
      <c r="Z12" s="152">
        <f t="shared" si="16"/>
        <v>0</v>
      </c>
      <c r="AA12" s="153">
        <f t="shared" si="17"/>
        <v>0</v>
      </c>
      <c r="AB12" s="153">
        <f t="shared" si="18"/>
        <v>0</v>
      </c>
      <c r="AC12" s="154">
        <f t="shared" si="11"/>
        <v>0</v>
      </c>
      <c r="AD12" s="180">
        <f t="shared" si="19"/>
        <v>0</v>
      </c>
      <c r="AE12" s="160"/>
      <c r="AF12" s="185">
        <v>2027</v>
      </c>
      <c r="AG12" s="70">
        <f>IF(AND(biosiirtymä_luonne="äkillinen",$AF12&gt;=biosiirtymä_vuosi),1,INDEX(Muuttujat!$O$5:$O$21,MATCH($AF12,Muuttujat!$N$5:$N$21,0),1))</f>
        <v>0.09</v>
      </c>
      <c r="AH12" s="71">
        <f>IF(AF12&gt;=biosiirtymä_vuosi,1,INDEX(Muuttujat!$O$5:$O$21,MATCH($AF$6,Muuttujat!$N$5:$N$21,0),1)+$AH$25*(AF12-2020))</f>
        <v>0.48266666666666669</v>
      </c>
      <c r="AJ12" s="67"/>
    </row>
    <row r="13" spans="1:36">
      <c r="A13" s="139">
        <v>11</v>
      </c>
      <c r="B13" s="139">
        <f>IFERROR(INDEX(Työkonekanta!$F$3:$F$27,MATCH('S2 Bio'!$A13,Työkonekanta!$A$3:$A$24,0),1),0)</f>
        <v>1</v>
      </c>
      <c r="C13" s="140">
        <v>2019</v>
      </c>
      <c r="D13" s="141" t="str">
        <f>IFERROR(INDEX(Työkonekanta!$D$3:$D$27,MATCH('S2 Bio'!$A13,Työkonekanta!$A$3:$A$24,0),1),"undefined")</f>
        <v>pom</v>
      </c>
      <c r="E13" s="145">
        <f>IFERROR(INDEX(Työkonekanta!$G$3:$G$27,MATCH($A13,Työkonekanta!$A$3:$A$24,0),1)*INDEX(Työkonekanta!$H$3:$H$27,MATCH($A13,Työkonekanta!$A$3:$A$24,0),1)*(1+_xlfn.SINGLE(s2_kerroin)*($C13-2019))*$B13,0)</f>
        <v>10000</v>
      </c>
      <c r="F13" s="145">
        <f t="shared" si="0"/>
        <v>359000</v>
      </c>
      <c r="G13" s="145">
        <f t="shared" si="12"/>
        <v>359000</v>
      </c>
      <c r="H13" s="145">
        <f t="shared" si="13"/>
        <v>0</v>
      </c>
      <c r="I13" s="145">
        <f t="shared" si="1"/>
        <v>10000</v>
      </c>
      <c r="J13" s="145">
        <f t="shared" si="2"/>
        <v>0</v>
      </c>
      <c r="K13" s="142" t="str">
        <f t="shared" si="14"/>
        <v>l</v>
      </c>
      <c r="L13" s="146">
        <f>IFERROR(INDEX(Työkonekanta!$I$3:$I$27,MATCH('S2 Bio'!$A13,Työkonekanta!$A$3:$A$24,0),1)*(I13+J13)*f_adblue,0)</f>
        <v>500</v>
      </c>
      <c r="M13" s="146">
        <f t="shared" si="3"/>
        <v>0</v>
      </c>
      <c r="N13" s="143" t="str">
        <f>IF(tuulisähkö_vuosi&lt;='S2 Bio'!C13,"tuulisähkö",ostosähkö_nyt)</f>
        <v>jäännössähkö</v>
      </c>
      <c r="O13" s="147">
        <f>INDEX(Muuttujat!$J$5:$J$21,MATCH($C13,Muuttujat!$H$5:$H$21,0),1)</f>
        <v>69.24722222222222</v>
      </c>
      <c r="P13" s="148">
        <f t="shared" si="15"/>
        <v>1</v>
      </c>
      <c r="Q13" s="148">
        <f t="shared" si="4"/>
        <v>0</v>
      </c>
      <c r="R13" s="148">
        <f t="shared" si="4"/>
        <v>0</v>
      </c>
      <c r="S13" s="149">
        <f t="shared" si="5"/>
        <v>6.785099999999999</v>
      </c>
      <c r="T13" s="150">
        <f t="shared" si="6"/>
        <v>0</v>
      </c>
      <c r="U13" s="150">
        <f t="shared" si="7"/>
        <v>0</v>
      </c>
      <c r="V13" s="150">
        <f>IFERROR(INDEX(Työkonekanta!$J$3:$J$27,MATCH($A13,Työkonekanta!$A$3:$A$24,0),1)*$B13*ef_li_ion_akku/1000/1000/INDEX(Työkonekanta!$K$3:$K$27,MATCH($A13,Työkonekanta!$A$3:$A$24,0)),0)</f>
        <v>0</v>
      </c>
      <c r="W13" s="149">
        <f t="shared" si="8"/>
        <v>26.497163285999999</v>
      </c>
      <c r="X13" s="150">
        <f t="shared" si="9"/>
        <v>0.31774565999999999</v>
      </c>
      <c r="Y13" s="151">
        <f t="shared" si="10"/>
        <v>0.13</v>
      </c>
      <c r="Z13" s="152">
        <f t="shared" si="16"/>
        <v>6.785099999999999</v>
      </c>
      <c r="AA13" s="153">
        <f t="shared" si="17"/>
        <v>26.627163285999998</v>
      </c>
      <c r="AB13" s="153">
        <f t="shared" si="18"/>
        <v>26.944908945999998</v>
      </c>
      <c r="AC13" s="154">
        <f t="shared" si="11"/>
        <v>33.412263285999998</v>
      </c>
      <c r="AD13" s="180">
        <f t="shared" si="19"/>
        <v>33.730008945999998</v>
      </c>
      <c r="AE13" s="160"/>
      <c r="AF13" s="185">
        <v>2028</v>
      </c>
      <c r="AG13" s="70">
        <f>IF(AND(biosiirtymä_luonne="äkillinen",$AF13&gt;=biosiirtymä_vuosi),1,INDEX(Muuttujat!$O$5:$O$21,MATCH($AF13,Muuttujat!$N$5:$N$21,0),1))</f>
        <v>0.1</v>
      </c>
      <c r="AH13" s="71">
        <f>IF(AF13&gt;=biosiirtymä_vuosi,1,INDEX(Muuttujat!$O$5:$O$21,MATCH($AF$6,Muuttujat!$N$5:$N$21,0),1)+$AH$25*(AF13-2020))</f>
        <v>0.54733333333333334</v>
      </c>
      <c r="AJ13" s="67"/>
    </row>
    <row r="14" spans="1:36">
      <c r="A14" s="139">
        <v>12</v>
      </c>
      <c r="B14" s="139">
        <f>IFERROR(INDEX(Työkonekanta!$F$3:$F$27,MATCH('S2 Bio'!$A14,Työkonekanta!$A$3:$A$24,0),1),0)</f>
        <v>1</v>
      </c>
      <c r="C14" s="140">
        <v>2019</v>
      </c>
      <c r="D14" s="141" t="str">
        <f>IFERROR(INDEX(Työkonekanta!$D$3:$D$27,MATCH('S2 Bio'!$A14,Työkonekanta!$A$3:$A$24,0),1),"undefined")</f>
        <v>pom</v>
      </c>
      <c r="E14" s="145">
        <f>IFERROR(INDEX(Työkonekanta!$G$3:$G$27,MATCH($A14,Työkonekanta!$A$3:$A$24,0),1)*INDEX(Työkonekanta!$H$3:$H$27,MATCH($A14,Työkonekanta!$A$3:$A$24,0),1)*(1+_xlfn.SINGLE(s2_kerroin)*($C14-2019))*$B14,0)</f>
        <v>10000</v>
      </c>
      <c r="F14" s="145">
        <f t="shared" si="0"/>
        <v>359000</v>
      </c>
      <c r="G14" s="145">
        <f t="shared" si="12"/>
        <v>359000</v>
      </c>
      <c r="H14" s="145">
        <f t="shared" si="13"/>
        <v>0</v>
      </c>
      <c r="I14" s="145">
        <f t="shared" si="1"/>
        <v>10000</v>
      </c>
      <c r="J14" s="145">
        <f t="shared" si="2"/>
        <v>0</v>
      </c>
      <c r="K14" s="142" t="str">
        <f t="shared" si="14"/>
        <v>l</v>
      </c>
      <c r="L14" s="146">
        <f>IFERROR(INDEX(Työkonekanta!$I$3:$I$27,MATCH('S2 Bio'!$A14,Työkonekanta!$A$3:$A$24,0),1)*(I14+J14)*f_adblue,0)</f>
        <v>500</v>
      </c>
      <c r="M14" s="146">
        <f t="shared" si="3"/>
        <v>0</v>
      </c>
      <c r="N14" s="143" t="str">
        <f>IF(tuulisähkö_vuosi&lt;='S2 Bio'!C14,"tuulisähkö",ostosähkö_nyt)</f>
        <v>jäännössähkö</v>
      </c>
      <c r="O14" s="147">
        <f>INDEX(Muuttujat!$J$5:$J$21,MATCH($C14,Muuttujat!$H$5:$H$21,0),1)</f>
        <v>69.24722222222222</v>
      </c>
      <c r="P14" s="148">
        <f t="shared" si="15"/>
        <v>1</v>
      </c>
      <c r="Q14" s="148">
        <f t="shared" si="4"/>
        <v>0</v>
      </c>
      <c r="R14" s="148">
        <f t="shared" si="4"/>
        <v>0</v>
      </c>
      <c r="S14" s="149">
        <f t="shared" si="5"/>
        <v>6.785099999999999</v>
      </c>
      <c r="T14" s="150">
        <f t="shared" si="6"/>
        <v>0</v>
      </c>
      <c r="U14" s="150">
        <f t="shared" si="7"/>
        <v>0</v>
      </c>
      <c r="V14" s="150">
        <f>IFERROR(INDEX(Työkonekanta!$J$3:$J$27,MATCH($A14,Työkonekanta!$A$3:$A$24,0),1)*$B14*ef_li_ion_akku/1000/1000/INDEX(Työkonekanta!$K$3:$K$27,MATCH($A14,Työkonekanta!$A$3:$A$24,0)),0)</f>
        <v>0</v>
      </c>
      <c r="W14" s="149">
        <f t="shared" si="8"/>
        <v>26.497163285999999</v>
      </c>
      <c r="X14" s="150">
        <f t="shared" si="9"/>
        <v>0.31774565999999999</v>
      </c>
      <c r="Y14" s="151">
        <f t="shared" si="10"/>
        <v>0.13</v>
      </c>
      <c r="Z14" s="152">
        <f t="shared" si="16"/>
        <v>6.785099999999999</v>
      </c>
      <c r="AA14" s="153">
        <f t="shared" si="17"/>
        <v>26.627163285999998</v>
      </c>
      <c r="AB14" s="153">
        <f t="shared" si="18"/>
        <v>26.944908945999998</v>
      </c>
      <c r="AC14" s="154">
        <f t="shared" si="11"/>
        <v>33.412263285999998</v>
      </c>
      <c r="AD14" s="180">
        <f t="shared" si="19"/>
        <v>33.730008945999998</v>
      </c>
      <c r="AE14" s="160"/>
      <c r="AF14" s="185">
        <v>2029</v>
      </c>
      <c r="AG14" s="70">
        <f>IF(AND(biosiirtymä_luonne="äkillinen",$AF14&gt;=biosiirtymä_vuosi),1,INDEX(Muuttujat!$O$5:$O$21,MATCH($AF14,Muuttujat!$N$5:$N$21,0),1))</f>
        <v>0.1</v>
      </c>
      <c r="AH14" s="71">
        <f>IF(AF14&gt;=biosiirtymä_vuosi,1,INDEX(Muuttujat!$O$5:$O$21,MATCH($AF$6,Muuttujat!$N$5:$N$21,0),1)+$AH$25*(AF14-2020))</f>
        <v>0.61199999999999999</v>
      </c>
      <c r="AJ14" s="67"/>
    </row>
    <row r="15" spans="1:36">
      <c r="A15" s="139">
        <v>13</v>
      </c>
      <c r="B15" s="139">
        <f>IFERROR(INDEX(Työkonekanta!$F$3:$F$27,MATCH('S2 Bio'!$A15,Työkonekanta!$A$3:$A$24,0),1),0)</f>
        <v>0</v>
      </c>
      <c r="C15" s="140">
        <v>2019</v>
      </c>
      <c r="D15" s="141" t="str">
        <f>IFERROR(INDEX(Työkonekanta!$D$3:$D$27,MATCH('S2 Bio'!$A15,Työkonekanta!$A$3:$A$24,0),1),"undefined")</f>
        <v>pom</v>
      </c>
      <c r="E15" s="145">
        <f>IFERROR(INDEX(Työkonekanta!$G$3:$G$27,MATCH($A15,Työkonekanta!$A$3:$A$24,0),1)*INDEX(Työkonekanta!$H$3:$H$27,MATCH($A15,Työkonekanta!$A$3:$A$24,0),1)*(1+_xlfn.SINGLE(s2_kerroin)*($C15-2019))*$B15,0)</f>
        <v>0</v>
      </c>
      <c r="F15" s="145">
        <f t="shared" si="0"/>
        <v>0</v>
      </c>
      <c r="G15" s="145">
        <f t="shared" si="12"/>
        <v>0</v>
      </c>
      <c r="H15" s="145">
        <f t="shared" si="13"/>
        <v>0</v>
      </c>
      <c r="I15" s="145">
        <f t="shared" si="1"/>
        <v>0</v>
      </c>
      <c r="J15" s="145">
        <f t="shared" si="2"/>
        <v>0</v>
      </c>
      <c r="K15" s="142" t="str">
        <f t="shared" si="14"/>
        <v>l</v>
      </c>
      <c r="L15" s="146">
        <f>IFERROR(INDEX(Työkonekanta!$I$3:$I$27,MATCH('S2 Bio'!$A15,Työkonekanta!$A$3:$A$24,0),1)*(I15+J15)*f_adblue,0)</f>
        <v>0</v>
      </c>
      <c r="M15" s="146">
        <f t="shared" si="3"/>
        <v>0</v>
      </c>
      <c r="N15" s="143" t="str">
        <f>IF(tuulisähkö_vuosi&lt;='S2 Bio'!C15,"tuulisähkö",ostosähkö_nyt)</f>
        <v>jäännössähkö</v>
      </c>
      <c r="O15" s="147">
        <f>INDEX(Muuttujat!$J$5:$J$21,MATCH($C15,Muuttujat!$H$5:$H$21,0),1)</f>
        <v>69.24722222222222</v>
      </c>
      <c r="P15" s="148">
        <f t="shared" si="15"/>
        <v>1</v>
      </c>
      <c r="Q15" s="148">
        <f t="shared" si="4"/>
        <v>0</v>
      </c>
      <c r="R15" s="148">
        <f t="shared" si="4"/>
        <v>0</v>
      </c>
      <c r="S15" s="149">
        <f t="shared" si="5"/>
        <v>0</v>
      </c>
      <c r="T15" s="150">
        <f t="shared" si="6"/>
        <v>0</v>
      </c>
      <c r="U15" s="150">
        <f t="shared" si="7"/>
        <v>0</v>
      </c>
      <c r="V15" s="150">
        <f>IFERROR(INDEX(Työkonekanta!$J$3:$J$27,MATCH($A15,Työkonekanta!$A$3:$A$24,0),1)*$B15*ef_li_ion_akku/1000/1000/INDEX(Työkonekanta!$K$3:$K$27,MATCH($A15,Työkonekanta!$A$3:$A$24,0)),0)</f>
        <v>0</v>
      </c>
      <c r="W15" s="149">
        <f t="shared" si="8"/>
        <v>0</v>
      </c>
      <c r="X15" s="150">
        <f t="shared" si="9"/>
        <v>0</v>
      </c>
      <c r="Y15" s="151">
        <f t="shared" si="10"/>
        <v>0</v>
      </c>
      <c r="Z15" s="152">
        <f t="shared" si="16"/>
        <v>0</v>
      </c>
      <c r="AA15" s="153">
        <f t="shared" si="17"/>
        <v>0</v>
      </c>
      <c r="AB15" s="153">
        <f t="shared" si="18"/>
        <v>0</v>
      </c>
      <c r="AC15" s="154">
        <f t="shared" si="11"/>
        <v>0</v>
      </c>
      <c r="AD15" s="180">
        <f t="shared" si="19"/>
        <v>0</v>
      </c>
      <c r="AE15" s="160"/>
      <c r="AF15" s="185">
        <v>2030</v>
      </c>
      <c r="AG15" s="70">
        <f>IF(AND(biosiirtymä_luonne="äkillinen",$AF15&gt;=biosiirtymä_vuosi),1,INDEX(Muuttujat!$O$5:$O$21,MATCH($AF15,Muuttujat!$N$5:$N$21,0),1))</f>
        <v>0.1</v>
      </c>
      <c r="AH15" s="71">
        <f>IF(AF15&gt;=biosiirtymä_vuosi,1,INDEX(Muuttujat!$O$5:$O$21,MATCH($AF$6,Muuttujat!$N$5:$N$21,0),1)+$AH$25*(AF15-2020))</f>
        <v>0.67666666666666664</v>
      </c>
      <c r="AJ15" s="67"/>
    </row>
    <row r="16" spans="1:36">
      <c r="A16" s="139">
        <v>14</v>
      </c>
      <c r="B16" s="139">
        <f>IFERROR(INDEX(Työkonekanta!$F$3:$F$27,MATCH('S2 Bio'!$A16,Työkonekanta!$A$3:$A$24,0),1),0)</f>
        <v>0</v>
      </c>
      <c r="C16" s="140">
        <v>2019</v>
      </c>
      <c r="D16" s="141" t="str">
        <f>IFERROR(INDEX(Työkonekanta!$D$3:$D$27,MATCH('S2 Bio'!$A16,Työkonekanta!$A$3:$A$24,0),1),"undefined")</f>
        <v>pom</v>
      </c>
      <c r="E16" s="145">
        <f>IFERROR(INDEX(Työkonekanta!$G$3:$G$27,MATCH($A16,Työkonekanta!$A$3:$A$24,0),1)*INDEX(Työkonekanta!$H$3:$H$27,MATCH($A16,Työkonekanta!$A$3:$A$24,0),1)*(1+_xlfn.SINGLE(s2_kerroin)*($C16-2019))*$B16,0)</f>
        <v>0</v>
      </c>
      <c r="F16" s="145">
        <f t="shared" si="0"/>
        <v>0</v>
      </c>
      <c r="G16" s="145">
        <f t="shared" si="12"/>
        <v>0</v>
      </c>
      <c r="H16" s="145">
        <f t="shared" si="13"/>
        <v>0</v>
      </c>
      <c r="I16" s="145">
        <f t="shared" si="1"/>
        <v>0</v>
      </c>
      <c r="J16" s="145">
        <f t="shared" si="2"/>
        <v>0</v>
      </c>
      <c r="K16" s="142" t="str">
        <f t="shared" si="14"/>
        <v>l</v>
      </c>
      <c r="L16" s="146">
        <f>IFERROR(INDEX(Työkonekanta!$I$3:$I$27,MATCH('S2 Bio'!$A16,Työkonekanta!$A$3:$A$24,0),1)*(I16+J16)*f_adblue,0)</f>
        <v>0</v>
      </c>
      <c r="M16" s="146">
        <f t="shared" si="3"/>
        <v>0</v>
      </c>
      <c r="N16" s="143" t="str">
        <f>IF(tuulisähkö_vuosi&lt;='S2 Bio'!C16,"tuulisähkö",ostosähkö_nyt)</f>
        <v>jäännössähkö</v>
      </c>
      <c r="O16" s="147">
        <f>INDEX(Muuttujat!$J$5:$J$21,MATCH($C16,Muuttujat!$H$5:$H$21,0),1)</f>
        <v>69.24722222222222</v>
      </c>
      <c r="P16" s="148">
        <f t="shared" si="15"/>
        <v>1</v>
      </c>
      <c r="Q16" s="148">
        <f t="shared" si="4"/>
        <v>0</v>
      </c>
      <c r="R16" s="148">
        <f t="shared" si="4"/>
        <v>0</v>
      </c>
      <c r="S16" s="149">
        <f t="shared" si="5"/>
        <v>0</v>
      </c>
      <c r="T16" s="150">
        <f t="shared" si="6"/>
        <v>0</v>
      </c>
      <c r="U16" s="150">
        <f t="shared" si="7"/>
        <v>0</v>
      </c>
      <c r="V16" s="150">
        <f>IFERROR(INDEX(Työkonekanta!$J$3:$J$27,MATCH($A16,Työkonekanta!$A$3:$A$24,0),1)*$B16*ef_li_ion_akku/1000/1000/INDEX(Työkonekanta!$K$3:$K$27,MATCH($A16,Työkonekanta!$A$3:$A$24,0)),0)</f>
        <v>0</v>
      </c>
      <c r="W16" s="149">
        <f t="shared" si="8"/>
        <v>0</v>
      </c>
      <c r="X16" s="150">
        <f t="shared" si="9"/>
        <v>0</v>
      </c>
      <c r="Y16" s="151">
        <f t="shared" si="10"/>
        <v>0</v>
      </c>
      <c r="Z16" s="152">
        <f t="shared" si="16"/>
        <v>0</v>
      </c>
      <c r="AA16" s="153">
        <f t="shared" si="17"/>
        <v>0</v>
      </c>
      <c r="AB16" s="153">
        <f t="shared" si="18"/>
        <v>0</v>
      </c>
      <c r="AC16" s="154">
        <f t="shared" si="11"/>
        <v>0</v>
      </c>
      <c r="AD16" s="180">
        <f t="shared" si="19"/>
        <v>0</v>
      </c>
      <c r="AE16" s="160"/>
      <c r="AF16" s="185">
        <v>2031</v>
      </c>
      <c r="AG16" s="70">
        <f>IF(AND(biosiirtymä_luonne="äkillinen",$AF16&gt;=biosiirtymä_vuosi),1,INDEX(Muuttujat!$O$5:$O$21,MATCH($AF16,Muuttujat!$N$5:$N$21,0),1))</f>
        <v>0.1</v>
      </c>
      <c r="AH16" s="71">
        <f>IF(AF16&gt;=biosiirtymä_vuosi,1,INDEX(Muuttujat!$O$5:$O$21,MATCH($AF$6,Muuttujat!$N$5:$N$21,0),1)+$AH$25*(AF16-2020))</f>
        <v>0.74133333333333329</v>
      </c>
      <c r="AJ16" s="67"/>
    </row>
    <row r="17" spans="1:36">
      <c r="A17" s="139">
        <v>15</v>
      </c>
      <c r="B17" s="139">
        <f>IFERROR(INDEX(Työkonekanta!$F$3:$F$27,MATCH('S2 Bio'!$A17,Työkonekanta!$A$3:$A$24,0),1),0)</f>
        <v>0</v>
      </c>
      <c r="C17" s="140">
        <v>2019</v>
      </c>
      <c r="D17" s="141" t="str">
        <f>IFERROR(INDEX(Työkonekanta!$D$3:$D$27,MATCH('S2 Bio'!$A17,Työkonekanta!$A$3:$A$24,0),1),"undefined")</f>
        <v>sähkö</v>
      </c>
      <c r="E17" s="145">
        <f>IFERROR(INDEX(Työkonekanta!$G$3:$G$27,MATCH($A17,Työkonekanta!$A$3:$A$24,0),1)*INDEX(Työkonekanta!$H$3:$H$27,MATCH($A17,Työkonekanta!$A$3:$A$24,0),1)*(1+_xlfn.SINGLE(s2_kerroin)*($C17-2019))*$B17,0)</f>
        <v>0</v>
      </c>
      <c r="F17" s="145">
        <f t="shared" si="0"/>
        <v>0</v>
      </c>
      <c r="G17" s="145">
        <f t="shared" si="12"/>
        <v>0</v>
      </c>
      <c r="H17" s="145">
        <f t="shared" si="13"/>
        <v>0</v>
      </c>
      <c r="I17" s="145">
        <f t="shared" si="1"/>
        <v>0</v>
      </c>
      <c r="J17" s="145">
        <f t="shared" si="2"/>
        <v>0</v>
      </c>
      <c r="K17" s="142" t="str">
        <f t="shared" si="14"/>
        <v>kWh</v>
      </c>
      <c r="L17" s="146">
        <f>IFERROR(INDEX(Työkonekanta!$I$3:$I$27,MATCH('S2 Bio'!$A17,Työkonekanta!$A$3:$A$24,0),1)*(I17+J17)*f_adblue,0)</f>
        <v>0</v>
      </c>
      <c r="M17" s="146">
        <f t="shared" si="3"/>
        <v>0</v>
      </c>
      <c r="N17" s="143" t="str">
        <f>IF(tuulisähkö_vuosi&lt;='S2 Bio'!C17,"tuulisähkö",ostosähkö_nyt)</f>
        <v>jäännössähkö</v>
      </c>
      <c r="O17" s="147">
        <f>INDEX(Muuttujat!$J$5:$J$21,MATCH($C17,Muuttujat!$H$5:$H$21,0),1)</f>
        <v>69.24722222222222</v>
      </c>
      <c r="P17" s="148">
        <f t="shared" si="15"/>
        <v>1</v>
      </c>
      <c r="Q17" s="148">
        <f t="shared" si="4"/>
        <v>0</v>
      </c>
      <c r="R17" s="148">
        <f t="shared" si="4"/>
        <v>0</v>
      </c>
      <c r="S17" s="149">
        <f t="shared" si="5"/>
        <v>0</v>
      </c>
      <c r="T17" s="150">
        <f t="shared" si="6"/>
        <v>0</v>
      </c>
      <c r="U17" s="150">
        <f t="shared" si="7"/>
        <v>0</v>
      </c>
      <c r="V17" s="150">
        <f>IFERROR(INDEX(Työkonekanta!$J$3:$J$27,MATCH($A17,Työkonekanta!$A$3:$A$24,0),1)*$B17*ef_li_ion_akku/1000/1000/INDEX(Työkonekanta!$K$3:$K$27,MATCH($A17,Työkonekanta!$A$3:$A$24,0)),0)</f>
        <v>0</v>
      </c>
      <c r="W17" s="149">
        <f t="shared" si="8"/>
        <v>0</v>
      </c>
      <c r="X17" s="150">
        <f t="shared" si="9"/>
        <v>0</v>
      </c>
      <c r="Y17" s="151">
        <f t="shared" si="10"/>
        <v>0</v>
      </c>
      <c r="Z17" s="152">
        <f t="shared" si="16"/>
        <v>0</v>
      </c>
      <c r="AA17" s="153">
        <f t="shared" si="17"/>
        <v>0</v>
      </c>
      <c r="AB17" s="153">
        <f t="shared" si="18"/>
        <v>0</v>
      </c>
      <c r="AC17" s="154">
        <f t="shared" si="11"/>
        <v>0</v>
      </c>
      <c r="AD17" s="180">
        <f t="shared" si="19"/>
        <v>0</v>
      </c>
      <c r="AE17" s="160"/>
      <c r="AF17" s="185">
        <v>2032</v>
      </c>
      <c r="AG17" s="70">
        <f>IF(AND(biosiirtymä_luonne="äkillinen",$AF17&gt;=biosiirtymä_vuosi),1,INDEX(Muuttujat!$O$5:$O$21,MATCH($AF17,Muuttujat!$N$5:$N$21,0),1))</f>
        <v>0.1</v>
      </c>
      <c r="AH17" s="71">
        <f>IF(AF17&gt;=biosiirtymä_vuosi,1,INDEX(Muuttujat!$O$5:$O$21,MATCH($AF$6,Muuttujat!$N$5:$N$21,0),1)+$AH$25*(AF17-2020))</f>
        <v>0.80600000000000005</v>
      </c>
      <c r="AJ17" s="67"/>
    </row>
    <row r="18" spans="1:36">
      <c r="A18" s="139">
        <v>16</v>
      </c>
      <c r="B18" s="139">
        <f>IFERROR(INDEX(Työkonekanta!$F$3:$F$27,MATCH('S2 Bio'!$A18,Työkonekanta!$A$3:$A$24,0),1),0)</f>
        <v>0</v>
      </c>
      <c r="C18" s="140">
        <v>2019</v>
      </c>
      <c r="D18" s="141" t="str">
        <f>IFERROR(INDEX(Työkonekanta!$D$3:$D$27,MATCH('S2 Bio'!$A18,Työkonekanta!$A$3:$A$24,0),1),"undefined")</f>
        <v>sähkö</v>
      </c>
      <c r="E18" s="145">
        <f>IFERROR(INDEX(Työkonekanta!$G$3:$G$27,MATCH($A18,Työkonekanta!$A$3:$A$24,0),1)*INDEX(Työkonekanta!$H$3:$H$27,MATCH($A18,Työkonekanta!$A$3:$A$24,0),1)*(1+_xlfn.SINGLE(s2_kerroin)*($C18-2019))*$B18,0)</f>
        <v>0</v>
      </c>
      <c r="F18" s="145">
        <f t="shared" si="0"/>
        <v>0</v>
      </c>
      <c r="G18" s="145">
        <f t="shared" si="12"/>
        <v>0</v>
      </c>
      <c r="H18" s="145">
        <f t="shared" si="13"/>
        <v>0</v>
      </c>
      <c r="I18" s="145">
        <f t="shared" si="1"/>
        <v>0</v>
      </c>
      <c r="J18" s="145">
        <f t="shared" si="2"/>
        <v>0</v>
      </c>
      <c r="K18" s="142" t="str">
        <f t="shared" si="14"/>
        <v>kWh</v>
      </c>
      <c r="L18" s="146">
        <f>IFERROR(INDEX(Työkonekanta!$I$3:$I$27,MATCH('S2 Bio'!$A18,Työkonekanta!$A$3:$A$24,0),1)*(I18+J18)*f_adblue,0)</f>
        <v>0</v>
      </c>
      <c r="M18" s="146">
        <f t="shared" si="3"/>
        <v>0</v>
      </c>
      <c r="N18" s="143" t="str">
        <f>IF(tuulisähkö_vuosi&lt;='S2 Bio'!C18,"tuulisähkö",ostosähkö_nyt)</f>
        <v>jäännössähkö</v>
      </c>
      <c r="O18" s="147">
        <f>INDEX(Muuttujat!$J$5:$J$21,MATCH($C18,Muuttujat!$H$5:$H$21,0),1)</f>
        <v>69.24722222222222</v>
      </c>
      <c r="P18" s="148">
        <f t="shared" si="15"/>
        <v>1</v>
      </c>
      <c r="Q18" s="148">
        <f t="shared" si="4"/>
        <v>0</v>
      </c>
      <c r="R18" s="148">
        <f t="shared" si="4"/>
        <v>0</v>
      </c>
      <c r="S18" s="149">
        <f t="shared" si="5"/>
        <v>0</v>
      </c>
      <c r="T18" s="150">
        <f t="shared" si="6"/>
        <v>0</v>
      </c>
      <c r="U18" s="150">
        <f t="shared" si="7"/>
        <v>0</v>
      </c>
      <c r="V18" s="150">
        <f>IFERROR(INDEX(Työkonekanta!$J$3:$J$27,MATCH($A18,Työkonekanta!$A$3:$A$24,0),1)*$B18*ef_li_ion_akku/1000/1000/INDEX(Työkonekanta!$K$3:$K$27,MATCH($A18,Työkonekanta!$A$3:$A$24,0)),0)</f>
        <v>0</v>
      </c>
      <c r="W18" s="149">
        <f t="shared" si="8"/>
        <v>0</v>
      </c>
      <c r="X18" s="150">
        <f t="shared" si="9"/>
        <v>0</v>
      </c>
      <c r="Y18" s="151">
        <f t="shared" si="10"/>
        <v>0</v>
      </c>
      <c r="Z18" s="152">
        <f t="shared" si="16"/>
        <v>0</v>
      </c>
      <c r="AA18" s="153">
        <f t="shared" si="17"/>
        <v>0</v>
      </c>
      <c r="AB18" s="153">
        <f t="shared" si="18"/>
        <v>0</v>
      </c>
      <c r="AC18" s="154">
        <f t="shared" si="11"/>
        <v>0</v>
      </c>
      <c r="AD18" s="180">
        <f t="shared" si="19"/>
        <v>0</v>
      </c>
      <c r="AE18" s="160"/>
      <c r="AF18" s="185">
        <v>2033</v>
      </c>
      <c r="AG18" s="70">
        <f>IF(AND(biosiirtymä_luonne="äkillinen",$AF18&gt;=biosiirtymä_vuosi),1,INDEX(Muuttujat!$O$5:$O$21,MATCH($AF18,Muuttujat!$N$5:$N$21,0),1))</f>
        <v>0.1</v>
      </c>
      <c r="AH18" s="71">
        <f>IF(AF18&gt;=biosiirtymä_vuosi,1,INDEX(Muuttujat!$O$5:$O$21,MATCH($AF$6,Muuttujat!$N$5:$N$21,0),1)+$AH$25*(AF18-2020))</f>
        <v>0.8706666666666667</v>
      </c>
      <c r="AJ18" s="67"/>
    </row>
    <row r="19" spans="1:36">
      <c r="A19" s="139">
        <v>17</v>
      </c>
      <c r="B19" s="139">
        <f>IFERROR(INDEX(Työkonekanta!$F$3:$F$27,MATCH('S2 Bio'!$A19,Työkonekanta!$A$3:$A$24,0),1),0)</f>
        <v>1</v>
      </c>
      <c r="C19" s="140">
        <v>2019</v>
      </c>
      <c r="D19" s="141" t="str">
        <f>IFERROR(INDEX(Työkonekanta!$D$3:$D$27,MATCH('S2 Bio'!$A19,Työkonekanta!$A$3:$A$24,0),1),"undefined")</f>
        <v>pom</v>
      </c>
      <c r="E19" s="145">
        <f>IFERROR(INDEX(Työkonekanta!$G$3:$G$27,MATCH($A19,Työkonekanta!$A$3:$A$24,0),1)*INDEX(Työkonekanta!$H$3:$H$27,MATCH($A19,Työkonekanta!$A$3:$A$24,0),1)*(1+_xlfn.SINGLE(s2_kerroin)*($C19-2019))*$B19,0)</f>
        <v>10000</v>
      </c>
      <c r="F19" s="145">
        <f t="shared" si="0"/>
        <v>359000</v>
      </c>
      <c r="G19" s="145">
        <f t="shared" si="12"/>
        <v>359000</v>
      </c>
      <c r="H19" s="145">
        <f t="shared" si="13"/>
        <v>0</v>
      </c>
      <c r="I19" s="145">
        <f t="shared" si="1"/>
        <v>10000</v>
      </c>
      <c r="J19" s="145">
        <f t="shared" si="2"/>
        <v>0</v>
      </c>
      <c r="K19" s="142" t="str">
        <f t="shared" si="14"/>
        <v>l</v>
      </c>
      <c r="L19" s="146">
        <f>IFERROR(INDEX(Työkonekanta!$I$3:$I$27,MATCH('S2 Bio'!$A19,Työkonekanta!$A$3:$A$24,0),1)*(I19+J19)*f_adblue,0)</f>
        <v>500</v>
      </c>
      <c r="M19" s="146">
        <f t="shared" si="3"/>
        <v>0</v>
      </c>
      <c r="N19" s="143" t="str">
        <f>IF(tuulisähkö_vuosi&lt;='S2 Bio'!C19,"tuulisähkö",ostosähkö_nyt)</f>
        <v>jäännössähkö</v>
      </c>
      <c r="O19" s="147">
        <f>INDEX(Muuttujat!$J$5:$J$21,MATCH($C19,Muuttujat!$H$5:$H$21,0),1)</f>
        <v>69.24722222222222</v>
      </c>
      <c r="P19" s="148">
        <f t="shared" si="15"/>
        <v>1</v>
      </c>
      <c r="Q19" s="148">
        <f t="shared" si="4"/>
        <v>0</v>
      </c>
      <c r="R19" s="148">
        <f t="shared" si="4"/>
        <v>0</v>
      </c>
      <c r="S19" s="149">
        <f t="shared" si="5"/>
        <v>6.785099999999999</v>
      </c>
      <c r="T19" s="150">
        <f t="shared" si="6"/>
        <v>0</v>
      </c>
      <c r="U19" s="150">
        <f t="shared" si="7"/>
        <v>0</v>
      </c>
      <c r="V19" s="150">
        <f>IFERROR(INDEX(Työkonekanta!$J$3:$J$27,MATCH($A19,Työkonekanta!$A$3:$A$24,0),1)*$B19*ef_li_ion_akku/1000/1000/INDEX(Työkonekanta!$K$3:$K$27,MATCH($A19,Työkonekanta!$A$3:$A$24,0)),0)</f>
        <v>0</v>
      </c>
      <c r="W19" s="149">
        <f t="shared" si="8"/>
        <v>26.497163285999999</v>
      </c>
      <c r="X19" s="150">
        <f t="shared" si="9"/>
        <v>0.31774565999999999</v>
      </c>
      <c r="Y19" s="151">
        <f t="shared" si="10"/>
        <v>0.13</v>
      </c>
      <c r="Z19" s="152">
        <f t="shared" si="16"/>
        <v>6.785099999999999</v>
      </c>
      <c r="AA19" s="153">
        <f t="shared" si="17"/>
        <v>26.627163285999998</v>
      </c>
      <c r="AB19" s="153">
        <f t="shared" si="18"/>
        <v>26.944908945999998</v>
      </c>
      <c r="AC19" s="154">
        <f t="shared" si="11"/>
        <v>33.412263285999998</v>
      </c>
      <c r="AD19" s="180">
        <f t="shared" si="19"/>
        <v>33.730008945999998</v>
      </c>
      <c r="AE19" s="160"/>
      <c r="AF19" s="185">
        <v>2034</v>
      </c>
      <c r="AG19" s="70">
        <f>IF(AND(biosiirtymä_luonne="äkillinen",$AF19&gt;=biosiirtymä_vuosi),1,INDEX(Muuttujat!$O$5:$O$21,MATCH($AF19,Muuttujat!$N$5:$N$21,0),1))</f>
        <v>0.1</v>
      </c>
      <c r="AH19" s="71">
        <f>IF(AF19&gt;=biosiirtymä_vuosi,1,INDEX(Muuttujat!$O$5:$O$21,MATCH($AF$6,Muuttujat!$N$5:$N$21,0),1)+$AH$25*(AF19-2020))</f>
        <v>0.93533333333333335</v>
      </c>
      <c r="AJ19" s="67"/>
    </row>
    <row r="20" spans="1:36">
      <c r="A20" s="139">
        <v>18</v>
      </c>
      <c r="B20" s="139">
        <f>IFERROR(INDEX(Työkonekanta!$F$3:$F$27,MATCH('S2 Bio'!$A20,Työkonekanta!$A$3:$A$24,0),1),0)</f>
        <v>1</v>
      </c>
      <c r="C20" s="140">
        <v>2019</v>
      </c>
      <c r="D20" s="141" t="str">
        <f>IFERROR(INDEX(Työkonekanta!$D$3:$D$27,MATCH('S2 Bio'!$A20,Työkonekanta!$A$3:$A$24,0),1),"undefined")</f>
        <v>pom</v>
      </c>
      <c r="E20" s="145">
        <f>IFERROR(INDEX(Työkonekanta!$G$3:$G$27,MATCH($A20,Työkonekanta!$A$3:$A$24,0),1)*INDEX(Työkonekanta!$H$3:$H$27,MATCH($A20,Työkonekanta!$A$3:$A$24,0),1)*(1+_xlfn.SINGLE(s2_kerroin)*($C20-2019))*$B20,0)</f>
        <v>10000</v>
      </c>
      <c r="F20" s="145">
        <f t="shared" si="0"/>
        <v>359000</v>
      </c>
      <c r="G20" s="145">
        <f t="shared" si="12"/>
        <v>359000</v>
      </c>
      <c r="H20" s="145">
        <f t="shared" si="13"/>
        <v>0</v>
      </c>
      <c r="I20" s="145">
        <f t="shared" si="1"/>
        <v>10000</v>
      </c>
      <c r="J20" s="145">
        <f t="shared" si="2"/>
        <v>0</v>
      </c>
      <c r="K20" s="142" t="str">
        <f t="shared" si="14"/>
        <v>l</v>
      </c>
      <c r="L20" s="146">
        <f>IFERROR(INDEX(Työkonekanta!$I$3:$I$27,MATCH('S2 Bio'!$A20,Työkonekanta!$A$3:$A$24,0),1)*(I20+J20)*f_adblue,0)</f>
        <v>400</v>
      </c>
      <c r="M20" s="146">
        <f t="shared" si="3"/>
        <v>0</v>
      </c>
      <c r="N20" s="143" t="str">
        <f>IF(tuulisähkö_vuosi&lt;='S2 Bio'!C20,"tuulisähkö",ostosähkö_nyt)</f>
        <v>jäännössähkö</v>
      </c>
      <c r="O20" s="147">
        <f>INDEX(Muuttujat!$J$5:$J$21,MATCH($C20,Muuttujat!$H$5:$H$21,0),1)</f>
        <v>69.24722222222222</v>
      </c>
      <c r="P20" s="148">
        <f t="shared" si="15"/>
        <v>1</v>
      </c>
      <c r="Q20" s="148">
        <f t="shared" si="4"/>
        <v>0</v>
      </c>
      <c r="R20" s="148">
        <f t="shared" si="4"/>
        <v>0</v>
      </c>
      <c r="S20" s="149">
        <f t="shared" si="5"/>
        <v>6.785099999999999</v>
      </c>
      <c r="T20" s="150">
        <f t="shared" si="6"/>
        <v>0</v>
      </c>
      <c r="U20" s="150">
        <f t="shared" si="7"/>
        <v>0</v>
      </c>
      <c r="V20" s="150">
        <f>IFERROR(INDEX(Työkonekanta!$J$3:$J$27,MATCH($A20,Työkonekanta!$A$3:$A$24,0),1)*$B20*ef_li_ion_akku/1000/1000/INDEX(Työkonekanta!$K$3:$K$27,MATCH($A20,Työkonekanta!$A$3:$A$24,0)),0)</f>
        <v>0</v>
      </c>
      <c r="W20" s="149">
        <f t="shared" si="8"/>
        <v>26.497163285999999</v>
      </c>
      <c r="X20" s="150">
        <f t="shared" si="9"/>
        <v>0.31774565999999999</v>
      </c>
      <c r="Y20" s="151">
        <f t="shared" si="10"/>
        <v>0.104</v>
      </c>
      <c r="Z20" s="152">
        <f t="shared" si="16"/>
        <v>6.785099999999999</v>
      </c>
      <c r="AA20" s="153">
        <f t="shared" si="17"/>
        <v>26.601163285999998</v>
      </c>
      <c r="AB20" s="153">
        <f t="shared" si="18"/>
        <v>26.918908945999998</v>
      </c>
      <c r="AC20" s="154">
        <f t="shared" si="11"/>
        <v>33.386263285999995</v>
      </c>
      <c r="AD20" s="180">
        <f t="shared" si="19"/>
        <v>33.704008945999995</v>
      </c>
      <c r="AE20" s="160"/>
      <c r="AF20" s="186">
        <v>2035</v>
      </c>
      <c r="AG20" s="70">
        <f>IF(AND(biosiirtymä_luonne="äkillinen",$AF20&gt;=biosiirtymä_vuosi),1,INDEX(Muuttujat!$O$5:$O$21,MATCH($AF20,Muuttujat!$N$5:$N$21,0),1))</f>
        <v>0.1</v>
      </c>
      <c r="AH20" s="71">
        <f>IF(AF20&gt;=biosiirtymä_vuosi,1,INDEX(Muuttujat!$O$5:$O$21,MATCH($AF$6,Muuttujat!$N$5:$N$21,0),1)+$AH$25*(AF20-2020))</f>
        <v>1</v>
      </c>
      <c r="AJ20" s="67"/>
    </row>
    <row r="21" spans="1:36">
      <c r="A21" s="139">
        <v>19</v>
      </c>
      <c r="B21" s="139">
        <f>IFERROR(INDEX(Työkonekanta!$F$3:$F$27,MATCH('S2 Bio'!$A21,Työkonekanta!$A$3:$A$24,0),1),0)</f>
        <v>0</v>
      </c>
      <c r="C21" s="140">
        <v>2019</v>
      </c>
      <c r="D21" s="141" t="str">
        <f>IFERROR(INDEX(Työkonekanta!$D$3:$D$27,MATCH('S2 Bio'!$A21,Työkonekanta!$A$3:$A$24,0),1),"undefined")</f>
        <v>pom</v>
      </c>
      <c r="E21" s="145">
        <f>IFERROR(INDEX(Työkonekanta!$G$3:$G$27,MATCH($A21,Työkonekanta!$A$3:$A$24,0),1)*INDEX(Työkonekanta!$H$3:$H$27,MATCH($A21,Työkonekanta!$A$3:$A$24,0),1)*(1+_xlfn.SINGLE(s2_kerroin)*($C21-2019))*$B21,0)</f>
        <v>0</v>
      </c>
      <c r="F21" s="145">
        <f t="shared" si="0"/>
        <v>0</v>
      </c>
      <c r="G21" s="145">
        <f t="shared" si="12"/>
        <v>0</v>
      </c>
      <c r="H21" s="145">
        <f t="shared" si="13"/>
        <v>0</v>
      </c>
      <c r="I21" s="145">
        <f t="shared" si="1"/>
        <v>0</v>
      </c>
      <c r="J21" s="145">
        <f t="shared" si="2"/>
        <v>0</v>
      </c>
      <c r="K21" s="142" t="str">
        <f t="shared" si="14"/>
        <v>l</v>
      </c>
      <c r="L21" s="146">
        <f>IFERROR(INDEX(Työkonekanta!$I$3:$I$27,MATCH('S2 Bio'!$A21,Työkonekanta!$A$3:$A$24,0),1)*(I21+J21)*f_adblue,0)</f>
        <v>0</v>
      </c>
      <c r="M21" s="146">
        <f t="shared" si="3"/>
        <v>0</v>
      </c>
      <c r="N21" s="143" t="str">
        <f>IF(tuulisähkö_vuosi&lt;='S2 Bio'!C21,"tuulisähkö",ostosähkö_nyt)</f>
        <v>jäännössähkö</v>
      </c>
      <c r="O21" s="147">
        <f>INDEX(Muuttujat!$J$5:$J$21,MATCH($C21,Muuttujat!$H$5:$H$21,0),1)</f>
        <v>69.24722222222222</v>
      </c>
      <c r="P21" s="148">
        <f t="shared" si="15"/>
        <v>1</v>
      </c>
      <c r="Q21" s="148">
        <f t="shared" si="4"/>
        <v>0</v>
      </c>
      <c r="R21" s="148">
        <f t="shared" si="4"/>
        <v>0</v>
      </c>
      <c r="S21" s="149">
        <f t="shared" si="5"/>
        <v>0</v>
      </c>
      <c r="T21" s="150">
        <f t="shared" si="6"/>
        <v>0</v>
      </c>
      <c r="U21" s="150">
        <f t="shared" si="7"/>
        <v>0</v>
      </c>
      <c r="V21" s="150">
        <f>IFERROR(INDEX(Työkonekanta!$J$3:$J$27,MATCH($A21,Työkonekanta!$A$3:$A$24,0),1)*$B21*ef_li_ion_akku/1000/1000/INDEX(Työkonekanta!$K$3:$K$27,MATCH($A21,Työkonekanta!$A$3:$A$24,0)),0)</f>
        <v>0</v>
      </c>
      <c r="W21" s="149">
        <f t="shared" si="8"/>
        <v>0</v>
      </c>
      <c r="X21" s="150">
        <f t="shared" si="9"/>
        <v>0</v>
      </c>
      <c r="Y21" s="151">
        <f t="shared" si="10"/>
        <v>0</v>
      </c>
      <c r="Z21" s="152">
        <f t="shared" si="16"/>
        <v>0</v>
      </c>
      <c r="AA21" s="153">
        <f t="shared" si="17"/>
        <v>0</v>
      </c>
      <c r="AB21" s="153">
        <f t="shared" si="18"/>
        <v>0</v>
      </c>
      <c r="AC21" s="154">
        <f t="shared" si="11"/>
        <v>0</v>
      </c>
      <c r="AD21" s="180">
        <f t="shared" si="19"/>
        <v>0</v>
      </c>
      <c r="AE21" s="160"/>
    </row>
    <row r="22" spans="1:36">
      <c r="A22" s="139">
        <v>20</v>
      </c>
      <c r="B22" s="139">
        <f>IFERROR(INDEX(Työkonekanta!$F$3:$F$27,MATCH('S2 Bio'!$A22,Työkonekanta!$A$3:$A$24,0),1),0)</f>
        <v>0</v>
      </c>
      <c r="C22" s="140">
        <v>2019</v>
      </c>
      <c r="D22" s="141" t="str">
        <f>IFERROR(INDEX(Työkonekanta!$D$3:$D$27,MATCH('S2 Bio'!$A22,Työkonekanta!$A$3:$A$24,0),1),"undefined")</f>
        <v>pom</v>
      </c>
      <c r="E22" s="145">
        <f>IFERROR(INDEX(Työkonekanta!$G$3:$G$27,MATCH($A22,Työkonekanta!$A$3:$A$24,0),1)*INDEX(Työkonekanta!$H$3:$H$27,MATCH($A22,Työkonekanta!$A$3:$A$24,0),1)*(1+_xlfn.SINGLE(s2_kerroin)*($C22-2019))*$B22,0)</f>
        <v>0</v>
      </c>
      <c r="F22" s="145">
        <f t="shared" si="0"/>
        <v>0</v>
      </c>
      <c r="G22" s="145">
        <f t="shared" si="12"/>
        <v>0</v>
      </c>
      <c r="H22" s="145">
        <f t="shared" si="13"/>
        <v>0</v>
      </c>
      <c r="I22" s="145">
        <f t="shared" si="1"/>
        <v>0</v>
      </c>
      <c r="J22" s="145">
        <f t="shared" si="2"/>
        <v>0</v>
      </c>
      <c r="K22" s="142" t="str">
        <f t="shared" si="14"/>
        <v>l</v>
      </c>
      <c r="L22" s="146">
        <f>IFERROR(INDEX(Työkonekanta!$I$3:$I$27,MATCH('S2 Bio'!$A22,Työkonekanta!$A$3:$A$24,0),1)*(I22+J22)*f_adblue,0)</f>
        <v>0</v>
      </c>
      <c r="M22" s="146">
        <f t="shared" si="3"/>
        <v>0</v>
      </c>
      <c r="N22" s="143" t="str">
        <f>IF(tuulisähkö_vuosi&lt;='S2 Bio'!C22,"tuulisähkö",ostosähkö_nyt)</f>
        <v>jäännössähkö</v>
      </c>
      <c r="O22" s="147">
        <f>INDEX(Muuttujat!$J$5:$J$21,MATCH($C22,Muuttujat!$H$5:$H$21,0),1)</f>
        <v>69.24722222222222</v>
      </c>
      <c r="P22" s="148">
        <f t="shared" si="15"/>
        <v>1</v>
      </c>
      <c r="Q22" s="148">
        <f t="shared" si="4"/>
        <v>0</v>
      </c>
      <c r="R22" s="148">
        <f t="shared" si="4"/>
        <v>0</v>
      </c>
      <c r="S22" s="149">
        <f t="shared" si="5"/>
        <v>0</v>
      </c>
      <c r="T22" s="150">
        <f t="shared" si="6"/>
        <v>0</v>
      </c>
      <c r="U22" s="150">
        <f t="shared" si="7"/>
        <v>0</v>
      </c>
      <c r="V22" s="150">
        <f>IFERROR(INDEX(Työkonekanta!$J$3:$J$27,MATCH($A22,Työkonekanta!$A$3:$A$24,0),1)*$B22*ef_li_ion_akku/1000/1000/INDEX(Työkonekanta!$K$3:$K$27,MATCH($A22,Työkonekanta!$A$3:$A$24,0)),0)</f>
        <v>0</v>
      </c>
      <c r="W22" s="149">
        <f t="shared" si="8"/>
        <v>0</v>
      </c>
      <c r="X22" s="150">
        <f t="shared" si="9"/>
        <v>0</v>
      </c>
      <c r="Y22" s="151">
        <f t="shared" si="10"/>
        <v>0</v>
      </c>
      <c r="Z22" s="152">
        <f t="shared" si="16"/>
        <v>0</v>
      </c>
      <c r="AA22" s="153">
        <f t="shared" si="17"/>
        <v>0</v>
      </c>
      <c r="AB22" s="153">
        <f t="shared" si="18"/>
        <v>0</v>
      </c>
      <c r="AC22" s="154">
        <f t="shared" si="11"/>
        <v>0</v>
      </c>
      <c r="AD22" s="180">
        <f t="shared" si="19"/>
        <v>0</v>
      </c>
      <c r="AE22" s="160"/>
      <c r="AG22" s="74" t="s">
        <v>12</v>
      </c>
      <c r="AH22" s="75" t="s">
        <v>301</v>
      </c>
    </row>
    <row r="23" spans="1:36">
      <c r="A23" s="139">
        <v>21</v>
      </c>
      <c r="B23" s="139">
        <f>IFERROR(INDEX(Työkonekanta!$F$3:$F$27,MATCH('S2 Bio'!$A23,Työkonekanta!$A$3:$A$24,0),1),0)</f>
        <v>35</v>
      </c>
      <c r="C23" s="140">
        <v>2019</v>
      </c>
      <c r="D23" s="141" t="str">
        <f>IFERROR(INDEX(Työkonekanta!$D$3:$D$27,MATCH('S2 Bio'!$A23,Työkonekanta!$A$3:$A$24,0),1),"undefined")</f>
        <v>sähkö</v>
      </c>
      <c r="E23" s="145">
        <f>IFERROR(INDEX(Työkonekanta!$G$3:$G$27,MATCH($A23,Työkonekanta!$A$3:$A$24,0),1)*INDEX(Työkonekanta!$H$3:$H$27,MATCH($A23,Työkonekanta!$A$3:$A$24,0),1)*(1+_xlfn.SINGLE(s2_kerroin)*($C23-2019))*$B23,0)</f>
        <v>407199.07407407404</v>
      </c>
      <c r="F23" s="145">
        <f t="shared" si="0"/>
        <v>0</v>
      </c>
      <c r="G23" s="145">
        <f t="shared" si="12"/>
        <v>0</v>
      </c>
      <c r="H23" s="145">
        <f t="shared" si="13"/>
        <v>0</v>
      </c>
      <c r="I23" s="145">
        <f t="shared" si="1"/>
        <v>0</v>
      </c>
      <c r="J23" s="145">
        <f t="shared" si="2"/>
        <v>0</v>
      </c>
      <c r="K23" s="142" t="str">
        <f t="shared" si="14"/>
        <v>kWh</v>
      </c>
      <c r="L23" s="146">
        <f>IFERROR(INDEX(Työkonekanta!$I$3:$I$27,MATCH('S2 Bio'!$A23,Työkonekanta!$A$3:$A$24,0),1)*(I23+J23)*f_adblue,0)</f>
        <v>0</v>
      </c>
      <c r="M23" s="146">
        <f t="shared" si="3"/>
        <v>1465916.6666666665</v>
      </c>
      <c r="N23" s="143" t="str">
        <f>IF(tuulisähkö_vuosi&lt;='S2 Bio'!C23,"tuulisähkö",ostosähkö_nyt)</f>
        <v>jäännössähkö</v>
      </c>
      <c r="O23" s="147">
        <f>INDEX(Muuttujat!$J$5:$J$21,MATCH($C23,Muuttujat!$H$5:$H$21,0),1)</f>
        <v>69.24722222222222</v>
      </c>
      <c r="P23" s="148">
        <f t="shared" si="15"/>
        <v>1</v>
      </c>
      <c r="Q23" s="148">
        <f t="shared" ref="Q23:R42" si="20">IF(biosiirtymä_luonne="äkillinen",INDEX($AG$4:$AG$20,MATCH($C23,$AF$4:$AF$20,0),1),INDEX($AH$4:$AH$20,MATCH($C23,$AF$4:$AF$20,0),1))</f>
        <v>0</v>
      </c>
      <c r="R23" s="148">
        <f t="shared" si="20"/>
        <v>0</v>
      </c>
      <c r="S23" s="149">
        <f t="shared" si="5"/>
        <v>0</v>
      </c>
      <c r="T23" s="150">
        <f t="shared" si="6"/>
        <v>0</v>
      </c>
      <c r="U23" s="150">
        <f t="shared" si="7"/>
        <v>101.51065717592591</v>
      </c>
      <c r="V23" s="150">
        <f>IFERROR(INDEX(Työkonekanta!$J$3:$J$27,MATCH($A23,Työkonekanta!$A$3:$A$24,0),1)*$B23*ef_li_ion_akku/1000/1000/INDEX(Työkonekanta!$K$3:$K$27,MATCH($A23,Työkonekanta!$A$3:$A$24,0)),0)</f>
        <v>43.121723076923082</v>
      </c>
      <c r="W23" s="149">
        <f t="shared" si="8"/>
        <v>0</v>
      </c>
      <c r="X23" s="150">
        <f t="shared" si="9"/>
        <v>0</v>
      </c>
      <c r="Y23" s="151">
        <f t="shared" si="10"/>
        <v>0</v>
      </c>
      <c r="Z23" s="152">
        <f t="shared" si="16"/>
        <v>144.632380252849</v>
      </c>
      <c r="AA23" s="153">
        <f t="shared" si="17"/>
        <v>0</v>
      </c>
      <c r="AB23" s="153">
        <f t="shared" si="18"/>
        <v>0</v>
      </c>
      <c r="AC23" s="154">
        <f t="shared" si="11"/>
        <v>144.632380252849</v>
      </c>
      <c r="AD23" s="180">
        <f t="shared" si="19"/>
        <v>144.632380252849</v>
      </c>
      <c r="AE23" s="160"/>
      <c r="AG23" s="74" t="str">
        <f>_xlfn.SINGLE(S2_baseline)</f>
        <v>S0b</v>
      </c>
      <c r="AH23" s="74">
        <f>IF(AG23="S0a",0,IF(AG23="S0b",s0b_kasvu,0))</f>
        <v>0.01</v>
      </c>
    </row>
    <row r="24" spans="1:36">
      <c r="A24" s="139">
        <v>22</v>
      </c>
      <c r="B24" s="139">
        <f>IFERROR(INDEX(Työkonekanta!$F$3:$F$27,MATCH('S2 Bio'!$A24,Työkonekanta!$A$3:$A$24,0),1),0)</f>
        <v>0</v>
      </c>
      <c r="C24" s="140">
        <v>2019</v>
      </c>
      <c r="D24" s="141" t="str">
        <f>IFERROR(INDEX(Työkonekanta!$D$3:$D$27,MATCH('S2 Bio'!$A24,Työkonekanta!$A$3:$A$24,0),1),"undefined")</f>
        <v>sähkö</v>
      </c>
      <c r="E24" s="145">
        <f>IFERROR(INDEX(Työkonekanta!$G$3:$G$27,MATCH($A24,Työkonekanta!$A$3:$A$24,0),1)*INDEX(Työkonekanta!$H$3:$H$27,MATCH($A24,Työkonekanta!$A$3:$A$24,0),1)*(1+_xlfn.SINGLE(s2_kerroin)*($C24-2019))*$B24,0)</f>
        <v>0</v>
      </c>
      <c r="F24" s="145">
        <f t="shared" si="0"/>
        <v>0</v>
      </c>
      <c r="G24" s="145">
        <f t="shared" si="12"/>
        <v>0</v>
      </c>
      <c r="H24" s="145">
        <f t="shared" si="13"/>
        <v>0</v>
      </c>
      <c r="I24" s="145">
        <f t="shared" si="1"/>
        <v>0</v>
      </c>
      <c r="J24" s="145">
        <f t="shared" si="2"/>
        <v>0</v>
      </c>
      <c r="K24" s="142" t="str">
        <f t="shared" si="14"/>
        <v>kWh</v>
      </c>
      <c r="L24" s="146">
        <f>IFERROR(INDEX(Työkonekanta!$I$3:$I$27,MATCH('S2 Bio'!$A24,Työkonekanta!$A$3:$A$24,0),1)*(I24+J24)*f_adblue,0)</f>
        <v>0</v>
      </c>
      <c r="M24" s="146">
        <f t="shared" si="3"/>
        <v>0</v>
      </c>
      <c r="N24" s="143" t="str">
        <f>IF(tuulisähkö_vuosi&lt;='S2 Bio'!C24,"tuulisähkö",ostosähkö_nyt)</f>
        <v>jäännössähkö</v>
      </c>
      <c r="O24" s="147">
        <f>INDEX(Muuttujat!$J$5:$J$21,MATCH($C24,Muuttujat!$H$5:$H$21,0),1)</f>
        <v>69.24722222222222</v>
      </c>
      <c r="P24" s="148">
        <f t="shared" si="15"/>
        <v>1</v>
      </c>
      <c r="Q24" s="148">
        <f t="shared" si="20"/>
        <v>0</v>
      </c>
      <c r="R24" s="148">
        <f t="shared" si="20"/>
        <v>0</v>
      </c>
      <c r="S24" s="149">
        <f t="shared" si="5"/>
        <v>0</v>
      </c>
      <c r="T24" s="150">
        <f t="shared" si="6"/>
        <v>0</v>
      </c>
      <c r="U24" s="150">
        <f t="shared" si="7"/>
        <v>0</v>
      </c>
      <c r="V24" s="150">
        <f>IFERROR(INDEX(Työkonekanta!$J$3:$J$27,MATCH($A24,Työkonekanta!$A$3:$A$24,0),1)*$B24*ef_li_ion_akku/1000/1000/INDEX(Työkonekanta!$K$3:$K$27,MATCH($A24,Työkonekanta!$A$3:$A$24,0)),0)</f>
        <v>0</v>
      </c>
      <c r="W24" s="149">
        <f t="shared" si="8"/>
        <v>0</v>
      </c>
      <c r="X24" s="150">
        <f t="shared" si="9"/>
        <v>0</v>
      </c>
      <c r="Y24" s="151">
        <f t="shared" si="10"/>
        <v>0</v>
      </c>
      <c r="Z24" s="152">
        <f t="shared" si="16"/>
        <v>0</v>
      </c>
      <c r="AA24" s="153">
        <f t="shared" si="17"/>
        <v>0</v>
      </c>
      <c r="AB24" s="153">
        <f t="shared" si="18"/>
        <v>0</v>
      </c>
      <c r="AC24" s="154">
        <f t="shared" si="11"/>
        <v>0</v>
      </c>
      <c r="AD24" s="180">
        <f t="shared" si="19"/>
        <v>0</v>
      </c>
      <c r="AE24" s="160"/>
    </row>
    <row r="25" spans="1:36">
      <c r="A25" s="139">
        <v>23</v>
      </c>
      <c r="B25" s="139">
        <f>IFERROR(INDEX(Työkonekanta!$F$3:$F$27,MATCH('S2 Bio'!$A25,Työkonekanta!$A$3:$A$24,0),1),0)</f>
        <v>0</v>
      </c>
      <c r="C25" s="140">
        <v>2019</v>
      </c>
      <c r="D25" s="141" t="str">
        <f>IFERROR(INDEX(Työkonekanta!$D$3:$D$27,MATCH('S2 Bio'!$A25,Työkonekanta!$A$3:$A$24,0),1),"undefined")</f>
        <v>undefined</v>
      </c>
      <c r="E25" s="145">
        <f>IFERROR(INDEX(Työkonekanta!$G$3:$G$27,MATCH($A25,Työkonekanta!$A$3:$A$24,0),1)*INDEX(Työkonekanta!$H$3:$H$27,MATCH($A25,Työkonekanta!$A$3:$A$24,0),1)*(1+_xlfn.SINGLE(s2_kerroin)*($C25-2019))*$B25,0)</f>
        <v>0</v>
      </c>
      <c r="F25" s="145">
        <f t="shared" si="0"/>
        <v>0</v>
      </c>
      <c r="G25" s="145">
        <f t="shared" si="12"/>
        <v>0</v>
      </c>
      <c r="H25" s="145">
        <f t="shared" si="13"/>
        <v>0</v>
      </c>
      <c r="I25" s="145">
        <f t="shared" si="1"/>
        <v>0</v>
      </c>
      <c r="J25" s="145">
        <f t="shared" si="2"/>
        <v>0</v>
      </c>
      <c r="K25" s="142" t="str">
        <f t="shared" si="14"/>
        <v>undefined</v>
      </c>
      <c r="L25" s="146">
        <f>IFERROR(INDEX(Työkonekanta!$I$3:$I$27,MATCH('S2 Bio'!$A25,Työkonekanta!$A$3:$A$24,0),1)*(I25+J25)*f_adblue,0)</f>
        <v>0</v>
      </c>
      <c r="M25" s="146">
        <f t="shared" si="3"/>
        <v>0</v>
      </c>
      <c r="N25" s="143" t="str">
        <f>IF(tuulisähkö_vuosi&lt;='S2 Bio'!C25,"tuulisähkö",ostosähkö_nyt)</f>
        <v>jäännössähkö</v>
      </c>
      <c r="O25" s="147">
        <f>INDEX(Muuttujat!$J$5:$J$21,MATCH($C25,Muuttujat!$H$5:$H$21,0),1)</f>
        <v>69.24722222222222</v>
      </c>
      <c r="P25" s="148">
        <f t="shared" si="15"/>
        <v>1</v>
      </c>
      <c r="Q25" s="148">
        <f t="shared" si="20"/>
        <v>0</v>
      </c>
      <c r="R25" s="148">
        <f t="shared" si="20"/>
        <v>0</v>
      </c>
      <c r="S25" s="149">
        <f t="shared" si="5"/>
        <v>0</v>
      </c>
      <c r="T25" s="150">
        <f t="shared" si="6"/>
        <v>0</v>
      </c>
      <c r="U25" s="150">
        <f t="shared" si="7"/>
        <v>0</v>
      </c>
      <c r="V25" s="150">
        <f>IFERROR(INDEX(Työkonekanta!$J$3:$J$27,MATCH($A25,Työkonekanta!$A$3:$A$24,0),1)*$B25*ef_li_ion_akku/1000/1000/INDEX(Työkonekanta!$K$3:$K$27,MATCH($A25,Työkonekanta!$A$3:$A$24,0)),0)</f>
        <v>0</v>
      </c>
      <c r="W25" s="149">
        <f t="shared" si="8"/>
        <v>0</v>
      </c>
      <c r="X25" s="150">
        <f t="shared" si="9"/>
        <v>0</v>
      </c>
      <c r="Y25" s="151">
        <f t="shared" si="10"/>
        <v>0</v>
      </c>
      <c r="Z25" s="152">
        <f t="shared" si="16"/>
        <v>0</v>
      </c>
      <c r="AA25" s="153">
        <f t="shared" si="17"/>
        <v>0</v>
      </c>
      <c r="AB25" s="153">
        <f t="shared" si="18"/>
        <v>0</v>
      </c>
      <c r="AC25" s="154">
        <f t="shared" si="11"/>
        <v>0</v>
      </c>
      <c r="AD25" s="180">
        <f t="shared" si="19"/>
        <v>0</v>
      </c>
      <c r="AE25" s="160"/>
      <c r="AG25" s="74" t="s">
        <v>306</v>
      </c>
      <c r="AH25" s="74">
        <f>(1-INDEX(Muuttujat!$O$5:OP$21,MATCH($AF6,Muuttujat!$N$5:$N$21,0),1))/(1+biosiirtymä_vuosi-$AF$6)</f>
        <v>6.4666666666666664E-2</v>
      </c>
    </row>
    <row r="26" spans="1:36">
      <c r="A26" s="139">
        <v>24</v>
      </c>
      <c r="B26" s="139">
        <f>IFERROR(INDEX(Työkonekanta!$F$3:$F$27,MATCH('S2 Bio'!$A26,Työkonekanta!$A$3:$A$24,0),1),0)</f>
        <v>0</v>
      </c>
      <c r="C26" s="140">
        <v>2019</v>
      </c>
      <c r="D26" s="141" t="str">
        <f>IFERROR(INDEX(Työkonekanta!$D$3:$D$27,MATCH('S2 Bio'!$A26,Työkonekanta!$A$3:$A$24,0),1),"undefined")</f>
        <v>undefined</v>
      </c>
      <c r="E26" s="145">
        <f>IFERROR(INDEX(Työkonekanta!$G$3:$G$27,MATCH($A26,Työkonekanta!$A$3:$A$24,0),1)*INDEX(Työkonekanta!$H$3:$H$27,MATCH($A26,Työkonekanta!$A$3:$A$24,0),1)*(1+_xlfn.SINGLE(s2_kerroin)*($C26-2019))*$B26,0)</f>
        <v>0</v>
      </c>
      <c r="F26" s="145">
        <f t="shared" si="0"/>
        <v>0</v>
      </c>
      <c r="G26" s="145">
        <f t="shared" si="12"/>
        <v>0</v>
      </c>
      <c r="H26" s="145">
        <f t="shared" si="13"/>
        <v>0</v>
      </c>
      <c r="I26" s="145">
        <f t="shared" si="1"/>
        <v>0</v>
      </c>
      <c r="J26" s="145">
        <f t="shared" si="2"/>
        <v>0</v>
      </c>
      <c r="K26" s="142" t="str">
        <f t="shared" si="14"/>
        <v>undefined</v>
      </c>
      <c r="L26" s="146">
        <f>IFERROR(INDEX(Työkonekanta!$I$3:$I$27,MATCH('S2 Bio'!$A26,Työkonekanta!$A$3:$A$24,0),1)*(I26+J26)*f_adblue,0)</f>
        <v>0</v>
      </c>
      <c r="M26" s="146">
        <f t="shared" si="3"/>
        <v>0</v>
      </c>
      <c r="N26" s="143" t="str">
        <f>IF(tuulisähkö_vuosi&lt;='S2 Bio'!C26,"tuulisähkö",ostosähkö_nyt)</f>
        <v>jäännössähkö</v>
      </c>
      <c r="O26" s="147">
        <f>INDEX(Muuttujat!$J$5:$J$21,MATCH($C26,Muuttujat!$H$5:$H$21,0),1)</f>
        <v>69.24722222222222</v>
      </c>
      <c r="P26" s="148">
        <f t="shared" si="15"/>
        <v>1</v>
      </c>
      <c r="Q26" s="148">
        <f t="shared" si="20"/>
        <v>0</v>
      </c>
      <c r="R26" s="148">
        <f t="shared" si="20"/>
        <v>0</v>
      </c>
      <c r="S26" s="149">
        <f t="shared" si="5"/>
        <v>0</v>
      </c>
      <c r="T26" s="150">
        <f t="shared" si="6"/>
        <v>0</v>
      </c>
      <c r="U26" s="150">
        <f t="shared" si="7"/>
        <v>0</v>
      </c>
      <c r="V26" s="150">
        <f>IFERROR(INDEX(Työkonekanta!$J$3:$J$27,MATCH($A26,Työkonekanta!$A$3:$A$24,0),1)*$B26*ef_li_ion_akku/1000/1000/INDEX(Työkonekanta!$K$3:$K$27,MATCH($A26,Työkonekanta!$A$3:$A$24,0)),0)</f>
        <v>0</v>
      </c>
      <c r="W26" s="149">
        <f t="shared" si="8"/>
        <v>0</v>
      </c>
      <c r="X26" s="150">
        <f t="shared" si="9"/>
        <v>0</v>
      </c>
      <c r="Y26" s="151">
        <f t="shared" si="10"/>
        <v>0</v>
      </c>
      <c r="Z26" s="152">
        <f t="shared" si="16"/>
        <v>0</v>
      </c>
      <c r="AA26" s="153">
        <f t="shared" si="17"/>
        <v>0</v>
      </c>
      <c r="AB26" s="153">
        <f t="shared" si="18"/>
        <v>0</v>
      </c>
      <c r="AC26" s="154">
        <f t="shared" si="11"/>
        <v>0</v>
      </c>
      <c r="AD26" s="180">
        <f t="shared" si="19"/>
        <v>0</v>
      </c>
      <c r="AE26" s="160"/>
    </row>
    <row r="27" spans="1:36">
      <c r="A27" s="139">
        <v>25</v>
      </c>
      <c r="B27" s="139">
        <f>IFERROR(INDEX(Työkonekanta!$F$3:$F$27,MATCH('S2 Bio'!$A27,Työkonekanta!$A$3:$A$24,0),1),0)</f>
        <v>0</v>
      </c>
      <c r="C27" s="140">
        <v>2019</v>
      </c>
      <c r="D27" s="141" t="str">
        <f>IFERROR(INDEX(Työkonekanta!$D$3:$D$27,MATCH('S2 Bio'!$A27,Työkonekanta!$A$3:$A$24,0),1),"undefined")</f>
        <v>undefined</v>
      </c>
      <c r="E27" s="145">
        <f>IFERROR(INDEX(Työkonekanta!$G$3:$G$27,MATCH($A27,Työkonekanta!$A$3:$A$24,0),1)*INDEX(Työkonekanta!$H$3:$H$27,MATCH($A27,Työkonekanta!$A$3:$A$24,0),1)*(1+_xlfn.SINGLE(s2_kerroin)*($C27-2019))*$B27,0)</f>
        <v>0</v>
      </c>
      <c r="F27" s="145">
        <f t="shared" si="0"/>
        <v>0</v>
      </c>
      <c r="G27" s="145">
        <f t="shared" si="12"/>
        <v>0</v>
      </c>
      <c r="H27" s="145">
        <f t="shared" si="13"/>
        <v>0</v>
      </c>
      <c r="I27" s="145">
        <f t="shared" si="1"/>
        <v>0</v>
      </c>
      <c r="J27" s="145">
        <f t="shared" si="2"/>
        <v>0</v>
      </c>
      <c r="K27" s="142" t="str">
        <f t="shared" si="14"/>
        <v>undefined</v>
      </c>
      <c r="L27" s="146">
        <f>IFERROR(INDEX(Työkonekanta!$I$3:$I$27,MATCH('S2 Bio'!$A27,Työkonekanta!$A$3:$A$24,0),1)*(I27+J27)*f_adblue,0)</f>
        <v>0</v>
      </c>
      <c r="M27" s="146">
        <f t="shared" si="3"/>
        <v>0</v>
      </c>
      <c r="N27" s="143" t="str">
        <f>IF(tuulisähkö_vuosi&lt;='S2 Bio'!C27,"tuulisähkö",ostosähkö_nyt)</f>
        <v>jäännössähkö</v>
      </c>
      <c r="O27" s="147">
        <f>INDEX(Muuttujat!$J$5:$J$21,MATCH($C27,Muuttujat!$H$5:$H$21,0),1)</f>
        <v>69.24722222222222</v>
      </c>
      <c r="P27" s="148">
        <f t="shared" si="15"/>
        <v>1</v>
      </c>
      <c r="Q27" s="148">
        <f t="shared" si="20"/>
        <v>0</v>
      </c>
      <c r="R27" s="148">
        <f t="shared" si="20"/>
        <v>0</v>
      </c>
      <c r="S27" s="149">
        <f t="shared" si="5"/>
        <v>0</v>
      </c>
      <c r="T27" s="150">
        <f t="shared" si="6"/>
        <v>0</v>
      </c>
      <c r="U27" s="150">
        <f t="shared" si="7"/>
        <v>0</v>
      </c>
      <c r="V27" s="150">
        <f>IFERROR(INDEX(Työkonekanta!$J$3:$J$27,MATCH($A27,Työkonekanta!$A$3:$A$24,0),1)*$B27*ef_li_ion_akku/1000/1000/INDEX(Työkonekanta!$K$3:$K$27,MATCH($A27,Työkonekanta!$A$3:$A$24,0)),0)</f>
        <v>0</v>
      </c>
      <c r="W27" s="149">
        <f t="shared" si="8"/>
        <v>0</v>
      </c>
      <c r="X27" s="150">
        <f t="shared" si="9"/>
        <v>0</v>
      </c>
      <c r="Y27" s="151">
        <f t="shared" si="10"/>
        <v>0</v>
      </c>
      <c r="Z27" s="152">
        <f t="shared" si="16"/>
        <v>0</v>
      </c>
      <c r="AA27" s="153">
        <f t="shared" si="17"/>
        <v>0</v>
      </c>
      <c r="AB27" s="153">
        <f t="shared" si="18"/>
        <v>0</v>
      </c>
      <c r="AC27" s="154">
        <f t="shared" si="11"/>
        <v>0</v>
      </c>
      <c r="AD27" s="180">
        <f t="shared" si="19"/>
        <v>0</v>
      </c>
      <c r="AE27" s="160"/>
    </row>
    <row r="28" spans="1:36">
      <c r="A28" s="139">
        <v>26</v>
      </c>
      <c r="B28" s="139">
        <f>IFERROR(INDEX(Työkonekanta!$F$3:$F$27,MATCH('S2 Bio'!$A28,Työkonekanta!$A$3:$A$24,0),1),0)</f>
        <v>0</v>
      </c>
      <c r="C28" s="140">
        <v>2019</v>
      </c>
      <c r="D28" s="141" t="str">
        <f>IFERROR(INDEX(Työkonekanta!$D$3:$D$27,MATCH('S2 Bio'!$A28,Työkonekanta!$A$3:$A$24,0),1),"undefined")</f>
        <v>undefined</v>
      </c>
      <c r="E28" s="145">
        <f>IFERROR(INDEX(Työkonekanta!$G$3:$G$27,MATCH($A28,Työkonekanta!$A$3:$A$24,0),1)*INDEX(Työkonekanta!$H$3:$H$27,MATCH($A28,Työkonekanta!$A$3:$A$24,0),1)*(1+_xlfn.SINGLE(s2_kerroin)*($C28-2019))*$B28,0)</f>
        <v>0</v>
      </c>
      <c r="F28" s="145">
        <f t="shared" si="0"/>
        <v>0</v>
      </c>
      <c r="G28" s="145">
        <f t="shared" si="12"/>
        <v>0</v>
      </c>
      <c r="H28" s="145">
        <f t="shared" si="13"/>
        <v>0</v>
      </c>
      <c r="I28" s="145">
        <f t="shared" si="1"/>
        <v>0</v>
      </c>
      <c r="J28" s="145">
        <f t="shared" si="2"/>
        <v>0</v>
      </c>
      <c r="K28" s="142" t="str">
        <f t="shared" si="14"/>
        <v>undefined</v>
      </c>
      <c r="L28" s="146">
        <f>IFERROR(INDEX(Työkonekanta!$I$3:$I$27,MATCH('S2 Bio'!$A28,Työkonekanta!$A$3:$A$24,0),1)*(I28+J28)*f_adblue,0)</f>
        <v>0</v>
      </c>
      <c r="M28" s="146">
        <f t="shared" si="3"/>
        <v>0</v>
      </c>
      <c r="N28" s="143" t="str">
        <f>IF(tuulisähkö_vuosi&lt;='S2 Bio'!C28,"tuulisähkö",ostosähkö_nyt)</f>
        <v>jäännössähkö</v>
      </c>
      <c r="O28" s="147">
        <f>INDEX(Muuttujat!$J$5:$J$21,MATCH($C28,Muuttujat!$H$5:$H$21,0),1)</f>
        <v>69.24722222222222</v>
      </c>
      <c r="P28" s="148">
        <f t="shared" si="15"/>
        <v>1</v>
      </c>
      <c r="Q28" s="148">
        <f t="shared" si="20"/>
        <v>0</v>
      </c>
      <c r="R28" s="148">
        <f t="shared" si="20"/>
        <v>0</v>
      </c>
      <c r="S28" s="149">
        <f t="shared" si="5"/>
        <v>0</v>
      </c>
      <c r="T28" s="150">
        <f t="shared" si="6"/>
        <v>0</v>
      </c>
      <c r="U28" s="150">
        <f t="shared" si="7"/>
        <v>0</v>
      </c>
      <c r="V28" s="150">
        <f>IFERROR(INDEX(Työkonekanta!$J$3:$J$27,MATCH($A28,Työkonekanta!$A$3:$A$24,0),1)*$B28*ef_li_ion_akku/1000/1000/INDEX(Työkonekanta!$K$3:$K$27,MATCH($A28,Työkonekanta!$A$3:$A$24,0)),0)</f>
        <v>0</v>
      </c>
      <c r="W28" s="149">
        <f t="shared" si="8"/>
        <v>0</v>
      </c>
      <c r="X28" s="150">
        <f t="shared" si="9"/>
        <v>0</v>
      </c>
      <c r="Y28" s="151">
        <f t="shared" si="10"/>
        <v>0</v>
      </c>
      <c r="Z28" s="152">
        <f t="shared" si="16"/>
        <v>0</v>
      </c>
      <c r="AA28" s="153">
        <f t="shared" si="17"/>
        <v>0</v>
      </c>
      <c r="AB28" s="153">
        <f t="shared" si="18"/>
        <v>0</v>
      </c>
      <c r="AC28" s="154">
        <f t="shared" si="11"/>
        <v>0</v>
      </c>
      <c r="AD28" s="180">
        <f t="shared" si="19"/>
        <v>0</v>
      </c>
      <c r="AE28" s="160"/>
    </row>
    <row r="29" spans="1:36">
      <c r="A29" s="139">
        <v>27</v>
      </c>
      <c r="B29" s="139">
        <f>IFERROR(INDEX(Työkonekanta!$F$3:$F$27,MATCH('S2 Bio'!$A29,Työkonekanta!$A$3:$A$24,0),1),0)</f>
        <v>0</v>
      </c>
      <c r="C29" s="140">
        <v>2019</v>
      </c>
      <c r="D29" s="141" t="str">
        <f>IFERROR(INDEX(Työkonekanta!$D$3:$D$27,MATCH('S2 Bio'!$A29,Työkonekanta!$A$3:$A$24,0),1),"undefined")</f>
        <v>undefined</v>
      </c>
      <c r="E29" s="145">
        <f>IFERROR(INDEX(Työkonekanta!$G$3:$G$27,MATCH($A29,Työkonekanta!$A$3:$A$24,0),1)*INDEX(Työkonekanta!$H$3:$H$27,MATCH($A29,Työkonekanta!$A$3:$A$24,0),1)*(1+_xlfn.SINGLE(s2_kerroin)*($C29-2019))*$B29,0)</f>
        <v>0</v>
      </c>
      <c r="F29" s="145">
        <f t="shared" si="0"/>
        <v>0</v>
      </c>
      <c r="G29" s="145">
        <f t="shared" si="12"/>
        <v>0</v>
      </c>
      <c r="H29" s="145">
        <f t="shared" si="13"/>
        <v>0</v>
      </c>
      <c r="I29" s="145">
        <f t="shared" si="1"/>
        <v>0</v>
      </c>
      <c r="J29" s="145">
        <f t="shared" si="2"/>
        <v>0</v>
      </c>
      <c r="K29" s="142" t="str">
        <f t="shared" si="14"/>
        <v>undefined</v>
      </c>
      <c r="L29" s="146">
        <f>IFERROR(INDEX(Työkonekanta!$I$3:$I$27,MATCH('S2 Bio'!$A29,Työkonekanta!$A$3:$A$24,0),1)*(I29+J29)*f_adblue,0)</f>
        <v>0</v>
      </c>
      <c r="M29" s="146">
        <f t="shared" si="3"/>
        <v>0</v>
      </c>
      <c r="N29" s="143" t="str">
        <f>IF(tuulisähkö_vuosi&lt;='S2 Bio'!C29,"tuulisähkö",ostosähkö_nyt)</f>
        <v>jäännössähkö</v>
      </c>
      <c r="O29" s="147">
        <f>INDEX(Muuttujat!$J$5:$J$21,MATCH($C29,Muuttujat!$H$5:$H$21,0),1)</f>
        <v>69.24722222222222</v>
      </c>
      <c r="P29" s="148">
        <f t="shared" si="15"/>
        <v>1</v>
      </c>
      <c r="Q29" s="148">
        <f t="shared" si="20"/>
        <v>0</v>
      </c>
      <c r="R29" s="148">
        <f t="shared" si="20"/>
        <v>0</v>
      </c>
      <c r="S29" s="149">
        <f t="shared" si="5"/>
        <v>0</v>
      </c>
      <c r="T29" s="150">
        <f t="shared" si="6"/>
        <v>0</v>
      </c>
      <c r="U29" s="150">
        <f t="shared" si="7"/>
        <v>0</v>
      </c>
      <c r="V29" s="150">
        <f>IFERROR(INDEX(Työkonekanta!$J$3:$J$27,MATCH($A29,Työkonekanta!$A$3:$A$24,0),1)*$B29*ef_li_ion_akku/1000/1000/INDEX(Työkonekanta!$K$3:$K$27,MATCH($A29,Työkonekanta!$A$3:$A$24,0)),0)</f>
        <v>0</v>
      </c>
      <c r="W29" s="149">
        <f t="shared" si="8"/>
        <v>0</v>
      </c>
      <c r="X29" s="150">
        <f t="shared" si="9"/>
        <v>0</v>
      </c>
      <c r="Y29" s="151">
        <f t="shared" si="10"/>
        <v>0</v>
      </c>
      <c r="Z29" s="152">
        <f t="shared" si="16"/>
        <v>0</v>
      </c>
      <c r="AA29" s="153">
        <f t="shared" si="17"/>
        <v>0</v>
      </c>
      <c r="AB29" s="153">
        <f t="shared" si="18"/>
        <v>0</v>
      </c>
      <c r="AC29" s="154">
        <f t="shared" si="11"/>
        <v>0</v>
      </c>
      <c r="AD29" s="180">
        <f t="shared" si="19"/>
        <v>0</v>
      </c>
      <c r="AE29" s="160"/>
    </row>
    <row r="30" spans="1:36">
      <c r="A30" s="139">
        <v>28</v>
      </c>
      <c r="B30" s="139">
        <f>IFERROR(INDEX(Työkonekanta!$F$3:$F$27,MATCH('S2 Bio'!$A30,Työkonekanta!$A$3:$A$24,0),1),0)</f>
        <v>0</v>
      </c>
      <c r="C30" s="140">
        <v>2019</v>
      </c>
      <c r="D30" s="141" t="str">
        <f>IFERROR(INDEX(Työkonekanta!$D$3:$D$27,MATCH('S2 Bio'!$A30,Työkonekanta!$A$3:$A$24,0),1),"undefined")</f>
        <v>undefined</v>
      </c>
      <c r="E30" s="145">
        <f>IFERROR(INDEX(Työkonekanta!$G$3:$G$27,MATCH($A30,Työkonekanta!$A$3:$A$24,0),1)*INDEX(Työkonekanta!$H$3:$H$27,MATCH($A30,Työkonekanta!$A$3:$A$24,0),1)*(1+_xlfn.SINGLE(s2_kerroin)*($C30-2019))*$B30,0)</f>
        <v>0</v>
      </c>
      <c r="F30" s="145">
        <f t="shared" si="0"/>
        <v>0</v>
      </c>
      <c r="G30" s="145">
        <f t="shared" si="12"/>
        <v>0</v>
      </c>
      <c r="H30" s="145">
        <f t="shared" si="13"/>
        <v>0</v>
      </c>
      <c r="I30" s="145">
        <f t="shared" si="1"/>
        <v>0</v>
      </c>
      <c r="J30" s="145">
        <f t="shared" si="2"/>
        <v>0</v>
      </c>
      <c r="K30" s="142" t="str">
        <f t="shared" si="14"/>
        <v>undefined</v>
      </c>
      <c r="L30" s="146">
        <f>IFERROR(INDEX(Työkonekanta!$I$3:$I$27,MATCH('S2 Bio'!$A30,Työkonekanta!$A$3:$A$24,0),1)*(I30+J30)*f_adblue,0)</f>
        <v>0</v>
      </c>
      <c r="M30" s="146">
        <f t="shared" si="3"/>
        <v>0</v>
      </c>
      <c r="N30" s="143" t="str">
        <f>IF(tuulisähkö_vuosi&lt;='S2 Bio'!C30,"tuulisähkö",ostosähkö_nyt)</f>
        <v>jäännössähkö</v>
      </c>
      <c r="O30" s="147">
        <f>INDEX(Muuttujat!$J$5:$J$21,MATCH($C30,Muuttujat!$H$5:$H$21,0),1)</f>
        <v>69.24722222222222</v>
      </c>
      <c r="P30" s="148">
        <f t="shared" si="15"/>
        <v>1</v>
      </c>
      <c r="Q30" s="148">
        <f t="shared" si="20"/>
        <v>0</v>
      </c>
      <c r="R30" s="148">
        <f t="shared" si="20"/>
        <v>0</v>
      </c>
      <c r="S30" s="149">
        <f t="shared" si="5"/>
        <v>0</v>
      </c>
      <c r="T30" s="150">
        <f t="shared" si="6"/>
        <v>0</v>
      </c>
      <c r="U30" s="150">
        <f t="shared" si="7"/>
        <v>0</v>
      </c>
      <c r="V30" s="150">
        <f>IFERROR(INDEX(Työkonekanta!$J$3:$J$27,MATCH($A30,Työkonekanta!$A$3:$A$24,0),1)*$B30*ef_li_ion_akku/1000/1000/INDEX(Työkonekanta!$K$3:$K$27,MATCH($A30,Työkonekanta!$A$3:$A$24,0)),0)</f>
        <v>0</v>
      </c>
      <c r="W30" s="149">
        <f t="shared" si="8"/>
        <v>0</v>
      </c>
      <c r="X30" s="150">
        <f t="shared" si="9"/>
        <v>0</v>
      </c>
      <c r="Y30" s="151">
        <f t="shared" si="10"/>
        <v>0</v>
      </c>
      <c r="Z30" s="152">
        <f t="shared" si="16"/>
        <v>0</v>
      </c>
      <c r="AA30" s="153">
        <f t="shared" si="17"/>
        <v>0</v>
      </c>
      <c r="AB30" s="153">
        <f t="shared" si="18"/>
        <v>0</v>
      </c>
      <c r="AC30" s="154">
        <f t="shared" si="11"/>
        <v>0</v>
      </c>
      <c r="AD30" s="180">
        <f t="shared" si="19"/>
        <v>0</v>
      </c>
      <c r="AE30" s="160"/>
    </row>
    <row r="31" spans="1:36">
      <c r="A31" s="139">
        <v>29</v>
      </c>
      <c r="B31" s="139">
        <f>IFERROR(INDEX(Työkonekanta!$F$3:$F$27,MATCH('S2 Bio'!$A31,Työkonekanta!$A$3:$A$24,0),1),0)</f>
        <v>0</v>
      </c>
      <c r="C31" s="140">
        <v>2019</v>
      </c>
      <c r="D31" s="141" t="str">
        <f>IFERROR(INDEX(Työkonekanta!$D$3:$D$27,MATCH('S2 Bio'!$A31,Työkonekanta!$A$3:$A$24,0),1),"undefined")</f>
        <v>undefined</v>
      </c>
      <c r="E31" s="145">
        <f>IFERROR(INDEX(Työkonekanta!$G$3:$G$27,MATCH($A31,Työkonekanta!$A$3:$A$24,0),1)*INDEX(Työkonekanta!$H$3:$H$27,MATCH($A31,Työkonekanta!$A$3:$A$24,0),1)*(1+_xlfn.SINGLE(s2_kerroin)*($C31-2019))*$B31,0)</f>
        <v>0</v>
      </c>
      <c r="F31" s="145">
        <f t="shared" si="0"/>
        <v>0</v>
      </c>
      <c r="G31" s="145">
        <f t="shared" si="12"/>
        <v>0</v>
      </c>
      <c r="H31" s="145">
        <f t="shared" si="13"/>
        <v>0</v>
      </c>
      <c r="I31" s="145">
        <f t="shared" si="1"/>
        <v>0</v>
      </c>
      <c r="J31" s="145">
        <f t="shared" si="2"/>
        <v>0</v>
      </c>
      <c r="K31" s="142" t="str">
        <f t="shared" si="14"/>
        <v>undefined</v>
      </c>
      <c r="L31" s="146">
        <f>IFERROR(INDEX(Työkonekanta!$I$3:$I$27,MATCH('S2 Bio'!$A31,Työkonekanta!$A$3:$A$24,0),1)*(I31+J31)*f_adblue,0)</f>
        <v>0</v>
      </c>
      <c r="M31" s="146">
        <f t="shared" si="3"/>
        <v>0</v>
      </c>
      <c r="N31" s="143" t="str">
        <f>IF(tuulisähkö_vuosi&lt;='S2 Bio'!C31,"tuulisähkö",ostosähkö_nyt)</f>
        <v>jäännössähkö</v>
      </c>
      <c r="O31" s="147">
        <f>INDEX(Muuttujat!$J$5:$J$21,MATCH($C31,Muuttujat!$H$5:$H$21,0),1)</f>
        <v>69.24722222222222</v>
      </c>
      <c r="P31" s="148">
        <f t="shared" si="15"/>
        <v>1</v>
      </c>
      <c r="Q31" s="148">
        <f t="shared" si="20"/>
        <v>0</v>
      </c>
      <c r="R31" s="148">
        <f t="shared" si="20"/>
        <v>0</v>
      </c>
      <c r="S31" s="149">
        <f t="shared" si="5"/>
        <v>0</v>
      </c>
      <c r="T31" s="150">
        <f t="shared" si="6"/>
        <v>0</v>
      </c>
      <c r="U31" s="150">
        <f t="shared" si="7"/>
        <v>0</v>
      </c>
      <c r="V31" s="150">
        <f>IFERROR(INDEX(Työkonekanta!$J$3:$J$27,MATCH($A31,Työkonekanta!$A$3:$A$24,0),1)*$B31*ef_li_ion_akku/1000/1000/INDEX(Työkonekanta!$K$3:$K$27,MATCH($A31,Työkonekanta!$A$3:$A$24,0)),0)</f>
        <v>0</v>
      </c>
      <c r="W31" s="149">
        <f t="shared" si="8"/>
        <v>0</v>
      </c>
      <c r="X31" s="150">
        <f t="shared" si="9"/>
        <v>0</v>
      </c>
      <c r="Y31" s="151">
        <f t="shared" si="10"/>
        <v>0</v>
      </c>
      <c r="Z31" s="152">
        <f t="shared" si="16"/>
        <v>0</v>
      </c>
      <c r="AA31" s="153">
        <f t="shared" si="17"/>
        <v>0</v>
      </c>
      <c r="AB31" s="153">
        <f t="shared" si="18"/>
        <v>0</v>
      </c>
      <c r="AC31" s="154">
        <f t="shared" si="11"/>
        <v>0</v>
      </c>
      <c r="AD31" s="180">
        <f t="shared" si="19"/>
        <v>0</v>
      </c>
      <c r="AE31" s="160"/>
    </row>
    <row r="32" spans="1:36">
      <c r="A32" s="139">
        <v>30</v>
      </c>
      <c r="B32" s="139">
        <f>IFERROR(INDEX(Työkonekanta!$F$3:$F$27,MATCH('S2 Bio'!$A32,Työkonekanta!$A$3:$A$24,0),1),0)</f>
        <v>0</v>
      </c>
      <c r="C32" s="140">
        <v>2019</v>
      </c>
      <c r="D32" s="141" t="str">
        <f>IFERROR(INDEX(Työkonekanta!$D$3:$D$27,MATCH('S2 Bio'!$A32,Työkonekanta!$A$3:$A$24,0),1),"undefined")</f>
        <v>undefined</v>
      </c>
      <c r="E32" s="145">
        <f>IFERROR(INDEX(Työkonekanta!$G$3:$G$27,MATCH($A32,Työkonekanta!$A$3:$A$24,0),1)*INDEX(Työkonekanta!$H$3:$H$27,MATCH($A32,Työkonekanta!$A$3:$A$24,0),1)*(1+_xlfn.SINGLE(s2_kerroin)*($C32-2019))*$B32,0)</f>
        <v>0</v>
      </c>
      <c r="F32" s="145">
        <f t="shared" si="0"/>
        <v>0</v>
      </c>
      <c r="G32" s="145">
        <f t="shared" si="12"/>
        <v>0</v>
      </c>
      <c r="H32" s="145">
        <f t="shared" si="13"/>
        <v>0</v>
      </c>
      <c r="I32" s="145">
        <f t="shared" si="1"/>
        <v>0</v>
      </c>
      <c r="J32" s="145">
        <f t="shared" si="2"/>
        <v>0</v>
      </c>
      <c r="K32" s="142" t="str">
        <f t="shared" si="14"/>
        <v>undefined</v>
      </c>
      <c r="L32" s="146">
        <f>IFERROR(INDEX(Työkonekanta!$I$3:$I$27,MATCH('S2 Bio'!$A32,Työkonekanta!$A$3:$A$24,0),1)*(I32+J32)*f_adblue,0)</f>
        <v>0</v>
      </c>
      <c r="M32" s="146">
        <f t="shared" si="3"/>
        <v>0</v>
      </c>
      <c r="N32" s="143" t="str">
        <f>IF(tuulisähkö_vuosi&lt;='S2 Bio'!C32,"tuulisähkö",ostosähkö_nyt)</f>
        <v>jäännössähkö</v>
      </c>
      <c r="O32" s="147">
        <f>INDEX(Muuttujat!$J$5:$J$21,MATCH($C32,Muuttujat!$H$5:$H$21,0),1)</f>
        <v>69.24722222222222</v>
      </c>
      <c r="P32" s="148">
        <f t="shared" si="15"/>
        <v>1</v>
      </c>
      <c r="Q32" s="148">
        <f t="shared" si="20"/>
        <v>0</v>
      </c>
      <c r="R32" s="148">
        <f t="shared" si="20"/>
        <v>0</v>
      </c>
      <c r="S32" s="149">
        <f t="shared" si="5"/>
        <v>0</v>
      </c>
      <c r="T32" s="150">
        <f t="shared" si="6"/>
        <v>0</v>
      </c>
      <c r="U32" s="150">
        <f t="shared" si="7"/>
        <v>0</v>
      </c>
      <c r="V32" s="150">
        <f>IFERROR(INDEX(Työkonekanta!$J$3:$J$27,MATCH($A32,Työkonekanta!$A$3:$A$24,0),1)*$B32*ef_li_ion_akku/1000/1000/INDEX(Työkonekanta!$K$3:$K$27,MATCH($A32,Työkonekanta!$A$3:$A$24,0)),0)</f>
        <v>0</v>
      </c>
      <c r="W32" s="149">
        <f t="shared" si="8"/>
        <v>0</v>
      </c>
      <c r="X32" s="150">
        <f t="shared" si="9"/>
        <v>0</v>
      </c>
      <c r="Y32" s="151">
        <f t="shared" si="10"/>
        <v>0</v>
      </c>
      <c r="Z32" s="152">
        <f t="shared" si="16"/>
        <v>0</v>
      </c>
      <c r="AA32" s="153">
        <f t="shared" si="17"/>
        <v>0</v>
      </c>
      <c r="AB32" s="153">
        <f t="shared" si="18"/>
        <v>0</v>
      </c>
      <c r="AC32" s="154">
        <f t="shared" si="11"/>
        <v>0</v>
      </c>
      <c r="AD32" s="180">
        <f t="shared" si="19"/>
        <v>0</v>
      </c>
      <c r="AE32" s="160"/>
    </row>
    <row r="33" spans="1:31">
      <c r="A33" s="139">
        <v>1</v>
      </c>
      <c r="B33" s="139">
        <f>IFERROR(INDEX(Työkonekanta!$F$3:$F$27,MATCH('S2 Bio'!$A33,Työkonekanta!$A$3:$A$24,0),1),0)</f>
        <v>1</v>
      </c>
      <c r="C33" s="140">
        <v>2020</v>
      </c>
      <c r="D33" s="141" t="str">
        <f>IFERROR(INDEX(Työkonekanta!$D$3:$D$27,MATCH('S2 Bio'!$A33,Työkonekanta!$A$3:$A$24,0),1),"undefined")</f>
        <v>pom</v>
      </c>
      <c r="E33" s="145">
        <f>IFERROR(INDEX(Työkonekanta!$G$3:$G$27,MATCH($A33,Työkonekanta!$A$3:$A$24,0),1)*INDEX(Työkonekanta!$H$3:$H$27,MATCH($A33,Työkonekanta!$A$3:$A$24,0),1)*(1+_xlfn.SINGLE(s2_kerroin)*($C33-2019))*$B33,0)</f>
        <v>10100</v>
      </c>
      <c r="F33" s="145">
        <f t="shared" si="0"/>
        <v>362590</v>
      </c>
      <c r="G33" s="145">
        <f t="shared" si="12"/>
        <v>362590</v>
      </c>
      <c r="H33" s="145">
        <f t="shared" si="13"/>
        <v>0</v>
      </c>
      <c r="I33" s="145">
        <f t="shared" si="1"/>
        <v>10100</v>
      </c>
      <c r="J33" s="145">
        <f t="shared" si="2"/>
        <v>0</v>
      </c>
      <c r="K33" s="142" t="str">
        <f t="shared" si="14"/>
        <v>l</v>
      </c>
      <c r="L33" s="146">
        <f>IFERROR(INDEX(Työkonekanta!$I$3:$I$27,MATCH('S2 Bio'!$A33,Työkonekanta!$A$3:$A$24,0),1)*(I33+J33)*f_adblue,0)</f>
        <v>505</v>
      </c>
      <c r="M33" s="146">
        <f t="shared" si="3"/>
        <v>0</v>
      </c>
      <c r="N33" s="143" t="str">
        <f>IF(tuulisähkö_vuosi&lt;='S2 Bio'!C33,"tuulisähkö",ostosähkö_nyt)</f>
        <v>jäännössähkö</v>
      </c>
      <c r="O33" s="147">
        <f>INDEX(Muuttujat!$J$5:$J$21,MATCH($C33,Muuttujat!$H$5:$H$21,0),1)</f>
        <v>68.554749999999999</v>
      </c>
      <c r="P33" s="148">
        <f t="shared" si="15"/>
        <v>1</v>
      </c>
      <c r="Q33" s="148">
        <f t="shared" si="20"/>
        <v>0</v>
      </c>
      <c r="R33" s="148">
        <f t="shared" si="20"/>
        <v>0</v>
      </c>
      <c r="S33" s="149">
        <f t="shared" si="5"/>
        <v>6.8529509999999991</v>
      </c>
      <c r="T33" s="150">
        <f t="shared" si="6"/>
        <v>0</v>
      </c>
      <c r="U33" s="150">
        <f t="shared" si="7"/>
        <v>0</v>
      </c>
      <c r="V33" s="150">
        <f>IFERROR(INDEX(Työkonekanta!$J$3:$J$27,MATCH($A33,Työkonekanta!$A$3:$A$24,0),1)*$B33*ef_li_ion_akku/1000/1000/INDEX(Työkonekanta!$K$3:$K$27,MATCH($A33,Työkonekanta!$A$3:$A$24,0)),0)</f>
        <v>0</v>
      </c>
      <c r="W33" s="149">
        <f t="shared" si="8"/>
        <v>26.762134918859999</v>
      </c>
      <c r="X33" s="150">
        <f t="shared" si="9"/>
        <v>0.3209231166</v>
      </c>
      <c r="Y33" s="151">
        <f t="shared" si="10"/>
        <v>0.1313</v>
      </c>
      <c r="Z33" s="152">
        <f t="shared" si="16"/>
        <v>6.8529509999999991</v>
      </c>
      <c r="AA33" s="153">
        <f t="shared" si="17"/>
        <v>26.893434918859999</v>
      </c>
      <c r="AB33" s="153">
        <f t="shared" si="18"/>
        <v>27.214358035459998</v>
      </c>
      <c r="AC33" s="154">
        <f t="shared" si="11"/>
        <v>33.74638591886</v>
      </c>
      <c r="AD33" s="180">
        <f t="shared" si="19"/>
        <v>34.067309035459999</v>
      </c>
      <c r="AE33" s="160"/>
    </row>
    <row r="34" spans="1:31">
      <c r="A34" s="139">
        <v>2</v>
      </c>
      <c r="B34" s="139">
        <f>IFERROR(INDEX(Työkonekanta!$F$3:$F$27,MATCH('S2 Bio'!$A34,Työkonekanta!$A$3:$A$24,0),1),0)</f>
        <v>1</v>
      </c>
      <c r="C34" s="140">
        <v>2020</v>
      </c>
      <c r="D34" s="141" t="str">
        <f>IFERROR(INDEX(Työkonekanta!$D$3:$D$27,MATCH('S2 Bio'!$A34,Työkonekanta!$A$3:$A$24,0),1),"undefined")</f>
        <v>pom</v>
      </c>
      <c r="E34" s="145">
        <f>IFERROR(INDEX(Työkonekanta!$G$3:$G$27,MATCH($A34,Työkonekanta!$A$3:$A$24,0),1)*INDEX(Työkonekanta!$H$3:$H$27,MATCH($A34,Työkonekanta!$A$3:$A$24,0),1)*(1+_xlfn.SINGLE(s2_kerroin)*($C34-2019))*$B34,0)</f>
        <v>10100</v>
      </c>
      <c r="F34" s="145">
        <f t="shared" si="0"/>
        <v>362590</v>
      </c>
      <c r="G34" s="145">
        <f t="shared" si="12"/>
        <v>362590</v>
      </c>
      <c r="H34" s="145">
        <f t="shared" si="13"/>
        <v>0</v>
      </c>
      <c r="I34" s="145">
        <f t="shared" si="1"/>
        <v>10100</v>
      </c>
      <c r="J34" s="145">
        <f t="shared" si="2"/>
        <v>0</v>
      </c>
      <c r="K34" s="142" t="str">
        <f t="shared" si="14"/>
        <v>l</v>
      </c>
      <c r="L34" s="146">
        <f>IFERROR(INDEX(Työkonekanta!$I$3:$I$27,MATCH('S2 Bio'!$A34,Työkonekanta!$A$3:$A$24,0),1)*(I34+J34)*f_adblue,0)</f>
        <v>505</v>
      </c>
      <c r="M34" s="146">
        <f t="shared" si="3"/>
        <v>0</v>
      </c>
      <c r="N34" s="143" t="str">
        <f>IF(tuulisähkö_vuosi&lt;='S2 Bio'!C34,"tuulisähkö",ostosähkö_nyt)</f>
        <v>jäännössähkö</v>
      </c>
      <c r="O34" s="147">
        <f>INDEX(Muuttujat!$J$5:$J$21,MATCH($C34,Muuttujat!$H$5:$H$21,0),1)</f>
        <v>68.554749999999999</v>
      </c>
      <c r="P34" s="148">
        <f t="shared" si="15"/>
        <v>1</v>
      </c>
      <c r="Q34" s="148">
        <f t="shared" si="20"/>
        <v>0</v>
      </c>
      <c r="R34" s="148">
        <f t="shared" si="20"/>
        <v>0</v>
      </c>
      <c r="S34" s="149">
        <f t="shared" si="5"/>
        <v>6.8529509999999991</v>
      </c>
      <c r="T34" s="150">
        <f t="shared" si="6"/>
        <v>0</v>
      </c>
      <c r="U34" s="150">
        <f t="shared" si="7"/>
        <v>0</v>
      </c>
      <c r="V34" s="150">
        <f>IFERROR(INDEX(Työkonekanta!$J$3:$J$27,MATCH($A34,Työkonekanta!$A$3:$A$24,0),1)*$B34*ef_li_ion_akku/1000/1000/INDEX(Työkonekanta!$K$3:$K$27,MATCH($A34,Työkonekanta!$A$3:$A$24,0)),0)</f>
        <v>0</v>
      </c>
      <c r="W34" s="149">
        <f t="shared" si="8"/>
        <v>26.762134918859999</v>
      </c>
      <c r="X34" s="150">
        <f t="shared" si="9"/>
        <v>0.3209231166</v>
      </c>
      <c r="Y34" s="151">
        <f t="shared" si="10"/>
        <v>0.1313</v>
      </c>
      <c r="Z34" s="152">
        <f t="shared" si="16"/>
        <v>6.8529509999999991</v>
      </c>
      <c r="AA34" s="153">
        <f t="shared" si="17"/>
        <v>26.893434918859999</v>
      </c>
      <c r="AB34" s="153">
        <f t="shared" si="18"/>
        <v>27.214358035459998</v>
      </c>
      <c r="AC34" s="154">
        <f t="shared" si="11"/>
        <v>33.74638591886</v>
      </c>
      <c r="AD34" s="180">
        <f t="shared" si="19"/>
        <v>34.067309035459999</v>
      </c>
      <c r="AE34" s="160"/>
    </row>
    <row r="35" spans="1:31">
      <c r="A35" s="139">
        <v>3</v>
      </c>
      <c r="B35" s="139">
        <f>IFERROR(INDEX(Työkonekanta!$F$3:$F$27,MATCH('S2 Bio'!$A35,Työkonekanta!$A$3:$A$24,0),1),0)</f>
        <v>1</v>
      </c>
      <c r="C35" s="140">
        <v>2020</v>
      </c>
      <c r="D35" s="141" t="str">
        <f>IFERROR(INDEX(Työkonekanta!$D$3:$D$27,MATCH('S2 Bio'!$A35,Työkonekanta!$A$3:$A$24,0),1),"undefined")</f>
        <v>pom</v>
      </c>
      <c r="E35" s="145">
        <f>IFERROR(INDEX(Työkonekanta!$G$3:$G$27,MATCH($A35,Työkonekanta!$A$3:$A$24,0),1)*INDEX(Työkonekanta!$H$3:$H$27,MATCH($A35,Työkonekanta!$A$3:$A$24,0),1)*(1+_xlfn.SINGLE(s2_kerroin)*($C35-2019))*$B35,0)</f>
        <v>10100</v>
      </c>
      <c r="F35" s="145">
        <f t="shared" si="0"/>
        <v>362590</v>
      </c>
      <c r="G35" s="145">
        <f t="shared" si="12"/>
        <v>362590</v>
      </c>
      <c r="H35" s="145">
        <f t="shared" si="13"/>
        <v>0</v>
      </c>
      <c r="I35" s="145">
        <f t="shared" si="1"/>
        <v>10100</v>
      </c>
      <c r="J35" s="145">
        <f t="shared" si="2"/>
        <v>0</v>
      </c>
      <c r="K35" s="142" t="str">
        <f t="shared" si="14"/>
        <v>l</v>
      </c>
      <c r="L35" s="146">
        <f>IFERROR(INDEX(Työkonekanta!$I$3:$I$27,MATCH('S2 Bio'!$A35,Työkonekanta!$A$3:$A$24,0),1)*(I35+J35)*f_adblue,0)</f>
        <v>505</v>
      </c>
      <c r="M35" s="146">
        <f t="shared" si="3"/>
        <v>0</v>
      </c>
      <c r="N35" s="143" t="str">
        <f>IF(tuulisähkö_vuosi&lt;='S2 Bio'!C35,"tuulisähkö",ostosähkö_nyt)</f>
        <v>jäännössähkö</v>
      </c>
      <c r="O35" s="147">
        <f>INDEX(Muuttujat!$J$5:$J$21,MATCH($C35,Muuttujat!$H$5:$H$21,0),1)</f>
        <v>68.554749999999999</v>
      </c>
      <c r="P35" s="148">
        <f t="shared" si="15"/>
        <v>1</v>
      </c>
      <c r="Q35" s="148">
        <f t="shared" si="20"/>
        <v>0</v>
      </c>
      <c r="R35" s="148">
        <f t="shared" si="20"/>
        <v>0</v>
      </c>
      <c r="S35" s="149">
        <f t="shared" si="5"/>
        <v>6.8529509999999991</v>
      </c>
      <c r="T35" s="150">
        <f t="shared" si="6"/>
        <v>0</v>
      </c>
      <c r="U35" s="150">
        <f t="shared" si="7"/>
        <v>0</v>
      </c>
      <c r="V35" s="150">
        <f>IFERROR(INDEX(Työkonekanta!$J$3:$J$27,MATCH($A35,Työkonekanta!$A$3:$A$24,0),1)*$B35*ef_li_ion_akku/1000/1000/INDEX(Työkonekanta!$K$3:$K$27,MATCH($A35,Työkonekanta!$A$3:$A$24,0)),0)</f>
        <v>0</v>
      </c>
      <c r="W35" s="149">
        <f t="shared" si="8"/>
        <v>26.762134918859999</v>
      </c>
      <c r="X35" s="150">
        <f t="shared" si="9"/>
        <v>0.3209231166</v>
      </c>
      <c r="Y35" s="151">
        <f t="shared" si="10"/>
        <v>0.1313</v>
      </c>
      <c r="Z35" s="152">
        <f t="shared" si="16"/>
        <v>6.8529509999999991</v>
      </c>
      <c r="AA35" s="153">
        <f t="shared" si="17"/>
        <v>26.893434918859999</v>
      </c>
      <c r="AB35" s="153">
        <f t="shared" si="18"/>
        <v>27.214358035459998</v>
      </c>
      <c r="AC35" s="154">
        <f t="shared" si="11"/>
        <v>33.74638591886</v>
      </c>
      <c r="AD35" s="180">
        <f t="shared" si="19"/>
        <v>34.067309035459999</v>
      </c>
      <c r="AE35" s="160"/>
    </row>
    <row r="36" spans="1:31">
      <c r="A36" s="139">
        <v>4</v>
      </c>
      <c r="B36" s="139">
        <f>IFERROR(INDEX(Työkonekanta!$F$3:$F$27,MATCH('S2 Bio'!$A36,Työkonekanta!$A$3:$A$24,0),1),0)</f>
        <v>1</v>
      </c>
      <c r="C36" s="140">
        <v>2020</v>
      </c>
      <c r="D36" s="141" t="str">
        <f>IFERROR(INDEX(Työkonekanta!$D$3:$D$27,MATCH('S2 Bio'!$A36,Työkonekanta!$A$3:$A$24,0),1),"undefined")</f>
        <v>pom</v>
      </c>
      <c r="E36" s="145">
        <f>IFERROR(INDEX(Työkonekanta!$G$3:$G$27,MATCH($A36,Työkonekanta!$A$3:$A$24,0),1)*INDEX(Työkonekanta!$H$3:$H$27,MATCH($A36,Työkonekanta!$A$3:$A$24,0),1)*(1+_xlfn.SINGLE(s2_kerroin)*($C36-2019))*$B36,0)</f>
        <v>10100</v>
      </c>
      <c r="F36" s="145">
        <f t="shared" si="0"/>
        <v>362590</v>
      </c>
      <c r="G36" s="145">
        <f t="shared" si="12"/>
        <v>362590</v>
      </c>
      <c r="H36" s="145">
        <f t="shared" si="13"/>
        <v>0</v>
      </c>
      <c r="I36" s="145">
        <f t="shared" si="1"/>
        <v>10100</v>
      </c>
      <c r="J36" s="145">
        <f t="shared" si="2"/>
        <v>0</v>
      </c>
      <c r="K36" s="142" t="str">
        <f t="shared" si="14"/>
        <v>l</v>
      </c>
      <c r="L36" s="146">
        <f>IFERROR(INDEX(Työkonekanta!$I$3:$I$27,MATCH('S2 Bio'!$A36,Työkonekanta!$A$3:$A$24,0),1)*(I36+J36)*f_adblue,0)</f>
        <v>505</v>
      </c>
      <c r="M36" s="146">
        <f t="shared" si="3"/>
        <v>0</v>
      </c>
      <c r="N36" s="143" t="str">
        <f>IF(tuulisähkö_vuosi&lt;='S2 Bio'!C36,"tuulisähkö",ostosähkö_nyt)</f>
        <v>jäännössähkö</v>
      </c>
      <c r="O36" s="147">
        <f>INDEX(Muuttujat!$J$5:$J$21,MATCH($C36,Muuttujat!$H$5:$H$21,0),1)</f>
        <v>68.554749999999999</v>
      </c>
      <c r="P36" s="148">
        <f t="shared" si="15"/>
        <v>1</v>
      </c>
      <c r="Q36" s="148">
        <f t="shared" si="20"/>
        <v>0</v>
      </c>
      <c r="R36" s="148">
        <f t="shared" si="20"/>
        <v>0</v>
      </c>
      <c r="S36" s="149">
        <f t="shared" si="5"/>
        <v>6.8529509999999991</v>
      </c>
      <c r="T36" s="150">
        <f t="shared" si="6"/>
        <v>0</v>
      </c>
      <c r="U36" s="150">
        <f t="shared" si="7"/>
        <v>0</v>
      </c>
      <c r="V36" s="150">
        <f>IFERROR(INDEX(Työkonekanta!$J$3:$J$27,MATCH($A36,Työkonekanta!$A$3:$A$24,0),1)*$B36*ef_li_ion_akku/1000/1000/INDEX(Työkonekanta!$K$3:$K$27,MATCH($A36,Työkonekanta!$A$3:$A$24,0)),0)</f>
        <v>0</v>
      </c>
      <c r="W36" s="149">
        <f t="shared" si="8"/>
        <v>26.762134918859999</v>
      </c>
      <c r="X36" s="150">
        <f t="shared" si="9"/>
        <v>0.3209231166</v>
      </c>
      <c r="Y36" s="151">
        <f t="shared" si="10"/>
        <v>0.1313</v>
      </c>
      <c r="Z36" s="152">
        <f t="shared" si="16"/>
        <v>6.8529509999999991</v>
      </c>
      <c r="AA36" s="153">
        <f t="shared" si="17"/>
        <v>26.893434918859999</v>
      </c>
      <c r="AB36" s="153">
        <f t="shared" si="18"/>
        <v>27.214358035459998</v>
      </c>
      <c r="AC36" s="154">
        <f t="shared" si="11"/>
        <v>33.74638591886</v>
      </c>
      <c r="AD36" s="180">
        <f t="shared" si="19"/>
        <v>34.067309035459999</v>
      </c>
      <c r="AE36" s="160"/>
    </row>
    <row r="37" spans="1:31">
      <c r="A37" s="139">
        <v>5</v>
      </c>
      <c r="B37" s="139">
        <f>IFERROR(INDEX(Työkonekanta!$F$3:$F$27,MATCH('S2 Bio'!$A37,Työkonekanta!$A$3:$A$24,0),1),0)</f>
        <v>0</v>
      </c>
      <c r="C37" s="140">
        <v>2020</v>
      </c>
      <c r="D37" s="141" t="str">
        <f>IFERROR(INDEX(Työkonekanta!$D$3:$D$27,MATCH('S2 Bio'!$A37,Työkonekanta!$A$3:$A$24,0),1),"undefined")</f>
        <v>sähkö</v>
      </c>
      <c r="E37" s="145">
        <f>IFERROR(INDEX(Työkonekanta!$G$3:$G$27,MATCH($A37,Työkonekanta!$A$3:$A$24,0),1)*INDEX(Työkonekanta!$H$3:$H$27,MATCH($A37,Työkonekanta!$A$3:$A$24,0),1)*(1+_xlfn.SINGLE(s2_kerroin)*($C37-2019))*$B37,0)</f>
        <v>0</v>
      </c>
      <c r="F37" s="145">
        <f t="shared" si="0"/>
        <v>0</v>
      </c>
      <c r="G37" s="145">
        <f t="shared" si="12"/>
        <v>0</v>
      </c>
      <c r="H37" s="145">
        <f t="shared" si="13"/>
        <v>0</v>
      </c>
      <c r="I37" s="145">
        <f t="shared" si="1"/>
        <v>0</v>
      </c>
      <c r="J37" s="145">
        <f t="shared" si="2"/>
        <v>0</v>
      </c>
      <c r="K37" s="142" t="str">
        <f t="shared" si="14"/>
        <v>kWh</v>
      </c>
      <c r="L37" s="146">
        <f>IFERROR(INDEX(Työkonekanta!$I$3:$I$27,MATCH('S2 Bio'!$A37,Työkonekanta!$A$3:$A$24,0),1)*(I37+J37)*f_adblue,0)</f>
        <v>0</v>
      </c>
      <c r="M37" s="146">
        <f t="shared" si="3"/>
        <v>0</v>
      </c>
      <c r="N37" s="143" t="str">
        <f>IF(tuulisähkö_vuosi&lt;='S2 Bio'!C37,"tuulisähkö",ostosähkö_nyt)</f>
        <v>jäännössähkö</v>
      </c>
      <c r="O37" s="147">
        <f>INDEX(Muuttujat!$J$5:$J$21,MATCH($C37,Muuttujat!$H$5:$H$21,0),1)</f>
        <v>68.554749999999999</v>
      </c>
      <c r="P37" s="148">
        <f t="shared" si="15"/>
        <v>1</v>
      </c>
      <c r="Q37" s="148">
        <f t="shared" si="20"/>
        <v>0</v>
      </c>
      <c r="R37" s="148">
        <f t="shared" si="20"/>
        <v>0</v>
      </c>
      <c r="S37" s="149">
        <f t="shared" si="5"/>
        <v>0</v>
      </c>
      <c r="T37" s="150">
        <f t="shared" si="6"/>
        <v>0</v>
      </c>
      <c r="U37" s="150">
        <f t="shared" si="7"/>
        <v>0</v>
      </c>
      <c r="V37" s="150">
        <f>IFERROR(INDEX(Työkonekanta!$J$3:$J$27,MATCH($A37,Työkonekanta!$A$3:$A$24,0),1)*$B37*ef_li_ion_akku/1000/1000/INDEX(Työkonekanta!$K$3:$K$27,MATCH($A37,Työkonekanta!$A$3:$A$24,0)),0)</f>
        <v>0</v>
      </c>
      <c r="W37" s="149">
        <f t="shared" si="8"/>
        <v>0</v>
      </c>
      <c r="X37" s="150">
        <f t="shared" si="9"/>
        <v>0</v>
      </c>
      <c r="Y37" s="151">
        <f t="shared" si="10"/>
        <v>0</v>
      </c>
      <c r="Z37" s="152">
        <f t="shared" si="16"/>
        <v>0</v>
      </c>
      <c r="AA37" s="153">
        <f t="shared" si="17"/>
        <v>0</v>
      </c>
      <c r="AB37" s="153">
        <f t="shared" si="18"/>
        <v>0</v>
      </c>
      <c r="AC37" s="154">
        <f t="shared" si="11"/>
        <v>0</v>
      </c>
      <c r="AD37" s="180">
        <f t="shared" si="19"/>
        <v>0</v>
      </c>
      <c r="AE37" s="160"/>
    </row>
    <row r="38" spans="1:31">
      <c r="A38" s="139">
        <v>6</v>
      </c>
      <c r="B38" s="139">
        <f>IFERROR(INDEX(Työkonekanta!$F$3:$F$27,MATCH('S2 Bio'!$A38,Työkonekanta!$A$3:$A$24,0),1),0)</f>
        <v>0</v>
      </c>
      <c r="C38" s="140">
        <v>2020</v>
      </c>
      <c r="D38" s="141" t="str">
        <f>IFERROR(INDEX(Työkonekanta!$D$3:$D$27,MATCH('S2 Bio'!$A38,Työkonekanta!$A$3:$A$24,0),1),"undefined")</f>
        <v>sähkö</v>
      </c>
      <c r="E38" s="145">
        <f>IFERROR(INDEX(Työkonekanta!$G$3:$G$27,MATCH($A38,Työkonekanta!$A$3:$A$24,0),1)*INDEX(Työkonekanta!$H$3:$H$27,MATCH($A38,Työkonekanta!$A$3:$A$24,0),1)*(1+_xlfn.SINGLE(s2_kerroin)*($C38-2019))*$B38,0)</f>
        <v>0</v>
      </c>
      <c r="F38" s="145">
        <f t="shared" si="0"/>
        <v>0</v>
      </c>
      <c r="G38" s="145">
        <f t="shared" si="12"/>
        <v>0</v>
      </c>
      <c r="H38" s="145">
        <f t="shared" si="13"/>
        <v>0</v>
      </c>
      <c r="I38" s="145">
        <f t="shared" si="1"/>
        <v>0</v>
      </c>
      <c r="J38" s="145">
        <f t="shared" si="2"/>
        <v>0</v>
      </c>
      <c r="K38" s="142" t="str">
        <f t="shared" si="14"/>
        <v>kWh</v>
      </c>
      <c r="L38" s="146">
        <f>IFERROR(INDEX(Työkonekanta!$I$3:$I$27,MATCH('S2 Bio'!$A38,Työkonekanta!$A$3:$A$24,0),1)*(I38+J38)*f_adblue,0)</f>
        <v>0</v>
      </c>
      <c r="M38" s="146">
        <f t="shared" si="3"/>
        <v>0</v>
      </c>
      <c r="N38" s="143" t="str">
        <f>IF(tuulisähkö_vuosi&lt;='S2 Bio'!C38,"tuulisähkö",ostosähkö_nyt)</f>
        <v>jäännössähkö</v>
      </c>
      <c r="O38" s="147">
        <f>INDEX(Muuttujat!$J$5:$J$21,MATCH($C38,Muuttujat!$H$5:$H$21,0),1)</f>
        <v>68.554749999999999</v>
      </c>
      <c r="P38" s="148">
        <f t="shared" si="15"/>
        <v>1</v>
      </c>
      <c r="Q38" s="148">
        <f t="shared" si="20"/>
        <v>0</v>
      </c>
      <c r="R38" s="148">
        <f t="shared" si="20"/>
        <v>0</v>
      </c>
      <c r="S38" s="149">
        <f t="shared" si="5"/>
        <v>0</v>
      </c>
      <c r="T38" s="150">
        <f t="shared" si="6"/>
        <v>0</v>
      </c>
      <c r="U38" s="150">
        <f t="shared" si="7"/>
        <v>0</v>
      </c>
      <c r="V38" s="150">
        <f>IFERROR(INDEX(Työkonekanta!$J$3:$J$27,MATCH($A38,Työkonekanta!$A$3:$A$24,0),1)*$B38*ef_li_ion_akku/1000/1000/INDEX(Työkonekanta!$K$3:$K$27,MATCH($A38,Työkonekanta!$A$3:$A$24,0)),0)</f>
        <v>0</v>
      </c>
      <c r="W38" s="149">
        <f t="shared" si="8"/>
        <v>0</v>
      </c>
      <c r="X38" s="150">
        <f t="shared" si="9"/>
        <v>0</v>
      </c>
      <c r="Y38" s="151">
        <f t="shared" si="10"/>
        <v>0</v>
      </c>
      <c r="Z38" s="152">
        <f t="shared" si="16"/>
        <v>0</v>
      </c>
      <c r="AA38" s="153">
        <f t="shared" si="17"/>
        <v>0</v>
      </c>
      <c r="AB38" s="153">
        <f t="shared" si="18"/>
        <v>0</v>
      </c>
      <c r="AC38" s="154">
        <f t="shared" si="11"/>
        <v>0</v>
      </c>
      <c r="AD38" s="180">
        <f t="shared" si="19"/>
        <v>0</v>
      </c>
      <c r="AE38" s="160"/>
    </row>
    <row r="39" spans="1:31">
      <c r="A39" s="139">
        <v>7</v>
      </c>
      <c r="B39" s="139">
        <f>IFERROR(INDEX(Työkonekanta!$F$3:$F$27,MATCH('S2 Bio'!$A39,Työkonekanta!$A$3:$A$24,0),1),0)</f>
        <v>1</v>
      </c>
      <c r="C39" s="140">
        <v>2020</v>
      </c>
      <c r="D39" s="141" t="str">
        <f>IFERROR(INDEX(Työkonekanta!$D$3:$D$27,MATCH('S2 Bio'!$A39,Työkonekanta!$A$3:$A$24,0),1),"undefined")</f>
        <v>pom</v>
      </c>
      <c r="E39" s="145">
        <f>IFERROR(INDEX(Työkonekanta!$G$3:$G$27,MATCH($A39,Työkonekanta!$A$3:$A$24,0),1)*INDEX(Työkonekanta!$H$3:$H$27,MATCH($A39,Työkonekanta!$A$3:$A$24,0),1)*(1+_xlfn.SINGLE(s2_kerroin)*($C39-2019))*$B39,0)</f>
        <v>10100</v>
      </c>
      <c r="F39" s="145">
        <f t="shared" si="0"/>
        <v>362590</v>
      </c>
      <c r="G39" s="145">
        <f t="shared" si="12"/>
        <v>362590</v>
      </c>
      <c r="H39" s="145">
        <f t="shared" si="13"/>
        <v>0</v>
      </c>
      <c r="I39" s="145">
        <f t="shared" si="1"/>
        <v>10100</v>
      </c>
      <c r="J39" s="145">
        <f t="shared" si="2"/>
        <v>0</v>
      </c>
      <c r="K39" s="142" t="str">
        <f t="shared" si="14"/>
        <v>l</v>
      </c>
      <c r="L39" s="146">
        <f>IFERROR(INDEX(Työkonekanta!$I$3:$I$27,MATCH('S2 Bio'!$A39,Työkonekanta!$A$3:$A$24,0),1)*(I39+J39)*f_adblue,0)</f>
        <v>0</v>
      </c>
      <c r="M39" s="146">
        <f t="shared" si="3"/>
        <v>0</v>
      </c>
      <c r="N39" s="143" t="str">
        <f>IF(tuulisähkö_vuosi&lt;='S2 Bio'!C39,"tuulisähkö",ostosähkö_nyt)</f>
        <v>jäännössähkö</v>
      </c>
      <c r="O39" s="147">
        <f>INDEX(Muuttujat!$J$5:$J$21,MATCH($C39,Muuttujat!$H$5:$H$21,0),1)</f>
        <v>68.554749999999999</v>
      </c>
      <c r="P39" s="148">
        <f t="shared" si="15"/>
        <v>1</v>
      </c>
      <c r="Q39" s="148">
        <f t="shared" si="20"/>
        <v>0</v>
      </c>
      <c r="R39" s="148">
        <f t="shared" si="20"/>
        <v>0</v>
      </c>
      <c r="S39" s="149">
        <f t="shared" si="5"/>
        <v>6.8529509999999991</v>
      </c>
      <c r="T39" s="150">
        <f t="shared" si="6"/>
        <v>0</v>
      </c>
      <c r="U39" s="150">
        <f t="shared" si="7"/>
        <v>0</v>
      </c>
      <c r="V39" s="150">
        <f>IFERROR(INDEX(Työkonekanta!$J$3:$J$27,MATCH($A39,Työkonekanta!$A$3:$A$24,0),1)*$B39*ef_li_ion_akku/1000/1000/INDEX(Työkonekanta!$K$3:$K$27,MATCH($A39,Työkonekanta!$A$3:$A$24,0)),0)</f>
        <v>0</v>
      </c>
      <c r="W39" s="149">
        <f t="shared" si="8"/>
        <v>26.762134918859999</v>
      </c>
      <c r="X39" s="150">
        <f t="shared" si="9"/>
        <v>0.3209231166</v>
      </c>
      <c r="Y39" s="151">
        <f t="shared" si="10"/>
        <v>0</v>
      </c>
      <c r="Z39" s="152">
        <f t="shared" si="16"/>
        <v>6.8529509999999991</v>
      </c>
      <c r="AA39" s="153">
        <f t="shared" si="17"/>
        <v>26.762134918859999</v>
      </c>
      <c r="AB39" s="153">
        <f t="shared" si="18"/>
        <v>27.083058035459999</v>
      </c>
      <c r="AC39" s="154">
        <f t="shared" si="11"/>
        <v>33.615085918859997</v>
      </c>
      <c r="AD39" s="180">
        <f t="shared" si="19"/>
        <v>33.936009035459996</v>
      </c>
      <c r="AE39" s="160"/>
    </row>
    <row r="40" spans="1:31">
      <c r="A40" s="139">
        <v>8</v>
      </c>
      <c r="B40" s="139">
        <f>IFERROR(INDEX(Työkonekanta!$F$3:$F$27,MATCH('S2 Bio'!$A40,Työkonekanta!$A$3:$A$24,0),1),0)</f>
        <v>1</v>
      </c>
      <c r="C40" s="140">
        <v>2020</v>
      </c>
      <c r="D40" s="141" t="str">
        <f>IFERROR(INDEX(Työkonekanta!$D$3:$D$27,MATCH('S2 Bio'!$A40,Työkonekanta!$A$3:$A$24,0),1),"undefined")</f>
        <v>pom</v>
      </c>
      <c r="E40" s="145">
        <f>IFERROR(INDEX(Työkonekanta!$G$3:$G$27,MATCH($A40,Työkonekanta!$A$3:$A$24,0),1)*INDEX(Työkonekanta!$H$3:$H$27,MATCH($A40,Työkonekanta!$A$3:$A$24,0),1)*(1+_xlfn.SINGLE(s2_kerroin)*($C40-2019))*$B40,0)</f>
        <v>10100</v>
      </c>
      <c r="F40" s="145">
        <f t="shared" si="0"/>
        <v>362590</v>
      </c>
      <c r="G40" s="145">
        <f t="shared" si="12"/>
        <v>362590</v>
      </c>
      <c r="H40" s="145">
        <f t="shared" si="13"/>
        <v>0</v>
      </c>
      <c r="I40" s="145">
        <f t="shared" si="1"/>
        <v>10100</v>
      </c>
      <c r="J40" s="145">
        <f t="shared" si="2"/>
        <v>0</v>
      </c>
      <c r="K40" s="142" t="str">
        <f t="shared" si="14"/>
        <v>l</v>
      </c>
      <c r="L40" s="146">
        <f>IFERROR(INDEX(Työkonekanta!$I$3:$I$27,MATCH('S2 Bio'!$A40,Työkonekanta!$A$3:$A$24,0),1)*(I40+J40)*f_adblue,0)</f>
        <v>505</v>
      </c>
      <c r="M40" s="146">
        <f t="shared" si="3"/>
        <v>0</v>
      </c>
      <c r="N40" s="143" t="str">
        <f>IF(tuulisähkö_vuosi&lt;='S2 Bio'!C40,"tuulisähkö",ostosähkö_nyt)</f>
        <v>jäännössähkö</v>
      </c>
      <c r="O40" s="147">
        <f>INDEX(Muuttujat!$J$5:$J$21,MATCH($C40,Muuttujat!$H$5:$H$21,0),1)</f>
        <v>68.554749999999999</v>
      </c>
      <c r="P40" s="148">
        <f t="shared" si="15"/>
        <v>1</v>
      </c>
      <c r="Q40" s="148">
        <f t="shared" si="20"/>
        <v>0</v>
      </c>
      <c r="R40" s="148">
        <f t="shared" si="20"/>
        <v>0</v>
      </c>
      <c r="S40" s="149">
        <f t="shared" si="5"/>
        <v>6.8529509999999991</v>
      </c>
      <c r="T40" s="150">
        <f t="shared" si="6"/>
        <v>0</v>
      </c>
      <c r="U40" s="150">
        <f t="shared" si="7"/>
        <v>0</v>
      </c>
      <c r="V40" s="150">
        <f>IFERROR(INDEX(Työkonekanta!$J$3:$J$27,MATCH($A40,Työkonekanta!$A$3:$A$24,0),1)*$B40*ef_li_ion_akku/1000/1000/INDEX(Työkonekanta!$K$3:$K$27,MATCH($A40,Työkonekanta!$A$3:$A$24,0)),0)</f>
        <v>0</v>
      </c>
      <c r="W40" s="149">
        <f t="shared" si="8"/>
        <v>26.762134918859999</v>
      </c>
      <c r="X40" s="150">
        <f t="shared" si="9"/>
        <v>0.3209231166</v>
      </c>
      <c r="Y40" s="151">
        <f t="shared" si="10"/>
        <v>0.1313</v>
      </c>
      <c r="Z40" s="152">
        <f t="shared" si="16"/>
        <v>6.8529509999999991</v>
      </c>
      <c r="AA40" s="153">
        <f t="shared" si="17"/>
        <v>26.893434918859999</v>
      </c>
      <c r="AB40" s="153">
        <f t="shared" si="18"/>
        <v>27.214358035459998</v>
      </c>
      <c r="AC40" s="154">
        <f t="shared" si="11"/>
        <v>33.74638591886</v>
      </c>
      <c r="AD40" s="180">
        <f t="shared" si="19"/>
        <v>34.067309035459999</v>
      </c>
      <c r="AE40" s="160"/>
    </row>
    <row r="41" spans="1:31">
      <c r="A41" s="139">
        <v>9</v>
      </c>
      <c r="B41" s="139">
        <f>IFERROR(INDEX(Työkonekanta!$F$3:$F$27,MATCH('S2 Bio'!$A41,Työkonekanta!$A$3:$A$24,0),1),0)</f>
        <v>0</v>
      </c>
      <c r="C41" s="140">
        <v>2020</v>
      </c>
      <c r="D41" s="141" t="str">
        <f>IFERROR(INDEX(Työkonekanta!$D$3:$D$27,MATCH('S2 Bio'!$A41,Työkonekanta!$A$3:$A$24,0),1),"undefined")</f>
        <v>sähkö</v>
      </c>
      <c r="E41" s="145">
        <f>IFERROR(INDEX(Työkonekanta!$G$3:$G$27,MATCH($A41,Työkonekanta!$A$3:$A$24,0),1)*INDEX(Työkonekanta!$H$3:$H$27,MATCH($A41,Työkonekanta!$A$3:$A$24,0),1)*(1+_xlfn.SINGLE(s2_kerroin)*($C41-2019))*$B41,0)</f>
        <v>0</v>
      </c>
      <c r="F41" s="145">
        <f t="shared" si="0"/>
        <v>0</v>
      </c>
      <c r="G41" s="145">
        <f t="shared" si="12"/>
        <v>0</v>
      </c>
      <c r="H41" s="145">
        <f t="shared" si="13"/>
        <v>0</v>
      </c>
      <c r="I41" s="145">
        <f t="shared" si="1"/>
        <v>0</v>
      </c>
      <c r="J41" s="145">
        <f t="shared" si="2"/>
        <v>0</v>
      </c>
      <c r="K41" s="142" t="str">
        <f t="shared" si="14"/>
        <v>kWh</v>
      </c>
      <c r="L41" s="146">
        <f>IFERROR(INDEX(Työkonekanta!$I$3:$I$27,MATCH('S2 Bio'!$A41,Työkonekanta!$A$3:$A$24,0),1)*(I41+J41)*f_adblue,0)</f>
        <v>0</v>
      </c>
      <c r="M41" s="146">
        <f t="shared" si="3"/>
        <v>0</v>
      </c>
      <c r="N41" s="143" t="str">
        <f>IF(tuulisähkö_vuosi&lt;='S2 Bio'!C41,"tuulisähkö",ostosähkö_nyt)</f>
        <v>jäännössähkö</v>
      </c>
      <c r="O41" s="147">
        <f>INDEX(Muuttujat!$J$5:$J$21,MATCH($C41,Muuttujat!$H$5:$H$21,0),1)</f>
        <v>68.554749999999999</v>
      </c>
      <c r="P41" s="148">
        <f t="shared" si="15"/>
        <v>1</v>
      </c>
      <c r="Q41" s="148">
        <f t="shared" si="20"/>
        <v>0</v>
      </c>
      <c r="R41" s="148">
        <f t="shared" si="20"/>
        <v>0</v>
      </c>
      <c r="S41" s="149">
        <f t="shared" si="5"/>
        <v>0</v>
      </c>
      <c r="T41" s="150">
        <f t="shared" si="6"/>
        <v>0</v>
      </c>
      <c r="U41" s="150">
        <f t="shared" si="7"/>
        <v>0</v>
      </c>
      <c r="V41" s="150">
        <f>IFERROR(INDEX(Työkonekanta!$J$3:$J$27,MATCH($A41,Työkonekanta!$A$3:$A$24,0),1)*$B41*ef_li_ion_akku/1000/1000/INDEX(Työkonekanta!$K$3:$K$27,MATCH($A41,Työkonekanta!$A$3:$A$24,0)),0)</f>
        <v>0</v>
      </c>
      <c r="W41" s="149">
        <f t="shared" si="8"/>
        <v>0</v>
      </c>
      <c r="X41" s="150">
        <f t="shared" si="9"/>
        <v>0</v>
      </c>
      <c r="Y41" s="151">
        <f t="shared" si="10"/>
        <v>0</v>
      </c>
      <c r="Z41" s="152">
        <f t="shared" si="16"/>
        <v>0</v>
      </c>
      <c r="AA41" s="153">
        <f t="shared" si="17"/>
        <v>0</v>
      </c>
      <c r="AB41" s="153">
        <f t="shared" si="18"/>
        <v>0</v>
      </c>
      <c r="AC41" s="154">
        <f t="shared" si="11"/>
        <v>0</v>
      </c>
      <c r="AD41" s="180">
        <f t="shared" si="19"/>
        <v>0</v>
      </c>
      <c r="AE41" s="160"/>
    </row>
    <row r="42" spans="1:31">
      <c r="A42" s="139">
        <v>10</v>
      </c>
      <c r="B42" s="139">
        <f>IFERROR(INDEX(Työkonekanta!$F$3:$F$27,MATCH('S2 Bio'!$A42,Työkonekanta!$A$3:$A$24,0),1),0)</f>
        <v>0</v>
      </c>
      <c r="C42" s="140">
        <v>2020</v>
      </c>
      <c r="D42" s="141" t="str">
        <f>IFERROR(INDEX(Työkonekanta!$D$3:$D$27,MATCH('S2 Bio'!$A42,Työkonekanta!$A$3:$A$24,0),1),"undefined")</f>
        <v>sähkö</v>
      </c>
      <c r="E42" s="145">
        <f>IFERROR(INDEX(Työkonekanta!$G$3:$G$27,MATCH($A42,Työkonekanta!$A$3:$A$24,0),1)*INDEX(Työkonekanta!$H$3:$H$27,MATCH($A42,Työkonekanta!$A$3:$A$24,0),1)*(1+_xlfn.SINGLE(s2_kerroin)*($C42-2019))*$B42,0)</f>
        <v>0</v>
      </c>
      <c r="F42" s="145">
        <f t="shared" si="0"/>
        <v>0</v>
      </c>
      <c r="G42" s="145">
        <f t="shared" si="12"/>
        <v>0</v>
      </c>
      <c r="H42" s="145">
        <f t="shared" si="13"/>
        <v>0</v>
      </c>
      <c r="I42" s="145">
        <f t="shared" si="1"/>
        <v>0</v>
      </c>
      <c r="J42" s="145">
        <f t="shared" si="2"/>
        <v>0</v>
      </c>
      <c r="K42" s="142" t="str">
        <f t="shared" si="14"/>
        <v>kWh</v>
      </c>
      <c r="L42" s="146">
        <f>IFERROR(INDEX(Työkonekanta!$I$3:$I$27,MATCH('S2 Bio'!$A42,Työkonekanta!$A$3:$A$24,0),1)*(I42+J42)*f_adblue,0)</f>
        <v>0</v>
      </c>
      <c r="M42" s="146">
        <f t="shared" si="3"/>
        <v>0</v>
      </c>
      <c r="N42" s="143" t="str">
        <f>IF(tuulisähkö_vuosi&lt;='S2 Bio'!C42,"tuulisähkö",ostosähkö_nyt)</f>
        <v>jäännössähkö</v>
      </c>
      <c r="O42" s="147">
        <f>INDEX(Muuttujat!$J$5:$J$21,MATCH($C42,Muuttujat!$H$5:$H$21,0),1)</f>
        <v>68.554749999999999</v>
      </c>
      <c r="P42" s="148">
        <f t="shared" si="15"/>
        <v>1</v>
      </c>
      <c r="Q42" s="148">
        <f t="shared" si="20"/>
        <v>0</v>
      </c>
      <c r="R42" s="148">
        <f t="shared" si="20"/>
        <v>0</v>
      </c>
      <c r="S42" s="149">
        <f t="shared" si="5"/>
        <v>0</v>
      </c>
      <c r="T42" s="150">
        <f t="shared" si="6"/>
        <v>0</v>
      </c>
      <c r="U42" s="150">
        <f t="shared" si="7"/>
        <v>0</v>
      </c>
      <c r="V42" s="150">
        <f>IFERROR(INDEX(Työkonekanta!$J$3:$J$27,MATCH($A42,Työkonekanta!$A$3:$A$24,0),1)*$B42*ef_li_ion_akku/1000/1000/INDEX(Työkonekanta!$K$3:$K$27,MATCH($A42,Työkonekanta!$A$3:$A$24,0)),0)</f>
        <v>0</v>
      </c>
      <c r="W42" s="149">
        <f t="shared" si="8"/>
        <v>0</v>
      </c>
      <c r="X42" s="150">
        <f t="shared" si="9"/>
        <v>0</v>
      </c>
      <c r="Y42" s="151">
        <f t="shared" si="10"/>
        <v>0</v>
      </c>
      <c r="Z42" s="152">
        <f t="shared" si="16"/>
        <v>0</v>
      </c>
      <c r="AA42" s="153">
        <f t="shared" si="17"/>
        <v>0</v>
      </c>
      <c r="AB42" s="153">
        <f t="shared" si="18"/>
        <v>0</v>
      </c>
      <c r="AC42" s="154">
        <f t="shared" si="11"/>
        <v>0</v>
      </c>
      <c r="AD42" s="180">
        <f t="shared" si="19"/>
        <v>0</v>
      </c>
      <c r="AE42" s="160"/>
    </row>
    <row r="43" spans="1:31">
      <c r="A43" s="139">
        <v>11</v>
      </c>
      <c r="B43" s="139">
        <f>IFERROR(INDEX(Työkonekanta!$F$3:$F$27,MATCH('S2 Bio'!$A43,Työkonekanta!$A$3:$A$24,0),1),0)</f>
        <v>1</v>
      </c>
      <c r="C43" s="140">
        <v>2020</v>
      </c>
      <c r="D43" s="141" t="str">
        <f>IFERROR(INDEX(Työkonekanta!$D$3:$D$27,MATCH('S2 Bio'!$A43,Työkonekanta!$A$3:$A$24,0),1),"undefined")</f>
        <v>pom</v>
      </c>
      <c r="E43" s="145">
        <f>IFERROR(INDEX(Työkonekanta!$G$3:$G$27,MATCH($A43,Työkonekanta!$A$3:$A$24,0),1)*INDEX(Työkonekanta!$H$3:$H$27,MATCH($A43,Työkonekanta!$A$3:$A$24,0),1)*(1+_xlfn.SINGLE(s2_kerroin)*($C43-2019))*$B43,0)</f>
        <v>10100</v>
      </c>
      <c r="F43" s="145">
        <f t="shared" si="0"/>
        <v>362590</v>
      </c>
      <c r="G43" s="145">
        <f t="shared" si="12"/>
        <v>362590</v>
      </c>
      <c r="H43" s="145">
        <f t="shared" si="13"/>
        <v>0</v>
      </c>
      <c r="I43" s="145">
        <f t="shared" si="1"/>
        <v>10100</v>
      </c>
      <c r="J43" s="145">
        <f t="shared" si="2"/>
        <v>0</v>
      </c>
      <c r="K43" s="142" t="str">
        <f t="shared" si="14"/>
        <v>l</v>
      </c>
      <c r="L43" s="146">
        <f>IFERROR(INDEX(Työkonekanta!$I$3:$I$27,MATCH('S2 Bio'!$A43,Työkonekanta!$A$3:$A$24,0),1)*(I43+J43)*f_adblue,0)</f>
        <v>505</v>
      </c>
      <c r="M43" s="146">
        <f t="shared" si="3"/>
        <v>0</v>
      </c>
      <c r="N43" s="143" t="str">
        <f>IF(tuulisähkö_vuosi&lt;='S2 Bio'!C43,"tuulisähkö",ostosähkö_nyt)</f>
        <v>jäännössähkö</v>
      </c>
      <c r="O43" s="147">
        <f>INDEX(Muuttujat!$J$5:$J$21,MATCH($C43,Muuttujat!$H$5:$H$21,0),1)</f>
        <v>68.554749999999999</v>
      </c>
      <c r="P43" s="148">
        <f t="shared" si="15"/>
        <v>1</v>
      </c>
      <c r="Q43" s="148">
        <f t="shared" ref="Q43:R62" si="21">IF(biosiirtymä_luonne="äkillinen",INDEX($AG$4:$AG$20,MATCH($C43,$AF$4:$AF$20,0),1),INDEX($AH$4:$AH$20,MATCH($C43,$AF$4:$AF$20,0),1))</f>
        <v>0</v>
      </c>
      <c r="R43" s="148">
        <f t="shared" si="21"/>
        <v>0</v>
      </c>
      <c r="S43" s="149">
        <f t="shared" si="5"/>
        <v>6.8529509999999991</v>
      </c>
      <c r="T43" s="150">
        <f t="shared" si="6"/>
        <v>0</v>
      </c>
      <c r="U43" s="150">
        <f t="shared" si="7"/>
        <v>0</v>
      </c>
      <c r="V43" s="150">
        <f>IFERROR(INDEX(Työkonekanta!$J$3:$J$27,MATCH($A43,Työkonekanta!$A$3:$A$24,0),1)*$B43*ef_li_ion_akku/1000/1000/INDEX(Työkonekanta!$K$3:$K$27,MATCH($A43,Työkonekanta!$A$3:$A$24,0)),0)</f>
        <v>0</v>
      </c>
      <c r="W43" s="149">
        <f t="shared" si="8"/>
        <v>26.762134918859999</v>
      </c>
      <c r="X43" s="150">
        <f t="shared" si="9"/>
        <v>0.3209231166</v>
      </c>
      <c r="Y43" s="151">
        <f t="shared" si="10"/>
        <v>0.1313</v>
      </c>
      <c r="Z43" s="152">
        <f t="shared" si="16"/>
        <v>6.8529509999999991</v>
      </c>
      <c r="AA43" s="153">
        <f t="shared" si="17"/>
        <v>26.893434918859999</v>
      </c>
      <c r="AB43" s="153">
        <f t="shared" si="18"/>
        <v>27.214358035459998</v>
      </c>
      <c r="AC43" s="154">
        <f t="shared" si="11"/>
        <v>33.74638591886</v>
      </c>
      <c r="AD43" s="180">
        <f t="shared" si="19"/>
        <v>34.067309035459999</v>
      </c>
      <c r="AE43" s="160"/>
    </row>
    <row r="44" spans="1:31">
      <c r="A44" s="139">
        <v>12</v>
      </c>
      <c r="B44" s="139">
        <f>IFERROR(INDEX(Työkonekanta!$F$3:$F$27,MATCH('S2 Bio'!$A44,Työkonekanta!$A$3:$A$24,0),1),0)</f>
        <v>1</v>
      </c>
      <c r="C44" s="140">
        <v>2020</v>
      </c>
      <c r="D44" s="141" t="str">
        <f>IFERROR(INDEX(Työkonekanta!$D$3:$D$27,MATCH('S2 Bio'!$A44,Työkonekanta!$A$3:$A$24,0),1),"undefined")</f>
        <v>pom</v>
      </c>
      <c r="E44" s="145">
        <f>IFERROR(INDEX(Työkonekanta!$G$3:$G$27,MATCH($A44,Työkonekanta!$A$3:$A$24,0),1)*INDEX(Työkonekanta!$H$3:$H$27,MATCH($A44,Työkonekanta!$A$3:$A$24,0),1)*(1+_xlfn.SINGLE(s2_kerroin)*($C44-2019))*$B44,0)</f>
        <v>10100</v>
      </c>
      <c r="F44" s="145">
        <f t="shared" si="0"/>
        <v>362590</v>
      </c>
      <c r="G44" s="145">
        <f t="shared" si="12"/>
        <v>362590</v>
      </c>
      <c r="H44" s="145">
        <f t="shared" si="13"/>
        <v>0</v>
      </c>
      <c r="I44" s="145">
        <f t="shared" si="1"/>
        <v>10100</v>
      </c>
      <c r="J44" s="145">
        <f t="shared" si="2"/>
        <v>0</v>
      </c>
      <c r="K44" s="142" t="str">
        <f t="shared" si="14"/>
        <v>l</v>
      </c>
      <c r="L44" s="146">
        <f>IFERROR(INDEX(Työkonekanta!$I$3:$I$27,MATCH('S2 Bio'!$A44,Työkonekanta!$A$3:$A$24,0),1)*(I44+J44)*f_adblue,0)</f>
        <v>505</v>
      </c>
      <c r="M44" s="146">
        <f t="shared" si="3"/>
        <v>0</v>
      </c>
      <c r="N44" s="143" t="str">
        <f>IF(tuulisähkö_vuosi&lt;='S2 Bio'!C44,"tuulisähkö",ostosähkö_nyt)</f>
        <v>jäännössähkö</v>
      </c>
      <c r="O44" s="147">
        <f>INDEX(Muuttujat!$J$5:$J$21,MATCH($C44,Muuttujat!$H$5:$H$21,0),1)</f>
        <v>68.554749999999999</v>
      </c>
      <c r="P44" s="148">
        <f t="shared" si="15"/>
        <v>1</v>
      </c>
      <c r="Q44" s="148">
        <f t="shared" si="21"/>
        <v>0</v>
      </c>
      <c r="R44" s="148">
        <f t="shared" si="21"/>
        <v>0</v>
      </c>
      <c r="S44" s="149">
        <f t="shared" si="5"/>
        <v>6.8529509999999991</v>
      </c>
      <c r="T44" s="150">
        <f t="shared" si="6"/>
        <v>0</v>
      </c>
      <c r="U44" s="150">
        <f t="shared" si="7"/>
        <v>0</v>
      </c>
      <c r="V44" s="150">
        <f>IFERROR(INDEX(Työkonekanta!$J$3:$J$27,MATCH($A44,Työkonekanta!$A$3:$A$24,0),1)*$B44*ef_li_ion_akku/1000/1000/INDEX(Työkonekanta!$K$3:$K$27,MATCH($A44,Työkonekanta!$A$3:$A$24,0)),0)</f>
        <v>0</v>
      </c>
      <c r="W44" s="149">
        <f t="shared" si="8"/>
        <v>26.762134918859999</v>
      </c>
      <c r="X44" s="150">
        <f t="shared" si="9"/>
        <v>0.3209231166</v>
      </c>
      <c r="Y44" s="151">
        <f t="shared" si="10"/>
        <v>0.1313</v>
      </c>
      <c r="Z44" s="152">
        <f t="shared" si="16"/>
        <v>6.8529509999999991</v>
      </c>
      <c r="AA44" s="153">
        <f t="shared" si="17"/>
        <v>26.893434918859999</v>
      </c>
      <c r="AB44" s="153">
        <f t="shared" si="18"/>
        <v>27.214358035459998</v>
      </c>
      <c r="AC44" s="154">
        <f t="shared" si="11"/>
        <v>33.74638591886</v>
      </c>
      <c r="AD44" s="180">
        <f t="shared" si="19"/>
        <v>34.067309035459999</v>
      </c>
      <c r="AE44" s="160"/>
    </row>
    <row r="45" spans="1:31">
      <c r="A45" s="139">
        <v>13</v>
      </c>
      <c r="B45" s="139">
        <f>IFERROR(INDEX(Työkonekanta!$F$3:$F$27,MATCH('S2 Bio'!$A45,Työkonekanta!$A$3:$A$24,0),1),0)</f>
        <v>0</v>
      </c>
      <c r="C45" s="140">
        <v>2020</v>
      </c>
      <c r="D45" s="141" t="str">
        <f>IFERROR(INDEX(Työkonekanta!$D$3:$D$27,MATCH('S2 Bio'!$A45,Työkonekanta!$A$3:$A$24,0),1),"undefined")</f>
        <v>pom</v>
      </c>
      <c r="E45" s="145">
        <f>IFERROR(INDEX(Työkonekanta!$G$3:$G$27,MATCH($A45,Työkonekanta!$A$3:$A$24,0),1)*INDEX(Työkonekanta!$H$3:$H$27,MATCH($A45,Työkonekanta!$A$3:$A$24,0),1)*(1+_xlfn.SINGLE(s2_kerroin)*($C45-2019))*$B45,0)</f>
        <v>0</v>
      </c>
      <c r="F45" s="145">
        <f t="shared" si="0"/>
        <v>0</v>
      </c>
      <c r="G45" s="145">
        <f t="shared" si="12"/>
        <v>0</v>
      </c>
      <c r="H45" s="145">
        <f t="shared" si="13"/>
        <v>0</v>
      </c>
      <c r="I45" s="145">
        <f t="shared" si="1"/>
        <v>0</v>
      </c>
      <c r="J45" s="145">
        <f t="shared" si="2"/>
        <v>0</v>
      </c>
      <c r="K45" s="142" t="str">
        <f t="shared" si="14"/>
        <v>l</v>
      </c>
      <c r="L45" s="146">
        <f>IFERROR(INDEX(Työkonekanta!$I$3:$I$27,MATCH('S2 Bio'!$A45,Työkonekanta!$A$3:$A$24,0),1)*(I45+J45)*f_adblue,0)</f>
        <v>0</v>
      </c>
      <c r="M45" s="146">
        <f t="shared" si="3"/>
        <v>0</v>
      </c>
      <c r="N45" s="143" t="str">
        <f>IF(tuulisähkö_vuosi&lt;='S2 Bio'!C45,"tuulisähkö",ostosähkö_nyt)</f>
        <v>jäännössähkö</v>
      </c>
      <c r="O45" s="147">
        <f>INDEX(Muuttujat!$J$5:$J$21,MATCH($C45,Muuttujat!$H$5:$H$21,0),1)</f>
        <v>68.554749999999999</v>
      </c>
      <c r="P45" s="148">
        <f t="shared" si="15"/>
        <v>1</v>
      </c>
      <c r="Q45" s="148">
        <f t="shared" si="21"/>
        <v>0</v>
      </c>
      <c r="R45" s="148">
        <f t="shared" si="21"/>
        <v>0</v>
      </c>
      <c r="S45" s="149">
        <f t="shared" si="5"/>
        <v>0</v>
      </c>
      <c r="T45" s="150">
        <f t="shared" si="6"/>
        <v>0</v>
      </c>
      <c r="U45" s="150">
        <f t="shared" si="7"/>
        <v>0</v>
      </c>
      <c r="V45" s="150">
        <f>IFERROR(INDEX(Työkonekanta!$J$3:$J$27,MATCH($A45,Työkonekanta!$A$3:$A$24,0),1)*$B45*ef_li_ion_akku/1000/1000/INDEX(Työkonekanta!$K$3:$K$27,MATCH($A45,Työkonekanta!$A$3:$A$24,0)),0)</f>
        <v>0</v>
      </c>
      <c r="W45" s="149">
        <f t="shared" si="8"/>
        <v>0</v>
      </c>
      <c r="X45" s="150">
        <f t="shared" si="9"/>
        <v>0</v>
      </c>
      <c r="Y45" s="151">
        <f t="shared" si="10"/>
        <v>0</v>
      </c>
      <c r="Z45" s="152">
        <f t="shared" si="16"/>
        <v>0</v>
      </c>
      <c r="AA45" s="153">
        <f t="shared" si="17"/>
        <v>0</v>
      </c>
      <c r="AB45" s="153">
        <f t="shared" si="18"/>
        <v>0</v>
      </c>
      <c r="AC45" s="154">
        <f t="shared" si="11"/>
        <v>0</v>
      </c>
      <c r="AD45" s="180">
        <f t="shared" si="19"/>
        <v>0</v>
      </c>
      <c r="AE45" s="160"/>
    </row>
    <row r="46" spans="1:31">
      <c r="A46" s="139">
        <v>14</v>
      </c>
      <c r="B46" s="139">
        <f>IFERROR(INDEX(Työkonekanta!$F$3:$F$27,MATCH('S2 Bio'!$A46,Työkonekanta!$A$3:$A$24,0),1),0)</f>
        <v>0</v>
      </c>
      <c r="C46" s="140">
        <v>2020</v>
      </c>
      <c r="D46" s="141" t="str">
        <f>IFERROR(INDEX(Työkonekanta!$D$3:$D$27,MATCH('S2 Bio'!$A46,Työkonekanta!$A$3:$A$24,0),1),"undefined")</f>
        <v>pom</v>
      </c>
      <c r="E46" s="145">
        <f>IFERROR(INDEX(Työkonekanta!$G$3:$G$27,MATCH($A46,Työkonekanta!$A$3:$A$24,0),1)*INDEX(Työkonekanta!$H$3:$H$27,MATCH($A46,Työkonekanta!$A$3:$A$24,0),1)*(1+_xlfn.SINGLE(s2_kerroin)*($C46-2019))*$B46,0)</f>
        <v>0</v>
      </c>
      <c r="F46" s="145">
        <f t="shared" si="0"/>
        <v>0</v>
      </c>
      <c r="G46" s="145">
        <f t="shared" si="12"/>
        <v>0</v>
      </c>
      <c r="H46" s="145">
        <f t="shared" si="13"/>
        <v>0</v>
      </c>
      <c r="I46" s="145">
        <f t="shared" si="1"/>
        <v>0</v>
      </c>
      <c r="J46" s="145">
        <f t="shared" si="2"/>
        <v>0</v>
      </c>
      <c r="K46" s="142" t="str">
        <f t="shared" si="14"/>
        <v>l</v>
      </c>
      <c r="L46" s="146">
        <f>IFERROR(INDEX(Työkonekanta!$I$3:$I$27,MATCH('S2 Bio'!$A46,Työkonekanta!$A$3:$A$24,0),1)*(I46+J46)*f_adblue,0)</f>
        <v>0</v>
      </c>
      <c r="M46" s="146">
        <f t="shared" si="3"/>
        <v>0</v>
      </c>
      <c r="N46" s="143" t="str">
        <f>IF(tuulisähkö_vuosi&lt;='S2 Bio'!C46,"tuulisähkö",ostosähkö_nyt)</f>
        <v>jäännössähkö</v>
      </c>
      <c r="O46" s="147">
        <f>INDEX(Muuttujat!$J$5:$J$21,MATCH($C46,Muuttujat!$H$5:$H$21,0),1)</f>
        <v>68.554749999999999</v>
      </c>
      <c r="P46" s="148">
        <f t="shared" si="15"/>
        <v>1</v>
      </c>
      <c r="Q46" s="148">
        <f t="shared" si="21"/>
        <v>0</v>
      </c>
      <c r="R46" s="148">
        <f t="shared" si="21"/>
        <v>0</v>
      </c>
      <c r="S46" s="149">
        <f t="shared" si="5"/>
        <v>0</v>
      </c>
      <c r="T46" s="150">
        <f t="shared" si="6"/>
        <v>0</v>
      </c>
      <c r="U46" s="150">
        <f t="shared" si="7"/>
        <v>0</v>
      </c>
      <c r="V46" s="150">
        <f>IFERROR(INDEX(Työkonekanta!$J$3:$J$27,MATCH($A46,Työkonekanta!$A$3:$A$24,0),1)*$B46*ef_li_ion_akku/1000/1000/INDEX(Työkonekanta!$K$3:$K$27,MATCH($A46,Työkonekanta!$A$3:$A$24,0)),0)</f>
        <v>0</v>
      </c>
      <c r="W46" s="149">
        <f t="shared" si="8"/>
        <v>0</v>
      </c>
      <c r="X46" s="150">
        <f t="shared" si="9"/>
        <v>0</v>
      </c>
      <c r="Y46" s="151">
        <f t="shared" si="10"/>
        <v>0</v>
      </c>
      <c r="Z46" s="152">
        <f t="shared" si="16"/>
        <v>0</v>
      </c>
      <c r="AA46" s="153">
        <f t="shared" si="17"/>
        <v>0</v>
      </c>
      <c r="AB46" s="153">
        <f t="shared" si="18"/>
        <v>0</v>
      </c>
      <c r="AC46" s="154">
        <f t="shared" si="11"/>
        <v>0</v>
      </c>
      <c r="AD46" s="180">
        <f t="shared" si="19"/>
        <v>0</v>
      </c>
      <c r="AE46" s="160"/>
    </row>
    <row r="47" spans="1:31">
      <c r="A47" s="139">
        <v>15</v>
      </c>
      <c r="B47" s="139">
        <f>IFERROR(INDEX(Työkonekanta!$F$3:$F$27,MATCH('S2 Bio'!$A47,Työkonekanta!$A$3:$A$24,0),1),0)</f>
        <v>0</v>
      </c>
      <c r="C47" s="140">
        <v>2020</v>
      </c>
      <c r="D47" s="141" t="str">
        <f>IFERROR(INDEX(Työkonekanta!$D$3:$D$27,MATCH('S2 Bio'!$A47,Työkonekanta!$A$3:$A$24,0),1),"undefined")</f>
        <v>sähkö</v>
      </c>
      <c r="E47" s="145">
        <f>IFERROR(INDEX(Työkonekanta!$G$3:$G$27,MATCH($A47,Työkonekanta!$A$3:$A$24,0),1)*INDEX(Työkonekanta!$H$3:$H$27,MATCH($A47,Työkonekanta!$A$3:$A$24,0),1)*(1+_xlfn.SINGLE(s2_kerroin)*($C47-2019))*$B47,0)</f>
        <v>0</v>
      </c>
      <c r="F47" s="145">
        <f t="shared" si="0"/>
        <v>0</v>
      </c>
      <c r="G47" s="145">
        <f t="shared" si="12"/>
        <v>0</v>
      </c>
      <c r="H47" s="145">
        <f t="shared" si="13"/>
        <v>0</v>
      </c>
      <c r="I47" s="145">
        <f t="shared" si="1"/>
        <v>0</v>
      </c>
      <c r="J47" s="145">
        <f t="shared" si="2"/>
        <v>0</v>
      </c>
      <c r="K47" s="142" t="str">
        <f t="shared" si="14"/>
        <v>kWh</v>
      </c>
      <c r="L47" s="146">
        <f>IFERROR(INDEX(Työkonekanta!$I$3:$I$27,MATCH('S2 Bio'!$A47,Työkonekanta!$A$3:$A$24,0),1)*(I47+J47)*f_adblue,0)</f>
        <v>0</v>
      </c>
      <c r="M47" s="146">
        <f t="shared" si="3"/>
        <v>0</v>
      </c>
      <c r="N47" s="143" t="str">
        <f>IF(tuulisähkö_vuosi&lt;='S2 Bio'!C47,"tuulisähkö",ostosähkö_nyt)</f>
        <v>jäännössähkö</v>
      </c>
      <c r="O47" s="147">
        <f>INDEX(Muuttujat!$J$5:$J$21,MATCH($C47,Muuttujat!$H$5:$H$21,0),1)</f>
        <v>68.554749999999999</v>
      </c>
      <c r="P47" s="148">
        <f t="shared" si="15"/>
        <v>1</v>
      </c>
      <c r="Q47" s="148">
        <f t="shared" si="21"/>
        <v>0</v>
      </c>
      <c r="R47" s="148">
        <f t="shared" si="21"/>
        <v>0</v>
      </c>
      <c r="S47" s="149">
        <f t="shared" si="5"/>
        <v>0</v>
      </c>
      <c r="T47" s="150">
        <f t="shared" si="6"/>
        <v>0</v>
      </c>
      <c r="U47" s="150">
        <f t="shared" si="7"/>
        <v>0</v>
      </c>
      <c r="V47" s="150">
        <f>IFERROR(INDEX(Työkonekanta!$J$3:$J$27,MATCH($A47,Työkonekanta!$A$3:$A$24,0),1)*$B47*ef_li_ion_akku/1000/1000/INDEX(Työkonekanta!$K$3:$K$27,MATCH($A47,Työkonekanta!$A$3:$A$24,0)),0)</f>
        <v>0</v>
      </c>
      <c r="W47" s="149">
        <f t="shared" si="8"/>
        <v>0</v>
      </c>
      <c r="X47" s="150">
        <f t="shared" si="9"/>
        <v>0</v>
      </c>
      <c r="Y47" s="151">
        <f t="shared" si="10"/>
        <v>0</v>
      </c>
      <c r="Z47" s="152">
        <f t="shared" si="16"/>
        <v>0</v>
      </c>
      <c r="AA47" s="153">
        <f t="shared" si="17"/>
        <v>0</v>
      </c>
      <c r="AB47" s="153">
        <f t="shared" si="18"/>
        <v>0</v>
      </c>
      <c r="AC47" s="154">
        <f t="shared" si="11"/>
        <v>0</v>
      </c>
      <c r="AD47" s="180">
        <f t="shared" si="19"/>
        <v>0</v>
      </c>
      <c r="AE47" s="160"/>
    </row>
    <row r="48" spans="1:31">
      <c r="A48" s="139">
        <v>16</v>
      </c>
      <c r="B48" s="139">
        <f>IFERROR(INDEX(Työkonekanta!$F$3:$F$27,MATCH('S2 Bio'!$A48,Työkonekanta!$A$3:$A$24,0),1),0)</f>
        <v>0</v>
      </c>
      <c r="C48" s="140">
        <v>2020</v>
      </c>
      <c r="D48" s="141" t="str">
        <f>IFERROR(INDEX(Työkonekanta!$D$3:$D$27,MATCH('S2 Bio'!$A48,Työkonekanta!$A$3:$A$24,0),1),"undefined")</f>
        <v>sähkö</v>
      </c>
      <c r="E48" s="145">
        <f>IFERROR(INDEX(Työkonekanta!$G$3:$G$27,MATCH($A48,Työkonekanta!$A$3:$A$24,0),1)*INDEX(Työkonekanta!$H$3:$H$27,MATCH($A48,Työkonekanta!$A$3:$A$24,0),1)*(1+_xlfn.SINGLE(s2_kerroin)*($C48-2019))*$B48,0)</f>
        <v>0</v>
      </c>
      <c r="F48" s="145">
        <f t="shared" si="0"/>
        <v>0</v>
      </c>
      <c r="G48" s="145">
        <f t="shared" si="12"/>
        <v>0</v>
      </c>
      <c r="H48" s="145">
        <f t="shared" si="13"/>
        <v>0</v>
      </c>
      <c r="I48" s="145">
        <f t="shared" si="1"/>
        <v>0</v>
      </c>
      <c r="J48" s="145">
        <f t="shared" si="2"/>
        <v>0</v>
      </c>
      <c r="K48" s="142" t="str">
        <f t="shared" si="14"/>
        <v>kWh</v>
      </c>
      <c r="L48" s="146">
        <f>IFERROR(INDEX(Työkonekanta!$I$3:$I$27,MATCH('S2 Bio'!$A48,Työkonekanta!$A$3:$A$24,0),1)*(I48+J48)*f_adblue,0)</f>
        <v>0</v>
      </c>
      <c r="M48" s="146">
        <f t="shared" si="3"/>
        <v>0</v>
      </c>
      <c r="N48" s="143" t="str">
        <f>IF(tuulisähkö_vuosi&lt;='S2 Bio'!C48,"tuulisähkö",ostosähkö_nyt)</f>
        <v>jäännössähkö</v>
      </c>
      <c r="O48" s="147">
        <f>INDEX(Muuttujat!$J$5:$J$21,MATCH($C48,Muuttujat!$H$5:$H$21,0),1)</f>
        <v>68.554749999999999</v>
      </c>
      <c r="P48" s="148">
        <f t="shared" si="15"/>
        <v>1</v>
      </c>
      <c r="Q48" s="148">
        <f t="shared" si="21"/>
        <v>0</v>
      </c>
      <c r="R48" s="148">
        <f t="shared" si="21"/>
        <v>0</v>
      </c>
      <c r="S48" s="149">
        <f t="shared" si="5"/>
        <v>0</v>
      </c>
      <c r="T48" s="150">
        <f t="shared" si="6"/>
        <v>0</v>
      </c>
      <c r="U48" s="150">
        <f t="shared" si="7"/>
        <v>0</v>
      </c>
      <c r="V48" s="150">
        <f>IFERROR(INDEX(Työkonekanta!$J$3:$J$27,MATCH($A48,Työkonekanta!$A$3:$A$24,0),1)*$B48*ef_li_ion_akku/1000/1000/INDEX(Työkonekanta!$K$3:$K$27,MATCH($A48,Työkonekanta!$A$3:$A$24,0)),0)</f>
        <v>0</v>
      </c>
      <c r="W48" s="149">
        <f t="shared" si="8"/>
        <v>0</v>
      </c>
      <c r="X48" s="150">
        <f t="shared" si="9"/>
        <v>0</v>
      </c>
      <c r="Y48" s="151">
        <f t="shared" si="10"/>
        <v>0</v>
      </c>
      <c r="Z48" s="152">
        <f t="shared" si="16"/>
        <v>0</v>
      </c>
      <c r="AA48" s="153">
        <f t="shared" si="17"/>
        <v>0</v>
      </c>
      <c r="AB48" s="153">
        <f t="shared" si="18"/>
        <v>0</v>
      </c>
      <c r="AC48" s="154">
        <f t="shared" si="11"/>
        <v>0</v>
      </c>
      <c r="AD48" s="180">
        <f t="shared" si="19"/>
        <v>0</v>
      </c>
      <c r="AE48" s="160"/>
    </row>
    <row r="49" spans="1:31">
      <c r="A49" s="139">
        <v>17</v>
      </c>
      <c r="B49" s="139">
        <f>IFERROR(INDEX(Työkonekanta!$F$3:$F$27,MATCH('S2 Bio'!$A49,Työkonekanta!$A$3:$A$24,0),1),0)</f>
        <v>1</v>
      </c>
      <c r="C49" s="140">
        <v>2020</v>
      </c>
      <c r="D49" s="141" t="str">
        <f>IFERROR(INDEX(Työkonekanta!$D$3:$D$27,MATCH('S2 Bio'!$A49,Työkonekanta!$A$3:$A$24,0),1),"undefined")</f>
        <v>pom</v>
      </c>
      <c r="E49" s="145">
        <f>IFERROR(INDEX(Työkonekanta!$G$3:$G$27,MATCH($A49,Työkonekanta!$A$3:$A$24,0),1)*INDEX(Työkonekanta!$H$3:$H$27,MATCH($A49,Työkonekanta!$A$3:$A$24,0),1)*(1+_xlfn.SINGLE(s2_kerroin)*($C49-2019))*$B49,0)</f>
        <v>10100</v>
      </c>
      <c r="F49" s="145">
        <f t="shared" si="0"/>
        <v>362590</v>
      </c>
      <c r="G49" s="145">
        <f t="shared" si="12"/>
        <v>362590</v>
      </c>
      <c r="H49" s="145">
        <f t="shared" si="13"/>
        <v>0</v>
      </c>
      <c r="I49" s="145">
        <f t="shared" si="1"/>
        <v>10100</v>
      </c>
      <c r="J49" s="145">
        <f t="shared" si="2"/>
        <v>0</v>
      </c>
      <c r="K49" s="142" t="str">
        <f t="shared" si="14"/>
        <v>l</v>
      </c>
      <c r="L49" s="146">
        <f>IFERROR(INDEX(Työkonekanta!$I$3:$I$27,MATCH('S2 Bio'!$A49,Työkonekanta!$A$3:$A$24,0),1)*(I49+J49)*f_adblue,0)</f>
        <v>505</v>
      </c>
      <c r="M49" s="146">
        <f t="shared" si="3"/>
        <v>0</v>
      </c>
      <c r="N49" s="143" t="str">
        <f>IF(tuulisähkö_vuosi&lt;='S2 Bio'!C49,"tuulisähkö",ostosähkö_nyt)</f>
        <v>jäännössähkö</v>
      </c>
      <c r="O49" s="147">
        <f>INDEX(Muuttujat!$J$5:$J$21,MATCH($C49,Muuttujat!$H$5:$H$21,0),1)</f>
        <v>68.554749999999999</v>
      </c>
      <c r="P49" s="148">
        <f t="shared" si="15"/>
        <v>1</v>
      </c>
      <c r="Q49" s="148">
        <f t="shared" si="21"/>
        <v>0</v>
      </c>
      <c r="R49" s="148">
        <f t="shared" si="21"/>
        <v>0</v>
      </c>
      <c r="S49" s="149">
        <f t="shared" si="5"/>
        <v>6.8529509999999991</v>
      </c>
      <c r="T49" s="150">
        <f t="shared" si="6"/>
        <v>0</v>
      </c>
      <c r="U49" s="150">
        <f t="shared" si="7"/>
        <v>0</v>
      </c>
      <c r="V49" s="150">
        <f>IFERROR(INDEX(Työkonekanta!$J$3:$J$27,MATCH($A49,Työkonekanta!$A$3:$A$24,0),1)*$B49*ef_li_ion_akku/1000/1000/INDEX(Työkonekanta!$K$3:$K$27,MATCH($A49,Työkonekanta!$A$3:$A$24,0)),0)</f>
        <v>0</v>
      </c>
      <c r="W49" s="149">
        <f t="shared" si="8"/>
        <v>26.762134918859999</v>
      </c>
      <c r="X49" s="150">
        <f t="shared" si="9"/>
        <v>0.3209231166</v>
      </c>
      <c r="Y49" s="151">
        <f t="shared" si="10"/>
        <v>0.1313</v>
      </c>
      <c r="Z49" s="152">
        <f t="shared" si="16"/>
        <v>6.8529509999999991</v>
      </c>
      <c r="AA49" s="153">
        <f t="shared" si="17"/>
        <v>26.893434918859999</v>
      </c>
      <c r="AB49" s="153">
        <f t="shared" si="18"/>
        <v>27.214358035459998</v>
      </c>
      <c r="AC49" s="154">
        <f t="shared" si="11"/>
        <v>33.74638591886</v>
      </c>
      <c r="AD49" s="180">
        <f t="shared" si="19"/>
        <v>34.067309035459999</v>
      </c>
      <c r="AE49" s="160"/>
    </row>
    <row r="50" spans="1:31">
      <c r="A50" s="139">
        <v>18</v>
      </c>
      <c r="B50" s="139">
        <f>IFERROR(INDEX(Työkonekanta!$F$3:$F$27,MATCH('S2 Bio'!$A50,Työkonekanta!$A$3:$A$24,0),1),0)</f>
        <v>1</v>
      </c>
      <c r="C50" s="140">
        <v>2020</v>
      </c>
      <c r="D50" s="141" t="str">
        <f>IFERROR(INDEX(Työkonekanta!$D$3:$D$27,MATCH('S2 Bio'!$A50,Työkonekanta!$A$3:$A$24,0),1),"undefined")</f>
        <v>pom</v>
      </c>
      <c r="E50" s="145">
        <f>IFERROR(INDEX(Työkonekanta!$G$3:$G$27,MATCH($A50,Työkonekanta!$A$3:$A$24,0),1)*INDEX(Työkonekanta!$H$3:$H$27,MATCH($A50,Työkonekanta!$A$3:$A$24,0),1)*(1+_xlfn.SINGLE(s2_kerroin)*($C50-2019))*$B50,0)</f>
        <v>10100</v>
      </c>
      <c r="F50" s="145">
        <f t="shared" si="0"/>
        <v>362590</v>
      </c>
      <c r="G50" s="145">
        <f t="shared" si="12"/>
        <v>362590</v>
      </c>
      <c r="H50" s="145">
        <f t="shared" si="13"/>
        <v>0</v>
      </c>
      <c r="I50" s="145">
        <f t="shared" si="1"/>
        <v>10100</v>
      </c>
      <c r="J50" s="145">
        <f t="shared" si="2"/>
        <v>0</v>
      </c>
      <c r="K50" s="142" t="str">
        <f t="shared" si="14"/>
        <v>l</v>
      </c>
      <c r="L50" s="146">
        <f>IFERROR(INDEX(Työkonekanta!$I$3:$I$27,MATCH('S2 Bio'!$A50,Työkonekanta!$A$3:$A$24,0),1)*(I50+J50)*f_adblue,0)</f>
        <v>404</v>
      </c>
      <c r="M50" s="146">
        <f t="shared" si="3"/>
        <v>0</v>
      </c>
      <c r="N50" s="143" t="str">
        <f>IF(tuulisähkö_vuosi&lt;='S2 Bio'!C50,"tuulisähkö",ostosähkö_nyt)</f>
        <v>jäännössähkö</v>
      </c>
      <c r="O50" s="147">
        <f>INDEX(Muuttujat!$J$5:$J$21,MATCH($C50,Muuttujat!$H$5:$H$21,0),1)</f>
        <v>68.554749999999999</v>
      </c>
      <c r="P50" s="148">
        <f t="shared" si="15"/>
        <v>1</v>
      </c>
      <c r="Q50" s="148">
        <f t="shared" si="21"/>
        <v>0</v>
      </c>
      <c r="R50" s="148">
        <f t="shared" si="21"/>
        <v>0</v>
      </c>
      <c r="S50" s="149">
        <f t="shared" si="5"/>
        <v>6.8529509999999991</v>
      </c>
      <c r="T50" s="150">
        <f t="shared" si="6"/>
        <v>0</v>
      </c>
      <c r="U50" s="150">
        <f t="shared" si="7"/>
        <v>0</v>
      </c>
      <c r="V50" s="150">
        <f>IFERROR(INDEX(Työkonekanta!$J$3:$J$27,MATCH($A50,Työkonekanta!$A$3:$A$24,0),1)*$B50*ef_li_ion_akku/1000/1000/INDEX(Työkonekanta!$K$3:$K$27,MATCH($A50,Työkonekanta!$A$3:$A$24,0)),0)</f>
        <v>0</v>
      </c>
      <c r="W50" s="149">
        <f t="shared" si="8"/>
        <v>26.762134918859999</v>
      </c>
      <c r="X50" s="150">
        <f t="shared" si="9"/>
        <v>0.3209231166</v>
      </c>
      <c r="Y50" s="151">
        <f t="shared" si="10"/>
        <v>0.10504000000000001</v>
      </c>
      <c r="Z50" s="152">
        <f t="shared" si="16"/>
        <v>6.8529509999999991</v>
      </c>
      <c r="AA50" s="153">
        <f t="shared" si="17"/>
        <v>26.867174918859998</v>
      </c>
      <c r="AB50" s="153">
        <f t="shared" si="18"/>
        <v>27.188098035459998</v>
      </c>
      <c r="AC50" s="154">
        <f t="shared" si="11"/>
        <v>33.720125918859999</v>
      </c>
      <c r="AD50" s="180">
        <f t="shared" si="19"/>
        <v>34.041049035459999</v>
      </c>
      <c r="AE50" s="160"/>
    </row>
    <row r="51" spans="1:31">
      <c r="A51" s="139">
        <v>19</v>
      </c>
      <c r="B51" s="139">
        <f>IFERROR(INDEX(Työkonekanta!$F$3:$F$27,MATCH('S2 Bio'!$A51,Työkonekanta!$A$3:$A$24,0),1),0)</f>
        <v>0</v>
      </c>
      <c r="C51" s="140">
        <v>2020</v>
      </c>
      <c r="D51" s="141" t="str">
        <f>IFERROR(INDEX(Työkonekanta!$D$3:$D$27,MATCH('S2 Bio'!$A51,Työkonekanta!$A$3:$A$24,0),1),"undefined")</f>
        <v>pom</v>
      </c>
      <c r="E51" s="145">
        <f>IFERROR(INDEX(Työkonekanta!$G$3:$G$27,MATCH($A51,Työkonekanta!$A$3:$A$24,0),1)*INDEX(Työkonekanta!$H$3:$H$27,MATCH($A51,Työkonekanta!$A$3:$A$24,0),1)*(1+_xlfn.SINGLE(s2_kerroin)*($C51-2019))*$B51,0)</f>
        <v>0</v>
      </c>
      <c r="F51" s="145">
        <f t="shared" si="0"/>
        <v>0</v>
      </c>
      <c r="G51" s="145">
        <f t="shared" si="12"/>
        <v>0</v>
      </c>
      <c r="H51" s="145">
        <f t="shared" si="13"/>
        <v>0</v>
      </c>
      <c r="I51" s="145">
        <f t="shared" si="1"/>
        <v>0</v>
      </c>
      <c r="J51" s="145">
        <f t="shared" si="2"/>
        <v>0</v>
      </c>
      <c r="K51" s="142" t="str">
        <f t="shared" si="14"/>
        <v>l</v>
      </c>
      <c r="L51" s="146">
        <f>IFERROR(INDEX(Työkonekanta!$I$3:$I$27,MATCH('S2 Bio'!$A51,Työkonekanta!$A$3:$A$24,0),1)*(I51+J51)*f_adblue,0)</f>
        <v>0</v>
      </c>
      <c r="M51" s="146">
        <f t="shared" si="3"/>
        <v>0</v>
      </c>
      <c r="N51" s="143" t="str">
        <f>IF(tuulisähkö_vuosi&lt;='S2 Bio'!C51,"tuulisähkö",ostosähkö_nyt)</f>
        <v>jäännössähkö</v>
      </c>
      <c r="O51" s="147">
        <f>INDEX(Muuttujat!$J$5:$J$21,MATCH($C51,Muuttujat!$H$5:$H$21,0),1)</f>
        <v>68.554749999999999</v>
      </c>
      <c r="P51" s="148">
        <f t="shared" si="15"/>
        <v>1</v>
      </c>
      <c r="Q51" s="148">
        <f t="shared" si="21"/>
        <v>0</v>
      </c>
      <c r="R51" s="148">
        <f t="shared" si="21"/>
        <v>0</v>
      </c>
      <c r="S51" s="149">
        <f t="shared" si="5"/>
        <v>0</v>
      </c>
      <c r="T51" s="150">
        <f t="shared" si="6"/>
        <v>0</v>
      </c>
      <c r="U51" s="150">
        <f t="shared" si="7"/>
        <v>0</v>
      </c>
      <c r="V51" s="150">
        <f>IFERROR(INDEX(Työkonekanta!$J$3:$J$27,MATCH($A51,Työkonekanta!$A$3:$A$24,0),1)*$B51*ef_li_ion_akku/1000/1000/INDEX(Työkonekanta!$K$3:$K$27,MATCH($A51,Työkonekanta!$A$3:$A$24,0)),0)</f>
        <v>0</v>
      </c>
      <c r="W51" s="149">
        <f t="shared" si="8"/>
        <v>0</v>
      </c>
      <c r="X51" s="150">
        <f t="shared" si="9"/>
        <v>0</v>
      </c>
      <c r="Y51" s="151">
        <f t="shared" si="10"/>
        <v>0</v>
      </c>
      <c r="Z51" s="152">
        <f t="shared" si="16"/>
        <v>0</v>
      </c>
      <c r="AA51" s="153">
        <f t="shared" si="17"/>
        <v>0</v>
      </c>
      <c r="AB51" s="153">
        <f t="shared" si="18"/>
        <v>0</v>
      </c>
      <c r="AC51" s="154">
        <f t="shared" si="11"/>
        <v>0</v>
      </c>
      <c r="AD51" s="180">
        <f t="shared" si="19"/>
        <v>0</v>
      </c>
      <c r="AE51" s="160"/>
    </row>
    <row r="52" spans="1:31">
      <c r="A52" s="139">
        <v>20</v>
      </c>
      <c r="B52" s="139">
        <f>IFERROR(INDEX(Työkonekanta!$F$3:$F$27,MATCH('S2 Bio'!$A52,Työkonekanta!$A$3:$A$24,0),1),0)</f>
        <v>0</v>
      </c>
      <c r="C52" s="140">
        <v>2020</v>
      </c>
      <c r="D52" s="141" t="str">
        <f>IFERROR(INDEX(Työkonekanta!$D$3:$D$27,MATCH('S2 Bio'!$A52,Työkonekanta!$A$3:$A$24,0),1),"undefined")</f>
        <v>pom</v>
      </c>
      <c r="E52" s="145">
        <f>IFERROR(INDEX(Työkonekanta!$G$3:$G$27,MATCH($A52,Työkonekanta!$A$3:$A$24,0),1)*INDEX(Työkonekanta!$H$3:$H$27,MATCH($A52,Työkonekanta!$A$3:$A$24,0),1)*(1+_xlfn.SINGLE(s2_kerroin)*($C52-2019))*$B52,0)</f>
        <v>0</v>
      </c>
      <c r="F52" s="145">
        <f t="shared" si="0"/>
        <v>0</v>
      </c>
      <c r="G52" s="145">
        <f t="shared" si="12"/>
        <v>0</v>
      </c>
      <c r="H52" s="145">
        <f t="shared" si="13"/>
        <v>0</v>
      </c>
      <c r="I52" s="145">
        <f t="shared" si="1"/>
        <v>0</v>
      </c>
      <c r="J52" s="145">
        <f t="shared" si="2"/>
        <v>0</v>
      </c>
      <c r="K52" s="142" t="str">
        <f t="shared" si="14"/>
        <v>l</v>
      </c>
      <c r="L52" s="146">
        <f>IFERROR(INDEX(Työkonekanta!$I$3:$I$27,MATCH('S2 Bio'!$A52,Työkonekanta!$A$3:$A$24,0),1)*(I52+J52)*f_adblue,0)</f>
        <v>0</v>
      </c>
      <c r="M52" s="146">
        <f t="shared" si="3"/>
        <v>0</v>
      </c>
      <c r="N52" s="143" t="str">
        <f>IF(tuulisähkö_vuosi&lt;='S2 Bio'!C52,"tuulisähkö",ostosähkö_nyt)</f>
        <v>jäännössähkö</v>
      </c>
      <c r="O52" s="147">
        <f>INDEX(Muuttujat!$J$5:$J$21,MATCH($C52,Muuttujat!$H$5:$H$21,0),1)</f>
        <v>68.554749999999999</v>
      </c>
      <c r="P52" s="148">
        <f t="shared" si="15"/>
        <v>1</v>
      </c>
      <c r="Q52" s="148">
        <f t="shared" si="21"/>
        <v>0</v>
      </c>
      <c r="R52" s="148">
        <f t="shared" si="21"/>
        <v>0</v>
      </c>
      <c r="S52" s="149">
        <f t="shared" si="5"/>
        <v>0</v>
      </c>
      <c r="T52" s="150">
        <f t="shared" si="6"/>
        <v>0</v>
      </c>
      <c r="U52" s="150">
        <f t="shared" si="7"/>
        <v>0</v>
      </c>
      <c r="V52" s="150">
        <f>IFERROR(INDEX(Työkonekanta!$J$3:$J$27,MATCH($A52,Työkonekanta!$A$3:$A$24,0),1)*$B52*ef_li_ion_akku/1000/1000/INDEX(Työkonekanta!$K$3:$K$27,MATCH($A52,Työkonekanta!$A$3:$A$24,0)),0)</f>
        <v>0</v>
      </c>
      <c r="W52" s="149">
        <f t="shared" si="8"/>
        <v>0</v>
      </c>
      <c r="X52" s="150">
        <f t="shared" si="9"/>
        <v>0</v>
      </c>
      <c r="Y52" s="151">
        <f t="shared" si="10"/>
        <v>0</v>
      </c>
      <c r="Z52" s="152">
        <f t="shared" si="16"/>
        <v>0</v>
      </c>
      <c r="AA52" s="153">
        <f t="shared" si="17"/>
        <v>0</v>
      </c>
      <c r="AB52" s="153">
        <f t="shared" si="18"/>
        <v>0</v>
      </c>
      <c r="AC52" s="154">
        <f t="shared" si="11"/>
        <v>0</v>
      </c>
      <c r="AD52" s="180">
        <f t="shared" si="19"/>
        <v>0</v>
      </c>
      <c r="AE52" s="160"/>
    </row>
    <row r="53" spans="1:31">
      <c r="A53" s="139">
        <v>21</v>
      </c>
      <c r="B53" s="139">
        <f>IFERROR(INDEX(Työkonekanta!$F$3:$F$27,MATCH('S2 Bio'!$A53,Työkonekanta!$A$3:$A$24,0),1),0)</f>
        <v>35</v>
      </c>
      <c r="C53" s="140">
        <v>2020</v>
      </c>
      <c r="D53" s="141" t="str">
        <f>IFERROR(INDEX(Työkonekanta!$D$3:$D$27,MATCH('S2 Bio'!$A53,Työkonekanta!$A$3:$A$24,0),1),"undefined")</f>
        <v>sähkö</v>
      </c>
      <c r="E53" s="145">
        <f>IFERROR(INDEX(Työkonekanta!$G$3:$G$27,MATCH($A53,Työkonekanta!$A$3:$A$24,0),1)*INDEX(Työkonekanta!$H$3:$H$27,MATCH($A53,Työkonekanta!$A$3:$A$24,0),1)*(1+_xlfn.SINGLE(s2_kerroin)*($C53-2019))*$B53,0)</f>
        <v>411271.06481481483</v>
      </c>
      <c r="F53" s="145">
        <f t="shared" si="0"/>
        <v>0</v>
      </c>
      <c r="G53" s="145">
        <f t="shared" si="12"/>
        <v>0</v>
      </c>
      <c r="H53" s="145">
        <f t="shared" si="13"/>
        <v>0</v>
      </c>
      <c r="I53" s="145">
        <f t="shared" si="1"/>
        <v>0</v>
      </c>
      <c r="J53" s="145">
        <f t="shared" si="2"/>
        <v>0</v>
      </c>
      <c r="K53" s="142" t="str">
        <f t="shared" si="14"/>
        <v>kWh</v>
      </c>
      <c r="L53" s="146">
        <f>IFERROR(INDEX(Työkonekanta!$I$3:$I$27,MATCH('S2 Bio'!$A53,Työkonekanta!$A$3:$A$24,0),1)*(I53+J53)*f_adblue,0)</f>
        <v>0</v>
      </c>
      <c r="M53" s="146">
        <f t="shared" si="3"/>
        <v>1480575.8333333335</v>
      </c>
      <c r="N53" s="143" t="str">
        <f>IF(tuulisähkö_vuosi&lt;='S2 Bio'!C53,"tuulisähkö",ostosähkö_nyt)</f>
        <v>jäännössähkö</v>
      </c>
      <c r="O53" s="147">
        <f>INDEX(Muuttujat!$J$5:$J$21,MATCH($C53,Muuttujat!$H$5:$H$21,0),1)</f>
        <v>68.554749999999999</v>
      </c>
      <c r="P53" s="148">
        <f t="shared" si="15"/>
        <v>1</v>
      </c>
      <c r="Q53" s="148">
        <f t="shared" si="21"/>
        <v>0</v>
      </c>
      <c r="R53" s="148">
        <f t="shared" si="21"/>
        <v>0</v>
      </c>
      <c r="S53" s="149">
        <f t="shared" si="5"/>
        <v>0</v>
      </c>
      <c r="T53" s="150">
        <f t="shared" si="6"/>
        <v>0</v>
      </c>
      <c r="U53" s="150">
        <f t="shared" si="7"/>
        <v>101.50050611020835</v>
      </c>
      <c r="V53" s="150">
        <f>IFERROR(INDEX(Työkonekanta!$J$3:$J$27,MATCH($A53,Työkonekanta!$A$3:$A$24,0),1)*$B53*ef_li_ion_akku/1000/1000/INDEX(Työkonekanta!$K$3:$K$27,MATCH($A53,Työkonekanta!$A$3:$A$24,0)),0)</f>
        <v>43.121723076923082</v>
      </c>
      <c r="W53" s="149">
        <f t="shared" si="8"/>
        <v>0</v>
      </c>
      <c r="X53" s="150">
        <f t="shared" si="9"/>
        <v>0</v>
      </c>
      <c r="Y53" s="151">
        <f t="shared" si="10"/>
        <v>0</v>
      </c>
      <c r="Z53" s="152">
        <f t="shared" si="16"/>
        <v>144.62222918713144</v>
      </c>
      <c r="AA53" s="153">
        <f t="shared" si="17"/>
        <v>0</v>
      </c>
      <c r="AB53" s="153">
        <f t="shared" si="18"/>
        <v>0</v>
      </c>
      <c r="AC53" s="154">
        <f t="shared" si="11"/>
        <v>144.62222918713144</v>
      </c>
      <c r="AD53" s="180">
        <f t="shared" si="19"/>
        <v>144.62222918713144</v>
      </c>
      <c r="AE53" s="160"/>
    </row>
    <row r="54" spans="1:31">
      <c r="A54" s="139">
        <v>22</v>
      </c>
      <c r="B54" s="139">
        <f>IFERROR(INDEX(Työkonekanta!$F$3:$F$27,MATCH('S2 Bio'!$A54,Työkonekanta!$A$3:$A$24,0),1),0)</f>
        <v>0</v>
      </c>
      <c r="C54" s="140">
        <v>2020</v>
      </c>
      <c r="D54" s="141" t="str">
        <f>IFERROR(INDEX(Työkonekanta!$D$3:$D$27,MATCH('S2 Bio'!$A54,Työkonekanta!$A$3:$A$24,0),1),"undefined")</f>
        <v>sähkö</v>
      </c>
      <c r="E54" s="145">
        <f>IFERROR(INDEX(Työkonekanta!$G$3:$G$27,MATCH($A54,Työkonekanta!$A$3:$A$24,0),1)*INDEX(Työkonekanta!$H$3:$H$27,MATCH($A54,Työkonekanta!$A$3:$A$24,0),1)*(1+_xlfn.SINGLE(s2_kerroin)*($C54-2019))*$B54,0)</f>
        <v>0</v>
      </c>
      <c r="F54" s="145">
        <f t="shared" si="0"/>
        <v>0</v>
      </c>
      <c r="G54" s="145">
        <f t="shared" si="12"/>
        <v>0</v>
      </c>
      <c r="H54" s="145">
        <f t="shared" si="13"/>
        <v>0</v>
      </c>
      <c r="I54" s="145">
        <f t="shared" si="1"/>
        <v>0</v>
      </c>
      <c r="J54" s="145">
        <f t="shared" si="2"/>
        <v>0</v>
      </c>
      <c r="K54" s="142" t="str">
        <f t="shared" si="14"/>
        <v>kWh</v>
      </c>
      <c r="L54" s="146">
        <f>IFERROR(INDEX(Työkonekanta!$I$3:$I$27,MATCH('S2 Bio'!$A54,Työkonekanta!$A$3:$A$24,0),1)*(I54+J54)*f_adblue,0)</f>
        <v>0</v>
      </c>
      <c r="M54" s="146">
        <f t="shared" si="3"/>
        <v>0</v>
      </c>
      <c r="N54" s="143" t="str">
        <f>IF(tuulisähkö_vuosi&lt;='S2 Bio'!C54,"tuulisähkö",ostosähkö_nyt)</f>
        <v>jäännössähkö</v>
      </c>
      <c r="O54" s="147">
        <f>INDEX(Muuttujat!$J$5:$J$21,MATCH($C54,Muuttujat!$H$5:$H$21,0),1)</f>
        <v>68.554749999999999</v>
      </c>
      <c r="P54" s="148">
        <f t="shared" si="15"/>
        <v>1</v>
      </c>
      <c r="Q54" s="148">
        <f t="shared" si="21"/>
        <v>0</v>
      </c>
      <c r="R54" s="148">
        <f t="shared" si="21"/>
        <v>0</v>
      </c>
      <c r="S54" s="149">
        <f t="shared" si="5"/>
        <v>0</v>
      </c>
      <c r="T54" s="150">
        <f t="shared" si="6"/>
        <v>0</v>
      </c>
      <c r="U54" s="150">
        <f t="shared" si="7"/>
        <v>0</v>
      </c>
      <c r="V54" s="150">
        <f>IFERROR(INDEX(Työkonekanta!$J$3:$J$27,MATCH($A54,Työkonekanta!$A$3:$A$24,0),1)*$B54*ef_li_ion_akku/1000/1000/INDEX(Työkonekanta!$K$3:$K$27,MATCH($A54,Työkonekanta!$A$3:$A$24,0)),0)</f>
        <v>0</v>
      </c>
      <c r="W54" s="149">
        <f t="shared" si="8"/>
        <v>0</v>
      </c>
      <c r="X54" s="150">
        <f t="shared" si="9"/>
        <v>0</v>
      </c>
      <c r="Y54" s="151">
        <f t="shared" si="10"/>
        <v>0</v>
      </c>
      <c r="Z54" s="152">
        <f t="shared" si="16"/>
        <v>0</v>
      </c>
      <c r="AA54" s="153">
        <f t="shared" si="17"/>
        <v>0</v>
      </c>
      <c r="AB54" s="153">
        <f t="shared" si="18"/>
        <v>0</v>
      </c>
      <c r="AC54" s="154">
        <f t="shared" si="11"/>
        <v>0</v>
      </c>
      <c r="AD54" s="180">
        <f t="shared" si="19"/>
        <v>0</v>
      </c>
      <c r="AE54" s="160"/>
    </row>
    <row r="55" spans="1:31">
      <c r="A55" s="139">
        <v>23</v>
      </c>
      <c r="B55" s="139">
        <f>IFERROR(INDEX(Työkonekanta!$F$3:$F$27,MATCH('S2 Bio'!$A55,Työkonekanta!$A$3:$A$24,0),1),0)</f>
        <v>0</v>
      </c>
      <c r="C55" s="140">
        <v>2020</v>
      </c>
      <c r="D55" s="141" t="str">
        <f>IFERROR(INDEX(Työkonekanta!$D$3:$D$27,MATCH('S2 Bio'!$A55,Työkonekanta!$A$3:$A$24,0),1),"undefined")</f>
        <v>undefined</v>
      </c>
      <c r="E55" s="145">
        <f>IFERROR(INDEX(Työkonekanta!$G$3:$G$27,MATCH($A55,Työkonekanta!$A$3:$A$24,0),1)*INDEX(Työkonekanta!$H$3:$H$27,MATCH($A55,Työkonekanta!$A$3:$A$24,0),1)*(1+_xlfn.SINGLE(s2_kerroin)*($C55-2019))*$B55,0)</f>
        <v>0</v>
      </c>
      <c r="F55" s="145">
        <f t="shared" si="0"/>
        <v>0</v>
      </c>
      <c r="G55" s="145">
        <f t="shared" si="12"/>
        <v>0</v>
      </c>
      <c r="H55" s="145">
        <f t="shared" si="13"/>
        <v>0</v>
      </c>
      <c r="I55" s="145">
        <f t="shared" si="1"/>
        <v>0</v>
      </c>
      <c r="J55" s="145">
        <f t="shared" si="2"/>
        <v>0</v>
      </c>
      <c r="K55" s="142" t="str">
        <f t="shared" si="14"/>
        <v>undefined</v>
      </c>
      <c r="L55" s="146">
        <f>IFERROR(INDEX(Työkonekanta!$I$3:$I$27,MATCH('S2 Bio'!$A55,Työkonekanta!$A$3:$A$24,0),1)*(I55+J55)*f_adblue,0)</f>
        <v>0</v>
      </c>
      <c r="M55" s="146">
        <f t="shared" si="3"/>
        <v>0</v>
      </c>
      <c r="N55" s="143" t="str">
        <f>IF(tuulisähkö_vuosi&lt;='S2 Bio'!C55,"tuulisähkö",ostosähkö_nyt)</f>
        <v>jäännössähkö</v>
      </c>
      <c r="O55" s="147">
        <f>INDEX(Muuttujat!$J$5:$J$21,MATCH($C55,Muuttujat!$H$5:$H$21,0),1)</f>
        <v>68.554749999999999</v>
      </c>
      <c r="P55" s="148">
        <f t="shared" si="15"/>
        <v>1</v>
      </c>
      <c r="Q55" s="148">
        <f t="shared" si="21"/>
        <v>0</v>
      </c>
      <c r="R55" s="148">
        <f t="shared" si="21"/>
        <v>0</v>
      </c>
      <c r="S55" s="149">
        <f t="shared" si="5"/>
        <v>0</v>
      </c>
      <c r="T55" s="150">
        <f t="shared" si="6"/>
        <v>0</v>
      </c>
      <c r="U55" s="150">
        <f t="shared" si="7"/>
        <v>0</v>
      </c>
      <c r="V55" s="150">
        <f>IFERROR(INDEX(Työkonekanta!$J$3:$J$27,MATCH($A55,Työkonekanta!$A$3:$A$24,0),1)*$B55*ef_li_ion_akku/1000/1000/INDEX(Työkonekanta!$K$3:$K$27,MATCH($A55,Työkonekanta!$A$3:$A$24,0)),0)</f>
        <v>0</v>
      </c>
      <c r="W55" s="149">
        <f t="shared" si="8"/>
        <v>0</v>
      </c>
      <c r="X55" s="150">
        <f t="shared" si="9"/>
        <v>0</v>
      </c>
      <c r="Y55" s="151">
        <f t="shared" si="10"/>
        <v>0</v>
      </c>
      <c r="Z55" s="152">
        <f t="shared" si="16"/>
        <v>0</v>
      </c>
      <c r="AA55" s="153">
        <f t="shared" si="17"/>
        <v>0</v>
      </c>
      <c r="AB55" s="153">
        <f t="shared" si="18"/>
        <v>0</v>
      </c>
      <c r="AC55" s="154">
        <f t="shared" si="11"/>
        <v>0</v>
      </c>
      <c r="AD55" s="180">
        <f t="shared" si="19"/>
        <v>0</v>
      </c>
      <c r="AE55" s="160"/>
    </row>
    <row r="56" spans="1:31">
      <c r="A56" s="139">
        <v>24</v>
      </c>
      <c r="B56" s="139">
        <f>IFERROR(INDEX(Työkonekanta!$F$3:$F$27,MATCH('S2 Bio'!$A56,Työkonekanta!$A$3:$A$24,0),1),0)</f>
        <v>0</v>
      </c>
      <c r="C56" s="140">
        <v>2020</v>
      </c>
      <c r="D56" s="141" t="str">
        <f>IFERROR(INDEX(Työkonekanta!$D$3:$D$27,MATCH('S2 Bio'!$A56,Työkonekanta!$A$3:$A$24,0),1),"undefined")</f>
        <v>undefined</v>
      </c>
      <c r="E56" s="145">
        <f>IFERROR(INDEX(Työkonekanta!$G$3:$G$27,MATCH($A56,Työkonekanta!$A$3:$A$24,0),1)*INDEX(Työkonekanta!$H$3:$H$27,MATCH($A56,Työkonekanta!$A$3:$A$24,0),1)*(1+_xlfn.SINGLE(s2_kerroin)*($C56-2019))*$B56,0)</f>
        <v>0</v>
      </c>
      <c r="F56" s="145">
        <f t="shared" si="0"/>
        <v>0</v>
      </c>
      <c r="G56" s="145">
        <f t="shared" si="12"/>
        <v>0</v>
      </c>
      <c r="H56" s="145">
        <f t="shared" si="13"/>
        <v>0</v>
      </c>
      <c r="I56" s="145">
        <f t="shared" si="1"/>
        <v>0</v>
      </c>
      <c r="J56" s="145">
        <f t="shared" si="2"/>
        <v>0</v>
      </c>
      <c r="K56" s="142" t="str">
        <f t="shared" si="14"/>
        <v>undefined</v>
      </c>
      <c r="L56" s="146">
        <f>IFERROR(INDEX(Työkonekanta!$I$3:$I$27,MATCH('S2 Bio'!$A56,Työkonekanta!$A$3:$A$24,0),1)*(I56+J56)*f_adblue,0)</f>
        <v>0</v>
      </c>
      <c r="M56" s="146">
        <f t="shared" si="3"/>
        <v>0</v>
      </c>
      <c r="N56" s="143" t="str">
        <f>IF(tuulisähkö_vuosi&lt;='S2 Bio'!C56,"tuulisähkö",ostosähkö_nyt)</f>
        <v>jäännössähkö</v>
      </c>
      <c r="O56" s="147">
        <f>INDEX(Muuttujat!$J$5:$J$21,MATCH($C56,Muuttujat!$H$5:$H$21,0),1)</f>
        <v>68.554749999999999</v>
      </c>
      <c r="P56" s="148">
        <f t="shared" si="15"/>
        <v>1</v>
      </c>
      <c r="Q56" s="148">
        <f t="shared" si="21"/>
        <v>0</v>
      </c>
      <c r="R56" s="148">
        <f t="shared" si="21"/>
        <v>0</v>
      </c>
      <c r="S56" s="149">
        <f t="shared" si="5"/>
        <v>0</v>
      </c>
      <c r="T56" s="150">
        <f t="shared" si="6"/>
        <v>0</v>
      </c>
      <c r="U56" s="150">
        <f t="shared" si="7"/>
        <v>0</v>
      </c>
      <c r="V56" s="150">
        <f>IFERROR(INDEX(Työkonekanta!$J$3:$J$27,MATCH($A56,Työkonekanta!$A$3:$A$24,0),1)*$B56*ef_li_ion_akku/1000/1000/INDEX(Työkonekanta!$K$3:$K$27,MATCH($A56,Työkonekanta!$A$3:$A$24,0)),0)</f>
        <v>0</v>
      </c>
      <c r="W56" s="149">
        <f t="shared" si="8"/>
        <v>0</v>
      </c>
      <c r="X56" s="150">
        <f t="shared" si="9"/>
        <v>0</v>
      </c>
      <c r="Y56" s="151">
        <f t="shared" si="10"/>
        <v>0</v>
      </c>
      <c r="Z56" s="152">
        <f t="shared" si="16"/>
        <v>0</v>
      </c>
      <c r="AA56" s="153">
        <f t="shared" si="17"/>
        <v>0</v>
      </c>
      <c r="AB56" s="153">
        <f t="shared" si="18"/>
        <v>0</v>
      </c>
      <c r="AC56" s="154">
        <f t="shared" si="11"/>
        <v>0</v>
      </c>
      <c r="AD56" s="180">
        <f t="shared" si="19"/>
        <v>0</v>
      </c>
      <c r="AE56" s="160"/>
    </row>
    <row r="57" spans="1:31">
      <c r="A57" s="139">
        <v>25</v>
      </c>
      <c r="B57" s="139">
        <f>IFERROR(INDEX(Työkonekanta!$F$3:$F$27,MATCH('S2 Bio'!$A57,Työkonekanta!$A$3:$A$24,0),1),0)</f>
        <v>0</v>
      </c>
      <c r="C57" s="140">
        <v>2020</v>
      </c>
      <c r="D57" s="141" t="str">
        <f>IFERROR(INDEX(Työkonekanta!$D$3:$D$27,MATCH('S2 Bio'!$A57,Työkonekanta!$A$3:$A$24,0),1),"undefined")</f>
        <v>undefined</v>
      </c>
      <c r="E57" s="145">
        <f>IFERROR(INDEX(Työkonekanta!$G$3:$G$27,MATCH($A57,Työkonekanta!$A$3:$A$24,0),1)*INDEX(Työkonekanta!$H$3:$H$27,MATCH($A57,Työkonekanta!$A$3:$A$24,0),1)*(1+_xlfn.SINGLE(s2_kerroin)*($C57-2019))*$B57,0)</f>
        <v>0</v>
      </c>
      <c r="F57" s="145">
        <f t="shared" si="0"/>
        <v>0</v>
      </c>
      <c r="G57" s="145">
        <f t="shared" si="12"/>
        <v>0</v>
      </c>
      <c r="H57" s="145">
        <f t="shared" si="13"/>
        <v>0</v>
      </c>
      <c r="I57" s="145">
        <f t="shared" si="1"/>
        <v>0</v>
      </c>
      <c r="J57" s="145">
        <f t="shared" si="2"/>
        <v>0</v>
      </c>
      <c r="K57" s="142" t="str">
        <f t="shared" si="14"/>
        <v>undefined</v>
      </c>
      <c r="L57" s="146">
        <f>IFERROR(INDEX(Työkonekanta!$I$3:$I$27,MATCH('S2 Bio'!$A57,Työkonekanta!$A$3:$A$24,0),1)*(I57+J57)*f_adblue,0)</f>
        <v>0</v>
      </c>
      <c r="M57" s="146">
        <f t="shared" si="3"/>
        <v>0</v>
      </c>
      <c r="N57" s="143" t="str">
        <f>IF(tuulisähkö_vuosi&lt;='S2 Bio'!C57,"tuulisähkö",ostosähkö_nyt)</f>
        <v>jäännössähkö</v>
      </c>
      <c r="O57" s="147">
        <f>INDEX(Muuttujat!$J$5:$J$21,MATCH($C57,Muuttujat!$H$5:$H$21,0),1)</f>
        <v>68.554749999999999</v>
      </c>
      <c r="P57" s="148">
        <f t="shared" si="15"/>
        <v>1</v>
      </c>
      <c r="Q57" s="148">
        <f t="shared" si="21"/>
        <v>0</v>
      </c>
      <c r="R57" s="148">
        <f t="shared" si="21"/>
        <v>0</v>
      </c>
      <c r="S57" s="149">
        <f t="shared" si="5"/>
        <v>0</v>
      </c>
      <c r="T57" s="150">
        <f t="shared" si="6"/>
        <v>0</v>
      </c>
      <c r="U57" s="150">
        <f t="shared" si="7"/>
        <v>0</v>
      </c>
      <c r="V57" s="150">
        <f>IFERROR(INDEX(Työkonekanta!$J$3:$J$27,MATCH($A57,Työkonekanta!$A$3:$A$24,0),1)*$B57*ef_li_ion_akku/1000/1000/INDEX(Työkonekanta!$K$3:$K$27,MATCH($A57,Työkonekanta!$A$3:$A$24,0)),0)</f>
        <v>0</v>
      </c>
      <c r="W57" s="149">
        <f t="shared" si="8"/>
        <v>0</v>
      </c>
      <c r="X57" s="150">
        <f t="shared" si="9"/>
        <v>0</v>
      </c>
      <c r="Y57" s="151">
        <f t="shared" si="10"/>
        <v>0</v>
      </c>
      <c r="Z57" s="152">
        <f t="shared" si="16"/>
        <v>0</v>
      </c>
      <c r="AA57" s="153">
        <f t="shared" si="17"/>
        <v>0</v>
      </c>
      <c r="AB57" s="153">
        <f t="shared" si="18"/>
        <v>0</v>
      </c>
      <c r="AC57" s="154">
        <f t="shared" si="11"/>
        <v>0</v>
      </c>
      <c r="AD57" s="180">
        <f t="shared" si="19"/>
        <v>0</v>
      </c>
      <c r="AE57" s="160"/>
    </row>
    <row r="58" spans="1:31">
      <c r="A58" s="139">
        <v>26</v>
      </c>
      <c r="B58" s="139">
        <f>IFERROR(INDEX(Työkonekanta!$F$3:$F$27,MATCH('S2 Bio'!$A58,Työkonekanta!$A$3:$A$24,0),1),0)</f>
        <v>0</v>
      </c>
      <c r="C58" s="140">
        <v>2020</v>
      </c>
      <c r="D58" s="141" t="str">
        <f>IFERROR(INDEX(Työkonekanta!$D$3:$D$27,MATCH('S2 Bio'!$A58,Työkonekanta!$A$3:$A$24,0),1),"undefined")</f>
        <v>undefined</v>
      </c>
      <c r="E58" s="145">
        <f>IFERROR(INDEX(Työkonekanta!$G$3:$G$27,MATCH($A58,Työkonekanta!$A$3:$A$24,0),1)*INDEX(Työkonekanta!$H$3:$H$27,MATCH($A58,Työkonekanta!$A$3:$A$24,0),1)*(1+_xlfn.SINGLE(s2_kerroin)*($C58-2019))*$B58,0)</f>
        <v>0</v>
      </c>
      <c r="F58" s="145">
        <f t="shared" si="0"/>
        <v>0</v>
      </c>
      <c r="G58" s="145">
        <f t="shared" si="12"/>
        <v>0</v>
      </c>
      <c r="H58" s="145">
        <f t="shared" si="13"/>
        <v>0</v>
      </c>
      <c r="I58" s="145">
        <f t="shared" si="1"/>
        <v>0</v>
      </c>
      <c r="J58" s="145">
        <f t="shared" si="2"/>
        <v>0</v>
      </c>
      <c r="K58" s="142" t="str">
        <f t="shared" si="14"/>
        <v>undefined</v>
      </c>
      <c r="L58" s="146">
        <f>IFERROR(INDEX(Työkonekanta!$I$3:$I$27,MATCH('S2 Bio'!$A58,Työkonekanta!$A$3:$A$24,0),1)*(I58+J58)*f_adblue,0)</f>
        <v>0</v>
      </c>
      <c r="M58" s="146">
        <f t="shared" si="3"/>
        <v>0</v>
      </c>
      <c r="N58" s="143" t="str">
        <f>IF(tuulisähkö_vuosi&lt;='S2 Bio'!C58,"tuulisähkö",ostosähkö_nyt)</f>
        <v>jäännössähkö</v>
      </c>
      <c r="O58" s="147">
        <f>INDEX(Muuttujat!$J$5:$J$21,MATCH($C58,Muuttujat!$H$5:$H$21,0),1)</f>
        <v>68.554749999999999</v>
      </c>
      <c r="P58" s="148">
        <f t="shared" si="15"/>
        <v>1</v>
      </c>
      <c r="Q58" s="148">
        <f t="shared" si="21"/>
        <v>0</v>
      </c>
      <c r="R58" s="148">
        <f t="shared" si="21"/>
        <v>0</v>
      </c>
      <c r="S58" s="149">
        <f t="shared" si="5"/>
        <v>0</v>
      </c>
      <c r="T58" s="150">
        <f t="shared" si="6"/>
        <v>0</v>
      </c>
      <c r="U58" s="150">
        <f t="shared" si="7"/>
        <v>0</v>
      </c>
      <c r="V58" s="150">
        <f>IFERROR(INDEX(Työkonekanta!$J$3:$J$27,MATCH($A58,Työkonekanta!$A$3:$A$24,0),1)*$B58*ef_li_ion_akku/1000/1000/INDEX(Työkonekanta!$K$3:$K$27,MATCH($A58,Työkonekanta!$A$3:$A$24,0)),0)</f>
        <v>0</v>
      </c>
      <c r="W58" s="149">
        <f t="shared" si="8"/>
        <v>0</v>
      </c>
      <c r="X58" s="150">
        <f t="shared" si="9"/>
        <v>0</v>
      </c>
      <c r="Y58" s="151">
        <f t="shared" si="10"/>
        <v>0</v>
      </c>
      <c r="Z58" s="152">
        <f t="shared" si="16"/>
        <v>0</v>
      </c>
      <c r="AA58" s="153">
        <f t="shared" si="17"/>
        <v>0</v>
      </c>
      <c r="AB58" s="153">
        <f t="shared" si="18"/>
        <v>0</v>
      </c>
      <c r="AC58" s="154">
        <f t="shared" si="11"/>
        <v>0</v>
      </c>
      <c r="AD58" s="180">
        <f t="shared" si="19"/>
        <v>0</v>
      </c>
      <c r="AE58" s="160"/>
    </row>
    <row r="59" spans="1:31">
      <c r="A59" s="139">
        <v>27</v>
      </c>
      <c r="B59" s="139">
        <f>IFERROR(INDEX(Työkonekanta!$F$3:$F$27,MATCH('S2 Bio'!$A59,Työkonekanta!$A$3:$A$24,0),1),0)</f>
        <v>0</v>
      </c>
      <c r="C59" s="140">
        <v>2020</v>
      </c>
      <c r="D59" s="141" t="str">
        <f>IFERROR(INDEX(Työkonekanta!$D$3:$D$27,MATCH('S2 Bio'!$A59,Työkonekanta!$A$3:$A$24,0),1),"undefined")</f>
        <v>undefined</v>
      </c>
      <c r="E59" s="145">
        <f>IFERROR(INDEX(Työkonekanta!$G$3:$G$27,MATCH($A59,Työkonekanta!$A$3:$A$24,0),1)*INDEX(Työkonekanta!$H$3:$H$27,MATCH($A59,Työkonekanta!$A$3:$A$24,0),1)*(1+_xlfn.SINGLE(s2_kerroin)*($C59-2019))*$B59,0)</f>
        <v>0</v>
      </c>
      <c r="F59" s="145">
        <f t="shared" si="0"/>
        <v>0</v>
      </c>
      <c r="G59" s="145">
        <f t="shared" si="12"/>
        <v>0</v>
      </c>
      <c r="H59" s="145">
        <f t="shared" si="13"/>
        <v>0</v>
      </c>
      <c r="I59" s="145">
        <f t="shared" si="1"/>
        <v>0</v>
      </c>
      <c r="J59" s="145">
        <f t="shared" si="2"/>
        <v>0</v>
      </c>
      <c r="K59" s="142" t="str">
        <f t="shared" si="14"/>
        <v>undefined</v>
      </c>
      <c r="L59" s="146">
        <f>IFERROR(INDEX(Työkonekanta!$I$3:$I$27,MATCH('S2 Bio'!$A59,Työkonekanta!$A$3:$A$24,0),1)*(I59+J59)*f_adblue,0)</f>
        <v>0</v>
      </c>
      <c r="M59" s="146">
        <f t="shared" si="3"/>
        <v>0</v>
      </c>
      <c r="N59" s="143" t="str">
        <f>IF(tuulisähkö_vuosi&lt;='S2 Bio'!C59,"tuulisähkö",ostosähkö_nyt)</f>
        <v>jäännössähkö</v>
      </c>
      <c r="O59" s="147">
        <f>INDEX(Muuttujat!$J$5:$J$21,MATCH($C59,Muuttujat!$H$5:$H$21,0),1)</f>
        <v>68.554749999999999</v>
      </c>
      <c r="P59" s="148">
        <f t="shared" si="15"/>
        <v>1</v>
      </c>
      <c r="Q59" s="148">
        <f t="shared" si="21"/>
        <v>0</v>
      </c>
      <c r="R59" s="148">
        <f t="shared" si="21"/>
        <v>0</v>
      </c>
      <c r="S59" s="149">
        <f t="shared" si="5"/>
        <v>0</v>
      </c>
      <c r="T59" s="150">
        <f t="shared" si="6"/>
        <v>0</v>
      </c>
      <c r="U59" s="150">
        <f t="shared" si="7"/>
        <v>0</v>
      </c>
      <c r="V59" s="150">
        <f>IFERROR(INDEX(Työkonekanta!$J$3:$J$27,MATCH($A59,Työkonekanta!$A$3:$A$24,0),1)*$B59*ef_li_ion_akku/1000/1000/INDEX(Työkonekanta!$K$3:$K$27,MATCH($A59,Työkonekanta!$A$3:$A$24,0)),0)</f>
        <v>0</v>
      </c>
      <c r="W59" s="149">
        <f t="shared" si="8"/>
        <v>0</v>
      </c>
      <c r="X59" s="150">
        <f t="shared" si="9"/>
        <v>0</v>
      </c>
      <c r="Y59" s="151">
        <f t="shared" si="10"/>
        <v>0</v>
      </c>
      <c r="Z59" s="152">
        <f t="shared" si="16"/>
        <v>0</v>
      </c>
      <c r="AA59" s="153">
        <f t="shared" si="17"/>
        <v>0</v>
      </c>
      <c r="AB59" s="153">
        <f t="shared" si="18"/>
        <v>0</v>
      </c>
      <c r="AC59" s="154">
        <f t="shared" si="11"/>
        <v>0</v>
      </c>
      <c r="AD59" s="180">
        <f t="shared" si="19"/>
        <v>0</v>
      </c>
      <c r="AE59" s="160"/>
    </row>
    <row r="60" spans="1:31">
      <c r="A60" s="139">
        <v>28</v>
      </c>
      <c r="B60" s="139">
        <f>IFERROR(INDEX(Työkonekanta!$F$3:$F$27,MATCH('S2 Bio'!$A60,Työkonekanta!$A$3:$A$24,0),1),0)</f>
        <v>0</v>
      </c>
      <c r="C60" s="140">
        <v>2020</v>
      </c>
      <c r="D60" s="141" t="str">
        <f>IFERROR(INDEX(Työkonekanta!$D$3:$D$27,MATCH('S2 Bio'!$A60,Työkonekanta!$A$3:$A$24,0),1),"undefined")</f>
        <v>undefined</v>
      </c>
      <c r="E60" s="145">
        <f>IFERROR(INDEX(Työkonekanta!$G$3:$G$27,MATCH($A60,Työkonekanta!$A$3:$A$24,0),1)*INDEX(Työkonekanta!$H$3:$H$27,MATCH($A60,Työkonekanta!$A$3:$A$24,0),1)*(1+_xlfn.SINGLE(s2_kerroin)*($C60-2019))*$B60,0)</f>
        <v>0</v>
      </c>
      <c r="F60" s="145">
        <f t="shared" si="0"/>
        <v>0</v>
      </c>
      <c r="G60" s="145">
        <f t="shared" si="12"/>
        <v>0</v>
      </c>
      <c r="H60" s="145">
        <f t="shared" si="13"/>
        <v>0</v>
      </c>
      <c r="I60" s="145">
        <f t="shared" si="1"/>
        <v>0</v>
      </c>
      <c r="J60" s="145">
        <f t="shared" si="2"/>
        <v>0</v>
      </c>
      <c r="K60" s="142" t="str">
        <f t="shared" si="14"/>
        <v>undefined</v>
      </c>
      <c r="L60" s="146">
        <f>IFERROR(INDEX(Työkonekanta!$I$3:$I$27,MATCH('S2 Bio'!$A60,Työkonekanta!$A$3:$A$24,0),1)*(I60+J60)*f_adblue,0)</f>
        <v>0</v>
      </c>
      <c r="M60" s="146">
        <f t="shared" si="3"/>
        <v>0</v>
      </c>
      <c r="N60" s="143" t="str">
        <f>IF(tuulisähkö_vuosi&lt;='S2 Bio'!C60,"tuulisähkö",ostosähkö_nyt)</f>
        <v>jäännössähkö</v>
      </c>
      <c r="O60" s="147">
        <f>INDEX(Muuttujat!$J$5:$J$21,MATCH($C60,Muuttujat!$H$5:$H$21,0),1)</f>
        <v>68.554749999999999</v>
      </c>
      <c r="P60" s="148">
        <f t="shared" si="15"/>
        <v>1</v>
      </c>
      <c r="Q60" s="148">
        <f t="shared" si="21"/>
        <v>0</v>
      </c>
      <c r="R60" s="148">
        <f t="shared" si="21"/>
        <v>0</v>
      </c>
      <c r="S60" s="149">
        <f t="shared" si="5"/>
        <v>0</v>
      </c>
      <c r="T60" s="150">
        <f t="shared" si="6"/>
        <v>0</v>
      </c>
      <c r="U60" s="150">
        <f t="shared" si="7"/>
        <v>0</v>
      </c>
      <c r="V60" s="150">
        <f>IFERROR(INDEX(Työkonekanta!$J$3:$J$27,MATCH($A60,Työkonekanta!$A$3:$A$24,0),1)*$B60*ef_li_ion_akku/1000/1000/INDEX(Työkonekanta!$K$3:$K$27,MATCH($A60,Työkonekanta!$A$3:$A$24,0)),0)</f>
        <v>0</v>
      </c>
      <c r="W60" s="149">
        <f t="shared" si="8"/>
        <v>0</v>
      </c>
      <c r="X60" s="150">
        <f t="shared" si="9"/>
        <v>0</v>
      </c>
      <c r="Y60" s="151">
        <f t="shared" si="10"/>
        <v>0</v>
      </c>
      <c r="Z60" s="152">
        <f t="shared" si="16"/>
        <v>0</v>
      </c>
      <c r="AA60" s="153">
        <f t="shared" si="17"/>
        <v>0</v>
      </c>
      <c r="AB60" s="153">
        <f t="shared" si="18"/>
        <v>0</v>
      </c>
      <c r="AC60" s="154">
        <f t="shared" si="11"/>
        <v>0</v>
      </c>
      <c r="AD60" s="180">
        <f t="shared" si="19"/>
        <v>0</v>
      </c>
      <c r="AE60" s="160"/>
    </row>
    <row r="61" spans="1:31">
      <c r="A61" s="139">
        <v>29</v>
      </c>
      <c r="B61" s="139">
        <f>IFERROR(INDEX(Työkonekanta!$F$3:$F$27,MATCH('S2 Bio'!$A61,Työkonekanta!$A$3:$A$24,0),1),0)</f>
        <v>0</v>
      </c>
      <c r="C61" s="140">
        <v>2020</v>
      </c>
      <c r="D61" s="141" t="str">
        <f>IFERROR(INDEX(Työkonekanta!$D$3:$D$27,MATCH('S2 Bio'!$A61,Työkonekanta!$A$3:$A$24,0),1),"undefined")</f>
        <v>undefined</v>
      </c>
      <c r="E61" s="145">
        <f>IFERROR(INDEX(Työkonekanta!$G$3:$G$27,MATCH($A61,Työkonekanta!$A$3:$A$24,0),1)*INDEX(Työkonekanta!$H$3:$H$27,MATCH($A61,Työkonekanta!$A$3:$A$24,0),1)*(1+_xlfn.SINGLE(s2_kerroin)*($C61-2019))*$B61,0)</f>
        <v>0</v>
      </c>
      <c r="F61" s="145">
        <f t="shared" si="0"/>
        <v>0</v>
      </c>
      <c r="G61" s="145">
        <f t="shared" si="12"/>
        <v>0</v>
      </c>
      <c r="H61" s="145">
        <f t="shared" si="13"/>
        <v>0</v>
      </c>
      <c r="I61" s="145">
        <f t="shared" si="1"/>
        <v>0</v>
      </c>
      <c r="J61" s="145">
        <f t="shared" si="2"/>
        <v>0</v>
      </c>
      <c r="K61" s="142" t="str">
        <f t="shared" si="14"/>
        <v>undefined</v>
      </c>
      <c r="L61" s="146">
        <f>IFERROR(INDEX(Työkonekanta!$I$3:$I$27,MATCH('S2 Bio'!$A61,Työkonekanta!$A$3:$A$24,0),1)*(I61+J61)*f_adblue,0)</f>
        <v>0</v>
      </c>
      <c r="M61" s="146">
        <f t="shared" si="3"/>
        <v>0</v>
      </c>
      <c r="N61" s="143" t="str">
        <f>IF(tuulisähkö_vuosi&lt;='S2 Bio'!C61,"tuulisähkö",ostosähkö_nyt)</f>
        <v>jäännössähkö</v>
      </c>
      <c r="O61" s="147">
        <f>INDEX(Muuttujat!$J$5:$J$21,MATCH($C61,Muuttujat!$H$5:$H$21,0),1)</f>
        <v>68.554749999999999</v>
      </c>
      <c r="P61" s="148">
        <f t="shared" si="15"/>
        <v>1</v>
      </c>
      <c r="Q61" s="148">
        <f t="shared" si="21"/>
        <v>0</v>
      </c>
      <c r="R61" s="148">
        <f t="shared" si="21"/>
        <v>0</v>
      </c>
      <c r="S61" s="149">
        <f t="shared" si="5"/>
        <v>0</v>
      </c>
      <c r="T61" s="150">
        <f t="shared" si="6"/>
        <v>0</v>
      </c>
      <c r="U61" s="150">
        <f t="shared" si="7"/>
        <v>0</v>
      </c>
      <c r="V61" s="150">
        <f>IFERROR(INDEX(Työkonekanta!$J$3:$J$27,MATCH($A61,Työkonekanta!$A$3:$A$24,0),1)*$B61*ef_li_ion_akku/1000/1000/INDEX(Työkonekanta!$K$3:$K$27,MATCH($A61,Työkonekanta!$A$3:$A$24,0)),0)</f>
        <v>0</v>
      </c>
      <c r="W61" s="149">
        <f t="shared" si="8"/>
        <v>0</v>
      </c>
      <c r="X61" s="150">
        <f t="shared" si="9"/>
        <v>0</v>
      </c>
      <c r="Y61" s="151">
        <f t="shared" si="10"/>
        <v>0</v>
      </c>
      <c r="Z61" s="152">
        <f t="shared" si="16"/>
        <v>0</v>
      </c>
      <c r="AA61" s="153">
        <f t="shared" si="17"/>
        <v>0</v>
      </c>
      <c r="AB61" s="153">
        <f t="shared" si="18"/>
        <v>0</v>
      </c>
      <c r="AC61" s="154">
        <f t="shared" si="11"/>
        <v>0</v>
      </c>
      <c r="AD61" s="180">
        <f t="shared" si="19"/>
        <v>0</v>
      </c>
      <c r="AE61" s="160"/>
    </row>
    <row r="62" spans="1:31">
      <c r="A62" s="139">
        <v>30</v>
      </c>
      <c r="B62" s="139">
        <f>IFERROR(INDEX(Työkonekanta!$F$3:$F$27,MATCH('S2 Bio'!$A62,Työkonekanta!$A$3:$A$24,0),1),0)</f>
        <v>0</v>
      </c>
      <c r="C62" s="140">
        <v>2020</v>
      </c>
      <c r="D62" s="141" t="str">
        <f>IFERROR(INDEX(Työkonekanta!$D$3:$D$27,MATCH('S2 Bio'!$A62,Työkonekanta!$A$3:$A$24,0),1),"undefined")</f>
        <v>undefined</v>
      </c>
      <c r="E62" s="145">
        <f>IFERROR(INDEX(Työkonekanta!$G$3:$G$27,MATCH($A62,Työkonekanta!$A$3:$A$24,0),1)*INDEX(Työkonekanta!$H$3:$H$27,MATCH($A62,Työkonekanta!$A$3:$A$24,0),1)*(1+_xlfn.SINGLE(s2_kerroin)*($C62-2019))*$B62,0)</f>
        <v>0</v>
      </c>
      <c r="F62" s="145">
        <f t="shared" si="0"/>
        <v>0</v>
      </c>
      <c r="G62" s="145">
        <f t="shared" si="12"/>
        <v>0</v>
      </c>
      <c r="H62" s="145">
        <f t="shared" si="13"/>
        <v>0</v>
      </c>
      <c r="I62" s="145">
        <f t="shared" si="1"/>
        <v>0</v>
      </c>
      <c r="J62" s="145">
        <f t="shared" si="2"/>
        <v>0</v>
      </c>
      <c r="K62" s="142" t="str">
        <f t="shared" si="14"/>
        <v>undefined</v>
      </c>
      <c r="L62" s="146">
        <f>IFERROR(INDEX(Työkonekanta!$I$3:$I$27,MATCH('S2 Bio'!$A62,Työkonekanta!$A$3:$A$24,0),1)*(I62+J62)*f_adblue,0)</f>
        <v>0</v>
      </c>
      <c r="M62" s="146">
        <f t="shared" si="3"/>
        <v>0</v>
      </c>
      <c r="N62" s="143" t="str">
        <f>IF(tuulisähkö_vuosi&lt;='S2 Bio'!C62,"tuulisähkö",ostosähkö_nyt)</f>
        <v>jäännössähkö</v>
      </c>
      <c r="O62" s="147">
        <f>INDEX(Muuttujat!$J$5:$J$21,MATCH($C62,Muuttujat!$H$5:$H$21,0),1)</f>
        <v>68.554749999999999</v>
      </c>
      <c r="P62" s="148">
        <f t="shared" si="15"/>
        <v>1</v>
      </c>
      <c r="Q62" s="148">
        <f t="shared" si="21"/>
        <v>0</v>
      </c>
      <c r="R62" s="148">
        <f t="shared" si="21"/>
        <v>0</v>
      </c>
      <c r="S62" s="149">
        <f t="shared" si="5"/>
        <v>0</v>
      </c>
      <c r="T62" s="150">
        <f t="shared" si="6"/>
        <v>0</v>
      </c>
      <c r="U62" s="150">
        <f t="shared" si="7"/>
        <v>0</v>
      </c>
      <c r="V62" s="150">
        <f>IFERROR(INDEX(Työkonekanta!$J$3:$J$27,MATCH($A62,Työkonekanta!$A$3:$A$24,0),1)*$B62*ef_li_ion_akku/1000/1000/INDEX(Työkonekanta!$K$3:$K$27,MATCH($A62,Työkonekanta!$A$3:$A$24,0)),0)</f>
        <v>0</v>
      </c>
      <c r="W62" s="149">
        <f t="shared" si="8"/>
        <v>0</v>
      </c>
      <c r="X62" s="150">
        <f t="shared" si="9"/>
        <v>0</v>
      </c>
      <c r="Y62" s="151">
        <f t="shared" si="10"/>
        <v>0</v>
      </c>
      <c r="Z62" s="152">
        <f t="shared" si="16"/>
        <v>0</v>
      </c>
      <c r="AA62" s="153">
        <f t="shared" si="17"/>
        <v>0</v>
      </c>
      <c r="AB62" s="153">
        <f t="shared" si="18"/>
        <v>0</v>
      </c>
      <c r="AC62" s="154">
        <f t="shared" si="11"/>
        <v>0</v>
      </c>
      <c r="AD62" s="180">
        <f t="shared" si="19"/>
        <v>0</v>
      </c>
      <c r="AE62" s="160"/>
    </row>
    <row r="63" spans="1:31">
      <c r="A63" s="139">
        <v>1</v>
      </c>
      <c r="B63" s="139">
        <f>IFERROR(INDEX(Työkonekanta!$F$3:$F$27,MATCH('S2 Bio'!$A63,Työkonekanta!$A$3:$A$24,0),1),0)</f>
        <v>1</v>
      </c>
      <c r="C63" s="140">
        <v>2021</v>
      </c>
      <c r="D63" s="141" t="str">
        <f>IFERROR(INDEX(Työkonekanta!$D$3:$D$27,MATCH('S2 Bio'!$A63,Työkonekanta!$A$3:$A$24,0),1),"undefined")</f>
        <v>pom</v>
      </c>
      <c r="E63" s="145">
        <f>IFERROR(INDEX(Työkonekanta!$G$3:$G$27,MATCH($A63,Työkonekanta!$A$3:$A$24,0),1)*INDEX(Työkonekanta!$H$3:$H$27,MATCH($A63,Työkonekanta!$A$3:$A$24,0),1)*(1+_xlfn.SINGLE(s2_kerroin)*($C63-2019))*$B63,0)</f>
        <v>10200</v>
      </c>
      <c r="F63" s="145">
        <f t="shared" si="0"/>
        <v>366180</v>
      </c>
      <c r="G63" s="145">
        <f t="shared" si="12"/>
        <v>331514.96000000002</v>
      </c>
      <c r="H63" s="145">
        <f t="shared" si="13"/>
        <v>34665.040000000001</v>
      </c>
      <c r="I63" s="145">
        <f t="shared" si="1"/>
        <v>9234.4000000000015</v>
      </c>
      <c r="J63" s="145">
        <f t="shared" si="2"/>
        <v>1010.6425655976677</v>
      </c>
      <c r="K63" s="142" t="str">
        <f t="shared" si="14"/>
        <v>l</v>
      </c>
      <c r="L63" s="146">
        <f>IFERROR(INDEX(Työkonekanta!$I$3:$I$27,MATCH('S2 Bio'!$A63,Työkonekanta!$A$3:$A$24,0),1)*(I63+J63)*f_adblue,0)</f>
        <v>512.25212827988344</v>
      </c>
      <c r="M63" s="146">
        <f t="shared" si="3"/>
        <v>0</v>
      </c>
      <c r="N63" s="143" t="str">
        <f>IF(tuulisähkö_vuosi&lt;='S2 Bio'!C63,"tuulisähkö",ostosähkö_nyt)</f>
        <v>jäännössähkö</v>
      </c>
      <c r="O63" s="147">
        <f>INDEX(Muuttujat!$J$5:$J$21,MATCH($C63,Muuttujat!$H$5:$H$21,0),1)</f>
        <v>67.8692025</v>
      </c>
      <c r="P63" s="148">
        <f t="shared" si="15"/>
        <v>0.90533333333333332</v>
      </c>
      <c r="Q63" s="148">
        <f t="shared" ref="Q63:R82" si="22">IF(biosiirtymä_luonne="äkillinen",INDEX($AG$4:$AG$20,MATCH($C63,$AF$4:$AF$20,0),1),INDEX($AH$4:$AH$20,MATCH($C63,$AF$4:$AF$20,0),1))</f>
        <v>9.4666666666666663E-2</v>
      </c>
      <c r="R63" s="148">
        <f t="shared" si="22"/>
        <v>9.4666666666666663E-2</v>
      </c>
      <c r="S63" s="149">
        <f t="shared" si="5"/>
        <v>6.2656327439999995</v>
      </c>
      <c r="T63" s="150">
        <f t="shared" si="6"/>
        <v>2.1630984959999995</v>
      </c>
      <c r="U63" s="150">
        <f t="shared" si="7"/>
        <v>0</v>
      </c>
      <c r="V63" s="150">
        <f>IFERROR(INDEX(Työkonekanta!$J$3:$J$27,MATCH($A63,Työkonekanta!$A$3:$A$24,0),1)*$B63*ef_li_ion_akku/1000/1000/INDEX(Työkonekanta!$K$3:$K$27,MATCH($A63,Työkonekanta!$A$3:$A$24,0)),0)</f>
        <v>0</v>
      </c>
      <c r="W63" s="149">
        <f t="shared" si="8"/>
        <v>24.468540464823842</v>
      </c>
      <c r="X63" s="150">
        <f t="shared" si="9"/>
        <v>0.32410057319999996</v>
      </c>
      <c r="Y63" s="151">
        <f t="shared" si="10"/>
        <v>0.13318555335276969</v>
      </c>
      <c r="Z63" s="152">
        <f t="shared" si="16"/>
        <v>8.4287312399999994</v>
      </c>
      <c r="AA63" s="153">
        <f t="shared" si="17"/>
        <v>24.601726018176613</v>
      </c>
      <c r="AB63" s="153">
        <f t="shared" si="18"/>
        <v>24.925826591376612</v>
      </c>
      <c r="AC63" s="154">
        <f t="shared" si="11"/>
        <v>33.030457258176611</v>
      </c>
      <c r="AD63" s="180">
        <f t="shared" si="19"/>
        <v>33.35455783137661</v>
      </c>
      <c r="AE63" s="160"/>
    </row>
    <row r="64" spans="1:31">
      <c r="A64" s="139">
        <v>2</v>
      </c>
      <c r="B64" s="139">
        <f>IFERROR(INDEX(Työkonekanta!$F$3:$F$27,MATCH('S2 Bio'!$A64,Työkonekanta!$A$3:$A$24,0),1),0)</f>
        <v>1</v>
      </c>
      <c r="C64" s="140">
        <v>2021</v>
      </c>
      <c r="D64" s="141" t="str">
        <f>IFERROR(INDEX(Työkonekanta!$D$3:$D$27,MATCH('S2 Bio'!$A64,Työkonekanta!$A$3:$A$24,0),1),"undefined")</f>
        <v>pom</v>
      </c>
      <c r="E64" s="145">
        <f>IFERROR(INDEX(Työkonekanta!$G$3:$G$27,MATCH($A64,Työkonekanta!$A$3:$A$24,0),1)*INDEX(Työkonekanta!$H$3:$H$27,MATCH($A64,Työkonekanta!$A$3:$A$24,0),1)*(1+_xlfn.SINGLE(s2_kerroin)*($C64-2019))*$B64,0)</f>
        <v>10200</v>
      </c>
      <c r="F64" s="145">
        <f t="shared" si="0"/>
        <v>366180</v>
      </c>
      <c r="G64" s="145">
        <f t="shared" si="12"/>
        <v>331514.96000000002</v>
      </c>
      <c r="H64" s="145">
        <f t="shared" si="13"/>
        <v>34665.040000000001</v>
      </c>
      <c r="I64" s="145">
        <f t="shared" si="1"/>
        <v>9234.4000000000015</v>
      </c>
      <c r="J64" s="145">
        <f t="shared" si="2"/>
        <v>1010.6425655976677</v>
      </c>
      <c r="K64" s="142" t="str">
        <f t="shared" si="14"/>
        <v>l</v>
      </c>
      <c r="L64" s="146">
        <f>IFERROR(INDEX(Työkonekanta!$I$3:$I$27,MATCH('S2 Bio'!$A64,Työkonekanta!$A$3:$A$24,0),1)*(I64+J64)*f_adblue,0)</f>
        <v>512.25212827988344</v>
      </c>
      <c r="M64" s="146">
        <f t="shared" si="3"/>
        <v>0</v>
      </c>
      <c r="N64" s="143" t="str">
        <f>IF(tuulisähkö_vuosi&lt;='S2 Bio'!C64,"tuulisähkö",ostosähkö_nyt)</f>
        <v>jäännössähkö</v>
      </c>
      <c r="O64" s="147">
        <f>INDEX(Muuttujat!$J$5:$J$21,MATCH($C64,Muuttujat!$H$5:$H$21,0),1)</f>
        <v>67.8692025</v>
      </c>
      <c r="P64" s="148">
        <f t="shared" si="15"/>
        <v>0.90533333333333332</v>
      </c>
      <c r="Q64" s="148">
        <f t="shared" si="22"/>
        <v>9.4666666666666663E-2</v>
      </c>
      <c r="R64" s="148">
        <f t="shared" si="22"/>
        <v>9.4666666666666663E-2</v>
      </c>
      <c r="S64" s="149">
        <f t="shared" si="5"/>
        <v>6.2656327439999995</v>
      </c>
      <c r="T64" s="150">
        <f t="shared" si="6"/>
        <v>2.1630984959999995</v>
      </c>
      <c r="U64" s="150">
        <f t="shared" si="7"/>
        <v>0</v>
      </c>
      <c r="V64" s="150">
        <f>IFERROR(INDEX(Työkonekanta!$J$3:$J$27,MATCH($A64,Työkonekanta!$A$3:$A$24,0),1)*$B64*ef_li_ion_akku/1000/1000/INDEX(Työkonekanta!$K$3:$K$27,MATCH($A64,Työkonekanta!$A$3:$A$24,0)),0)</f>
        <v>0</v>
      </c>
      <c r="W64" s="149">
        <f t="shared" si="8"/>
        <v>24.468540464823842</v>
      </c>
      <c r="X64" s="150">
        <f t="shared" si="9"/>
        <v>0.32410057319999996</v>
      </c>
      <c r="Y64" s="151">
        <f t="shared" si="10"/>
        <v>0.13318555335276969</v>
      </c>
      <c r="Z64" s="152">
        <f t="shared" si="16"/>
        <v>8.4287312399999994</v>
      </c>
      <c r="AA64" s="153">
        <f t="shared" si="17"/>
        <v>24.601726018176613</v>
      </c>
      <c r="AB64" s="153">
        <f t="shared" si="18"/>
        <v>24.925826591376612</v>
      </c>
      <c r="AC64" s="154">
        <f t="shared" si="11"/>
        <v>33.030457258176611</v>
      </c>
      <c r="AD64" s="180">
        <f t="shared" si="19"/>
        <v>33.35455783137661</v>
      </c>
      <c r="AE64" s="160"/>
    </row>
    <row r="65" spans="1:31">
      <c r="A65" s="139">
        <v>3</v>
      </c>
      <c r="B65" s="139">
        <f>IFERROR(INDEX(Työkonekanta!$F$3:$F$27,MATCH('S2 Bio'!$A65,Työkonekanta!$A$3:$A$24,0),1),0)</f>
        <v>1</v>
      </c>
      <c r="C65" s="140">
        <v>2021</v>
      </c>
      <c r="D65" s="141" t="str">
        <f>IFERROR(INDEX(Työkonekanta!$D$3:$D$27,MATCH('S2 Bio'!$A65,Työkonekanta!$A$3:$A$24,0),1),"undefined")</f>
        <v>pom</v>
      </c>
      <c r="E65" s="145">
        <f>IFERROR(INDEX(Työkonekanta!$G$3:$G$27,MATCH($A65,Työkonekanta!$A$3:$A$24,0),1)*INDEX(Työkonekanta!$H$3:$H$27,MATCH($A65,Työkonekanta!$A$3:$A$24,0),1)*(1+_xlfn.SINGLE(s2_kerroin)*($C65-2019))*$B65,0)</f>
        <v>10200</v>
      </c>
      <c r="F65" s="145">
        <f t="shared" si="0"/>
        <v>366180</v>
      </c>
      <c r="G65" s="145">
        <f t="shared" si="12"/>
        <v>331514.96000000002</v>
      </c>
      <c r="H65" s="145">
        <f t="shared" si="13"/>
        <v>34665.040000000001</v>
      </c>
      <c r="I65" s="145">
        <f t="shared" si="1"/>
        <v>9234.4000000000015</v>
      </c>
      <c r="J65" s="145">
        <f t="shared" si="2"/>
        <v>1010.6425655976677</v>
      </c>
      <c r="K65" s="142" t="str">
        <f t="shared" si="14"/>
        <v>l</v>
      </c>
      <c r="L65" s="146">
        <f>IFERROR(INDEX(Työkonekanta!$I$3:$I$27,MATCH('S2 Bio'!$A65,Työkonekanta!$A$3:$A$24,0),1)*(I65+J65)*f_adblue,0)</f>
        <v>512.25212827988344</v>
      </c>
      <c r="M65" s="146">
        <f t="shared" si="3"/>
        <v>0</v>
      </c>
      <c r="N65" s="143" t="str">
        <f>IF(tuulisähkö_vuosi&lt;='S2 Bio'!C65,"tuulisähkö",ostosähkö_nyt)</f>
        <v>jäännössähkö</v>
      </c>
      <c r="O65" s="147">
        <f>INDEX(Muuttujat!$J$5:$J$21,MATCH($C65,Muuttujat!$H$5:$H$21,0),1)</f>
        <v>67.8692025</v>
      </c>
      <c r="P65" s="148">
        <f t="shared" si="15"/>
        <v>0.90533333333333332</v>
      </c>
      <c r="Q65" s="148">
        <f t="shared" si="22"/>
        <v>9.4666666666666663E-2</v>
      </c>
      <c r="R65" s="148">
        <f t="shared" si="22"/>
        <v>9.4666666666666663E-2</v>
      </c>
      <c r="S65" s="149">
        <f t="shared" si="5"/>
        <v>6.2656327439999995</v>
      </c>
      <c r="T65" s="150">
        <f t="shared" si="6"/>
        <v>2.1630984959999995</v>
      </c>
      <c r="U65" s="150">
        <f t="shared" si="7"/>
        <v>0</v>
      </c>
      <c r="V65" s="150">
        <f>IFERROR(INDEX(Työkonekanta!$J$3:$J$27,MATCH($A65,Työkonekanta!$A$3:$A$24,0),1)*$B65*ef_li_ion_akku/1000/1000/INDEX(Työkonekanta!$K$3:$K$27,MATCH($A65,Työkonekanta!$A$3:$A$24,0)),0)</f>
        <v>0</v>
      </c>
      <c r="W65" s="149">
        <f t="shared" si="8"/>
        <v>24.468540464823842</v>
      </c>
      <c r="X65" s="150">
        <f t="shared" si="9"/>
        <v>0.32410057319999996</v>
      </c>
      <c r="Y65" s="151">
        <f t="shared" si="10"/>
        <v>0.13318555335276969</v>
      </c>
      <c r="Z65" s="152">
        <f t="shared" si="16"/>
        <v>8.4287312399999994</v>
      </c>
      <c r="AA65" s="153">
        <f t="shared" si="17"/>
        <v>24.601726018176613</v>
      </c>
      <c r="AB65" s="153">
        <f t="shared" si="18"/>
        <v>24.925826591376612</v>
      </c>
      <c r="AC65" s="154">
        <f t="shared" si="11"/>
        <v>33.030457258176611</v>
      </c>
      <c r="AD65" s="180">
        <f t="shared" si="19"/>
        <v>33.35455783137661</v>
      </c>
      <c r="AE65" s="160"/>
    </row>
    <row r="66" spans="1:31">
      <c r="A66" s="139">
        <v>4</v>
      </c>
      <c r="B66" s="139">
        <f>IFERROR(INDEX(Työkonekanta!$F$3:$F$27,MATCH('S2 Bio'!$A66,Työkonekanta!$A$3:$A$24,0),1),0)</f>
        <v>1</v>
      </c>
      <c r="C66" s="140">
        <v>2021</v>
      </c>
      <c r="D66" s="141" t="str">
        <f>IFERROR(INDEX(Työkonekanta!$D$3:$D$27,MATCH('S2 Bio'!$A66,Työkonekanta!$A$3:$A$24,0),1),"undefined")</f>
        <v>pom</v>
      </c>
      <c r="E66" s="145">
        <f>IFERROR(INDEX(Työkonekanta!$G$3:$G$27,MATCH($A66,Työkonekanta!$A$3:$A$24,0),1)*INDEX(Työkonekanta!$H$3:$H$27,MATCH($A66,Työkonekanta!$A$3:$A$24,0),1)*(1+_xlfn.SINGLE(s2_kerroin)*($C66-2019))*$B66,0)</f>
        <v>10200</v>
      </c>
      <c r="F66" s="145">
        <f t="shared" si="0"/>
        <v>366180</v>
      </c>
      <c r="G66" s="145">
        <f t="shared" si="12"/>
        <v>331514.96000000002</v>
      </c>
      <c r="H66" s="145">
        <f t="shared" si="13"/>
        <v>34665.040000000001</v>
      </c>
      <c r="I66" s="145">
        <f t="shared" si="1"/>
        <v>9234.4000000000015</v>
      </c>
      <c r="J66" s="145">
        <f t="shared" si="2"/>
        <v>1010.6425655976677</v>
      </c>
      <c r="K66" s="142" t="str">
        <f t="shared" si="14"/>
        <v>l</v>
      </c>
      <c r="L66" s="146">
        <f>IFERROR(INDEX(Työkonekanta!$I$3:$I$27,MATCH('S2 Bio'!$A66,Työkonekanta!$A$3:$A$24,0),1)*(I66+J66)*f_adblue,0)</f>
        <v>512.25212827988344</v>
      </c>
      <c r="M66" s="146">
        <f t="shared" si="3"/>
        <v>0</v>
      </c>
      <c r="N66" s="143" t="str">
        <f>IF(tuulisähkö_vuosi&lt;='S2 Bio'!C66,"tuulisähkö",ostosähkö_nyt)</f>
        <v>jäännössähkö</v>
      </c>
      <c r="O66" s="147">
        <f>INDEX(Muuttujat!$J$5:$J$21,MATCH($C66,Muuttujat!$H$5:$H$21,0),1)</f>
        <v>67.8692025</v>
      </c>
      <c r="P66" s="148">
        <f t="shared" si="15"/>
        <v>0.90533333333333332</v>
      </c>
      <c r="Q66" s="148">
        <f t="shared" si="22"/>
        <v>9.4666666666666663E-2</v>
      </c>
      <c r="R66" s="148">
        <f t="shared" si="22"/>
        <v>9.4666666666666663E-2</v>
      </c>
      <c r="S66" s="149">
        <f t="shared" si="5"/>
        <v>6.2656327439999995</v>
      </c>
      <c r="T66" s="150">
        <f t="shared" si="6"/>
        <v>2.1630984959999995</v>
      </c>
      <c r="U66" s="150">
        <f t="shared" si="7"/>
        <v>0</v>
      </c>
      <c r="V66" s="150">
        <f>IFERROR(INDEX(Työkonekanta!$J$3:$J$27,MATCH($A66,Työkonekanta!$A$3:$A$24,0),1)*$B66*ef_li_ion_akku/1000/1000/INDEX(Työkonekanta!$K$3:$K$27,MATCH($A66,Työkonekanta!$A$3:$A$24,0)),0)</f>
        <v>0</v>
      </c>
      <c r="W66" s="149">
        <f t="shared" si="8"/>
        <v>24.468540464823842</v>
      </c>
      <c r="X66" s="150">
        <f t="shared" si="9"/>
        <v>0.32410057319999996</v>
      </c>
      <c r="Y66" s="151">
        <f t="shared" si="10"/>
        <v>0.13318555335276969</v>
      </c>
      <c r="Z66" s="152">
        <f t="shared" si="16"/>
        <v>8.4287312399999994</v>
      </c>
      <c r="AA66" s="153">
        <f t="shared" si="17"/>
        <v>24.601726018176613</v>
      </c>
      <c r="AB66" s="153">
        <f t="shared" si="18"/>
        <v>24.925826591376612</v>
      </c>
      <c r="AC66" s="154">
        <f t="shared" si="11"/>
        <v>33.030457258176611</v>
      </c>
      <c r="AD66" s="180">
        <f t="shared" si="19"/>
        <v>33.35455783137661</v>
      </c>
      <c r="AE66" s="160"/>
    </row>
    <row r="67" spans="1:31">
      <c r="A67" s="139">
        <v>5</v>
      </c>
      <c r="B67" s="139">
        <f>IFERROR(INDEX(Työkonekanta!$F$3:$F$27,MATCH('S2 Bio'!$A67,Työkonekanta!$A$3:$A$24,0),1),0)</f>
        <v>0</v>
      </c>
      <c r="C67" s="140">
        <v>2021</v>
      </c>
      <c r="D67" s="141" t="str">
        <f>IFERROR(INDEX(Työkonekanta!$D$3:$D$27,MATCH('S2 Bio'!$A67,Työkonekanta!$A$3:$A$24,0),1),"undefined")</f>
        <v>sähkö</v>
      </c>
      <c r="E67" s="145">
        <f>IFERROR(INDEX(Työkonekanta!$G$3:$G$27,MATCH($A67,Työkonekanta!$A$3:$A$24,0),1)*INDEX(Työkonekanta!$H$3:$H$27,MATCH($A67,Työkonekanta!$A$3:$A$24,0),1)*(1+_xlfn.SINGLE(s2_kerroin)*($C67-2019))*$B67,0)</f>
        <v>0</v>
      </c>
      <c r="F67" s="145">
        <f t="shared" ref="F67:F130" si="23">IF(D67="pom",$E67*hv_pom,0)</f>
        <v>0</v>
      </c>
      <c r="G67" s="145">
        <f t="shared" si="12"/>
        <v>0</v>
      </c>
      <c r="H67" s="145">
        <f t="shared" si="13"/>
        <v>0</v>
      </c>
      <c r="I67" s="145">
        <f t="shared" ref="I67:I130" si="24">$G67/hv_pom</f>
        <v>0</v>
      </c>
      <c r="J67" s="145">
        <f t="shared" ref="J67:J130" si="25">$H67/hv_biodies</f>
        <v>0</v>
      </c>
      <c r="K67" s="142" t="str">
        <f t="shared" si="14"/>
        <v>kWh</v>
      </c>
      <c r="L67" s="146">
        <f>IFERROR(INDEX(Työkonekanta!$I$3:$I$27,MATCH('S2 Bio'!$A67,Työkonekanta!$A$3:$A$24,0),1)*(I67+J67)*f_adblue,0)</f>
        <v>0</v>
      </c>
      <c r="M67" s="146">
        <f t="shared" si="3"/>
        <v>0</v>
      </c>
      <c r="N67" s="143" t="str">
        <f>IF(tuulisähkö_vuosi&lt;='S2 Bio'!C67,"tuulisähkö",ostosähkö_nyt)</f>
        <v>jäännössähkö</v>
      </c>
      <c r="O67" s="147">
        <f>INDEX(Muuttujat!$J$5:$J$21,MATCH($C67,Muuttujat!$H$5:$H$21,0),1)</f>
        <v>67.8692025</v>
      </c>
      <c r="P67" s="148">
        <f t="shared" si="15"/>
        <v>0.90533333333333332</v>
      </c>
      <c r="Q67" s="148">
        <f t="shared" si="22"/>
        <v>9.4666666666666663E-2</v>
      </c>
      <c r="R67" s="148">
        <f t="shared" si="22"/>
        <v>9.4666666666666663E-2</v>
      </c>
      <c r="S67" s="149">
        <f t="shared" ref="S67:S130" si="26">wtt_ef_e_co2_dies*$G67/1000/1000</f>
        <v>0</v>
      </c>
      <c r="T67" s="150">
        <f t="shared" ref="T67:T130" si="27">wtt_ef_e_co2_biodies*$H67/1000/1000</f>
        <v>0</v>
      </c>
      <c r="U67" s="150">
        <f t="shared" ref="U67:U130" si="28">IF(N67="jäännössähkö",$O67,IF(N67="tuulisähkö",wtt_ef_e_co2_el_wind,0))*$M67/1000/1000</f>
        <v>0</v>
      </c>
      <c r="V67" s="150">
        <f>IFERROR(INDEX(Työkonekanta!$J$3:$J$27,MATCH($A67,Työkonekanta!$A$3:$A$24,0),1)*$B67*ef_li_ion_akku/1000/1000/INDEX(Työkonekanta!$K$3:$K$27,MATCH($A67,Työkonekanta!$A$3:$A$24,0)),0)</f>
        <v>0</v>
      </c>
      <c r="W67" s="149">
        <f t="shared" si="8"/>
        <v>0</v>
      </c>
      <c r="X67" s="150">
        <f t="shared" si="9"/>
        <v>0</v>
      </c>
      <c r="Y67" s="151">
        <f t="shared" si="10"/>
        <v>0</v>
      </c>
      <c r="Z67" s="152">
        <f t="shared" si="16"/>
        <v>0</v>
      </c>
      <c r="AA67" s="153">
        <f t="shared" si="17"/>
        <v>0</v>
      </c>
      <c r="AB67" s="153">
        <f t="shared" si="18"/>
        <v>0</v>
      </c>
      <c r="AC67" s="154">
        <f t="shared" si="11"/>
        <v>0</v>
      </c>
      <c r="AD67" s="180">
        <f t="shared" si="19"/>
        <v>0</v>
      </c>
      <c r="AE67" s="160"/>
    </row>
    <row r="68" spans="1:31">
      <c r="A68" s="139">
        <v>6</v>
      </c>
      <c r="B68" s="139">
        <f>IFERROR(INDEX(Työkonekanta!$F$3:$F$27,MATCH('S2 Bio'!$A68,Työkonekanta!$A$3:$A$24,0),1),0)</f>
        <v>0</v>
      </c>
      <c r="C68" s="140">
        <v>2021</v>
      </c>
      <c r="D68" s="141" t="str">
        <f>IFERROR(INDEX(Työkonekanta!$D$3:$D$27,MATCH('S2 Bio'!$A68,Työkonekanta!$A$3:$A$24,0),1),"undefined")</f>
        <v>sähkö</v>
      </c>
      <c r="E68" s="145">
        <f>IFERROR(INDEX(Työkonekanta!$G$3:$G$27,MATCH($A68,Työkonekanta!$A$3:$A$24,0),1)*INDEX(Työkonekanta!$H$3:$H$27,MATCH($A68,Työkonekanta!$A$3:$A$24,0),1)*(1+_xlfn.SINGLE(s2_kerroin)*($C68-2019))*$B68,0)</f>
        <v>0</v>
      </c>
      <c r="F68" s="145">
        <f t="shared" si="23"/>
        <v>0</v>
      </c>
      <c r="G68" s="145">
        <f t="shared" ref="G68:G131" si="29">$F68*$P68</f>
        <v>0</v>
      </c>
      <c r="H68" s="145">
        <f t="shared" ref="H68:H131" si="30">$F68*$Q68</f>
        <v>0</v>
      </c>
      <c r="I68" s="145">
        <f t="shared" si="24"/>
        <v>0</v>
      </c>
      <c r="J68" s="145">
        <f t="shared" si="25"/>
        <v>0</v>
      </c>
      <c r="K68" s="142" t="str">
        <f t="shared" ref="K68:K131" si="31">IF($D68="sähkö","kWh",IF($D68="pom","l","undefined"))</f>
        <v>kWh</v>
      </c>
      <c r="L68" s="146">
        <f>IFERROR(INDEX(Työkonekanta!$I$3:$I$27,MATCH('S2 Bio'!$A68,Työkonekanta!$A$3:$A$24,0),1)*(I68+J68)*f_adblue,0)</f>
        <v>0</v>
      </c>
      <c r="M68" s="146">
        <f t="shared" si="3"/>
        <v>0</v>
      </c>
      <c r="N68" s="143" t="str">
        <f>IF(tuulisähkö_vuosi&lt;='S2 Bio'!C68,"tuulisähkö",ostosähkö_nyt)</f>
        <v>jäännössähkö</v>
      </c>
      <c r="O68" s="147">
        <f>INDEX(Muuttujat!$J$5:$J$21,MATCH($C68,Muuttujat!$H$5:$H$21,0),1)</f>
        <v>67.8692025</v>
      </c>
      <c r="P68" s="148">
        <f t="shared" ref="P68:P131" si="32">1-Q68</f>
        <v>0.90533333333333332</v>
      </c>
      <c r="Q68" s="148">
        <f t="shared" si="22"/>
        <v>9.4666666666666663E-2</v>
      </c>
      <c r="R68" s="148">
        <f t="shared" si="22"/>
        <v>9.4666666666666663E-2</v>
      </c>
      <c r="S68" s="149">
        <f t="shared" si="26"/>
        <v>0</v>
      </c>
      <c r="T68" s="150">
        <f t="shared" si="27"/>
        <v>0</v>
      </c>
      <c r="U68" s="150">
        <f t="shared" si="28"/>
        <v>0</v>
      </c>
      <c r="V68" s="150">
        <f>IFERROR(INDEX(Työkonekanta!$J$3:$J$27,MATCH($A68,Työkonekanta!$A$3:$A$24,0),1)*$B68*ef_li_ion_akku/1000/1000/INDEX(Työkonekanta!$K$3:$K$27,MATCH($A68,Työkonekanta!$A$3:$A$24,0)),0)</f>
        <v>0</v>
      </c>
      <c r="W68" s="149">
        <f t="shared" si="8"/>
        <v>0</v>
      </c>
      <c r="X68" s="150">
        <f t="shared" si="9"/>
        <v>0</v>
      </c>
      <c r="Y68" s="151">
        <f t="shared" si="10"/>
        <v>0</v>
      </c>
      <c r="Z68" s="152">
        <f t="shared" ref="Z68:Z131" si="33">SUM($S68:$V68)</f>
        <v>0</v>
      </c>
      <c r="AA68" s="153">
        <f t="shared" ref="AA68:AA131" si="34">$W68+$Y68</f>
        <v>0</v>
      </c>
      <c r="AB68" s="153">
        <f t="shared" ref="AB68:AB131" si="35">SUM($W68:$Y68)</f>
        <v>0</v>
      </c>
      <c r="AC68" s="154">
        <f t="shared" si="11"/>
        <v>0</v>
      </c>
      <c r="AD68" s="180">
        <f t="shared" ref="AD68:AD131" si="36">$Z68+$AB68</f>
        <v>0</v>
      </c>
      <c r="AE68" s="160"/>
    </row>
    <row r="69" spans="1:31">
      <c r="A69" s="139">
        <v>7</v>
      </c>
      <c r="B69" s="139">
        <f>IFERROR(INDEX(Työkonekanta!$F$3:$F$27,MATCH('S2 Bio'!$A69,Työkonekanta!$A$3:$A$24,0),1),0)</f>
        <v>1</v>
      </c>
      <c r="C69" s="140">
        <v>2021</v>
      </c>
      <c r="D69" s="141" t="str">
        <f>IFERROR(INDEX(Työkonekanta!$D$3:$D$27,MATCH('S2 Bio'!$A69,Työkonekanta!$A$3:$A$24,0),1),"undefined")</f>
        <v>pom</v>
      </c>
      <c r="E69" s="145">
        <f>IFERROR(INDEX(Työkonekanta!$G$3:$G$27,MATCH($A69,Työkonekanta!$A$3:$A$24,0),1)*INDEX(Työkonekanta!$H$3:$H$27,MATCH($A69,Työkonekanta!$A$3:$A$24,0),1)*(1+_xlfn.SINGLE(s2_kerroin)*($C69-2019))*$B69,0)</f>
        <v>10200</v>
      </c>
      <c r="F69" s="145">
        <f t="shared" si="23"/>
        <v>366180</v>
      </c>
      <c r="G69" s="145">
        <f t="shared" si="29"/>
        <v>331514.96000000002</v>
      </c>
      <c r="H69" s="145">
        <f t="shared" si="30"/>
        <v>34665.040000000001</v>
      </c>
      <c r="I69" s="145">
        <f t="shared" si="24"/>
        <v>9234.4000000000015</v>
      </c>
      <c r="J69" s="145">
        <f t="shared" si="25"/>
        <v>1010.6425655976677</v>
      </c>
      <c r="K69" s="142" t="str">
        <f t="shared" si="31"/>
        <v>l</v>
      </c>
      <c r="L69" s="146">
        <f>IFERROR(INDEX(Työkonekanta!$I$3:$I$27,MATCH('S2 Bio'!$A69,Työkonekanta!$A$3:$A$24,0),1)*(I69+J69)*f_adblue,0)</f>
        <v>0</v>
      </c>
      <c r="M69" s="146">
        <f t="shared" si="3"/>
        <v>0</v>
      </c>
      <c r="N69" s="143" t="str">
        <f>IF(tuulisähkö_vuosi&lt;='S2 Bio'!C69,"tuulisähkö",ostosähkö_nyt)</f>
        <v>jäännössähkö</v>
      </c>
      <c r="O69" s="147">
        <f>INDEX(Muuttujat!$J$5:$J$21,MATCH($C69,Muuttujat!$H$5:$H$21,0),1)</f>
        <v>67.8692025</v>
      </c>
      <c r="P69" s="148">
        <f t="shared" si="32"/>
        <v>0.90533333333333332</v>
      </c>
      <c r="Q69" s="148">
        <f t="shared" si="22"/>
        <v>9.4666666666666663E-2</v>
      </c>
      <c r="R69" s="148">
        <f t="shared" si="22"/>
        <v>9.4666666666666663E-2</v>
      </c>
      <c r="S69" s="149">
        <f t="shared" si="26"/>
        <v>6.2656327439999995</v>
      </c>
      <c r="T69" s="150">
        <f t="shared" si="27"/>
        <v>2.1630984959999995</v>
      </c>
      <c r="U69" s="150">
        <f t="shared" si="28"/>
        <v>0</v>
      </c>
      <c r="V69" s="150">
        <f>IFERROR(INDEX(Työkonekanta!$J$3:$J$27,MATCH($A69,Työkonekanta!$A$3:$A$24,0),1)*$B69*ef_li_ion_akku/1000/1000/INDEX(Työkonekanta!$K$3:$K$27,MATCH($A69,Työkonekanta!$A$3:$A$24,0)),0)</f>
        <v>0</v>
      </c>
      <c r="W69" s="149">
        <f t="shared" si="8"/>
        <v>24.468540464823842</v>
      </c>
      <c r="X69" s="150">
        <f t="shared" si="9"/>
        <v>0.32410057319999996</v>
      </c>
      <c r="Y69" s="151">
        <f t="shared" si="10"/>
        <v>0</v>
      </c>
      <c r="Z69" s="152">
        <f t="shared" si="33"/>
        <v>8.4287312399999994</v>
      </c>
      <c r="AA69" s="153">
        <f t="shared" si="34"/>
        <v>24.468540464823842</v>
      </c>
      <c r="AB69" s="153">
        <f t="shared" si="35"/>
        <v>24.792641038023842</v>
      </c>
      <c r="AC69" s="154">
        <f t="shared" si="11"/>
        <v>32.897271704823844</v>
      </c>
      <c r="AD69" s="180">
        <f t="shared" si="36"/>
        <v>33.221372278023843</v>
      </c>
      <c r="AE69" s="160"/>
    </row>
    <row r="70" spans="1:31">
      <c r="A70" s="139">
        <v>8</v>
      </c>
      <c r="B70" s="139">
        <f>IFERROR(INDEX(Työkonekanta!$F$3:$F$27,MATCH('S2 Bio'!$A70,Työkonekanta!$A$3:$A$24,0),1),0)</f>
        <v>1</v>
      </c>
      <c r="C70" s="140">
        <v>2021</v>
      </c>
      <c r="D70" s="141" t="str">
        <f>IFERROR(INDEX(Työkonekanta!$D$3:$D$27,MATCH('S2 Bio'!$A70,Työkonekanta!$A$3:$A$24,0),1),"undefined")</f>
        <v>pom</v>
      </c>
      <c r="E70" s="145">
        <f>IFERROR(INDEX(Työkonekanta!$G$3:$G$27,MATCH($A70,Työkonekanta!$A$3:$A$24,0),1)*INDEX(Työkonekanta!$H$3:$H$27,MATCH($A70,Työkonekanta!$A$3:$A$24,0),1)*(1+_xlfn.SINGLE(s2_kerroin)*($C70-2019))*$B70,0)</f>
        <v>10200</v>
      </c>
      <c r="F70" s="145">
        <f t="shared" si="23"/>
        <v>366180</v>
      </c>
      <c r="G70" s="145">
        <f t="shared" si="29"/>
        <v>331514.96000000002</v>
      </c>
      <c r="H70" s="145">
        <f t="shared" si="30"/>
        <v>34665.040000000001</v>
      </c>
      <c r="I70" s="145">
        <f t="shared" si="24"/>
        <v>9234.4000000000015</v>
      </c>
      <c r="J70" s="145">
        <f t="shared" si="25"/>
        <v>1010.6425655976677</v>
      </c>
      <c r="K70" s="142" t="str">
        <f t="shared" si="31"/>
        <v>l</v>
      </c>
      <c r="L70" s="146">
        <f>IFERROR(INDEX(Työkonekanta!$I$3:$I$27,MATCH('S2 Bio'!$A70,Työkonekanta!$A$3:$A$24,0),1)*(I70+J70)*f_adblue,0)</f>
        <v>512.25212827988344</v>
      </c>
      <c r="M70" s="146">
        <f t="shared" si="3"/>
        <v>0</v>
      </c>
      <c r="N70" s="143" t="str">
        <f>IF(tuulisähkö_vuosi&lt;='S2 Bio'!C70,"tuulisähkö",ostosähkö_nyt)</f>
        <v>jäännössähkö</v>
      </c>
      <c r="O70" s="147">
        <f>INDEX(Muuttujat!$J$5:$J$21,MATCH($C70,Muuttujat!$H$5:$H$21,0),1)</f>
        <v>67.8692025</v>
      </c>
      <c r="P70" s="148">
        <f t="shared" si="32"/>
        <v>0.90533333333333332</v>
      </c>
      <c r="Q70" s="148">
        <f t="shared" si="22"/>
        <v>9.4666666666666663E-2</v>
      </c>
      <c r="R70" s="148">
        <f t="shared" si="22"/>
        <v>9.4666666666666663E-2</v>
      </c>
      <c r="S70" s="149">
        <f t="shared" si="26"/>
        <v>6.2656327439999995</v>
      </c>
      <c r="T70" s="150">
        <f t="shared" si="27"/>
        <v>2.1630984959999995</v>
      </c>
      <c r="U70" s="150">
        <f t="shared" si="28"/>
        <v>0</v>
      </c>
      <c r="V70" s="150">
        <f>IFERROR(INDEX(Työkonekanta!$J$3:$J$27,MATCH($A70,Työkonekanta!$A$3:$A$24,0),1)*$B70*ef_li_ion_akku/1000/1000/INDEX(Työkonekanta!$K$3:$K$27,MATCH($A70,Työkonekanta!$A$3:$A$24,0)),0)</f>
        <v>0</v>
      </c>
      <c r="W70" s="149">
        <f t="shared" si="8"/>
        <v>24.468540464823842</v>
      </c>
      <c r="X70" s="150">
        <f t="shared" si="9"/>
        <v>0.32410057319999996</v>
      </c>
      <c r="Y70" s="151">
        <f t="shared" si="10"/>
        <v>0.13318555335276969</v>
      </c>
      <c r="Z70" s="152">
        <f t="shared" si="33"/>
        <v>8.4287312399999994</v>
      </c>
      <c r="AA70" s="153">
        <f t="shared" si="34"/>
        <v>24.601726018176613</v>
      </c>
      <c r="AB70" s="153">
        <f t="shared" si="35"/>
        <v>24.925826591376612</v>
      </c>
      <c r="AC70" s="154">
        <f t="shared" si="11"/>
        <v>33.030457258176611</v>
      </c>
      <c r="AD70" s="180">
        <f t="shared" si="36"/>
        <v>33.35455783137661</v>
      </c>
      <c r="AE70" s="160"/>
    </row>
    <row r="71" spans="1:31">
      <c r="A71" s="139">
        <v>9</v>
      </c>
      <c r="B71" s="139">
        <f>IFERROR(INDEX(Työkonekanta!$F$3:$F$27,MATCH('S2 Bio'!$A71,Työkonekanta!$A$3:$A$24,0),1),0)</f>
        <v>0</v>
      </c>
      <c r="C71" s="140">
        <v>2021</v>
      </c>
      <c r="D71" s="141" t="str">
        <f>IFERROR(INDEX(Työkonekanta!$D$3:$D$27,MATCH('S2 Bio'!$A71,Työkonekanta!$A$3:$A$24,0),1),"undefined")</f>
        <v>sähkö</v>
      </c>
      <c r="E71" s="145">
        <f>IFERROR(INDEX(Työkonekanta!$G$3:$G$27,MATCH($A71,Työkonekanta!$A$3:$A$24,0),1)*INDEX(Työkonekanta!$H$3:$H$27,MATCH($A71,Työkonekanta!$A$3:$A$24,0),1)*(1+_xlfn.SINGLE(s2_kerroin)*($C71-2019))*$B71,0)</f>
        <v>0</v>
      </c>
      <c r="F71" s="145">
        <f t="shared" si="23"/>
        <v>0</v>
      </c>
      <c r="G71" s="145">
        <f t="shared" si="29"/>
        <v>0</v>
      </c>
      <c r="H71" s="145">
        <f t="shared" si="30"/>
        <v>0</v>
      </c>
      <c r="I71" s="145">
        <f t="shared" si="24"/>
        <v>0</v>
      </c>
      <c r="J71" s="145">
        <f t="shared" si="25"/>
        <v>0</v>
      </c>
      <c r="K71" s="142" t="str">
        <f t="shared" si="31"/>
        <v>kWh</v>
      </c>
      <c r="L71" s="146">
        <f>IFERROR(INDEX(Työkonekanta!$I$3:$I$27,MATCH('S2 Bio'!$A71,Työkonekanta!$A$3:$A$24,0),1)*(I71+J71)*f_adblue,0)</f>
        <v>0</v>
      </c>
      <c r="M71" s="146">
        <f t="shared" si="3"/>
        <v>0</v>
      </c>
      <c r="N71" s="143" t="str">
        <f>IF(tuulisähkö_vuosi&lt;='S2 Bio'!C71,"tuulisähkö",ostosähkö_nyt)</f>
        <v>jäännössähkö</v>
      </c>
      <c r="O71" s="147">
        <f>INDEX(Muuttujat!$J$5:$J$21,MATCH($C71,Muuttujat!$H$5:$H$21,0),1)</f>
        <v>67.8692025</v>
      </c>
      <c r="P71" s="148">
        <f t="shared" si="32"/>
        <v>0.90533333333333332</v>
      </c>
      <c r="Q71" s="148">
        <f t="shared" si="22"/>
        <v>9.4666666666666663E-2</v>
      </c>
      <c r="R71" s="148">
        <f t="shared" si="22"/>
        <v>9.4666666666666663E-2</v>
      </c>
      <c r="S71" s="149">
        <f t="shared" si="26"/>
        <v>0</v>
      </c>
      <c r="T71" s="150">
        <f t="shared" si="27"/>
        <v>0</v>
      </c>
      <c r="U71" s="150">
        <f t="shared" si="28"/>
        <v>0</v>
      </c>
      <c r="V71" s="150">
        <f>IFERROR(INDEX(Työkonekanta!$J$3:$J$27,MATCH($A71,Työkonekanta!$A$3:$A$24,0),1)*$B71*ef_li_ion_akku/1000/1000/INDEX(Työkonekanta!$K$3:$K$27,MATCH($A71,Työkonekanta!$A$3:$A$24,0)),0)</f>
        <v>0</v>
      </c>
      <c r="W71" s="149">
        <f t="shared" si="8"/>
        <v>0</v>
      </c>
      <c r="X71" s="150">
        <f t="shared" si="9"/>
        <v>0</v>
      </c>
      <c r="Y71" s="151">
        <f t="shared" si="10"/>
        <v>0</v>
      </c>
      <c r="Z71" s="152">
        <f t="shared" si="33"/>
        <v>0</v>
      </c>
      <c r="AA71" s="153">
        <f t="shared" si="34"/>
        <v>0</v>
      </c>
      <c r="AB71" s="153">
        <f t="shared" si="35"/>
        <v>0</v>
      </c>
      <c r="AC71" s="154">
        <f t="shared" si="11"/>
        <v>0</v>
      </c>
      <c r="AD71" s="180">
        <f t="shared" si="36"/>
        <v>0</v>
      </c>
      <c r="AE71" s="160"/>
    </row>
    <row r="72" spans="1:31">
      <c r="A72" s="139">
        <v>10</v>
      </c>
      <c r="B72" s="139">
        <f>IFERROR(INDEX(Työkonekanta!$F$3:$F$27,MATCH('S2 Bio'!$A72,Työkonekanta!$A$3:$A$24,0),1),0)</f>
        <v>0</v>
      </c>
      <c r="C72" s="140">
        <v>2021</v>
      </c>
      <c r="D72" s="141" t="str">
        <f>IFERROR(INDEX(Työkonekanta!$D$3:$D$27,MATCH('S2 Bio'!$A72,Työkonekanta!$A$3:$A$24,0),1),"undefined")</f>
        <v>sähkö</v>
      </c>
      <c r="E72" s="145">
        <f>IFERROR(INDEX(Työkonekanta!$G$3:$G$27,MATCH($A72,Työkonekanta!$A$3:$A$24,0),1)*INDEX(Työkonekanta!$H$3:$H$27,MATCH($A72,Työkonekanta!$A$3:$A$24,0),1)*(1+_xlfn.SINGLE(s2_kerroin)*($C72-2019))*$B72,0)</f>
        <v>0</v>
      </c>
      <c r="F72" s="145">
        <f t="shared" si="23"/>
        <v>0</v>
      </c>
      <c r="G72" s="145">
        <f t="shared" si="29"/>
        <v>0</v>
      </c>
      <c r="H72" s="145">
        <f t="shared" si="30"/>
        <v>0</v>
      </c>
      <c r="I72" s="145">
        <f t="shared" si="24"/>
        <v>0</v>
      </c>
      <c r="J72" s="145">
        <f t="shared" si="25"/>
        <v>0</v>
      </c>
      <c r="K72" s="142" t="str">
        <f t="shared" si="31"/>
        <v>kWh</v>
      </c>
      <c r="L72" s="146">
        <f>IFERROR(INDEX(Työkonekanta!$I$3:$I$27,MATCH('S2 Bio'!$A72,Työkonekanta!$A$3:$A$24,0),1)*(I72+J72)*f_adblue,0)</f>
        <v>0</v>
      </c>
      <c r="M72" s="146">
        <f t="shared" si="3"/>
        <v>0</v>
      </c>
      <c r="N72" s="143" t="str">
        <f>IF(tuulisähkö_vuosi&lt;='S2 Bio'!C72,"tuulisähkö",ostosähkö_nyt)</f>
        <v>jäännössähkö</v>
      </c>
      <c r="O72" s="147">
        <f>INDEX(Muuttujat!$J$5:$J$21,MATCH($C72,Muuttujat!$H$5:$H$21,0),1)</f>
        <v>67.8692025</v>
      </c>
      <c r="P72" s="148">
        <f t="shared" si="32"/>
        <v>0.90533333333333332</v>
      </c>
      <c r="Q72" s="148">
        <f t="shared" si="22"/>
        <v>9.4666666666666663E-2</v>
      </c>
      <c r="R72" s="148">
        <f t="shared" si="22"/>
        <v>9.4666666666666663E-2</v>
      </c>
      <c r="S72" s="149">
        <f t="shared" si="26"/>
        <v>0</v>
      </c>
      <c r="T72" s="150">
        <f t="shared" si="27"/>
        <v>0</v>
      </c>
      <c r="U72" s="150">
        <f t="shared" si="28"/>
        <v>0</v>
      </c>
      <c r="V72" s="150">
        <f>IFERROR(INDEX(Työkonekanta!$J$3:$J$27,MATCH($A72,Työkonekanta!$A$3:$A$24,0),1)*$B72*ef_li_ion_akku/1000/1000/INDEX(Työkonekanta!$K$3:$K$27,MATCH($A72,Työkonekanta!$A$3:$A$24,0)),0)</f>
        <v>0</v>
      </c>
      <c r="W72" s="149">
        <f t="shared" si="8"/>
        <v>0</v>
      </c>
      <c r="X72" s="150">
        <f t="shared" si="9"/>
        <v>0</v>
      </c>
      <c r="Y72" s="151">
        <f t="shared" si="10"/>
        <v>0</v>
      </c>
      <c r="Z72" s="152">
        <f t="shared" si="33"/>
        <v>0</v>
      </c>
      <c r="AA72" s="153">
        <f t="shared" si="34"/>
        <v>0</v>
      </c>
      <c r="AB72" s="153">
        <f t="shared" si="35"/>
        <v>0</v>
      </c>
      <c r="AC72" s="154">
        <f t="shared" si="11"/>
        <v>0</v>
      </c>
      <c r="AD72" s="180">
        <f t="shared" si="36"/>
        <v>0</v>
      </c>
      <c r="AE72" s="160"/>
    </row>
    <row r="73" spans="1:31">
      <c r="A73" s="139">
        <v>11</v>
      </c>
      <c r="B73" s="139">
        <f>IFERROR(INDEX(Työkonekanta!$F$3:$F$27,MATCH('S2 Bio'!$A73,Työkonekanta!$A$3:$A$24,0),1),0)</f>
        <v>1</v>
      </c>
      <c r="C73" s="140">
        <v>2021</v>
      </c>
      <c r="D73" s="141" t="str">
        <f>IFERROR(INDEX(Työkonekanta!$D$3:$D$27,MATCH('S2 Bio'!$A73,Työkonekanta!$A$3:$A$24,0),1),"undefined")</f>
        <v>pom</v>
      </c>
      <c r="E73" s="145">
        <f>IFERROR(INDEX(Työkonekanta!$G$3:$G$27,MATCH($A73,Työkonekanta!$A$3:$A$24,0),1)*INDEX(Työkonekanta!$H$3:$H$27,MATCH($A73,Työkonekanta!$A$3:$A$24,0),1)*(1+_xlfn.SINGLE(s2_kerroin)*($C73-2019))*$B73,0)</f>
        <v>10200</v>
      </c>
      <c r="F73" s="145">
        <f t="shared" si="23"/>
        <v>366180</v>
      </c>
      <c r="G73" s="145">
        <f t="shared" si="29"/>
        <v>331514.96000000002</v>
      </c>
      <c r="H73" s="145">
        <f t="shared" si="30"/>
        <v>34665.040000000001</v>
      </c>
      <c r="I73" s="145">
        <f t="shared" si="24"/>
        <v>9234.4000000000015</v>
      </c>
      <c r="J73" s="145">
        <f t="shared" si="25"/>
        <v>1010.6425655976677</v>
      </c>
      <c r="K73" s="142" t="str">
        <f t="shared" si="31"/>
        <v>l</v>
      </c>
      <c r="L73" s="146">
        <f>IFERROR(INDEX(Työkonekanta!$I$3:$I$27,MATCH('S2 Bio'!$A73,Työkonekanta!$A$3:$A$24,0),1)*(I73+J73)*f_adblue,0)</f>
        <v>512.25212827988344</v>
      </c>
      <c r="M73" s="146">
        <f t="shared" si="3"/>
        <v>0</v>
      </c>
      <c r="N73" s="143" t="str">
        <f>IF(tuulisähkö_vuosi&lt;='S2 Bio'!C73,"tuulisähkö",ostosähkö_nyt)</f>
        <v>jäännössähkö</v>
      </c>
      <c r="O73" s="147">
        <f>INDEX(Muuttujat!$J$5:$J$21,MATCH($C73,Muuttujat!$H$5:$H$21,0),1)</f>
        <v>67.8692025</v>
      </c>
      <c r="P73" s="148">
        <f t="shared" si="32"/>
        <v>0.90533333333333332</v>
      </c>
      <c r="Q73" s="148">
        <f t="shared" si="22"/>
        <v>9.4666666666666663E-2</v>
      </c>
      <c r="R73" s="148">
        <f t="shared" si="22"/>
        <v>9.4666666666666663E-2</v>
      </c>
      <c r="S73" s="149">
        <f t="shared" si="26"/>
        <v>6.2656327439999995</v>
      </c>
      <c r="T73" s="150">
        <f t="shared" si="27"/>
        <v>2.1630984959999995</v>
      </c>
      <c r="U73" s="150">
        <f t="shared" si="28"/>
        <v>0</v>
      </c>
      <c r="V73" s="150">
        <f>IFERROR(INDEX(Työkonekanta!$J$3:$J$27,MATCH($A73,Työkonekanta!$A$3:$A$24,0),1)*$B73*ef_li_ion_akku/1000/1000/INDEX(Työkonekanta!$K$3:$K$27,MATCH($A73,Työkonekanta!$A$3:$A$24,0)),0)</f>
        <v>0</v>
      </c>
      <c r="W73" s="149">
        <f t="shared" si="8"/>
        <v>24.468540464823842</v>
      </c>
      <c r="X73" s="150">
        <f t="shared" si="9"/>
        <v>0.32410057319999996</v>
      </c>
      <c r="Y73" s="151">
        <f t="shared" si="10"/>
        <v>0.13318555335276969</v>
      </c>
      <c r="Z73" s="152">
        <f t="shared" si="33"/>
        <v>8.4287312399999994</v>
      </c>
      <c r="AA73" s="153">
        <f t="shared" si="34"/>
        <v>24.601726018176613</v>
      </c>
      <c r="AB73" s="153">
        <f t="shared" si="35"/>
        <v>24.925826591376612</v>
      </c>
      <c r="AC73" s="154">
        <f t="shared" si="11"/>
        <v>33.030457258176611</v>
      </c>
      <c r="AD73" s="180">
        <f t="shared" si="36"/>
        <v>33.35455783137661</v>
      </c>
      <c r="AE73" s="160"/>
    </row>
    <row r="74" spans="1:31">
      <c r="A74" s="139">
        <v>12</v>
      </c>
      <c r="B74" s="139">
        <f>IFERROR(INDEX(Työkonekanta!$F$3:$F$27,MATCH('S2 Bio'!$A74,Työkonekanta!$A$3:$A$24,0),1),0)</f>
        <v>1</v>
      </c>
      <c r="C74" s="140">
        <v>2021</v>
      </c>
      <c r="D74" s="141" t="str">
        <f>IFERROR(INDEX(Työkonekanta!$D$3:$D$27,MATCH('S2 Bio'!$A74,Työkonekanta!$A$3:$A$24,0),1),"undefined")</f>
        <v>pom</v>
      </c>
      <c r="E74" s="145">
        <f>IFERROR(INDEX(Työkonekanta!$G$3:$G$27,MATCH($A74,Työkonekanta!$A$3:$A$24,0),1)*INDEX(Työkonekanta!$H$3:$H$27,MATCH($A74,Työkonekanta!$A$3:$A$24,0),1)*(1+_xlfn.SINGLE(s2_kerroin)*($C74-2019))*$B74,0)</f>
        <v>10200</v>
      </c>
      <c r="F74" s="145">
        <f t="shared" si="23"/>
        <v>366180</v>
      </c>
      <c r="G74" s="145">
        <f t="shared" si="29"/>
        <v>331514.96000000002</v>
      </c>
      <c r="H74" s="145">
        <f t="shared" si="30"/>
        <v>34665.040000000001</v>
      </c>
      <c r="I74" s="145">
        <f t="shared" si="24"/>
        <v>9234.4000000000015</v>
      </c>
      <c r="J74" s="145">
        <f t="shared" si="25"/>
        <v>1010.6425655976677</v>
      </c>
      <c r="K74" s="142" t="str">
        <f t="shared" si="31"/>
        <v>l</v>
      </c>
      <c r="L74" s="146">
        <f>IFERROR(INDEX(Työkonekanta!$I$3:$I$27,MATCH('S2 Bio'!$A74,Työkonekanta!$A$3:$A$24,0),1)*(I74+J74)*f_adblue,0)</f>
        <v>512.25212827988344</v>
      </c>
      <c r="M74" s="146">
        <f t="shared" si="3"/>
        <v>0</v>
      </c>
      <c r="N74" s="143" t="str">
        <f>IF(tuulisähkö_vuosi&lt;='S2 Bio'!C74,"tuulisähkö",ostosähkö_nyt)</f>
        <v>jäännössähkö</v>
      </c>
      <c r="O74" s="147">
        <f>INDEX(Muuttujat!$J$5:$J$21,MATCH($C74,Muuttujat!$H$5:$H$21,0),1)</f>
        <v>67.8692025</v>
      </c>
      <c r="P74" s="148">
        <f t="shared" si="32"/>
        <v>0.90533333333333332</v>
      </c>
      <c r="Q74" s="148">
        <f t="shared" si="22"/>
        <v>9.4666666666666663E-2</v>
      </c>
      <c r="R74" s="148">
        <f t="shared" si="22"/>
        <v>9.4666666666666663E-2</v>
      </c>
      <c r="S74" s="149">
        <f t="shared" si="26"/>
        <v>6.2656327439999995</v>
      </c>
      <c r="T74" s="150">
        <f t="shared" si="27"/>
        <v>2.1630984959999995</v>
      </c>
      <c r="U74" s="150">
        <f t="shared" si="28"/>
        <v>0</v>
      </c>
      <c r="V74" s="150">
        <f>IFERROR(INDEX(Työkonekanta!$J$3:$J$27,MATCH($A74,Työkonekanta!$A$3:$A$24,0),1)*$B74*ef_li_ion_akku/1000/1000/INDEX(Työkonekanta!$K$3:$K$27,MATCH($A74,Työkonekanta!$A$3:$A$24,0)),0)</f>
        <v>0</v>
      </c>
      <c r="W74" s="149">
        <f t="shared" si="8"/>
        <v>24.468540464823842</v>
      </c>
      <c r="X74" s="150">
        <f t="shared" si="9"/>
        <v>0.32410057319999996</v>
      </c>
      <c r="Y74" s="151">
        <f t="shared" si="10"/>
        <v>0.13318555335276969</v>
      </c>
      <c r="Z74" s="152">
        <f t="shared" si="33"/>
        <v>8.4287312399999994</v>
      </c>
      <c r="AA74" s="153">
        <f t="shared" si="34"/>
        <v>24.601726018176613</v>
      </c>
      <c r="AB74" s="153">
        <f t="shared" si="35"/>
        <v>24.925826591376612</v>
      </c>
      <c r="AC74" s="154">
        <f t="shared" si="11"/>
        <v>33.030457258176611</v>
      </c>
      <c r="AD74" s="180">
        <f t="shared" si="36"/>
        <v>33.35455783137661</v>
      </c>
      <c r="AE74" s="160"/>
    </row>
    <row r="75" spans="1:31">
      <c r="A75" s="139">
        <v>13</v>
      </c>
      <c r="B75" s="139">
        <f>IFERROR(INDEX(Työkonekanta!$F$3:$F$27,MATCH('S2 Bio'!$A75,Työkonekanta!$A$3:$A$24,0),1),0)</f>
        <v>0</v>
      </c>
      <c r="C75" s="140">
        <v>2021</v>
      </c>
      <c r="D75" s="141" t="str">
        <f>IFERROR(INDEX(Työkonekanta!$D$3:$D$27,MATCH('S2 Bio'!$A75,Työkonekanta!$A$3:$A$24,0),1),"undefined")</f>
        <v>pom</v>
      </c>
      <c r="E75" s="145">
        <f>IFERROR(INDEX(Työkonekanta!$G$3:$G$27,MATCH($A75,Työkonekanta!$A$3:$A$24,0),1)*INDEX(Työkonekanta!$H$3:$H$27,MATCH($A75,Työkonekanta!$A$3:$A$24,0),1)*(1+_xlfn.SINGLE(s2_kerroin)*($C75-2019))*$B75,0)</f>
        <v>0</v>
      </c>
      <c r="F75" s="145">
        <f t="shared" si="23"/>
        <v>0</v>
      </c>
      <c r="G75" s="145">
        <f t="shared" si="29"/>
        <v>0</v>
      </c>
      <c r="H75" s="145">
        <f t="shared" si="30"/>
        <v>0</v>
      </c>
      <c r="I75" s="145">
        <f t="shared" si="24"/>
        <v>0</v>
      </c>
      <c r="J75" s="145">
        <f t="shared" si="25"/>
        <v>0</v>
      </c>
      <c r="K75" s="142" t="str">
        <f t="shared" si="31"/>
        <v>l</v>
      </c>
      <c r="L75" s="146">
        <f>IFERROR(INDEX(Työkonekanta!$I$3:$I$27,MATCH('S2 Bio'!$A75,Työkonekanta!$A$3:$A$24,0),1)*(I75+J75)*f_adblue,0)</f>
        <v>0</v>
      </c>
      <c r="M75" s="146">
        <f t="shared" si="3"/>
        <v>0</v>
      </c>
      <c r="N75" s="143" t="str">
        <f>IF(tuulisähkö_vuosi&lt;='S2 Bio'!C75,"tuulisähkö",ostosähkö_nyt)</f>
        <v>jäännössähkö</v>
      </c>
      <c r="O75" s="147">
        <f>INDEX(Muuttujat!$J$5:$J$21,MATCH($C75,Muuttujat!$H$5:$H$21,0),1)</f>
        <v>67.8692025</v>
      </c>
      <c r="P75" s="148">
        <f t="shared" si="32"/>
        <v>0.90533333333333332</v>
      </c>
      <c r="Q75" s="148">
        <f t="shared" si="22"/>
        <v>9.4666666666666663E-2</v>
      </c>
      <c r="R75" s="148">
        <f t="shared" si="22"/>
        <v>9.4666666666666663E-2</v>
      </c>
      <c r="S75" s="149">
        <f t="shared" si="26"/>
        <v>0</v>
      </c>
      <c r="T75" s="150">
        <f t="shared" si="27"/>
        <v>0</v>
      </c>
      <c r="U75" s="150">
        <f t="shared" si="28"/>
        <v>0</v>
      </c>
      <c r="V75" s="150">
        <f>IFERROR(INDEX(Työkonekanta!$J$3:$J$27,MATCH($A75,Työkonekanta!$A$3:$A$24,0),1)*$B75*ef_li_ion_akku/1000/1000/INDEX(Työkonekanta!$K$3:$K$27,MATCH($A75,Työkonekanta!$A$3:$A$24,0)),0)</f>
        <v>0</v>
      </c>
      <c r="W75" s="149">
        <f t="shared" si="8"/>
        <v>0</v>
      </c>
      <c r="X75" s="150">
        <f t="shared" si="9"/>
        <v>0</v>
      </c>
      <c r="Y75" s="151">
        <f t="shared" si="10"/>
        <v>0</v>
      </c>
      <c r="Z75" s="152">
        <f t="shared" si="33"/>
        <v>0</v>
      </c>
      <c r="AA75" s="153">
        <f t="shared" si="34"/>
        <v>0</v>
      </c>
      <c r="AB75" s="153">
        <f t="shared" si="35"/>
        <v>0</v>
      </c>
      <c r="AC75" s="154">
        <f t="shared" si="11"/>
        <v>0</v>
      </c>
      <c r="AD75" s="180">
        <f t="shared" si="36"/>
        <v>0</v>
      </c>
      <c r="AE75" s="160"/>
    </row>
    <row r="76" spans="1:31">
      <c r="A76" s="139">
        <v>14</v>
      </c>
      <c r="B76" s="139">
        <f>IFERROR(INDEX(Työkonekanta!$F$3:$F$27,MATCH('S2 Bio'!$A76,Työkonekanta!$A$3:$A$24,0),1),0)</f>
        <v>0</v>
      </c>
      <c r="C76" s="140">
        <v>2021</v>
      </c>
      <c r="D76" s="141" t="str">
        <f>IFERROR(INDEX(Työkonekanta!$D$3:$D$27,MATCH('S2 Bio'!$A76,Työkonekanta!$A$3:$A$24,0),1),"undefined")</f>
        <v>pom</v>
      </c>
      <c r="E76" s="145">
        <f>IFERROR(INDEX(Työkonekanta!$G$3:$G$27,MATCH($A76,Työkonekanta!$A$3:$A$24,0),1)*INDEX(Työkonekanta!$H$3:$H$27,MATCH($A76,Työkonekanta!$A$3:$A$24,0),1)*(1+_xlfn.SINGLE(s2_kerroin)*($C76-2019))*$B76,0)</f>
        <v>0</v>
      </c>
      <c r="F76" s="145">
        <f t="shared" si="23"/>
        <v>0</v>
      </c>
      <c r="G76" s="145">
        <f t="shared" si="29"/>
        <v>0</v>
      </c>
      <c r="H76" s="145">
        <f t="shared" si="30"/>
        <v>0</v>
      </c>
      <c r="I76" s="145">
        <f t="shared" si="24"/>
        <v>0</v>
      </c>
      <c r="J76" s="145">
        <f t="shared" si="25"/>
        <v>0</v>
      </c>
      <c r="K76" s="142" t="str">
        <f t="shared" si="31"/>
        <v>l</v>
      </c>
      <c r="L76" s="146">
        <f>IFERROR(INDEX(Työkonekanta!$I$3:$I$27,MATCH('S2 Bio'!$A76,Työkonekanta!$A$3:$A$24,0),1)*(I76+J76)*f_adblue,0)</f>
        <v>0</v>
      </c>
      <c r="M76" s="146">
        <f t="shared" si="3"/>
        <v>0</v>
      </c>
      <c r="N76" s="143" t="str">
        <f>IF(tuulisähkö_vuosi&lt;='S2 Bio'!C76,"tuulisähkö",ostosähkö_nyt)</f>
        <v>jäännössähkö</v>
      </c>
      <c r="O76" s="147">
        <f>INDEX(Muuttujat!$J$5:$J$21,MATCH($C76,Muuttujat!$H$5:$H$21,0),1)</f>
        <v>67.8692025</v>
      </c>
      <c r="P76" s="148">
        <f t="shared" si="32"/>
        <v>0.90533333333333332</v>
      </c>
      <c r="Q76" s="148">
        <f t="shared" si="22"/>
        <v>9.4666666666666663E-2</v>
      </c>
      <c r="R76" s="148">
        <f t="shared" si="22"/>
        <v>9.4666666666666663E-2</v>
      </c>
      <c r="S76" s="149">
        <f t="shared" si="26"/>
        <v>0</v>
      </c>
      <c r="T76" s="150">
        <f t="shared" si="27"/>
        <v>0</v>
      </c>
      <c r="U76" s="150">
        <f t="shared" si="28"/>
        <v>0</v>
      </c>
      <c r="V76" s="150">
        <f>IFERROR(INDEX(Työkonekanta!$J$3:$J$27,MATCH($A76,Työkonekanta!$A$3:$A$24,0),1)*$B76*ef_li_ion_akku/1000/1000/INDEX(Työkonekanta!$K$3:$K$27,MATCH($A76,Työkonekanta!$A$3:$A$24,0)),0)</f>
        <v>0</v>
      </c>
      <c r="W76" s="149">
        <f t="shared" si="8"/>
        <v>0</v>
      </c>
      <c r="X76" s="150">
        <f t="shared" si="9"/>
        <v>0</v>
      </c>
      <c r="Y76" s="151">
        <f t="shared" si="10"/>
        <v>0</v>
      </c>
      <c r="Z76" s="152">
        <f t="shared" si="33"/>
        <v>0</v>
      </c>
      <c r="AA76" s="153">
        <f t="shared" si="34"/>
        <v>0</v>
      </c>
      <c r="AB76" s="153">
        <f t="shared" si="35"/>
        <v>0</v>
      </c>
      <c r="AC76" s="154">
        <f t="shared" si="11"/>
        <v>0</v>
      </c>
      <c r="AD76" s="180">
        <f t="shared" si="36"/>
        <v>0</v>
      </c>
      <c r="AE76" s="160"/>
    </row>
    <row r="77" spans="1:31">
      <c r="A77" s="139">
        <v>15</v>
      </c>
      <c r="B77" s="139">
        <f>IFERROR(INDEX(Työkonekanta!$F$3:$F$27,MATCH('S2 Bio'!$A77,Työkonekanta!$A$3:$A$24,0),1),0)</f>
        <v>0</v>
      </c>
      <c r="C77" s="140">
        <v>2021</v>
      </c>
      <c r="D77" s="141" t="str">
        <f>IFERROR(INDEX(Työkonekanta!$D$3:$D$27,MATCH('S2 Bio'!$A77,Työkonekanta!$A$3:$A$24,0),1),"undefined")</f>
        <v>sähkö</v>
      </c>
      <c r="E77" s="145">
        <f>IFERROR(INDEX(Työkonekanta!$G$3:$G$27,MATCH($A77,Työkonekanta!$A$3:$A$24,0),1)*INDEX(Työkonekanta!$H$3:$H$27,MATCH($A77,Työkonekanta!$A$3:$A$24,0),1)*(1+_xlfn.SINGLE(s2_kerroin)*($C77-2019))*$B77,0)</f>
        <v>0</v>
      </c>
      <c r="F77" s="145">
        <f t="shared" si="23"/>
        <v>0</v>
      </c>
      <c r="G77" s="145">
        <f t="shared" si="29"/>
        <v>0</v>
      </c>
      <c r="H77" s="145">
        <f t="shared" si="30"/>
        <v>0</v>
      </c>
      <c r="I77" s="145">
        <f t="shared" si="24"/>
        <v>0</v>
      </c>
      <c r="J77" s="145">
        <f t="shared" si="25"/>
        <v>0</v>
      </c>
      <c r="K77" s="142" t="str">
        <f t="shared" si="31"/>
        <v>kWh</v>
      </c>
      <c r="L77" s="146">
        <f>IFERROR(INDEX(Työkonekanta!$I$3:$I$27,MATCH('S2 Bio'!$A77,Työkonekanta!$A$3:$A$24,0),1)*(I77+J77)*f_adblue,0)</f>
        <v>0</v>
      </c>
      <c r="M77" s="146">
        <f t="shared" si="3"/>
        <v>0</v>
      </c>
      <c r="N77" s="143" t="str">
        <f>IF(tuulisähkö_vuosi&lt;='S2 Bio'!C77,"tuulisähkö",ostosähkö_nyt)</f>
        <v>jäännössähkö</v>
      </c>
      <c r="O77" s="147">
        <f>INDEX(Muuttujat!$J$5:$J$21,MATCH($C77,Muuttujat!$H$5:$H$21,0),1)</f>
        <v>67.8692025</v>
      </c>
      <c r="P77" s="148">
        <f t="shared" si="32"/>
        <v>0.90533333333333332</v>
      </c>
      <c r="Q77" s="148">
        <f t="shared" si="22"/>
        <v>9.4666666666666663E-2</v>
      </c>
      <c r="R77" s="148">
        <f t="shared" si="22"/>
        <v>9.4666666666666663E-2</v>
      </c>
      <c r="S77" s="149">
        <f t="shared" si="26"/>
        <v>0</v>
      </c>
      <c r="T77" s="150">
        <f t="shared" si="27"/>
        <v>0</v>
      </c>
      <c r="U77" s="150">
        <f t="shared" si="28"/>
        <v>0</v>
      </c>
      <c r="V77" s="150">
        <f>IFERROR(INDEX(Työkonekanta!$J$3:$J$27,MATCH($A77,Työkonekanta!$A$3:$A$24,0),1)*$B77*ef_li_ion_akku/1000/1000/INDEX(Työkonekanta!$K$3:$K$27,MATCH($A77,Työkonekanta!$A$3:$A$24,0)),0)</f>
        <v>0</v>
      </c>
      <c r="W77" s="149">
        <f t="shared" si="8"/>
        <v>0</v>
      </c>
      <c r="X77" s="150">
        <f t="shared" si="9"/>
        <v>0</v>
      </c>
      <c r="Y77" s="151">
        <f t="shared" si="10"/>
        <v>0</v>
      </c>
      <c r="Z77" s="152">
        <f t="shared" si="33"/>
        <v>0</v>
      </c>
      <c r="AA77" s="153">
        <f t="shared" si="34"/>
        <v>0</v>
      </c>
      <c r="AB77" s="153">
        <f t="shared" si="35"/>
        <v>0</v>
      </c>
      <c r="AC77" s="154">
        <f t="shared" si="11"/>
        <v>0</v>
      </c>
      <c r="AD77" s="180">
        <f t="shared" si="36"/>
        <v>0</v>
      </c>
      <c r="AE77" s="160"/>
    </row>
    <row r="78" spans="1:31">
      <c r="A78" s="139">
        <v>16</v>
      </c>
      <c r="B78" s="139">
        <f>IFERROR(INDEX(Työkonekanta!$F$3:$F$27,MATCH('S2 Bio'!$A78,Työkonekanta!$A$3:$A$24,0),1),0)</f>
        <v>0</v>
      </c>
      <c r="C78" s="140">
        <v>2021</v>
      </c>
      <c r="D78" s="141" t="str">
        <f>IFERROR(INDEX(Työkonekanta!$D$3:$D$27,MATCH('S2 Bio'!$A78,Työkonekanta!$A$3:$A$24,0),1),"undefined")</f>
        <v>sähkö</v>
      </c>
      <c r="E78" s="145">
        <f>IFERROR(INDEX(Työkonekanta!$G$3:$G$27,MATCH($A78,Työkonekanta!$A$3:$A$24,0),1)*INDEX(Työkonekanta!$H$3:$H$27,MATCH($A78,Työkonekanta!$A$3:$A$24,0),1)*(1+_xlfn.SINGLE(s2_kerroin)*($C78-2019))*$B78,0)</f>
        <v>0</v>
      </c>
      <c r="F78" s="145">
        <f t="shared" si="23"/>
        <v>0</v>
      </c>
      <c r="G78" s="145">
        <f t="shared" si="29"/>
        <v>0</v>
      </c>
      <c r="H78" s="145">
        <f t="shared" si="30"/>
        <v>0</v>
      </c>
      <c r="I78" s="145">
        <f t="shared" si="24"/>
        <v>0</v>
      </c>
      <c r="J78" s="145">
        <f t="shared" si="25"/>
        <v>0</v>
      </c>
      <c r="K78" s="142" t="str">
        <f t="shared" si="31"/>
        <v>kWh</v>
      </c>
      <c r="L78" s="146">
        <f>IFERROR(INDEX(Työkonekanta!$I$3:$I$27,MATCH('S2 Bio'!$A78,Työkonekanta!$A$3:$A$24,0),1)*(I78+J78)*f_adblue,0)</f>
        <v>0</v>
      </c>
      <c r="M78" s="146">
        <f t="shared" si="3"/>
        <v>0</v>
      </c>
      <c r="N78" s="143" t="str">
        <f>IF(tuulisähkö_vuosi&lt;='S2 Bio'!C78,"tuulisähkö",ostosähkö_nyt)</f>
        <v>jäännössähkö</v>
      </c>
      <c r="O78" s="147">
        <f>INDEX(Muuttujat!$J$5:$J$21,MATCH($C78,Muuttujat!$H$5:$H$21,0),1)</f>
        <v>67.8692025</v>
      </c>
      <c r="P78" s="148">
        <f t="shared" si="32"/>
        <v>0.90533333333333332</v>
      </c>
      <c r="Q78" s="148">
        <f t="shared" si="22"/>
        <v>9.4666666666666663E-2</v>
      </c>
      <c r="R78" s="148">
        <f t="shared" si="22"/>
        <v>9.4666666666666663E-2</v>
      </c>
      <c r="S78" s="149">
        <f t="shared" si="26"/>
        <v>0</v>
      </c>
      <c r="T78" s="150">
        <f t="shared" si="27"/>
        <v>0</v>
      </c>
      <c r="U78" s="150">
        <f t="shared" si="28"/>
        <v>0</v>
      </c>
      <c r="V78" s="150">
        <f>IFERROR(INDEX(Työkonekanta!$J$3:$J$27,MATCH($A78,Työkonekanta!$A$3:$A$24,0),1)*$B78*ef_li_ion_akku/1000/1000/INDEX(Työkonekanta!$K$3:$K$27,MATCH($A78,Työkonekanta!$A$3:$A$24,0)),0)</f>
        <v>0</v>
      </c>
      <c r="W78" s="149">
        <f t="shared" si="8"/>
        <v>0</v>
      </c>
      <c r="X78" s="150">
        <f t="shared" si="9"/>
        <v>0</v>
      </c>
      <c r="Y78" s="151">
        <f t="shared" si="10"/>
        <v>0</v>
      </c>
      <c r="Z78" s="152">
        <f t="shared" si="33"/>
        <v>0</v>
      </c>
      <c r="AA78" s="153">
        <f t="shared" si="34"/>
        <v>0</v>
      </c>
      <c r="AB78" s="153">
        <f t="shared" si="35"/>
        <v>0</v>
      </c>
      <c r="AC78" s="154">
        <f t="shared" si="11"/>
        <v>0</v>
      </c>
      <c r="AD78" s="180">
        <f t="shared" si="36"/>
        <v>0</v>
      </c>
      <c r="AE78" s="160"/>
    </row>
    <row r="79" spans="1:31">
      <c r="A79" s="139">
        <v>17</v>
      </c>
      <c r="B79" s="139">
        <f>IFERROR(INDEX(Työkonekanta!$F$3:$F$27,MATCH('S2 Bio'!$A79,Työkonekanta!$A$3:$A$24,0),1),0)</f>
        <v>1</v>
      </c>
      <c r="C79" s="140">
        <v>2021</v>
      </c>
      <c r="D79" s="141" t="str">
        <f>IFERROR(INDEX(Työkonekanta!$D$3:$D$27,MATCH('S2 Bio'!$A79,Työkonekanta!$A$3:$A$24,0),1),"undefined")</f>
        <v>pom</v>
      </c>
      <c r="E79" s="145">
        <f>IFERROR(INDEX(Työkonekanta!$G$3:$G$27,MATCH($A79,Työkonekanta!$A$3:$A$24,0),1)*INDEX(Työkonekanta!$H$3:$H$27,MATCH($A79,Työkonekanta!$A$3:$A$24,0),1)*(1+_xlfn.SINGLE(s2_kerroin)*($C79-2019))*$B79,0)</f>
        <v>10200</v>
      </c>
      <c r="F79" s="145">
        <f t="shared" si="23"/>
        <v>366180</v>
      </c>
      <c r="G79" s="145">
        <f t="shared" si="29"/>
        <v>331514.96000000002</v>
      </c>
      <c r="H79" s="145">
        <f t="shared" si="30"/>
        <v>34665.040000000001</v>
      </c>
      <c r="I79" s="145">
        <f t="shared" si="24"/>
        <v>9234.4000000000015</v>
      </c>
      <c r="J79" s="145">
        <f t="shared" si="25"/>
        <v>1010.6425655976677</v>
      </c>
      <c r="K79" s="142" t="str">
        <f t="shared" si="31"/>
        <v>l</v>
      </c>
      <c r="L79" s="146">
        <f>IFERROR(INDEX(Työkonekanta!$I$3:$I$27,MATCH('S2 Bio'!$A79,Työkonekanta!$A$3:$A$24,0),1)*(I79+J79)*f_adblue,0)</f>
        <v>512.25212827988344</v>
      </c>
      <c r="M79" s="146">
        <f t="shared" si="3"/>
        <v>0</v>
      </c>
      <c r="N79" s="143" t="str">
        <f>IF(tuulisähkö_vuosi&lt;='S2 Bio'!C79,"tuulisähkö",ostosähkö_nyt)</f>
        <v>jäännössähkö</v>
      </c>
      <c r="O79" s="147">
        <f>INDEX(Muuttujat!$J$5:$J$21,MATCH($C79,Muuttujat!$H$5:$H$21,0),1)</f>
        <v>67.8692025</v>
      </c>
      <c r="P79" s="148">
        <f t="shared" si="32"/>
        <v>0.90533333333333332</v>
      </c>
      <c r="Q79" s="148">
        <f t="shared" si="22"/>
        <v>9.4666666666666663E-2</v>
      </c>
      <c r="R79" s="148">
        <f t="shared" si="22"/>
        <v>9.4666666666666663E-2</v>
      </c>
      <c r="S79" s="149">
        <f t="shared" si="26"/>
        <v>6.2656327439999995</v>
      </c>
      <c r="T79" s="150">
        <f t="shared" si="27"/>
        <v>2.1630984959999995</v>
      </c>
      <c r="U79" s="150">
        <f t="shared" si="28"/>
        <v>0</v>
      </c>
      <c r="V79" s="150">
        <f>IFERROR(INDEX(Työkonekanta!$J$3:$J$27,MATCH($A79,Työkonekanta!$A$3:$A$24,0),1)*$B79*ef_li_ion_akku/1000/1000/INDEX(Työkonekanta!$K$3:$K$27,MATCH($A79,Työkonekanta!$A$3:$A$24,0)),0)</f>
        <v>0</v>
      </c>
      <c r="W79" s="149">
        <f t="shared" si="8"/>
        <v>24.468540464823842</v>
      </c>
      <c r="X79" s="150">
        <f t="shared" si="9"/>
        <v>0.32410057319999996</v>
      </c>
      <c r="Y79" s="151">
        <f t="shared" si="10"/>
        <v>0.13318555335276969</v>
      </c>
      <c r="Z79" s="152">
        <f t="shared" si="33"/>
        <v>8.4287312399999994</v>
      </c>
      <c r="AA79" s="153">
        <f t="shared" si="34"/>
        <v>24.601726018176613</v>
      </c>
      <c r="AB79" s="153">
        <f t="shared" si="35"/>
        <v>24.925826591376612</v>
      </c>
      <c r="AC79" s="154">
        <f t="shared" si="11"/>
        <v>33.030457258176611</v>
      </c>
      <c r="AD79" s="180">
        <f t="shared" si="36"/>
        <v>33.35455783137661</v>
      </c>
      <c r="AE79" s="160"/>
    </row>
    <row r="80" spans="1:31">
      <c r="A80" s="139">
        <v>18</v>
      </c>
      <c r="B80" s="139">
        <f>IFERROR(INDEX(Työkonekanta!$F$3:$F$27,MATCH('S2 Bio'!$A80,Työkonekanta!$A$3:$A$24,0),1),0)</f>
        <v>1</v>
      </c>
      <c r="C80" s="140">
        <v>2021</v>
      </c>
      <c r="D80" s="141" t="str">
        <f>IFERROR(INDEX(Työkonekanta!$D$3:$D$27,MATCH('S2 Bio'!$A80,Työkonekanta!$A$3:$A$24,0),1),"undefined")</f>
        <v>pom</v>
      </c>
      <c r="E80" s="145">
        <f>IFERROR(INDEX(Työkonekanta!$G$3:$G$27,MATCH($A80,Työkonekanta!$A$3:$A$24,0),1)*INDEX(Työkonekanta!$H$3:$H$27,MATCH($A80,Työkonekanta!$A$3:$A$24,0),1)*(1+_xlfn.SINGLE(s2_kerroin)*($C80-2019))*$B80,0)</f>
        <v>10200</v>
      </c>
      <c r="F80" s="145">
        <f t="shared" si="23"/>
        <v>366180</v>
      </c>
      <c r="G80" s="145">
        <f t="shared" si="29"/>
        <v>331514.96000000002</v>
      </c>
      <c r="H80" s="145">
        <f t="shared" si="30"/>
        <v>34665.040000000001</v>
      </c>
      <c r="I80" s="145">
        <f t="shared" si="24"/>
        <v>9234.4000000000015</v>
      </c>
      <c r="J80" s="145">
        <f t="shared" si="25"/>
        <v>1010.6425655976677</v>
      </c>
      <c r="K80" s="142" t="str">
        <f t="shared" si="31"/>
        <v>l</v>
      </c>
      <c r="L80" s="146">
        <f>IFERROR(INDEX(Työkonekanta!$I$3:$I$27,MATCH('S2 Bio'!$A80,Työkonekanta!$A$3:$A$24,0),1)*(I80+J80)*f_adblue,0)</f>
        <v>409.80170262390675</v>
      </c>
      <c r="M80" s="146">
        <f t="shared" si="3"/>
        <v>0</v>
      </c>
      <c r="N80" s="143" t="str">
        <f>IF(tuulisähkö_vuosi&lt;='S2 Bio'!C80,"tuulisähkö",ostosähkö_nyt)</f>
        <v>jäännössähkö</v>
      </c>
      <c r="O80" s="147">
        <f>INDEX(Muuttujat!$J$5:$J$21,MATCH($C80,Muuttujat!$H$5:$H$21,0),1)</f>
        <v>67.8692025</v>
      </c>
      <c r="P80" s="148">
        <f t="shared" si="32"/>
        <v>0.90533333333333332</v>
      </c>
      <c r="Q80" s="148">
        <f t="shared" si="22"/>
        <v>9.4666666666666663E-2</v>
      </c>
      <c r="R80" s="148">
        <f t="shared" si="22"/>
        <v>9.4666666666666663E-2</v>
      </c>
      <c r="S80" s="149">
        <f t="shared" si="26"/>
        <v>6.2656327439999995</v>
      </c>
      <c r="T80" s="150">
        <f t="shared" si="27"/>
        <v>2.1630984959999995</v>
      </c>
      <c r="U80" s="150">
        <f t="shared" si="28"/>
        <v>0</v>
      </c>
      <c r="V80" s="150">
        <f>IFERROR(INDEX(Työkonekanta!$J$3:$J$27,MATCH($A80,Työkonekanta!$A$3:$A$24,0),1)*$B80*ef_li_ion_akku/1000/1000/INDEX(Työkonekanta!$K$3:$K$27,MATCH($A80,Työkonekanta!$A$3:$A$24,0)),0)</f>
        <v>0</v>
      </c>
      <c r="W80" s="149">
        <f t="shared" si="8"/>
        <v>24.468540464823842</v>
      </c>
      <c r="X80" s="150">
        <f t="shared" si="9"/>
        <v>0.32410057319999996</v>
      </c>
      <c r="Y80" s="151">
        <f t="shared" si="10"/>
        <v>0.10654844268221575</v>
      </c>
      <c r="Z80" s="152">
        <f t="shared" si="33"/>
        <v>8.4287312399999994</v>
      </c>
      <c r="AA80" s="153">
        <f t="shared" si="34"/>
        <v>24.575088907506057</v>
      </c>
      <c r="AB80" s="153">
        <f t="shared" si="35"/>
        <v>24.899189480706056</v>
      </c>
      <c r="AC80" s="154">
        <f t="shared" si="11"/>
        <v>33.003820147506055</v>
      </c>
      <c r="AD80" s="180">
        <f t="shared" si="36"/>
        <v>33.327920720706054</v>
      </c>
      <c r="AE80" s="160"/>
    </row>
    <row r="81" spans="1:31">
      <c r="A81" s="139">
        <v>19</v>
      </c>
      <c r="B81" s="139">
        <f>IFERROR(INDEX(Työkonekanta!$F$3:$F$27,MATCH('S2 Bio'!$A81,Työkonekanta!$A$3:$A$24,0),1),0)</f>
        <v>0</v>
      </c>
      <c r="C81" s="140">
        <v>2021</v>
      </c>
      <c r="D81" s="141" t="str">
        <f>IFERROR(INDEX(Työkonekanta!$D$3:$D$27,MATCH('S2 Bio'!$A81,Työkonekanta!$A$3:$A$24,0),1),"undefined")</f>
        <v>pom</v>
      </c>
      <c r="E81" s="145">
        <f>IFERROR(INDEX(Työkonekanta!$G$3:$G$27,MATCH($A81,Työkonekanta!$A$3:$A$24,0),1)*INDEX(Työkonekanta!$H$3:$H$27,MATCH($A81,Työkonekanta!$A$3:$A$24,0),1)*(1+_xlfn.SINGLE(s2_kerroin)*($C81-2019))*$B81,0)</f>
        <v>0</v>
      </c>
      <c r="F81" s="145">
        <f t="shared" si="23"/>
        <v>0</v>
      </c>
      <c r="G81" s="145">
        <f t="shared" si="29"/>
        <v>0</v>
      </c>
      <c r="H81" s="145">
        <f t="shared" si="30"/>
        <v>0</v>
      </c>
      <c r="I81" s="145">
        <f t="shared" si="24"/>
        <v>0</v>
      </c>
      <c r="J81" s="145">
        <f t="shared" si="25"/>
        <v>0</v>
      </c>
      <c r="K81" s="142" t="str">
        <f t="shared" si="31"/>
        <v>l</v>
      </c>
      <c r="L81" s="146">
        <f>IFERROR(INDEX(Työkonekanta!$I$3:$I$27,MATCH('S2 Bio'!$A81,Työkonekanta!$A$3:$A$24,0),1)*(I81+J81)*f_adblue,0)</f>
        <v>0</v>
      </c>
      <c r="M81" s="146">
        <f t="shared" si="3"/>
        <v>0</v>
      </c>
      <c r="N81" s="143" t="str">
        <f>IF(tuulisähkö_vuosi&lt;='S2 Bio'!C81,"tuulisähkö",ostosähkö_nyt)</f>
        <v>jäännössähkö</v>
      </c>
      <c r="O81" s="147">
        <f>INDEX(Muuttujat!$J$5:$J$21,MATCH($C81,Muuttujat!$H$5:$H$21,0),1)</f>
        <v>67.8692025</v>
      </c>
      <c r="P81" s="148">
        <f t="shared" si="32"/>
        <v>0.90533333333333332</v>
      </c>
      <c r="Q81" s="148">
        <f t="shared" si="22"/>
        <v>9.4666666666666663E-2</v>
      </c>
      <c r="R81" s="148">
        <f t="shared" si="22"/>
        <v>9.4666666666666663E-2</v>
      </c>
      <c r="S81" s="149">
        <f t="shared" si="26"/>
        <v>0</v>
      </c>
      <c r="T81" s="150">
        <f t="shared" si="27"/>
        <v>0</v>
      </c>
      <c r="U81" s="150">
        <f t="shared" si="28"/>
        <v>0</v>
      </c>
      <c r="V81" s="150">
        <f>IFERROR(INDEX(Työkonekanta!$J$3:$J$27,MATCH($A81,Työkonekanta!$A$3:$A$24,0),1)*$B81*ef_li_ion_akku/1000/1000/INDEX(Työkonekanta!$K$3:$K$27,MATCH($A81,Työkonekanta!$A$3:$A$24,0)),0)</f>
        <v>0</v>
      </c>
      <c r="W81" s="149">
        <f t="shared" si="8"/>
        <v>0</v>
      </c>
      <c r="X81" s="150">
        <f t="shared" si="9"/>
        <v>0</v>
      </c>
      <c r="Y81" s="151">
        <f t="shared" si="10"/>
        <v>0</v>
      </c>
      <c r="Z81" s="152">
        <f t="shared" si="33"/>
        <v>0</v>
      </c>
      <c r="AA81" s="153">
        <f t="shared" si="34"/>
        <v>0</v>
      </c>
      <c r="AB81" s="153">
        <f t="shared" si="35"/>
        <v>0</v>
      </c>
      <c r="AC81" s="154">
        <f t="shared" si="11"/>
        <v>0</v>
      </c>
      <c r="AD81" s="180">
        <f t="shared" si="36"/>
        <v>0</v>
      </c>
      <c r="AE81" s="160"/>
    </row>
    <row r="82" spans="1:31">
      <c r="A82" s="139">
        <v>20</v>
      </c>
      <c r="B82" s="139">
        <f>IFERROR(INDEX(Työkonekanta!$F$3:$F$27,MATCH('S2 Bio'!$A82,Työkonekanta!$A$3:$A$24,0),1),0)</f>
        <v>0</v>
      </c>
      <c r="C82" s="140">
        <v>2021</v>
      </c>
      <c r="D82" s="141" t="str">
        <f>IFERROR(INDEX(Työkonekanta!$D$3:$D$27,MATCH('S2 Bio'!$A82,Työkonekanta!$A$3:$A$24,0),1),"undefined")</f>
        <v>pom</v>
      </c>
      <c r="E82" s="145">
        <f>IFERROR(INDEX(Työkonekanta!$G$3:$G$27,MATCH($A82,Työkonekanta!$A$3:$A$24,0),1)*INDEX(Työkonekanta!$H$3:$H$27,MATCH($A82,Työkonekanta!$A$3:$A$24,0),1)*(1+_xlfn.SINGLE(s2_kerroin)*($C82-2019))*$B82,0)</f>
        <v>0</v>
      </c>
      <c r="F82" s="145">
        <f t="shared" si="23"/>
        <v>0</v>
      </c>
      <c r="G82" s="145">
        <f t="shared" si="29"/>
        <v>0</v>
      </c>
      <c r="H82" s="145">
        <f t="shared" si="30"/>
        <v>0</v>
      </c>
      <c r="I82" s="145">
        <f t="shared" si="24"/>
        <v>0</v>
      </c>
      <c r="J82" s="145">
        <f t="shared" si="25"/>
        <v>0</v>
      </c>
      <c r="K82" s="142" t="str">
        <f t="shared" si="31"/>
        <v>l</v>
      </c>
      <c r="L82" s="146">
        <f>IFERROR(INDEX(Työkonekanta!$I$3:$I$27,MATCH('S2 Bio'!$A82,Työkonekanta!$A$3:$A$24,0),1)*(I82+J82)*f_adblue,0)</f>
        <v>0</v>
      </c>
      <c r="M82" s="146">
        <f t="shared" si="3"/>
        <v>0</v>
      </c>
      <c r="N82" s="143" t="str">
        <f>IF(tuulisähkö_vuosi&lt;='S2 Bio'!C82,"tuulisähkö",ostosähkö_nyt)</f>
        <v>jäännössähkö</v>
      </c>
      <c r="O82" s="147">
        <f>INDEX(Muuttujat!$J$5:$J$21,MATCH($C82,Muuttujat!$H$5:$H$21,0),1)</f>
        <v>67.8692025</v>
      </c>
      <c r="P82" s="148">
        <f t="shared" si="32"/>
        <v>0.90533333333333332</v>
      </c>
      <c r="Q82" s="148">
        <f t="shared" si="22"/>
        <v>9.4666666666666663E-2</v>
      </c>
      <c r="R82" s="148">
        <f t="shared" si="22"/>
        <v>9.4666666666666663E-2</v>
      </c>
      <c r="S82" s="149">
        <f t="shared" si="26"/>
        <v>0</v>
      </c>
      <c r="T82" s="150">
        <f t="shared" si="27"/>
        <v>0</v>
      </c>
      <c r="U82" s="150">
        <f t="shared" si="28"/>
        <v>0</v>
      </c>
      <c r="V82" s="150">
        <f>IFERROR(INDEX(Työkonekanta!$J$3:$J$27,MATCH($A82,Työkonekanta!$A$3:$A$24,0),1)*$B82*ef_li_ion_akku/1000/1000/INDEX(Työkonekanta!$K$3:$K$27,MATCH($A82,Työkonekanta!$A$3:$A$24,0)),0)</f>
        <v>0</v>
      </c>
      <c r="W82" s="149">
        <f t="shared" si="8"/>
        <v>0</v>
      </c>
      <c r="X82" s="150">
        <f t="shared" si="9"/>
        <v>0</v>
      </c>
      <c r="Y82" s="151">
        <f t="shared" si="10"/>
        <v>0</v>
      </c>
      <c r="Z82" s="152">
        <f t="shared" si="33"/>
        <v>0</v>
      </c>
      <c r="AA82" s="153">
        <f t="shared" si="34"/>
        <v>0</v>
      </c>
      <c r="AB82" s="153">
        <f t="shared" si="35"/>
        <v>0</v>
      </c>
      <c r="AC82" s="154">
        <f t="shared" si="11"/>
        <v>0</v>
      </c>
      <c r="AD82" s="180">
        <f t="shared" si="36"/>
        <v>0</v>
      </c>
      <c r="AE82" s="160"/>
    </row>
    <row r="83" spans="1:31">
      <c r="A83" s="139">
        <v>21</v>
      </c>
      <c r="B83" s="139">
        <f>IFERROR(INDEX(Työkonekanta!$F$3:$F$27,MATCH('S2 Bio'!$A83,Työkonekanta!$A$3:$A$24,0),1),0)</f>
        <v>35</v>
      </c>
      <c r="C83" s="140">
        <v>2021</v>
      </c>
      <c r="D83" s="141" t="str">
        <f>IFERROR(INDEX(Työkonekanta!$D$3:$D$27,MATCH('S2 Bio'!$A83,Työkonekanta!$A$3:$A$24,0),1),"undefined")</f>
        <v>sähkö</v>
      </c>
      <c r="E83" s="145">
        <f>IFERROR(INDEX(Työkonekanta!$G$3:$G$27,MATCH($A83,Työkonekanta!$A$3:$A$24,0),1)*INDEX(Työkonekanta!$H$3:$H$27,MATCH($A83,Työkonekanta!$A$3:$A$24,0),1)*(1+_xlfn.SINGLE(s2_kerroin)*($C83-2019))*$B83,0)</f>
        <v>415343.05555555556</v>
      </c>
      <c r="F83" s="145">
        <f t="shared" si="23"/>
        <v>0</v>
      </c>
      <c r="G83" s="145">
        <f t="shared" si="29"/>
        <v>0</v>
      </c>
      <c r="H83" s="145">
        <f t="shared" si="30"/>
        <v>0</v>
      </c>
      <c r="I83" s="145">
        <f t="shared" si="24"/>
        <v>0</v>
      </c>
      <c r="J83" s="145">
        <f t="shared" si="25"/>
        <v>0</v>
      </c>
      <c r="K83" s="142" t="str">
        <f t="shared" si="31"/>
        <v>kWh</v>
      </c>
      <c r="L83" s="146">
        <f>IFERROR(INDEX(Työkonekanta!$I$3:$I$27,MATCH('S2 Bio'!$A83,Työkonekanta!$A$3:$A$24,0),1)*(I83+J83)*f_adblue,0)</f>
        <v>0</v>
      </c>
      <c r="M83" s="146">
        <f t="shared" ref="M83:M146" si="37">IF($D83="sähkö",conv_kwh_mj*$E83,0)</f>
        <v>1495235</v>
      </c>
      <c r="N83" s="143" t="str">
        <f>IF(tuulisähkö_vuosi&lt;='S2 Bio'!C83,"tuulisähkö",ostosähkö_nyt)</f>
        <v>jäännössähkö</v>
      </c>
      <c r="O83" s="147">
        <f>INDEX(Muuttujat!$J$5:$J$21,MATCH($C83,Muuttujat!$H$5:$H$21,0),1)</f>
        <v>67.8692025</v>
      </c>
      <c r="P83" s="148">
        <f t="shared" si="32"/>
        <v>0.90533333333333332</v>
      </c>
      <c r="Q83" s="148">
        <f t="shared" ref="Q83:R102" si="38">IF(biosiirtymä_luonne="äkillinen",INDEX($AG$4:$AG$20,MATCH($C83,$AF$4:$AF$20,0),1),INDEX($AH$4:$AH$20,MATCH($C83,$AF$4:$AF$20,0),1))</f>
        <v>9.4666666666666663E-2</v>
      </c>
      <c r="R83" s="148">
        <f t="shared" si="38"/>
        <v>9.4666666666666663E-2</v>
      </c>
      <c r="S83" s="149">
        <f t="shared" si="26"/>
        <v>0</v>
      </c>
      <c r="T83" s="150">
        <f t="shared" si="27"/>
        <v>0</v>
      </c>
      <c r="U83" s="150">
        <f t="shared" si="28"/>
        <v>101.4804070000875</v>
      </c>
      <c r="V83" s="150">
        <f>IFERROR(INDEX(Työkonekanta!$J$3:$J$27,MATCH($A83,Työkonekanta!$A$3:$A$24,0),1)*$B83*ef_li_ion_akku/1000/1000/INDEX(Työkonekanta!$K$3:$K$27,MATCH($A83,Työkonekanta!$A$3:$A$24,0)),0)</f>
        <v>43.121723076923082</v>
      </c>
      <c r="W83" s="149">
        <f t="shared" ref="W83:W146" si="39">($I83*IF($D83="pom",ef_v_co2_pom,0))/1000/1000</f>
        <v>0</v>
      </c>
      <c r="X83" s="150">
        <f t="shared" ref="X83:X146" si="40">($E83*(IF($D83="pom",ef_v_ch4_pom,0)*gwp100_ch4+IF($D83="pom",ef_v_n2o_pom,0)*gwp100_n2o))/1000/1000</f>
        <v>0</v>
      </c>
      <c r="Y83" s="151">
        <f t="shared" ref="Y83:Y146" si="41">$L83*ef_v_co2_adblue/1000/1000</f>
        <v>0</v>
      </c>
      <c r="Z83" s="152">
        <f t="shared" si="33"/>
        <v>144.60213007701057</v>
      </c>
      <c r="AA83" s="153">
        <f t="shared" si="34"/>
        <v>0</v>
      </c>
      <c r="AB83" s="153">
        <f t="shared" si="35"/>
        <v>0</v>
      </c>
      <c r="AC83" s="154">
        <f t="shared" ref="AC83:AC146" si="42">$Z83+$AA83</f>
        <v>144.60213007701057</v>
      </c>
      <c r="AD83" s="180">
        <f t="shared" si="36"/>
        <v>144.60213007701057</v>
      </c>
      <c r="AE83" s="160"/>
    </row>
    <row r="84" spans="1:31">
      <c r="A84" s="139">
        <v>22</v>
      </c>
      <c r="B84" s="139">
        <f>IFERROR(INDEX(Työkonekanta!$F$3:$F$27,MATCH('S2 Bio'!$A84,Työkonekanta!$A$3:$A$24,0),1),0)</f>
        <v>0</v>
      </c>
      <c r="C84" s="140">
        <v>2021</v>
      </c>
      <c r="D84" s="141" t="str">
        <f>IFERROR(INDEX(Työkonekanta!$D$3:$D$27,MATCH('S2 Bio'!$A84,Työkonekanta!$A$3:$A$24,0),1),"undefined")</f>
        <v>sähkö</v>
      </c>
      <c r="E84" s="145">
        <f>IFERROR(INDEX(Työkonekanta!$G$3:$G$27,MATCH($A84,Työkonekanta!$A$3:$A$24,0),1)*INDEX(Työkonekanta!$H$3:$H$27,MATCH($A84,Työkonekanta!$A$3:$A$24,0),1)*(1+_xlfn.SINGLE(s2_kerroin)*($C84-2019))*$B84,0)</f>
        <v>0</v>
      </c>
      <c r="F84" s="145">
        <f t="shared" si="23"/>
        <v>0</v>
      </c>
      <c r="G84" s="145">
        <f t="shared" si="29"/>
        <v>0</v>
      </c>
      <c r="H84" s="145">
        <f t="shared" si="30"/>
        <v>0</v>
      </c>
      <c r="I84" s="145">
        <f t="shared" si="24"/>
        <v>0</v>
      </c>
      <c r="J84" s="145">
        <f t="shared" si="25"/>
        <v>0</v>
      </c>
      <c r="K84" s="142" t="str">
        <f t="shared" si="31"/>
        <v>kWh</v>
      </c>
      <c r="L84" s="146">
        <f>IFERROR(INDEX(Työkonekanta!$I$3:$I$27,MATCH('S2 Bio'!$A84,Työkonekanta!$A$3:$A$24,0),1)*(I84+J84)*f_adblue,0)</f>
        <v>0</v>
      </c>
      <c r="M84" s="146">
        <f t="shared" si="37"/>
        <v>0</v>
      </c>
      <c r="N84" s="143" t="str">
        <f>IF(tuulisähkö_vuosi&lt;='S2 Bio'!C84,"tuulisähkö",ostosähkö_nyt)</f>
        <v>jäännössähkö</v>
      </c>
      <c r="O84" s="147">
        <f>INDEX(Muuttujat!$J$5:$J$21,MATCH($C84,Muuttujat!$H$5:$H$21,0),1)</f>
        <v>67.8692025</v>
      </c>
      <c r="P84" s="148">
        <f t="shared" si="32"/>
        <v>0.90533333333333332</v>
      </c>
      <c r="Q84" s="148">
        <f t="shared" si="38"/>
        <v>9.4666666666666663E-2</v>
      </c>
      <c r="R84" s="148">
        <f t="shared" si="38"/>
        <v>9.4666666666666663E-2</v>
      </c>
      <c r="S84" s="149">
        <f t="shared" si="26"/>
        <v>0</v>
      </c>
      <c r="T84" s="150">
        <f t="shared" si="27"/>
        <v>0</v>
      </c>
      <c r="U84" s="150">
        <f t="shared" si="28"/>
        <v>0</v>
      </c>
      <c r="V84" s="150">
        <f>IFERROR(INDEX(Työkonekanta!$J$3:$J$27,MATCH($A84,Työkonekanta!$A$3:$A$24,0),1)*$B84*ef_li_ion_akku/1000/1000/INDEX(Työkonekanta!$K$3:$K$27,MATCH($A84,Työkonekanta!$A$3:$A$24,0)),0)</f>
        <v>0</v>
      </c>
      <c r="W84" s="149">
        <f t="shared" si="39"/>
        <v>0</v>
      </c>
      <c r="X84" s="150">
        <f t="shared" si="40"/>
        <v>0</v>
      </c>
      <c r="Y84" s="151">
        <f t="shared" si="41"/>
        <v>0</v>
      </c>
      <c r="Z84" s="152">
        <f t="shared" si="33"/>
        <v>0</v>
      </c>
      <c r="AA84" s="153">
        <f t="shared" si="34"/>
        <v>0</v>
      </c>
      <c r="AB84" s="153">
        <f t="shared" si="35"/>
        <v>0</v>
      </c>
      <c r="AC84" s="154">
        <f t="shared" si="42"/>
        <v>0</v>
      </c>
      <c r="AD84" s="180">
        <f t="shared" si="36"/>
        <v>0</v>
      </c>
      <c r="AE84" s="160"/>
    </row>
    <row r="85" spans="1:31">
      <c r="A85" s="139">
        <v>23</v>
      </c>
      <c r="B85" s="139">
        <f>IFERROR(INDEX(Työkonekanta!$F$3:$F$27,MATCH('S2 Bio'!$A85,Työkonekanta!$A$3:$A$24,0),1),0)</f>
        <v>0</v>
      </c>
      <c r="C85" s="140">
        <v>2021</v>
      </c>
      <c r="D85" s="141" t="str">
        <f>IFERROR(INDEX(Työkonekanta!$D$3:$D$27,MATCH('S2 Bio'!$A85,Työkonekanta!$A$3:$A$24,0),1),"undefined")</f>
        <v>undefined</v>
      </c>
      <c r="E85" s="145">
        <f>IFERROR(INDEX(Työkonekanta!$G$3:$G$27,MATCH($A85,Työkonekanta!$A$3:$A$24,0),1)*INDEX(Työkonekanta!$H$3:$H$27,MATCH($A85,Työkonekanta!$A$3:$A$24,0),1)*(1+_xlfn.SINGLE(s2_kerroin)*($C85-2019))*$B85,0)</f>
        <v>0</v>
      </c>
      <c r="F85" s="145">
        <f t="shared" si="23"/>
        <v>0</v>
      </c>
      <c r="G85" s="145">
        <f t="shared" si="29"/>
        <v>0</v>
      </c>
      <c r="H85" s="145">
        <f t="shared" si="30"/>
        <v>0</v>
      </c>
      <c r="I85" s="145">
        <f t="shared" si="24"/>
        <v>0</v>
      </c>
      <c r="J85" s="145">
        <f t="shared" si="25"/>
        <v>0</v>
      </c>
      <c r="K85" s="142" t="str">
        <f t="shared" si="31"/>
        <v>undefined</v>
      </c>
      <c r="L85" s="146">
        <f>IFERROR(INDEX(Työkonekanta!$I$3:$I$27,MATCH('S2 Bio'!$A85,Työkonekanta!$A$3:$A$24,0),1)*(I85+J85)*f_adblue,0)</f>
        <v>0</v>
      </c>
      <c r="M85" s="146">
        <f t="shared" si="37"/>
        <v>0</v>
      </c>
      <c r="N85" s="143" t="str">
        <f>IF(tuulisähkö_vuosi&lt;='S2 Bio'!C85,"tuulisähkö",ostosähkö_nyt)</f>
        <v>jäännössähkö</v>
      </c>
      <c r="O85" s="147">
        <f>INDEX(Muuttujat!$J$5:$J$21,MATCH($C85,Muuttujat!$H$5:$H$21,0),1)</f>
        <v>67.8692025</v>
      </c>
      <c r="P85" s="148">
        <f t="shared" si="32"/>
        <v>0.90533333333333332</v>
      </c>
      <c r="Q85" s="148">
        <f t="shared" si="38"/>
        <v>9.4666666666666663E-2</v>
      </c>
      <c r="R85" s="148">
        <f t="shared" si="38"/>
        <v>9.4666666666666663E-2</v>
      </c>
      <c r="S85" s="149">
        <f t="shared" si="26"/>
        <v>0</v>
      </c>
      <c r="T85" s="150">
        <f t="shared" si="27"/>
        <v>0</v>
      </c>
      <c r="U85" s="150">
        <f t="shared" si="28"/>
        <v>0</v>
      </c>
      <c r="V85" s="150">
        <f>IFERROR(INDEX(Työkonekanta!$J$3:$J$27,MATCH($A85,Työkonekanta!$A$3:$A$24,0),1)*$B85*ef_li_ion_akku/1000/1000/INDEX(Työkonekanta!$K$3:$K$27,MATCH($A85,Työkonekanta!$A$3:$A$24,0)),0)</f>
        <v>0</v>
      </c>
      <c r="W85" s="149">
        <f t="shared" si="39"/>
        <v>0</v>
      </c>
      <c r="X85" s="150">
        <f t="shared" si="40"/>
        <v>0</v>
      </c>
      <c r="Y85" s="151">
        <f t="shared" si="41"/>
        <v>0</v>
      </c>
      <c r="Z85" s="152">
        <f t="shared" si="33"/>
        <v>0</v>
      </c>
      <c r="AA85" s="153">
        <f t="shared" si="34"/>
        <v>0</v>
      </c>
      <c r="AB85" s="153">
        <f t="shared" si="35"/>
        <v>0</v>
      </c>
      <c r="AC85" s="154">
        <f t="shared" si="42"/>
        <v>0</v>
      </c>
      <c r="AD85" s="180">
        <f t="shared" si="36"/>
        <v>0</v>
      </c>
      <c r="AE85" s="160"/>
    </row>
    <row r="86" spans="1:31">
      <c r="A86" s="139">
        <v>24</v>
      </c>
      <c r="B86" s="139">
        <f>IFERROR(INDEX(Työkonekanta!$F$3:$F$27,MATCH('S2 Bio'!$A86,Työkonekanta!$A$3:$A$24,0),1),0)</f>
        <v>0</v>
      </c>
      <c r="C86" s="140">
        <v>2021</v>
      </c>
      <c r="D86" s="141" t="str">
        <f>IFERROR(INDEX(Työkonekanta!$D$3:$D$27,MATCH('S2 Bio'!$A86,Työkonekanta!$A$3:$A$24,0),1),"undefined")</f>
        <v>undefined</v>
      </c>
      <c r="E86" s="145">
        <f>IFERROR(INDEX(Työkonekanta!$G$3:$G$27,MATCH($A86,Työkonekanta!$A$3:$A$24,0),1)*INDEX(Työkonekanta!$H$3:$H$27,MATCH($A86,Työkonekanta!$A$3:$A$24,0),1)*(1+_xlfn.SINGLE(s2_kerroin)*($C86-2019))*$B86,0)</f>
        <v>0</v>
      </c>
      <c r="F86" s="145">
        <f t="shared" si="23"/>
        <v>0</v>
      </c>
      <c r="G86" s="145">
        <f t="shared" si="29"/>
        <v>0</v>
      </c>
      <c r="H86" s="145">
        <f t="shared" si="30"/>
        <v>0</v>
      </c>
      <c r="I86" s="145">
        <f t="shared" si="24"/>
        <v>0</v>
      </c>
      <c r="J86" s="145">
        <f t="shared" si="25"/>
        <v>0</v>
      </c>
      <c r="K86" s="142" t="str">
        <f t="shared" si="31"/>
        <v>undefined</v>
      </c>
      <c r="L86" s="146">
        <f>IFERROR(INDEX(Työkonekanta!$I$3:$I$27,MATCH('S2 Bio'!$A86,Työkonekanta!$A$3:$A$24,0),1)*(I86+J86)*f_adblue,0)</f>
        <v>0</v>
      </c>
      <c r="M86" s="146">
        <f t="shared" si="37"/>
        <v>0</v>
      </c>
      <c r="N86" s="143" t="str">
        <f>IF(tuulisähkö_vuosi&lt;='S2 Bio'!C86,"tuulisähkö",ostosähkö_nyt)</f>
        <v>jäännössähkö</v>
      </c>
      <c r="O86" s="147">
        <f>INDEX(Muuttujat!$J$5:$J$21,MATCH($C86,Muuttujat!$H$5:$H$21,0),1)</f>
        <v>67.8692025</v>
      </c>
      <c r="P86" s="148">
        <f t="shared" si="32"/>
        <v>0.90533333333333332</v>
      </c>
      <c r="Q86" s="148">
        <f t="shared" si="38"/>
        <v>9.4666666666666663E-2</v>
      </c>
      <c r="R86" s="148">
        <f t="shared" si="38"/>
        <v>9.4666666666666663E-2</v>
      </c>
      <c r="S86" s="149">
        <f t="shared" si="26"/>
        <v>0</v>
      </c>
      <c r="T86" s="150">
        <f t="shared" si="27"/>
        <v>0</v>
      </c>
      <c r="U86" s="150">
        <f t="shared" si="28"/>
        <v>0</v>
      </c>
      <c r="V86" s="150">
        <f>IFERROR(INDEX(Työkonekanta!$J$3:$J$27,MATCH($A86,Työkonekanta!$A$3:$A$24,0),1)*$B86*ef_li_ion_akku/1000/1000/INDEX(Työkonekanta!$K$3:$K$27,MATCH($A86,Työkonekanta!$A$3:$A$24,0)),0)</f>
        <v>0</v>
      </c>
      <c r="W86" s="149">
        <f t="shared" si="39"/>
        <v>0</v>
      </c>
      <c r="X86" s="150">
        <f t="shared" si="40"/>
        <v>0</v>
      </c>
      <c r="Y86" s="151">
        <f t="shared" si="41"/>
        <v>0</v>
      </c>
      <c r="Z86" s="152">
        <f t="shared" si="33"/>
        <v>0</v>
      </c>
      <c r="AA86" s="153">
        <f t="shared" si="34"/>
        <v>0</v>
      </c>
      <c r="AB86" s="153">
        <f t="shared" si="35"/>
        <v>0</v>
      </c>
      <c r="AC86" s="154">
        <f t="shared" si="42"/>
        <v>0</v>
      </c>
      <c r="AD86" s="180">
        <f t="shared" si="36"/>
        <v>0</v>
      </c>
      <c r="AE86" s="160"/>
    </row>
    <row r="87" spans="1:31">
      <c r="A87" s="139">
        <v>25</v>
      </c>
      <c r="B87" s="139">
        <f>IFERROR(INDEX(Työkonekanta!$F$3:$F$27,MATCH('S2 Bio'!$A87,Työkonekanta!$A$3:$A$24,0),1),0)</f>
        <v>0</v>
      </c>
      <c r="C87" s="140">
        <v>2021</v>
      </c>
      <c r="D87" s="141" t="str">
        <f>IFERROR(INDEX(Työkonekanta!$D$3:$D$27,MATCH('S2 Bio'!$A87,Työkonekanta!$A$3:$A$24,0),1),"undefined")</f>
        <v>undefined</v>
      </c>
      <c r="E87" s="145">
        <f>IFERROR(INDEX(Työkonekanta!$G$3:$G$27,MATCH($A87,Työkonekanta!$A$3:$A$24,0),1)*INDEX(Työkonekanta!$H$3:$H$27,MATCH($A87,Työkonekanta!$A$3:$A$24,0),1)*(1+_xlfn.SINGLE(s2_kerroin)*($C87-2019))*$B87,0)</f>
        <v>0</v>
      </c>
      <c r="F87" s="145">
        <f t="shared" si="23"/>
        <v>0</v>
      </c>
      <c r="G87" s="145">
        <f t="shared" si="29"/>
        <v>0</v>
      </c>
      <c r="H87" s="145">
        <f t="shared" si="30"/>
        <v>0</v>
      </c>
      <c r="I87" s="145">
        <f t="shared" si="24"/>
        <v>0</v>
      </c>
      <c r="J87" s="145">
        <f t="shared" si="25"/>
        <v>0</v>
      </c>
      <c r="K87" s="142" t="str">
        <f t="shared" si="31"/>
        <v>undefined</v>
      </c>
      <c r="L87" s="146">
        <f>IFERROR(INDEX(Työkonekanta!$I$3:$I$27,MATCH('S2 Bio'!$A87,Työkonekanta!$A$3:$A$24,0),1)*(I87+J87)*f_adblue,0)</f>
        <v>0</v>
      </c>
      <c r="M87" s="146">
        <f t="shared" si="37"/>
        <v>0</v>
      </c>
      <c r="N87" s="143" t="str">
        <f>IF(tuulisähkö_vuosi&lt;='S2 Bio'!C87,"tuulisähkö",ostosähkö_nyt)</f>
        <v>jäännössähkö</v>
      </c>
      <c r="O87" s="147">
        <f>INDEX(Muuttujat!$J$5:$J$21,MATCH($C87,Muuttujat!$H$5:$H$21,0),1)</f>
        <v>67.8692025</v>
      </c>
      <c r="P87" s="148">
        <f t="shared" si="32"/>
        <v>0.90533333333333332</v>
      </c>
      <c r="Q87" s="148">
        <f t="shared" si="38"/>
        <v>9.4666666666666663E-2</v>
      </c>
      <c r="R87" s="148">
        <f t="shared" si="38"/>
        <v>9.4666666666666663E-2</v>
      </c>
      <c r="S87" s="149">
        <f t="shared" si="26"/>
        <v>0</v>
      </c>
      <c r="T87" s="150">
        <f t="shared" si="27"/>
        <v>0</v>
      </c>
      <c r="U87" s="150">
        <f t="shared" si="28"/>
        <v>0</v>
      </c>
      <c r="V87" s="150">
        <f>IFERROR(INDEX(Työkonekanta!$J$3:$J$27,MATCH($A87,Työkonekanta!$A$3:$A$24,0),1)*$B87*ef_li_ion_akku/1000/1000/INDEX(Työkonekanta!$K$3:$K$27,MATCH($A87,Työkonekanta!$A$3:$A$24,0)),0)</f>
        <v>0</v>
      </c>
      <c r="W87" s="149">
        <f t="shared" si="39"/>
        <v>0</v>
      </c>
      <c r="X87" s="150">
        <f t="shared" si="40"/>
        <v>0</v>
      </c>
      <c r="Y87" s="151">
        <f t="shared" si="41"/>
        <v>0</v>
      </c>
      <c r="Z87" s="152">
        <f t="shared" si="33"/>
        <v>0</v>
      </c>
      <c r="AA87" s="153">
        <f t="shared" si="34"/>
        <v>0</v>
      </c>
      <c r="AB87" s="153">
        <f t="shared" si="35"/>
        <v>0</v>
      </c>
      <c r="AC87" s="154">
        <f t="shared" si="42"/>
        <v>0</v>
      </c>
      <c r="AD87" s="180">
        <f t="shared" si="36"/>
        <v>0</v>
      </c>
      <c r="AE87" s="160"/>
    </row>
    <row r="88" spans="1:31">
      <c r="A88" s="139">
        <v>26</v>
      </c>
      <c r="B88" s="139">
        <f>IFERROR(INDEX(Työkonekanta!$F$3:$F$27,MATCH('S2 Bio'!$A88,Työkonekanta!$A$3:$A$24,0),1),0)</f>
        <v>0</v>
      </c>
      <c r="C88" s="140">
        <v>2021</v>
      </c>
      <c r="D88" s="141" t="str">
        <f>IFERROR(INDEX(Työkonekanta!$D$3:$D$27,MATCH('S2 Bio'!$A88,Työkonekanta!$A$3:$A$24,0),1),"undefined")</f>
        <v>undefined</v>
      </c>
      <c r="E88" s="145">
        <f>IFERROR(INDEX(Työkonekanta!$G$3:$G$27,MATCH($A88,Työkonekanta!$A$3:$A$24,0),1)*INDEX(Työkonekanta!$H$3:$H$27,MATCH($A88,Työkonekanta!$A$3:$A$24,0),1)*(1+_xlfn.SINGLE(s2_kerroin)*($C88-2019))*$B88,0)</f>
        <v>0</v>
      </c>
      <c r="F88" s="145">
        <f t="shared" si="23"/>
        <v>0</v>
      </c>
      <c r="G88" s="145">
        <f t="shared" si="29"/>
        <v>0</v>
      </c>
      <c r="H88" s="145">
        <f t="shared" si="30"/>
        <v>0</v>
      </c>
      <c r="I88" s="145">
        <f t="shared" si="24"/>
        <v>0</v>
      </c>
      <c r="J88" s="145">
        <f t="shared" si="25"/>
        <v>0</v>
      </c>
      <c r="K88" s="142" t="str">
        <f t="shared" si="31"/>
        <v>undefined</v>
      </c>
      <c r="L88" s="146">
        <f>IFERROR(INDEX(Työkonekanta!$I$3:$I$27,MATCH('S2 Bio'!$A88,Työkonekanta!$A$3:$A$24,0),1)*(I88+J88)*f_adblue,0)</f>
        <v>0</v>
      </c>
      <c r="M88" s="146">
        <f t="shared" si="37"/>
        <v>0</v>
      </c>
      <c r="N88" s="143" t="str">
        <f>IF(tuulisähkö_vuosi&lt;='S2 Bio'!C88,"tuulisähkö",ostosähkö_nyt)</f>
        <v>jäännössähkö</v>
      </c>
      <c r="O88" s="147">
        <f>INDEX(Muuttujat!$J$5:$J$21,MATCH($C88,Muuttujat!$H$5:$H$21,0),1)</f>
        <v>67.8692025</v>
      </c>
      <c r="P88" s="148">
        <f t="shared" si="32"/>
        <v>0.90533333333333332</v>
      </c>
      <c r="Q88" s="148">
        <f t="shared" si="38"/>
        <v>9.4666666666666663E-2</v>
      </c>
      <c r="R88" s="148">
        <f t="shared" si="38"/>
        <v>9.4666666666666663E-2</v>
      </c>
      <c r="S88" s="149">
        <f t="shared" si="26"/>
        <v>0</v>
      </c>
      <c r="T88" s="150">
        <f t="shared" si="27"/>
        <v>0</v>
      </c>
      <c r="U88" s="150">
        <f t="shared" si="28"/>
        <v>0</v>
      </c>
      <c r="V88" s="150">
        <f>IFERROR(INDEX(Työkonekanta!$J$3:$J$27,MATCH($A88,Työkonekanta!$A$3:$A$24,0),1)*$B88*ef_li_ion_akku/1000/1000/INDEX(Työkonekanta!$K$3:$K$27,MATCH($A88,Työkonekanta!$A$3:$A$24,0)),0)</f>
        <v>0</v>
      </c>
      <c r="W88" s="149">
        <f t="shared" si="39"/>
        <v>0</v>
      </c>
      <c r="X88" s="150">
        <f t="shared" si="40"/>
        <v>0</v>
      </c>
      <c r="Y88" s="151">
        <f t="shared" si="41"/>
        <v>0</v>
      </c>
      <c r="Z88" s="152">
        <f t="shared" si="33"/>
        <v>0</v>
      </c>
      <c r="AA88" s="153">
        <f t="shared" si="34"/>
        <v>0</v>
      </c>
      <c r="AB88" s="153">
        <f t="shared" si="35"/>
        <v>0</v>
      </c>
      <c r="AC88" s="154">
        <f t="shared" si="42"/>
        <v>0</v>
      </c>
      <c r="AD88" s="180">
        <f t="shared" si="36"/>
        <v>0</v>
      </c>
      <c r="AE88" s="160"/>
    </row>
    <row r="89" spans="1:31">
      <c r="A89" s="139">
        <v>27</v>
      </c>
      <c r="B89" s="139">
        <f>IFERROR(INDEX(Työkonekanta!$F$3:$F$27,MATCH('S2 Bio'!$A89,Työkonekanta!$A$3:$A$24,0),1),0)</f>
        <v>0</v>
      </c>
      <c r="C89" s="140">
        <v>2021</v>
      </c>
      <c r="D89" s="141" t="str">
        <f>IFERROR(INDEX(Työkonekanta!$D$3:$D$27,MATCH('S2 Bio'!$A89,Työkonekanta!$A$3:$A$24,0),1),"undefined")</f>
        <v>undefined</v>
      </c>
      <c r="E89" s="145">
        <f>IFERROR(INDEX(Työkonekanta!$G$3:$G$27,MATCH($A89,Työkonekanta!$A$3:$A$24,0),1)*INDEX(Työkonekanta!$H$3:$H$27,MATCH($A89,Työkonekanta!$A$3:$A$24,0),1)*(1+_xlfn.SINGLE(s2_kerroin)*($C89-2019))*$B89,0)</f>
        <v>0</v>
      </c>
      <c r="F89" s="145">
        <f t="shared" si="23"/>
        <v>0</v>
      </c>
      <c r="G89" s="145">
        <f t="shared" si="29"/>
        <v>0</v>
      </c>
      <c r="H89" s="145">
        <f t="shared" si="30"/>
        <v>0</v>
      </c>
      <c r="I89" s="145">
        <f t="shared" si="24"/>
        <v>0</v>
      </c>
      <c r="J89" s="145">
        <f t="shared" si="25"/>
        <v>0</v>
      </c>
      <c r="K89" s="142" t="str">
        <f t="shared" si="31"/>
        <v>undefined</v>
      </c>
      <c r="L89" s="146">
        <f>IFERROR(INDEX(Työkonekanta!$I$3:$I$27,MATCH('S2 Bio'!$A89,Työkonekanta!$A$3:$A$24,0),1)*(I89+J89)*f_adblue,0)</f>
        <v>0</v>
      </c>
      <c r="M89" s="146">
        <f t="shared" si="37"/>
        <v>0</v>
      </c>
      <c r="N89" s="143" t="str">
        <f>IF(tuulisähkö_vuosi&lt;='S2 Bio'!C89,"tuulisähkö",ostosähkö_nyt)</f>
        <v>jäännössähkö</v>
      </c>
      <c r="O89" s="147">
        <f>INDEX(Muuttujat!$J$5:$J$21,MATCH($C89,Muuttujat!$H$5:$H$21,0),1)</f>
        <v>67.8692025</v>
      </c>
      <c r="P89" s="148">
        <f t="shared" si="32"/>
        <v>0.90533333333333332</v>
      </c>
      <c r="Q89" s="148">
        <f t="shared" si="38"/>
        <v>9.4666666666666663E-2</v>
      </c>
      <c r="R89" s="148">
        <f t="shared" si="38"/>
        <v>9.4666666666666663E-2</v>
      </c>
      <c r="S89" s="149">
        <f t="shared" si="26"/>
        <v>0</v>
      </c>
      <c r="T89" s="150">
        <f t="shared" si="27"/>
        <v>0</v>
      </c>
      <c r="U89" s="150">
        <f t="shared" si="28"/>
        <v>0</v>
      </c>
      <c r="V89" s="150">
        <f>IFERROR(INDEX(Työkonekanta!$J$3:$J$27,MATCH($A89,Työkonekanta!$A$3:$A$24,0),1)*$B89*ef_li_ion_akku/1000/1000/INDEX(Työkonekanta!$K$3:$K$27,MATCH($A89,Työkonekanta!$A$3:$A$24,0)),0)</f>
        <v>0</v>
      </c>
      <c r="W89" s="149">
        <f t="shared" si="39"/>
        <v>0</v>
      </c>
      <c r="X89" s="150">
        <f t="shared" si="40"/>
        <v>0</v>
      </c>
      <c r="Y89" s="151">
        <f t="shared" si="41"/>
        <v>0</v>
      </c>
      <c r="Z89" s="152">
        <f t="shared" si="33"/>
        <v>0</v>
      </c>
      <c r="AA89" s="153">
        <f t="shared" si="34"/>
        <v>0</v>
      </c>
      <c r="AB89" s="153">
        <f t="shared" si="35"/>
        <v>0</v>
      </c>
      <c r="AC89" s="154">
        <f t="shared" si="42"/>
        <v>0</v>
      </c>
      <c r="AD89" s="180">
        <f t="shared" si="36"/>
        <v>0</v>
      </c>
      <c r="AE89" s="160"/>
    </row>
    <row r="90" spans="1:31">
      <c r="A90" s="139">
        <v>28</v>
      </c>
      <c r="B90" s="139">
        <f>IFERROR(INDEX(Työkonekanta!$F$3:$F$27,MATCH('S2 Bio'!$A90,Työkonekanta!$A$3:$A$24,0),1),0)</f>
        <v>0</v>
      </c>
      <c r="C90" s="140">
        <v>2021</v>
      </c>
      <c r="D90" s="141" t="str">
        <f>IFERROR(INDEX(Työkonekanta!$D$3:$D$27,MATCH('S2 Bio'!$A90,Työkonekanta!$A$3:$A$24,0),1),"undefined")</f>
        <v>undefined</v>
      </c>
      <c r="E90" s="145">
        <f>IFERROR(INDEX(Työkonekanta!$G$3:$G$27,MATCH($A90,Työkonekanta!$A$3:$A$24,0),1)*INDEX(Työkonekanta!$H$3:$H$27,MATCH($A90,Työkonekanta!$A$3:$A$24,0),1)*(1+_xlfn.SINGLE(s2_kerroin)*($C90-2019))*$B90,0)</f>
        <v>0</v>
      </c>
      <c r="F90" s="145">
        <f t="shared" si="23"/>
        <v>0</v>
      </c>
      <c r="G90" s="145">
        <f t="shared" si="29"/>
        <v>0</v>
      </c>
      <c r="H90" s="145">
        <f t="shared" si="30"/>
        <v>0</v>
      </c>
      <c r="I90" s="145">
        <f t="shared" si="24"/>
        <v>0</v>
      </c>
      <c r="J90" s="145">
        <f t="shared" si="25"/>
        <v>0</v>
      </c>
      <c r="K90" s="142" t="str">
        <f t="shared" si="31"/>
        <v>undefined</v>
      </c>
      <c r="L90" s="146">
        <f>IFERROR(INDEX(Työkonekanta!$I$3:$I$27,MATCH('S2 Bio'!$A90,Työkonekanta!$A$3:$A$24,0),1)*(I90+J90)*f_adblue,0)</f>
        <v>0</v>
      </c>
      <c r="M90" s="146">
        <f t="shared" si="37"/>
        <v>0</v>
      </c>
      <c r="N90" s="143" t="str">
        <f>IF(tuulisähkö_vuosi&lt;='S2 Bio'!C90,"tuulisähkö",ostosähkö_nyt)</f>
        <v>jäännössähkö</v>
      </c>
      <c r="O90" s="147">
        <f>INDEX(Muuttujat!$J$5:$J$21,MATCH($C90,Muuttujat!$H$5:$H$21,0),1)</f>
        <v>67.8692025</v>
      </c>
      <c r="P90" s="148">
        <f t="shared" si="32"/>
        <v>0.90533333333333332</v>
      </c>
      <c r="Q90" s="148">
        <f t="shared" si="38"/>
        <v>9.4666666666666663E-2</v>
      </c>
      <c r="R90" s="148">
        <f t="shared" si="38"/>
        <v>9.4666666666666663E-2</v>
      </c>
      <c r="S90" s="149">
        <f t="shared" si="26"/>
        <v>0</v>
      </c>
      <c r="T90" s="150">
        <f t="shared" si="27"/>
        <v>0</v>
      </c>
      <c r="U90" s="150">
        <f t="shared" si="28"/>
        <v>0</v>
      </c>
      <c r="V90" s="150">
        <f>IFERROR(INDEX(Työkonekanta!$J$3:$J$27,MATCH($A90,Työkonekanta!$A$3:$A$24,0),1)*$B90*ef_li_ion_akku/1000/1000/INDEX(Työkonekanta!$K$3:$K$27,MATCH($A90,Työkonekanta!$A$3:$A$24,0)),0)</f>
        <v>0</v>
      </c>
      <c r="W90" s="149">
        <f t="shared" si="39"/>
        <v>0</v>
      </c>
      <c r="X90" s="150">
        <f t="shared" si="40"/>
        <v>0</v>
      </c>
      <c r="Y90" s="151">
        <f t="shared" si="41"/>
        <v>0</v>
      </c>
      <c r="Z90" s="152">
        <f t="shared" si="33"/>
        <v>0</v>
      </c>
      <c r="AA90" s="153">
        <f t="shared" si="34"/>
        <v>0</v>
      </c>
      <c r="AB90" s="153">
        <f t="shared" si="35"/>
        <v>0</v>
      </c>
      <c r="AC90" s="154">
        <f t="shared" si="42"/>
        <v>0</v>
      </c>
      <c r="AD90" s="180">
        <f t="shared" si="36"/>
        <v>0</v>
      </c>
      <c r="AE90" s="160"/>
    </row>
    <row r="91" spans="1:31">
      <c r="A91" s="139">
        <v>29</v>
      </c>
      <c r="B91" s="139">
        <f>IFERROR(INDEX(Työkonekanta!$F$3:$F$27,MATCH('S2 Bio'!$A91,Työkonekanta!$A$3:$A$24,0),1),0)</f>
        <v>0</v>
      </c>
      <c r="C91" s="140">
        <v>2021</v>
      </c>
      <c r="D91" s="141" t="str">
        <f>IFERROR(INDEX(Työkonekanta!$D$3:$D$27,MATCH('S2 Bio'!$A91,Työkonekanta!$A$3:$A$24,0),1),"undefined")</f>
        <v>undefined</v>
      </c>
      <c r="E91" s="145">
        <f>IFERROR(INDEX(Työkonekanta!$G$3:$G$27,MATCH($A91,Työkonekanta!$A$3:$A$24,0),1)*INDEX(Työkonekanta!$H$3:$H$27,MATCH($A91,Työkonekanta!$A$3:$A$24,0),1)*(1+_xlfn.SINGLE(s2_kerroin)*($C91-2019))*$B91,0)</f>
        <v>0</v>
      </c>
      <c r="F91" s="145">
        <f t="shared" si="23"/>
        <v>0</v>
      </c>
      <c r="G91" s="145">
        <f t="shared" si="29"/>
        <v>0</v>
      </c>
      <c r="H91" s="145">
        <f t="shared" si="30"/>
        <v>0</v>
      </c>
      <c r="I91" s="145">
        <f t="shared" si="24"/>
        <v>0</v>
      </c>
      <c r="J91" s="145">
        <f t="shared" si="25"/>
        <v>0</v>
      </c>
      <c r="K91" s="142" t="str">
        <f t="shared" si="31"/>
        <v>undefined</v>
      </c>
      <c r="L91" s="146">
        <f>IFERROR(INDEX(Työkonekanta!$I$3:$I$27,MATCH('S2 Bio'!$A91,Työkonekanta!$A$3:$A$24,0),1)*(I91+J91)*f_adblue,0)</f>
        <v>0</v>
      </c>
      <c r="M91" s="146">
        <f t="shared" si="37"/>
        <v>0</v>
      </c>
      <c r="N91" s="143" t="str">
        <f>IF(tuulisähkö_vuosi&lt;='S2 Bio'!C91,"tuulisähkö",ostosähkö_nyt)</f>
        <v>jäännössähkö</v>
      </c>
      <c r="O91" s="147">
        <f>INDEX(Muuttujat!$J$5:$J$21,MATCH($C91,Muuttujat!$H$5:$H$21,0),1)</f>
        <v>67.8692025</v>
      </c>
      <c r="P91" s="148">
        <f t="shared" si="32"/>
        <v>0.90533333333333332</v>
      </c>
      <c r="Q91" s="148">
        <f t="shared" si="38"/>
        <v>9.4666666666666663E-2</v>
      </c>
      <c r="R91" s="148">
        <f t="shared" si="38"/>
        <v>9.4666666666666663E-2</v>
      </c>
      <c r="S91" s="149">
        <f t="shared" si="26"/>
        <v>0</v>
      </c>
      <c r="T91" s="150">
        <f t="shared" si="27"/>
        <v>0</v>
      </c>
      <c r="U91" s="150">
        <f t="shared" si="28"/>
        <v>0</v>
      </c>
      <c r="V91" s="150">
        <f>IFERROR(INDEX(Työkonekanta!$J$3:$J$27,MATCH($A91,Työkonekanta!$A$3:$A$24,0),1)*$B91*ef_li_ion_akku/1000/1000/INDEX(Työkonekanta!$K$3:$K$27,MATCH($A91,Työkonekanta!$A$3:$A$24,0)),0)</f>
        <v>0</v>
      </c>
      <c r="W91" s="149">
        <f t="shared" si="39"/>
        <v>0</v>
      </c>
      <c r="X91" s="150">
        <f t="shared" si="40"/>
        <v>0</v>
      </c>
      <c r="Y91" s="151">
        <f t="shared" si="41"/>
        <v>0</v>
      </c>
      <c r="Z91" s="152">
        <f t="shared" si="33"/>
        <v>0</v>
      </c>
      <c r="AA91" s="153">
        <f t="shared" si="34"/>
        <v>0</v>
      </c>
      <c r="AB91" s="153">
        <f t="shared" si="35"/>
        <v>0</v>
      </c>
      <c r="AC91" s="154">
        <f t="shared" si="42"/>
        <v>0</v>
      </c>
      <c r="AD91" s="180">
        <f t="shared" si="36"/>
        <v>0</v>
      </c>
      <c r="AE91" s="160"/>
    </row>
    <row r="92" spans="1:31">
      <c r="A92" s="139">
        <v>30</v>
      </c>
      <c r="B92" s="139">
        <f>IFERROR(INDEX(Työkonekanta!$F$3:$F$27,MATCH('S2 Bio'!$A92,Työkonekanta!$A$3:$A$24,0),1),0)</f>
        <v>0</v>
      </c>
      <c r="C92" s="140">
        <v>2021</v>
      </c>
      <c r="D92" s="141" t="str">
        <f>IFERROR(INDEX(Työkonekanta!$D$3:$D$27,MATCH('S2 Bio'!$A92,Työkonekanta!$A$3:$A$24,0),1),"undefined")</f>
        <v>undefined</v>
      </c>
      <c r="E92" s="145">
        <f>IFERROR(INDEX(Työkonekanta!$G$3:$G$27,MATCH($A92,Työkonekanta!$A$3:$A$24,0),1)*INDEX(Työkonekanta!$H$3:$H$27,MATCH($A92,Työkonekanta!$A$3:$A$24,0),1)*(1+_xlfn.SINGLE(s2_kerroin)*($C92-2019))*$B92,0)</f>
        <v>0</v>
      </c>
      <c r="F92" s="145">
        <f t="shared" si="23"/>
        <v>0</v>
      </c>
      <c r="G92" s="145">
        <f t="shared" si="29"/>
        <v>0</v>
      </c>
      <c r="H92" s="145">
        <f t="shared" si="30"/>
        <v>0</v>
      </c>
      <c r="I92" s="145">
        <f t="shared" si="24"/>
        <v>0</v>
      </c>
      <c r="J92" s="145">
        <f t="shared" si="25"/>
        <v>0</v>
      </c>
      <c r="K92" s="142" t="str">
        <f t="shared" si="31"/>
        <v>undefined</v>
      </c>
      <c r="L92" s="146">
        <f>IFERROR(INDEX(Työkonekanta!$I$3:$I$27,MATCH('S2 Bio'!$A92,Työkonekanta!$A$3:$A$24,0),1)*(I92+J92)*f_adblue,0)</f>
        <v>0</v>
      </c>
      <c r="M92" s="146">
        <f t="shared" si="37"/>
        <v>0</v>
      </c>
      <c r="N92" s="143" t="str">
        <f>IF(tuulisähkö_vuosi&lt;='S2 Bio'!C92,"tuulisähkö",ostosähkö_nyt)</f>
        <v>jäännössähkö</v>
      </c>
      <c r="O92" s="147">
        <f>INDEX(Muuttujat!$J$5:$J$21,MATCH($C92,Muuttujat!$H$5:$H$21,0),1)</f>
        <v>67.8692025</v>
      </c>
      <c r="P92" s="148">
        <f t="shared" si="32"/>
        <v>0.90533333333333332</v>
      </c>
      <c r="Q92" s="148">
        <f t="shared" si="38"/>
        <v>9.4666666666666663E-2</v>
      </c>
      <c r="R92" s="148">
        <f t="shared" si="38"/>
        <v>9.4666666666666663E-2</v>
      </c>
      <c r="S92" s="149">
        <f t="shared" si="26"/>
        <v>0</v>
      </c>
      <c r="T92" s="150">
        <f t="shared" si="27"/>
        <v>0</v>
      </c>
      <c r="U92" s="150">
        <f t="shared" si="28"/>
        <v>0</v>
      </c>
      <c r="V92" s="150">
        <f>IFERROR(INDEX(Työkonekanta!$J$3:$J$27,MATCH($A92,Työkonekanta!$A$3:$A$24,0),1)*$B92*ef_li_ion_akku/1000/1000/INDEX(Työkonekanta!$K$3:$K$27,MATCH($A92,Työkonekanta!$A$3:$A$24,0)),0)</f>
        <v>0</v>
      </c>
      <c r="W92" s="149">
        <f t="shared" si="39"/>
        <v>0</v>
      </c>
      <c r="X92" s="150">
        <f t="shared" si="40"/>
        <v>0</v>
      </c>
      <c r="Y92" s="151">
        <f t="shared" si="41"/>
        <v>0</v>
      </c>
      <c r="Z92" s="152">
        <f t="shared" si="33"/>
        <v>0</v>
      </c>
      <c r="AA92" s="153">
        <f t="shared" si="34"/>
        <v>0</v>
      </c>
      <c r="AB92" s="153">
        <f t="shared" si="35"/>
        <v>0</v>
      </c>
      <c r="AC92" s="154">
        <f t="shared" si="42"/>
        <v>0</v>
      </c>
      <c r="AD92" s="180">
        <f t="shared" si="36"/>
        <v>0</v>
      </c>
      <c r="AE92" s="160"/>
    </row>
    <row r="93" spans="1:31">
      <c r="A93" s="139">
        <v>1</v>
      </c>
      <c r="B93" s="139">
        <f>IFERROR(INDEX(Työkonekanta!$F$3:$F$27,MATCH('S2 Bio'!$A93,Työkonekanta!$A$3:$A$24,0),1),0)</f>
        <v>1</v>
      </c>
      <c r="C93" s="140">
        <v>2022</v>
      </c>
      <c r="D93" s="141" t="str">
        <f>IFERROR(INDEX(Työkonekanta!$D$3:$D$27,MATCH('S2 Bio'!$A93,Työkonekanta!$A$3:$A$24,0),1),"undefined")</f>
        <v>pom</v>
      </c>
      <c r="E93" s="145">
        <f>IFERROR(INDEX(Työkonekanta!$G$3:$G$27,MATCH($A93,Työkonekanta!$A$3:$A$24,0),1)*INDEX(Työkonekanta!$H$3:$H$27,MATCH($A93,Työkonekanta!$A$3:$A$24,0),1)*(1+_xlfn.SINGLE(s2_kerroin)*($C93-2019))*$B93,0)</f>
        <v>10300</v>
      </c>
      <c r="F93" s="145">
        <f t="shared" si="23"/>
        <v>369770</v>
      </c>
      <c r="G93" s="145">
        <f t="shared" si="29"/>
        <v>310853.31333333335</v>
      </c>
      <c r="H93" s="145">
        <f t="shared" si="30"/>
        <v>58916.686666666661</v>
      </c>
      <c r="I93" s="145">
        <f t="shared" si="24"/>
        <v>8658.8666666666668</v>
      </c>
      <c r="J93" s="145">
        <f t="shared" si="25"/>
        <v>1717.687657920311</v>
      </c>
      <c r="K93" s="142" t="str">
        <f t="shared" si="31"/>
        <v>l</v>
      </c>
      <c r="L93" s="146">
        <f>IFERROR(INDEX(Työkonekanta!$I$3:$I$27,MATCH('S2 Bio'!$A93,Työkonekanta!$A$3:$A$24,0),1)*(I93+J93)*f_adblue,0)</f>
        <v>518.82771622934888</v>
      </c>
      <c r="M93" s="146">
        <f t="shared" si="37"/>
        <v>0</v>
      </c>
      <c r="N93" s="143" t="str">
        <f>IF(tuulisähkö_vuosi&lt;='S2 Bio'!C93,"tuulisähkö",ostosähkö_nyt)</f>
        <v>jäännössähkö</v>
      </c>
      <c r="O93" s="147">
        <f>INDEX(Muuttujat!$J$5:$J$21,MATCH($C93,Muuttujat!$H$5:$H$21,0),1)</f>
        <v>67.190510474999996</v>
      </c>
      <c r="P93" s="148">
        <f t="shared" si="32"/>
        <v>0.84066666666666667</v>
      </c>
      <c r="Q93" s="148">
        <f t="shared" si="38"/>
        <v>0.15933333333333333</v>
      </c>
      <c r="R93" s="148">
        <f t="shared" si="38"/>
        <v>0.15933333333333333</v>
      </c>
      <c r="S93" s="149">
        <f t="shared" si="26"/>
        <v>5.8751276219999991</v>
      </c>
      <c r="T93" s="150">
        <f t="shared" si="27"/>
        <v>3.6764012479999995</v>
      </c>
      <c r="U93" s="150">
        <f t="shared" si="28"/>
        <v>0</v>
      </c>
      <c r="V93" s="150">
        <f>IFERROR(INDEX(Työkonekanta!$J$3:$J$27,MATCH($A93,Työkonekanta!$A$3:$A$24,0),1)*$B93*ef_li_ion_akku/1000/1000/INDEX(Työkonekanta!$K$3:$K$27,MATCH($A93,Työkonekanta!$A$3:$A$24,0)),0)</f>
        <v>0</v>
      </c>
      <c r="W93" s="149">
        <f t="shared" si="39"/>
        <v>22.943540393836919</v>
      </c>
      <c r="X93" s="150">
        <f t="shared" si="40"/>
        <v>0.32727802980000004</v>
      </c>
      <c r="Y93" s="151">
        <f t="shared" si="41"/>
        <v>0.13489520621963072</v>
      </c>
      <c r="Z93" s="152">
        <f t="shared" si="33"/>
        <v>9.5515288699999985</v>
      </c>
      <c r="AA93" s="153">
        <f t="shared" si="34"/>
        <v>23.078435600056551</v>
      </c>
      <c r="AB93" s="153">
        <f t="shared" si="35"/>
        <v>23.40571362985655</v>
      </c>
      <c r="AC93" s="154">
        <f t="shared" si="42"/>
        <v>32.629964470056549</v>
      </c>
      <c r="AD93" s="180">
        <f t="shared" si="36"/>
        <v>32.957242499856548</v>
      </c>
      <c r="AE93" s="160"/>
    </row>
    <row r="94" spans="1:31">
      <c r="A94" s="139">
        <v>2</v>
      </c>
      <c r="B94" s="139">
        <f>IFERROR(INDEX(Työkonekanta!$F$3:$F$27,MATCH('S2 Bio'!$A94,Työkonekanta!$A$3:$A$24,0),1),0)</f>
        <v>1</v>
      </c>
      <c r="C94" s="140">
        <v>2022</v>
      </c>
      <c r="D94" s="141" t="str">
        <f>IFERROR(INDEX(Työkonekanta!$D$3:$D$27,MATCH('S2 Bio'!$A94,Työkonekanta!$A$3:$A$24,0),1),"undefined")</f>
        <v>pom</v>
      </c>
      <c r="E94" s="145">
        <f>IFERROR(INDEX(Työkonekanta!$G$3:$G$27,MATCH($A94,Työkonekanta!$A$3:$A$24,0),1)*INDEX(Työkonekanta!$H$3:$H$27,MATCH($A94,Työkonekanta!$A$3:$A$24,0),1)*(1+_xlfn.SINGLE(s2_kerroin)*($C94-2019))*$B94,0)</f>
        <v>10300</v>
      </c>
      <c r="F94" s="145">
        <f t="shared" si="23"/>
        <v>369770</v>
      </c>
      <c r="G94" s="145">
        <f t="shared" si="29"/>
        <v>310853.31333333335</v>
      </c>
      <c r="H94" s="145">
        <f t="shared" si="30"/>
        <v>58916.686666666661</v>
      </c>
      <c r="I94" s="145">
        <f t="shared" si="24"/>
        <v>8658.8666666666668</v>
      </c>
      <c r="J94" s="145">
        <f t="shared" si="25"/>
        <v>1717.687657920311</v>
      </c>
      <c r="K94" s="142" t="str">
        <f t="shared" si="31"/>
        <v>l</v>
      </c>
      <c r="L94" s="146">
        <f>IFERROR(INDEX(Työkonekanta!$I$3:$I$27,MATCH('S2 Bio'!$A94,Työkonekanta!$A$3:$A$24,0),1)*(I94+J94)*f_adblue,0)</f>
        <v>518.82771622934888</v>
      </c>
      <c r="M94" s="146">
        <f t="shared" si="37"/>
        <v>0</v>
      </c>
      <c r="N94" s="143" t="str">
        <f>IF(tuulisähkö_vuosi&lt;='S2 Bio'!C94,"tuulisähkö",ostosähkö_nyt)</f>
        <v>jäännössähkö</v>
      </c>
      <c r="O94" s="147">
        <f>INDEX(Muuttujat!$J$5:$J$21,MATCH($C94,Muuttujat!$H$5:$H$21,0),1)</f>
        <v>67.190510474999996</v>
      </c>
      <c r="P94" s="148">
        <f t="shared" si="32"/>
        <v>0.84066666666666667</v>
      </c>
      <c r="Q94" s="148">
        <f t="shared" si="38"/>
        <v>0.15933333333333333</v>
      </c>
      <c r="R94" s="148">
        <f t="shared" si="38"/>
        <v>0.15933333333333333</v>
      </c>
      <c r="S94" s="149">
        <f t="shared" si="26"/>
        <v>5.8751276219999991</v>
      </c>
      <c r="T94" s="150">
        <f t="shared" si="27"/>
        <v>3.6764012479999995</v>
      </c>
      <c r="U94" s="150">
        <f t="shared" si="28"/>
        <v>0</v>
      </c>
      <c r="V94" s="150">
        <f>IFERROR(INDEX(Työkonekanta!$J$3:$J$27,MATCH($A94,Työkonekanta!$A$3:$A$24,0),1)*$B94*ef_li_ion_akku/1000/1000/INDEX(Työkonekanta!$K$3:$K$27,MATCH($A94,Työkonekanta!$A$3:$A$24,0)),0)</f>
        <v>0</v>
      </c>
      <c r="W94" s="149">
        <f t="shared" si="39"/>
        <v>22.943540393836919</v>
      </c>
      <c r="X94" s="150">
        <f t="shared" si="40"/>
        <v>0.32727802980000004</v>
      </c>
      <c r="Y94" s="151">
        <f t="shared" si="41"/>
        <v>0.13489520621963072</v>
      </c>
      <c r="Z94" s="152">
        <f t="shared" si="33"/>
        <v>9.5515288699999985</v>
      </c>
      <c r="AA94" s="153">
        <f t="shared" si="34"/>
        <v>23.078435600056551</v>
      </c>
      <c r="AB94" s="153">
        <f t="shared" si="35"/>
        <v>23.40571362985655</v>
      </c>
      <c r="AC94" s="154">
        <f t="shared" si="42"/>
        <v>32.629964470056549</v>
      </c>
      <c r="AD94" s="180">
        <f t="shared" si="36"/>
        <v>32.957242499856548</v>
      </c>
      <c r="AE94" s="160"/>
    </row>
    <row r="95" spans="1:31">
      <c r="A95" s="139">
        <v>3</v>
      </c>
      <c r="B95" s="139">
        <f>IFERROR(INDEX(Työkonekanta!$F$3:$F$27,MATCH('S2 Bio'!$A95,Työkonekanta!$A$3:$A$24,0),1),0)</f>
        <v>1</v>
      </c>
      <c r="C95" s="140">
        <v>2022</v>
      </c>
      <c r="D95" s="141" t="str">
        <f>IFERROR(INDEX(Työkonekanta!$D$3:$D$27,MATCH('S2 Bio'!$A95,Työkonekanta!$A$3:$A$24,0),1),"undefined")</f>
        <v>pom</v>
      </c>
      <c r="E95" s="145">
        <f>IFERROR(INDEX(Työkonekanta!$G$3:$G$27,MATCH($A95,Työkonekanta!$A$3:$A$24,0),1)*INDEX(Työkonekanta!$H$3:$H$27,MATCH($A95,Työkonekanta!$A$3:$A$24,0),1)*(1+_xlfn.SINGLE(s2_kerroin)*($C95-2019))*$B95,0)</f>
        <v>10300</v>
      </c>
      <c r="F95" s="145">
        <f t="shared" si="23"/>
        <v>369770</v>
      </c>
      <c r="G95" s="145">
        <f t="shared" si="29"/>
        <v>310853.31333333335</v>
      </c>
      <c r="H95" s="145">
        <f t="shared" si="30"/>
        <v>58916.686666666661</v>
      </c>
      <c r="I95" s="145">
        <f t="shared" si="24"/>
        <v>8658.8666666666668</v>
      </c>
      <c r="J95" s="145">
        <f t="shared" si="25"/>
        <v>1717.687657920311</v>
      </c>
      <c r="K95" s="142" t="str">
        <f t="shared" si="31"/>
        <v>l</v>
      </c>
      <c r="L95" s="146">
        <f>IFERROR(INDEX(Työkonekanta!$I$3:$I$27,MATCH('S2 Bio'!$A95,Työkonekanta!$A$3:$A$24,0),1)*(I95+J95)*f_adblue,0)</f>
        <v>518.82771622934888</v>
      </c>
      <c r="M95" s="146">
        <f t="shared" si="37"/>
        <v>0</v>
      </c>
      <c r="N95" s="143" t="str">
        <f>IF(tuulisähkö_vuosi&lt;='S2 Bio'!C95,"tuulisähkö",ostosähkö_nyt)</f>
        <v>jäännössähkö</v>
      </c>
      <c r="O95" s="147">
        <f>INDEX(Muuttujat!$J$5:$J$21,MATCH($C95,Muuttujat!$H$5:$H$21,0),1)</f>
        <v>67.190510474999996</v>
      </c>
      <c r="P95" s="148">
        <f t="shared" si="32"/>
        <v>0.84066666666666667</v>
      </c>
      <c r="Q95" s="148">
        <f t="shared" si="38"/>
        <v>0.15933333333333333</v>
      </c>
      <c r="R95" s="148">
        <f t="shared" si="38"/>
        <v>0.15933333333333333</v>
      </c>
      <c r="S95" s="149">
        <f t="shared" si="26"/>
        <v>5.8751276219999991</v>
      </c>
      <c r="T95" s="150">
        <f t="shared" si="27"/>
        <v>3.6764012479999995</v>
      </c>
      <c r="U95" s="150">
        <f t="shared" si="28"/>
        <v>0</v>
      </c>
      <c r="V95" s="150">
        <f>IFERROR(INDEX(Työkonekanta!$J$3:$J$27,MATCH($A95,Työkonekanta!$A$3:$A$24,0),1)*$B95*ef_li_ion_akku/1000/1000/INDEX(Työkonekanta!$K$3:$K$27,MATCH($A95,Työkonekanta!$A$3:$A$24,0)),0)</f>
        <v>0</v>
      </c>
      <c r="W95" s="149">
        <f t="shared" si="39"/>
        <v>22.943540393836919</v>
      </c>
      <c r="X95" s="150">
        <f t="shared" si="40"/>
        <v>0.32727802980000004</v>
      </c>
      <c r="Y95" s="151">
        <f t="shared" si="41"/>
        <v>0.13489520621963072</v>
      </c>
      <c r="Z95" s="152">
        <f t="shared" si="33"/>
        <v>9.5515288699999985</v>
      </c>
      <c r="AA95" s="153">
        <f t="shared" si="34"/>
        <v>23.078435600056551</v>
      </c>
      <c r="AB95" s="153">
        <f t="shared" si="35"/>
        <v>23.40571362985655</v>
      </c>
      <c r="AC95" s="154">
        <f t="shared" si="42"/>
        <v>32.629964470056549</v>
      </c>
      <c r="AD95" s="180">
        <f t="shared" si="36"/>
        <v>32.957242499856548</v>
      </c>
      <c r="AE95" s="160"/>
    </row>
    <row r="96" spans="1:31">
      <c r="A96" s="139">
        <v>4</v>
      </c>
      <c r="B96" s="139">
        <f>IFERROR(INDEX(Työkonekanta!$F$3:$F$27,MATCH('S2 Bio'!$A96,Työkonekanta!$A$3:$A$24,0),1),0)</f>
        <v>1</v>
      </c>
      <c r="C96" s="140">
        <v>2022</v>
      </c>
      <c r="D96" s="141" t="str">
        <f>IFERROR(INDEX(Työkonekanta!$D$3:$D$27,MATCH('S2 Bio'!$A96,Työkonekanta!$A$3:$A$24,0),1),"undefined")</f>
        <v>pom</v>
      </c>
      <c r="E96" s="145">
        <f>IFERROR(INDEX(Työkonekanta!$G$3:$G$27,MATCH($A96,Työkonekanta!$A$3:$A$24,0),1)*INDEX(Työkonekanta!$H$3:$H$27,MATCH($A96,Työkonekanta!$A$3:$A$24,0),1)*(1+_xlfn.SINGLE(s2_kerroin)*($C96-2019))*$B96,0)</f>
        <v>10300</v>
      </c>
      <c r="F96" s="145">
        <f t="shared" si="23"/>
        <v>369770</v>
      </c>
      <c r="G96" s="145">
        <f t="shared" si="29"/>
        <v>310853.31333333335</v>
      </c>
      <c r="H96" s="145">
        <f t="shared" si="30"/>
        <v>58916.686666666661</v>
      </c>
      <c r="I96" s="145">
        <f t="shared" si="24"/>
        <v>8658.8666666666668</v>
      </c>
      <c r="J96" s="145">
        <f t="shared" si="25"/>
        <v>1717.687657920311</v>
      </c>
      <c r="K96" s="142" t="str">
        <f t="shared" si="31"/>
        <v>l</v>
      </c>
      <c r="L96" s="146">
        <f>IFERROR(INDEX(Työkonekanta!$I$3:$I$27,MATCH('S2 Bio'!$A96,Työkonekanta!$A$3:$A$24,0),1)*(I96+J96)*f_adblue,0)</f>
        <v>518.82771622934888</v>
      </c>
      <c r="M96" s="146">
        <f t="shared" si="37"/>
        <v>0</v>
      </c>
      <c r="N96" s="143" t="str">
        <f>IF(tuulisähkö_vuosi&lt;='S2 Bio'!C96,"tuulisähkö",ostosähkö_nyt)</f>
        <v>jäännössähkö</v>
      </c>
      <c r="O96" s="147">
        <f>INDEX(Muuttujat!$J$5:$J$21,MATCH($C96,Muuttujat!$H$5:$H$21,0),1)</f>
        <v>67.190510474999996</v>
      </c>
      <c r="P96" s="148">
        <f t="shared" si="32"/>
        <v>0.84066666666666667</v>
      </c>
      <c r="Q96" s="148">
        <f t="shared" si="38"/>
        <v>0.15933333333333333</v>
      </c>
      <c r="R96" s="148">
        <f t="shared" si="38"/>
        <v>0.15933333333333333</v>
      </c>
      <c r="S96" s="149">
        <f t="shared" si="26"/>
        <v>5.8751276219999991</v>
      </c>
      <c r="T96" s="150">
        <f t="shared" si="27"/>
        <v>3.6764012479999995</v>
      </c>
      <c r="U96" s="150">
        <f t="shared" si="28"/>
        <v>0</v>
      </c>
      <c r="V96" s="150">
        <f>IFERROR(INDEX(Työkonekanta!$J$3:$J$27,MATCH($A96,Työkonekanta!$A$3:$A$24,0),1)*$B96*ef_li_ion_akku/1000/1000/INDEX(Työkonekanta!$K$3:$K$27,MATCH($A96,Työkonekanta!$A$3:$A$24,0)),0)</f>
        <v>0</v>
      </c>
      <c r="W96" s="149">
        <f t="shared" si="39"/>
        <v>22.943540393836919</v>
      </c>
      <c r="X96" s="150">
        <f t="shared" si="40"/>
        <v>0.32727802980000004</v>
      </c>
      <c r="Y96" s="151">
        <f t="shared" si="41"/>
        <v>0.13489520621963072</v>
      </c>
      <c r="Z96" s="152">
        <f t="shared" si="33"/>
        <v>9.5515288699999985</v>
      </c>
      <c r="AA96" s="153">
        <f t="shared" si="34"/>
        <v>23.078435600056551</v>
      </c>
      <c r="AB96" s="153">
        <f t="shared" si="35"/>
        <v>23.40571362985655</v>
      </c>
      <c r="AC96" s="154">
        <f t="shared" si="42"/>
        <v>32.629964470056549</v>
      </c>
      <c r="AD96" s="180">
        <f t="shared" si="36"/>
        <v>32.957242499856548</v>
      </c>
      <c r="AE96" s="160"/>
    </row>
    <row r="97" spans="1:31">
      <c r="A97" s="139">
        <v>5</v>
      </c>
      <c r="B97" s="139">
        <f>IFERROR(INDEX(Työkonekanta!$F$3:$F$27,MATCH('S2 Bio'!$A97,Työkonekanta!$A$3:$A$24,0),1),0)</f>
        <v>0</v>
      </c>
      <c r="C97" s="140">
        <v>2022</v>
      </c>
      <c r="D97" s="141" t="str">
        <f>IFERROR(INDEX(Työkonekanta!$D$3:$D$27,MATCH('S2 Bio'!$A97,Työkonekanta!$A$3:$A$24,0),1),"undefined")</f>
        <v>sähkö</v>
      </c>
      <c r="E97" s="145">
        <f>IFERROR(INDEX(Työkonekanta!$G$3:$G$27,MATCH($A97,Työkonekanta!$A$3:$A$24,0),1)*INDEX(Työkonekanta!$H$3:$H$27,MATCH($A97,Työkonekanta!$A$3:$A$24,0),1)*(1+_xlfn.SINGLE(s2_kerroin)*($C97-2019))*$B97,0)</f>
        <v>0</v>
      </c>
      <c r="F97" s="145">
        <f t="shared" si="23"/>
        <v>0</v>
      </c>
      <c r="G97" s="145">
        <f t="shared" si="29"/>
        <v>0</v>
      </c>
      <c r="H97" s="145">
        <f t="shared" si="30"/>
        <v>0</v>
      </c>
      <c r="I97" s="145">
        <f t="shared" si="24"/>
        <v>0</v>
      </c>
      <c r="J97" s="145">
        <f t="shared" si="25"/>
        <v>0</v>
      </c>
      <c r="K97" s="142" t="str">
        <f t="shared" si="31"/>
        <v>kWh</v>
      </c>
      <c r="L97" s="146">
        <f>IFERROR(INDEX(Työkonekanta!$I$3:$I$27,MATCH('S2 Bio'!$A97,Työkonekanta!$A$3:$A$24,0),1)*(I97+J97)*f_adblue,0)</f>
        <v>0</v>
      </c>
      <c r="M97" s="146">
        <f t="shared" si="37"/>
        <v>0</v>
      </c>
      <c r="N97" s="143" t="str">
        <f>IF(tuulisähkö_vuosi&lt;='S2 Bio'!C97,"tuulisähkö",ostosähkö_nyt)</f>
        <v>jäännössähkö</v>
      </c>
      <c r="O97" s="147">
        <f>INDEX(Muuttujat!$J$5:$J$21,MATCH($C97,Muuttujat!$H$5:$H$21,0),1)</f>
        <v>67.190510474999996</v>
      </c>
      <c r="P97" s="148">
        <f t="shared" si="32"/>
        <v>0.84066666666666667</v>
      </c>
      <c r="Q97" s="148">
        <f t="shared" si="38"/>
        <v>0.15933333333333333</v>
      </c>
      <c r="R97" s="148">
        <f t="shared" si="38"/>
        <v>0.15933333333333333</v>
      </c>
      <c r="S97" s="149">
        <f t="shared" si="26"/>
        <v>0</v>
      </c>
      <c r="T97" s="150">
        <f t="shared" si="27"/>
        <v>0</v>
      </c>
      <c r="U97" s="150">
        <f t="shared" si="28"/>
        <v>0</v>
      </c>
      <c r="V97" s="150">
        <f>IFERROR(INDEX(Työkonekanta!$J$3:$J$27,MATCH($A97,Työkonekanta!$A$3:$A$24,0),1)*$B97*ef_li_ion_akku/1000/1000/INDEX(Työkonekanta!$K$3:$K$27,MATCH($A97,Työkonekanta!$A$3:$A$24,0)),0)</f>
        <v>0</v>
      </c>
      <c r="W97" s="149">
        <f t="shared" si="39"/>
        <v>0</v>
      </c>
      <c r="X97" s="150">
        <f t="shared" si="40"/>
        <v>0</v>
      </c>
      <c r="Y97" s="151">
        <f t="shared" si="41"/>
        <v>0</v>
      </c>
      <c r="Z97" s="152">
        <f t="shared" si="33"/>
        <v>0</v>
      </c>
      <c r="AA97" s="153">
        <f t="shared" si="34"/>
        <v>0</v>
      </c>
      <c r="AB97" s="153">
        <f t="shared" si="35"/>
        <v>0</v>
      </c>
      <c r="AC97" s="154">
        <f t="shared" si="42"/>
        <v>0</v>
      </c>
      <c r="AD97" s="180">
        <f t="shared" si="36"/>
        <v>0</v>
      </c>
      <c r="AE97" s="160"/>
    </row>
    <row r="98" spans="1:31">
      <c r="A98" s="139">
        <v>6</v>
      </c>
      <c r="B98" s="139">
        <f>IFERROR(INDEX(Työkonekanta!$F$3:$F$27,MATCH('S2 Bio'!$A98,Työkonekanta!$A$3:$A$24,0),1),0)</f>
        <v>0</v>
      </c>
      <c r="C98" s="140">
        <v>2022</v>
      </c>
      <c r="D98" s="141" t="str">
        <f>IFERROR(INDEX(Työkonekanta!$D$3:$D$27,MATCH('S2 Bio'!$A98,Työkonekanta!$A$3:$A$24,0),1),"undefined")</f>
        <v>sähkö</v>
      </c>
      <c r="E98" s="145">
        <f>IFERROR(INDEX(Työkonekanta!$G$3:$G$27,MATCH($A98,Työkonekanta!$A$3:$A$24,0),1)*INDEX(Työkonekanta!$H$3:$H$27,MATCH($A98,Työkonekanta!$A$3:$A$24,0),1)*(1+_xlfn.SINGLE(s2_kerroin)*($C98-2019))*$B98,0)</f>
        <v>0</v>
      </c>
      <c r="F98" s="145">
        <f t="shared" si="23"/>
        <v>0</v>
      </c>
      <c r="G98" s="145">
        <f t="shared" si="29"/>
        <v>0</v>
      </c>
      <c r="H98" s="145">
        <f t="shared" si="30"/>
        <v>0</v>
      </c>
      <c r="I98" s="145">
        <f t="shared" si="24"/>
        <v>0</v>
      </c>
      <c r="J98" s="145">
        <f t="shared" si="25"/>
        <v>0</v>
      </c>
      <c r="K98" s="142" t="str">
        <f t="shared" si="31"/>
        <v>kWh</v>
      </c>
      <c r="L98" s="146">
        <f>IFERROR(INDEX(Työkonekanta!$I$3:$I$27,MATCH('S2 Bio'!$A98,Työkonekanta!$A$3:$A$24,0),1)*(I98+J98)*f_adblue,0)</f>
        <v>0</v>
      </c>
      <c r="M98" s="146">
        <f t="shared" si="37"/>
        <v>0</v>
      </c>
      <c r="N98" s="143" t="str">
        <f>IF(tuulisähkö_vuosi&lt;='S2 Bio'!C98,"tuulisähkö",ostosähkö_nyt)</f>
        <v>jäännössähkö</v>
      </c>
      <c r="O98" s="147">
        <f>INDEX(Muuttujat!$J$5:$J$21,MATCH($C98,Muuttujat!$H$5:$H$21,0),1)</f>
        <v>67.190510474999996</v>
      </c>
      <c r="P98" s="148">
        <f t="shared" si="32"/>
        <v>0.84066666666666667</v>
      </c>
      <c r="Q98" s="148">
        <f t="shared" si="38"/>
        <v>0.15933333333333333</v>
      </c>
      <c r="R98" s="148">
        <f t="shared" si="38"/>
        <v>0.15933333333333333</v>
      </c>
      <c r="S98" s="149">
        <f t="shared" si="26"/>
        <v>0</v>
      </c>
      <c r="T98" s="150">
        <f t="shared" si="27"/>
        <v>0</v>
      </c>
      <c r="U98" s="150">
        <f t="shared" si="28"/>
        <v>0</v>
      </c>
      <c r="V98" s="150">
        <f>IFERROR(INDEX(Työkonekanta!$J$3:$J$27,MATCH($A98,Työkonekanta!$A$3:$A$24,0),1)*$B98*ef_li_ion_akku/1000/1000/INDEX(Työkonekanta!$K$3:$K$27,MATCH($A98,Työkonekanta!$A$3:$A$24,0)),0)</f>
        <v>0</v>
      </c>
      <c r="W98" s="149">
        <f t="shared" si="39"/>
        <v>0</v>
      </c>
      <c r="X98" s="150">
        <f t="shared" si="40"/>
        <v>0</v>
      </c>
      <c r="Y98" s="151">
        <f t="shared" si="41"/>
        <v>0</v>
      </c>
      <c r="Z98" s="152">
        <f t="shared" si="33"/>
        <v>0</v>
      </c>
      <c r="AA98" s="153">
        <f t="shared" si="34"/>
        <v>0</v>
      </c>
      <c r="AB98" s="153">
        <f t="shared" si="35"/>
        <v>0</v>
      </c>
      <c r="AC98" s="154">
        <f t="shared" si="42"/>
        <v>0</v>
      </c>
      <c r="AD98" s="180">
        <f t="shared" si="36"/>
        <v>0</v>
      </c>
      <c r="AE98" s="160"/>
    </row>
    <row r="99" spans="1:31">
      <c r="A99" s="139">
        <v>7</v>
      </c>
      <c r="B99" s="139">
        <f>IFERROR(INDEX(Työkonekanta!$F$3:$F$27,MATCH('S2 Bio'!$A99,Työkonekanta!$A$3:$A$24,0),1),0)</f>
        <v>1</v>
      </c>
      <c r="C99" s="140">
        <v>2022</v>
      </c>
      <c r="D99" s="141" t="str">
        <f>IFERROR(INDEX(Työkonekanta!$D$3:$D$27,MATCH('S2 Bio'!$A99,Työkonekanta!$A$3:$A$24,0),1),"undefined")</f>
        <v>pom</v>
      </c>
      <c r="E99" s="145">
        <f>IFERROR(INDEX(Työkonekanta!$G$3:$G$27,MATCH($A99,Työkonekanta!$A$3:$A$24,0),1)*INDEX(Työkonekanta!$H$3:$H$27,MATCH($A99,Työkonekanta!$A$3:$A$24,0),1)*(1+_xlfn.SINGLE(s2_kerroin)*($C99-2019))*$B99,0)</f>
        <v>10300</v>
      </c>
      <c r="F99" s="145">
        <f t="shared" si="23"/>
        <v>369770</v>
      </c>
      <c r="G99" s="145">
        <f t="shared" si="29"/>
        <v>310853.31333333335</v>
      </c>
      <c r="H99" s="145">
        <f t="shared" si="30"/>
        <v>58916.686666666661</v>
      </c>
      <c r="I99" s="145">
        <f t="shared" si="24"/>
        <v>8658.8666666666668</v>
      </c>
      <c r="J99" s="145">
        <f t="shared" si="25"/>
        <v>1717.687657920311</v>
      </c>
      <c r="K99" s="142" t="str">
        <f t="shared" si="31"/>
        <v>l</v>
      </c>
      <c r="L99" s="146">
        <f>IFERROR(INDEX(Työkonekanta!$I$3:$I$27,MATCH('S2 Bio'!$A99,Työkonekanta!$A$3:$A$24,0),1)*(I99+J99)*f_adblue,0)</f>
        <v>0</v>
      </c>
      <c r="M99" s="146">
        <f t="shared" si="37"/>
        <v>0</v>
      </c>
      <c r="N99" s="143" t="str">
        <f>IF(tuulisähkö_vuosi&lt;='S2 Bio'!C99,"tuulisähkö",ostosähkö_nyt)</f>
        <v>jäännössähkö</v>
      </c>
      <c r="O99" s="147">
        <f>INDEX(Muuttujat!$J$5:$J$21,MATCH($C99,Muuttujat!$H$5:$H$21,0),1)</f>
        <v>67.190510474999996</v>
      </c>
      <c r="P99" s="148">
        <f t="shared" si="32"/>
        <v>0.84066666666666667</v>
      </c>
      <c r="Q99" s="148">
        <f t="shared" si="38"/>
        <v>0.15933333333333333</v>
      </c>
      <c r="R99" s="148">
        <f t="shared" si="38"/>
        <v>0.15933333333333333</v>
      </c>
      <c r="S99" s="149">
        <f t="shared" si="26"/>
        <v>5.8751276219999991</v>
      </c>
      <c r="T99" s="150">
        <f t="shared" si="27"/>
        <v>3.6764012479999995</v>
      </c>
      <c r="U99" s="150">
        <f t="shared" si="28"/>
        <v>0</v>
      </c>
      <c r="V99" s="150">
        <f>IFERROR(INDEX(Työkonekanta!$J$3:$J$27,MATCH($A99,Työkonekanta!$A$3:$A$24,0),1)*$B99*ef_li_ion_akku/1000/1000/INDEX(Työkonekanta!$K$3:$K$27,MATCH($A99,Työkonekanta!$A$3:$A$24,0)),0)</f>
        <v>0</v>
      </c>
      <c r="W99" s="149">
        <f t="shared" si="39"/>
        <v>22.943540393836919</v>
      </c>
      <c r="X99" s="150">
        <f t="shared" si="40"/>
        <v>0.32727802980000004</v>
      </c>
      <c r="Y99" s="151">
        <f t="shared" si="41"/>
        <v>0</v>
      </c>
      <c r="Z99" s="152">
        <f t="shared" si="33"/>
        <v>9.5515288699999985</v>
      </c>
      <c r="AA99" s="153">
        <f t="shared" si="34"/>
        <v>22.943540393836919</v>
      </c>
      <c r="AB99" s="153">
        <f t="shared" si="35"/>
        <v>23.270818423636918</v>
      </c>
      <c r="AC99" s="154">
        <f t="shared" si="42"/>
        <v>32.495069263836918</v>
      </c>
      <c r="AD99" s="180">
        <f t="shared" si="36"/>
        <v>32.822347293636916</v>
      </c>
      <c r="AE99" s="160"/>
    </row>
    <row r="100" spans="1:31">
      <c r="A100" s="139">
        <v>8</v>
      </c>
      <c r="B100" s="139">
        <f>IFERROR(INDEX(Työkonekanta!$F$3:$F$27,MATCH('S2 Bio'!$A100,Työkonekanta!$A$3:$A$24,0),1),0)</f>
        <v>1</v>
      </c>
      <c r="C100" s="140">
        <v>2022</v>
      </c>
      <c r="D100" s="141" t="str">
        <f>IFERROR(INDEX(Työkonekanta!$D$3:$D$27,MATCH('S2 Bio'!$A100,Työkonekanta!$A$3:$A$24,0),1),"undefined")</f>
        <v>pom</v>
      </c>
      <c r="E100" s="145">
        <f>IFERROR(INDEX(Työkonekanta!$G$3:$G$27,MATCH($A100,Työkonekanta!$A$3:$A$24,0),1)*INDEX(Työkonekanta!$H$3:$H$27,MATCH($A100,Työkonekanta!$A$3:$A$24,0),1)*(1+_xlfn.SINGLE(s2_kerroin)*($C100-2019))*$B100,0)</f>
        <v>10300</v>
      </c>
      <c r="F100" s="145">
        <f t="shared" si="23"/>
        <v>369770</v>
      </c>
      <c r="G100" s="145">
        <f t="shared" si="29"/>
        <v>310853.31333333335</v>
      </c>
      <c r="H100" s="145">
        <f t="shared" si="30"/>
        <v>58916.686666666661</v>
      </c>
      <c r="I100" s="145">
        <f t="shared" si="24"/>
        <v>8658.8666666666668</v>
      </c>
      <c r="J100" s="145">
        <f t="shared" si="25"/>
        <v>1717.687657920311</v>
      </c>
      <c r="K100" s="142" t="str">
        <f t="shared" si="31"/>
        <v>l</v>
      </c>
      <c r="L100" s="146">
        <f>IFERROR(INDEX(Työkonekanta!$I$3:$I$27,MATCH('S2 Bio'!$A100,Työkonekanta!$A$3:$A$24,0),1)*(I100+J100)*f_adblue,0)</f>
        <v>518.82771622934888</v>
      </c>
      <c r="M100" s="146">
        <f t="shared" si="37"/>
        <v>0</v>
      </c>
      <c r="N100" s="143" t="str">
        <f>IF(tuulisähkö_vuosi&lt;='S2 Bio'!C100,"tuulisähkö",ostosähkö_nyt)</f>
        <v>jäännössähkö</v>
      </c>
      <c r="O100" s="147">
        <f>INDEX(Muuttujat!$J$5:$J$21,MATCH($C100,Muuttujat!$H$5:$H$21,0),1)</f>
        <v>67.190510474999996</v>
      </c>
      <c r="P100" s="148">
        <f t="shared" si="32"/>
        <v>0.84066666666666667</v>
      </c>
      <c r="Q100" s="148">
        <f t="shared" si="38"/>
        <v>0.15933333333333333</v>
      </c>
      <c r="R100" s="148">
        <f t="shared" si="38"/>
        <v>0.15933333333333333</v>
      </c>
      <c r="S100" s="149">
        <f t="shared" si="26"/>
        <v>5.8751276219999991</v>
      </c>
      <c r="T100" s="150">
        <f t="shared" si="27"/>
        <v>3.6764012479999995</v>
      </c>
      <c r="U100" s="150">
        <f t="shared" si="28"/>
        <v>0</v>
      </c>
      <c r="V100" s="150">
        <f>IFERROR(INDEX(Työkonekanta!$J$3:$J$27,MATCH($A100,Työkonekanta!$A$3:$A$24,0),1)*$B100*ef_li_ion_akku/1000/1000/INDEX(Työkonekanta!$K$3:$K$27,MATCH($A100,Työkonekanta!$A$3:$A$24,0)),0)</f>
        <v>0</v>
      </c>
      <c r="W100" s="149">
        <f t="shared" si="39"/>
        <v>22.943540393836919</v>
      </c>
      <c r="X100" s="150">
        <f t="shared" si="40"/>
        <v>0.32727802980000004</v>
      </c>
      <c r="Y100" s="151">
        <f t="shared" si="41"/>
        <v>0.13489520621963072</v>
      </c>
      <c r="Z100" s="152">
        <f t="shared" si="33"/>
        <v>9.5515288699999985</v>
      </c>
      <c r="AA100" s="153">
        <f t="shared" si="34"/>
        <v>23.078435600056551</v>
      </c>
      <c r="AB100" s="153">
        <f t="shared" si="35"/>
        <v>23.40571362985655</v>
      </c>
      <c r="AC100" s="154">
        <f t="shared" si="42"/>
        <v>32.629964470056549</v>
      </c>
      <c r="AD100" s="180">
        <f t="shared" si="36"/>
        <v>32.957242499856548</v>
      </c>
      <c r="AE100" s="160"/>
    </row>
    <row r="101" spans="1:31">
      <c r="A101" s="139">
        <v>9</v>
      </c>
      <c r="B101" s="139">
        <f>IFERROR(INDEX(Työkonekanta!$F$3:$F$27,MATCH('S2 Bio'!$A101,Työkonekanta!$A$3:$A$24,0),1),0)</f>
        <v>0</v>
      </c>
      <c r="C101" s="140">
        <v>2022</v>
      </c>
      <c r="D101" s="141" t="str">
        <f>IFERROR(INDEX(Työkonekanta!$D$3:$D$27,MATCH('S2 Bio'!$A101,Työkonekanta!$A$3:$A$24,0),1),"undefined")</f>
        <v>sähkö</v>
      </c>
      <c r="E101" s="145">
        <f>IFERROR(INDEX(Työkonekanta!$G$3:$G$27,MATCH($A101,Työkonekanta!$A$3:$A$24,0),1)*INDEX(Työkonekanta!$H$3:$H$27,MATCH($A101,Työkonekanta!$A$3:$A$24,0),1)*(1+_xlfn.SINGLE(s2_kerroin)*($C101-2019))*$B101,0)</f>
        <v>0</v>
      </c>
      <c r="F101" s="145">
        <f t="shared" si="23"/>
        <v>0</v>
      </c>
      <c r="G101" s="145">
        <f t="shared" si="29"/>
        <v>0</v>
      </c>
      <c r="H101" s="145">
        <f t="shared" si="30"/>
        <v>0</v>
      </c>
      <c r="I101" s="145">
        <f t="shared" si="24"/>
        <v>0</v>
      </c>
      <c r="J101" s="145">
        <f t="shared" si="25"/>
        <v>0</v>
      </c>
      <c r="K101" s="142" t="str">
        <f t="shared" si="31"/>
        <v>kWh</v>
      </c>
      <c r="L101" s="146">
        <f>IFERROR(INDEX(Työkonekanta!$I$3:$I$27,MATCH('S2 Bio'!$A101,Työkonekanta!$A$3:$A$24,0),1)*(I101+J101)*f_adblue,0)</f>
        <v>0</v>
      </c>
      <c r="M101" s="146">
        <f t="shared" si="37"/>
        <v>0</v>
      </c>
      <c r="N101" s="143" t="str">
        <f>IF(tuulisähkö_vuosi&lt;='S2 Bio'!C101,"tuulisähkö",ostosähkö_nyt)</f>
        <v>jäännössähkö</v>
      </c>
      <c r="O101" s="147">
        <f>INDEX(Muuttujat!$J$5:$J$21,MATCH($C101,Muuttujat!$H$5:$H$21,0),1)</f>
        <v>67.190510474999996</v>
      </c>
      <c r="P101" s="148">
        <f t="shared" si="32"/>
        <v>0.84066666666666667</v>
      </c>
      <c r="Q101" s="148">
        <f t="shared" si="38"/>
        <v>0.15933333333333333</v>
      </c>
      <c r="R101" s="148">
        <f t="shared" si="38"/>
        <v>0.15933333333333333</v>
      </c>
      <c r="S101" s="149">
        <f t="shared" si="26"/>
        <v>0</v>
      </c>
      <c r="T101" s="150">
        <f t="shared" si="27"/>
        <v>0</v>
      </c>
      <c r="U101" s="150">
        <f t="shared" si="28"/>
        <v>0</v>
      </c>
      <c r="V101" s="150">
        <f>IFERROR(INDEX(Työkonekanta!$J$3:$J$27,MATCH($A101,Työkonekanta!$A$3:$A$24,0),1)*$B101*ef_li_ion_akku/1000/1000/INDEX(Työkonekanta!$K$3:$K$27,MATCH($A101,Työkonekanta!$A$3:$A$24,0)),0)</f>
        <v>0</v>
      </c>
      <c r="W101" s="149">
        <f t="shared" si="39"/>
        <v>0</v>
      </c>
      <c r="X101" s="150">
        <f t="shared" si="40"/>
        <v>0</v>
      </c>
      <c r="Y101" s="151">
        <f t="shared" si="41"/>
        <v>0</v>
      </c>
      <c r="Z101" s="152">
        <f t="shared" si="33"/>
        <v>0</v>
      </c>
      <c r="AA101" s="153">
        <f t="shared" si="34"/>
        <v>0</v>
      </c>
      <c r="AB101" s="153">
        <f t="shared" si="35"/>
        <v>0</v>
      </c>
      <c r="AC101" s="154">
        <f t="shared" si="42"/>
        <v>0</v>
      </c>
      <c r="AD101" s="180">
        <f t="shared" si="36"/>
        <v>0</v>
      </c>
      <c r="AE101" s="160"/>
    </row>
    <row r="102" spans="1:31">
      <c r="A102" s="139">
        <v>10</v>
      </c>
      <c r="B102" s="139">
        <f>IFERROR(INDEX(Työkonekanta!$F$3:$F$27,MATCH('S2 Bio'!$A102,Työkonekanta!$A$3:$A$24,0),1),0)</f>
        <v>0</v>
      </c>
      <c r="C102" s="140">
        <v>2022</v>
      </c>
      <c r="D102" s="141" t="str">
        <f>IFERROR(INDEX(Työkonekanta!$D$3:$D$27,MATCH('S2 Bio'!$A102,Työkonekanta!$A$3:$A$24,0),1),"undefined")</f>
        <v>sähkö</v>
      </c>
      <c r="E102" s="145">
        <f>IFERROR(INDEX(Työkonekanta!$G$3:$G$27,MATCH($A102,Työkonekanta!$A$3:$A$24,0),1)*INDEX(Työkonekanta!$H$3:$H$27,MATCH($A102,Työkonekanta!$A$3:$A$24,0),1)*(1+_xlfn.SINGLE(s2_kerroin)*($C102-2019))*$B102,0)</f>
        <v>0</v>
      </c>
      <c r="F102" s="145">
        <f t="shared" si="23"/>
        <v>0</v>
      </c>
      <c r="G102" s="145">
        <f t="shared" si="29"/>
        <v>0</v>
      </c>
      <c r="H102" s="145">
        <f t="shared" si="30"/>
        <v>0</v>
      </c>
      <c r="I102" s="145">
        <f t="shared" si="24"/>
        <v>0</v>
      </c>
      <c r="J102" s="145">
        <f t="shared" si="25"/>
        <v>0</v>
      </c>
      <c r="K102" s="142" t="str">
        <f t="shared" si="31"/>
        <v>kWh</v>
      </c>
      <c r="L102" s="146">
        <f>IFERROR(INDEX(Työkonekanta!$I$3:$I$27,MATCH('S2 Bio'!$A102,Työkonekanta!$A$3:$A$24,0),1)*(I102+J102)*f_adblue,0)</f>
        <v>0</v>
      </c>
      <c r="M102" s="146">
        <f t="shared" si="37"/>
        <v>0</v>
      </c>
      <c r="N102" s="143" t="str">
        <f>IF(tuulisähkö_vuosi&lt;='S2 Bio'!C102,"tuulisähkö",ostosähkö_nyt)</f>
        <v>jäännössähkö</v>
      </c>
      <c r="O102" s="147">
        <f>INDEX(Muuttujat!$J$5:$J$21,MATCH($C102,Muuttujat!$H$5:$H$21,0),1)</f>
        <v>67.190510474999996</v>
      </c>
      <c r="P102" s="148">
        <f t="shared" si="32"/>
        <v>0.84066666666666667</v>
      </c>
      <c r="Q102" s="148">
        <f t="shared" si="38"/>
        <v>0.15933333333333333</v>
      </c>
      <c r="R102" s="148">
        <f t="shared" si="38"/>
        <v>0.15933333333333333</v>
      </c>
      <c r="S102" s="149">
        <f t="shared" si="26"/>
        <v>0</v>
      </c>
      <c r="T102" s="150">
        <f t="shared" si="27"/>
        <v>0</v>
      </c>
      <c r="U102" s="150">
        <f t="shared" si="28"/>
        <v>0</v>
      </c>
      <c r="V102" s="150">
        <f>IFERROR(INDEX(Työkonekanta!$J$3:$J$27,MATCH($A102,Työkonekanta!$A$3:$A$24,0),1)*$B102*ef_li_ion_akku/1000/1000/INDEX(Työkonekanta!$K$3:$K$27,MATCH($A102,Työkonekanta!$A$3:$A$24,0)),0)</f>
        <v>0</v>
      </c>
      <c r="W102" s="149">
        <f t="shared" si="39"/>
        <v>0</v>
      </c>
      <c r="X102" s="150">
        <f t="shared" si="40"/>
        <v>0</v>
      </c>
      <c r="Y102" s="151">
        <f t="shared" si="41"/>
        <v>0</v>
      </c>
      <c r="Z102" s="152">
        <f t="shared" si="33"/>
        <v>0</v>
      </c>
      <c r="AA102" s="153">
        <f t="shared" si="34"/>
        <v>0</v>
      </c>
      <c r="AB102" s="153">
        <f t="shared" si="35"/>
        <v>0</v>
      </c>
      <c r="AC102" s="154">
        <f t="shared" si="42"/>
        <v>0</v>
      </c>
      <c r="AD102" s="180">
        <f t="shared" si="36"/>
        <v>0</v>
      </c>
      <c r="AE102" s="160"/>
    </row>
    <row r="103" spans="1:31">
      <c r="A103" s="139">
        <v>11</v>
      </c>
      <c r="B103" s="139">
        <f>IFERROR(INDEX(Työkonekanta!$F$3:$F$27,MATCH('S2 Bio'!$A103,Työkonekanta!$A$3:$A$24,0),1),0)</f>
        <v>1</v>
      </c>
      <c r="C103" s="140">
        <v>2022</v>
      </c>
      <c r="D103" s="141" t="str">
        <f>IFERROR(INDEX(Työkonekanta!$D$3:$D$27,MATCH('S2 Bio'!$A103,Työkonekanta!$A$3:$A$24,0),1),"undefined")</f>
        <v>pom</v>
      </c>
      <c r="E103" s="145">
        <f>IFERROR(INDEX(Työkonekanta!$G$3:$G$27,MATCH($A103,Työkonekanta!$A$3:$A$24,0),1)*INDEX(Työkonekanta!$H$3:$H$27,MATCH($A103,Työkonekanta!$A$3:$A$24,0),1)*(1+_xlfn.SINGLE(s2_kerroin)*($C103-2019))*$B103,0)</f>
        <v>10300</v>
      </c>
      <c r="F103" s="145">
        <f t="shared" si="23"/>
        <v>369770</v>
      </c>
      <c r="G103" s="145">
        <f t="shared" si="29"/>
        <v>310853.31333333335</v>
      </c>
      <c r="H103" s="145">
        <f t="shared" si="30"/>
        <v>58916.686666666661</v>
      </c>
      <c r="I103" s="145">
        <f t="shared" si="24"/>
        <v>8658.8666666666668</v>
      </c>
      <c r="J103" s="145">
        <f t="shared" si="25"/>
        <v>1717.687657920311</v>
      </c>
      <c r="K103" s="142" t="str">
        <f t="shared" si="31"/>
        <v>l</v>
      </c>
      <c r="L103" s="146">
        <f>IFERROR(INDEX(Työkonekanta!$I$3:$I$27,MATCH('S2 Bio'!$A103,Työkonekanta!$A$3:$A$24,0),1)*(I103+J103)*f_adblue,0)</f>
        <v>518.82771622934888</v>
      </c>
      <c r="M103" s="146">
        <f t="shared" si="37"/>
        <v>0</v>
      </c>
      <c r="N103" s="143" t="str">
        <f>IF(tuulisähkö_vuosi&lt;='S2 Bio'!C103,"tuulisähkö",ostosähkö_nyt)</f>
        <v>jäännössähkö</v>
      </c>
      <c r="O103" s="147">
        <f>INDEX(Muuttujat!$J$5:$J$21,MATCH($C103,Muuttujat!$H$5:$H$21,0),1)</f>
        <v>67.190510474999996</v>
      </c>
      <c r="P103" s="148">
        <f t="shared" si="32"/>
        <v>0.84066666666666667</v>
      </c>
      <c r="Q103" s="148">
        <f t="shared" ref="Q103:R122" si="43">IF(biosiirtymä_luonne="äkillinen",INDEX($AG$4:$AG$20,MATCH($C103,$AF$4:$AF$20,0),1),INDEX($AH$4:$AH$20,MATCH($C103,$AF$4:$AF$20,0),1))</f>
        <v>0.15933333333333333</v>
      </c>
      <c r="R103" s="148">
        <f t="shared" si="43"/>
        <v>0.15933333333333333</v>
      </c>
      <c r="S103" s="149">
        <f t="shared" si="26"/>
        <v>5.8751276219999991</v>
      </c>
      <c r="T103" s="150">
        <f t="shared" si="27"/>
        <v>3.6764012479999995</v>
      </c>
      <c r="U103" s="150">
        <f t="shared" si="28"/>
        <v>0</v>
      </c>
      <c r="V103" s="150">
        <f>IFERROR(INDEX(Työkonekanta!$J$3:$J$27,MATCH($A103,Työkonekanta!$A$3:$A$24,0),1)*$B103*ef_li_ion_akku/1000/1000/INDEX(Työkonekanta!$K$3:$K$27,MATCH($A103,Työkonekanta!$A$3:$A$24,0)),0)</f>
        <v>0</v>
      </c>
      <c r="W103" s="149">
        <f t="shared" si="39"/>
        <v>22.943540393836919</v>
      </c>
      <c r="X103" s="150">
        <f t="shared" si="40"/>
        <v>0.32727802980000004</v>
      </c>
      <c r="Y103" s="151">
        <f t="shared" si="41"/>
        <v>0.13489520621963072</v>
      </c>
      <c r="Z103" s="152">
        <f t="shared" si="33"/>
        <v>9.5515288699999985</v>
      </c>
      <c r="AA103" s="153">
        <f t="shared" si="34"/>
        <v>23.078435600056551</v>
      </c>
      <c r="AB103" s="153">
        <f t="shared" si="35"/>
        <v>23.40571362985655</v>
      </c>
      <c r="AC103" s="154">
        <f t="shared" si="42"/>
        <v>32.629964470056549</v>
      </c>
      <c r="AD103" s="180">
        <f t="shared" si="36"/>
        <v>32.957242499856548</v>
      </c>
      <c r="AE103" s="160"/>
    </row>
    <row r="104" spans="1:31">
      <c r="A104" s="139">
        <v>12</v>
      </c>
      <c r="B104" s="139">
        <f>IFERROR(INDEX(Työkonekanta!$F$3:$F$27,MATCH('S2 Bio'!$A104,Työkonekanta!$A$3:$A$24,0),1),0)</f>
        <v>1</v>
      </c>
      <c r="C104" s="140">
        <v>2022</v>
      </c>
      <c r="D104" s="141" t="str">
        <f>IFERROR(INDEX(Työkonekanta!$D$3:$D$27,MATCH('S2 Bio'!$A104,Työkonekanta!$A$3:$A$24,0),1),"undefined")</f>
        <v>pom</v>
      </c>
      <c r="E104" s="145">
        <f>IFERROR(INDEX(Työkonekanta!$G$3:$G$27,MATCH($A104,Työkonekanta!$A$3:$A$24,0),1)*INDEX(Työkonekanta!$H$3:$H$27,MATCH($A104,Työkonekanta!$A$3:$A$24,0),1)*(1+_xlfn.SINGLE(s2_kerroin)*($C104-2019))*$B104,0)</f>
        <v>10300</v>
      </c>
      <c r="F104" s="145">
        <f t="shared" si="23"/>
        <v>369770</v>
      </c>
      <c r="G104" s="145">
        <f t="shared" si="29"/>
        <v>310853.31333333335</v>
      </c>
      <c r="H104" s="145">
        <f t="shared" si="30"/>
        <v>58916.686666666661</v>
      </c>
      <c r="I104" s="145">
        <f t="shared" si="24"/>
        <v>8658.8666666666668</v>
      </c>
      <c r="J104" s="145">
        <f t="shared" si="25"/>
        <v>1717.687657920311</v>
      </c>
      <c r="K104" s="142" t="str">
        <f t="shared" si="31"/>
        <v>l</v>
      </c>
      <c r="L104" s="146">
        <f>IFERROR(INDEX(Työkonekanta!$I$3:$I$27,MATCH('S2 Bio'!$A104,Työkonekanta!$A$3:$A$24,0),1)*(I104+J104)*f_adblue,0)</f>
        <v>518.82771622934888</v>
      </c>
      <c r="M104" s="146">
        <f t="shared" si="37"/>
        <v>0</v>
      </c>
      <c r="N104" s="143" t="str">
        <f>IF(tuulisähkö_vuosi&lt;='S2 Bio'!C104,"tuulisähkö",ostosähkö_nyt)</f>
        <v>jäännössähkö</v>
      </c>
      <c r="O104" s="147">
        <f>INDEX(Muuttujat!$J$5:$J$21,MATCH($C104,Muuttujat!$H$5:$H$21,0),1)</f>
        <v>67.190510474999996</v>
      </c>
      <c r="P104" s="148">
        <f t="shared" si="32"/>
        <v>0.84066666666666667</v>
      </c>
      <c r="Q104" s="148">
        <f t="shared" si="43"/>
        <v>0.15933333333333333</v>
      </c>
      <c r="R104" s="148">
        <f t="shared" si="43"/>
        <v>0.15933333333333333</v>
      </c>
      <c r="S104" s="149">
        <f t="shared" si="26"/>
        <v>5.8751276219999991</v>
      </c>
      <c r="T104" s="150">
        <f t="shared" si="27"/>
        <v>3.6764012479999995</v>
      </c>
      <c r="U104" s="150">
        <f t="shared" si="28"/>
        <v>0</v>
      </c>
      <c r="V104" s="150">
        <f>IFERROR(INDEX(Työkonekanta!$J$3:$J$27,MATCH($A104,Työkonekanta!$A$3:$A$24,0),1)*$B104*ef_li_ion_akku/1000/1000/INDEX(Työkonekanta!$K$3:$K$27,MATCH($A104,Työkonekanta!$A$3:$A$24,0)),0)</f>
        <v>0</v>
      </c>
      <c r="W104" s="149">
        <f t="shared" si="39"/>
        <v>22.943540393836919</v>
      </c>
      <c r="X104" s="150">
        <f t="shared" si="40"/>
        <v>0.32727802980000004</v>
      </c>
      <c r="Y104" s="151">
        <f t="shared" si="41"/>
        <v>0.13489520621963072</v>
      </c>
      <c r="Z104" s="152">
        <f t="shared" si="33"/>
        <v>9.5515288699999985</v>
      </c>
      <c r="AA104" s="153">
        <f t="shared" si="34"/>
        <v>23.078435600056551</v>
      </c>
      <c r="AB104" s="153">
        <f t="shared" si="35"/>
        <v>23.40571362985655</v>
      </c>
      <c r="AC104" s="154">
        <f t="shared" si="42"/>
        <v>32.629964470056549</v>
      </c>
      <c r="AD104" s="180">
        <f t="shared" si="36"/>
        <v>32.957242499856548</v>
      </c>
      <c r="AE104" s="160"/>
    </row>
    <row r="105" spans="1:31">
      <c r="A105" s="139">
        <v>13</v>
      </c>
      <c r="B105" s="139">
        <f>IFERROR(INDEX(Työkonekanta!$F$3:$F$27,MATCH('S2 Bio'!$A105,Työkonekanta!$A$3:$A$24,0),1),0)</f>
        <v>0</v>
      </c>
      <c r="C105" s="140">
        <v>2022</v>
      </c>
      <c r="D105" s="141" t="str">
        <f>IFERROR(INDEX(Työkonekanta!$D$3:$D$27,MATCH('S2 Bio'!$A105,Työkonekanta!$A$3:$A$24,0),1),"undefined")</f>
        <v>pom</v>
      </c>
      <c r="E105" s="145">
        <f>IFERROR(INDEX(Työkonekanta!$G$3:$G$27,MATCH($A105,Työkonekanta!$A$3:$A$24,0),1)*INDEX(Työkonekanta!$H$3:$H$27,MATCH($A105,Työkonekanta!$A$3:$A$24,0),1)*(1+_xlfn.SINGLE(s2_kerroin)*($C105-2019))*$B105,0)</f>
        <v>0</v>
      </c>
      <c r="F105" s="145">
        <f t="shared" si="23"/>
        <v>0</v>
      </c>
      <c r="G105" s="145">
        <f t="shared" si="29"/>
        <v>0</v>
      </c>
      <c r="H105" s="145">
        <f t="shared" si="30"/>
        <v>0</v>
      </c>
      <c r="I105" s="145">
        <f t="shared" si="24"/>
        <v>0</v>
      </c>
      <c r="J105" s="145">
        <f t="shared" si="25"/>
        <v>0</v>
      </c>
      <c r="K105" s="142" t="str">
        <f t="shared" si="31"/>
        <v>l</v>
      </c>
      <c r="L105" s="146">
        <f>IFERROR(INDEX(Työkonekanta!$I$3:$I$27,MATCH('S2 Bio'!$A105,Työkonekanta!$A$3:$A$24,0),1)*(I105+J105)*f_adblue,0)</f>
        <v>0</v>
      </c>
      <c r="M105" s="146">
        <f t="shared" si="37"/>
        <v>0</v>
      </c>
      <c r="N105" s="143" t="str">
        <f>IF(tuulisähkö_vuosi&lt;='S2 Bio'!C105,"tuulisähkö",ostosähkö_nyt)</f>
        <v>jäännössähkö</v>
      </c>
      <c r="O105" s="147">
        <f>INDEX(Muuttujat!$J$5:$J$21,MATCH($C105,Muuttujat!$H$5:$H$21,0),1)</f>
        <v>67.190510474999996</v>
      </c>
      <c r="P105" s="148">
        <f t="shared" si="32"/>
        <v>0.84066666666666667</v>
      </c>
      <c r="Q105" s="148">
        <f t="shared" si="43"/>
        <v>0.15933333333333333</v>
      </c>
      <c r="R105" s="148">
        <f t="shared" si="43"/>
        <v>0.15933333333333333</v>
      </c>
      <c r="S105" s="149">
        <f t="shared" si="26"/>
        <v>0</v>
      </c>
      <c r="T105" s="150">
        <f t="shared" si="27"/>
        <v>0</v>
      </c>
      <c r="U105" s="150">
        <f t="shared" si="28"/>
        <v>0</v>
      </c>
      <c r="V105" s="150">
        <f>IFERROR(INDEX(Työkonekanta!$J$3:$J$27,MATCH($A105,Työkonekanta!$A$3:$A$24,0),1)*$B105*ef_li_ion_akku/1000/1000/INDEX(Työkonekanta!$K$3:$K$27,MATCH($A105,Työkonekanta!$A$3:$A$24,0)),0)</f>
        <v>0</v>
      </c>
      <c r="W105" s="149">
        <f t="shared" si="39"/>
        <v>0</v>
      </c>
      <c r="X105" s="150">
        <f t="shared" si="40"/>
        <v>0</v>
      </c>
      <c r="Y105" s="151">
        <f t="shared" si="41"/>
        <v>0</v>
      </c>
      <c r="Z105" s="152">
        <f t="shared" si="33"/>
        <v>0</v>
      </c>
      <c r="AA105" s="153">
        <f t="shared" si="34"/>
        <v>0</v>
      </c>
      <c r="AB105" s="153">
        <f t="shared" si="35"/>
        <v>0</v>
      </c>
      <c r="AC105" s="154">
        <f t="shared" si="42"/>
        <v>0</v>
      </c>
      <c r="AD105" s="180">
        <f t="shared" si="36"/>
        <v>0</v>
      </c>
      <c r="AE105" s="160"/>
    </row>
    <row r="106" spans="1:31">
      <c r="A106" s="139">
        <v>14</v>
      </c>
      <c r="B106" s="139">
        <f>IFERROR(INDEX(Työkonekanta!$F$3:$F$27,MATCH('S2 Bio'!$A106,Työkonekanta!$A$3:$A$24,0),1),0)</f>
        <v>0</v>
      </c>
      <c r="C106" s="140">
        <v>2022</v>
      </c>
      <c r="D106" s="141" t="str">
        <f>IFERROR(INDEX(Työkonekanta!$D$3:$D$27,MATCH('S2 Bio'!$A106,Työkonekanta!$A$3:$A$24,0),1),"undefined")</f>
        <v>pom</v>
      </c>
      <c r="E106" s="145">
        <f>IFERROR(INDEX(Työkonekanta!$G$3:$G$27,MATCH($A106,Työkonekanta!$A$3:$A$24,0),1)*INDEX(Työkonekanta!$H$3:$H$27,MATCH($A106,Työkonekanta!$A$3:$A$24,0),1)*(1+_xlfn.SINGLE(s2_kerroin)*($C106-2019))*$B106,0)</f>
        <v>0</v>
      </c>
      <c r="F106" s="145">
        <f t="shared" si="23"/>
        <v>0</v>
      </c>
      <c r="G106" s="145">
        <f t="shared" si="29"/>
        <v>0</v>
      </c>
      <c r="H106" s="145">
        <f t="shared" si="30"/>
        <v>0</v>
      </c>
      <c r="I106" s="145">
        <f t="shared" si="24"/>
        <v>0</v>
      </c>
      <c r="J106" s="145">
        <f t="shared" si="25"/>
        <v>0</v>
      </c>
      <c r="K106" s="142" t="str">
        <f t="shared" si="31"/>
        <v>l</v>
      </c>
      <c r="L106" s="146">
        <f>IFERROR(INDEX(Työkonekanta!$I$3:$I$27,MATCH('S2 Bio'!$A106,Työkonekanta!$A$3:$A$24,0),1)*(I106+J106)*f_adblue,0)</f>
        <v>0</v>
      </c>
      <c r="M106" s="146">
        <f t="shared" si="37"/>
        <v>0</v>
      </c>
      <c r="N106" s="143" t="str">
        <f>IF(tuulisähkö_vuosi&lt;='S2 Bio'!C106,"tuulisähkö",ostosähkö_nyt)</f>
        <v>jäännössähkö</v>
      </c>
      <c r="O106" s="147">
        <f>INDEX(Muuttujat!$J$5:$J$21,MATCH($C106,Muuttujat!$H$5:$H$21,0),1)</f>
        <v>67.190510474999996</v>
      </c>
      <c r="P106" s="148">
        <f t="shared" si="32"/>
        <v>0.84066666666666667</v>
      </c>
      <c r="Q106" s="148">
        <f t="shared" si="43"/>
        <v>0.15933333333333333</v>
      </c>
      <c r="R106" s="148">
        <f t="shared" si="43"/>
        <v>0.15933333333333333</v>
      </c>
      <c r="S106" s="149">
        <f t="shared" si="26"/>
        <v>0</v>
      </c>
      <c r="T106" s="150">
        <f t="shared" si="27"/>
        <v>0</v>
      </c>
      <c r="U106" s="150">
        <f t="shared" si="28"/>
        <v>0</v>
      </c>
      <c r="V106" s="150">
        <f>IFERROR(INDEX(Työkonekanta!$J$3:$J$27,MATCH($A106,Työkonekanta!$A$3:$A$24,0),1)*$B106*ef_li_ion_akku/1000/1000/INDEX(Työkonekanta!$K$3:$K$27,MATCH($A106,Työkonekanta!$A$3:$A$24,0)),0)</f>
        <v>0</v>
      </c>
      <c r="W106" s="149">
        <f t="shared" si="39"/>
        <v>0</v>
      </c>
      <c r="X106" s="150">
        <f t="shared" si="40"/>
        <v>0</v>
      </c>
      <c r="Y106" s="151">
        <f t="shared" si="41"/>
        <v>0</v>
      </c>
      <c r="Z106" s="152">
        <f t="shared" si="33"/>
        <v>0</v>
      </c>
      <c r="AA106" s="153">
        <f t="shared" si="34"/>
        <v>0</v>
      </c>
      <c r="AB106" s="153">
        <f t="shared" si="35"/>
        <v>0</v>
      </c>
      <c r="AC106" s="154">
        <f t="shared" si="42"/>
        <v>0</v>
      </c>
      <c r="AD106" s="180">
        <f t="shared" si="36"/>
        <v>0</v>
      </c>
      <c r="AE106" s="160"/>
    </row>
    <row r="107" spans="1:31">
      <c r="A107" s="139">
        <v>15</v>
      </c>
      <c r="B107" s="139">
        <f>IFERROR(INDEX(Työkonekanta!$F$3:$F$27,MATCH('S2 Bio'!$A107,Työkonekanta!$A$3:$A$24,0),1),0)</f>
        <v>0</v>
      </c>
      <c r="C107" s="140">
        <v>2022</v>
      </c>
      <c r="D107" s="141" t="str">
        <f>IFERROR(INDEX(Työkonekanta!$D$3:$D$27,MATCH('S2 Bio'!$A107,Työkonekanta!$A$3:$A$24,0),1),"undefined")</f>
        <v>sähkö</v>
      </c>
      <c r="E107" s="145">
        <f>IFERROR(INDEX(Työkonekanta!$G$3:$G$27,MATCH($A107,Työkonekanta!$A$3:$A$24,0),1)*INDEX(Työkonekanta!$H$3:$H$27,MATCH($A107,Työkonekanta!$A$3:$A$24,0),1)*(1+_xlfn.SINGLE(s2_kerroin)*($C107-2019))*$B107,0)</f>
        <v>0</v>
      </c>
      <c r="F107" s="145">
        <f t="shared" si="23"/>
        <v>0</v>
      </c>
      <c r="G107" s="145">
        <f t="shared" si="29"/>
        <v>0</v>
      </c>
      <c r="H107" s="145">
        <f t="shared" si="30"/>
        <v>0</v>
      </c>
      <c r="I107" s="145">
        <f t="shared" si="24"/>
        <v>0</v>
      </c>
      <c r="J107" s="145">
        <f t="shared" si="25"/>
        <v>0</v>
      </c>
      <c r="K107" s="142" t="str">
        <f t="shared" si="31"/>
        <v>kWh</v>
      </c>
      <c r="L107" s="146">
        <f>IFERROR(INDEX(Työkonekanta!$I$3:$I$27,MATCH('S2 Bio'!$A107,Työkonekanta!$A$3:$A$24,0),1)*(I107+J107)*f_adblue,0)</f>
        <v>0</v>
      </c>
      <c r="M107" s="146">
        <f t="shared" si="37"/>
        <v>0</v>
      </c>
      <c r="N107" s="143" t="str">
        <f>IF(tuulisähkö_vuosi&lt;='S2 Bio'!C107,"tuulisähkö",ostosähkö_nyt)</f>
        <v>jäännössähkö</v>
      </c>
      <c r="O107" s="147">
        <f>INDEX(Muuttujat!$J$5:$J$21,MATCH($C107,Muuttujat!$H$5:$H$21,0),1)</f>
        <v>67.190510474999996</v>
      </c>
      <c r="P107" s="148">
        <f t="shared" si="32"/>
        <v>0.84066666666666667</v>
      </c>
      <c r="Q107" s="148">
        <f t="shared" si="43"/>
        <v>0.15933333333333333</v>
      </c>
      <c r="R107" s="148">
        <f t="shared" si="43"/>
        <v>0.15933333333333333</v>
      </c>
      <c r="S107" s="149">
        <f t="shared" si="26"/>
        <v>0</v>
      </c>
      <c r="T107" s="150">
        <f t="shared" si="27"/>
        <v>0</v>
      </c>
      <c r="U107" s="150">
        <f t="shared" si="28"/>
        <v>0</v>
      </c>
      <c r="V107" s="150">
        <f>IFERROR(INDEX(Työkonekanta!$J$3:$J$27,MATCH($A107,Työkonekanta!$A$3:$A$24,0),1)*$B107*ef_li_ion_akku/1000/1000/INDEX(Työkonekanta!$K$3:$K$27,MATCH($A107,Työkonekanta!$A$3:$A$24,0)),0)</f>
        <v>0</v>
      </c>
      <c r="W107" s="149">
        <f t="shared" si="39"/>
        <v>0</v>
      </c>
      <c r="X107" s="150">
        <f t="shared" si="40"/>
        <v>0</v>
      </c>
      <c r="Y107" s="151">
        <f t="shared" si="41"/>
        <v>0</v>
      </c>
      <c r="Z107" s="152">
        <f t="shared" si="33"/>
        <v>0</v>
      </c>
      <c r="AA107" s="153">
        <f t="shared" si="34"/>
        <v>0</v>
      </c>
      <c r="AB107" s="153">
        <f t="shared" si="35"/>
        <v>0</v>
      </c>
      <c r="AC107" s="154">
        <f t="shared" si="42"/>
        <v>0</v>
      </c>
      <c r="AD107" s="180">
        <f t="shared" si="36"/>
        <v>0</v>
      </c>
      <c r="AE107" s="160"/>
    </row>
    <row r="108" spans="1:31">
      <c r="A108" s="139">
        <v>16</v>
      </c>
      <c r="B108" s="139">
        <f>IFERROR(INDEX(Työkonekanta!$F$3:$F$27,MATCH('S2 Bio'!$A108,Työkonekanta!$A$3:$A$24,0),1),0)</f>
        <v>0</v>
      </c>
      <c r="C108" s="140">
        <v>2022</v>
      </c>
      <c r="D108" s="141" t="str">
        <f>IFERROR(INDEX(Työkonekanta!$D$3:$D$27,MATCH('S2 Bio'!$A108,Työkonekanta!$A$3:$A$24,0),1),"undefined")</f>
        <v>sähkö</v>
      </c>
      <c r="E108" s="145">
        <f>IFERROR(INDEX(Työkonekanta!$G$3:$G$27,MATCH($A108,Työkonekanta!$A$3:$A$24,0),1)*INDEX(Työkonekanta!$H$3:$H$27,MATCH($A108,Työkonekanta!$A$3:$A$24,0),1)*(1+_xlfn.SINGLE(s2_kerroin)*($C108-2019))*$B108,0)</f>
        <v>0</v>
      </c>
      <c r="F108" s="145">
        <f t="shared" si="23"/>
        <v>0</v>
      </c>
      <c r="G108" s="145">
        <f t="shared" si="29"/>
        <v>0</v>
      </c>
      <c r="H108" s="145">
        <f t="shared" si="30"/>
        <v>0</v>
      </c>
      <c r="I108" s="145">
        <f t="shared" si="24"/>
        <v>0</v>
      </c>
      <c r="J108" s="145">
        <f t="shared" si="25"/>
        <v>0</v>
      </c>
      <c r="K108" s="142" t="str">
        <f t="shared" si="31"/>
        <v>kWh</v>
      </c>
      <c r="L108" s="146">
        <f>IFERROR(INDEX(Työkonekanta!$I$3:$I$27,MATCH('S2 Bio'!$A108,Työkonekanta!$A$3:$A$24,0),1)*(I108+J108)*f_adblue,0)</f>
        <v>0</v>
      </c>
      <c r="M108" s="146">
        <f t="shared" si="37"/>
        <v>0</v>
      </c>
      <c r="N108" s="143" t="str">
        <f>IF(tuulisähkö_vuosi&lt;='S2 Bio'!C108,"tuulisähkö",ostosähkö_nyt)</f>
        <v>jäännössähkö</v>
      </c>
      <c r="O108" s="147">
        <f>INDEX(Muuttujat!$J$5:$J$21,MATCH($C108,Muuttujat!$H$5:$H$21,0),1)</f>
        <v>67.190510474999996</v>
      </c>
      <c r="P108" s="148">
        <f t="shared" si="32"/>
        <v>0.84066666666666667</v>
      </c>
      <c r="Q108" s="148">
        <f t="shared" si="43"/>
        <v>0.15933333333333333</v>
      </c>
      <c r="R108" s="148">
        <f t="shared" si="43"/>
        <v>0.15933333333333333</v>
      </c>
      <c r="S108" s="149">
        <f t="shared" si="26"/>
        <v>0</v>
      </c>
      <c r="T108" s="150">
        <f t="shared" si="27"/>
        <v>0</v>
      </c>
      <c r="U108" s="150">
        <f t="shared" si="28"/>
        <v>0</v>
      </c>
      <c r="V108" s="150">
        <f>IFERROR(INDEX(Työkonekanta!$J$3:$J$27,MATCH($A108,Työkonekanta!$A$3:$A$24,0),1)*$B108*ef_li_ion_akku/1000/1000/INDEX(Työkonekanta!$K$3:$K$27,MATCH($A108,Työkonekanta!$A$3:$A$24,0)),0)</f>
        <v>0</v>
      </c>
      <c r="W108" s="149">
        <f t="shared" si="39"/>
        <v>0</v>
      </c>
      <c r="X108" s="150">
        <f t="shared" si="40"/>
        <v>0</v>
      </c>
      <c r="Y108" s="151">
        <f t="shared" si="41"/>
        <v>0</v>
      </c>
      <c r="Z108" s="152">
        <f t="shared" si="33"/>
        <v>0</v>
      </c>
      <c r="AA108" s="153">
        <f t="shared" si="34"/>
        <v>0</v>
      </c>
      <c r="AB108" s="153">
        <f t="shared" si="35"/>
        <v>0</v>
      </c>
      <c r="AC108" s="154">
        <f t="shared" si="42"/>
        <v>0</v>
      </c>
      <c r="AD108" s="180">
        <f t="shared" si="36"/>
        <v>0</v>
      </c>
      <c r="AE108" s="160"/>
    </row>
    <row r="109" spans="1:31">
      <c r="A109" s="139">
        <v>17</v>
      </c>
      <c r="B109" s="139">
        <f>IFERROR(INDEX(Työkonekanta!$F$3:$F$27,MATCH('S2 Bio'!$A109,Työkonekanta!$A$3:$A$24,0),1),0)</f>
        <v>1</v>
      </c>
      <c r="C109" s="140">
        <v>2022</v>
      </c>
      <c r="D109" s="141" t="str">
        <f>IFERROR(INDEX(Työkonekanta!$D$3:$D$27,MATCH('S2 Bio'!$A109,Työkonekanta!$A$3:$A$24,0),1),"undefined")</f>
        <v>pom</v>
      </c>
      <c r="E109" s="145">
        <f>IFERROR(INDEX(Työkonekanta!$G$3:$G$27,MATCH($A109,Työkonekanta!$A$3:$A$24,0),1)*INDEX(Työkonekanta!$H$3:$H$27,MATCH($A109,Työkonekanta!$A$3:$A$24,0),1)*(1+_xlfn.SINGLE(s2_kerroin)*($C109-2019))*$B109,0)</f>
        <v>10300</v>
      </c>
      <c r="F109" s="145">
        <f t="shared" si="23"/>
        <v>369770</v>
      </c>
      <c r="G109" s="145">
        <f t="shared" si="29"/>
        <v>310853.31333333335</v>
      </c>
      <c r="H109" s="145">
        <f t="shared" si="30"/>
        <v>58916.686666666661</v>
      </c>
      <c r="I109" s="145">
        <f t="shared" si="24"/>
        <v>8658.8666666666668</v>
      </c>
      <c r="J109" s="145">
        <f t="shared" si="25"/>
        <v>1717.687657920311</v>
      </c>
      <c r="K109" s="142" t="str">
        <f t="shared" si="31"/>
        <v>l</v>
      </c>
      <c r="L109" s="146">
        <f>IFERROR(INDEX(Työkonekanta!$I$3:$I$27,MATCH('S2 Bio'!$A109,Työkonekanta!$A$3:$A$24,0),1)*(I109+J109)*f_adblue,0)</f>
        <v>518.82771622934888</v>
      </c>
      <c r="M109" s="146">
        <f t="shared" si="37"/>
        <v>0</v>
      </c>
      <c r="N109" s="143" t="str">
        <f>IF(tuulisähkö_vuosi&lt;='S2 Bio'!C109,"tuulisähkö",ostosähkö_nyt)</f>
        <v>jäännössähkö</v>
      </c>
      <c r="O109" s="147">
        <f>INDEX(Muuttujat!$J$5:$J$21,MATCH($C109,Muuttujat!$H$5:$H$21,0),1)</f>
        <v>67.190510474999996</v>
      </c>
      <c r="P109" s="148">
        <f t="shared" si="32"/>
        <v>0.84066666666666667</v>
      </c>
      <c r="Q109" s="148">
        <f t="shared" si="43"/>
        <v>0.15933333333333333</v>
      </c>
      <c r="R109" s="148">
        <f t="shared" si="43"/>
        <v>0.15933333333333333</v>
      </c>
      <c r="S109" s="149">
        <f t="shared" si="26"/>
        <v>5.8751276219999991</v>
      </c>
      <c r="T109" s="150">
        <f t="shared" si="27"/>
        <v>3.6764012479999995</v>
      </c>
      <c r="U109" s="150">
        <f t="shared" si="28"/>
        <v>0</v>
      </c>
      <c r="V109" s="150">
        <f>IFERROR(INDEX(Työkonekanta!$J$3:$J$27,MATCH($A109,Työkonekanta!$A$3:$A$24,0),1)*$B109*ef_li_ion_akku/1000/1000/INDEX(Työkonekanta!$K$3:$K$27,MATCH($A109,Työkonekanta!$A$3:$A$24,0)),0)</f>
        <v>0</v>
      </c>
      <c r="W109" s="149">
        <f t="shared" si="39"/>
        <v>22.943540393836919</v>
      </c>
      <c r="X109" s="150">
        <f t="shared" si="40"/>
        <v>0.32727802980000004</v>
      </c>
      <c r="Y109" s="151">
        <f t="shared" si="41"/>
        <v>0.13489520621963072</v>
      </c>
      <c r="Z109" s="152">
        <f t="shared" si="33"/>
        <v>9.5515288699999985</v>
      </c>
      <c r="AA109" s="153">
        <f t="shared" si="34"/>
        <v>23.078435600056551</v>
      </c>
      <c r="AB109" s="153">
        <f t="shared" si="35"/>
        <v>23.40571362985655</v>
      </c>
      <c r="AC109" s="154">
        <f t="shared" si="42"/>
        <v>32.629964470056549</v>
      </c>
      <c r="AD109" s="180">
        <f t="shared" si="36"/>
        <v>32.957242499856548</v>
      </c>
      <c r="AE109" s="160"/>
    </row>
    <row r="110" spans="1:31">
      <c r="A110" s="139">
        <v>18</v>
      </c>
      <c r="B110" s="139">
        <f>IFERROR(INDEX(Työkonekanta!$F$3:$F$27,MATCH('S2 Bio'!$A110,Työkonekanta!$A$3:$A$24,0),1),0)</f>
        <v>1</v>
      </c>
      <c r="C110" s="140">
        <v>2022</v>
      </c>
      <c r="D110" s="141" t="str">
        <f>IFERROR(INDEX(Työkonekanta!$D$3:$D$27,MATCH('S2 Bio'!$A110,Työkonekanta!$A$3:$A$24,0),1),"undefined")</f>
        <v>pom</v>
      </c>
      <c r="E110" s="145">
        <f>IFERROR(INDEX(Työkonekanta!$G$3:$G$27,MATCH($A110,Työkonekanta!$A$3:$A$24,0),1)*INDEX(Työkonekanta!$H$3:$H$27,MATCH($A110,Työkonekanta!$A$3:$A$24,0),1)*(1+_xlfn.SINGLE(s2_kerroin)*($C110-2019))*$B110,0)</f>
        <v>10300</v>
      </c>
      <c r="F110" s="145">
        <f t="shared" si="23"/>
        <v>369770</v>
      </c>
      <c r="G110" s="145">
        <f t="shared" si="29"/>
        <v>310853.31333333335</v>
      </c>
      <c r="H110" s="145">
        <f t="shared" si="30"/>
        <v>58916.686666666661</v>
      </c>
      <c r="I110" s="145">
        <f t="shared" si="24"/>
        <v>8658.8666666666668</v>
      </c>
      <c r="J110" s="145">
        <f t="shared" si="25"/>
        <v>1717.687657920311</v>
      </c>
      <c r="K110" s="142" t="str">
        <f t="shared" si="31"/>
        <v>l</v>
      </c>
      <c r="L110" s="146">
        <f>IFERROR(INDEX(Työkonekanta!$I$3:$I$27,MATCH('S2 Bio'!$A110,Työkonekanta!$A$3:$A$24,0),1)*(I110+J110)*f_adblue,0)</f>
        <v>415.06217298347912</v>
      </c>
      <c r="M110" s="146">
        <f t="shared" si="37"/>
        <v>0</v>
      </c>
      <c r="N110" s="143" t="str">
        <f>IF(tuulisähkö_vuosi&lt;='S2 Bio'!C110,"tuulisähkö",ostosähkö_nyt)</f>
        <v>jäännössähkö</v>
      </c>
      <c r="O110" s="147">
        <f>INDEX(Muuttujat!$J$5:$J$21,MATCH($C110,Muuttujat!$H$5:$H$21,0),1)</f>
        <v>67.190510474999996</v>
      </c>
      <c r="P110" s="148">
        <f t="shared" si="32"/>
        <v>0.84066666666666667</v>
      </c>
      <c r="Q110" s="148">
        <f t="shared" si="43"/>
        <v>0.15933333333333333</v>
      </c>
      <c r="R110" s="148">
        <f t="shared" si="43"/>
        <v>0.15933333333333333</v>
      </c>
      <c r="S110" s="149">
        <f t="shared" si="26"/>
        <v>5.8751276219999991</v>
      </c>
      <c r="T110" s="150">
        <f t="shared" si="27"/>
        <v>3.6764012479999995</v>
      </c>
      <c r="U110" s="150">
        <f t="shared" si="28"/>
        <v>0</v>
      </c>
      <c r="V110" s="150">
        <f>IFERROR(INDEX(Työkonekanta!$J$3:$J$27,MATCH($A110,Työkonekanta!$A$3:$A$24,0),1)*$B110*ef_li_ion_akku/1000/1000/INDEX(Työkonekanta!$K$3:$K$27,MATCH($A110,Työkonekanta!$A$3:$A$24,0)),0)</f>
        <v>0</v>
      </c>
      <c r="W110" s="149">
        <f t="shared" si="39"/>
        <v>22.943540393836919</v>
      </c>
      <c r="X110" s="150">
        <f t="shared" si="40"/>
        <v>0.32727802980000004</v>
      </c>
      <c r="Y110" s="151">
        <f t="shared" si="41"/>
        <v>0.10791616497570457</v>
      </c>
      <c r="Z110" s="152">
        <f t="shared" si="33"/>
        <v>9.5515288699999985</v>
      </c>
      <c r="AA110" s="153">
        <f t="shared" si="34"/>
        <v>23.051456558812625</v>
      </c>
      <c r="AB110" s="153">
        <f t="shared" si="35"/>
        <v>23.378734588612623</v>
      </c>
      <c r="AC110" s="154">
        <f t="shared" si="42"/>
        <v>32.602985428812623</v>
      </c>
      <c r="AD110" s="180">
        <f t="shared" si="36"/>
        <v>32.930263458612622</v>
      </c>
      <c r="AE110" s="160"/>
    </row>
    <row r="111" spans="1:31">
      <c r="A111" s="139">
        <v>19</v>
      </c>
      <c r="B111" s="139">
        <f>IFERROR(INDEX(Työkonekanta!$F$3:$F$27,MATCH('S2 Bio'!$A111,Työkonekanta!$A$3:$A$24,0),1),0)</f>
        <v>0</v>
      </c>
      <c r="C111" s="140">
        <v>2022</v>
      </c>
      <c r="D111" s="141" t="str">
        <f>IFERROR(INDEX(Työkonekanta!$D$3:$D$27,MATCH('S2 Bio'!$A111,Työkonekanta!$A$3:$A$24,0),1),"undefined")</f>
        <v>pom</v>
      </c>
      <c r="E111" s="145">
        <f>IFERROR(INDEX(Työkonekanta!$G$3:$G$27,MATCH($A111,Työkonekanta!$A$3:$A$24,0),1)*INDEX(Työkonekanta!$H$3:$H$27,MATCH($A111,Työkonekanta!$A$3:$A$24,0),1)*(1+_xlfn.SINGLE(s2_kerroin)*($C111-2019))*$B111,0)</f>
        <v>0</v>
      </c>
      <c r="F111" s="145">
        <f t="shared" si="23"/>
        <v>0</v>
      </c>
      <c r="G111" s="145">
        <f t="shared" si="29"/>
        <v>0</v>
      </c>
      <c r="H111" s="145">
        <f t="shared" si="30"/>
        <v>0</v>
      </c>
      <c r="I111" s="145">
        <f t="shared" si="24"/>
        <v>0</v>
      </c>
      <c r="J111" s="145">
        <f t="shared" si="25"/>
        <v>0</v>
      </c>
      <c r="K111" s="142" t="str">
        <f t="shared" si="31"/>
        <v>l</v>
      </c>
      <c r="L111" s="146">
        <f>IFERROR(INDEX(Työkonekanta!$I$3:$I$27,MATCH('S2 Bio'!$A111,Työkonekanta!$A$3:$A$24,0),1)*(I111+J111)*f_adblue,0)</f>
        <v>0</v>
      </c>
      <c r="M111" s="146">
        <f t="shared" si="37"/>
        <v>0</v>
      </c>
      <c r="N111" s="143" t="str">
        <f>IF(tuulisähkö_vuosi&lt;='S2 Bio'!C111,"tuulisähkö",ostosähkö_nyt)</f>
        <v>jäännössähkö</v>
      </c>
      <c r="O111" s="147">
        <f>INDEX(Muuttujat!$J$5:$J$21,MATCH($C111,Muuttujat!$H$5:$H$21,0),1)</f>
        <v>67.190510474999996</v>
      </c>
      <c r="P111" s="148">
        <f t="shared" si="32"/>
        <v>0.84066666666666667</v>
      </c>
      <c r="Q111" s="148">
        <f t="shared" si="43"/>
        <v>0.15933333333333333</v>
      </c>
      <c r="R111" s="148">
        <f t="shared" si="43"/>
        <v>0.15933333333333333</v>
      </c>
      <c r="S111" s="149">
        <f t="shared" si="26"/>
        <v>0</v>
      </c>
      <c r="T111" s="150">
        <f t="shared" si="27"/>
        <v>0</v>
      </c>
      <c r="U111" s="150">
        <f t="shared" si="28"/>
        <v>0</v>
      </c>
      <c r="V111" s="150">
        <f>IFERROR(INDEX(Työkonekanta!$J$3:$J$27,MATCH($A111,Työkonekanta!$A$3:$A$24,0),1)*$B111*ef_li_ion_akku/1000/1000/INDEX(Työkonekanta!$K$3:$K$27,MATCH($A111,Työkonekanta!$A$3:$A$24,0)),0)</f>
        <v>0</v>
      </c>
      <c r="W111" s="149">
        <f t="shared" si="39"/>
        <v>0</v>
      </c>
      <c r="X111" s="150">
        <f t="shared" si="40"/>
        <v>0</v>
      </c>
      <c r="Y111" s="151">
        <f t="shared" si="41"/>
        <v>0</v>
      </c>
      <c r="Z111" s="152">
        <f t="shared" si="33"/>
        <v>0</v>
      </c>
      <c r="AA111" s="153">
        <f t="shared" si="34"/>
        <v>0</v>
      </c>
      <c r="AB111" s="153">
        <f t="shared" si="35"/>
        <v>0</v>
      </c>
      <c r="AC111" s="154">
        <f t="shared" si="42"/>
        <v>0</v>
      </c>
      <c r="AD111" s="180">
        <f t="shared" si="36"/>
        <v>0</v>
      </c>
      <c r="AE111" s="160"/>
    </row>
    <row r="112" spans="1:31">
      <c r="A112" s="139">
        <v>20</v>
      </c>
      <c r="B112" s="139">
        <f>IFERROR(INDEX(Työkonekanta!$F$3:$F$27,MATCH('S2 Bio'!$A112,Työkonekanta!$A$3:$A$24,0),1),0)</f>
        <v>0</v>
      </c>
      <c r="C112" s="140">
        <v>2022</v>
      </c>
      <c r="D112" s="141" t="str">
        <f>IFERROR(INDEX(Työkonekanta!$D$3:$D$27,MATCH('S2 Bio'!$A112,Työkonekanta!$A$3:$A$24,0),1),"undefined")</f>
        <v>pom</v>
      </c>
      <c r="E112" s="145">
        <f>IFERROR(INDEX(Työkonekanta!$G$3:$G$27,MATCH($A112,Työkonekanta!$A$3:$A$24,0),1)*INDEX(Työkonekanta!$H$3:$H$27,MATCH($A112,Työkonekanta!$A$3:$A$24,0),1)*(1+_xlfn.SINGLE(s2_kerroin)*($C112-2019))*$B112,0)</f>
        <v>0</v>
      </c>
      <c r="F112" s="145">
        <f t="shared" si="23"/>
        <v>0</v>
      </c>
      <c r="G112" s="145">
        <f t="shared" si="29"/>
        <v>0</v>
      </c>
      <c r="H112" s="145">
        <f t="shared" si="30"/>
        <v>0</v>
      </c>
      <c r="I112" s="145">
        <f t="shared" si="24"/>
        <v>0</v>
      </c>
      <c r="J112" s="145">
        <f t="shared" si="25"/>
        <v>0</v>
      </c>
      <c r="K112" s="142" t="str">
        <f t="shared" si="31"/>
        <v>l</v>
      </c>
      <c r="L112" s="146">
        <f>IFERROR(INDEX(Työkonekanta!$I$3:$I$27,MATCH('S2 Bio'!$A112,Työkonekanta!$A$3:$A$24,0),1)*(I112+J112)*f_adblue,0)</f>
        <v>0</v>
      </c>
      <c r="M112" s="146">
        <f t="shared" si="37"/>
        <v>0</v>
      </c>
      <c r="N112" s="143" t="str">
        <f>IF(tuulisähkö_vuosi&lt;='S2 Bio'!C112,"tuulisähkö",ostosähkö_nyt)</f>
        <v>jäännössähkö</v>
      </c>
      <c r="O112" s="147">
        <f>INDEX(Muuttujat!$J$5:$J$21,MATCH($C112,Muuttujat!$H$5:$H$21,0),1)</f>
        <v>67.190510474999996</v>
      </c>
      <c r="P112" s="148">
        <f t="shared" si="32"/>
        <v>0.84066666666666667</v>
      </c>
      <c r="Q112" s="148">
        <f t="shared" si="43"/>
        <v>0.15933333333333333</v>
      </c>
      <c r="R112" s="148">
        <f t="shared" si="43"/>
        <v>0.15933333333333333</v>
      </c>
      <c r="S112" s="149">
        <f t="shared" si="26"/>
        <v>0</v>
      </c>
      <c r="T112" s="150">
        <f t="shared" si="27"/>
        <v>0</v>
      </c>
      <c r="U112" s="150">
        <f t="shared" si="28"/>
        <v>0</v>
      </c>
      <c r="V112" s="150">
        <f>IFERROR(INDEX(Työkonekanta!$J$3:$J$27,MATCH($A112,Työkonekanta!$A$3:$A$24,0),1)*$B112*ef_li_ion_akku/1000/1000/INDEX(Työkonekanta!$K$3:$K$27,MATCH($A112,Työkonekanta!$A$3:$A$24,0)),0)</f>
        <v>0</v>
      </c>
      <c r="W112" s="149">
        <f t="shared" si="39"/>
        <v>0</v>
      </c>
      <c r="X112" s="150">
        <f t="shared" si="40"/>
        <v>0</v>
      </c>
      <c r="Y112" s="151">
        <f t="shared" si="41"/>
        <v>0</v>
      </c>
      <c r="Z112" s="152">
        <f t="shared" si="33"/>
        <v>0</v>
      </c>
      <c r="AA112" s="153">
        <f t="shared" si="34"/>
        <v>0</v>
      </c>
      <c r="AB112" s="153">
        <f t="shared" si="35"/>
        <v>0</v>
      </c>
      <c r="AC112" s="154">
        <f t="shared" si="42"/>
        <v>0</v>
      </c>
      <c r="AD112" s="180">
        <f t="shared" si="36"/>
        <v>0</v>
      </c>
      <c r="AE112" s="160"/>
    </row>
    <row r="113" spans="1:31">
      <c r="A113" s="139">
        <v>21</v>
      </c>
      <c r="B113" s="139">
        <f>IFERROR(INDEX(Työkonekanta!$F$3:$F$27,MATCH('S2 Bio'!$A113,Työkonekanta!$A$3:$A$24,0),1),0)</f>
        <v>35</v>
      </c>
      <c r="C113" s="140">
        <v>2022</v>
      </c>
      <c r="D113" s="141" t="str">
        <f>IFERROR(INDEX(Työkonekanta!$D$3:$D$27,MATCH('S2 Bio'!$A113,Työkonekanta!$A$3:$A$24,0),1),"undefined")</f>
        <v>sähkö</v>
      </c>
      <c r="E113" s="145">
        <f>IFERROR(INDEX(Työkonekanta!$G$3:$G$27,MATCH($A113,Työkonekanta!$A$3:$A$24,0),1)*INDEX(Työkonekanta!$H$3:$H$27,MATCH($A113,Työkonekanta!$A$3:$A$24,0),1)*(1+_xlfn.SINGLE(s2_kerroin)*($C113-2019))*$B113,0)</f>
        <v>419415.04629629629</v>
      </c>
      <c r="F113" s="145">
        <f t="shared" si="23"/>
        <v>0</v>
      </c>
      <c r="G113" s="145">
        <f t="shared" si="29"/>
        <v>0</v>
      </c>
      <c r="H113" s="145">
        <f t="shared" si="30"/>
        <v>0</v>
      </c>
      <c r="I113" s="145">
        <f t="shared" si="24"/>
        <v>0</v>
      </c>
      <c r="J113" s="145">
        <f t="shared" si="25"/>
        <v>0</v>
      </c>
      <c r="K113" s="142" t="str">
        <f t="shared" si="31"/>
        <v>kWh</v>
      </c>
      <c r="L113" s="146">
        <f>IFERROR(INDEX(Työkonekanta!$I$3:$I$27,MATCH('S2 Bio'!$A113,Työkonekanta!$A$3:$A$24,0),1)*(I113+J113)*f_adblue,0)</f>
        <v>0</v>
      </c>
      <c r="M113" s="146">
        <f t="shared" si="37"/>
        <v>1509894.1666666667</v>
      </c>
      <c r="N113" s="143" t="str">
        <f>IF(tuulisähkö_vuosi&lt;='S2 Bio'!C113,"tuulisähkö",ostosähkö_nyt)</f>
        <v>jäännössähkö</v>
      </c>
      <c r="O113" s="147">
        <f>INDEX(Muuttujat!$J$5:$J$21,MATCH($C113,Muuttujat!$H$5:$H$21,0),1)</f>
        <v>67.190510474999996</v>
      </c>
      <c r="P113" s="148">
        <f t="shared" si="32"/>
        <v>0.84066666666666667</v>
      </c>
      <c r="Q113" s="148">
        <f t="shared" si="43"/>
        <v>0.15933333333333333</v>
      </c>
      <c r="R113" s="148">
        <f t="shared" si="43"/>
        <v>0.15933333333333333</v>
      </c>
      <c r="S113" s="149">
        <f t="shared" si="26"/>
        <v>0</v>
      </c>
      <c r="T113" s="150">
        <f t="shared" si="27"/>
        <v>0</v>
      </c>
      <c r="U113" s="150">
        <f t="shared" si="28"/>
        <v>101.45055982155806</v>
      </c>
      <c r="V113" s="150">
        <f>IFERROR(INDEX(Työkonekanta!$J$3:$J$27,MATCH($A113,Työkonekanta!$A$3:$A$24,0),1)*$B113*ef_li_ion_akku/1000/1000/INDEX(Työkonekanta!$K$3:$K$27,MATCH($A113,Työkonekanta!$A$3:$A$24,0)),0)</f>
        <v>43.121723076923082</v>
      </c>
      <c r="W113" s="149">
        <f t="shared" si="39"/>
        <v>0</v>
      </c>
      <c r="X113" s="150">
        <f t="shared" si="40"/>
        <v>0</v>
      </c>
      <c r="Y113" s="151">
        <f t="shared" si="41"/>
        <v>0</v>
      </c>
      <c r="Z113" s="152">
        <f t="shared" si="33"/>
        <v>144.57228289848115</v>
      </c>
      <c r="AA113" s="153">
        <f t="shared" si="34"/>
        <v>0</v>
      </c>
      <c r="AB113" s="153">
        <f t="shared" si="35"/>
        <v>0</v>
      </c>
      <c r="AC113" s="154">
        <f t="shared" si="42"/>
        <v>144.57228289848115</v>
      </c>
      <c r="AD113" s="180">
        <f t="shared" si="36"/>
        <v>144.57228289848115</v>
      </c>
      <c r="AE113" s="160"/>
    </row>
    <row r="114" spans="1:31">
      <c r="A114" s="139">
        <v>22</v>
      </c>
      <c r="B114" s="139">
        <f>IFERROR(INDEX(Työkonekanta!$F$3:$F$27,MATCH('S2 Bio'!$A114,Työkonekanta!$A$3:$A$24,0),1),0)</f>
        <v>0</v>
      </c>
      <c r="C114" s="140">
        <v>2022</v>
      </c>
      <c r="D114" s="141" t="str">
        <f>IFERROR(INDEX(Työkonekanta!$D$3:$D$27,MATCH('S2 Bio'!$A114,Työkonekanta!$A$3:$A$24,0),1),"undefined")</f>
        <v>sähkö</v>
      </c>
      <c r="E114" s="145">
        <f>IFERROR(INDEX(Työkonekanta!$G$3:$G$27,MATCH($A114,Työkonekanta!$A$3:$A$24,0),1)*INDEX(Työkonekanta!$H$3:$H$27,MATCH($A114,Työkonekanta!$A$3:$A$24,0),1)*(1+_xlfn.SINGLE(s2_kerroin)*($C114-2019))*$B114,0)</f>
        <v>0</v>
      </c>
      <c r="F114" s="145">
        <f t="shared" si="23"/>
        <v>0</v>
      </c>
      <c r="G114" s="145">
        <f t="shared" si="29"/>
        <v>0</v>
      </c>
      <c r="H114" s="145">
        <f t="shared" si="30"/>
        <v>0</v>
      </c>
      <c r="I114" s="145">
        <f t="shared" si="24"/>
        <v>0</v>
      </c>
      <c r="J114" s="145">
        <f t="shared" si="25"/>
        <v>0</v>
      </c>
      <c r="K114" s="142" t="str">
        <f t="shared" si="31"/>
        <v>kWh</v>
      </c>
      <c r="L114" s="146">
        <f>IFERROR(INDEX(Työkonekanta!$I$3:$I$27,MATCH('S2 Bio'!$A114,Työkonekanta!$A$3:$A$24,0),1)*(I114+J114)*f_adblue,0)</f>
        <v>0</v>
      </c>
      <c r="M114" s="146">
        <f t="shared" si="37"/>
        <v>0</v>
      </c>
      <c r="N114" s="143" t="str">
        <f>IF(tuulisähkö_vuosi&lt;='S2 Bio'!C114,"tuulisähkö",ostosähkö_nyt)</f>
        <v>jäännössähkö</v>
      </c>
      <c r="O114" s="147">
        <f>INDEX(Muuttujat!$J$5:$J$21,MATCH($C114,Muuttujat!$H$5:$H$21,0),1)</f>
        <v>67.190510474999996</v>
      </c>
      <c r="P114" s="148">
        <f t="shared" si="32"/>
        <v>0.84066666666666667</v>
      </c>
      <c r="Q114" s="148">
        <f t="shared" si="43"/>
        <v>0.15933333333333333</v>
      </c>
      <c r="R114" s="148">
        <f t="shared" si="43"/>
        <v>0.15933333333333333</v>
      </c>
      <c r="S114" s="149">
        <f t="shared" si="26"/>
        <v>0</v>
      </c>
      <c r="T114" s="150">
        <f t="shared" si="27"/>
        <v>0</v>
      </c>
      <c r="U114" s="150">
        <f t="shared" si="28"/>
        <v>0</v>
      </c>
      <c r="V114" s="150">
        <f>IFERROR(INDEX(Työkonekanta!$J$3:$J$27,MATCH($A114,Työkonekanta!$A$3:$A$24,0),1)*$B114*ef_li_ion_akku/1000/1000/INDEX(Työkonekanta!$K$3:$K$27,MATCH($A114,Työkonekanta!$A$3:$A$24,0)),0)</f>
        <v>0</v>
      </c>
      <c r="W114" s="149">
        <f t="shared" si="39"/>
        <v>0</v>
      </c>
      <c r="X114" s="150">
        <f t="shared" si="40"/>
        <v>0</v>
      </c>
      <c r="Y114" s="151">
        <f t="shared" si="41"/>
        <v>0</v>
      </c>
      <c r="Z114" s="152">
        <f t="shared" si="33"/>
        <v>0</v>
      </c>
      <c r="AA114" s="153">
        <f t="shared" si="34"/>
        <v>0</v>
      </c>
      <c r="AB114" s="153">
        <f t="shared" si="35"/>
        <v>0</v>
      </c>
      <c r="AC114" s="154">
        <f t="shared" si="42"/>
        <v>0</v>
      </c>
      <c r="AD114" s="180">
        <f t="shared" si="36"/>
        <v>0</v>
      </c>
      <c r="AE114" s="160"/>
    </row>
    <row r="115" spans="1:31">
      <c r="A115" s="139">
        <v>23</v>
      </c>
      <c r="B115" s="139">
        <f>IFERROR(INDEX(Työkonekanta!$F$3:$F$27,MATCH('S2 Bio'!$A115,Työkonekanta!$A$3:$A$24,0),1),0)</f>
        <v>0</v>
      </c>
      <c r="C115" s="140">
        <v>2022</v>
      </c>
      <c r="D115" s="141" t="str">
        <f>IFERROR(INDEX(Työkonekanta!$D$3:$D$27,MATCH('S2 Bio'!$A115,Työkonekanta!$A$3:$A$24,0),1),"undefined")</f>
        <v>undefined</v>
      </c>
      <c r="E115" s="145">
        <f>IFERROR(INDEX(Työkonekanta!$G$3:$G$27,MATCH($A115,Työkonekanta!$A$3:$A$24,0),1)*INDEX(Työkonekanta!$H$3:$H$27,MATCH($A115,Työkonekanta!$A$3:$A$24,0),1)*(1+_xlfn.SINGLE(s2_kerroin)*($C115-2019))*$B115,0)</f>
        <v>0</v>
      </c>
      <c r="F115" s="145">
        <f t="shared" si="23"/>
        <v>0</v>
      </c>
      <c r="G115" s="145">
        <f t="shared" si="29"/>
        <v>0</v>
      </c>
      <c r="H115" s="145">
        <f t="shared" si="30"/>
        <v>0</v>
      </c>
      <c r="I115" s="145">
        <f t="shared" si="24"/>
        <v>0</v>
      </c>
      <c r="J115" s="145">
        <f t="shared" si="25"/>
        <v>0</v>
      </c>
      <c r="K115" s="142" t="str">
        <f t="shared" si="31"/>
        <v>undefined</v>
      </c>
      <c r="L115" s="146">
        <f>IFERROR(INDEX(Työkonekanta!$I$3:$I$27,MATCH('S2 Bio'!$A115,Työkonekanta!$A$3:$A$24,0),1)*(I115+J115)*f_adblue,0)</f>
        <v>0</v>
      </c>
      <c r="M115" s="146">
        <f t="shared" si="37"/>
        <v>0</v>
      </c>
      <c r="N115" s="143" t="str">
        <f>IF(tuulisähkö_vuosi&lt;='S2 Bio'!C115,"tuulisähkö",ostosähkö_nyt)</f>
        <v>jäännössähkö</v>
      </c>
      <c r="O115" s="147">
        <f>INDEX(Muuttujat!$J$5:$J$21,MATCH($C115,Muuttujat!$H$5:$H$21,0),1)</f>
        <v>67.190510474999996</v>
      </c>
      <c r="P115" s="148">
        <f t="shared" si="32"/>
        <v>0.84066666666666667</v>
      </c>
      <c r="Q115" s="148">
        <f t="shared" si="43"/>
        <v>0.15933333333333333</v>
      </c>
      <c r="R115" s="148">
        <f t="shared" si="43"/>
        <v>0.15933333333333333</v>
      </c>
      <c r="S115" s="149">
        <f t="shared" si="26"/>
        <v>0</v>
      </c>
      <c r="T115" s="150">
        <f t="shared" si="27"/>
        <v>0</v>
      </c>
      <c r="U115" s="150">
        <f t="shared" si="28"/>
        <v>0</v>
      </c>
      <c r="V115" s="150">
        <f>IFERROR(INDEX(Työkonekanta!$J$3:$J$27,MATCH($A115,Työkonekanta!$A$3:$A$24,0),1)*$B115*ef_li_ion_akku/1000/1000/INDEX(Työkonekanta!$K$3:$K$27,MATCH($A115,Työkonekanta!$A$3:$A$24,0)),0)</f>
        <v>0</v>
      </c>
      <c r="W115" s="149">
        <f t="shared" si="39"/>
        <v>0</v>
      </c>
      <c r="X115" s="150">
        <f t="shared" si="40"/>
        <v>0</v>
      </c>
      <c r="Y115" s="151">
        <f t="shared" si="41"/>
        <v>0</v>
      </c>
      <c r="Z115" s="152">
        <f t="shared" si="33"/>
        <v>0</v>
      </c>
      <c r="AA115" s="153">
        <f t="shared" si="34"/>
        <v>0</v>
      </c>
      <c r="AB115" s="153">
        <f t="shared" si="35"/>
        <v>0</v>
      </c>
      <c r="AC115" s="154">
        <f t="shared" si="42"/>
        <v>0</v>
      </c>
      <c r="AD115" s="180">
        <f t="shared" si="36"/>
        <v>0</v>
      </c>
      <c r="AE115" s="160"/>
    </row>
    <row r="116" spans="1:31">
      <c r="A116" s="139">
        <v>24</v>
      </c>
      <c r="B116" s="139">
        <f>IFERROR(INDEX(Työkonekanta!$F$3:$F$27,MATCH('S2 Bio'!$A116,Työkonekanta!$A$3:$A$24,0),1),0)</f>
        <v>0</v>
      </c>
      <c r="C116" s="140">
        <v>2022</v>
      </c>
      <c r="D116" s="141" t="str">
        <f>IFERROR(INDEX(Työkonekanta!$D$3:$D$27,MATCH('S2 Bio'!$A116,Työkonekanta!$A$3:$A$24,0),1),"undefined")</f>
        <v>undefined</v>
      </c>
      <c r="E116" s="145">
        <f>IFERROR(INDEX(Työkonekanta!$G$3:$G$27,MATCH($A116,Työkonekanta!$A$3:$A$24,0),1)*INDEX(Työkonekanta!$H$3:$H$27,MATCH($A116,Työkonekanta!$A$3:$A$24,0),1)*(1+_xlfn.SINGLE(s2_kerroin)*($C116-2019))*$B116,0)</f>
        <v>0</v>
      </c>
      <c r="F116" s="145">
        <f t="shared" si="23"/>
        <v>0</v>
      </c>
      <c r="G116" s="145">
        <f t="shared" si="29"/>
        <v>0</v>
      </c>
      <c r="H116" s="145">
        <f t="shared" si="30"/>
        <v>0</v>
      </c>
      <c r="I116" s="145">
        <f t="shared" si="24"/>
        <v>0</v>
      </c>
      <c r="J116" s="145">
        <f t="shared" si="25"/>
        <v>0</v>
      </c>
      <c r="K116" s="142" t="str">
        <f t="shared" si="31"/>
        <v>undefined</v>
      </c>
      <c r="L116" s="146">
        <f>IFERROR(INDEX(Työkonekanta!$I$3:$I$27,MATCH('S2 Bio'!$A116,Työkonekanta!$A$3:$A$24,0),1)*(I116+J116)*f_adblue,0)</f>
        <v>0</v>
      </c>
      <c r="M116" s="146">
        <f t="shared" si="37"/>
        <v>0</v>
      </c>
      <c r="N116" s="143" t="str">
        <f>IF(tuulisähkö_vuosi&lt;='S2 Bio'!C116,"tuulisähkö",ostosähkö_nyt)</f>
        <v>jäännössähkö</v>
      </c>
      <c r="O116" s="147">
        <f>INDEX(Muuttujat!$J$5:$J$21,MATCH($C116,Muuttujat!$H$5:$H$21,0),1)</f>
        <v>67.190510474999996</v>
      </c>
      <c r="P116" s="148">
        <f t="shared" si="32"/>
        <v>0.84066666666666667</v>
      </c>
      <c r="Q116" s="148">
        <f t="shared" si="43"/>
        <v>0.15933333333333333</v>
      </c>
      <c r="R116" s="148">
        <f t="shared" si="43"/>
        <v>0.15933333333333333</v>
      </c>
      <c r="S116" s="149">
        <f t="shared" si="26"/>
        <v>0</v>
      </c>
      <c r="T116" s="150">
        <f t="shared" si="27"/>
        <v>0</v>
      </c>
      <c r="U116" s="150">
        <f t="shared" si="28"/>
        <v>0</v>
      </c>
      <c r="V116" s="150">
        <f>IFERROR(INDEX(Työkonekanta!$J$3:$J$27,MATCH($A116,Työkonekanta!$A$3:$A$24,0),1)*$B116*ef_li_ion_akku/1000/1000/INDEX(Työkonekanta!$K$3:$K$27,MATCH($A116,Työkonekanta!$A$3:$A$24,0)),0)</f>
        <v>0</v>
      </c>
      <c r="W116" s="149">
        <f t="shared" si="39"/>
        <v>0</v>
      </c>
      <c r="X116" s="150">
        <f t="shared" si="40"/>
        <v>0</v>
      </c>
      <c r="Y116" s="151">
        <f t="shared" si="41"/>
        <v>0</v>
      </c>
      <c r="Z116" s="152">
        <f t="shared" si="33"/>
        <v>0</v>
      </c>
      <c r="AA116" s="153">
        <f t="shared" si="34"/>
        <v>0</v>
      </c>
      <c r="AB116" s="153">
        <f t="shared" si="35"/>
        <v>0</v>
      </c>
      <c r="AC116" s="154">
        <f t="shared" si="42"/>
        <v>0</v>
      </c>
      <c r="AD116" s="180">
        <f t="shared" si="36"/>
        <v>0</v>
      </c>
      <c r="AE116" s="160"/>
    </row>
    <row r="117" spans="1:31">
      <c r="A117" s="139">
        <v>25</v>
      </c>
      <c r="B117" s="139">
        <f>IFERROR(INDEX(Työkonekanta!$F$3:$F$27,MATCH('S2 Bio'!$A117,Työkonekanta!$A$3:$A$24,0),1),0)</f>
        <v>0</v>
      </c>
      <c r="C117" s="140">
        <v>2022</v>
      </c>
      <c r="D117" s="141" t="str">
        <f>IFERROR(INDEX(Työkonekanta!$D$3:$D$27,MATCH('S2 Bio'!$A117,Työkonekanta!$A$3:$A$24,0),1),"undefined")</f>
        <v>undefined</v>
      </c>
      <c r="E117" s="145">
        <f>IFERROR(INDEX(Työkonekanta!$G$3:$G$27,MATCH($A117,Työkonekanta!$A$3:$A$24,0),1)*INDEX(Työkonekanta!$H$3:$H$27,MATCH($A117,Työkonekanta!$A$3:$A$24,0),1)*(1+_xlfn.SINGLE(s2_kerroin)*($C117-2019))*$B117,0)</f>
        <v>0</v>
      </c>
      <c r="F117" s="145">
        <f t="shared" si="23"/>
        <v>0</v>
      </c>
      <c r="G117" s="145">
        <f t="shared" si="29"/>
        <v>0</v>
      </c>
      <c r="H117" s="145">
        <f t="shared" si="30"/>
        <v>0</v>
      </c>
      <c r="I117" s="145">
        <f t="shared" si="24"/>
        <v>0</v>
      </c>
      <c r="J117" s="145">
        <f t="shared" si="25"/>
        <v>0</v>
      </c>
      <c r="K117" s="142" t="str">
        <f t="shared" si="31"/>
        <v>undefined</v>
      </c>
      <c r="L117" s="146">
        <f>IFERROR(INDEX(Työkonekanta!$I$3:$I$27,MATCH('S2 Bio'!$A117,Työkonekanta!$A$3:$A$24,0),1)*(I117+J117)*f_adblue,0)</f>
        <v>0</v>
      </c>
      <c r="M117" s="146">
        <f t="shared" si="37"/>
        <v>0</v>
      </c>
      <c r="N117" s="143" t="str">
        <f>IF(tuulisähkö_vuosi&lt;='S2 Bio'!C117,"tuulisähkö",ostosähkö_nyt)</f>
        <v>jäännössähkö</v>
      </c>
      <c r="O117" s="147">
        <f>INDEX(Muuttujat!$J$5:$J$21,MATCH($C117,Muuttujat!$H$5:$H$21,0),1)</f>
        <v>67.190510474999996</v>
      </c>
      <c r="P117" s="148">
        <f t="shared" si="32"/>
        <v>0.84066666666666667</v>
      </c>
      <c r="Q117" s="148">
        <f t="shared" si="43"/>
        <v>0.15933333333333333</v>
      </c>
      <c r="R117" s="148">
        <f t="shared" si="43"/>
        <v>0.15933333333333333</v>
      </c>
      <c r="S117" s="149">
        <f t="shared" si="26"/>
        <v>0</v>
      </c>
      <c r="T117" s="150">
        <f t="shared" si="27"/>
        <v>0</v>
      </c>
      <c r="U117" s="150">
        <f t="shared" si="28"/>
        <v>0</v>
      </c>
      <c r="V117" s="150">
        <f>IFERROR(INDEX(Työkonekanta!$J$3:$J$27,MATCH($A117,Työkonekanta!$A$3:$A$24,0),1)*$B117*ef_li_ion_akku/1000/1000/INDEX(Työkonekanta!$K$3:$K$27,MATCH($A117,Työkonekanta!$A$3:$A$24,0)),0)</f>
        <v>0</v>
      </c>
      <c r="W117" s="149">
        <f t="shared" si="39"/>
        <v>0</v>
      </c>
      <c r="X117" s="150">
        <f t="shared" si="40"/>
        <v>0</v>
      </c>
      <c r="Y117" s="151">
        <f t="shared" si="41"/>
        <v>0</v>
      </c>
      <c r="Z117" s="152">
        <f t="shared" si="33"/>
        <v>0</v>
      </c>
      <c r="AA117" s="153">
        <f t="shared" si="34"/>
        <v>0</v>
      </c>
      <c r="AB117" s="153">
        <f t="shared" si="35"/>
        <v>0</v>
      </c>
      <c r="AC117" s="154">
        <f t="shared" si="42"/>
        <v>0</v>
      </c>
      <c r="AD117" s="180">
        <f t="shared" si="36"/>
        <v>0</v>
      </c>
      <c r="AE117" s="160"/>
    </row>
    <row r="118" spans="1:31">
      <c r="A118" s="139">
        <v>26</v>
      </c>
      <c r="B118" s="139">
        <f>IFERROR(INDEX(Työkonekanta!$F$3:$F$27,MATCH('S2 Bio'!$A118,Työkonekanta!$A$3:$A$24,0),1),0)</f>
        <v>0</v>
      </c>
      <c r="C118" s="140">
        <v>2022</v>
      </c>
      <c r="D118" s="141" t="str">
        <f>IFERROR(INDEX(Työkonekanta!$D$3:$D$27,MATCH('S2 Bio'!$A118,Työkonekanta!$A$3:$A$24,0),1),"undefined")</f>
        <v>undefined</v>
      </c>
      <c r="E118" s="145">
        <f>IFERROR(INDEX(Työkonekanta!$G$3:$G$27,MATCH($A118,Työkonekanta!$A$3:$A$24,0),1)*INDEX(Työkonekanta!$H$3:$H$27,MATCH($A118,Työkonekanta!$A$3:$A$24,0),1)*(1+_xlfn.SINGLE(s2_kerroin)*($C118-2019))*$B118,0)</f>
        <v>0</v>
      </c>
      <c r="F118" s="145">
        <f t="shared" si="23"/>
        <v>0</v>
      </c>
      <c r="G118" s="145">
        <f t="shared" si="29"/>
        <v>0</v>
      </c>
      <c r="H118" s="145">
        <f t="shared" si="30"/>
        <v>0</v>
      </c>
      <c r="I118" s="145">
        <f t="shared" si="24"/>
        <v>0</v>
      </c>
      <c r="J118" s="145">
        <f t="shared" si="25"/>
        <v>0</v>
      </c>
      <c r="K118" s="142" t="str">
        <f t="shared" si="31"/>
        <v>undefined</v>
      </c>
      <c r="L118" s="146">
        <f>IFERROR(INDEX(Työkonekanta!$I$3:$I$27,MATCH('S2 Bio'!$A118,Työkonekanta!$A$3:$A$24,0),1)*(I118+J118)*f_adblue,0)</f>
        <v>0</v>
      </c>
      <c r="M118" s="146">
        <f t="shared" si="37"/>
        <v>0</v>
      </c>
      <c r="N118" s="143" t="str">
        <f>IF(tuulisähkö_vuosi&lt;='S2 Bio'!C118,"tuulisähkö",ostosähkö_nyt)</f>
        <v>jäännössähkö</v>
      </c>
      <c r="O118" s="147">
        <f>INDEX(Muuttujat!$J$5:$J$21,MATCH($C118,Muuttujat!$H$5:$H$21,0),1)</f>
        <v>67.190510474999996</v>
      </c>
      <c r="P118" s="148">
        <f t="shared" si="32"/>
        <v>0.84066666666666667</v>
      </c>
      <c r="Q118" s="148">
        <f t="shared" si="43"/>
        <v>0.15933333333333333</v>
      </c>
      <c r="R118" s="148">
        <f t="shared" si="43"/>
        <v>0.15933333333333333</v>
      </c>
      <c r="S118" s="149">
        <f t="shared" si="26"/>
        <v>0</v>
      </c>
      <c r="T118" s="150">
        <f t="shared" si="27"/>
        <v>0</v>
      </c>
      <c r="U118" s="150">
        <f t="shared" si="28"/>
        <v>0</v>
      </c>
      <c r="V118" s="150">
        <f>IFERROR(INDEX(Työkonekanta!$J$3:$J$27,MATCH($A118,Työkonekanta!$A$3:$A$24,0),1)*$B118*ef_li_ion_akku/1000/1000/INDEX(Työkonekanta!$K$3:$K$27,MATCH($A118,Työkonekanta!$A$3:$A$24,0)),0)</f>
        <v>0</v>
      </c>
      <c r="W118" s="149">
        <f t="shared" si="39"/>
        <v>0</v>
      </c>
      <c r="X118" s="150">
        <f t="shared" si="40"/>
        <v>0</v>
      </c>
      <c r="Y118" s="151">
        <f t="shared" si="41"/>
        <v>0</v>
      </c>
      <c r="Z118" s="152">
        <f t="shared" si="33"/>
        <v>0</v>
      </c>
      <c r="AA118" s="153">
        <f t="shared" si="34"/>
        <v>0</v>
      </c>
      <c r="AB118" s="153">
        <f t="shared" si="35"/>
        <v>0</v>
      </c>
      <c r="AC118" s="154">
        <f t="shared" si="42"/>
        <v>0</v>
      </c>
      <c r="AD118" s="180">
        <f t="shared" si="36"/>
        <v>0</v>
      </c>
      <c r="AE118" s="160"/>
    </row>
    <row r="119" spans="1:31">
      <c r="A119" s="139">
        <v>27</v>
      </c>
      <c r="B119" s="139">
        <f>IFERROR(INDEX(Työkonekanta!$F$3:$F$27,MATCH('S2 Bio'!$A119,Työkonekanta!$A$3:$A$24,0),1),0)</f>
        <v>0</v>
      </c>
      <c r="C119" s="140">
        <v>2022</v>
      </c>
      <c r="D119" s="141" t="str">
        <f>IFERROR(INDEX(Työkonekanta!$D$3:$D$27,MATCH('S2 Bio'!$A119,Työkonekanta!$A$3:$A$24,0),1),"undefined")</f>
        <v>undefined</v>
      </c>
      <c r="E119" s="145">
        <f>IFERROR(INDEX(Työkonekanta!$G$3:$G$27,MATCH($A119,Työkonekanta!$A$3:$A$24,0),1)*INDEX(Työkonekanta!$H$3:$H$27,MATCH($A119,Työkonekanta!$A$3:$A$24,0),1)*(1+_xlfn.SINGLE(s2_kerroin)*($C119-2019))*$B119,0)</f>
        <v>0</v>
      </c>
      <c r="F119" s="145">
        <f t="shared" si="23"/>
        <v>0</v>
      </c>
      <c r="G119" s="145">
        <f t="shared" si="29"/>
        <v>0</v>
      </c>
      <c r="H119" s="145">
        <f t="shared" si="30"/>
        <v>0</v>
      </c>
      <c r="I119" s="145">
        <f t="shared" si="24"/>
        <v>0</v>
      </c>
      <c r="J119" s="145">
        <f t="shared" si="25"/>
        <v>0</v>
      </c>
      <c r="K119" s="142" t="str">
        <f t="shared" si="31"/>
        <v>undefined</v>
      </c>
      <c r="L119" s="146">
        <f>IFERROR(INDEX(Työkonekanta!$I$3:$I$27,MATCH('S2 Bio'!$A119,Työkonekanta!$A$3:$A$24,0),1)*(I119+J119)*f_adblue,0)</f>
        <v>0</v>
      </c>
      <c r="M119" s="146">
        <f t="shared" si="37"/>
        <v>0</v>
      </c>
      <c r="N119" s="143" t="str">
        <f>IF(tuulisähkö_vuosi&lt;='S2 Bio'!C119,"tuulisähkö",ostosähkö_nyt)</f>
        <v>jäännössähkö</v>
      </c>
      <c r="O119" s="147">
        <f>INDEX(Muuttujat!$J$5:$J$21,MATCH($C119,Muuttujat!$H$5:$H$21,0),1)</f>
        <v>67.190510474999996</v>
      </c>
      <c r="P119" s="148">
        <f t="shared" si="32"/>
        <v>0.84066666666666667</v>
      </c>
      <c r="Q119" s="148">
        <f t="shared" si="43"/>
        <v>0.15933333333333333</v>
      </c>
      <c r="R119" s="148">
        <f t="shared" si="43"/>
        <v>0.15933333333333333</v>
      </c>
      <c r="S119" s="149">
        <f t="shared" si="26"/>
        <v>0</v>
      </c>
      <c r="T119" s="150">
        <f t="shared" si="27"/>
        <v>0</v>
      </c>
      <c r="U119" s="150">
        <f t="shared" si="28"/>
        <v>0</v>
      </c>
      <c r="V119" s="150">
        <f>IFERROR(INDEX(Työkonekanta!$J$3:$J$27,MATCH($A119,Työkonekanta!$A$3:$A$24,0),1)*$B119*ef_li_ion_akku/1000/1000/INDEX(Työkonekanta!$K$3:$K$27,MATCH($A119,Työkonekanta!$A$3:$A$24,0)),0)</f>
        <v>0</v>
      </c>
      <c r="W119" s="149">
        <f t="shared" si="39"/>
        <v>0</v>
      </c>
      <c r="X119" s="150">
        <f t="shared" si="40"/>
        <v>0</v>
      </c>
      <c r="Y119" s="151">
        <f t="shared" si="41"/>
        <v>0</v>
      </c>
      <c r="Z119" s="152">
        <f t="shared" si="33"/>
        <v>0</v>
      </c>
      <c r="AA119" s="153">
        <f t="shared" si="34"/>
        <v>0</v>
      </c>
      <c r="AB119" s="153">
        <f t="shared" si="35"/>
        <v>0</v>
      </c>
      <c r="AC119" s="154">
        <f t="shared" si="42"/>
        <v>0</v>
      </c>
      <c r="AD119" s="180">
        <f t="shared" si="36"/>
        <v>0</v>
      </c>
      <c r="AE119" s="160"/>
    </row>
    <row r="120" spans="1:31">
      <c r="A120" s="139">
        <v>28</v>
      </c>
      <c r="B120" s="139">
        <f>IFERROR(INDEX(Työkonekanta!$F$3:$F$27,MATCH('S2 Bio'!$A120,Työkonekanta!$A$3:$A$24,0),1),0)</f>
        <v>0</v>
      </c>
      <c r="C120" s="140">
        <v>2022</v>
      </c>
      <c r="D120" s="141" t="str">
        <f>IFERROR(INDEX(Työkonekanta!$D$3:$D$27,MATCH('S2 Bio'!$A120,Työkonekanta!$A$3:$A$24,0),1),"undefined")</f>
        <v>undefined</v>
      </c>
      <c r="E120" s="145">
        <f>IFERROR(INDEX(Työkonekanta!$G$3:$G$27,MATCH($A120,Työkonekanta!$A$3:$A$24,0),1)*INDEX(Työkonekanta!$H$3:$H$27,MATCH($A120,Työkonekanta!$A$3:$A$24,0),1)*(1+_xlfn.SINGLE(s2_kerroin)*($C120-2019))*$B120,0)</f>
        <v>0</v>
      </c>
      <c r="F120" s="145">
        <f t="shared" si="23"/>
        <v>0</v>
      </c>
      <c r="G120" s="145">
        <f t="shared" si="29"/>
        <v>0</v>
      </c>
      <c r="H120" s="145">
        <f t="shared" si="30"/>
        <v>0</v>
      </c>
      <c r="I120" s="145">
        <f t="shared" si="24"/>
        <v>0</v>
      </c>
      <c r="J120" s="145">
        <f t="shared" si="25"/>
        <v>0</v>
      </c>
      <c r="K120" s="142" t="str">
        <f t="shared" si="31"/>
        <v>undefined</v>
      </c>
      <c r="L120" s="146">
        <f>IFERROR(INDEX(Työkonekanta!$I$3:$I$27,MATCH('S2 Bio'!$A120,Työkonekanta!$A$3:$A$24,0),1)*(I120+J120)*f_adblue,0)</f>
        <v>0</v>
      </c>
      <c r="M120" s="146">
        <f t="shared" si="37"/>
        <v>0</v>
      </c>
      <c r="N120" s="143" t="str">
        <f>IF(tuulisähkö_vuosi&lt;='S2 Bio'!C120,"tuulisähkö",ostosähkö_nyt)</f>
        <v>jäännössähkö</v>
      </c>
      <c r="O120" s="147">
        <f>INDEX(Muuttujat!$J$5:$J$21,MATCH($C120,Muuttujat!$H$5:$H$21,0),1)</f>
        <v>67.190510474999996</v>
      </c>
      <c r="P120" s="148">
        <f t="shared" si="32"/>
        <v>0.84066666666666667</v>
      </c>
      <c r="Q120" s="148">
        <f t="shared" si="43"/>
        <v>0.15933333333333333</v>
      </c>
      <c r="R120" s="148">
        <f t="shared" si="43"/>
        <v>0.15933333333333333</v>
      </c>
      <c r="S120" s="149">
        <f t="shared" si="26"/>
        <v>0</v>
      </c>
      <c r="T120" s="150">
        <f t="shared" si="27"/>
        <v>0</v>
      </c>
      <c r="U120" s="150">
        <f t="shared" si="28"/>
        <v>0</v>
      </c>
      <c r="V120" s="150">
        <f>IFERROR(INDEX(Työkonekanta!$J$3:$J$27,MATCH($A120,Työkonekanta!$A$3:$A$24,0),1)*$B120*ef_li_ion_akku/1000/1000/INDEX(Työkonekanta!$K$3:$K$27,MATCH($A120,Työkonekanta!$A$3:$A$24,0)),0)</f>
        <v>0</v>
      </c>
      <c r="W120" s="149">
        <f t="shared" si="39"/>
        <v>0</v>
      </c>
      <c r="X120" s="150">
        <f t="shared" si="40"/>
        <v>0</v>
      </c>
      <c r="Y120" s="151">
        <f t="shared" si="41"/>
        <v>0</v>
      </c>
      <c r="Z120" s="152">
        <f t="shared" si="33"/>
        <v>0</v>
      </c>
      <c r="AA120" s="153">
        <f t="shared" si="34"/>
        <v>0</v>
      </c>
      <c r="AB120" s="153">
        <f t="shared" si="35"/>
        <v>0</v>
      </c>
      <c r="AC120" s="154">
        <f t="shared" si="42"/>
        <v>0</v>
      </c>
      <c r="AD120" s="180">
        <f t="shared" si="36"/>
        <v>0</v>
      </c>
      <c r="AE120" s="160"/>
    </row>
    <row r="121" spans="1:31">
      <c r="A121" s="139">
        <v>29</v>
      </c>
      <c r="B121" s="139">
        <f>IFERROR(INDEX(Työkonekanta!$F$3:$F$27,MATCH('S2 Bio'!$A121,Työkonekanta!$A$3:$A$24,0),1),0)</f>
        <v>0</v>
      </c>
      <c r="C121" s="140">
        <v>2022</v>
      </c>
      <c r="D121" s="141" t="str">
        <f>IFERROR(INDEX(Työkonekanta!$D$3:$D$27,MATCH('S2 Bio'!$A121,Työkonekanta!$A$3:$A$24,0),1),"undefined")</f>
        <v>undefined</v>
      </c>
      <c r="E121" s="145">
        <f>IFERROR(INDEX(Työkonekanta!$G$3:$G$27,MATCH($A121,Työkonekanta!$A$3:$A$24,0),1)*INDEX(Työkonekanta!$H$3:$H$27,MATCH($A121,Työkonekanta!$A$3:$A$24,0),1)*(1+_xlfn.SINGLE(s2_kerroin)*($C121-2019))*$B121,0)</f>
        <v>0</v>
      </c>
      <c r="F121" s="145">
        <f t="shared" si="23"/>
        <v>0</v>
      </c>
      <c r="G121" s="145">
        <f t="shared" si="29"/>
        <v>0</v>
      </c>
      <c r="H121" s="145">
        <f t="shared" si="30"/>
        <v>0</v>
      </c>
      <c r="I121" s="145">
        <f t="shared" si="24"/>
        <v>0</v>
      </c>
      <c r="J121" s="145">
        <f t="shared" si="25"/>
        <v>0</v>
      </c>
      <c r="K121" s="142" t="str">
        <f t="shared" si="31"/>
        <v>undefined</v>
      </c>
      <c r="L121" s="146">
        <f>IFERROR(INDEX(Työkonekanta!$I$3:$I$27,MATCH('S2 Bio'!$A121,Työkonekanta!$A$3:$A$24,0),1)*(I121+J121)*f_adblue,0)</f>
        <v>0</v>
      </c>
      <c r="M121" s="146">
        <f t="shared" si="37"/>
        <v>0</v>
      </c>
      <c r="N121" s="143" t="str">
        <f>IF(tuulisähkö_vuosi&lt;='S2 Bio'!C121,"tuulisähkö",ostosähkö_nyt)</f>
        <v>jäännössähkö</v>
      </c>
      <c r="O121" s="147">
        <f>INDEX(Muuttujat!$J$5:$J$21,MATCH($C121,Muuttujat!$H$5:$H$21,0),1)</f>
        <v>67.190510474999996</v>
      </c>
      <c r="P121" s="148">
        <f t="shared" si="32"/>
        <v>0.84066666666666667</v>
      </c>
      <c r="Q121" s="148">
        <f t="shared" si="43"/>
        <v>0.15933333333333333</v>
      </c>
      <c r="R121" s="148">
        <f t="shared" si="43"/>
        <v>0.15933333333333333</v>
      </c>
      <c r="S121" s="149">
        <f t="shared" si="26"/>
        <v>0</v>
      </c>
      <c r="T121" s="150">
        <f t="shared" si="27"/>
        <v>0</v>
      </c>
      <c r="U121" s="150">
        <f t="shared" si="28"/>
        <v>0</v>
      </c>
      <c r="V121" s="150">
        <f>IFERROR(INDEX(Työkonekanta!$J$3:$J$27,MATCH($A121,Työkonekanta!$A$3:$A$24,0),1)*$B121*ef_li_ion_akku/1000/1000/INDEX(Työkonekanta!$K$3:$K$27,MATCH($A121,Työkonekanta!$A$3:$A$24,0)),0)</f>
        <v>0</v>
      </c>
      <c r="W121" s="149">
        <f t="shared" si="39"/>
        <v>0</v>
      </c>
      <c r="X121" s="150">
        <f t="shared" si="40"/>
        <v>0</v>
      </c>
      <c r="Y121" s="151">
        <f t="shared" si="41"/>
        <v>0</v>
      </c>
      <c r="Z121" s="152">
        <f t="shared" si="33"/>
        <v>0</v>
      </c>
      <c r="AA121" s="153">
        <f t="shared" si="34"/>
        <v>0</v>
      </c>
      <c r="AB121" s="153">
        <f t="shared" si="35"/>
        <v>0</v>
      </c>
      <c r="AC121" s="154">
        <f t="shared" si="42"/>
        <v>0</v>
      </c>
      <c r="AD121" s="180">
        <f t="shared" si="36"/>
        <v>0</v>
      </c>
      <c r="AE121" s="160"/>
    </row>
    <row r="122" spans="1:31">
      <c r="A122" s="139">
        <v>30</v>
      </c>
      <c r="B122" s="139">
        <f>IFERROR(INDEX(Työkonekanta!$F$3:$F$27,MATCH('S2 Bio'!$A122,Työkonekanta!$A$3:$A$24,0),1),0)</f>
        <v>0</v>
      </c>
      <c r="C122" s="140">
        <v>2022</v>
      </c>
      <c r="D122" s="141" t="str">
        <f>IFERROR(INDEX(Työkonekanta!$D$3:$D$27,MATCH('S2 Bio'!$A122,Työkonekanta!$A$3:$A$24,0),1),"undefined")</f>
        <v>undefined</v>
      </c>
      <c r="E122" s="145">
        <f>IFERROR(INDEX(Työkonekanta!$G$3:$G$27,MATCH($A122,Työkonekanta!$A$3:$A$24,0),1)*INDEX(Työkonekanta!$H$3:$H$27,MATCH($A122,Työkonekanta!$A$3:$A$24,0),1)*(1+_xlfn.SINGLE(s2_kerroin)*($C122-2019))*$B122,0)</f>
        <v>0</v>
      </c>
      <c r="F122" s="145">
        <f t="shared" si="23"/>
        <v>0</v>
      </c>
      <c r="G122" s="145">
        <f t="shared" si="29"/>
        <v>0</v>
      </c>
      <c r="H122" s="145">
        <f t="shared" si="30"/>
        <v>0</v>
      </c>
      <c r="I122" s="145">
        <f t="shared" si="24"/>
        <v>0</v>
      </c>
      <c r="J122" s="145">
        <f t="shared" si="25"/>
        <v>0</v>
      </c>
      <c r="K122" s="142" t="str">
        <f t="shared" si="31"/>
        <v>undefined</v>
      </c>
      <c r="L122" s="146">
        <f>IFERROR(INDEX(Työkonekanta!$I$3:$I$27,MATCH('S2 Bio'!$A122,Työkonekanta!$A$3:$A$24,0),1)*(I122+J122)*f_adblue,0)</f>
        <v>0</v>
      </c>
      <c r="M122" s="146">
        <f t="shared" si="37"/>
        <v>0</v>
      </c>
      <c r="N122" s="143" t="str">
        <f>IF(tuulisähkö_vuosi&lt;='S2 Bio'!C122,"tuulisähkö",ostosähkö_nyt)</f>
        <v>jäännössähkö</v>
      </c>
      <c r="O122" s="147">
        <f>INDEX(Muuttujat!$J$5:$J$21,MATCH($C122,Muuttujat!$H$5:$H$21,0),1)</f>
        <v>67.190510474999996</v>
      </c>
      <c r="P122" s="148">
        <f t="shared" si="32"/>
        <v>0.84066666666666667</v>
      </c>
      <c r="Q122" s="148">
        <f t="shared" si="43"/>
        <v>0.15933333333333333</v>
      </c>
      <c r="R122" s="148">
        <f t="shared" si="43"/>
        <v>0.15933333333333333</v>
      </c>
      <c r="S122" s="149">
        <f t="shared" si="26"/>
        <v>0</v>
      </c>
      <c r="T122" s="150">
        <f t="shared" si="27"/>
        <v>0</v>
      </c>
      <c r="U122" s="150">
        <f t="shared" si="28"/>
        <v>0</v>
      </c>
      <c r="V122" s="150">
        <f>IFERROR(INDEX(Työkonekanta!$J$3:$J$27,MATCH($A122,Työkonekanta!$A$3:$A$24,0),1)*$B122*ef_li_ion_akku/1000/1000/INDEX(Työkonekanta!$K$3:$K$27,MATCH($A122,Työkonekanta!$A$3:$A$24,0)),0)</f>
        <v>0</v>
      </c>
      <c r="W122" s="149">
        <f t="shared" si="39"/>
        <v>0</v>
      </c>
      <c r="X122" s="150">
        <f t="shared" si="40"/>
        <v>0</v>
      </c>
      <c r="Y122" s="151">
        <f t="shared" si="41"/>
        <v>0</v>
      </c>
      <c r="Z122" s="152">
        <f t="shared" si="33"/>
        <v>0</v>
      </c>
      <c r="AA122" s="153">
        <f t="shared" si="34"/>
        <v>0</v>
      </c>
      <c r="AB122" s="153">
        <f t="shared" si="35"/>
        <v>0</v>
      </c>
      <c r="AC122" s="154">
        <f t="shared" si="42"/>
        <v>0</v>
      </c>
      <c r="AD122" s="180">
        <f t="shared" si="36"/>
        <v>0</v>
      </c>
      <c r="AE122" s="160"/>
    </row>
    <row r="123" spans="1:31">
      <c r="A123" s="139">
        <v>1</v>
      </c>
      <c r="B123" s="139">
        <f>IFERROR(INDEX(Työkonekanta!$F$3:$F$27,MATCH('S2 Bio'!$A123,Työkonekanta!$A$3:$A$24,0),1),0)</f>
        <v>1</v>
      </c>
      <c r="C123" s="140">
        <v>2023</v>
      </c>
      <c r="D123" s="141" t="str">
        <f>IFERROR(INDEX(Työkonekanta!$D$3:$D$27,MATCH('S2 Bio'!$A123,Työkonekanta!$A$3:$A$24,0),1),"undefined")</f>
        <v>pom</v>
      </c>
      <c r="E123" s="145">
        <f>IFERROR(INDEX(Työkonekanta!$G$3:$G$27,MATCH($A123,Työkonekanta!$A$3:$A$24,0),1)*INDEX(Työkonekanta!$H$3:$H$27,MATCH($A123,Työkonekanta!$A$3:$A$24,0),1)*(1+_xlfn.SINGLE(s2_kerroin)*($C123-2019))*$B123,0)</f>
        <v>10400</v>
      </c>
      <c r="F123" s="145">
        <f t="shared" si="23"/>
        <v>373360</v>
      </c>
      <c r="G123" s="145">
        <f t="shared" si="29"/>
        <v>289727.35999999999</v>
      </c>
      <c r="H123" s="145">
        <f t="shared" si="30"/>
        <v>83632.639999999999</v>
      </c>
      <c r="I123" s="145">
        <f t="shared" si="24"/>
        <v>8070.4</v>
      </c>
      <c r="J123" s="145">
        <f t="shared" si="25"/>
        <v>2438.2693877551023</v>
      </c>
      <c r="K123" s="142" t="str">
        <f t="shared" si="31"/>
        <v>l</v>
      </c>
      <c r="L123" s="146">
        <f>IFERROR(INDEX(Työkonekanta!$I$3:$I$27,MATCH('S2 Bio'!$A123,Työkonekanta!$A$3:$A$24,0),1)*(I123+J123)*f_adblue,0)</f>
        <v>525.43346938775517</v>
      </c>
      <c r="M123" s="146">
        <f t="shared" si="37"/>
        <v>0</v>
      </c>
      <c r="N123" s="143" t="str">
        <f>IF(tuulisähkö_vuosi&lt;='S2 Bio'!C123,"tuulisähkö",ostosähkö_nyt)</f>
        <v>jäännössähkö</v>
      </c>
      <c r="O123" s="147">
        <f>INDEX(Muuttujat!$J$5:$J$21,MATCH($C123,Muuttujat!$H$5:$H$21,0),1)</f>
        <v>66.51860537025</v>
      </c>
      <c r="P123" s="148">
        <f t="shared" si="32"/>
        <v>0.77600000000000002</v>
      </c>
      <c r="Q123" s="148">
        <f t="shared" ref="Q123:R142" si="44">IF(biosiirtymä_luonne="äkillinen",INDEX($AG$4:$AG$20,MATCH($C123,$AF$4:$AF$20,0),1),INDEX($AH$4:$AH$20,MATCH($C123,$AF$4:$AF$20,0),1))</f>
        <v>0.224</v>
      </c>
      <c r="R123" s="148">
        <f t="shared" si="44"/>
        <v>0.224</v>
      </c>
      <c r="S123" s="149">
        <f t="shared" si="26"/>
        <v>5.4758471039999996</v>
      </c>
      <c r="T123" s="150">
        <f t="shared" si="27"/>
        <v>5.218676735999999</v>
      </c>
      <c r="U123" s="150">
        <f t="shared" si="28"/>
        <v>0</v>
      </c>
      <c r="V123" s="150">
        <f>IFERROR(INDEX(Työkonekanta!$J$3:$J$27,MATCH($A123,Työkonekanta!$A$3:$A$24,0),1)*$B123*ef_li_ion_akku/1000/1000/INDEX(Työkonekanta!$K$3:$K$27,MATCH($A123,Työkonekanta!$A$3:$A$24,0)),0)</f>
        <v>0</v>
      </c>
      <c r="W123" s="149">
        <f t="shared" si="39"/>
        <v>21.384270658333442</v>
      </c>
      <c r="X123" s="150">
        <f t="shared" si="40"/>
        <v>0.3304554864</v>
      </c>
      <c r="Y123" s="151">
        <f t="shared" si="41"/>
        <v>0.13661270204081635</v>
      </c>
      <c r="Z123" s="152">
        <f t="shared" si="33"/>
        <v>10.694523839999999</v>
      </c>
      <c r="AA123" s="153">
        <f t="shared" si="34"/>
        <v>21.52088336037426</v>
      </c>
      <c r="AB123" s="153">
        <f t="shared" si="35"/>
        <v>21.851338846774258</v>
      </c>
      <c r="AC123" s="154">
        <f t="shared" si="42"/>
        <v>32.215407200374258</v>
      </c>
      <c r="AD123" s="180">
        <f t="shared" si="36"/>
        <v>32.545862686774257</v>
      </c>
      <c r="AE123" s="160"/>
    </row>
    <row r="124" spans="1:31">
      <c r="A124" s="139">
        <v>2</v>
      </c>
      <c r="B124" s="139">
        <f>IFERROR(INDEX(Työkonekanta!$F$3:$F$27,MATCH('S2 Bio'!$A124,Työkonekanta!$A$3:$A$24,0),1),0)</f>
        <v>1</v>
      </c>
      <c r="C124" s="140">
        <v>2023</v>
      </c>
      <c r="D124" s="141" t="str">
        <f>IFERROR(INDEX(Työkonekanta!$D$3:$D$27,MATCH('S2 Bio'!$A124,Työkonekanta!$A$3:$A$24,0),1),"undefined")</f>
        <v>pom</v>
      </c>
      <c r="E124" s="145">
        <f>IFERROR(INDEX(Työkonekanta!$G$3:$G$27,MATCH($A124,Työkonekanta!$A$3:$A$24,0),1)*INDEX(Työkonekanta!$H$3:$H$27,MATCH($A124,Työkonekanta!$A$3:$A$24,0),1)*(1+_xlfn.SINGLE(s2_kerroin)*($C124-2019))*$B124,0)</f>
        <v>10400</v>
      </c>
      <c r="F124" s="145">
        <f t="shared" si="23"/>
        <v>373360</v>
      </c>
      <c r="G124" s="145">
        <f t="shared" si="29"/>
        <v>289727.35999999999</v>
      </c>
      <c r="H124" s="145">
        <f t="shared" si="30"/>
        <v>83632.639999999999</v>
      </c>
      <c r="I124" s="145">
        <f t="shared" si="24"/>
        <v>8070.4</v>
      </c>
      <c r="J124" s="145">
        <f t="shared" si="25"/>
        <v>2438.2693877551023</v>
      </c>
      <c r="K124" s="142" t="str">
        <f t="shared" si="31"/>
        <v>l</v>
      </c>
      <c r="L124" s="146">
        <f>IFERROR(INDEX(Työkonekanta!$I$3:$I$27,MATCH('S2 Bio'!$A124,Työkonekanta!$A$3:$A$24,0),1)*(I124+J124)*f_adblue,0)</f>
        <v>525.43346938775517</v>
      </c>
      <c r="M124" s="146">
        <f t="shared" si="37"/>
        <v>0</v>
      </c>
      <c r="N124" s="143" t="str">
        <f>IF(tuulisähkö_vuosi&lt;='S2 Bio'!C124,"tuulisähkö",ostosähkö_nyt)</f>
        <v>jäännössähkö</v>
      </c>
      <c r="O124" s="147">
        <f>INDEX(Muuttujat!$J$5:$J$21,MATCH($C124,Muuttujat!$H$5:$H$21,0),1)</f>
        <v>66.51860537025</v>
      </c>
      <c r="P124" s="148">
        <f t="shared" si="32"/>
        <v>0.77600000000000002</v>
      </c>
      <c r="Q124" s="148">
        <f t="shared" si="44"/>
        <v>0.224</v>
      </c>
      <c r="R124" s="148">
        <f t="shared" si="44"/>
        <v>0.224</v>
      </c>
      <c r="S124" s="149">
        <f t="shared" si="26"/>
        <v>5.4758471039999996</v>
      </c>
      <c r="T124" s="150">
        <f t="shared" si="27"/>
        <v>5.218676735999999</v>
      </c>
      <c r="U124" s="150">
        <f t="shared" si="28"/>
        <v>0</v>
      </c>
      <c r="V124" s="150">
        <f>IFERROR(INDEX(Työkonekanta!$J$3:$J$27,MATCH($A124,Työkonekanta!$A$3:$A$24,0),1)*$B124*ef_li_ion_akku/1000/1000/INDEX(Työkonekanta!$K$3:$K$27,MATCH($A124,Työkonekanta!$A$3:$A$24,0)),0)</f>
        <v>0</v>
      </c>
      <c r="W124" s="149">
        <f t="shared" si="39"/>
        <v>21.384270658333442</v>
      </c>
      <c r="X124" s="150">
        <f t="shared" si="40"/>
        <v>0.3304554864</v>
      </c>
      <c r="Y124" s="151">
        <f t="shared" si="41"/>
        <v>0.13661270204081635</v>
      </c>
      <c r="Z124" s="152">
        <f t="shared" si="33"/>
        <v>10.694523839999999</v>
      </c>
      <c r="AA124" s="153">
        <f t="shared" si="34"/>
        <v>21.52088336037426</v>
      </c>
      <c r="AB124" s="153">
        <f t="shared" si="35"/>
        <v>21.851338846774258</v>
      </c>
      <c r="AC124" s="154">
        <f t="shared" si="42"/>
        <v>32.215407200374258</v>
      </c>
      <c r="AD124" s="180">
        <f t="shared" si="36"/>
        <v>32.545862686774257</v>
      </c>
      <c r="AE124" s="160"/>
    </row>
    <row r="125" spans="1:31">
      <c r="A125" s="139">
        <v>3</v>
      </c>
      <c r="B125" s="139">
        <f>IFERROR(INDEX(Työkonekanta!$F$3:$F$27,MATCH('S2 Bio'!$A125,Työkonekanta!$A$3:$A$24,0),1),0)</f>
        <v>1</v>
      </c>
      <c r="C125" s="140">
        <v>2023</v>
      </c>
      <c r="D125" s="141" t="str">
        <f>IFERROR(INDEX(Työkonekanta!$D$3:$D$27,MATCH('S2 Bio'!$A125,Työkonekanta!$A$3:$A$24,0),1),"undefined")</f>
        <v>pom</v>
      </c>
      <c r="E125" s="145">
        <f>IFERROR(INDEX(Työkonekanta!$G$3:$G$27,MATCH($A125,Työkonekanta!$A$3:$A$24,0),1)*INDEX(Työkonekanta!$H$3:$H$27,MATCH($A125,Työkonekanta!$A$3:$A$24,0),1)*(1+_xlfn.SINGLE(s2_kerroin)*($C125-2019))*$B125,0)</f>
        <v>10400</v>
      </c>
      <c r="F125" s="145">
        <f t="shared" si="23"/>
        <v>373360</v>
      </c>
      <c r="G125" s="145">
        <f t="shared" si="29"/>
        <v>289727.35999999999</v>
      </c>
      <c r="H125" s="145">
        <f t="shared" si="30"/>
        <v>83632.639999999999</v>
      </c>
      <c r="I125" s="145">
        <f t="shared" si="24"/>
        <v>8070.4</v>
      </c>
      <c r="J125" s="145">
        <f t="shared" si="25"/>
        <v>2438.2693877551023</v>
      </c>
      <c r="K125" s="142" t="str">
        <f t="shared" si="31"/>
        <v>l</v>
      </c>
      <c r="L125" s="146">
        <f>IFERROR(INDEX(Työkonekanta!$I$3:$I$27,MATCH('S2 Bio'!$A125,Työkonekanta!$A$3:$A$24,0),1)*(I125+J125)*f_adblue,0)</f>
        <v>525.43346938775517</v>
      </c>
      <c r="M125" s="146">
        <f t="shared" si="37"/>
        <v>0</v>
      </c>
      <c r="N125" s="143" t="str">
        <f>IF(tuulisähkö_vuosi&lt;='S2 Bio'!C125,"tuulisähkö",ostosähkö_nyt)</f>
        <v>jäännössähkö</v>
      </c>
      <c r="O125" s="147">
        <f>INDEX(Muuttujat!$J$5:$J$21,MATCH($C125,Muuttujat!$H$5:$H$21,0),1)</f>
        <v>66.51860537025</v>
      </c>
      <c r="P125" s="148">
        <f t="shared" si="32"/>
        <v>0.77600000000000002</v>
      </c>
      <c r="Q125" s="148">
        <f t="shared" si="44"/>
        <v>0.224</v>
      </c>
      <c r="R125" s="148">
        <f t="shared" si="44"/>
        <v>0.224</v>
      </c>
      <c r="S125" s="149">
        <f t="shared" si="26"/>
        <v>5.4758471039999996</v>
      </c>
      <c r="T125" s="150">
        <f t="shared" si="27"/>
        <v>5.218676735999999</v>
      </c>
      <c r="U125" s="150">
        <f t="shared" si="28"/>
        <v>0</v>
      </c>
      <c r="V125" s="150">
        <f>IFERROR(INDEX(Työkonekanta!$J$3:$J$27,MATCH($A125,Työkonekanta!$A$3:$A$24,0),1)*$B125*ef_li_ion_akku/1000/1000/INDEX(Työkonekanta!$K$3:$K$27,MATCH($A125,Työkonekanta!$A$3:$A$24,0)),0)</f>
        <v>0</v>
      </c>
      <c r="W125" s="149">
        <f t="shared" si="39"/>
        <v>21.384270658333442</v>
      </c>
      <c r="X125" s="150">
        <f t="shared" si="40"/>
        <v>0.3304554864</v>
      </c>
      <c r="Y125" s="151">
        <f t="shared" si="41"/>
        <v>0.13661270204081635</v>
      </c>
      <c r="Z125" s="152">
        <f t="shared" si="33"/>
        <v>10.694523839999999</v>
      </c>
      <c r="AA125" s="153">
        <f t="shared" si="34"/>
        <v>21.52088336037426</v>
      </c>
      <c r="AB125" s="153">
        <f t="shared" si="35"/>
        <v>21.851338846774258</v>
      </c>
      <c r="AC125" s="154">
        <f t="shared" si="42"/>
        <v>32.215407200374258</v>
      </c>
      <c r="AD125" s="180">
        <f t="shared" si="36"/>
        <v>32.545862686774257</v>
      </c>
      <c r="AE125" s="160"/>
    </row>
    <row r="126" spans="1:31">
      <c r="A126" s="139">
        <v>4</v>
      </c>
      <c r="B126" s="139">
        <f>IFERROR(INDEX(Työkonekanta!$F$3:$F$27,MATCH('S2 Bio'!$A126,Työkonekanta!$A$3:$A$24,0),1),0)</f>
        <v>1</v>
      </c>
      <c r="C126" s="140">
        <v>2023</v>
      </c>
      <c r="D126" s="141" t="str">
        <f>IFERROR(INDEX(Työkonekanta!$D$3:$D$27,MATCH('S2 Bio'!$A126,Työkonekanta!$A$3:$A$24,0),1),"undefined")</f>
        <v>pom</v>
      </c>
      <c r="E126" s="145">
        <f>IFERROR(INDEX(Työkonekanta!$G$3:$G$27,MATCH($A126,Työkonekanta!$A$3:$A$24,0),1)*INDEX(Työkonekanta!$H$3:$H$27,MATCH($A126,Työkonekanta!$A$3:$A$24,0),1)*(1+_xlfn.SINGLE(s2_kerroin)*($C126-2019))*$B126,0)</f>
        <v>10400</v>
      </c>
      <c r="F126" s="145">
        <f t="shared" si="23"/>
        <v>373360</v>
      </c>
      <c r="G126" s="145">
        <f t="shared" si="29"/>
        <v>289727.35999999999</v>
      </c>
      <c r="H126" s="145">
        <f t="shared" si="30"/>
        <v>83632.639999999999</v>
      </c>
      <c r="I126" s="145">
        <f t="shared" si="24"/>
        <v>8070.4</v>
      </c>
      <c r="J126" s="145">
        <f t="shared" si="25"/>
        <v>2438.2693877551023</v>
      </c>
      <c r="K126" s="142" t="str">
        <f t="shared" si="31"/>
        <v>l</v>
      </c>
      <c r="L126" s="146">
        <f>IFERROR(INDEX(Työkonekanta!$I$3:$I$27,MATCH('S2 Bio'!$A126,Työkonekanta!$A$3:$A$24,0),1)*(I126+J126)*f_adblue,0)</f>
        <v>525.43346938775517</v>
      </c>
      <c r="M126" s="146">
        <f t="shared" si="37"/>
        <v>0</v>
      </c>
      <c r="N126" s="143" t="str">
        <f>IF(tuulisähkö_vuosi&lt;='S2 Bio'!C126,"tuulisähkö",ostosähkö_nyt)</f>
        <v>jäännössähkö</v>
      </c>
      <c r="O126" s="147">
        <f>INDEX(Muuttujat!$J$5:$J$21,MATCH($C126,Muuttujat!$H$5:$H$21,0),1)</f>
        <v>66.51860537025</v>
      </c>
      <c r="P126" s="148">
        <f t="shared" si="32"/>
        <v>0.77600000000000002</v>
      </c>
      <c r="Q126" s="148">
        <f t="shared" si="44"/>
        <v>0.224</v>
      </c>
      <c r="R126" s="148">
        <f t="shared" si="44"/>
        <v>0.224</v>
      </c>
      <c r="S126" s="149">
        <f t="shared" si="26"/>
        <v>5.4758471039999996</v>
      </c>
      <c r="T126" s="150">
        <f t="shared" si="27"/>
        <v>5.218676735999999</v>
      </c>
      <c r="U126" s="150">
        <f t="shared" si="28"/>
        <v>0</v>
      </c>
      <c r="V126" s="150">
        <f>IFERROR(INDEX(Työkonekanta!$J$3:$J$27,MATCH($A126,Työkonekanta!$A$3:$A$24,0),1)*$B126*ef_li_ion_akku/1000/1000/INDEX(Työkonekanta!$K$3:$K$27,MATCH($A126,Työkonekanta!$A$3:$A$24,0)),0)</f>
        <v>0</v>
      </c>
      <c r="W126" s="149">
        <f t="shared" si="39"/>
        <v>21.384270658333442</v>
      </c>
      <c r="X126" s="150">
        <f t="shared" si="40"/>
        <v>0.3304554864</v>
      </c>
      <c r="Y126" s="151">
        <f t="shared" si="41"/>
        <v>0.13661270204081635</v>
      </c>
      <c r="Z126" s="152">
        <f t="shared" si="33"/>
        <v>10.694523839999999</v>
      </c>
      <c r="AA126" s="153">
        <f t="shared" si="34"/>
        <v>21.52088336037426</v>
      </c>
      <c r="AB126" s="153">
        <f t="shared" si="35"/>
        <v>21.851338846774258</v>
      </c>
      <c r="AC126" s="154">
        <f t="shared" si="42"/>
        <v>32.215407200374258</v>
      </c>
      <c r="AD126" s="180">
        <f t="shared" si="36"/>
        <v>32.545862686774257</v>
      </c>
      <c r="AE126" s="160"/>
    </row>
    <row r="127" spans="1:31">
      <c r="A127" s="139">
        <v>5</v>
      </c>
      <c r="B127" s="139">
        <f>IFERROR(INDEX(Työkonekanta!$F$3:$F$27,MATCH('S2 Bio'!$A127,Työkonekanta!$A$3:$A$24,0),1),0)</f>
        <v>0</v>
      </c>
      <c r="C127" s="140">
        <v>2023</v>
      </c>
      <c r="D127" s="141" t="str">
        <f>IFERROR(INDEX(Työkonekanta!$D$3:$D$27,MATCH('S2 Bio'!$A127,Työkonekanta!$A$3:$A$24,0),1),"undefined")</f>
        <v>sähkö</v>
      </c>
      <c r="E127" s="145">
        <f>IFERROR(INDEX(Työkonekanta!$G$3:$G$27,MATCH($A127,Työkonekanta!$A$3:$A$24,0),1)*INDEX(Työkonekanta!$H$3:$H$27,MATCH($A127,Työkonekanta!$A$3:$A$24,0),1)*(1+_xlfn.SINGLE(s2_kerroin)*($C127-2019))*$B127,0)</f>
        <v>0</v>
      </c>
      <c r="F127" s="145">
        <f t="shared" si="23"/>
        <v>0</v>
      </c>
      <c r="G127" s="145">
        <f t="shared" si="29"/>
        <v>0</v>
      </c>
      <c r="H127" s="145">
        <f t="shared" si="30"/>
        <v>0</v>
      </c>
      <c r="I127" s="145">
        <f t="shared" si="24"/>
        <v>0</v>
      </c>
      <c r="J127" s="145">
        <f t="shared" si="25"/>
        <v>0</v>
      </c>
      <c r="K127" s="142" t="str">
        <f t="shared" si="31"/>
        <v>kWh</v>
      </c>
      <c r="L127" s="146">
        <f>IFERROR(INDEX(Työkonekanta!$I$3:$I$27,MATCH('S2 Bio'!$A127,Työkonekanta!$A$3:$A$24,0),1)*(I127+J127)*f_adblue,0)</f>
        <v>0</v>
      </c>
      <c r="M127" s="146">
        <f t="shared" si="37"/>
        <v>0</v>
      </c>
      <c r="N127" s="143" t="str">
        <f>IF(tuulisähkö_vuosi&lt;='S2 Bio'!C127,"tuulisähkö",ostosähkö_nyt)</f>
        <v>jäännössähkö</v>
      </c>
      <c r="O127" s="147">
        <f>INDEX(Muuttujat!$J$5:$J$21,MATCH($C127,Muuttujat!$H$5:$H$21,0),1)</f>
        <v>66.51860537025</v>
      </c>
      <c r="P127" s="148">
        <f t="shared" si="32"/>
        <v>0.77600000000000002</v>
      </c>
      <c r="Q127" s="148">
        <f t="shared" si="44"/>
        <v>0.224</v>
      </c>
      <c r="R127" s="148">
        <f t="shared" si="44"/>
        <v>0.224</v>
      </c>
      <c r="S127" s="149">
        <f t="shared" si="26"/>
        <v>0</v>
      </c>
      <c r="T127" s="150">
        <f t="shared" si="27"/>
        <v>0</v>
      </c>
      <c r="U127" s="150">
        <f t="shared" si="28"/>
        <v>0</v>
      </c>
      <c r="V127" s="150">
        <f>IFERROR(INDEX(Työkonekanta!$J$3:$J$27,MATCH($A127,Työkonekanta!$A$3:$A$24,0),1)*$B127*ef_li_ion_akku/1000/1000/INDEX(Työkonekanta!$K$3:$K$27,MATCH($A127,Työkonekanta!$A$3:$A$24,0)),0)</f>
        <v>0</v>
      </c>
      <c r="W127" s="149">
        <f t="shared" si="39"/>
        <v>0</v>
      </c>
      <c r="X127" s="150">
        <f t="shared" si="40"/>
        <v>0</v>
      </c>
      <c r="Y127" s="151">
        <f t="shared" si="41"/>
        <v>0</v>
      </c>
      <c r="Z127" s="152">
        <f t="shared" si="33"/>
        <v>0</v>
      </c>
      <c r="AA127" s="153">
        <f t="shared" si="34"/>
        <v>0</v>
      </c>
      <c r="AB127" s="153">
        <f t="shared" si="35"/>
        <v>0</v>
      </c>
      <c r="AC127" s="154">
        <f t="shared" si="42"/>
        <v>0</v>
      </c>
      <c r="AD127" s="180">
        <f t="shared" si="36"/>
        <v>0</v>
      </c>
      <c r="AE127" s="160"/>
    </row>
    <row r="128" spans="1:31">
      <c r="A128" s="139">
        <v>6</v>
      </c>
      <c r="B128" s="139">
        <f>IFERROR(INDEX(Työkonekanta!$F$3:$F$27,MATCH('S2 Bio'!$A128,Työkonekanta!$A$3:$A$24,0),1),0)</f>
        <v>0</v>
      </c>
      <c r="C128" s="140">
        <v>2023</v>
      </c>
      <c r="D128" s="141" t="str">
        <f>IFERROR(INDEX(Työkonekanta!$D$3:$D$27,MATCH('S2 Bio'!$A128,Työkonekanta!$A$3:$A$24,0),1),"undefined")</f>
        <v>sähkö</v>
      </c>
      <c r="E128" s="145">
        <f>IFERROR(INDEX(Työkonekanta!$G$3:$G$27,MATCH($A128,Työkonekanta!$A$3:$A$24,0),1)*INDEX(Työkonekanta!$H$3:$H$27,MATCH($A128,Työkonekanta!$A$3:$A$24,0),1)*(1+_xlfn.SINGLE(s2_kerroin)*($C128-2019))*$B128,0)</f>
        <v>0</v>
      </c>
      <c r="F128" s="145">
        <f t="shared" si="23"/>
        <v>0</v>
      </c>
      <c r="G128" s="145">
        <f t="shared" si="29"/>
        <v>0</v>
      </c>
      <c r="H128" s="145">
        <f t="shared" si="30"/>
        <v>0</v>
      </c>
      <c r="I128" s="145">
        <f t="shared" si="24"/>
        <v>0</v>
      </c>
      <c r="J128" s="145">
        <f t="shared" si="25"/>
        <v>0</v>
      </c>
      <c r="K128" s="142" t="str">
        <f t="shared" si="31"/>
        <v>kWh</v>
      </c>
      <c r="L128" s="146">
        <f>IFERROR(INDEX(Työkonekanta!$I$3:$I$27,MATCH('S2 Bio'!$A128,Työkonekanta!$A$3:$A$24,0),1)*(I128+J128)*f_adblue,0)</f>
        <v>0</v>
      </c>
      <c r="M128" s="146">
        <f t="shared" si="37"/>
        <v>0</v>
      </c>
      <c r="N128" s="143" t="str">
        <f>IF(tuulisähkö_vuosi&lt;='S2 Bio'!C128,"tuulisähkö",ostosähkö_nyt)</f>
        <v>jäännössähkö</v>
      </c>
      <c r="O128" s="147">
        <f>INDEX(Muuttujat!$J$5:$J$21,MATCH($C128,Muuttujat!$H$5:$H$21,0),1)</f>
        <v>66.51860537025</v>
      </c>
      <c r="P128" s="148">
        <f t="shared" si="32"/>
        <v>0.77600000000000002</v>
      </c>
      <c r="Q128" s="148">
        <f t="shared" si="44"/>
        <v>0.224</v>
      </c>
      <c r="R128" s="148">
        <f t="shared" si="44"/>
        <v>0.224</v>
      </c>
      <c r="S128" s="149">
        <f t="shared" si="26"/>
        <v>0</v>
      </c>
      <c r="T128" s="150">
        <f t="shared" si="27"/>
        <v>0</v>
      </c>
      <c r="U128" s="150">
        <f t="shared" si="28"/>
        <v>0</v>
      </c>
      <c r="V128" s="150">
        <f>IFERROR(INDEX(Työkonekanta!$J$3:$J$27,MATCH($A128,Työkonekanta!$A$3:$A$24,0),1)*$B128*ef_li_ion_akku/1000/1000/INDEX(Työkonekanta!$K$3:$K$27,MATCH($A128,Työkonekanta!$A$3:$A$24,0)),0)</f>
        <v>0</v>
      </c>
      <c r="W128" s="149">
        <f t="shared" si="39"/>
        <v>0</v>
      </c>
      <c r="X128" s="150">
        <f t="shared" si="40"/>
        <v>0</v>
      </c>
      <c r="Y128" s="151">
        <f t="shared" si="41"/>
        <v>0</v>
      </c>
      <c r="Z128" s="152">
        <f t="shared" si="33"/>
        <v>0</v>
      </c>
      <c r="AA128" s="153">
        <f t="shared" si="34"/>
        <v>0</v>
      </c>
      <c r="AB128" s="153">
        <f t="shared" si="35"/>
        <v>0</v>
      </c>
      <c r="AC128" s="154">
        <f t="shared" si="42"/>
        <v>0</v>
      </c>
      <c r="AD128" s="180">
        <f t="shared" si="36"/>
        <v>0</v>
      </c>
      <c r="AE128" s="160"/>
    </row>
    <row r="129" spans="1:31">
      <c r="A129" s="139">
        <v>7</v>
      </c>
      <c r="B129" s="139">
        <f>IFERROR(INDEX(Työkonekanta!$F$3:$F$27,MATCH('S2 Bio'!$A129,Työkonekanta!$A$3:$A$24,0),1),0)</f>
        <v>1</v>
      </c>
      <c r="C129" s="140">
        <v>2023</v>
      </c>
      <c r="D129" s="141" t="str">
        <f>IFERROR(INDEX(Työkonekanta!$D$3:$D$27,MATCH('S2 Bio'!$A129,Työkonekanta!$A$3:$A$24,0),1),"undefined")</f>
        <v>pom</v>
      </c>
      <c r="E129" s="145">
        <f>IFERROR(INDEX(Työkonekanta!$G$3:$G$27,MATCH($A129,Työkonekanta!$A$3:$A$24,0),1)*INDEX(Työkonekanta!$H$3:$H$27,MATCH($A129,Työkonekanta!$A$3:$A$24,0),1)*(1+_xlfn.SINGLE(s2_kerroin)*($C129-2019))*$B129,0)</f>
        <v>10400</v>
      </c>
      <c r="F129" s="145">
        <f t="shared" si="23"/>
        <v>373360</v>
      </c>
      <c r="G129" s="145">
        <f t="shared" si="29"/>
        <v>289727.35999999999</v>
      </c>
      <c r="H129" s="145">
        <f t="shared" si="30"/>
        <v>83632.639999999999</v>
      </c>
      <c r="I129" s="145">
        <f t="shared" si="24"/>
        <v>8070.4</v>
      </c>
      <c r="J129" s="145">
        <f t="shared" si="25"/>
        <v>2438.2693877551023</v>
      </c>
      <c r="K129" s="142" t="str">
        <f t="shared" si="31"/>
        <v>l</v>
      </c>
      <c r="L129" s="146">
        <f>IFERROR(INDEX(Työkonekanta!$I$3:$I$27,MATCH('S2 Bio'!$A129,Työkonekanta!$A$3:$A$24,0),1)*(I129+J129)*f_adblue,0)</f>
        <v>0</v>
      </c>
      <c r="M129" s="146">
        <f t="shared" si="37"/>
        <v>0</v>
      </c>
      <c r="N129" s="143" t="str">
        <f>IF(tuulisähkö_vuosi&lt;='S2 Bio'!C129,"tuulisähkö",ostosähkö_nyt)</f>
        <v>jäännössähkö</v>
      </c>
      <c r="O129" s="147">
        <f>INDEX(Muuttujat!$J$5:$J$21,MATCH($C129,Muuttujat!$H$5:$H$21,0),1)</f>
        <v>66.51860537025</v>
      </c>
      <c r="P129" s="148">
        <f t="shared" si="32"/>
        <v>0.77600000000000002</v>
      </c>
      <c r="Q129" s="148">
        <f t="shared" si="44"/>
        <v>0.224</v>
      </c>
      <c r="R129" s="148">
        <f t="shared" si="44"/>
        <v>0.224</v>
      </c>
      <c r="S129" s="149">
        <f t="shared" si="26"/>
        <v>5.4758471039999996</v>
      </c>
      <c r="T129" s="150">
        <f t="shared" si="27"/>
        <v>5.218676735999999</v>
      </c>
      <c r="U129" s="150">
        <f t="shared" si="28"/>
        <v>0</v>
      </c>
      <c r="V129" s="150">
        <f>IFERROR(INDEX(Työkonekanta!$J$3:$J$27,MATCH($A129,Työkonekanta!$A$3:$A$24,0),1)*$B129*ef_li_ion_akku/1000/1000/INDEX(Työkonekanta!$K$3:$K$27,MATCH($A129,Työkonekanta!$A$3:$A$24,0)),0)</f>
        <v>0</v>
      </c>
      <c r="W129" s="149">
        <f t="shared" si="39"/>
        <v>21.384270658333442</v>
      </c>
      <c r="X129" s="150">
        <f t="shared" si="40"/>
        <v>0.3304554864</v>
      </c>
      <c r="Y129" s="151">
        <f t="shared" si="41"/>
        <v>0</v>
      </c>
      <c r="Z129" s="152">
        <f t="shared" si="33"/>
        <v>10.694523839999999</v>
      </c>
      <c r="AA129" s="153">
        <f t="shared" si="34"/>
        <v>21.384270658333442</v>
      </c>
      <c r="AB129" s="153">
        <f t="shared" si="35"/>
        <v>21.71472614473344</v>
      </c>
      <c r="AC129" s="154">
        <f t="shared" si="42"/>
        <v>32.078794498333437</v>
      </c>
      <c r="AD129" s="180">
        <f t="shared" si="36"/>
        <v>32.409249984733435</v>
      </c>
      <c r="AE129" s="160"/>
    </row>
    <row r="130" spans="1:31">
      <c r="A130" s="139">
        <v>8</v>
      </c>
      <c r="B130" s="139">
        <f>IFERROR(INDEX(Työkonekanta!$F$3:$F$27,MATCH('S2 Bio'!$A130,Työkonekanta!$A$3:$A$24,0),1),0)</f>
        <v>1</v>
      </c>
      <c r="C130" s="140">
        <v>2023</v>
      </c>
      <c r="D130" s="141" t="str">
        <f>IFERROR(INDEX(Työkonekanta!$D$3:$D$27,MATCH('S2 Bio'!$A130,Työkonekanta!$A$3:$A$24,0),1),"undefined")</f>
        <v>pom</v>
      </c>
      <c r="E130" s="145">
        <f>IFERROR(INDEX(Työkonekanta!$G$3:$G$27,MATCH($A130,Työkonekanta!$A$3:$A$24,0),1)*INDEX(Työkonekanta!$H$3:$H$27,MATCH($A130,Työkonekanta!$A$3:$A$24,0),1)*(1+_xlfn.SINGLE(s2_kerroin)*($C130-2019))*$B130,0)</f>
        <v>10400</v>
      </c>
      <c r="F130" s="145">
        <f t="shared" si="23"/>
        <v>373360</v>
      </c>
      <c r="G130" s="145">
        <f t="shared" si="29"/>
        <v>289727.35999999999</v>
      </c>
      <c r="H130" s="145">
        <f t="shared" si="30"/>
        <v>83632.639999999999</v>
      </c>
      <c r="I130" s="145">
        <f t="shared" si="24"/>
        <v>8070.4</v>
      </c>
      <c r="J130" s="145">
        <f t="shared" si="25"/>
        <v>2438.2693877551023</v>
      </c>
      <c r="K130" s="142" t="str">
        <f t="shared" si="31"/>
        <v>l</v>
      </c>
      <c r="L130" s="146">
        <f>IFERROR(INDEX(Työkonekanta!$I$3:$I$27,MATCH('S2 Bio'!$A130,Työkonekanta!$A$3:$A$24,0),1)*(I130+J130)*f_adblue,0)</f>
        <v>525.43346938775517</v>
      </c>
      <c r="M130" s="146">
        <f t="shared" si="37"/>
        <v>0</v>
      </c>
      <c r="N130" s="143" t="str">
        <f>IF(tuulisähkö_vuosi&lt;='S2 Bio'!C130,"tuulisähkö",ostosähkö_nyt)</f>
        <v>jäännössähkö</v>
      </c>
      <c r="O130" s="147">
        <f>INDEX(Muuttujat!$J$5:$J$21,MATCH($C130,Muuttujat!$H$5:$H$21,0),1)</f>
        <v>66.51860537025</v>
      </c>
      <c r="P130" s="148">
        <f t="shared" si="32"/>
        <v>0.77600000000000002</v>
      </c>
      <c r="Q130" s="148">
        <f t="shared" si="44"/>
        <v>0.224</v>
      </c>
      <c r="R130" s="148">
        <f t="shared" si="44"/>
        <v>0.224</v>
      </c>
      <c r="S130" s="149">
        <f t="shared" si="26"/>
        <v>5.4758471039999996</v>
      </c>
      <c r="T130" s="150">
        <f t="shared" si="27"/>
        <v>5.218676735999999</v>
      </c>
      <c r="U130" s="150">
        <f t="shared" si="28"/>
        <v>0</v>
      </c>
      <c r="V130" s="150">
        <f>IFERROR(INDEX(Työkonekanta!$J$3:$J$27,MATCH($A130,Työkonekanta!$A$3:$A$24,0),1)*$B130*ef_li_ion_akku/1000/1000/INDEX(Työkonekanta!$K$3:$K$27,MATCH($A130,Työkonekanta!$A$3:$A$24,0)),0)</f>
        <v>0</v>
      </c>
      <c r="W130" s="149">
        <f t="shared" si="39"/>
        <v>21.384270658333442</v>
      </c>
      <c r="X130" s="150">
        <f t="shared" si="40"/>
        <v>0.3304554864</v>
      </c>
      <c r="Y130" s="151">
        <f t="shared" si="41"/>
        <v>0.13661270204081635</v>
      </c>
      <c r="Z130" s="152">
        <f t="shared" si="33"/>
        <v>10.694523839999999</v>
      </c>
      <c r="AA130" s="153">
        <f t="shared" si="34"/>
        <v>21.52088336037426</v>
      </c>
      <c r="AB130" s="153">
        <f t="shared" si="35"/>
        <v>21.851338846774258</v>
      </c>
      <c r="AC130" s="154">
        <f t="shared" si="42"/>
        <v>32.215407200374258</v>
      </c>
      <c r="AD130" s="180">
        <f t="shared" si="36"/>
        <v>32.545862686774257</v>
      </c>
      <c r="AE130" s="160"/>
    </row>
    <row r="131" spans="1:31">
      <c r="A131" s="139">
        <v>9</v>
      </c>
      <c r="B131" s="139">
        <f>IFERROR(INDEX(Työkonekanta!$F$3:$F$27,MATCH('S2 Bio'!$A131,Työkonekanta!$A$3:$A$24,0),1),0)</f>
        <v>0</v>
      </c>
      <c r="C131" s="140">
        <v>2023</v>
      </c>
      <c r="D131" s="141" t="str">
        <f>IFERROR(INDEX(Työkonekanta!$D$3:$D$27,MATCH('S2 Bio'!$A131,Työkonekanta!$A$3:$A$24,0),1),"undefined")</f>
        <v>sähkö</v>
      </c>
      <c r="E131" s="145">
        <f>IFERROR(INDEX(Työkonekanta!$G$3:$G$27,MATCH($A131,Työkonekanta!$A$3:$A$24,0),1)*INDEX(Työkonekanta!$H$3:$H$27,MATCH($A131,Työkonekanta!$A$3:$A$24,0),1)*(1+_xlfn.SINGLE(s2_kerroin)*($C131-2019))*$B131,0)</f>
        <v>0</v>
      </c>
      <c r="F131" s="145">
        <f t="shared" ref="F131:F194" si="45">IF(D131="pom",$E131*hv_pom,0)</f>
        <v>0</v>
      </c>
      <c r="G131" s="145">
        <f t="shared" si="29"/>
        <v>0</v>
      </c>
      <c r="H131" s="145">
        <f t="shared" si="30"/>
        <v>0</v>
      </c>
      <c r="I131" s="145">
        <f t="shared" ref="I131:I194" si="46">$G131/hv_pom</f>
        <v>0</v>
      </c>
      <c r="J131" s="145">
        <f t="shared" ref="J131:J194" si="47">$H131/hv_biodies</f>
        <v>0</v>
      </c>
      <c r="K131" s="142" t="str">
        <f t="shared" si="31"/>
        <v>kWh</v>
      </c>
      <c r="L131" s="146">
        <f>IFERROR(INDEX(Työkonekanta!$I$3:$I$27,MATCH('S2 Bio'!$A131,Työkonekanta!$A$3:$A$24,0),1)*(I131+J131)*f_adblue,0)</f>
        <v>0</v>
      </c>
      <c r="M131" s="146">
        <f t="shared" si="37"/>
        <v>0</v>
      </c>
      <c r="N131" s="143" t="str">
        <f>IF(tuulisähkö_vuosi&lt;='S2 Bio'!C131,"tuulisähkö",ostosähkö_nyt)</f>
        <v>jäännössähkö</v>
      </c>
      <c r="O131" s="147">
        <f>INDEX(Muuttujat!$J$5:$J$21,MATCH($C131,Muuttujat!$H$5:$H$21,0),1)</f>
        <v>66.51860537025</v>
      </c>
      <c r="P131" s="148">
        <f t="shared" si="32"/>
        <v>0.77600000000000002</v>
      </c>
      <c r="Q131" s="148">
        <f t="shared" si="44"/>
        <v>0.224</v>
      </c>
      <c r="R131" s="148">
        <f t="shared" si="44"/>
        <v>0.224</v>
      </c>
      <c r="S131" s="149">
        <f t="shared" ref="S131:S194" si="48">wtt_ef_e_co2_dies*$G131/1000/1000</f>
        <v>0</v>
      </c>
      <c r="T131" s="150">
        <f t="shared" ref="T131:T194" si="49">wtt_ef_e_co2_biodies*$H131/1000/1000</f>
        <v>0</v>
      </c>
      <c r="U131" s="150">
        <f t="shared" ref="U131:U194" si="50">IF(N131="jäännössähkö",$O131,IF(N131="tuulisähkö",wtt_ef_e_co2_el_wind,0))*$M131/1000/1000</f>
        <v>0</v>
      </c>
      <c r="V131" s="150">
        <f>IFERROR(INDEX(Työkonekanta!$J$3:$J$27,MATCH($A131,Työkonekanta!$A$3:$A$24,0),1)*$B131*ef_li_ion_akku/1000/1000/INDEX(Työkonekanta!$K$3:$K$27,MATCH($A131,Työkonekanta!$A$3:$A$24,0)),0)</f>
        <v>0</v>
      </c>
      <c r="W131" s="149">
        <f t="shared" si="39"/>
        <v>0</v>
      </c>
      <c r="X131" s="150">
        <f t="shared" si="40"/>
        <v>0</v>
      </c>
      <c r="Y131" s="151">
        <f t="shared" si="41"/>
        <v>0</v>
      </c>
      <c r="Z131" s="152">
        <f t="shared" si="33"/>
        <v>0</v>
      </c>
      <c r="AA131" s="153">
        <f t="shared" si="34"/>
        <v>0</v>
      </c>
      <c r="AB131" s="153">
        <f t="shared" si="35"/>
        <v>0</v>
      </c>
      <c r="AC131" s="154">
        <f t="shared" si="42"/>
        <v>0</v>
      </c>
      <c r="AD131" s="180">
        <f t="shared" si="36"/>
        <v>0</v>
      </c>
      <c r="AE131" s="160"/>
    </row>
    <row r="132" spans="1:31">
      <c r="A132" s="139">
        <v>10</v>
      </c>
      <c r="B132" s="139">
        <f>IFERROR(INDEX(Työkonekanta!$F$3:$F$27,MATCH('S2 Bio'!$A132,Työkonekanta!$A$3:$A$24,0),1),0)</f>
        <v>0</v>
      </c>
      <c r="C132" s="140">
        <v>2023</v>
      </c>
      <c r="D132" s="141" t="str">
        <f>IFERROR(INDEX(Työkonekanta!$D$3:$D$27,MATCH('S2 Bio'!$A132,Työkonekanta!$A$3:$A$24,0),1),"undefined")</f>
        <v>sähkö</v>
      </c>
      <c r="E132" s="145">
        <f>IFERROR(INDEX(Työkonekanta!$G$3:$G$27,MATCH($A132,Työkonekanta!$A$3:$A$24,0),1)*INDEX(Työkonekanta!$H$3:$H$27,MATCH($A132,Työkonekanta!$A$3:$A$24,0),1)*(1+_xlfn.SINGLE(s2_kerroin)*($C132-2019))*$B132,0)</f>
        <v>0</v>
      </c>
      <c r="F132" s="145">
        <f t="shared" si="45"/>
        <v>0</v>
      </c>
      <c r="G132" s="145">
        <f t="shared" ref="G132:G195" si="51">$F132*$P132</f>
        <v>0</v>
      </c>
      <c r="H132" s="145">
        <f t="shared" ref="H132:H195" si="52">$F132*$Q132</f>
        <v>0</v>
      </c>
      <c r="I132" s="145">
        <f t="shared" si="46"/>
        <v>0</v>
      </c>
      <c r="J132" s="145">
        <f t="shared" si="47"/>
        <v>0</v>
      </c>
      <c r="K132" s="142" t="str">
        <f t="shared" ref="K132:K195" si="53">IF($D132="sähkö","kWh",IF($D132="pom","l","undefined"))</f>
        <v>kWh</v>
      </c>
      <c r="L132" s="146">
        <f>IFERROR(INDEX(Työkonekanta!$I$3:$I$27,MATCH('S2 Bio'!$A132,Työkonekanta!$A$3:$A$24,0),1)*(I132+J132)*f_adblue,0)</f>
        <v>0</v>
      </c>
      <c r="M132" s="146">
        <f t="shared" si="37"/>
        <v>0</v>
      </c>
      <c r="N132" s="143" t="str">
        <f>IF(tuulisähkö_vuosi&lt;='S2 Bio'!C132,"tuulisähkö",ostosähkö_nyt)</f>
        <v>jäännössähkö</v>
      </c>
      <c r="O132" s="147">
        <f>INDEX(Muuttujat!$J$5:$J$21,MATCH($C132,Muuttujat!$H$5:$H$21,0),1)</f>
        <v>66.51860537025</v>
      </c>
      <c r="P132" s="148">
        <f t="shared" ref="P132:P195" si="54">1-Q132</f>
        <v>0.77600000000000002</v>
      </c>
      <c r="Q132" s="148">
        <f t="shared" si="44"/>
        <v>0.224</v>
      </c>
      <c r="R132" s="148">
        <f t="shared" si="44"/>
        <v>0.224</v>
      </c>
      <c r="S132" s="149">
        <f t="shared" si="48"/>
        <v>0</v>
      </c>
      <c r="T132" s="150">
        <f t="shared" si="49"/>
        <v>0</v>
      </c>
      <c r="U132" s="150">
        <f t="shared" si="50"/>
        <v>0</v>
      </c>
      <c r="V132" s="150">
        <f>IFERROR(INDEX(Työkonekanta!$J$3:$J$27,MATCH($A132,Työkonekanta!$A$3:$A$24,0),1)*$B132*ef_li_ion_akku/1000/1000/INDEX(Työkonekanta!$K$3:$K$27,MATCH($A132,Työkonekanta!$A$3:$A$24,0)),0)</f>
        <v>0</v>
      </c>
      <c r="W132" s="149">
        <f t="shared" si="39"/>
        <v>0</v>
      </c>
      <c r="X132" s="150">
        <f t="shared" si="40"/>
        <v>0</v>
      </c>
      <c r="Y132" s="151">
        <f t="shared" si="41"/>
        <v>0</v>
      </c>
      <c r="Z132" s="152">
        <f t="shared" ref="Z132:Z195" si="55">SUM($S132:$V132)</f>
        <v>0</v>
      </c>
      <c r="AA132" s="153">
        <f t="shared" ref="AA132:AA195" si="56">$W132+$Y132</f>
        <v>0</v>
      </c>
      <c r="AB132" s="153">
        <f t="shared" ref="AB132:AB195" si="57">SUM($W132:$Y132)</f>
        <v>0</v>
      </c>
      <c r="AC132" s="154">
        <f t="shared" si="42"/>
        <v>0</v>
      </c>
      <c r="AD132" s="180">
        <f t="shared" ref="AD132:AD195" si="58">$Z132+$AB132</f>
        <v>0</v>
      </c>
      <c r="AE132" s="160"/>
    </row>
    <row r="133" spans="1:31">
      <c r="A133" s="139">
        <v>11</v>
      </c>
      <c r="B133" s="139">
        <f>IFERROR(INDEX(Työkonekanta!$F$3:$F$27,MATCH('S2 Bio'!$A133,Työkonekanta!$A$3:$A$24,0),1),0)</f>
        <v>1</v>
      </c>
      <c r="C133" s="140">
        <v>2023</v>
      </c>
      <c r="D133" s="141" t="str">
        <f>IFERROR(INDEX(Työkonekanta!$D$3:$D$27,MATCH('S2 Bio'!$A133,Työkonekanta!$A$3:$A$24,0),1),"undefined")</f>
        <v>pom</v>
      </c>
      <c r="E133" s="145">
        <f>IFERROR(INDEX(Työkonekanta!$G$3:$G$27,MATCH($A133,Työkonekanta!$A$3:$A$24,0),1)*INDEX(Työkonekanta!$H$3:$H$27,MATCH($A133,Työkonekanta!$A$3:$A$24,0),1)*(1+_xlfn.SINGLE(s2_kerroin)*($C133-2019))*$B133,0)</f>
        <v>10400</v>
      </c>
      <c r="F133" s="145">
        <f t="shared" si="45"/>
        <v>373360</v>
      </c>
      <c r="G133" s="145">
        <f t="shared" si="51"/>
        <v>289727.35999999999</v>
      </c>
      <c r="H133" s="145">
        <f t="shared" si="52"/>
        <v>83632.639999999999</v>
      </c>
      <c r="I133" s="145">
        <f t="shared" si="46"/>
        <v>8070.4</v>
      </c>
      <c r="J133" s="145">
        <f t="shared" si="47"/>
        <v>2438.2693877551023</v>
      </c>
      <c r="K133" s="142" t="str">
        <f t="shared" si="53"/>
        <v>l</v>
      </c>
      <c r="L133" s="146">
        <f>IFERROR(INDEX(Työkonekanta!$I$3:$I$27,MATCH('S2 Bio'!$A133,Työkonekanta!$A$3:$A$24,0),1)*(I133+J133)*f_adblue,0)</f>
        <v>525.43346938775517</v>
      </c>
      <c r="M133" s="146">
        <f t="shared" si="37"/>
        <v>0</v>
      </c>
      <c r="N133" s="143" t="str">
        <f>IF(tuulisähkö_vuosi&lt;='S2 Bio'!C133,"tuulisähkö",ostosähkö_nyt)</f>
        <v>jäännössähkö</v>
      </c>
      <c r="O133" s="147">
        <f>INDEX(Muuttujat!$J$5:$J$21,MATCH($C133,Muuttujat!$H$5:$H$21,0),1)</f>
        <v>66.51860537025</v>
      </c>
      <c r="P133" s="148">
        <f t="shared" si="54"/>
        <v>0.77600000000000002</v>
      </c>
      <c r="Q133" s="148">
        <f t="shared" si="44"/>
        <v>0.224</v>
      </c>
      <c r="R133" s="148">
        <f t="shared" si="44"/>
        <v>0.224</v>
      </c>
      <c r="S133" s="149">
        <f t="shared" si="48"/>
        <v>5.4758471039999996</v>
      </c>
      <c r="T133" s="150">
        <f t="shared" si="49"/>
        <v>5.218676735999999</v>
      </c>
      <c r="U133" s="150">
        <f t="shared" si="50"/>
        <v>0</v>
      </c>
      <c r="V133" s="150">
        <f>IFERROR(INDEX(Työkonekanta!$J$3:$J$27,MATCH($A133,Työkonekanta!$A$3:$A$24,0),1)*$B133*ef_li_ion_akku/1000/1000/INDEX(Työkonekanta!$K$3:$K$27,MATCH($A133,Työkonekanta!$A$3:$A$24,0)),0)</f>
        <v>0</v>
      </c>
      <c r="W133" s="149">
        <f t="shared" si="39"/>
        <v>21.384270658333442</v>
      </c>
      <c r="X133" s="150">
        <f t="shared" si="40"/>
        <v>0.3304554864</v>
      </c>
      <c r="Y133" s="151">
        <f t="shared" si="41"/>
        <v>0.13661270204081635</v>
      </c>
      <c r="Z133" s="152">
        <f t="shared" si="55"/>
        <v>10.694523839999999</v>
      </c>
      <c r="AA133" s="153">
        <f t="shared" si="56"/>
        <v>21.52088336037426</v>
      </c>
      <c r="AB133" s="153">
        <f t="shared" si="57"/>
        <v>21.851338846774258</v>
      </c>
      <c r="AC133" s="154">
        <f t="shared" si="42"/>
        <v>32.215407200374258</v>
      </c>
      <c r="AD133" s="180">
        <f t="shared" si="58"/>
        <v>32.545862686774257</v>
      </c>
      <c r="AE133" s="160"/>
    </row>
    <row r="134" spans="1:31">
      <c r="A134" s="139">
        <v>12</v>
      </c>
      <c r="B134" s="139">
        <f>IFERROR(INDEX(Työkonekanta!$F$3:$F$27,MATCH('S2 Bio'!$A134,Työkonekanta!$A$3:$A$24,0),1),0)</f>
        <v>1</v>
      </c>
      <c r="C134" s="140">
        <v>2023</v>
      </c>
      <c r="D134" s="141" t="str">
        <f>IFERROR(INDEX(Työkonekanta!$D$3:$D$27,MATCH('S2 Bio'!$A134,Työkonekanta!$A$3:$A$24,0),1),"undefined")</f>
        <v>pom</v>
      </c>
      <c r="E134" s="145">
        <f>IFERROR(INDEX(Työkonekanta!$G$3:$G$27,MATCH($A134,Työkonekanta!$A$3:$A$24,0),1)*INDEX(Työkonekanta!$H$3:$H$27,MATCH($A134,Työkonekanta!$A$3:$A$24,0),1)*(1+_xlfn.SINGLE(s2_kerroin)*($C134-2019))*$B134,0)</f>
        <v>10400</v>
      </c>
      <c r="F134" s="145">
        <f t="shared" si="45"/>
        <v>373360</v>
      </c>
      <c r="G134" s="145">
        <f t="shared" si="51"/>
        <v>289727.35999999999</v>
      </c>
      <c r="H134" s="145">
        <f t="shared" si="52"/>
        <v>83632.639999999999</v>
      </c>
      <c r="I134" s="145">
        <f t="shared" si="46"/>
        <v>8070.4</v>
      </c>
      <c r="J134" s="145">
        <f t="shared" si="47"/>
        <v>2438.2693877551023</v>
      </c>
      <c r="K134" s="142" t="str">
        <f t="shared" si="53"/>
        <v>l</v>
      </c>
      <c r="L134" s="146">
        <f>IFERROR(INDEX(Työkonekanta!$I$3:$I$27,MATCH('S2 Bio'!$A134,Työkonekanta!$A$3:$A$24,0),1)*(I134+J134)*f_adblue,0)</f>
        <v>525.43346938775517</v>
      </c>
      <c r="M134" s="146">
        <f t="shared" si="37"/>
        <v>0</v>
      </c>
      <c r="N134" s="143" t="str">
        <f>IF(tuulisähkö_vuosi&lt;='S2 Bio'!C134,"tuulisähkö",ostosähkö_nyt)</f>
        <v>jäännössähkö</v>
      </c>
      <c r="O134" s="147">
        <f>INDEX(Muuttujat!$J$5:$J$21,MATCH($C134,Muuttujat!$H$5:$H$21,0),1)</f>
        <v>66.51860537025</v>
      </c>
      <c r="P134" s="148">
        <f t="shared" si="54"/>
        <v>0.77600000000000002</v>
      </c>
      <c r="Q134" s="148">
        <f t="shared" si="44"/>
        <v>0.224</v>
      </c>
      <c r="R134" s="148">
        <f t="shared" si="44"/>
        <v>0.224</v>
      </c>
      <c r="S134" s="149">
        <f t="shared" si="48"/>
        <v>5.4758471039999996</v>
      </c>
      <c r="T134" s="150">
        <f t="shared" si="49"/>
        <v>5.218676735999999</v>
      </c>
      <c r="U134" s="150">
        <f t="shared" si="50"/>
        <v>0</v>
      </c>
      <c r="V134" s="150">
        <f>IFERROR(INDEX(Työkonekanta!$J$3:$J$27,MATCH($A134,Työkonekanta!$A$3:$A$24,0),1)*$B134*ef_li_ion_akku/1000/1000/INDEX(Työkonekanta!$K$3:$K$27,MATCH($A134,Työkonekanta!$A$3:$A$24,0)),0)</f>
        <v>0</v>
      </c>
      <c r="W134" s="149">
        <f t="shared" si="39"/>
        <v>21.384270658333442</v>
      </c>
      <c r="X134" s="150">
        <f t="shared" si="40"/>
        <v>0.3304554864</v>
      </c>
      <c r="Y134" s="151">
        <f t="shared" si="41"/>
        <v>0.13661270204081635</v>
      </c>
      <c r="Z134" s="152">
        <f t="shared" si="55"/>
        <v>10.694523839999999</v>
      </c>
      <c r="AA134" s="153">
        <f t="shared" si="56"/>
        <v>21.52088336037426</v>
      </c>
      <c r="AB134" s="153">
        <f t="shared" si="57"/>
        <v>21.851338846774258</v>
      </c>
      <c r="AC134" s="154">
        <f t="shared" si="42"/>
        <v>32.215407200374258</v>
      </c>
      <c r="AD134" s="180">
        <f t="shared" si="58"/>
        <v>32.545862686774257</v>
      </c>
      <c r="AE134" s="160"/>
    </row>
    <row r="135" spans="1:31">
      <c r="A135" s="139">
        <v>13</v>
      </c>
      <c r="B135" s="139">
        <f>IFERROR(INDEX(Työkonekanta!$F$3:$F$27,MATCH('S2 Bio'!$A135,Työkonekanta!$A$3:$A$24,0),1),0)</f>
        <v>0</v>
      </c>
      <c r="C135" s="140">
        <v>2023</v>
      </c>
      <c r="D135" s="141" t="str">
        <f>IFERROR(INDEX(Työkonekanta!$D$3:$D$27,MATCH('S2 Bio'!$A135,Työkonekanta!$A$3:$A$24,0),1),"undefined")</f>
        <v>pom</v>
      </c>
      <c r="E135" s="145">
        <f>IFERROR(INDEX(Työkonekanta!$G$3:$G$27,MATCH($A135,Työkonekanta!$A$3:$A$24,0),1)*INDEX(Työkonekanta!$H$3:$H$27,MATCH($A135,Työkonekanta!$A$3:$A$24,0),1)*(1+_xlfn.SINGLE(s2_kerroin)*($C135-2019))*$B135,0)</f>
        <v>0</v>
      </c>
      <c r="F135" s="145">
        <f t="shared" si="45"/>
        <v>0</v>
      </c>
      <c r="G135" s="145">
        <f t="shared" si="51"/>
        <v>0</v>
      </c>
      <c r="H135" s="145">
        <f t="shared" si="52"/>
        <v>0</v>
      </c>
      <c r="I135" s="145">
        <f t="shared" si="46"/>
        <v>0</v>
      </c>
      <c r="J135" s="145">
        <f t="shared" si="47"/>
        <v>0</v>
      </c>
      <c r="K135" s="142" t="str">
        <f t="shared" si="53"/>
        <v>l</v>
      </c>
      <c r="L135" s="146">
        <f>IFERROR(INDEX(Työkonekanta!$I$3:$I$27,MATCH('S2 Bio'!$A135,Työkonekanta!$A$3:$A$24,0),1)*(I135+J135)*f_adblue,0)</f>
        <v>0</v>
      </c>
      <c r="M135" s="146">
        <f t="shared" si="37"/>
        <v>0</v>
      </c>
      <c r="N135" s="143" t="str">
        <f>IF(tuulisähkö_vuosi&lt;='S2 Bio'!C135,"tuulisähkö",ostosähkö_nyt)</f>
        <v>jäännössähkö</v>
      </c>
      <c r="O135" s="147">
        <f>INDEX(Muuttujat!$J$5:$J$21,MATCH($C135,Muuttujat!$H$5:$H$21,0),1)</f>
        <v>66.51860537025</v>
      </c>
      <c r="P135" s="148">
        <f t="shared" si="54"/>
        <v>0.77600000000000002</v>
      </c>
      <c r="Q135" s="148">
        <f t="shared" si="44"/>
        <v>0.224</v>
      </c>
      <c r="R135" s="148">
        <f t="shared" si="44"/>
        <v>0.224</v>
      </c>
      <c r="S135" s="149">
        <f t="shared" si="48"/>
        <v>0</v>
      </c>
      <c r="T135" s="150">
        <f t="shared" si="49"/>
        <v>0</v>
      </c>
      <c r="U135" s="150">
        <f t="shared" si="50"/>
        <v>0</v>
      </c>
      <c r="V135" s="150">
        <f>IFERROR(INDEX(Työkonekanta!$J$3:$J$27,MATCH($A135,Työkonekanta!$A$3:$A$24,0),1)*$B135*ef_li_ion_akku/1000/1000/INDEX(Työkonekanta!$K$3:$K$27,MATCH($A135,Työkonekanta!$A$3:$A$24,0)),0)</f>
        <v>0</v>
      </c>
      <c r="W135" s="149">
        <f t="shared" si="39"/>
        <v>0</v>
      </c>
      <c r="X135" s="150">
        <f t="shared" si="40"/>
        <v>0</v>
      </c>
      <c r="Y135" s="151">
        <f t="shared" si="41"/>
        <v>0</v>
      </c>
      <c r="Z135" s="152">
        <f t="shared" si="55"/>
        <v>0</v>
      </c>
      <c r="AA135" s="153">
        <f t="shared" si="56"/>
        <v>0</v>
      </c>
      <c r="AB135" s="153">
        <f t="shared" si="57"/>
        <v>0</v>
      </c>
      <c r="AC135" s="154">
        <f t="shared" si="42"/>
        <v>0</v>
      </c>
      <c r="AD135" s="180">
        <f t="shared" si="58"/>
        <v>0</v>
      </c>
      <c r="AE135" s="160"/>
    </row>
    <row r="136" spans="1:31">
      <c r="A136" s="139">
        <v>14</v>
      </c>
      <c r="B136" s="139">
        <f>IFERROR(INDEX(Työkonekanta!$F$3:$F$27,MATCH('S2 Bio'!$A136,Työkonekanta!$A$3:$A$24,0),1),0)</f>
        <v>0</v>
      </c>
      <c r="C136" s="140">
        <v>2023</v>
      </c>
      <c r="D136" s="141" t="str">
        <f>IFERROR(INDEX(Työkonekanta!$D$3:$D$27,MATCH('S2 Bio'!$A136,Työkonekanta!$A$3:$A$24,0),1),"undefined")</f>
        <v>pom</v>
      </c>
      <c r="E136" s="145">
        <f>IFERROR(INDEX(Työkonekanta!$G$3:$G$27,MATCH($A136,Työkonekanta!$A$3:$A$24,0),1)*INDEX(Työkonekanta!$H$3:$H$27,MATCH($A136,Työkonekanta!$A$3:$A$24,0),1)*(1+_xlfn.SINGLE(s2_kerroin)*($C136-2019))*$B136,0)</f>
        <v>0</v>
      </c>
      <c r="F136" s="145">
        <f t="shared" si="45"/>
        <v>0</v>
      </c>
      <c r="G136" s="145">
        <f t="shared" si="51"/>
        <v>0</v>
      </c>
      <c r="H136" s="145">
        <f t="shared" si="52"/>
        <v>0</v>
      </c>
      <c r="I136" s="145">
        <f t="shared" si="46"/>
        <v>0</v>
      </c>
      <c r="J136" s="145">
        <f t="shared" si="47"/>
        <v>0</v>
      </c>
      <c r="K136" s="142" t="str">
        <f t="shared" si="53"/>
        <v>l</v>
      </c>
      <c r="L136" s="146">
        <f>IFERROR(INDEX(Työkonekanta!$I$3:$I$27,MATCH('S2 Bio'!$A136,Työkonekanta!$A$3:$A$24,0),1)*(I136+J136)*f_adblue,0)</f>
        <v>0</v>
      </c>
      <c r="M136" s="146">
        <f t="shared" si="37"/>
        <v>0</v>
      </c>
      <c r="N136" s="143" t="str">
        <f>IF(tuulisähkö_vuosi&lt;='S2 Bio'!C136,"tuulisähkö",ostosähkö_nyt)</f>
        <v>jäännössähkö</v>
      </c>
      <c r="O136" s="147">
        <f>INDEX(Muuttujat!$J$5:$J$21,MATCH($C136,Muuttujat!$H$5:$H$21,0),1)</f>
        <v>66.51860537025</v>
      </c>
      <c r="P136" s="148">
        <f t="shared" si="54"/>
        <v>0.77600000000000002</v>
      </c>
      <c r="Q136" s="148">
        <f t="shared" si="44"/>
        <v>0.224</v>
      </c>
      <c r="R136" s="148">
        <f t="shared" si="44"/>
        <v>0.224</v>
      </c>
      <c r="S136" s="149">
        <f t="shared" si="48"/>
        <v>0</v>
      </c>
      <c r="T136" s="150">
        <f t="shared" si="49"/>
        <v>0</v>
      </c>
      <c r="U136" s="150">
        <f t="shared" si="50"/>
        <v>0</v>
      </c>
      <c r="V136" s="150">
        <f>IFERROR(INDEX(Työkonekanta!$J$3:$J$27,MATCH($A136,Työkonekanta!$A$3:$A$24,0),1)*$B136*ef_li_ion_akku/1000/1000/INDEX(Työkonekanta!$K$3:$K$27,MATCH($A136,Työkonekanta!$A$3:$A$24,0)),0)</f>
        <v>0</v>
      </c>
      <c r="W136" s="149">
        <f t="shared" si="39"/>
        <v>0</v>
      </c>
      <c r="X136" s="150">
        <f t="shared" si="40"/>
        <v>0</v>
      </c>
      <c r="Y136" s="151">
        <f t="shared" si="41"/>
        <v>0</v>
      </c>
      <c r="Z136" s="152">
        <f t="shared" si="55"/>
        <v>0</v>
      </c>
      <c r="AA136" s="153">
        <f t="shared" si="56"/>
        <v>0</v>
      </c>
      <c r="AB136" s="153">
        <f t="shared" si="57"/>
        <v>0</v>
      </c>
      <c r="AC136" s="154">
        <f t="shared" si="42"/>
        <v>0</v>
      </c>
      <c r="AD136" s="180">
        <f t="shared" si="58"/>
        <v>0</v>
      </c>
      <c r="AE136" s="160"/>
    </row>
    <row r="137" spans="1:31">
      <c r="A137" s="139">
        <v>15</v>
      </c>
      <c r="B137" s="139">
        <f>IFERROR(INDEX(Työkonekanta!$F$3:$F$27,MATCH('S2 Bio'!$A137,Työkonekanta!$A$3:$A$24,0),1),0)</f>
        <v>0</v>
      </c>
      <c r="C137" s="140">
        <v>2023</v>
      </c>
      <c r="D137" s="141" t="str">
        <f>IFERROR(INDEX(Työkonekanta!$D$3:$D$27,MATCH('S2 Bio'!$A137,Työkonekanta!$A$3:$A$24,0),1),"undefined")</f>
        <v>sähkö</v>
      </c>
      <c r="E137" s="145">
        <f>IFERROR(INDEX(Työkonekanta!$G$3:$G$27,MATCH($A137,Työkonekanta!$A$3:$A$24,0),1)*INDEX(Työkonekanta!$H$3:$H$27,MATCH($A137,Työkonekanta!$A$3:$A$24,0),1)*(1+_xlfn.SINGLE(s2_kerroin)*($C137-2019))*$B137,0)</f>
        <v>0</v>
      </c>
      <c r="F137" s="145">
        <f t="shared" si="45"/>
        <v>0</v>
      </c>
      <c r="G137" s="145">
        <f t="shared" si="51"/>
        <v>0</v>
      </c>
      <c r="H137" s="145">
        <f t="shared" si="52"/>
        <v>0</v>
      </c>
      <c r="I137" s="145">
        <f t="shared" si="46"/>
        <v>0</v>
      </c>
      <c r="J137" s="145">
        <f t="shared" si="47"/>
        <v>0</v>
      </c>
      <c r="K137" s="142" t="str">
        <f t="shared" si="53"/>
        <v>kWh</v>
      </c>
      <c r="L137" s="146">
        <f>IFERROR(INDEX(Työkonekanta!$I$3:$I$27,MATCH('S2 Bio'!$A137,Työkonekanta!$A$3:$A$24,0),1)*(I137+J137)*f_adblue,0)</f>
        <v>0</v>
      </c>
      <c r="M137" s="146">
        <f t="shared" si="37"/>
        <v>0</v>
      </c>
      <c r="N137" s="143" t="str">
        <f>IF(tuulisähkö_vuosi&lt;='S2 Bio'!C137,"tuulisähkö",ostosähkö_nyt)</f>
        <v>jäännössähkö</v>
      </c>
      <c r="O137" s="147">
        <f>INDEX(Muuttujat!$J$5:$J$21,MATCH($C137,Muuttujat!$H$5:$H$21,0),1)</f>
        <v>66.51860537025</v>
      </c>
      <c r="P137" s="148">
        <f t="shared" si="54"/>
        <v>0.77600000000000002</v>
      </c>
      <c r="Q137" s="148">
        <f t="shared" si="44"/>
        <v>0.224</v>
      </c>
      <c r="R137" s="148">
        <f t="shared" si="44"/>
        <v>0.224</v>
      </c>
      <c r="S137" s="149">
        <f t="shared" si="48"/>
        <v>0</v>
      </c>
      <c r="T137" s="150">
        <f t="shared" si="49"/>
        <v>0</v>
      </c>
      <c r="U137" s="150">
        <f t="shared" si="50"/>
        <v>0</v>
      </c>
      <c r="V137" s="150">
        <f>IFERROR(INDEX(Työkonekanta!$J$3:$J$27,MATCH($A137,Työkonekanta!$A$3:$A$24,0),1)*$B137*ef_li_ion_akku/1000/1000/INDEX(Työkonekanta!$K$3:$K$27,MATCH($A137,Työkonekanta!$A$3:$A$24,0)),0)</f>
        <v>0</v>
      </c>
      <c r="W137" s="149">
        <f t="shared" si="39"/>
        <v>0</v>
      </c>
      <c r="X137" s="150">
        <f t="shared" si="40"/>
        <v>0</v>
      </c>
      <c r="Y137" s="151">
        <f t="shared" si="41"/>
        <v>0</v>
      </c>
      <c r="Z137" s="152">
        <f t="shared" si="55"/>
        <v>0</v>
      </c>
      <c r="AA137" s="153">
        <f t="shared" si="56"/>
        <v>0</v>
      </c>
      <c r="AB137" s="153">
        <f t="shared" si="57"/>
        <v>0</v>
      </c>
      <c r="AC137" s="154">
        <f t="shared" si="42"/>
        <v>0</v>
      </c>
      <c r="AD137" s="180">
        <f t="shared" si="58"/>
        <v>0</v>
      </c>
      <c r="AE137" s="160"/>
    </row>
    <row r="138" spans="1:31">
      <c r="A138" s="139">
        <v>16</v>
      </c>
      <c r="B138" s="139">
        <f>IFERROR(INDEX(Työkonekanta!$F$3:$F$27,MATCH('S2 Bio'!$A138,Työkonekanta!$A$3:$A$24,0),1),0)</f>
        <v>0</v>
      </c>
      <c r="C138" s="140">
        <v>2023</v>
      </c>
      <c r="D138" s="141" t="str">
        <f>IFERROR(INDEX(Työkonekanta!$D$3:$D$27,MATCH('S2 Bio'!$A138,Työkonekanta!$A$3:$A$24,0),1),"undefined")</f>
        <v>sähkö</v>
      </c>
      <c r="E138" s="145">
        <f>IFERROR(INDEX(Työkonekanta!$G$3:$G$27,MATCH($A138,Työkonekanta!$A$3:$A$24,0),1)*INDEX(Työkonekanta!$H$3:$H$27,MATCH($A138,Työkonekanta!$A$3:$A$24,0),1)*(1+_xlfn.SINGLE(s2_kerroin)*($C138-2019))*$B138,0)</f>
        <v>0</v>
      </c>
      <c r="F138" s="145">
        <f t="shared" si="45"/>
        <v>0</v>
      </c>
      <c r="G138" s="145">
        <f t="shared" si="51"/>
        <v>0</v>
      </c>
      <c r="H138" s="145">
        <f t="shared" si="52"/>
        <v>0</v>
      </c>
      <c r="I138" s="145">
        <f t="shared" si="46"/>
        <v>0</v>
      </c>
      <c r="J138" s="145">
        <f t="shared" si="47"/>
        <v>0</v>
      </c>
      <c r="K138" s="142" t="str">
        <f t="shared" si="53"/>
        <v>kWh</v>
      </c>
      <c r="L138" s="146">
        <f>IFERROR(INDEX(Työkonekanta!$I$3:$I$27,MATCH('S2 Bio'!$A138,Työkonekanta!$A$3:$A$24,0),1)*(I138+J138)*f_adblue,0)</f>
        <v>0</v>
      </c>
      <c r="M138" s="146">
        <f t="shared" si="37"/>
        <v>0</v>
      </c>
      <c r="N138" s="143" t="str">
        <f>IF(tuulisähkö_vuosi&lt;='S2 Bio'!C138,"tuulisähkö",ostosähkö_nyt)</f>
        <v>jäännössähkö</v>
      </c>
      <c r="O138" s="147">
        <f>INDEX(Muuttujat!$J$5:$J$21,MATCH($C138,Muuttujat!$H$5:$H$21,0),1)</f>
        <v>66.51860537025</v>
      </c>
      <c r="P138" s="148">
        <f t="shared" si="54"/>
        <v>0.77600000000000002</v>
      </c>
      <c r="Q138" s="148">
        <f t="shared" si="44"/>
        <v>0.224</v>
      </c>
      <c r="R138" s="148">
        <f t="shared" si="44"/>
        <v>0.224</v>
      </c>
      <c r="S138" s="149">
        <f t="shared" si="48"/>
        <v>0</v>
      </c>
      <c r="T138" s="150">
        <f t="shared" si="49"/>
        <v>0</v>
      </c>
      <c r="U138" s="150">
        <f t="shared" si="50"/>
        <v>0</v>
      </c>
      <c r="V138" s="150">
        <f>IFERROR(INDEX(Työkonekanta!$J$3:$J$27,MATCH($A138,Työkonekanta!$A$3:$A$24,0),1)*$B138*ef_li_ion_akku/1000/1000/INDEX(Työkonekanta!$K$3:$K$27,MATCH($A138,Työkonekanta!$A$3:$A$24,0)),0)</f>
        <v>0</v>
      </c>
      <c r="W138" s="149">
        <f t="shared" si="39"/>
        <v>0</v>
      </c>
      <c r="X138" s="150">
        <f t="shared" si="40"/>
        <v>0</v>
      </c>
      <c r="Y138" s="151">
        <f t="shared" si="41"/>
        <v>0</v>
      </c>
      <c r="Z138" s="152">
        <f t="shared" si="55"/>
        <v>0</v>
      </c>
      <c r="AA138" s="153">
        <f t="shared" si="56"/>
        <v>0</v>
      </c>
      <c r="AB138" s="153">
        <f t="shared" si="57"/>
        <v>0</v>
      </c>
      <c r="AC138" s="154">
        <f t="shared" si="42"/>
        <v>0</v>
      </c>
      <c r="AD138" s="180">
        <f t="shared" si="58"/>
        <v>0</v>
      </c>
      <c r="AE138" s="160"/>
    </row>
    <row r="139" spans="1:31">
      <c r="A139" s="139">
        <v>17</v>
      </c>
      <c r="B139" s="139">
        <f>IFERROR(INDEX(Työkonekanta!$F$3:$F$27,MATCH('S2 Bio'!$A139,Työkonekanta!$A$3:$A$24,0),1),0)</f>
        <v>1</v>
      </c>
      <c r="C139" s="140">
        <v>2023</v>
      </c>
      <c r="D139" s="141" t="str">
        <f>IFERROR(INDEX(Työkonekanta!$D$3:$D$27,MATCH('S2 Bio'!$A139,Työkonekanta!$A$3:$A$24,0),1),"undefined")</f>
        <v>pom</v>
      </c>
      <c r="E139" s="145">
        <f>IFERROR(INDEX(Työkonekanta!$G$3:$G$27,MATCH($A139,Työkonekanta!$A$3:$A$24,0),1)*INDEX(Työkonekanta!$H$3:$H$27,MATCH($A139,Työkonekanta!$A$3:$A$24,0),1)*(1+_xlfn.SINGLE(s2_kerroin)*($C139-2019))*$B139,0)</f>
        <v>10400</v>
      </c>
      <c r="F139" s="145">
        <f t="shared" si="45"/>
        <v>373360</v>
      </c>
      <c r="G139" s="145">
        <f t="shared" si="51"/>
        <v>289727.35999999999</v>
      </c>
      <c r="H139" s="145">
        <f t="shared" si="52"/>
        <v>83632.639999999999</v>
      </c>
      <c r="I139" s="145">
        <f t="shared" si="46"/>
        <v>8070.4</v>
      </c>
      <c r="J139" s="145">
        <f t="shared" si="47"/>
        <v>2438.2693877551023</v>
      </c>
      <c r="K139" s="142" t="str">
        <f t="shared" si="53"/>
        <v>l</v>
      </c>
      <c r="L139" s="146">
        <f>IFERROR(INDEX(Työkonekanta!$I$3:$I$27,MATCH('S2 Bio'!$A139,Työkonekanta!$A$3:$A$24,0),1)*(I139+J139)*f_adblue,0)</f>
        <v>525.43346938775517</v>
      </c>
      <c r="M139" s="146">
        <f t="shared" si="37"/>
        <v>0</v>
      </c>
      <c r="N139" s="143" t="str">
        <f>IF(tuulisähkö_vuosi&lt;='S2 Bio'!C139,"tuulisähkö",ostosähkö_nyt)</f>
        <v>jäännössähkö</v>
      </c>
      <c r="O139" s="147">
        <f>INDEX(Muuttujat!$J$5:$J$21,MATCH($C139,Muuttujat!$H$5:$H$21,0),1)</f>
        <v>66.51860537025</v>
      </c>
      <c r="P139" s="148">
        <f t="shared" si="54"/>
        <v>0.77600000000000002</v>
      </c>
      <c r="Q139" s="148">
        <f t="shared" si="44"/>
        <v>0.224</v>
      </c>
      <c r="R139" s="148">
        <f t="shared" si="44"/>
        <v>0.224</v>
      </c>
      <c r="S139" s="149">
        <f t="shared" si="48"/>
        <v>5.4758471039999996</v>
      </c>
      <c r="T139" s="150">
        <f t="shared" si="49"/>
        <v>5.218676735999999</v>
      </c>
      <c r="U139" s="150">
        <f t="shared" si="50"/>
        <v>0</v>
      </c>
      <c r="V139" s="150">
        <f>IFERROR(INDEX(Työkonekanta!$J$3:$J$27,MATCH($A139,Työkonekanta!$A$3:$A$24,0),1)*$B139*ef_li_ion_akku/1000/1000/INDEX(Työkonekanta!$K$3:$K$27,MATCH($A139,Työkonekanta!$A$3:$A$24,0)),0)</f>
        <v>0</v>
      </c>
      <c r="W139" s="149">
        <f t="shared" si="39"/>
        <v>21.384270658333442</v>
      </c>
      <c r="X139" s="150">
        <f t="shared" si="40"/>
        <v>0.3304554864</v>
      </c>
      <c r="Y139" s="151">
        <f t="shared" si="41"/>
        <v>0.13661270204081635</v>
      </c>
      <c r="Z139" s="152">
        <f t="shared" si="55"/>
        <v>10.694523839999999</v>
      </c>
      <c r="AA139" s="153">
        <f t="shared" si="56"/>
        <v>21.52088336037426</v>
      </c>
      <c r="AB139" s="153">
        <f t="shared" si="57"/>
        <v>21.851338846774258</v>
      </c>
      <c r="AC139" s="154">
        <f t="shared" si="42"/>
        <v>32.215407200374258</v>
      </c>
      <c r="AD139" s="180">
        <f t="shared" si="58"/>
        <v>32.545862686774257</v>
      </c>
      <c r="AE139" s="160"/>
    </row>
    <row r="140" spans="1:31">
      <c r="A140" s="139">
        <v>18</v>
      </c>
      <c r="B140" s="139">
        <f>IFERROR(INDEX(Työkonekanta!$F$3:$F$27,MATCH('S2 Bio'!$A140,Työkonekanta!$A$3:$A$24,0),1),0)</f>
        <v>1</v>
      </c>
      <c r="C140" s="140">
        <v>2023</v>
      </c>
      <c r="D140" s="141" t="str">
        <f>IFERROR(INDEX(Työkonekanta!$D$3:$D$27,MATCH('S2 Bio'!$A140,Työkonekanta!$A$3:$A$24,0),1),"undefined")</f>
        <v>pom</v>
      </c>
      <c r="E140" s="145">
        <f>IFERROR(INDEX(Työkonekanta!$G$3:$G$27,MATCH($A140,Työkonekanta!$A$3:$A$24,0),1)*INDEX(Työkonekanta!$H$3:$H$27,MATCH($A140,Työkonekanta!$A$3:$A$24,0),1)*(1+_xlfn.SINGLE(s2_kerroin)*($C140-2019))*$B140,0)</f>
        <v>10400</v>
      </c>
      <c r="F140" s="145">
        <f t="shared" si="45"/>
        <v>373360</v>
      </c>
      <c r="G140" s="145">
        <f t="shared" si="51"/>
        <v>289727.35999999999</v>
      </c>
      <c r="H140" s="145">
        <f t="shared" si="52"/>
        <v>83632.639999999999</v>
      </c>
      <c r="I140" s="145">
        <f t="shared" si="46"/>
        <v>8070.4</v>
      </c>
      <c r="J140" s="145">
        <f t="shared" si="47"/>
        <v>2438.2693877551023</v>
      </c>
      <c r="K140" s="142" t="str">
        <f t="shared" si="53"/>
        <v>l</v>
      </c>
      <c r="L140" s="146">
        <f>IFERROR(INDEX(Työkonekanta!$I$3:$I$27,MATCH('S2 Bio'!$A140,Työkonekanta!$A$3:$A$24,0),1)*(I140+J140)*f_adblue,0)</f>
        <v>420.34677551020417</v>
      </c>
      <c r="M140" s="146">
        <f t="shared" si="37"/>
        <v>0</v>
      </c>
      <c r="N140" s="143" t="str">
        <f>IF(tuulisähkö_vuosi&lt;='S2 Bio'!C140,"tuulisähkö",ostosähkö_nyt)</f>
        <v>jäännössähkö</v>
      </c>
      <c r="O140" s="147">
        <f>INDEX(Muuttujat!$J$5:$J$21,MATCH($C140,Muuttujat!$H$5:$H$21,0),1)</f>
        <v>66.51860537025</v>
      </c>
      <c r="P140" s="148">
        <f t="shared" si="54"/>
        <v>0.77600000000000002</v>
      </c>
      <c r="Q140" s="148">
        <f t="shared" si="44"/>
        <v>0.224</v>
      </c>
      <c r="R140" s="148">
        <f t="shared" si="44"/>
        <v>0.224</v>
      </c>
      <c r="S140" s="149">
        <f t="shared" si="48"/>
        <v>5.4758471039999996</v>
      </c>
      <c r="T140" s="150">
        <f t="shared" si="49"/>
        <v>5.218676735999999</v>
      </c>
      <c r="U140" s="150">
        <f t="shared" si="50"/>
        <v>0</v>
      </c>
      <c r="V140" s="150">
        <f>IFERROR(INDEX(Työkonekanta!$J$3:$J$27,MATCH($A140,Työkonekanta!$A$3:$A$24,0),1)*$B140*ef_li_ion_akku/1000/1000/INDEX(Työkonekanta!$K$3:$K$27,MATCH($A140,Työkonekanta!$A$3:$A$24,0)),0)</f>
        <v>0</v>
      </c>
      <c r="W140" s="149">
        <f t="shared" si="39"/>
        <v>21.384270658333442</v>
      </c>
      <c r="X140" s="150">
        <f t="shared" si="40"/>
        <v>0.3304554864</v>
      </c>
      <c r="Y140" s="151">
        <f t="shared" si="41"/>
        <v>0.10929016163265308</v>
      </c>
      <c r="Z140" s="152">
        <f t="shared" si="55"/>
        <v>10.694523839999999</v>
      </c>
      <c r="AA140" s="153">
        <f t="shared" si="56"/>
        <v>21.493560819966095</v>
      </c>
      <c r="AB140" s="153">
        <f t="shared" si="57"/>
        <v>21.824016306366094</v>
      </c>
      <c r="AC140" s="154">
        <f t="shared" si="42"/>
        <v>32.188084659966094</v>
      </c>
      <c r="AD140" s="180">
        <f t="shared" si="58"/>
        <v>32.518540146366092</v>
      </c>
      <c r="AE140" s="160"/>
    </row>
    <row r="141" spans="1:31">
      <c r="A141" s="139">
        <v>19</v>
      </c>
      <c r="B141" s="139">
        <f>IFERROR(INDEX(Työkonekanta!$F$3:$F$27,MATCH('S2 Bio'!$A141,Työkonekanta!$A$3:$A$24,0),1),0)</f>
        <v>0</v>
      </c>
      <c r="C141" s="140">
        <v>2023</v>
      </c>
      <c r="D141" s="141" t="str">
        <f>IFERROR(INDEX(Työkonekanta!$D$3:$D$27,MATCH('S2 Bio'!$A141,Työkonekanta!$A$3:$A$24,0),1),"undefined")</f>
        <v>pom</v>
      </c>
      <c r="E141" s="145">
        <f>IFERROR(INDEX(Työkonekanta!$G$3:$G$27,MATCH($A141,Työkonekanta!$A$3:$A$24,0),1)*INDEX(Työkonekanta!$H$3:$H$27,MATCH($A141,Työkonekanta!$A$3:$A$24,0),1)*(1+_xlfn.SINGLE(s2_kerroin)*($C141-2019))*$B141,0)</f>
        <v>0</v>
      </c>
      <c r="F141" s="145">
        <f t="shared" si="45"/>
        <v>0</v>
      </c>
      <c r="G141" s="145">
        <f t="shared" si="51"/>
        <v>0</v>
      </c>
      <c r="H141" s="145">
        <f t="shared" si="52"/>
        <v>0</v>
      </c>
      <c r="I141" s="145">
        <f t="shared" si="46"/>
        <v>0</v>
      </c>
      <c r="J141" s="145">
        <f t="shared" si="47"/>
        <v>0</v>
      </c>
      <c r="K141" s="142" t="str">
        <f t="shared" si="53"/>
        <v>l</v>
      </c>
      <c r="L141" s="146">
        <f>IFERROR(INDEX(Työkonekanta!$I$3:$I$27,MATCH('S2 Bio'!$A141,Työkonekanta!$A$3:$A$24,0),1)*(I141+J141)*f_adblue,0)</f>
        <v>0</v>
      </c>
      <c r="M141" s="146">
        <f t="shared" si="37"/>
        <v>0</v>
      </c>
      <c r="N141" s="143" t="str">
        <f>IF(tuulisähkö_vuosi&lt;='S2 Bio'!C141,"tuulisähkö",ostosähkö_nyt)</f>
        <v>jäännössähkö</v>
      </c>
      <c r="O141" s="147">
        <f>INDEX(Muuttujat!$J$5:$J$21,MATCH($C141,Muuttujat!$H$5:$H$21,0),1)</f>
        <v>66.51860537025</v>
      </c>
      <c r="P141" s="148">
        <f t="shared" si="54"/>
        <v>0.77600000000000002</v>
      </c>
      <c r="Q141" s="148">
        <f t="shared" si="44"/>
        <v>0.224</v>
      </c>
      <c r="R141" s="148">
        <f t="shared" si="44"/>
        <v>0.224</v>
      </c>
      <c r="S141" s="149">
        <f t="shared" si="48"/>
        <v>0</v>
      </c>
      <c r="T141" s="150">
        <f t="shared" si="49"/>
        <v>0</v>
      </c>
      <c r="U141" s="150">
        <f t="shared" si="50"/>
        <v>0</v>
      </c>
      <c r="V141" s="150">
        <f>IFERROR(INDEX(Työkonekanta!$J$3:$J$27,MATCH($A141,Työkonekanta!$A$3:$A$24,0),1)*$B141*ef_li_ion_akku/1000/1000/INDEX(Työkonekanta!$K$3:$K$27,MATCH($A141,Työkonekanta!$A$3:$A$24,0)),0)</f>
        <v>0</v>
      </c>
      <c r="W141" s="149">
        <f t="shared" si="39"/>
        <v>0</v>
      </c>
      <c r="X141" s="150">
        <f t="shared" si="40"/>
        <v>0</v>
      </c>
      <c r="Y141" s="151">
        <f t="shared" si="41"/>
        <v>0</v>
      </c>
      <c r="Z141" s="152">
        <f t="shared" si="55"/>
        <v>0</v>
      </c>
      <c r="AA141" s="153">
        <f t="shared" si="56"/>
        <v>0</v>
      </c>
      <c r="AB141" s="153">
        <f t="shared" si="57"/>
        <v>0</v>
      </c>
      <c r="AC141" s="154">
        <f t="shared" si="42"/>
        <v>0</v>
      </c>
      <c r="AD141" s="180">
        <f t="shared" si="58"/>
        <v>0</v>
      </c>
      <c r="AE141" s="160"/>
    </row>
    <row r="142" spans="1:31">
      <c r="A142" s="139">
        <v>20</v>
      </c>
      <c r="B142" s="139">
        <f>IFERROR(INDEX(Työkonekanta!$F$3:$F$27,MATCH('S2 Bio'!$A142,Työkonekanta!$A$3:$A$24,0),1),0)</f>
        <v>0</v>
      </c>
      <c r="C142" s="140">
        <v>2023</v>
      </c>
      <c r="D142" s="141" t="str">
        <f>IFERROR(INDEX(Työkonekanta!$D$3:$D$27,MATCH('S2 Bio'!$A142,Työkonekanta!$A$3:$A$24,0),1),"undefined")</f>
        <v>pom</v>
      </c>
      <c r="E142" s="145">
        <f>IFERROR(INDEX(Työkonekanta!$G$3:$G$27,MATCH($A142,Työkonekanta!$A$3:$A$24,0),1)*INDEX(Työkonekanta!$H$3:$H$27,MATCH($A142,Työkonekanta!$A$3:$A$24,0),1)*(1+_xlfn.SINGLE(s2_kerroin)*($C142-2019))*$B142,0)</f>
        <v>0</v>
      </c>
      <c r="F142" s="145">
        <f t="shared" si="45"/>
        <v>0</v>
      </c>
      <c r="G142" s="145">
        <f t="shared" si="51"/>
        <v>0</v>
      </c>
      <c r="H142" s="145">
        <f t="shared" si="52"/>
        <v>0</v>
      </c>
      <c r="I142" s="145">
        <f t="shared" si="46"/>
        <v>0</v>
      </c>
      <c r="J142" s="145">
        <f t="shared" si="47"/>
        <v>0</v>
      </c>
      <c r="K142" s="142" t="str">
        <f t="shared" si="53"/>
        <v>l</v>
      </c>
      <c r="L142" s="146">
        <f>IFERROR(INDEX(Työkonekanta!$I$3:$I$27,MATCH('S2 Bio'!$A142,Työkonekanta!$A$3:$A$24,0),1)*(I142+J142)*f_adblue,0)</f>
        <v>0</v>
      </c>
      <c r="M142" s="146">
        <f t="shared" si="37"/>
        <v>0</v>
      </c>
      <c r="N142" s="143" t="str">
        <f>IF(tuulisähkö_vuosi&lt;='S2 Bio'!C142,"tuulisähkö",ostosähkö_nyt)</f>
        <v>jäännössähkö</v>
      </c>
      <c r="O142" s="147">
        <f>INDEX(Muuttujat!$J$5:$J$21,MATCH($C142,Muuttujat!$H$5:$H$21,0),1)</f>
        <v>66.51860537025</v>
      </c>
      <c r="P142" s="148">
        <f t="shared" si="54"/>
        <v>0.77600000000000002</v>
      </c>
      <c r="Q142" s="148">
        <f t="shared" si="44"/>
        <v>0.224</v>
      </c>
      <c r="R142" s="148">
        <f t="shared" si="44"/>
        <v>0.224</v>
      </c>
      <c r="S142" s="149">
        <f t="shared" si="48"/>
        <v>0</v>
      </c>
      <c r="T142" s="150">
        <f t="shared" si="49"/>
        <v>0</v>
      </c>
      <c r="U142" s="150">
        <f t="shared" si="50"/>
        <v>0</v>
      </c>
      <c r="V142" s="150">
        <f>IFERROR(INDEX(Työkonekanta!$J$3:$J$27,MATCH($A142,Työkonekanta!$A$3:$A$24,0),1)*$B142*ef_li_ion_akku/1000/1000/INDEX(Työkonekanta!$K$3:$K$27,MATCH($A142,Työkonekanta!$A$3:$A$24,0)),0)</f>
        <v>0</v>
      </c>
      <c r="W142" s="149">
        <f t="shared" si="39"/>
        <v>0</v>
      </c>
      <c r="X142" s="150">
        <f t="shared" si="40"/>
        <v>0</v>
      </c>
      <c r="Y142" s="151">
        <f t="shared" si="41"/>
        <v>0</v>
      </c>
      <c r="Z142" s="152">
        <f t="shared" si="55"/>
        <v>0</v>
      </c>
      <c r="AA142" s="153">
        <f t="shared" si="56"/>
        <v>0</v>
      </c>
      <c r="AB142" s="153">
        <f t="shared" si="57"/>
        <v>0</v>
      </c>
      <c r="AC142" s="154">
        <f t="shared" si="42"/>
        <v>0</v>
      </c>
      <c r="AD142" s="180">
        <f t="shared" si="58"/>
        <v>0</v>
      </c>
      <c r="AE142" s="160"/>
    </row>
    <row r="143" spans="1:31">
      <c r="A143" s="139">
        <v>21</v>
      </c>
      <c r="B143" s="139">
        <f>IFERROR(INDEX(Työkonekanta!$F$3:$F$27,MATCH('S2 Bio'!$A143,Työkonekanta!$A$3:$A$24,0),1),0)</f>
        <v>35</v>
      </c>
      <c r="C143" s="140">
        <v>2023</v>
      </c>
      <c r="D143" s="141" t="str">
        <f>IFERROR(INDEX(Työkonekanta!$D$3:$D$27,MATCH('S2 Bio'!$A143,Työkonekanta!$A$3:$A$24,0),1),"undefined")</f>
        <v>sähkö</v>
      </c>
      <c r="E143" s="145">
        <f>IFERROR(INDEX(Työkonekanta!$G$3:$G$27,MATCH($A143,Työkonekanta!$A$3:$A$24,0),1)*INDEX(Työkonekanta!$H$3:$H$27,MATCH($A143,Työkonekanta!$A$3:$A$24,0),1)*(1+_xlfn.SINGLE(s2_kerroin)*($C143-2019))*$B143,0)</f>
        <v>423487.03703703702</v>
      </c>
      <c r="F143" s="145">
        <f t="shared" si="45"/>
        <v>0</v>
      </c>
      <c r="G143" s="145">
        <f t="shared" si="51"/>
        <v>0</v>
      </c>
      <c r="H143" s="145">
        <f t="shared" si="52"/>
        <v>0</v>
      </c>
      <c r="I143" s="145">
        <f t="shared" si="46"/>
        <v>0</v>
      </c>
      <c r="J143" s="145">
        <f t="shared" si="47"/>
        <v>0</v>
      </c>
      <c r="K143" s="142" t="str">
        <f t="shared" si="53"/>
        <v>kWh</v>
      </c>
      <c r="L143" s="146">
        <f>IFERROR(INDEX(Työkonekanta!$I$3:$I$27,MATCH('S2 Bio'!$A143,Työkonekanta!$A$3:$A$24,0),1)*(I143+J143)*f_adblue,0)</f>
        <v>0</v>
      </c>
      <c r="M143" s="146">
        <f t="shared" si="37"/>
        <v>1524553.3333333333</v>
      </c>
      <c r="N143" s="143" t="str">
        <f>IF(tuulisähkö_vuosi&lt;='S2 Bio'!C143,"tuulisähkö",ostosähkö_nyt)</f>
        <v>jäännössähkö</v>
      </c>
      <c r="O143" s="147">
        <f>INDEX(Muuttujat!$J$5:$J$21,MATCH($C143,Muuttujat!$H$5:$H$21,0),1)</f>
        <v>66.51860537025</v>
      </c>
      <c r="P143" s="148">
        <f t="shared" si="54"/>
        <v>0.77600000000000002</v>
      </c>
      <c r="Q143" s="148">
        <f t="shared" ref="Q143:R162" si="59">IF(biosiirtymä_luonne="äkillinen",INDEX($AG$4:$AG$20,MATCH($C143,$AF$4:$AF$20,0),1),INDEX($AH$4:$AH$20,MATCH($C143,$AF$4:$AF$20,0),1))</f>
        <v>0.224</v>
      </c>
      <c r="R143" s="148">
        <f t="shared" si="59"/>
        <v>0.224</v>
      </c>
      <c r="S143" s="149">
        <f t="shared" si="48"/>
        <v>0</v>
      </c>
      <c r="T143" s="150">
        <f t="shared" si="49"/>
        <v>0</v>
      </c>
      <c r="U143" s="150">
        <f t="shared" si="50"/>
        <v>101.4111615458992</v>
      </c>
      <c r="V143" s="150">
        <f>IFERROR(INDEX(Työkonekanta!$J$3:$J$27,MATCH($A143,Työkonekanta!$A$3:$A$24,0),1)*$B143*ef_li_ion_akku/1000/1000/INDEX(Työkonekanta!$K$3:$K$27,MATCH($A143,Työkonekanta!$A$3:$A$24,0)),0)</f>
        <v>43.121723076923082</v>
      </c>
      <c r="W143" s="149">
        <f t="shared" si="39"/>
        <v>0</v>
      </c>
      <c r="X143" s="150">
        <f t="shared" si="40"/>
        <v>0</v>
      </c>
      <c r="Y143" s="151">
        <f t="shared" si="41"/>
        <v>0</v>
      </c>
      <c r="Z143" s="152">
        <f t="shared" si="55"/>
        <v>144.53288462282228</v>
      </c>
      <c r="AA143" s="153">
        <f t="shared" si="56"/>
        <v>0</v>
      </c>
      <c r="AB143" s="153">
        <f t="shared" si="57"/>
        <v>0</v>
      </c>
      <c r="AC143" s="154">
        <f t="shared" si="42"/>
        <v>144.53288462282228</v>
      </c>
      <c r="AD143" s="180">
        <f t="shared" si="58"/>
        <v>144.53288462282228</v>
      </c>
      <c r="AE143" s="160"/>
    </row>
    <row r="144" spans="1:31">
      <c r="A144" s="139">
        <v>22</v>
      </c>
      <c r="B144" s="139">
        <f>IFERROR(INDEX(Työkonekanta!$F$3:$F$27,MATCH('S2 Bio'!$A144,Työkonekanta!$A$3:$A$24,0),1),0)</f>
        <v>0</v>
      </c>
      <c r="C144" s="140">
        <v>2023</v>
      </c>
      <c r="D144" s="141" t="str">
        <f>IFERROR(INDEX(Työkonekanta!$D$3:$D$27,MATCH('S2 Bio'!$A144,Työkonekanta!$A$3:$A$24,0),1),"undefined")</f>
        <v>sähkö</v>
      </c>
      <c r="E144" s="145">
        <f>IFERROR(INDEX(Työkonekanta!$G$3:$G$27,MATCH($A144,Työkonekanta!$A$3:$A$24,0),1)*INDEX(Työkonekanta!$H$3:$H$27,MATCH($A144,Työkonekanta!$A$3:$A$24,0),1)*(1+_xlfn.SINGLE(s2_kerroin)*($C144-2019))*$B144,0)</f>
        <v>0</v>
      </c>
      <c r="F144" s="145">
        <f t="shared" si="45"/>
        <v>0</v>
      </c>
      <c r="G144" s="145">
        <f t="shared" si="51"/>
        <v>0</v>
      </c>
      <c r="H144" s="145">
        <f t="shared" si="52"/>
        <v>0</v>
      </c>
      <c r="I144" s="145">
        <f t="shared" si="46"/>
        <v>0</v>
      </c>
      <c r="J144" s="145">
        <f t="shared" si="47"/>
        <v>0</v>
      </c>
      <c r="K144" s="142" t="str">
        <f t="shared" si="53"/>
        <v>kWh</v>
      </c>
      <c r="L144" s="146">
        <f>IFERROR(INDEX(Työkonekanta!$I$3:$I$27,MATCH('S2 Bio'!$A144,Työkonekanta!$A$3:$A$24,0),1)*(I144+J144)*f_adblue,0)</f>
        <v>0</v>
      </c>
      <c r="M144" s="146">
        <f t="shared" si="37"/>
        <v>0</v>
      </c>
      <c r="N144" s="143" t="str">
        <f>IF(tuulisähkö_vuosi&lt;='S2 Bio'!C144,"tuulisähkö",ostosähkö_nyt)</f>
        <v>jäännössähkö</v>
      </c>
      <c r="O144" s="147">
        <f>INDEX(Muuttujat!$J$5:$J$21,MATCH($C144,Muuttujat!$H$5:$H$21,0),1)</f>
        <v>66.51860537025</v>
      </c>
      <c r="P144" s="148">
        <f t="shared" si="54"/>
        <v>0.77600000000000002</v>
      </c>
      <c r="Q144" s="148">
        <f t="shared" si="59"/>
        <v>0.224</v>
      </c>
      <c r="R144" s="148">
        <f t="shared" si="59"/>
        <v>0.224</v>
      </c>
      <c r="S144" s="149">
        <f t="shared" si="48"/>
        <v>0</v>
      </c>
      <c r="T144" s="150">
        <f t="shared" si="49"/>
        <v>0</v>
      </c>
      <c r="U144" s="150">
        <f t="shared" si="50"/>
        <v>0</v>
      </c>
      <c r="V144" s="150">
        <f>IFERROR(INDEX(Työkonekanta!$J$3:$J$27,MATCH($A144,Työkonekanta!$A$3:$A$24,0),1)*$B144*ef_li_ion_akku/1000/1000/INDEX(Työkonekanta!$K$3:$K$27,MATCH($A144,Työkonekanta!$A$3:$A$24,0)),0)</f>
        <v>0</v>
      </c>
      <c r="W144" s="149">
        <f t="shared" si="39"/>
        <v>0</v>
      </c>
      <c r="X144" s="150">
        <f t="shared" si="40"/>
        <v>0</v>
      </c>
      <c r="Y144" s="151">
        <f t="shared" si="41"/>
        <v>0</v>
      </c>
      <c r="Z144" s="152">
        <f t="shared" si="55"/>
        <v>0</v>
      </c>
      <c r="AA144" s="153">
        <f t="shared" si="56"/>
        <v>0</v>
      </c>
      <c r="AB144" s="153">
        <f t="shared" si="57"/>
        <v>0</v>
      </c>
      <c r="AC144" s="154">
        <f t="shared" si="42"/>
        <v>0</v>
      </c>
      <c r="AD144" s="180">
        <f t="shared" si="58"/>
        <v>0</v>
      </c>
      <c r="AE144" s="160"/>
    </row>
    <row r="145" spans="1:31">
      <c r="A145" s="139">
        <v>23</v>
      </c>
      <c r="B145" s="139">
        <f>IFERROR(INDEX(Työkonekanta!$F$3:$F$27,MATCH('S2 Bio'!$A145,Työkonekanta!$A$3:$A$24,0),1),0)</f>
        <v>0</v>
      </c>
      <c r="C145" s="140">
        <v>2023</v>
      </c>
      <c r="D145" s="141" t="str">
        <f>IFERROR(INDEX(Työkonekanta!$D$3:$D$27,MATCH('S2 Bio'!$A145,Työkonekanta!$A$3:$A$24,0),1),"undefined")</f>
        <v>undefined</v>
      </c>
      <c r="E145" s="145">
        <f>IFERROR(INDEX(Työkonekanta!$G$3:$G$27,MATCH($A145,Työkonekanta!$A$3:$A$24,0),1)*INDEX(Työkonekanta!$H$3:$H$27,MATCH($A145,Työkonekanta!$A$3:$A$24,0),1)*(1+_xlfn.SINGLE(s2_kerroin)*($C145-2019))*$B145,0)</f>
        <v>0</v>
      </c>
      <c r="F145" s="145">
        <f t="shared" si="45"/>
        <v>0</v>
      </c>
      <c r="G145" s="145">
        <f t="shared" si="51"/>
        <v>0</v>
      </c>
      <c r="H145" s="145">
        <f t="shared" si="52"/>
        <v>0</v>
      </c>
      <c r="I145" s="145">
        <f t="shared" si="46"/>
        <v>0</v>
      </c>
      <c r="J145" s="145">
        <f t="shared" si="47"/>
        <v>0</v>
      </c>
      <c r="K145" s="142" t="str">
        <f t="shared" si="53"/>
        <v>undefined</v>
      </c>
      <c r="L145" s="146">
        <f>IFERROR(INDEX(Työkonekanta!$I$3:$I$27,MATCH('S2 Bio'!$A145,Työkonekanta!$A$3:$A$24,0),1)*(I145+J145)*f_adblue,0)</f>
        <v>0</v>
      </c>
      <c r="M145" s="146">
        <f t="shared" si="37"/>
        <v>0</v>
      </c>
      <c r="N145" s="143" t="str">
        <f>IF(tuulisähkö_vuosi&lt;='S2 Bio'!C145,"tuulisähkö",ostosähkö_nyt)</f>
        <v>jäännössähkö</v>
      </c>
      <c r="O145" s="147">
        <f>INDEX(Muuttujat!$J$5:$J$21,MATCH($C145,Muuttujat!$H$5:$H$21,0),1)</f>
        <v>66.51860537025</v>
      </c>
      <c r="P145" s="148">
        <f t="shared" si="54"/>
        <v>0.77600000000000002</v>
      </c>
      <c r="Q145" s="148">
        <f t="shared" si="59"/>
        <v>0.224</v>
      </c>
      <c r="R145" s="148">
        <f t="shared" si="59"/>
        <v>0.224</v>
      </c>
      <c r="S145" s="149">
        <f t="shared" si="48"/>
        <v>0</v>
      </c>
      <c r="T145" s="150">
        <f t="shared" si="49"/>
        <v>0</v>
      </c>
      <c r="U145" s="150">
        <f t="shared" si="50"/>
        <v>0</v>
      </c>
      <c r="V145" s="150">
        <f>IFERROR(INDEX(Työkonekanta!$J$3:$J$27,MATCH($A145,Työkonekanta!$A$3:$A$24,0),1)*$B145*ef_li_ion_akku/1000/1000/INDEX(Työkonekanta!$K$3:$K$27,MATCH($A145,Työkonekanta!$A$3:$A$24,0)),0)</f>
        <v>0</v>
      </c>
      <c r="W145" s="149">
        <f t="shared" si="39"/>
        <v>0</v>
      </c>
      <c r="X145" s="150">
        <f t="shared" si="40"/>
        <v>0</v>
      </c>
      <c r="Y145" s="151">
        <f t="shared" si="41"/>
        <v>0</v>
      </c>
      <c r="Z145" s="152">
        <f t="shared" si="55"/>
        <v>0</v>
      </c>
      <c r="AA145" s="153">
        <f t="shared" si="56"/>
        <v>0</v>
      </c>
      <c r="AB145" s="153">
        <f t="shared" si="57"/>
        <v>0</v>
      </c>
      <c r="AC145" s="154">
        <f t="shared" si="42"/>
        <v>0</v>
      </c>
      <c r="AD145" s="180">
        <f t="shared" si="58"/>
        <v>0</v>
      </c>
      <c r="AE145" s="160"/>
    </row>
    <row r="146" spans="1:31">
      <c r="A146" s="139">
        <v>24</v>
      </c>
      <c r="B146" s="139">
        <f>IFERROR(INDEX(Työkonekanta!$F$3:$F$27,MATCH('S2 Bio'!$A146,Työkonekanta!$A$3:$A$24,0),1),0)</f>
        <v>0</v>
      </c>
      <c r="C146" s="140">
        <v>2023</v>
      </c>
      <c r="D146" s="141" t="str">
        <f>IFERROR(INDEX(Työkonekanta!$D$3:$D$27,MATCH('S2 Bio'!$A146,Työkonekanta!$A$3:$A$24,0),1),"undefined")</f>
        <v>undefined</v>
      </c>
      <c r="E146" s="145">
        <f>IFERROR(INDEX(Työkonekanta!$G$3:$G$27,MATCH($A146,Työkonekanta!$A$3:$A$24,0),1)*INDEX(Työkonekanta!$H$3:$H$27,MATCH($A146,Työkonekanta!$A$3:$A$24,0),1)*(1+_xlfn.SINGLE(s2_kerroin)*($C146-2019))*$B146,0)</f>
        <v>0</v>
      </c>
      <c r="F146" s="145">
        <f t="shared" si="45"/>
        <v>0</v>
      </c>
      <c r="G146" s="145">
        <f t="shared" si="51"/>
        <v>0</v>
      </c>
      <c r="H146" s="145">
        <f t="shared" si="52"/>
        <v>0</v>
      </c>
      <c r="I146" s="145">
        <f t="shared" si="46"/>
        <v>0</v>
      </c>
      <c r="J146" s="145">
        <f t="shared" si="47"/>
        <v>0</v>
      </c>
      <c r="K146" s="142" t="str">
        <f t="shared" si="53"/>
        <v>undefined</v>
      </c>
      <c r="L146" s="146">
        <f>IFERROR(INDEX(Työkonekanta!$I$3:$I$27,MATCH('S2 Bio'!$A146,Työkonekanta!$A$3:$A$24,0),1)*(I146+J146)*f_adblue,0)</f>
        <v>0</v>
      </c>
      <c r="M146" s="146">
        <f t="shared" si="37"/>
        <v>0</v>
      </c>
      <c r="N146" s="143" t="str">
        <f>IF(tuulisähkö_vuosi&lt;='S2 Bio'!C146,"tuulisähkö",ostosähkö_nyt)</f>
        <v>jäännössähkö</v>
      </c>
      <c r="O146" s="147">
        <f>INDEX(Muuttujat!$J$5:$J$21,MATCH($C146,Muuttujat!$H$5:$H$21,0),1)</f>
        <v>66.51860537025</v>
      </c>
      <c r="P146" s="148">
        <f t="shared" si="54"/>
        <v>0.77600000000000002</v>
      </c>
      <c r="Q146" s="148">
        <f t="shared" si="59"/>
        <v>0.224</v>
      </c>
      <c r="R146" s="148">
        <f t="shared" si="59"/>
        <v>0.224</v>
      </c>
      <c r="S146" s="149">
        <f t="shared" si="48"/>
        <v>0</v>
      </c>
      <c r="T146" s="150">
        <f t="shared" si="49"/>
        <v>0</v>
      </c>
      <c r="U146" s="150">
        <f t="shared" si="50"/>
        <v>0</v>
      </c>
      <c r="V146" s="150">
        <f>IFERROR(INDEX(Työkonekanta!$J$3:$J$27,MATCH($A146,Työkonekanta!$A$3:$A$24,0),1)*$B146*ef_li_ion_akku/1000/1000/INDEX(Työkonekanta!$K$3:$K$27,MATCH($A146,Työkonekanta!$A$3:$A$24,0)),0)</f>
        <v>0</v>
      </c>
      <c r="W146" s="149">
        <f t="shared" si="39"/>
        <v>0</v>
      </c>
      <c r="X146" s="150">
        <f t="shared" si="40"/>
        <v>0</v>
      </c>
      <c r="Y146" s="151">
        <f t="shared" si="41"/>
        <v>0</v>
      </c>
      <c r="Z146" s="152">
        <f t="shared" si="55"/>
        <v>0</v>
      </c>
      <c r="AA146" s="153">
        <f t="shared" si="56"/>
        <v>0</v>
      </c>
      <c r="AB146" s="153">
        <f t="shared" si="57"/>
        <v>0</v>
      </c>
      <c r="AC146" s="154">
        <f t="shared" si="42"/>
        <v>0</v>
      </c>
      <c r="AD146" s="180">
        <f t="shared" si="58"/>
        <v>0</v>
      </c>
      <c r="AE146" s="160"/>
    </row>
    <row r="147" spans="1:31">
      <c r="A147" s="139">
        <v>25</v>
      </c>
      <c r="B147" s="139">
        <f>IFERROR(INDEX(Työkonekanta!$F$3:$F$27,MATCH('S2 Bio'!$A147,Työkonekanta!$A$3:$A$24,0),1),0)</f>
        <v>0</v>
      </c>
      <c r="C147" s="140">
        <v>2023</v>
      </c>
      <c r="D147" s="141" t="str">
        <f>IFERROR(INDEX(Työkonekanta!$D$3:$D$27,MATCH('S2 Bio'!$A147,Työkonekanta!$A$3:$A$24,0),1),"undefined")</f>
        <v>undefined</v>
      </c>
      <c r="E147" s="145">
        <f>IFERROR(INDEX(Työkonekanta!$G$3:$G$27,MATCH($A147,Työkonekanta!$A$3:$A$24,0),1)*INDEX(Työkonekanta!$H$3:$H$27,MATCH($A147,Työkonekanta!$A$3:$A$24,0),1)*(1+_xlfn.SINGLE(s2_kerroin)*($C147-2019))*$B147,0)</f>
        <v>0</v>
      </c>
      <c r="F147" s="145">
        <f t="shared" si="45"/>
        <v>0</v>
      </c>
      <c r="G147" s="145">
        <f t="shared" si="51"/>
        <v>0</v>
      </c>
      <c r="H147" s="145">
        <f t="shared" si="52"/>
        <v>0</v>
      </c>
      <c r="I147" s="145">
        <f t="shared" si="46"/>
        <v>0</v>
      </c>
      <c r="J147" s="145">
        <f t="shared" si="47"/>
        <v>0</v>
      </c>
      <c r="K147" s="142" t="str">
        <f t="shared" si="53"/>
        <v>undefined</v>
      </c>
      <c r="L147" s="146">
        <f>IFERROR(INDEX(Työkonekanta!$I$3:$I$27,MATCH('S2 Bio'!$A147,Työkonekanta!$A$3:$A$24,0),1)*(I147+J147)*f_adblue,0)</f>
        <v>0</v>
      </c>
      <c r="M147" s="146">
        <f t="shared" ref="M147:M210" si="60">IF($D147="sähkö",conv_kwh_mj*$E147,0)</f>
        <v>0</v>
      </c>
      <c r="N147" s="143" t="str">
        <f>IF(tuulisähkö_vuosi&lt;='S2 Bio'!C147,"tuulisähkö",ostosähkö_nyt)</f>
        <v>jäännössähkö</v>
      </c>
      <c r="O147" s="147">
        <f>INDEX(Muuttujat!$J$5:$J$21,MATCH($C147,Muuttujat!$H$5:$H$21,0),1)</f>
        <v>66.51860537025</v>
      </c>
      <c r="P147" s="148">
        <f t="shared" si="54"/>
        <v>0.77600000000000002</v>
      </c>
      <c r="Q147" s="148">
        <f t="shared" si="59"/>
        <v>0.224</v>
      </c>
      <c r="R147" s="148">
        <f t="shared" si="59"/>
        <v>0.224</v>
      </c>
      <c r="S147" s="149">
        <f t="shared" si="48"/>
        <v>0</v>
      </c>
      <c r="T147" s="150">
        <f t="shared" si="49"/>
        <v>0</v>
      </c>
      <c r="U147" s="150">
        <f t="shared" si="50"/>
        <v>0</v>
      </c>
      <c r="V147" s="150">
        <f>IFERROR(INDEX(Työkonekanta!$J$3:$J$27,MATCH($A147,Työkonekanta!$A$3:$A$24,0),1)*$B147*ef_li_ion_akku/1000/1000/INDEX(Työkonekanta!$K$3:$K$27,MATCH($A147,Työkonekanta!$A$3:$A$24,0)),0)</f>
        <v>0</v>
      </c>
      <c r="W147" s="149">
        <f t="shared" ref="W147:W210" si="61">($I147*IF($D147="pom",ef_v_co2_pom,0))/1000/1000</f>
        <v>0</v>
      </c>
      <c r="X147" s="150">
        <f t="shared" ref="X147:X210" si="62">($E147*(IF($D147="pom",ef_v_ch4_pom,0)*gwp100_ch4+IF($D147="pom",ef_v_n2o_pom,0)*gwp100_n2o))/1000/1000</f>
        <v>0</v>
      </c>
      <c r="Y147" s="151">
        <f t="shared" ref="Y147:Y210" si="63">$L147*ef_v_co2_adblue/1000/1000</f>
        <v>0</v>
      </c>
      <c r="Z147" s="152">
        <f t="shared" si="55"/>
        <v>0</v>
      </c>
      <c r="AA147" s="153">
        <f t="shared" si="56"/>
        <v>0</v>
      </c>
      <c r="AB147" s="153">
        <f t="shared" si="57"/>
        <v>0</v>
      </c>
      <c r="AC147" s="154">
        <f t="shared" ref="AC147:AC210" si="64">$Z147+$AA147</f>
        <v>0</v>
      </c>
      <c r="AD147" s="180">
        <f t="shared" si="58"/>
        <v>0</v>
      </c>
      <c r="AE147" s="160"/>
    </row>
    <row r="148" spans="1:31">
      <c r="A148" s="139">
        <v>26</v>
      </c>
      <c r="B148" s="139">
        <f>IFERROR(INDEX(Työkonekanta!$F$3:$F$27,MATCH('S2 Bio'!$A148,Työkonekanta!$A$3:$A$24,0),1),0)</f>
        <v>0</v>
      </c>
      <c r="C148" s="140">
        <v>2023</v>
      </c>
      <c r="D148" s="141" t="str">
        <f>IFERROR(INDEX(Työkonekanta!$D$3:$D$27,MATCH('S2 Bio'!$A148,Työkonekanta!$A$3:$A$24,0),1),"undefined")</f>
        <v>undefined</v>
      </c>
      <c r="E148" s="145">
        <f>IFERROR(INDEX(Työkonekanta!$G$3:$G$27,MATCH($A148,Työkonekanta!$A$3:$A$24,0),1)*INDEX(Työkonekanta!$H$3:$H$27,MATCH($A148,Työkonekanta!$A$3:$A$24,0),1)*(1+_xlfn.SINGLE(s2_kerroin)*($C148-2019))*$B148,0)</f>
        <v>0</v>
      </c>
      <c r="F148" s="145">
        <f t="shared" si="45"/>
        <v>0</v>
      </c>
      <c r="G148" s="145">
        <f t="shared" si="51"/>
        <v>0</v>
      </c>
      <c r="H148" s="145">
        <f t="shared" si="52"/>
        <v>0</v>
      </c>
      <c r="I148" s="145">
        <f t="shared" si="46"/>
        <v>0</v>
      </c>
      <c r="J148" s="145">
        <f t="shared" si="47"/>
        <v>0</v>
      </c>
      <c r="K148" s="142" t="str">
        <f t="shared" si="53"/>
        <v>undefined</v>
      </c>
      <c r="L148" s="146">
        <f>IFERROR(INDEX(Työkonekanta!$I$3:$I$27,MATCH('S2 Bio'!$A148,Työkonekanta!$A$3:$A$24,0),1)*(I148+J148)*f_adblue,0)</f>
        <v>0</v>
      </c>
      <c r="M148" s="146">
        <f t="shared" si="60"/>
        <v>0</v>
      </c>
      <c r="N148" s="143" t="str">
        <f>IF(tuulisähkö_vuosi&lt;='S2 Bio'!C148,"tuulisähkö",ostosähkö_nyt)</f>
        <v>jäännössähkö</v>
      </c>
      <c r="O148" s="147">
        <f>INDEX(Muuttujat!$J$5:$J$21,MATCH($C148,Muuttujat!$H$5:$H$21,0),1)</f>
        <v>66.51860537025</v>
      </c>
      <c r="P148" s="148">
        <f t="shared" si="54"/>
        <v>0.77600000000000002</v>
      </c>
      <c r="Q148" s="148">
        <f t="shared" si="59"/>
        <v>0.224</v>
      </c>
      <c r="R148" s="148">
        <f t="shared" si="59"/>
        <v>0.224</v>
      </c>
      <c r="S148" s="149">
        <f t="shared" si="48"/>
        <v>0</v>
      </c>
      <c r="T148" s="150">
        <f t="shared" si="49"/>
        <v>0</v>
      </c>
      <c r="U148" s="150">
        <f t="shared" si="50"/>
        <v>0</v>
      </c>
      <c r="V148" s="150">
        <f>IFERROR(INDEX(Työkonekanta!$J$3:$J$27,MATCH($A148,Työkonekanta!$A$3:$A$24,0),1)*$B148*ef_li_ion_akku/1000/1000/INDEX(Työkonekanta!$K$3:$K$27,MATCH($A148,Työkonekanta!$A$3:$A$24,0)),0)</f>
        <v>0</v>
      </c>
      <c r="W148" s="149">
        <f t="shared" si="61"/>
        <v>0</v>
      </c>
      <c r="X148" s="150">
        <f t="shared" si="62"/>
        <v>0</v>
      </c>
      <c r="Y148" s="151">
        <f t="shared" si="63"/>
        <v>0</v>
      </c>
      <c r="Z148" s="152">
        <f t="shared" si="55"/>
        <v>0</v>
      </c>
      <c r="AA148" s="153">
        <f t="shared" si="56"/>
        <v>0</v>
      </c>
      <c r="AB148" s="153">
        <f t="shared" si="57"/>
        <v>0</v>
      </c>
      <c r="AC148" s="154">
        <f t="shared" si="64"/>
        <v>0</v>
      </c>
      <c r="AD148" s="180">
        <f t="shared" si="58"/>
        <v>0</v>
      </c>
      <c r="AE148" s="160"/>
    </row>
    <row r="149" spans="1:31">
      <c r="A149" s="139">
        <v>27</v>
      </c>
      <c r="B149" s="139">
        <f>IFERROR(INDEX(Työkonekanta!$F$3:$F$27,MATCH('S2 Bio'!$A149,Työkonekanta!$A$3:$A$24,0),1),0)</f>
        <v>0</v>
      </c>
      <c r="C149" s="140">
        <v>2023</v>
      </c>
      <c r="D149" s="141" t="str">
        <f>IFERROR(INDEX(Työkonekanta!$D$3:$D$27,MATCH('S2 Bio'!$A149,Työkonekanta!$A$3:$A$24,0),1),"undefined")</f>
        <v>undefined</v>
      </c>
      <c r="E149" s="145">
        <f>IFERROR(INDEX(Työkonekanta!$G$3:$G$27,MATCH($A149,Työkonekanta!$A$3:$A$24,0),1)*INDEX(Työkonekanta!$H$3:$H$27,MATCH($A149,Työkonekanta!$A$3:$A$24,0),1)*(1+_xlfn.SINGLE(s2_kerroin)*($C149-2019))*$B149,0)</f>
        <v>0</v>
      </c>
      <c r="F149" s="145">
        <f t="shared" si="45"/>
        <v>0</v>
      </c>
      <c r="G149" s="145">
        <f t="shared" si="51"/>
        <v>0</v>
      </c>
      <c r="H149" s="145">
        <f t="shared" si="52"/>
        <v>0</v>
      </c>
      <c r="I149" s="145">
        <f t="shared" si="46"/>
        <v>0</v>
      </c>
      <c r="J149" s="145">
        <f t="shared" si="47"/>
        <v>0</v>
      </c>
      <c r="K149" s="142" t="str">
        <f t="shared" si="53"/>
        <v>undefined</v>
      </c>
      <c r="L149" s="146">
        <f>IFERROR(INDEX(Työkonekanta!$I$3:$I$27,MATCH('S2 Bio'!$A149,Työkonekanta!$A$3:$A$24,0),1)*(I149+J149)*f_adblue,0)</f>
        <v>0</v>
      </c>
      <c r="M149" s="146">
        <f t="shared" si="60"/>
        <v>0</v>
      </c>
      <c r="N149" s="143" t="str">
        <f>IF(tuulisähkö_vuosi&lt;='S2 Bio'!C149,"tuulisähkö",ostosähkö_nyt)</f>
        <v>jäännössähkö</v>
      </c>
      <c r="O149" s="147">
        <f>INDEX(Muuttujat!$J$5:$J$21,MATCH($C149,Muuttujat!$H$5:$H$21,0),1)</f>
        <v>66.51860537025</v>
      </c>
      <c r="P149" s="148">
        <f t="shared" si="54"/>
        <v>0.77600000000000002</v>
      </c>
      <c r="Q149" s="148">
        <f t="shared" si="59"/>
        <v>0.224</v>
      </c>
      <c r="R149" s="148">
        <f t="shared" si="59"/>
        <v>0.224</v>
      </c>
      <c r="S149" s="149">
        <f t="shared" si="48"/>
        <v>0</v>
      </c>
      <c r="T149" s="150">
        <f t="shared" si="49"/>
        <v>0</v>
      </c>
      <c r="U149" s="150">
        <f t="shared" si="50"/>
        <v>0</v>
      </c>
      <c r="V149" s="150">
        <f>IFERROR(INDEX(Työkonekanta!$J$3:$J$27,MATCH($A149,Työkonekanta!$A$3:$A$24,0),1)*$B149*ef_li_ion_akku/1000/1000/INDEX(Työkonekanta!$K$3:$K$27,MATCH($A149,Työkonekanta!$A$3:$A$24,0)),0)</f>
        <v>0</v>
      </c>
      <c r="W149" s="149">
        <f t="shared" si="61"/>
        <v>0</v>
      </c>
      <c r="X149" s="150">
        <f t="shared" si="62"/>
        <v>0</v>
      </c>
      <c r="Y149" s="151">
        <f t="shared" si="63"/>
        <v>0</v>
      </c>
      <c r="Z149" s="152">
        <f t="shared" si="55"/>
        <v>0</v>
      </c>
      <c r="AA149" s="153">
        <f t="shared" si="56"/>
        <v>0</v>
      </c>
      <c r="AB149" s="153">
        <f t="shared" si="57"/>
        <v>0</v>
      </c>
      <c r="AC149" s="154">
        <f t="shared" si="64"/>
        <v>0</v>
      </c>
      <c r="AD149" s="180">
        <f t="shared" si="58"/>
        <v>0</v>
      </c>
      <c r="AE149" s="160"/>
    </row>
    <row r="150" spans="1:31">
      <c r="A150" s="139">
        <v>28</v>
      </c>
      <c r="B150" s="139">
        <f>IFERROR(INDEX(Työkonekanta!$F$3:$F$27,MATCH('S2 Bio'!$A150,Työkonekanta!$A$3:$A$24,0),1),0)</f>
        <v>0</v>
      </c>
      <c r="C150" s="140">
        <v>2023</v>
      </c>
      <c r="D150" s="141" t="str">
        <f>IFERROR(INDEX(Työkonekanta!$D$3:$D$27,MATCH('S2 Bio'!$A150,Työkonekanta!$A$3:$A$24,0),1),"undefined")</f>
        <v>undefined</v>
      </c>
      <c r="E150" s="145">
        <f>IFERROR(INDEX(Työkonekanta!$G$3:$G$27,MATCH($A150,Työkonekanta!$A$3:$A$24,0),1)*INDEX(Työkonekanta!$H$3:$H$27,MATCH($A150,Työkonekanta!$A$3:$A$24,0),1)*(1+_xlfn.SINGLE(s2_kerroin)*($C150-2019))*$B150,0)</f>
        <v>0</v>
      </c>
      <c r="F150" s="145">
        <f t="shared" si="45"/>
        <v>0</v>
      </c>
      <c r="G150" s="145">
        <f t="shared" si="51"/>
        <v>0</v>
      </c>
      <c r="H150" s="145">
        <f t="shared" si="52"/>
        <v>0</v>
      </c>
      <c r="I150" s="145">
        <f t="shared" si="46"/>
        <v>0</v>
      </c>
      <c r="J150" s="145">
        <f t="shared" si="47"/>
        <v>0</v>
      </c>
      <c r="K150" s="142" t="str">
        <f t="shared" si="53"/>
        <v>undefined</v>
      </c>
      <c r="L150" s="146">
        <f>IFERROR(INDEX(Työkonekanta!$I$3:$I$27,MATCH('S2 Bio'!$A150,Työkonekanta!$A$3:$A$24,0),1)*(I150+J150)*f_adblue,0)</f>
        <v>0</v>
      </c>
      <c r="M150" s="146">
        <f t="shared" si="60"/>
        <v>0</v>
      </c>
      <c r="N150" s="143" t="str">
        <f>IF(tuulisähkö_vuosi&lt;='S2 Bio'!C150,"tuulisähkö",ostosähkö_nyt)</f>
        <v>jäännössähkö</v>
      </c>
      <c r="O150" s="147">
        <f>INDEX(Muuttujat!$J$5:$J$21,MATCH($C150,Muuttujat!$H$5:$H$21,0),1)</f>
        <v>66.51860537025</v>
      </c>
      <c r="P150" s="148">
        <f t="shared" si="54"/>
        <v>0.77600000000000002</v>
      </c>
      <c r="Q150" s="148">
        <f t="shared" si="59"/>
        <v>0.224</v>
      </c>
      <c r="R150" s="148">
        <f t="shared" si="59"/>
        <v>0.224</v>
      </c>
      <c r="S150" s="149">
        <f t="shared" si="48"/>
        <v>0</v>
      </c>
      <c r="T150" s="150">
        <f t="shared" si="49"/>
        <v>0</v>
      </c>
      <c r="U150" s="150">
        <f t="shared" si="50"/>
        <v>0</v>
      </c>
      <c r="V150" s="150">
        <f>IFERROR(INDEX(Työkonekanta!$J$3:$J$27,MATCH($A150,Työkonekanta!$A$3:$A$24,0),1)*$B150*ef_li_ion_akku/1000/1000/INDEX(Työkonekanta!$K$3:$K$27,MATCH($A150,Työkonekanta!$A$3:$A$24,0)),0)</f>
        <v>0</v>
      </c>
      <c r="W150" s="149">
        <f t="shared" si="61"/>
        <v>0</v>
      </c>
      <c r="X150" s="150">
        <f t="shared" si="62"/>
        <v>0</v>
      </c>
      <c r="Y150" s="151">
        <f t="shared" si="63"/>
        <v>0</v>
      </c>
      <c r="Z150" s="152">
        <f t="shared" si="55"/>
        <v>0</v>
      </c>
      <c r="AA150" s="153">
        <f t="shared" si="56"/>
        <v>0</v>
      </c>
      <c r="AB150" s="153">
        <f t="shared" si="57"/>
        <v>0</v>
      </c>
      <c r="AC150" s="154">
        <f t="shared" si="64"/>
        <v>0</v>
      </c>
      <c r="AD150" s="180">
        <f t="shared" si="58"/>
        <v>0</v>
      </c>
      <c r="AE150" s="160"/>
    </row>
    <row r="151" spans="1:31">
      <c r="A151" s="139">
        <v>29</v>
      </c>
      <c r="B151" s="139">
        <f>IFERROR(INDEX(Työkonekanta!$F$3:$F$27,MATCH('S2 Bio'!$A151,Työkonekanta!$A$3:$A$24,0),1),0)</f>
        <v>0</v>
      </c>
      <c r="C151" s="140">
        <v>2023</v>
      </c>
      <c r="D151" s="141" t="str">
        <f>IFERROR(INDEX(Työkonekanta!$D$3:$D$27,MATCH('S2 Bio'!$A151,Työkonekanta!$A$3:$A$24,0),1),"undefined")</f>
        <v>undefined</v>
      </c>
      <c r="E151" s="145">
        <f>IFERROR(INDEX(Työkonekanta!$G$3:$G$27,MATCH($A151,Työkonekanta!$A$3:$A$24,0),1)*INDEX(Työkonekanta!$H$3:$H$27,MATCH($A151,Työkonekanta!$A$3:$A$24,0),1)*(1+_xlfn.SINGLE(s2_kerroin)*($C151-2019))*$B151,0)</f>
        <v>0</v>
      </c>
      <c r="F151" s="145">
        <f t="shared" si="45"/>
        <v>0</v>
      </c>
      <c r="G151" s="145">
        <f t="shared" si="51"/>
        <v>0</v>
      </c>
      <c r="H151" s="145">
        <f t="shared" si="52"/>
        <v>0</v>
      </c>
      <c r="I151" s="145">
        <f t="shared" si="46"/>
        <v>0</v>
      </c>
      <c r="J151" s="145">
        <f t="shared" si="47"/>
        <v>0</v>
      </c>
      <c r="K151" s="142" t="str">
        <f t="shared" si="53"/>
        <v>undefined</v>
      </c>
      <c r="L151" s="146">
        <f>IFERROR(INDEX(Työkonekanta!$I$3:$I$27,MATCH('S2 Bio'!$A151,Työkonekanta!$A$3:$A$24,0),1)*(I151+J151)*f_adblue,0)</f>
        <v>0</v>
      </c>
      <c r="M151" s="146">
        <f t="shared" si="60"/>
        <v>0</v>
      </c>
      <c r="N151" s="143" t="str">
        <f>IF(tuulisähkö_vuosi&lt;='S2 Bio'!C151,"tuulisähkö",ostosähkö_nyt)</f>
        <v>jäännössähkö</v>
      </c>
      <c r="O151" s="147">
        <f>INDEX(Muuttujat!$J$5:$J$21,MATCH($C151,Muuttujat!$H$5:$H$21,0),1)</f>
        <v>66.51860537025</v>
      </c>
      <c r="P151" s="148">
        <f t="shared" si="54"/>
        <v>0.77600000000000002</v>
      </c>
      <c r="Q151" s="148">
        <f t="shared" si="59"/>
        <v>0.224</v>
      </c>
      <c r="R151" s="148">
        <f t="shared" si="59"/>
        <v>0.224</v>
      </c>
      <c r="S151" s="149">
        <f t="shared" si="48"/>
        <v>0</v>
      </c>
      <c r="T151" s="150">
        <f t="shared" si="49"/>
        <v>0</v>
      </c>
      <c r="U151" s="150">
        <f t="shared" si="50"/>
        <v>0</v>
      </c>
      <c r="V151" s="150">
        <f>IFERROR(INDEX(Työkonekanta!$J$3:$J$27,MATCH($A151,Työkonekanta!$A$3:$A$24,0),1)*$B151*ef_li_ion_akku/1000/1000/INDEX(Työkonekanta!$K$3:$K$27,MATCH($A151,Työkonekanta!$A$3:$A$24,0)),0)</f>
        <v>0</v>
      </c>
      <c r="W151" s="149">
        <f t="shared" si="61"/>
        <v>0</v>
      </c>
      <c r="X151" s="150">
        <f t="shared" si="62"/>
        <v>0</v>
      </c>
      <c r="Y151" s="151">
        <f t="shared" si="63"/>
        <v>0</v>
      </c>
      <c r="Z151" s="152">
        <f t="shared" si="55"/>
        <v>0</v>
      </c>
      <c r="AA151" s="153">
        <f t="shared" si="56"/>
        <v>0</v>
      </c>
      <c r="AB151" s="153">
        <f t="shared" si="57"/>
        <v>0</v>
      </c>
      <c r="AC151" s="154">
        <f t="shared" si="64"/>
        <v>0</v>
      </c>
      <c r="AD151" s="180">
        <f t="shared" si="58"/>
        <v>0</v>
      </c>
      <c r="AE151" s="160"/>
    </row>
    <row r="152" spans="1:31">
      <c r="A152" s="139">
        <v>30</v>
      </c>
      <c r="B152" s="139">
        <f>IFERROR(INDEX(Työkonekanta!$F$3:$F$27,MATCH('S2 Bio'!$A152,Työkonekanta!$A$3:$A$24,0),1),0)</f>
        <v>0</v>
      </c>
      <c r="C152" s="140">
        <v>2023</v>
      </c>
      <c r="D152" s="141" t="str">
        <f>IFERROR(INDEX(Työkonekanta!$D$3:$D$27,MATCH('S2 Bio'!$A152,Työkonekanta!$A$3:$A$24,0),1),"undefined")</f>
        <v>undefined</v>
      </c>
      <c r="E152" s="145">
        <f>IFERROR(INDEX(Työkonekanta!$G$3:$G$27,MATCH($A152,Työkonekanta!$A$3:$A$24,0),1)*INDEX(Työkonekanta!$H$3:$H$27,MATCH($A152,Työkonekanta!$A$3:$A$24,0),1)*(1+_xlfn.SINGLE(s2_kerroin)*($C152-2019))*$B152,0)</f>
        <v>0</v>
      </c>
      <c r="F152" s="145">
        <f t="shared" si="45"/>
        <v>0</v>
      </c>
      <c r="G152" s="145">
        <f t="shared" si="51"/>
        <v>0</v>
      </c>
      <c r="H152" s="145">
        <f t="shared" si="52"/>
        <v>0</v>
      </c>
      <c r="I152" s="145">
        <f t="shared" si="46"/>
        <v>0</v>
      </c>
      <c r="J152" s="145">
        <f t="shared" si="47"/>
        <v>0</v>
      </c>
      <c r="K152" s="142" t="str">
        <f t="shared" si="53"/>
        <v>undefined</v>
      </c>
      <c r="L152" s="146">
        <f>IFERROR(INDEX(Työkonekanta!$I$3:$I$27,MATCH('S2 Bio'!$A152,Työkonekanta!$A$3:$A$24,0),1)*(I152+J152)*f_adblue,0)</f>
        <v>0</v>
      </c>
      <c r="M152" s="146">
        <f t="shared" si="60"/>
        <v>0</v>
      </c>
      <c r="N152" s="143" t="str">
        <f>IF(tuulisähkö_vuosi&lt;='S2 Bio'!C152,"tuulisähkö",ostosähkö_nyt)</f>
        <v>jäännössähkö</v>
      </c>
      <c r="O152" s="147">
        <f>INDEX(Muuttujat!$J$5:$J$21,MATCH($C152,Muuttujat!$H$5:$H$21,0),1)</f>
        <v>66.51860537025</v>
      </c>
      <c r="P152" s="148">
        <f t="shared" si="54"/>
        <v>0.77600000000000002</v>
      </c>
      <c r="Q152" s="148">
        <f t="shared" si="59"/>
        <v>0.224</v>
      </c>
      <c r="R152" s="148">
        <f t="shared" si="59"/>
        <v>0.224</v>
      </c>
      <c r="S152" s="149">
        <f t="shared" si="48"/>
        <v>0</v>
      </c>
      <c r="T152" s="150">
        <f t="shared" si="49"/>
        <v>0</v>
      </c>
      <c r="U152" s="150">
        <f t="shared" si="50"/>
        <v>0</v>
      </c>
      <c r="V152" s="150">
        <f>IFERROR(INDEX(Työkonekanta!$J$3:$J$27,MATCH($A152,Työkonekanta!$A$3:$A$24,0),1)*$B152*ef_li_ion_akku/1000/1000/INDEX(Työkonekanta!$K$3:$K$27,MATCH($A152,Työkonekanta!$A$3:$A$24,0)),0)</f>
        <v>0</v>
      </c>
      <c r="W152" s="149">
        <f t="shared" si="61"/>
        <v>0</v>
      </c>
      <c r="X152" s="150">
        <f t="shared" si="62"/>
        <v>0</v>
      </c>
      <c r="Y152" s="151">
        <f t="shared" si="63"/>
        <v>0</v>
      </c>
      <c r="Z152" s="152">
        <f t="shared" si="55"/>
        <v>0</v>
      </c>
      <c r="AA152" s="153">
        <f t="shared" si="56"/>
        <v>0</v>
      </c>
      <c r="AB152" s="153">
        <f t="shared" si="57"/>
        <v>0</v>
      </c>
      <c r="AC152" s="154">
        <f t="shared" si="64"/>
        <v>0</v>
      </c>
      <c r="AD152" s="180">
        <f t="shared" si="58"/>
        <v>0</v>
      </c>
      <c r="AE152" s="160"/>
    </row>
    <row r="153" spans="1:31">
      <c r="A153" s="139">
        <v>1</v>
      </c>
      <c r="B153" s="139">
        <f>IFERROR(INDEX(Työkonekanta!$F$3:$F$27,MATCH('S2 Bio'!$A153,Työkonekanta!$A$3:$A$24,0),1),0)</f>
        <v>1</v>
      </c>
      <c r="C153" s="140">
        <v>2024</v>
      </c>
      <c r="D153" s="141" t="str">
        <f>IFERROR(INDEX(Työkonekanta!$D$3:$D$27,MATCH('S2 Bio'!$A153,Työkonekanta!$A$3:$A$24,0),1),"undefined")</f>
        <v>pom</v>
      </c>
      <c r="E153" s="145">
        <f>IFERROR(INDEX(Työkonekanta!$G$3:$G$27,MATCH($A153,Työkonekanta!$A$3:$A$24,0),1)*INDEX(Työkonekanta!$H$3:$H$27,MATCH($A153,Työkonekanta!$A$3:$A$24,0),1)*(1+_xlfn.SINGLE(s2_kerroin)*($C153-2019))*$B153,0)</f>
        <v>10500</v>
      </c>
      <c r="F153" s="145">
        <f t="shared" si="45"/>
        <v>376950</v>
      </c>
      <c r="G153" s="145">
        <f t="shared" si="51"/>
        <v>268137.10000000003</v>
      </c>
      <c r="H153" s="145">
        <f t="shared" si="52"/>
        <v>108812.89999999998</v>
      </c>
      <c r="I153" s="145">
        <f t="shared" si="46"/>
        <v>7469.0000000000009</v>
      </c>
      <c r="J153" s="145">
        <f t="shared" si="47"/>
        <v>3172.3877551020405</v>
      </c>
      <c r="K153" s="142" t="str">
        <f t="shared" si="53"/>
        <v>l</v>
      </c>
      <c r="L153" s="146">
        <f>IFERROR(INDEX(Työkonekanta!$I$3:$I$27,MATCH('S2 Bio'!$A153,Työkonekanta!$A$3:$A$24,0),1)*(I153+J153)*f_adblue,0)</f>
        <v>532.06938775510207</v>
      </c>
      <c r="M153" s="146">
        <f t="shared" si="60"/>
        <v>0</v>
      </c>
      <c r="N153" s="143" t="str">
        <f>IF(tuulisähkö_vuosi&lt;='S2 Bio'!C153,"tuulisähkö",ostosähkö_nyt)</f>
        <v>jäännössähkö</v>
      </c>
      <c r="O153" s="147">
        <f>INDEX(Muuttujat!$J$5:$J$21,MATCH($C153,Muuttujat!$H$5:$H$21,0),1)</f>
        <v>65.853419316547502</v>
      </c>
      <c r="P153" s="148">
        <f t="shared" si="54"/>
        <v>0.71133333333333337</v>
      </c>
      <c r="Q153" s="148">
        <f t="shared" si="59"/>
        <v>0.28866666666666663</v>
      </c>
      <c r="R153" s="148">
        <f t="shared" si="59"/>
        <v>0.28866666666666663</v>
      </c>
      <c r="S153" s="149">
        <f t="shared" si="48"/>
        <v>5.0677911900000012</v>
      </c>
      <c r="T153" s="150">
        <f t="shared" si="49"/>
        <v>6.7899249599999996</v>
      </c>
      <c r="U153" s="150">
        <f t="shared" si="50"/>
        <v>0</v>
      </c>
      <c r="V153" s="150">
        <f>IFERROR(INDEX(Työkonekanta!$J$3:$J$27,MATCH($A153,Työkonekanta!$A$3:$A$24,0),1)*$B153*ef_li_ion_akku/1000/1000/INDEX(Työkonekanta!$K$3:$K$27,MATCH($A153,Työkonekanta!$A$3:$A$24,0)),0)</f>
        <v>0</v>
      </c>
      <c r="W153" s="149">
        <f t="shared" si="61"/>
        <v>19.7907312583134</v>
      </c>
      <c r="X153" s="150">
        <f t="shared" si="62"/>
        <v>0.33363294300000002</v>
      </c>
      <c r="Y153" s="151">
        <f t="shared" si="63"/>
        <v>0.13833804081632653</v>
      </c>
      <c r="Z153" s="152">
        <f t="shared" si="55"/>
        <v>11.857716150000002</v>
      </c>
      <c r="AA153" s="153">
        <f t="shared" si="56"/>
        <v>19.929069299129726</v>
      </c>
      <c r="AB153" s="153">
        <f t="shared" si="57"/>
        <v>20.262702242129727</v>
      </c>
      <c r="AC153" s="154">
        <f t="shared" si="64"/>
        <v>31.786785449129727</v>
      </c>
      <c r="AD153" s="180">
        <f t="shared" si="58"/>
        <v>32.120418392129729</v>
      </c>
      <c r="AE153" s="160"/>
    </row>
    <row r="154" spans="1:31">
      <c r="A154" s="139">
        <v>2</v>
      </c>
      <c r="B154" s="139">
        <f>IFERROR(INDEX(Työkonekanta!$F$3:$F$27,MATCH('S2 Bio'!$A154,Työkonekanta!$A$3:$A$24,0),1),0)</f>
        <v>1</v>
      </c>
      <c r="C154" s="140">
        <v>2024</v>
      </c>
      <c r="D154" s="141" t="str">
        <f>IFERROR(INDEX(Työkonekanta!$D$3:$D$27,MATCH('S2 Bio'!$A154,Työkonekanta!$A$3:$A$24,0),1),"undefined")</f>
        <v>pom</v>
      </c>
      <c r="E154" s="145">
        <f>IFERROR(INDEX(Työkonekanta!$G$3:$G$27,MATCH($A154,Työkonekanta!$A$3:$A$24,0),1)*INDEX(Työkonekanta!$H$3:$H$27,MATCH($A154,Työkonekanta!$A$3:$A$24,0),1)*(1+_xlfn.SINGLE(s2_kerroin)*($C154-2019))*$B154,0)</f>
        <v>10500</v>
      </c>
      <c r="F154" s="145">
        <f t="shared" si="45"/>
        <v>376950</v>
      </c>
      <c r="G154" s="145">
        <f t="shared" si="51"/>
        <v>268137.10000000003</v>
      </c>
      <c r="H154" s="145">
        <f t="shared" si="52"/>
        <v>108812.89999999998</v>
      </c>
      <c r="I154" s="145">
        <f t="shared" si="46"/>
        <v>7469.0000000000009</v>
      </c>
      <c r="J154" s="145">
        <f t="shared" si="47"/>
        <v>3172.3877551020405</v>
      </c>
      <c r="K154" s="142" t="str">
        <f t="shared" si="53"/>
        <v>l</v>
      </c>
      <c r="L154" s="146">
        <f>IFERROR(INDEX(Työkonekanta!$I$3:$I$27,MATCH('S2 Bio'!$A154,Työkonekanta!$A$3:$A$24,0),1)*(I154+J154)*f_adblue,0)</f>
        <v>532.06938775510207</v>
      </c>
      <c r="M154" s="146">
        <f t="shared" si="60"/>
        <v>0</v>
      </c>
      <c r="N154" s="143" t="str">
        <f>IF(tuulisähkö_vuosi&lt;='S2 Bio'!C154,"tuulisähkö",ostosähkö_nyt)</f>
        <v>jäännössähkö</v>
      </c>
      <c r="O154" s="147">
        <f>INDEX(Muuttujat!$J$5:$J$21,MATCH($C154,Muuttujat!$H$5:$H$21,0),1)</f>
        <v>65.853419316547502</v>
      </c>
      <c r="P154" s="148">
        <f t="shared" si="54"/>
        <v>0.71133333333333337</v>
      </c>
      <c r="Q154" s="148">
        <f t="shared" si="59"/>
        <v>0.28866666666666663</v>
      </c>
      <c r="R154" s="148">
        <f t="shared" si="59"/>
        <v>0.28866666666666663</v>
      </c>
      <c r="S154" s="149">
        <f t="shared" si="48"/>
        <v>5.0677911900000012</v>
      </c>
      <c r="T154" s="150">
        <f t="shared" si="49"/>
        <v>6.7899249599999996</v>
      </c>
      <c r="U154" s="150">
        <f t="shared" si="50"/>
        <v>0</v>
      </c>
      <c r="V154" s="150">
        <f>IFERROR(INDEX(Työkonekanta!$J$3:$J$27,MATCH($A154,Työkonekanta!$A$3:$A$24,0),1)*$B154*ef_li_ion_akku/1000/1000/INDEX(Työkonekanta!$K$3:$K$27,MATCH($A154,Työkonekanta!$A$3:$A$24,0)),0)</f>
        <v>0</v>
      </c>
      <c r="W154" s="149">
        <f t="shared" si="61"/>
        <v>19.7907312583134</v>
      </c>
      <c r="X154" s="150">
        <f t="shared" si="62"/>
        <v>0.33363294300000002</v>
      </c>
      <c r="Y154" s="151">
        <f t="shared" si="63"/>
        <v>0.13833804081632653</v>
      </c>
      <c r="Z154" s="152">
        <f t="shared" si="55"/>
        <v>11.857716150000002</v>
      </c>
      <c r="AA154" s="153">
        <f t="shared" si="56"/>
        <v>19.929069299129726</v>
      </c>
      <c r="AB154" s="153">
        <f t="shared" si="57"/>
        <v>20.262702242129727</v>
      </c>
      <c r="AC154" s="154">
        <f t="shared" si="64"/>
        <v>31.786785449129727</v>
      </c>
      <c r="AD154" s="180">
        <f t="shared" si="58"/>
        <v>32.120418392129729</v>
      </c>
      <c r="AE154" s="160"/>
    </row>
    <row r="155" spans="1:31">
      <c r="A155" s="139">
        <v>3</v>
      </c>
      <c r="B155" s="139">
        <f>IFERROR(INDEX(Työkonekanta!$F$3:$F$27,MATCH('S2 Bio'!$A155,Työkonekanta!$A$3:$A$24,0),1),0)</f>
        <v>1</v>
      </c>
      <c r="C155" s="140">
        <v>2024</v>
      </c>
      <c r="D155" s="141" t="str">
        <f>IFERROR(INDEX(Työkonekanta!$D$3:$D$27,MATCH('S2 Bio'!$A155,Työkonekanta!$A$3:$A$24,0),1),"undefined")</f>
        <v>pom</v>
      </c>
      <c r="E155" s="145">
        <f>IFERROR(INDEX(Työkonekanta!$G$3:$G$27,MATCH($A155,Työkonekanta!$A$3:$A$24,0),1)*INDEX(Työkonekanta!$H$3:$H$27,MATCH($A155,Työkonekanta!$A$3:$A$24,0),1)*(1+_xlfn.SINGLE(s2_kerroin)*($C155-2019))*$B155,0)</f>
        <v>10500</v>
      </c>
      <c r="F155" s="145">
        <f t="shared" si="45"/>
        <v>376950</v>
      </c>
      <c r="G155" s="145">
        <f t="shared" si="51"/>
        <v>268137.10000000003</v>
      </c>
      <c r="H155" s="145">
        <f t="shared" si="52"/>
        <v>108812.89999999998</v>
      </c>
      <c r="I155" s="145">
        <f t="shared" si="46"/>
        <v>7469.0000000000009</v>
      </c>
      <c r="J155" s="145">
        <f t="shared" si="47"/>
        <v>3172.3877551020405</v>
      </c>
      <c r="K155" s="142" t="str">
        <f t="shared" si="53"/>
        <v>l</v>
      </c>
      <c r="L155" s="146">
        <f>IFERROR(INDEX(Työkonekanta!$I$3:$I$27,MATCH('S2 Bio'!$A155,Työkonekanta!$A$3:$A$24,0),1)*(I155+J155)*f_adblue,0)</f>
        <v>532.06938775510207</v>
      </c>
      <c r="M155" s="146">
        <f t="shared" si="60"/>
        <v>0</v>
      </c>
      <c r="N155" s="143" t="str">
        <f>IF(tuulisähkö_vuosi&lt;='S2 Bio'!C155,"tuulisähkö",ostosähkö_nyt)</f>
        <v>jäännössähkö</v>
      </c>
      <c r="O155" s="147">
        <f>INDEX(Muuttujat!$J$5:$J$21,MATCH($C155,Muuttujat!$H$5:$H$21,0),1)</f>
        <v>65.853419316547502</v>
      </c>
      <c r="P155" s="148">
        <f t="shared" si="54"/>
        <v>0.71133333333333337</v>
      </c>
      <c r="Q155" s="148">
        <f t="shared" si="59"/>
        <v>0.28866666666666663</v>
      </c>
      <c r="R155" s="148">
        <f t="shared" si="59"/>
        <v>0.28866666666666663</v>
      </c>
      <c r="S155" s="149">
        <f t="shared" si="48"/>
        <v>5.0677911900000012</v>
      </c>
      <c r="T155" s="150">
        <f t="shared" si="49"/>
        <v>6.7899249599999996</v>
      </c>
      <c r="U155" s="150">
        <f t="shared" si="50"/>
        <v>0</v>
      </c>
      <c r="V155" s="150">
        <f>IFERROR(INDEX(Työkonekanta!$J$3:$J$27,MATCH($A155,Työkonekanta!$A$3:$A$24,0),1)*$B155*ef_li_ion_akku/1000/1000/INDEX(Työkonekanta!$K$3:$K$27,MATCH($A155,Työkonekanta!$A$3:$A$24,0)),0)</f>
        <v>0</v>
      </c>
      <c r="W155" s="149">
        <f t="shared" si="61"/>
        <v>19.7907312583134</v>
      </c>
      <c r="X155" s="150">
        <f t="shared" si="62"/>
        <v>0.33363294300000002</v>
      </c>
      <c r="Y155" s="151">
        <f t="shared" si="63"/>
        <v>0.13833804081632653</v>
      </c>
      <c r="Z155" s="152">
        <f t="shared" si="55"/>
        <v>11.857716150000002</v>
      </c>
      <c r="AA155" s="153">
        <f t="shared" si="56"/>
        <v>19.929069299129726</v>
      </c>
      <c r="AB155" s="153">
        <f t="shared" si="57"/>
        <v>20.262702242129727</v>
      </c>
      <c r="AC155" s="154">
        <f t="shared" si="64"/>
        <v>31.786785449129727</v>
      </c>
      <c r="AD155" s="180">
        <f t="shared" si="58"/>
        <v>32.120418392129729</v>
      </c>
      <c r="AE155" s="160"/>
    </row>
    <row r="156" spans="1:31">
      <c r="A156" s="139">
        <v>4</v>
      </c>
      <c r="B156" s="139">
        <f>IFERROR(INDEX(Työkonekanta!$F$3:$F$27,MATCH('S2 Bio'!$A156,Työkonekanta!$A$3:$A$24,0),1),0)</f>
        <v>1</v>
      </c>
      <c r="C156" s="140">
        <v>2024</v>
      </c>
      <c r="D156" s="141" t="str">
        <f>IFERROR(INDEX(Työkonekanta!$D$3:$D$27,MATCH('S2 Bio'!$A156,Työkonekanta!$A$3:$A$24,0),1),"undefined")</f>
        <v>pom</v>
      </c>
      <c r="E156" s="145">
        <f>IFERROR(INDEX(Työkonekanta!$G$3:$G$27,MATCH($A156,Työkonekanta!$A$3:$A$24,0),1)*INDEX(Työkonekanta!$H$3:$H$27,MATCH($A156,Työkonekanta!$A$3:$A$24,0),1)*(1+_xlfn.SINGLE(s2_kerroin)*($C156-2019))*$B156,0)</f>
        <v>10500</v>
      </c>
      <c r="F156" s="145">
        <f t="shared" si="45"/>
        <v>376950</v>
      </c>
      <c r="G156" s="145">
        <f t="shared" si="51"/>
        <v>268137.10000000003</v>
      </c>
      <c r="H156" s="145">
        <f t="shared" si="52"/>
        <v>108812.89999999998</v>
      </c>
      <c r="I156" s="145">
        <f t="shared" si="46"/>
        <v>7469.0000000000009</v>
      </c>
      <c r="J156" s="145">
        <f t="shared" si="47"/>
        <v>3172.3877551020405</v>
      </c>
      <c r="K156" s="142" t="str">
        <f t="shared" si="53"/>
        <v>l</v>
      </c>
      <c r="L156" s="146">
        <f>IFERROR(INDEX(Työkonekanta!$I$3:$I$27,MATCH('S2 Bio'!$A156,Työkonekanta!$A$3:$A$24,0),1)*(I156+J156)*f_adblue,0)</f>
        <v>532.06938775510207</v>
      </c>
      <c r="M156" s="146">
        <f t="shared" si="60"/>
        <v>0</v>
      </c>
      <c r="N156" s="143" t="str">
        <f>IF(tuulisähkö_vuosi&lt;='S2 Bio'!C156,"tuulisähkö",ostosähkö_nyt)</f>
        <v>jäännössähkö</v>
      </c>
      <c r="O156" s="147">
        <f>INDEX(Muuttujat!$J$5:$J$21,MATCH($C156,Muuttujat!$H$5:$H$21,0),1)</f>
        <v>65.853419316547502</v>
      </c>
      <c r="P156" s="148">
        <f t="shared" si="54"/>
        <v>0.71133333333333337</v>
      </c>
      <c r="Q156" s="148">
        <f t="shared" si="59"/>
        <v>0.28866666666666663</v>
      </c>
      <c r="R156" s="148">
        <f t="shared" si="59"/>
        <v>0.28866666666666663</v>
      </c>
      <c r="S156" s="149">
        <f t="shared" si="48"/>
        <v>5.0677911900000012</v>
      </c>
      <c r="T156" s="150">
        <f t="shared" si="49"/>
        <v>6.7899249599999996</v>
      </c>
      <c r="U156" s="150">
        <f t="shared" si="50"/>
        <v>0</v>
      </c>
      <c r="V156" s="150">
        <f>IFERROR(INDEX(Työkonekanta!$J$3:$J$27,MATCH($A156,Työkonekanta!$A$3:$A$24,0),1)*$B156*ef_li_ion_akku/1000/1000/INDEX(Työkonekanta!$K$3:$K$27,MATCH($A156,Työkonekanta!$A$3:$A$24,0)),0)</f>
        <v>0</v>
      </c>
      <c r="W156" s="149">
        <f t="shared" si="61"/>
        <v>19.7907312583134</v>
      </c>
      <c r="X156" s="150">
        <f t="shared" si="62"/>
        <v>0.33363294300000002</v>
      </c>
      <c r="Y156" s="151">
        <f t="shared" si="63"/>
        <v>0.13833804081632653</v>
      </c>
      <c r="Z156" s="152">
        <f t="shared" si="55"/>
        <v>11.857716150000002</v>
      </c>
      <c r="AA156" s="153">
        <f t="shared" si="56"/>
        <v>19.929069299129726</v>
      </c>
      <c r="AB156" s="153">
        <f t="shared" si="57"/>
        <v>20.262702242129727</v>
      </c>
      <c r="AC156" s="154">
        <f t="shared" si="64"/>
        <v>31.786785449129727</v>
      </c>
      <c r="AD156" s="180">
        <f t="shared" si="58"/>
        <v>32.120418392129729</v>
      </c>
      <c r="AE156" s="160"/>
    </row>
    <row r="157" spans="1:31">
      <c r="A157" s="139">
        <v>5</v>
      </c>
      <c r="B157" s="139">
        <f>IFERROR(INDEX(Työkonekanta!$F$3:$F$27,MATCH('S2 Bio'!$A157,Työkonekanta!$A$3:$A$24,0),1),0)</f>
        <v>0</v>
      </c>
      <c r="C157" s="140">
        <v>2024</v>
      </c>
      <c r="D157" s="141" t="str">
        <f>IFERROR(INDEX(Työkonekanta!$D$3:$D$27,MATCH('S2 Bio'!$A157,Työkonekanta!$A$3:$A$24,0),1),"undefined")</f>
        <v>sähkö</v>
      </c>
      <c r="E157" s="145">
        <f>IFERROR(INDEX(Työkonekanta!$G$3:$G$27,MATCH($A157,Työkonekanta!$A$3:$A$24,0),1)*INDEX(Työkonekanta!$H$3:$H$27,MATCH($A157,Työkonekanta!$A$3:$A$24,0),1)*(1+_xlfn.SINGLE(s2_kerroin)*($C157-2019))*$B157,0)</f>
        <v>0</v>
      </c>
      <c r="F157" s="145">
        <f t="shared" si="45"/>
        <v>0</v>
      </c>
      <c r="G157" s="145">
        <f t="shared" si="51"/>
        <v>0</v>
      </c>
      <c r="H157" s="145">
        <f t="shared" si="52"/>
        <v>0</v>
      </c>
      <c r="I157" s="145">
        <f t="shared" si="46"/>
        <v>0</v>
      </c>
      <c r="J157" s="145">
        <f t="shared" si="47"/>
        <v>0</v>
      </c>
      <c r="K157" s="142" t="str">
        <f t="shared" si="53"/>
        <v>kWh</v>
      </c>
      <c r="L157" s="146">
        <f>IFERROR(INDEX(Työkonekanta!$I$3:$I$27,MATCH('S2 Bio'!$A157,Työkonekanta!$A$3:$A$24,0),1)*(I157+J157)*f_adblue,0)</f>
        <v>0</v>
      </c>
      <c r="M157" s="146">
        <f t="shared" si="60"/>
        <v>0</v>
      </c>
      <c r="N157" s="143" t="str">
        <f>IF(tuulisähkö_vuosi&lt;='S2 Bio'!C157,"tuulisähkö",ostosähkö_nyt)</f>
        <v>jäännössähkö</v>
      </c>
      <c r="O157" s="147">
        <f>INDEX(Muuttujat!$J$5:$J$21,MATCH($C157,Muuttujat!$H$5:$H$21,0),1)</f>
        <v>65.853419316547502</v>
      </c>
      <c r="P157" s="148">
        <f t="shared" si="54"/>
        <v>0.71133333333333337</v>
      </c>
      <c r="Q157" s="148">
        <f t="shared" si="59"/>
        <v>0.28866666666666663</v>
      </c>
      <c r="R157" s="148">
        <f t="shared" si="59"/>
        <v>0.28866666666666663</v>
      </c>
      <c r="S157" s="149">
        <f t="shared" si="48"/>
        <v>0</v>
      </c>
      <c r="T157" s="150">
        <f t="shared" si="49"/>
        <v>0</v>
      </c>
      <c r="U157" s="150">
        <f t="shared" si="50"/>
        <v>0</v>
      </c>
      <c r="V157" s="150">
        <f>IFERROR(INDEX(Työkonekanta!$J$3:$J$27,MATCH($A157,Työkonekanta!$A$3:$A$24,0),1)*$B157*ef_li_ion_akku/1000/1000/INDEX(Työkonekanta!$K$3:$K$27,MATCH($A157,Työkonekanta!$A$3:$A$24,0)),0)</f>
        <v>0</v>
      </c>
      <c r="W157" s="149">
        <f t="shared" si="61"/>
        <v>0</v>
      </c>
      <c r="X157" s="150">
        <f t="shared" si="62"/>
        <v>0</v>
      </c>
      <c r="Y157" s="151">
        <f t="shared" si="63"/>
        <v>0</v>
      </c>
      <c r="Z157" s="152">
        <f t="shared" si="55"/>
        <v>0</v>
      </c>
      <c r="AA157" s="153">
        <f t="shared" si="56"/>
        <v>0</v>
      </c>
      <c r="AB157" s="153">
        <f t="shared" si="57"/>
        <v>0</v>
      </c>
      <c r="AC157" s="154">
        <f t="shared" si="64"/>
        <v>0</v>
      </c>
      <c r="AD157" s="180">
        <f t="shared" si="58"/>
        <v>0</v>
      </c>
      <c r="AE157" s="160"/>
    </row>
    <row r="158" spans="1:31">
      <c r="A158" s="139">
        <v>6</v>
      </c>
      <c r="B158" s="139">
        <f>IFERROR(INDEX(Työkonekanta!$F$3:$F$27,MATCH('S2 Bio'!$A158,Työkonekanta!$A$3:$A$24,0),1),0)</f>
        <v>0</v>
      </c>
      <c r="C158" s="140">
        <v>2024</v>
      </c>
      <c r="D158" s="141" t="str">
        <f>IFERROR(INDEX(Työkonekanta!$D$3:$D$27,MATCH('S2 Bio'!$A158,Työkonekanta!$A$3:$A$24,0),1),"undefined")</f>
        <v>sähkö</v>
      </c>
      <c r="E158" s="145">
        <f>IFERROR(INDEX(Työkonekanta!$G$3:$G$27,MATCH($A158,Työkonekanta!$A$3:$A$24,0),1)*INDEX(Työkonekanta!$H$3:$H$27,MATCH($A158,Työkonekanta!$A$3:$A$24,0),1)*(1+_xlfn.SINGLE(s2_kerroin)*($C158-2019))*$B158,0)</f>
        <v>0</v>
      </c>
      <c r="F158" s="145">
        <f t="shared" si="45"/>
        <v>0</v>
      </c>
      <c r="G158" s="145">
        <f t="shared" si="51"/>
        <v>0</v>
      </c>
      <c r="H158" s="145">
        <f t="shared" si="52"/>
        <v>0</v>
      </c>
      <c r="I158" s="145">
        <f t="shared" si="46"/>
        <v>0</v>
      </c>
      <c r="J158" s="145">
        <f t="shared" si="47"/>
        <v>0</v>
      </c>
      <c r="K158" s="142" t="str">
        <f t="shared" si="53"/>
        <v>kWh</v>
      </c>
      <c r="L158" s="146">
        <f>IFERROR(INDEX(Työkonekanta!$I$3:$I$27,MATCH('S2 Bio'!$A158,Työkonekanta!$A$3:$A$24,0),1)*(I158+J158)*f_adblue,0)</f>
        <v>0</v>
      </c>
      <c r="M158" s="146">
        <f t="shared" si="60"/>
        <v>0</v>
      </c>
      <c r="N158" s="143" t="str">
        <f>IF(tuulisähkö_vuosi&lt;='S2 Bio'!C158,"tuulisähkö",ostosähkö_nyt)</f>
        <v>jäännössähkö</v>
      </c>
      <c r="O158" s="147">
        <f>INDEX(Muuttujat!$J$5:$J$21,MATCH($C158,Muuttujat!$H$5:$H$21,0),1)</f>
        <v>65.853419316547502</v>
      </c>
      <c r="P158" s="148">
        <f t="shared" si="54"/>
        <v>0.71133333333333337</v>
      </c>
      <c r="Q158" s="148">
        <f t="shared" si="59"/>
        <v>0.28866666666666663</v>
      </c>
      <c r="R158" s="148">
        <f t="shared" si="59"/>
        <v>0.28866666666666663</v>
      </c>
      <c r="S158" s="149">
        <f t="shared" si="48"/>
        <v>0</v>
      </c>
      <c r="T158" s="150">
        <f t="shared" si="49"/>
        <v>0</v>
      </c>
      <c r="U158" s="150">
        <f t="shared" si="50"/>
        <v>0</v>
      </c>
      <c r="V158" s="150">
        <f>IFERROR(INDEX(Työkonekanta!$J$3:$J$27,MATCH($A158,Työkonekanta!$A$3:$A$24,0),1)*$B158*ef_li_ion_akku/1000/1000/INDEX(Työkonekanta!$K$3:$K$27,MATCH($A158,Työkonekanta!$A$3:$A$24,0)),0)</f>
        <v>0</v>
      </c>
      <c r="W158" s="149">
        <f t="shared" si="61"/>
        <v>0</v>
      </c>
      <c r="X158" s="150">
        <f t="shared" si="62"/>
        <v>0</v>
      </c>
      <c r="Y158" s="151">
        <f t="shared" si="63"/>
        <v>0</v>
      </c>
      <c r="Z158" s="152">
        <f t="shared" si="55"/>
        <v>0</v>
      </c>
      <c r="AA158" s="153">
        <f t="shared" si="56"/>
        <v>0</v>
      </c>
      <c r="AB158" s="153">
        <f t="shared" si="57"/>
        <v>0</v>
      </c>
      <c r="AC158" s="154">
        <f t="shared" si="64"/>
        <v>0</v>
      </c>
      <c r="AD158" s="180">
        <f t="shared" si="58"/>
        <v>0</v>
      </c>
      <c r="AE158" s="160"/>
    </row>
    <row r="159" spans="1:31">
      <c r="A159" s="139">
        <v>7</v>
      </c>
      <c r="B159" s="139">
        <f>IFERROR(INDEX(Työkonekanta!$F$3:$F$27,MATCH('S2 Bio'!$A159,Työkonekanta!$A$3:$A$24,0),1),0)</f>
        <v>1</v>
      </c>
      <c r="C159" s="140">
        <v>2024</v>
      </c>
      <c r="D159" s="141" t="str">
        <f>IFERROR(INDEX(Työkonekanta!$D$3:$D$27,MATCH('S2 Bio'!$A159,Työkonekanta!$A$3:$A$24,0),1),"undefined")</f>
        <v>pom</v>
      </c>
      <c r="E159" s="145">
        <f>IFERROR(INDEX(Työkonekanta!$G$3:$G$27,MATCH($A159,Työkonekanta!$A$3:$A$24,0),1)*INDEX(Työkonekanta!$H$3:$H$27,MATCH($A159,Työkonekanta!$A$3:$A$24,0),1)*(1+_xlfn.SINGLE(s2_kerroin)*($C159-2019))*$B159,0)</f>
        <v>10500</v>
      </c>
      <c r="F159" s="145">
        <f t="shared" si="45"/>
        <v>376950</v>
      </c>
      <c r="G159" s="145">
        <f t="shared" si="51"/>
        <v>268137.10000000003</v>
      </c>
      <c r="H159" s="145">
        <f t="shared" si="52"/>
        <v>108812.89999999998</v>
      </c>
      <c r="I159" s="145">
        <f t="shared" si="46"/>
        <v>7469.0000000000009</v>
      </c>
      <c r="J159" s="145">
        <f t="shared" si="47"/>
        <v>3172.3877551020405</v>
      </c>
      <c r="K159" s="142" t="str">
        <f t="shared" si="53"/>
        <v>l</v>
      </c>
      <c r="L159" s="146">
        <f>IFERROR(INDEX(Työkonekanta!$I$3:$I$27,MATCH('S2 Bio'!$A159,Työkonekanta!$A$3:$A$24,0),1)*(I159+J159)*f_adblue,0)</f>
        <v>0</v>
      </c>
      <c r="M159" s="146">
        <f t="shared" si="60"/>
        <v>0</v>
      </c>
      <c r="N159" s="143" t="str">
        <f>IF(tuulisähkö_vuosi&lt;='S2 Bio'!C159,"tuulisähkö",ostosähkö_nyt)</f>
        <v>jäännössähkö</v>
      </c>
      <c r="O159" s="147">
        <f>INDEX(Muuttujat!$J$5:$J$21,MATCH($C159,Muuttujat!$H$5:$H$21,0),1)</f>
        <v>65.853419316547502</v>
      </c>
      <c r="P159" s="148">
        <f t="shared" si="54"/>
        <v>0.71133333333333337</v>
      </c>
      <c r="Q159" s="148">
        <f t="shared" si="59"/>
        <v>0.28866666666666663</v>
      </c>
      <c r="R159" s="148">
        <f t="shared" si="59"/>
        <v>0.28866666666666663</v>
      </c>
      <c r="S159" s="149">
        <f t="shared" si="48"/>
        <v>5.0677911900000012</v>
      </c>
      <c r="T159" s="150">
        <f t="shared" si="49"/>
        <v>6.7899249599999996</v>
      </c>
      <c r="U159" s="150">
        <f t="shared" si="50"/>
        <v>0</v>
      </c>
      <c r="V159" s="150">
        <f>IFERROR(INDEX(Työkonekanta!$J$3:$J$27,MATCH($A159,Työkonekanta!$A$3:$A$24,0),1)*$B159*ef_li_ion_akku/1000/1000/INDEX(Työkonekanta!$K$3:$K$27,MATCH($A159,Työkonekanta!$A$3:$A$24,0)),0)</f>
        <v>0</v>
      </c>
      <c r="W159" s="149">
        <f t="shared" si="61"/>
        <v>19.7907312583134</v>
      </c>
      <c r="X159" s="150">
        <f t="shared" si="62"/>
        <v>0.33363294300000002</v>
      </c>
      <c r="Y159" s="151">
        <f t="shared" si="63"/>
        <v>0</v>
      </c>
      <c r="Z159" s="152">
        <f t="shared" si="55"/>
        <v>11.857716150000002</v>
      </c>
      <c r="AA159" s="153">
        <f t="shared" si="56"/>
        <v>19.7907312583134</v>
      </c>
      <c r="AB159" s="153">
        <f t="shared" si="57"/>
        <v>20.124364201313401</v>
      </c>
      <c r="AC159" s="154">
        <f t="shared" si="64"/>
        <v>31.648447408313402</v>
      </c>
      <c r="AD159" s="180">
        <f t="shared" si="58"/>
        <v>31.982080351313403</v>
      </c>
      <c r="AE159" s="160"/>
    </row>
    <row r="160" spans="1:31">
      <c r="A160" s="139">
        <v>8</v>
      </c>
      <c r="B160" s="139">
        <f>IFERROR(INDEX(Työkonekanta!$F$3:$F$27,MATCH('S2 Bio'!$A160,Työkonekanta!$A$3:$A$24,0),1),0)</f>
        <v>1</v>
      </c>
      <c r="C160" s="140">
        <v>2024</v>
      </c>
      <c r="D160" s="141" t="str">
        <f>IFERROR(INDEX(Työkonekanta!$D$3:$D$27,MATCH('S2 Bio'!$A160,Työkonekanta!$A$3:$A$24,0),1),"undefined")</f>
        <v>pom</v>
      </c>
      <c r="E160" s="145">
        <f>IFERROR(INDEX(Työkonekanta!$G$3:$G$27,MATCH($A160,Työkonekanta!$A$3:$A$24,0),1)*INDEX(Työkonekanta!$H$3:$H$27,MATCH($A160,Työkonekanta!$A$3:$A$24,0),1)*(1+_xlfn.SINGLE(s2_kerroin)*($C160-2019))*$B160,0)</f>
        <v>10500</v>
      </c>
      <c r="F160" s="145">
        <f t="shared" si="45"/>
        <v>376950</v>
      </c>
      <c r="G160" s="145">
        <f t="shared" si="51"/>
        <v>268137.10000000003</v>
      </c>
      <c r="H160" s="145">
        <f t="shared" si="52"/>
        <v>108812.89999999998</v>
      </c>
      <c r="I160" s="145">
        <f t="shared" si="46"/>
        <v>7469.0000000000009</v>
      </c>
      <c r="J160" s="145">
        <f t="shared" si="47"/>
        <v>3172.3877551020405</v>
      </c>
      <c r="K160" s="142" t="str">
        <f t="shared" si="53"/>
        <v>l</v>
      </c>
      <c r="L160" s="146">
        <f>IFERROR(INDEX(Työkonekanta!$I$3:$I$27,MATCH('S2 Bio'!$A160,Työkonekanta!$A$3:$A$24,0),1)*(I160+J160)*f_adblue,0)</f>
        <v>532.06938775510207</v>
      </c>
      <c r="M160" s="146">
        <f t="shared" si="60"/>
        <v>0</v>
      </c>
      <c r="N160" s="143" t="str">
        <f>IF(tuulisähkö_vuosi&lt;='S2 Bio'!C160,"tuulisähkö",ostosähkö_nyt)</f>
        <v>jäännössähkö</v>
      </c>
      <c r="O160" s="147">
        <f>INDEX(Muuttujat!$J$5:$J$21,MATCH($C160,Muuttujat!$H$5:$H$21,0),1)</f>
        <v>65.853419316547502</v>
      </c>
      <c r="P160" s="148">
        <f t="shared" si="54"/>
        <v>0.71133333333333337</v>
      </c>
      <c r="Q160" s="148">
        <f t="shared" si="59"/>
        <v>0.28866666666666663</v>
      </c>
      <c r="R160" s="148">
        <f t="shared" si="59"/>
        <v>0.28866666666666663</v>
      </c>
      <c r="S160" s="149">
        <f t="shared" si="48"/>
        <v>5.0677911900000012</v>
      </c>
      <c r="T160" s="150">
        <f t="shared" si="49"/>
        <v>6.7899249599999996</v>
      </c>
      <c r="U160" s="150">
        <f t="shared" si="50"/>
        <v>0</v>
      </c>
      <c r="V160" s="150">
        <f>IFERROR(INDEX(Työkonekanta!$J$3:$J$27,MATCH($A160,Työkonekanta!$A$3:$A$24,0),1)*$B160*ef_li_ion_akku/1000/1000/INDEX(Työkonekanta!$K$3:$K$27,MATCH($A160,Työkonekanta!$A$3:$A$24,0)),0)</f>
        <v>0</v>
      </c>
      <c r="W160" s="149">
        <f t="shared" si="61"/>
        <v>19.7907312583134</v>
      </c>
      <c r="X160" s="150">
        <f t="shared" si="62"/>
        <v>0.33363294300000002</v>
      </c>
      <c r="Y160" s="151">
        <f t="shared" si="63"/>
        <v>0.13833804081632653</v>
      </c>
      <c r="Z160" s="152">
        <f t="shared" si="55"/>
        <v>11.857716150000002</v>
      </c>
      <c r="AA160" s="153">
        <f t="shared" si="56"/>
        <v>19.929069299129726</v>
      </c>
      <c r="AB160" s="153">
        <f t="shared" si="57"/>
        <v>20.262702242129727</v>
      </c>
      <c r="AC160" s="154">
        <f t="shared" si="64"/>
        <v>31.786785449129727</v>
      </c>
      <c r="AD160" s="180">
        <f t="shared" si="58"/>
        <v>32.120418392129729</v>
      </c>
      <c r="AE160" s="160"/>
    </row>
    <row r="161" spans="1:31">
      <c r="A161" s="139">
        <v>9</v>
      </c>
      <c r="B161" s="139">
        <f>IFERROR(INDEX(Työkonekanta!$F$3:$F$27,MATCH('S2 Bio'!$A161,Työkonekanta!$A$3:$A$24,0),1),0)</f>
        <v>0</v>
      </c>
      <c r="C161" s="140">
        <v>2024</v>
      </c>
      <c r="D161" s="141" t="str">
        <f>IFERROR(INDEX(Työkonekanta!$D$3:$D$27,MATCH('S2 Bio'!$A161,Työkonekanta!$A$3:$A$24,0),1),"undefined")</f>
        <v>sähkö</v>
      </c>
      <c r="E161" s="145">
        <f>IFERROR(INDEX(Työkonekanta!$G$3:$G$27,MATCH($A161,Työkonekanta!$A$3:$A$24,0),1)*INDEX(Työkonekanta!$H$3:$H$27,MATCH($A161,Työkonekanta!$A$3:$A$24,0),1)*(1+_xlfn.SINGLE(s2_kerroin)*($C161-2019))*$B161,0)</f>
        <v>0</v>
      </c>
      <c r="F161" s="145">
        <f t="shared" si="45"/>
        <v>0</v>
      </c>
      <c r="G161" s="145">
        <f t="shared" si="51"/>
        <v>0</v>
      </c>
      <c r="H161" s="145">
        <f t="shared" si="52"/>
        <v>0</v>
      </c>
      <c r="I161" s="145">
        <f t="shared" si="46"/>
        <v>0</v>
      </c>
      <c r="J161" s="145">
        <f t="shared" si="47"/>
        <v>0</v>
      </c>
      <c r="K161" s="142" t="str">
        <f t="shared" si="53"/>
        <v>kWh</v>
      </c>
      <c r="L161" s="146">
        <f>IFERROR(INDEX(Työkonekanta!$I$3:$I$27,MATCH('S2 Bio'!$A161,Työkonekanta!$A$3:$A$24,0),1)*(I161+J161)*f_adblue,0)</f>
        <v>0</v>
      </c>
      <c r="M161" s="146">
        <f t="shared" si="60"/>
        <v>0</v>
      </c>
      <c r="N161" s="143" t="str">
        <f>IF(tuulisähkö_vuosi&lt;='S2 Bio'!C161,"tuulisähkö",ostosähkö_nyt)</f>
        <v>jäännössähkö</v>
      </c>
      <c r="O161" s="147">
        <f>INDEX(Muuttujat!$J$5:$J$21,MATCH($C161,Muuttujat!$H$5:$H$21,0),1)</f>
        <v>65.853419316547502</v>
      </c>
      <c r="P161" s="148">
        <f t="shared" si="54"/>
        <v>0.71133333333333337</v>
      </c>
      <c r="Q161" s="148">
        <f t="shared" si="59"/>
        <v>0.28866666666666663</v>
      </c>
      <c r="R161" s="148">
        <f t="shared" si="59"/>
        <v>0.28866666666666663</v>
      </c>
      <c r="S161" s="149">
        <f t="shared" si="48"/>
        <v>0</v>
      </c>
      <c r="T161" s="150">
        <f t="shared" si="49"/>
        <v>0</v>
      </c>
      <c r="U161" s="150">
        <f t="shared" si="50"/>
        <v>0</v>
      </c>
      <c r="V161" s="150">
        <f>IFERROR(INDEX(Työkonekanta!$J$3:$J$27,MATCH($A161,Työkonekanta!$A$3:$A$24,0),1)*$B161*ef_li_ion_akku/1000/1000/INDEX(Työkonekanta!$K$3:$K$27,MATCH($A161,Työkonekanta!$A$3:$A$24,0)),0)</f>
        <v>0</v>
      </c>
      <c r="W161" s="149">
        <f t="shared" si="61"/>
        <v>0</v>
      </c>
      <c r="X161" s="150">
        <f t="shared" si="62"/>
        <v>0</v>
      </c>
      <c r="Y161" s="151">
        <f t="shared" si="63"/>
        <v>0</v>
      </c>
      <c r="Z161" s="152">
        <f t="shared" si="55"/>
        <v>0</v>
      </c>
      <c r="AA161" s="153">
        <f t="shared" si="56"/>
        <v>0</v>
      </c>
      <c r="AB161" s="153">
        <f t="shared" si="57"/>
        <v>0</v>
      </c>
      <c r="AC161" s="154">
        <f t="shared" si="64"/>
        <v>0</v>
      </c>
      <c r="AD161" s="180">
        <f t="shared" si="58"/>
        <v>0</v>
      </c>
      <c r="AE161" s="160"/>
    </row>
    <row r="162" spans="1:31">
      <c r="A162" s="139">
        <v>10</v>
      </c>
      <c r="B162" s="139">
        <f>IFERROR(INDEX(Työkonekanta!$F$3:$F$27,MATCH('S2 Bio'!$A162,Työkonekanta!$A$3:$A$24,0),1),0)</f>
        <v>0</v>
      </c>
      <c r="C162" s="140">
        <v>2024</v>
      </c>
      <c r="D162" s="141" t="str">
        <f>IFERROR(INDEX(Työkonekanta!$D$3:$D$27,MATCH('S2 Bio'!$A162,Työkonekanta!$A$3:$A$24,0),1),"undefined")</f>
        <v>sähkö</v>
      </c>
      <c r="E162" s="145">
        <f>IFERROR(INDEX(Työkonekanta!$G$3:$G$27,MATCH($A162,Työkonekanta!$A$3:$A$24,0),1)*INDEX(Työkonekanta!$H$3:$H$27,MATCH($A162,Työkonekanta!$A$3:$A$24,0),1)*(1+_xlfn.SINGLE(s2_kerroin)*($C162-2019))*$B162,0)</f>
        <v>0</v>
      </c>
      <c r="F162" s="145">
        <f t="shared" si="45"/>
        <v>0</v>
      </c>
      <c r="G162" s="145">
        <f t="shared" si="51"/>
        <v>0</v>
      </c>
      <c r="H162" s="145">
        <f t="shared" si="52"/>
        <v>0</v>
      </c>
      <c r="I162" s="145">
        <f t="shared" si="46"/>
        <v>0</v>
      </c>
      <c r="J162" s="145">
        <f t="shared" si="47"/>
        <v>0</v>
      </c>
      <c r="K162" s="142" t="str">
        <f t="shared" si="53"/>
        <v>kWh</v>
      </c>
      <c r="L162" s="146">
        <f>IFERROR(INDEX(Työkonekanta!$I$3:$I$27,MATCH('S2 Bio'!$A162,Työkonekanta!$A$3:$A$24,0),1)*(I162+J162)*f_adblue,0)</f>
        <v>0</v>
      </c>
      <c r="M162" s="146">
        <f t="shared" si="60"/>
        <v>0</v>
      </c>
      <c r="N162" s="143" t="str">
        <f>IF(tuulisähkö_vuosi&lt;='S2 Bio'!C162,"tuulisähkö",ostosähkö_nyt)</f>
        <v>jäännössähkö</v>
      </c>
      <c r="O162" s="147">
        <f>INDEX(Muuttujat!$J$5:$J$21,MATCH($C162,Muuttujat!$H$5:$H$21,0),1)</f>
        <v>65.853419316547502</v>
      </c>
      <c r="P162" s="148">
        <f t="shared" si="54"/>
        <v>0.71133333333333337</v>
      </c>
      <c r="Q162" s="148">
        <f t="shared" si="59"/>
        <v>0.28866666666666663</v>
      </c>
      <c r="R162" s="148">
        <f t="shared" si="59"/>
        <v>0.28866666666666663</v>
      </c>
      <c r="S162" s="149">
        <f t="shared" si="48"/>
        <v>0</v>
      </c>
      <c r="T162" s="150">
        <f t="shared" si="49"/>
        <v>0</v>
      </c>
      <c r="U162" s="150">
        <f t="shared" si="50"/>
        <v>0</v>
      </c>
      <c r="V162" s="150">
        <f>IFERROR(INDEX(Työkonekanta!$J$3:$J$27,MATCH($A162,Työkonekanta!$A$3:$A$24,0),1)*$B162*ef_li_ion_akku/1000/1000/INDEX(Työkonekanta!$K$3:$K$27,MATCH($A162,Työkonekanta!$A$3:$A$24,0)),0)</f>
        <v>0</v>
      </c>
      <c r="W162" s="149">
        <f t="shared" si="61"/>
        <v>0</v>
      </c>
      <c r="X162" s="150">
        <f t="shared" si="62"/>
        <v>0</v>
      </c>
      <c r="Y162" s="151">
        <f t="shared" si="63"/>
        <v>0</v>
      </c>
      <c r="Z162" s="152">
        <f t="shared" si="55"/>
        <v>0</v>
      </c>
      <c r="AA162" s="153">
        <f t="shared" si="56"/>
        <v>0</v>
      </c>
      <c r="AB162" s="153">
        <f t="shared" si="57"/>
        <v>0</v>
      </c>
      <c r="AC162" s="154">
        <f t="shared" si="64"/>
        <v>0</v>
      </c>
      <c r="AD162" s="180">
        <f t="shared" si="58"/>
        <v>0</v>
      </c>
      <c r="AE162" s="160"/>
    </row>
    <row r="163" spans="1:31">
      <c r="A163" s="139">
        <v>11</v>
      </c>
      <c r="B163" s="139">
        <f>IFERROR(INDEX(Työkonekanta!$F$3:$F$27,MATCH('S2 Bio'!$A163,Työkonekanta!$A$3:$A$24,0),1),0)</f>
        <v>1</v>
      </c>
      <c r="C163" s="140">
        <v>2024</v>
      </c>
      <c r="D163" s="141" t="str">
        <f>IFERROR(INDEX(Työkonekanta!$D$3:$D$27,MATCH('S2 Bio'!$A163,Työkonekanta!$A$3:$A$24,0),1),"undefined")</f>
        <v>pom</v>
      </c>
      <c r="E163" s="145">
        <f>IFERROR(INDEX(Työkonekanta!$G$3:$G$27,MATCH($A163,Työkonekanta!$A$3:$A$24,0),1)*INDEX(Työkonekanta!$H$3:$H$27,MATCH($A163,Työkonekanta!$A$3:$A$24,0),1)*(1+_xlfn.SINGLE(s2_kerroin)*($C163-2019))*$B163,0)</f>
        <v>10500</v>
      </c>
      <c r="F163" s="145">
        <f t="shared" si="45"/>
        <v>376950</v>
      </c>
      <c r="G163" s="145">
        <f t="shared" si="51"/>
        <v>268137.10000000003</v>
      </c>
      <c r="H163" s="145">
        <f t="shared" si="52"/>
        <v>108812.89999999998</v>
      </c>
      <c r="I163" s="145">
        <f t="shared" si="46"/>
        <v>7469.0000000000009</v>
      </c>
      <c r="J163" s="145">
        <f t="shared" si="47"/>
        <v>3172.3877551020405</v>
      </c>
      <c r="K163" s="142" t="str">
        <f t="shared" si="53"/>
        <v>l</v>
      </c>
      <c r="L163" s="146">
        <f>IFERROR(INDEX(Työkonekanta!$I$3:$I$27,MATCH('S2 Bio'!$A163,Työkonekanta!$A$3:$A$24,0),1)*(I163+J163)*f_adblue,0)</f>
        <v>532.06938775510207</v>
      </c>
      <c r="M163" s="146">
        <f t="shared" si="60"/>
        <v>0</v>
      </c>
      <c r="N163" s="143" t="str">
        <f>IF(tuulisähkö_vuosi&lt;='S2 Bio'!C163,"tuulisähkö",ostosähkö_nyt)</f>
        <v>jäännössähkö</v>
      </c>
      <c r="O163" s="147">
        <f>INDEX(Muuttujat!$J$5:$J$21,MATCH($C163,Muuttujat!$H$5:$H$21,0),1)</f>
        <v>65.853419316547502</v>
      </c>
      <c r="P163" s="148">
        <f t="shared" si="54"/>
        <v>0.71133333333333337</v>
      </c>
      <c r="Q163" s="148">
        <f t="shared" ref="Q163:R182" si="65">IF(biosiirtymä_luonne="äkillinen",INDEX($AG$4:$AG$20,MATCH($C163,$AF$4:$AF$20,0),1),INDEX($AH$4:$AH$20,MATCH($C163,$AF$4:$AF$20,0),1))</f>
        <v>0.28866666666666663</v>
      </c>
      <c r="R163" s="148">
        <f t="shared" si="65"/>
        <v>0.28866666666666663</v>
      </c>
      <c r="S163" s="149">
        <f t="shared" si="48"/>
        <v>5.0677911900000012</v>
      </c>
      <c r="T163" s="150">
        <f t="shared" si="49"/>
        <v>6.7899249599999996</v>
      </c>
      <c r="U163" s="150">
        <f t="shared" si="50"/>
        <v>0</v>
      </c>
      <c r="V163" s="150">
        <f>IFERROR(INDEX(Työkonekanta!$J$3:$J$27,MATCH($A163,Työkonekanta!$A$3:$A$24,0),1)*$B163*ef_li_ion_akku/1000/1000/INDEX(Työkonekanta!$K$3:$K$27,MATCH($A163,Työkonekanta!$A$3:$A$24,0)),0)</f>
        <v>0</v>
      </c>
      <c r="W163" s="149">
        <f t="shared" si="61"/>
        <v>19.7907312583134</v>
      </c>
      <c r="X163" s="150">
        <f t="shared" si="62"/>
        <v>0.33363294300000002</v>
      </c>
      <c r="Y163" s="151">
        <f t="shared" si="63"/>
        <v>0.13833804081632653</v>
      </c>
      <c r="Z163" s="152">
        <f t="shared" si="55"/>
        <v>11.857716150000002</v>
      </c>
      <c r="AA163" s="153">
        <f t="shared" si="56"/>
        <v>19.929069299129726</v>
      </c>
      <c r="AB163" s="153">
        <f t="shared" si="57"/>
        <v>20.262702242129727</v>
      </c>
      <c r="AC163" s="154">
        <f t="shared" si="64"/>
        <v>31.786785449129727</v>
      </c>
      <c r="AD163" s="180">
        <f t="shared" si="58"/>
        <v>32.120418392129729</v>
      </c>
      <c r="AE163" s="160"/>
    </row>
    <row r="164" spans="1:31">
      <c r="A164" s="139">
        <v>12</v>
      </c>
      <c r="B164" s="139">
        <f>IFERROR(INDEX(Työkonekanta!$F$3:$F$27,MATCH('S2 Bio'!$A164,Työkonekanta!$A$3:$A$24,0),1),0)</f>
        <v>1</v>
      </c>
      <c r="C164" s="140">
        <v>2024</v>
      </c>
      <c r="D164" s="141" t="str">
        <f>IFERROR(INDEX(Työkonekanta!$D$3:$D$27,MATCH('S2 Bio'!$A164,Työkonekanta!$A$3:$A$24,0),1),"undefined")</f>
        <v>pom</v>
      </c>
      <c r="E164" s="145">
        <f>IFERROR(INDEX(Työkonekanta!$G$3:$G$27,MATCH($A164,Työkonekanta!$A$3:$A$24,0),1)*INDEX(Työkonekanta!$H$3:$H$27,MATCH($A164,Työkonekanta!$A$3:$A$24,0),1)*(1+_xlfn.SINGLE(s2_kerroin)*($C164-2019))*$B164,0)</f>
        <v>10500</v>
      </c>
      <c r="F164" s="145">
        <f t="shared" si="45"/>
        <v>376950</v>
      </c>
      <c r="G164" s="145">
        <f t="shared" si="51"/>
        <v>268137.10000000003</v>
      </c>
      <c r="H164" s="145">
        <f t="shared" si="52"/>
        <v>108812.89999999998</v>
      </c>
      <c r="I164" s="145">
        <f t="shared" si="46"/>
        <v>7469.0000000000009</v>
      </c>
      <c r="J164" s="145">
        <f t="shared" si="47"/>
        <v>3172.3877551020405</v>
      </c>
      <c r="K164" s="142" t="str">
        <f t="shared" si="53"/>
        <v>l</v>
      </c>
      <c r="L164" s="146">
        <f>IFERROR(INDEX(Työkonekanta!$I$3:$I$27,MATCH('S2 Bio'!$A164,Työkonekanta!$A$3:$A$24,0),1)*(I164+J164)*f_adblue,0)</f>
        <v>532.06938775510207</v>
      </c>
      <c r="M164" s="146">
        <f t="shared" si="60"/>
        <v>0</v>
      </c>
      <c r="N164" s="143" t="str">
        <f>IF(tuulisähkö_vuosi&lt;='S2 Bio'!C164,"tuulisähkö",ostosähkö_nyt)</f>
        <v>jäännössähkö</v>
      </c>
      <c r="O164" s="147">
        <f>INDEX(Muuttujat!$J$5:$J$21,MATCH($C164,Muuttujat!$H$5:$H$21,0),1)</f>
        <v>65.853419316547502</v>
      </c>
      <c r="P164" s="148">
        <f t="shared" si="54"/>
        <v>0.71133333333333337</v>
      </c>
      <c r="Q164" s="148">
        <f t="shared" si="65"/>
        <v>0.28866666666666663</v>
      </c>
      <c r="R164" s="148">
        <f t="shared" si="65"/>
        <v>0.28866666666666663</v>
      </c>
      <c r="S164" s="149">
        <f t="shared" si="48"/>
        <v>5.0677911900000012</v>
      </c>
      <c r="T164" s="150">
        <f t="shared" si="49"/>
        <v>6.7899249599999996</v>
      </c>
      <c r="U164" s="150">
        <f t="shared" si="50"/>
        <v>0</v>
      </c>
      <c r="V164" s="150">
        <f>IFERROR(INDEX(Työkonekanta!$J$3:$J$27,MATCH($A164,Työkonekanta!$A$3:$A$24,0),1)*$B164*ef_li_ion_akku/1000/1000/INDEX(Työkonekanta!$K$3:$K$27,MATCH($A164,Työkonekanta!$A$3:$A$24,0)),0)</f>
        <v>0</v>
      </c>
      <c r="W164" s="149">
        <f t="shared" si="61"/>
        <v>19.7907312583134</v>
      </c>
      <c r="X164" s="150">
        <f t="shared" si="62"/>
        <v>0.33363294300000002</v>
      </c>
      <c r="Y164" s="151">
        <f t="shared" si="63"/>
        <v>0.13833804081632653</v>
      </c>
      <c r="Z164" s="152">
        <f t="shared" si="55"/>
        <v>11.857716150000002</v>
      </c>
      <c r="AA164" s="153">
        <f t="shared" si="56"/>
        <v>19.929069299129726</v>
      </c>
      <c r="AB164" s="153">
        <f t="shared" si="57"/>
        <v>20.262702242129727</v>
      </c>
      <c r="AC164" s="154">
        <f t="shared" si="64"/>
        <v>31.786785449129727</v>
      </c>
      <c r="AD164" s="180">
        <f t="shared" si="58"/>
        <v>32.120418392129729</v>
      </c>
      <c r="AE164" s="160"/>
    </row>
    <row r="165" spans="1:31">
      <c r="A165" s="139">
        <v>13</v>
      </c>
      <c r="B165" s="139">
        <f>IFERROR(INDEX(Työkonekanta!$F$3:$F$27,MATCH('S2 Bio'!$A165,Työkonekanta!$A$3:$A$24,0),1),0)</f>
        <v>0</v>
      </c>
      <c r="C165" s="140">
        <v>2024</v>
      </c>
      <c r="D165" s="141" t="str">
        <f>IFERROR(INDEX(Työkonekanta!$D$3:$D$27,MATCH('S2 Bio'!$A165,Työkonekanta!$A$3:$A$24,0),1),"undefined")</f>
        <v>pom</v>
      </c>
      <c r="E165" s="145">
        <f>IFERROR(INDEX(Työkonekanta!$G$3:$G$27,MATCH($A165,Työkonekanta!$A$3:$A$24,0),1)*INDEX(Työkonekanta!$H$3:$H$27,MATCH($A165,Työkonekanta!$A$3:$A$24,0),1)*(1+_xlfn.SINGLE(s2_kerroin)*($C165-2019))*$B165,0)</f>
        <v>0</v>
      </c>
      <c r="F165" s="145">
        <f t="shared" si="45"/>
        <v>0</v>
      </c>
      <c r="G165" s="145">
        <f t="shared" si="51"/>
        <v>0</v>
      </c>
      <c r="H165" s="145">
        <f t="shared" si="52"/>
        <v>0</v>
      </c>
      <c r="I165" s="145">
        <f t="shared" si="46"/>
        <v>0</v>
      </c>
      <c r="J165" s="145">
        <f t="shared" si="47"/>
        <v>0</v>
      </c>
      <c r="K165" s="142" t="str">
        <f t="shared" si="53"/>
        <v>l</v>
      </c>
      <c r="L165" s="146">
        <f>IFERROR(INDEX(Työkonekanta!$I$3:$I$27,MATCH('S2 Bio'!$A165,Työkonekanta!$A$3:$A$24,0),1)*(I165+J165)*f_adblue,0)</f>
        <v>0</v>
      </c>
      <c r="M165" s="146">
        <f t="shared" si="60"/>
        <v>0</v>
      </c>
      <c r="N165" s="143" t="str">
        <f>IF(tuulisähkö_vuosi&lt;='S2 Bio'!C165,"tuulisähkö",ostosähkö_nyt)</f>
        <v>jäännössähkö</v>
      </c>
      <c r="O165" s="147">
        <f>INDEX(Muuttujat!$J$5:$J$21,MATCH($C165,Muuttujat!$H$5:$H$21,0),1)</f>
        <v>65.853419316547502</v>
      </c>
      <c r="P165" s="148">
        <f t="shared" si="54"/>
        <v>0.71133333333333337</v>
      </c>
      <c r="Q165" s="148">
        <f t="shared" si="65"/>
        <v>0.28866666666666663</v>
      </c>
      <c r="R165" s="148">
        <f t="shared" si="65"/>
        <v>0.28866666666666663</v>
      </c>
      <c r="S165" s="149">
        <f t="shared" si="48"/>
        <v>0</v>
      </c>
      <c r="T165" s="150">
        <f t="shared" si="49"/>
        <v>0</v>
      </c>
      <c r="U165" s="150">
        <f t="shared" si="50"/>
        <v>0</v>
      </c>
      <c r="V165" s="150">
        <f>IFERROR(INDEX(Työkonekanta!$J$3:$J$27,MATCH($A165,Työkonekanta!$A$3:$A$24,0),1)*$B165*ef_li_ion_akku/1000/1000/INDEX(Työkonekanta!$K$3:$K$27,MATCH($A165,Työkonekanta!$A$3:$A$24,0)),0)</f>
        <v>0</v>
      </c>
      <c r="W165" s="149">
        <f t="shared" si="61"/>
        <v>0</v>
      </c>
      <c r="X165" s="150">
        <f t="shared" si="62"/>
        <v>0</v>
      </c>
      <c r="Y165" s="151">
        <f t="shared" si="63"/>
        <v>0</v>
      </c>
      <c r="Z165" s="152">
        <f t="shared" si="55"/>
        <v>0</v>
      </c>
      <c r="AA165" s="153">
        <f t="shared" si="56"/>
        <v>0</v>
      </c>
      <c r="AB165" s="153">
        <f t="shared" si="57"/>
        <v>0</v>
      </c>
      <c r="AC165" s="154">
        <f t="shared" si="64"/>
        <v>0</v>
      </c>
      <c r="AD165" s="180">
        <f t="shared" si="58"/>
        <v>0</v>
      </c>
      <c r="AE165" s="160"/>
    </row>
    <row r="166" spans="1:31">
      <c r="A166" s="139">
        <v>14</v>
      </c>
      <c r="B166" s="139">
        <f>IFERROR(INDEX(Työkonekanta!$F$3:$F$27,MATCH('S2 Bio'!$A166,Työkonekanta!$A$3:$A$24,0),1),0)</f>
        <v>0</v>
      </c>
      <c r="C166" s="140">
        <v>2024</v>
      </c>
      <c r="D166" s="141" t="str">
        <f>IFERROR(INDEX(Työkonekanta!$D$3:$D$27,MATCH('S2 Bio'!$A166,Työkonekanta!$A$3:$A$24,0),1),"undefined")</f>
        <v>pom</v>
      </c>
      <c r="E166" s="145">
        <f>IFERROR(INDEX(Työkonekanta!$G$3:$G$27,MATCH($A166,Työkonekanta!$A$3:$A$24,0),1)*INDEX(Työkonekanta!$H$3:$H$27,MATCH($A166,Työkonekanta!$A$3:$A$24,0),1)*(1+_xlfn.SINGLE(s2_kerroin)*($C166-2019))*$B166,0)</f>
        <v>0</v>
      </c>
      <c r="F166" s="145">
        <f t="shared" si="45"/>
        <v>0</v>
      </c>
      <c r="G166" s="145">
        <f t="shared" si="51"/>
        <v>0</v>
      </c>
      <c r="H166" s="145">
        <f t="shared" si="52"/>
        <v>0</v>
      </c>
      <c r="I166" s="145">
        <f t="shared" si="46"/>
        <v>0</v>
      </c>
      <c r="J166" s="145">
        <f t="shared" si="47"/>
        <v>0</v>
      </c>
      <c r="K166" s="142" t="str">
        <f t="shared" si="53"/>
        <v>l</v>
      </c>
      <c r="L166" s="146">
        <f>IFERROR(INDEX(Työkonekanta!$I$3:$I$27,MATCH('S2 Bio'!$A166,Työkonekanta!$A$3:$A$24,0),1)*(I166+J166)*f_adblue,0)</f>
        <v>0</v>
      </c>
      <c r="M166" s="146">
        <f t="shared" si="60"/>
        <v>0</v>
      </c>
      <c r="N166" s="143" t="str">
        <f>IF(tuulisähkö_vuosi&lt;='S2 Bio'!C166,"tuulisähkö",ostosähkö_nyt)</f>
        <v>jäännössähkö</v>
      </c>
      <c r="O166" s="147">
        <f>INDEX(Muuttujat!$J$5:$J$21,MATCH($C166,Muuttujat!$H$5:$H$21,0),1)</f>
        <v>65.853419316547502</v>
      </c>
      <c r="P166" s="148">
        <f t="shared" si="54"/>
        <v>0.71133333333333337</v>
      </c>
      <c r="Q166" s="148">
        <f t="shared" si="65"/>
        <v>0.28866666666666663</v>
      </c>
      <c r="R166" s="148">
        <f t="shared" si="65"/>
        <v>0.28866666666666663</v>
      </c>
      <c r="S166" s="149">
        <f t="shared" si="48"/>
        <v>0</v>
      </c>
      <c r="T166" s="150">
        <f t="shared" si="49"/>
        <v>0</v>
      </c>
      <c r="U166" s="150">
        <f t="shared" si="50"/>
        <v>0</v>
      </c>
      <c r="V166" s="150">
        <f>IFERROR(INDEX(Työkonekanta!$J$3:$J$27,MATCH($A166,Työkonekanta!$A$3:$A$24,0),1)*$B166*ef_li_ion_akku/1000/1000/INDEX(Työkonekanta!$K$3:$K$27,MATCH($A166,Työkonekanta!$A$3:$A$24,0)),0)</f>
        <v>0</v>
      </c>
      <c r="W166" s="149">
        <f t="shared" si="61"/>
        <v>0</v>
      </c>
      <c r="X166" s="150">
        <f t="shared" si="62"/>
        <v>0</v>
      </c>
      <c r="Y166" s="151">
        <f t="shared" si="63"/>
        <v>0</v>
      </c>
      <c r="Z166" s="152">
        <f t="shared" si="55"/>
        <v>0</v>
      </c>
      <c r="AA166" s="153">
        <f t="shared" si="56"/>
        <v>0</v>
      </c>
      <c r="AB166" s="153">
        <f t="shared" si="57"/>
        <v>0</v>
      </c>
      <c r="AC166" s="154">
        <f t="shared" si="64"/>
        <v>0</v>
      </c>
      <c r="AD166" s="180">
        <f t="shared" si="58"/>
        <v>0</v>
      </c>
      <c r="AE166" s="160"/>
    </row>
    <row r="167" spans="1:31">
      <c r="A167" s="139">
        <v>15</v>
      </c>
      <c r="B167" s="139">
        <f>IFERROR(INDEX(Työkonekanta!$F$3:$F$27,MATCH('S2 Bio'!$A167,Työkonekanta!$A$3:$A$24,0),1),0)</f>
        <v>0</v>
      </c>
      <c r="C167" s="140">
        <v>2024</v>
      </c>
      <c r="D167" s="141" t="str">
        <f>IFERROR(INDEX(Työkonekanta!$D$3:$D$27,MATCH('S2 Bio'!$A167,Työkonekanta!$A$3:$A$24,0),1),"undefined")</f>
        <v>sähkö</v>
      </c>
      <c r="E167" s="145">
        <f>IFERROR(INDEX(Työkonekanta!$G$3:$G$27,MATCH($A167,Työkonekanta!$A$3:$A$24,0),1)*INDEX(Työkonekanta!$H$3:$H$27,MATCH($A167,Työkonekanta!$A$3:$A$24,0),1)*(1+_xlfn.SINGLE(s2_kerroin)*($C167-2019))*$B167,0)</f>
        <v>0</v>
      </c>
      <c r="F167" s="145">
        <f t="shared" si="45"/>
        <v>0</v>
      </c>
      <c r="G167" s="145">
        <f t="shared" si="51"/>
        <v>0</v>
      </c>
      <c r="H167" s="145">
        <f t="shared" si="52"/>
        <v>0</v>
      </c>
      <c r="I167" s="145">
        <f t="shared" si="46"/>
        <v>0</v>
      </c>
      <c r="J167" s="145">
        <f t="shared" si="47"/>
        <v>0</v>
      </c>
      <c r="K167" s="142" t="str">
        <f t="shared" si="53"/>
        <v>kWh</v>
      </c>
      <c r="L167" s="146">
        <f>IFERROR(INDEX(Työkonekanta!$I$3:$I$27,MATCH('S2 Bio'!$A167,Työkonekanta!$A$3:$A$24,0),1)*(I167+J167)*f_adblue,0)</f>
        <v>0</v>
      </c>
      <c r="M167" s="146">
        <f t="shared" si="60"/>
        <v>0</v>
      </c>
      <c r="N167" s="143" t="str">
        <f>IF(tuulisähkö_vuosi&lt;='S2 Bio'!C167,"tuulisähkö",ostosähkö_nyt)</f>
        <v>jäännössähkö</v>
      </c>
      <c r="O167" s="147">
        <f>INDEX(Muuttujat!$J$5:$J$21,MATCH($C167,Muuttujat!$H$5:$H$21,0),1)</f>
        <v>65.853419316547502</v>
      </c>
      <c r="P167" s="148">
        <f t="shared" si="54"/>
        <v>0.71133333333333337</v>
      </c>
      <c r="Q167" s="148">
        <f t="shared" si="65"/>
        <v>0.28866666666666663</v>
      </c>
      <c r="R167" s="148">
        <f t="shared" si="65"/>
        <v>0.28866666666666663</v>
      </c>
      <c r="S167" s="149">
        <f t="shared" si="48"/>
        <v>0</v>
      </c>
      <c r="T167" s="150">
        <f t="shared" si="49"/>
        <v>0</v>
      </c>
      <c r="U167" s="150">
        <f t="shared" si="50"/>
        <v>0</v>
      </c>
      <c r="V167" s="150">
        <f>IFERROR(INDEX(Työkonekanta!$J$3:$J$27,MATCH($A167,Työkonekanta!$A$3:$A$24,0),1)*$B167*ef_li_ion_akku/1000/1000/INDEX(Työkonekanta!$K$3:$K$27,MATCH($A167,Työkonekanta!$A$3:$A$24,0)),0)</f>
        <v>0</v>
      </c>
      <c r="W167" s="149">
        <f t="shared" si="61"/>
        <v>0</v>
      </c>
      <c r="X167" s="150">
        <f t="shared" si="62"/>
        <v>0</v>
      </c>
      <c r="Y167" s="151">
        <f t="shared" si="63"/>
        <v>0</v>
      </c>
      <c r="Z167" s="152">
        <f t="shared" si="55"/>
        <v>0</v>
      </c>
      <c r="AA167" s="153">
        <f t="shared" si="56"/>
        <v>0</v>
      </c>
      <c r="AB167" s="153">
        <f t="shared" si="57"/>
        <v>0</v>
      </c>
      <c r="AC167" s="154">
        <f t="shared" si="64"/>
        <v>0</v>
      </c>
      <c r="AD167" s="180">
        <f t="shared" si="58"/>
        <v>0</v>
      </c>
      <c r="AE167" s="160"/>
    </row>
    <row r="168" spans="1:31">
      <c r="A168" s="139">
        <v>16</v>
      </c>
      <c r="B168" s="139">
        <f>IFERROR(INDEX(Työkonekanta!$F$3:$F$27,MATCH('S2 Bio'!$A168,Työkonekanta!$A$3:$A$24,0),1),0)</f>
        <v>0</v>
      </c>
      <c r="C168" s="140">
        <v>2024</v>
      </c>
      <c r="D168" s="141" t="str">
        <f>IFERROR(INDEX(Työkonekanta!$D$3:$D$27,MATCH('S2 Bio'!$A168,Työkonekanta!$A$3:$A$24,0),1),"undefined")</f>
        <v>sähkö</v>
      </c>
      <c r="E168" s="145">
        <f>IFERROR(INDEX(Työkonekanta!$G$3:$G$27,MATCH($A168,Työkonekanta!$A$3:$A$24,0),1)*INDEX(Työkonekanta!$H$3:$H$27,MATCH($A168,Työkonekanta!$A$3:$A$24,0),1)*(1+_xlfn.SINGLE(s2_kerroin)*($C168-2019))*$B168,0)</f>
        <v>0</v>
      </c>
      <c r="F168" s="145">
        <f t="shared" si="45"/>
        <v>0</v>
      </c>
      <c r="G168" s="145">
        <f t="shared" si="51"/>
        <v>0</v>
      </c>
      <c r="H168" s="145">
        <f t="shared" si="52"/>
        <v>0</v>
      </c>
      <c r="I168" s="145">
        <f t="shared" si="46"/>
        <v>0</v>
      </c>
      <c r="J168" s="145">
        <f t="shared" si="47"/>
        <v>0</v>
      </c>
      <c r="K168" s="142" t="str">
        <f t="shared" si="53"/>
        <v>kWh</v>
      </c>
      <c r="L168" s="146">
        <f>IFERROR(INDEX(Työkonekanta!$I$3:$I$27,MATCH('S2 Bio'!$A168,Työkonekanta!$A$3:$A$24,0),1)*(I168+J168)*f_adblue,0)</f>
        <v>0</v>
      </c>
      <c r="M168" s="146">
        <f t="shared" si="60"/>
        <v>0</v>
      </c>
      <c r="N168" s="143" t="str">
        <f>IF(tuulisähkö_vuosi&lt;='S2 Bio'!C168,"tuulisähkö",ostosähkö_nyt)</f>
        <v>jäännössähkö</v>
      </c>
      <c r="O168" s="147">
        <f>INDEX(Muuttujat!$J$5:$J$21,MATCH($C168,Muuttujat!$H$5:$H$21,0),1)</f>
        <v>65.853419316547502</v>
      </c>
      <c r="P168" s="148">
        <f t="shared" si="54"/>
        <v>0.71133333333333337</v>
      </c>
      <c r="Q168" s="148">
        <f t="shared" si="65"/>
        <v>0.28866666666666663</v>
      </c>
      <c r="R168" s="148">
        <f t="shared" si="65"/>
        <v>0.28866666666666663</v>
      </c>
      <c r="S168" s="149">
        <f t="shared" si="48"/>
        <v>0</v>
      </c>
      <c r="T168" s="150">
        <f t="shared" si="49"/>
        <v>0</v>
      </c>
      <c r="U168" s="150">
        <f t="shared" si="50"/>
        <v>0</v>
      </c>
      <c r="V168" s="150">
        <f>IFERROR(INDEX(Työkonekanta!$J$3:$J$27,MATCH($A168,Työkonekanta!$A$3:$A$24,0),1)*$B168*ef_li_ion_akku/1000/1000/INDEX(Työkonekanta!$K$3:$K$27,MATCH($A168,Työkonekanta!$A$3:$A$24,0)),0)</f>
        <v>0</v>
      </c>
      <c r="W168" s="149">
        <f t="shared" si="61"/>
        <v>0</v>
      </c>
      <c r="X168" s="150">
        <f t="shared" si="62"/>
        <v>0</v>
      </c>
      <c r="Y168" s="151">
        <f t="shared" si="63"/>
        <v>0</v>
      </c>
      <c r="Z168" s="152">
        <f t="shared" si="55"/>
        <v>0</v>
      </c>
      <c r="AA168" s="153">
        <f t="shared" si="56"/>
        <v>0</v>
      </c>
      <c r="AB168" s="153">
        <f t="shared" si="57"/>
        <v>0</v>
      </c>
      <c r="AC168" s="154">
        <f t="shared" si="64"/>
        <v>0</v>
      </c>
      <c r="AD168" s="180">
        <f t="shared" si="58"/>
        <v>0</v>
      </c>
      <c r="AE168" s="160"/>
    </row>
    <row r="169" spans="1:31">
      <c r="A169" s="139">
        <v>17</v>
      </c>
      <c r="B169" s="139">
        <f>IFERROR(INDEX(Työkonekanta!$F$3:$F$27,MATCH('S2 Bio'!$A169,Työkonekanta!$A$3:$A$24,0),1),0)</f>
        <v>1</v>
      </c>
      <c r="C169" s="140">
        <v>2024</v>
      </c>
      <c r="D169" s="141" t="str">
        <f>IFERROR(INDEX(Työkonekanta!$D$3:$D$27,MATCH('S2 Bio'!$A169,Työkonekanta!$A$3:$A$24,0),1),"undefined")</f>
        <v>pom</v>
      </c>
      <c r="E169" s="145">
        <f>IFERROR(INDEX(Työkonekanta!$G$3:$G$27,MATCH($A169,Työkonekanta!$A$3:$A$24,0),1)*INDEX(Työkonekanta!$H$3:$H$27,MATCH($A169,Työkonekanta!$A$3:$A$24,0),1)*(1+_xlfn.SINGLE(s2_kerroin)*($C169-2019))*$B169,0)</f>
        <v>10500</v>
      </c>
      <c r="F169" s="145">
        <f t="shared" si="45"/>
        <v>376950</v>
      </c>
      <c r="G169" s="145">
        <f t="shared" si="51"/>
        <v>268137.10000000003</v>
      </c>
      <c r="H169" s="145">
        <f t="shared" si="52"/>
        <v>108812.89999999998</v>
      </c>
      <c r="I169" s="145">
        <f t="shared" si="46"/>
        <v>7469.0000000000009</v>
      </c>
      <c r="J169" s="145">
        <f t="shared" si="47"/>
        <v>3172.3877551020405</v>
      </c>
      <c r="K169" s="142" t="str">
        <f t="shared" si="53"/>
        <v>l</v>
      </c>
      <c r="L169" s="146">
        <f>IFERROR(INDEX(Työkonekanta!$I$3:$I$27,MATCH('S2 Bio'!$A169,Työkonekanta!$A$3:$A$24,0),1)*(I169+J169)*f_adblue,0)</f>
        <v>532.06938775510207</v>
      </c>
      <c r="M169" s="146">
        <f t="shared" si="60"/>
        <v>0</v>
      </c>
      <c r="N169" s="143" t="str">
        <f>IF(tuulisähkö_vuosi&lt;='S2 Bio'!C169,"tuulisähkö",ostosähkö_nyt)</f>
        <v>jäännössähkö</v>
      </c>
      <c r="O169" s="147">
        <f>INDEX(Muuttujat!$J$5:$J$21,MATCH($C169,Muuttujat!$H$5:$H$21,0),1)</f>
        <v>65.853419316547502</v>
      </c>
      <c r="P169" s="148">
        <f t="shared" si="54"/>
        <v>0.71133333333333337</v>
      </c>
      <c r="Q169" s="148">
        <f t="shared" si="65"/>
        <v>0.28866666666666663</v>
      </c>
      <c r="R169" s="148">
        <f t="shared" si="65"/>
        <v>0.28866666666666663</v>
      </c>
      <c r="S169" s="149">
        <f t="shared" si="48"/>
        <v>5.0677911900000012</v>
      </c>
      <c r="T169" s="150">
        <f t="shared" si="49"/>
        <v>6.7899249599999996</v>
      </c>
      <c r="U169" s="150">
        <f t="shared" si="50"/>
        <v>0</v>
      </c>
      <c r="V169" s="150">
        <f>IFERROR(INDEX(Työkonekanta!$J$3:$J$27,MATCH($A169,Työkonekanta!$A$3:$A$24,0),1)*$B169*ef_li_ion_akku/1000/1000/INDEX(Työkonekanta!$K$3:$K$27,MATCH($A169,Työkonekanta!$A$3:$A$24,0)),0)</f>
        <v>0</v>
      </c>
      <c r="W169" s="149">
        <f t="shared" si="61"/>
        <v>19.7907312583134</v>
      </c>
      <c r="X169" s="150">
        <f t="shared" si="62"/>
        <v>0.33363294300000002</v>
      </c>
      <c r="Y169" s="151">
        <f t="shared" si="63"/>
        <v>0.13833804081632653</v>
      </c>
      <c r="Z169" s="152">
        <f t="shared" si="55"/>
        <v>11.857716150000002</v>
      </c>
      <c r="AA169" s="153">
        <f t="shared" si="56"/>
        <v>19.929069299129726</v>
      </c>
      <c r="AB169" s="153">
        <f t="shared" si="57"/>
        <v>20.262702242129727</v>
      </c>
      <c r="AC169" s="154">
        <f t="shared" si="64"/>
        <v>31.786785449129727</v>
      </c>
      <c r="AD169" s="180">
        <f t="shared" si="58"/>
        <v>32.120418392129729</v>
      </c>
      <c r="AE169" s="160"/>
    </row>
    <row r="170" spans="1:31">
      <c r="A170" s="139">
        <v>18</v>
      </c>
      <c r="B170" s="139">
        <f>IFERROR(INDEX(Työkonekanta!$F$3:$F$27,MATCH('S2 Bio'!$A170,Työkonekanta!$A$3:$A$24,0),1),0)</f>
        <v>1</v>
      </c>
      <c r="C170" s="140">
        <v>2024</v>
      </c>
      <c r="D170" s="141" t="str">
        <f>IFERROR(INDEX(Työkonekanta!$D$3:$D$27,MATCH('S2 Bio'!$A170,Työkonekanta!$A$3:$A$24,0),1),"undefined")</f>
        <v>pom</v>
      </c>
      <c r="E170" s="145">
        <f>IFERROR(INDEX(Työkonekanta!$G$3:$G$27,MATCH($A170,Työkonekanta!$A$3:$A$24,0),1)*INDEX(Työkonekanta!$H$3:$H$27,MATCH($A170,Työkonekanta!$A$3:$A$24,0),1)*(1+_xlfn.SINGLE(s2_kerroin)*($C170-2019))*$B170,0)</f>
        <v>10500</v>
      </c>
      <c r="F170" s="145">
        <f t="shared" si="45"/>
        <v>376950</v>
      </c>
      <c r="G170" s="145">
        <f t="shared" si="51"/>
        <v>268137.10000000003</v>
      </c>
      <c r="H170" s="145">
        <f t="shared" si="52"/>
        <v>108812.89999999998</v>
      </c>
      <c r="I170" s="145">
        <f t="shared" si="46"/>
        <v>7469.0000000000009</v>
      </c>
      <c r="J170" s="145">
        <f t="shared" si="47"/>
        <v>3172.3877551020405</v>
      </c>
      <c r="K170" s="142" t="str">
        <f t="shared" si="53"/>
        <v>l</v>
      </c>
      <c r="L170" s="146">
        <f>IFERROR(INDEX(Työkonekanta!$I$3:$I$27,MATCH('S2 Bio'!$A170,Työkonekanta!$A$3:$A$24,0),1)*(I170+J170)*f_adblue,0)</f>
        <v>425.65551020408168</v>
      </c>
      <c r="M170" s="146">
        <f t="shared" si="60"/>
        <v>0</v>
      </c>
      <c r="N170" s="143" t="str">
        <f>IF(tuulisähkö_vuosi&lt;='S2 Bio'!C170,"tuulisähkö",ostosähkö_nyt)</f>
        <v>jäännössähkö</v>
      </c>
      <c r="O170" s="147">
        <f>INDEX(Muuttujat!$J$5:$J$21,MATCH($C170,Muuttujat!$H$5:$H$21,0),1)</f>
        <v>65.853419316547502</v>
      </c>
      <c r="P170" s="148">
        <f t="shared" si="54"/>
        <v>0.71133333333333337</v>
      </c>
      <c r="Q170" s="148">
        <f t="shared" si="65"/>
        <v>0.28866666666666663</v>
      </c>
      <c r="R170" s="148">
        <f t="shared" si="65"/>
        <v>0.28866666666666663</v>
      </c>
      <c r="S170" s="149">
        <f t="shared" si="48"/>
        <v>5.0677911900000012</v>
      </c>
      <c r="T170" s="150">
        <f t="shared" si="49"/>
        <v>6.7899249599999996</v>
      </c>
      <c r="U170" s="150">
        <f t="shared" si="50"/>
        <v>0</v>
      </c>
      <c r="V170" s="150">
        <f>IFERROR(INDEX(Työkonekanta!$J$3:$J$27,MATCH($A170,Työkonekanta!$A$3:$A$24,0),1)*$B170*ef_li_ion_akku/1000/1000/INDEX(Työkonekanta!$K$3:$K$27,MATCH($A170,Työkonekanta!$A$3:$A$24,0)),0)</f>
        <v>0</v>
      </c>
      <c r="W170" s="149">
        <f t="shared" si="61"/>
        <v>19.7907312583134</v>
      </c>
      <c r="X170" s="150">
        <f t="shared" si="62"/>
        <v>0.33363294300000002</v>
      </c>
      <c r="Y170" s="151">
        <f t="shared" si="63"/>
        <v>0.11067043265306123</v>
      </c>
      <c r="Z170" s="152">
        <f t="shared" si="55"/>
        <v>11.857716150000002</v>
      </c>
      <c r="AA170" s="153">
        <f t="shared" si="56"/>
        <v>19.901401690966463</v>
      </c>
      <c r="AB170" s="153">
        <f t="shared" si="57"/>
        <v>20.235034633966464</v>
      </c>
      <c r="AC170" s="154">
        <f t="shared" si="64"/>
        <v>31.759117840966464</v>
      </c>
      <c r="AD170" s="180">
        <f t="shared" si="58"/>
        <v>32.092750783966466</v>
      </c>
      <c r="AE170" s="160"/>
    </row>
    <row r="171" spans="1:31">
      <c r="A171" s="139">
        <v>19</v>
      </c>
      <c r="B171" s="139">
        <f>IFERROR(INDEX(Työkonekanta!$F$3:$F$27,MATCH('S2 Bio'!$A171,Työkonekanta!$A$3:$A$24,0),1),0)</f>
        <v>0</v>
      </c>
      <c r="C171" s="140">
        <v>2024</v>
      </c>
      <c r="D171" s="141" t="str">
        <f>IFERROR(INDEX(Työkonekanta!$D$3:$D$27,MATCH('S2 Bio'!$A171,Työkonekanta!$A$3:$A$24,0),1),"undefined")</f>
        <v>pom</v>
      </c>
      <c r="E171" s="145">
        <f>IFERROR(INDEX(Työkonekanta!$G$3:$G$27,MATCH($A171,Työkonekanta!$A$3:$A$24,0),1)*INDEX(Työkonekanta!$H$3:$H$27,MATCH($A171,Työkonekanta!$A$3:$A$24,0),1)*(1+_xlfn.SINGLE(s2_kerroin)*($C171-2019))*$B171,0)</f>
        <v>0</v>
      </c>
      <c r="F171" s="145">
        <f t="shared" si="45"/>
        <v>0</v>
      </c>
      <c r="G171" s="145">
        <f t="shared" si="51"/>
        <v>0</v>
      </c>
      <c r="H171" s="145">
        <f t="shared" si="52"/>
        <v>0</v>
      </c>
      <c r="I171" s="145">
        <f t="shared" si="46"/>
        <v>0</v>
      </c>
      <c r="J171" s="145">
        <f t="shared" si="47"/>
        <v>0</v>
      </c>
      <c r="K171" s="142" t="str">
        <f t="shared" si="53"/>
        <v>l</v>
      </c>
      <c r="L171" s="146">
        <f>IFERROR(INDEX(Työkonekanta!$I$3:$I$27,MATCH('S2 Bio'!$A171,Työkonekanta!$A$3:$A$24,0),1)*(I171+J171)*f_adblue,0)</f>
        <v>0</v>
      </c>
      <c r="M171" s="146">
        <f t="shared" si="60"/>
        <v>0</v>
      </c>
      <c r="N171" s="143" t="str">
        <f>IF(tuulisähkö_vuosi&lt;='S2 Bio'!C171,"tuulisähkö",ostosähkö_nyt)</f>
        <v>jäännössähkö</v>
      </c>
      <c r="O171" s="147">
        <f>INDEX(Muuttujat!$J$5:$J$21,MATCH($C171,Muuttujat!$H$5:$H$21,0),1)</f>
        <v>65.853419316547502</v>
      </c>
      <c r="P171" s="148">
        <f t="shared" si="54"/>
        <v>0.71133333333333337</v>
      </c>
      <c r="Q171" s="148">
        <f t="shared" si="65"/>
        <v>0.28866666666666663</v>
      </c>
      <c r="R171" s="148">
        <f t="shared" si="65"/>
        <v>0.28866666666666663</v>
      </c>
      <c r="S171" s="149">
        <f t="shared" si="48"/>
        <v>0</v>
      </c>
      <c r="T171" s="150">
        <f t="shared" si="49"/>
        <v>0</v>
      </c>
      <c r="U171" s="150">
        <f t="shared" si="50"/>
        <v>0</v>
      </c>
      <c r="V171" s="150">
        <f>IFERROR(INDEX(Työkonekanta!$J$3:$J$27,MATCH($A171,Työkonekanta!$A$3:$A$24,0),1)*$B171*ef_li_ion_akku/1000/1000/INDEX(Työkonekanta!$K$3:$K$27,MATCH($A171,Työkonekanta!$A$3:$A$24,0)),0)</f>
        <v>0</v>
      </c>
      <c r="W171" s="149">
        <f t="shared" si="61"/>
        <v>0</v>
      </c>
      <c r="X171" s="150">
        <f t="shared" si="62"/>
        <v>0</v>
      </c>
      <c r="Y171" s="151">
        <f t="shared" si="63"/>
        <v>0</v>
      </c>
      <c r="Z171" s="152">
        <f t="shared" si="55"/>
        <v>0</v>
      </c>
      <c r="AA171" s="153">
        <f t="shared" si="56"/>
        <v>0</v>
      </c>
      <c r="AB171" s="153">
        <f t="shared" si="57"/>
        <v>0</v>
      </c>
      <c r="AC171" s="154">
        <f t="shared" si="64"/>
        <v>0</v>
      </c>
      <c r="AD171" s="180">
        <f t="shared" si="58"/>
        <v>0</v>
      </c>
      <c r="AE171" s="160"/>
    </row>
    <row r="172" spans="1:31">
      <c r="A172" s="139">
        <v>20</v>
      </c>
      <c r="B172" s="139">
        <f>IFERROR(INDEX(Työkonekanta!$F$3:$F$27,MATCH('S2 Bio'!$A172,Työkonekanta!$A$3:$A$24,0),1),0)</f>
        <v>0</v>
      </c>
      <c r="C172" s="140">
        <v>2024</v>
      </c>
      <c r="D172" s="141" t="str">
        <f>IFERROR(INDEX(Työkonekanta!$D$3:$D$27,MATCH('S2 Bio'!$A172,Työkonekanta!$A$3:$A$24,0),1),"undefined")</f>
        <v>pom</v>
      </c>
      <c r="E172" s="145">
        <f>IFERROR(INDEX(Työkonekanta!$G$3:$G$27,MATCH($A172,Työkonekanta!$A$3:$A$24,0),1)*INDEX(Työkonekanta!$H$3:$H$27,MATCH($A172,Työkonekanta!$A$3:$A$24,0),1)*(1+_xlfn.SINGLE(s2_kerroin)*($C172-2019))*$B172,0)</f>
        <v>0</v>
      </c>
      <c r="F172" s="145">
        <f t="shared" si="45"/>
        <v>0</v>
      </c>
      <c r="G172" s="145">
        <f t="shared" si="51"/>
        <v>0</v>
      </c>
      <c r="H172" s="145">
        <f t="shared" si="52"/>
        <v>0</v>
      </c>
      <c r="I172" s="145">
        <f t="shared" si="46"/>
        <v>0</v>
      </c>
      <c r="J172" s="145">
        <f t="shared" si="47"/>
        <v>0</v>
      </c>
      <c r="K172" s="142" t="str">
        <f t="shared" si="53"/>
        <v>l</v>
      </c>
      <c r="L172" s="146">
        <f>IFERROR(INDEX(Työkonekanta!$I$3:$I$27,MATCH('S2 Bio'!$A172,Työkonekanta!$A$3:$A$24,0),1)*(I172+J172)*f_adblue,0)</f>
        <v>0</v>
      </c>
      <c r="M172" s="146">
        <f t="shared" si="60"/>
        <v>0</v>
      </c>
      <c r="N172" s="143" t="str">
        <f>IF(tuulisähkö_vuosi&lt;='S2 Bio'!C172,"tuulisähkö",ostosähkö_nyt)</f>
        <v>jäännössähkö</v>
      </c>
      <c r="O172" s="147">
        <f>INDEX(Muuttujat!$J$5:$J$21,MATCH($C172,Muuttujat!$H$5:$H$21,0),1)</f>
        <v>65.853419316547502</v>
      </c>
      <c r="P172" s="148">
        <f t="shared" si="54"/>
        <v>0.71133333333333337</v>
      </c>
      <c r="Q172" s="148">
        <f t="shared" si="65"/>
        <v>0.28866666666666663</v>
      </c>
      <c r="R172" s="148">
        <f t="shared" si="65"/>
        <v>0.28866666666666663</v>
      </c>
      <c r="S172" s="149">
        <f t="shared" si="48"/>
        <v>0</v>
      </c>
      <c r="T172" s="150">
        <f t="shared" si="49"/>
        <v>0</v>
      </c>
      <c r="U172" s="150">
        <f t="shared" si="50"/>
        <v>0</v>
      </c>
      <c r="V172" s="150">
        <f>IFERROR(INDEX(Työkonekanta!$J$3:$J$27,MATCH($A172,Työkonekanta!$A$3:$A$24,0),1)*$B172*ef_li_ion_akku/1000/1000/INDEX(Työkonekanta!$K$3:$K$27,MATCH($A172,Työkonekanta!$A$3:$A$24,0)),0)</f>
        <v>0</v>
      </c>
      <c r="W172" s="149">
        <f t="shared" si="61"/>
        <v>0</v>
      </c>
      <c r="X172" s="150">
        <f t="shared" si="62"/>
        <v>0</v>
      </c>
      <c r="Y172" s="151">
        <f t="shared" si="63"/>
        <v>0</v>
      </c>
      <c r="Z172" s="152">
        <f t="shared" si="55"/>
        <v>0</v>
      </c>
      <c r="AA172" s="153">
        <f t="shared" si="56"/>
        <v>0</v>
      </c>
      <c r="AB172" s="153">
        <f t="shared" si="57"/>
        <v>0</v>
      </c>
      <c r="AC172" s="154">
        <f t="shared" si="64"/>
        <v>0</v>
      </c>
      <c r="AD172" s="180">
        <f t="shared" si="58"/>
        <v>0</v>
      </c>
      <c r="AE172" s="160"/>
    </row>
    <row r="173" spans="1:31">
      <c r="A173" s="139">
        <v>21</v>
      </c>
      <c r="B173" s="139">
        <f>IFERROR(INDEX(Työkonekanta!$F$3:$F$27,MATCH('S2 Bio'!$A173,Työkonekanta!$A$3:$A$24,0),1),0)</f>
        <v>35</v>
      </c>
      <c r="C173" s="140">
        <v>2024</v>
      </c>
      <c r="D173" s="141" t="str">
        <f>IFERROR(INDEX(Työkonekanta!$D$3:$D$27,MATCH('S2 Bio'!$A173,Työkonekanta!$A$3:$A$24,0),1),"undefined")</f>
        <v>sähkö</v>
      </c>
      <c r="E173" s="145">
        <f>IFERROR(INDEX(Työkonekanta!$G$3:$G$27,MATCH($A173,Työkonekanta!$A$3:$A$24,0),1)*INDEX(Työkonekanta!$H$3:$H$27,MATCH($A173,Työkonekanta!$A$3:$A$24,0),1)*(1+_xlfn.SINGLE(s2_kerroin)*($C173-2019))*$B173,0)</f>
        <v>427559.02777777781</v>
      </c>
      <c r="F173" s="145">
        <f t="shared" si="45"/>
        <v>0</v>
      </c>
      <c r="G173" s="145">
        <f t="shared" si="51"/>
        <v>0</v>
      </c>
      <c r="H173" s="145">
        <f t="shared" si="52"/>
        <v>0</v>
      </c>
      <c r="I173" s="145">
        <f t="shared" si="46"/>
        <v>0</v>
      </c>
      <c r="J173" s="145">
        <f t="shared" si="47"/>
        <v>0</v>
      </c>
      <c r="K173" s="142" t="str">
        <f t="shared" si="53"/>
        <v>kWh</v>
      </c>
      <c r="L173" s="146">
        <f>IFERROR(INDEX(Työkonekanta!$I$3:$I$27,MATCH('S2 Bio'!$A173,Työkonekanta!$A$3:$A$24,0),1)*(I173+J173)*f_adblue,0)</f>
        <v>0</v>
      </c>
      <c r="M173" s="146">
        <f t="shared" si="60"/>
        <v>1539212.5000000002</v>
      </c>
      <c r="N173" s="143" t="str">
        <f>IF(tuulisähkö_vuosi&lt;='S2 Bio'!C173,"tuulisähkö",ostosähkö_nyt)</f>
        <v>jäännössähkö</v>
      </c>
      <c r="O173" s="147">
        <f>INDEX(Muuttujat!$J$5:$J$21,MATCH($C173,Muuttujat!$H$5:$H$21,0),1)</f>
        <v>65.853419316547502</v>
      </c>
      <c r="P173" s="148">
        <f t="shared" si="54"/>
        <v>0.71133333333333337</v>
      </c>
      <c r="Q173" s="148">
        <f t="shared" si="65"/>
        <v>0.28866666666666663</v>
      </c>
      <c r="R173" s="148">
        <f t="shared" si="65"/>
        <v>0.28866666666666663</v>
      </c>
      <c r="S173" s="149">
        <f t="shared" si="48"/>
        <v>0</v>
      </c>
      <c r="T173" s="150">
        <f t="shared" si="49"/>
        <v>0</v>
      </c>
      <c r="U173" s="150">
        <f t="shared" si="50"/>
        <v>101.3624061797714</v>
      </c>
      <c r="V173" s="150">
        <f>IFERROR(INDEX(Työkonekanta!$J$3:$J$27,MATCH($A173,Työkonekanta!$A$3:$A$24,0),1)*$B173*ef_li_ion_akku/1000/1000/INDEX(Työkonekanta!$K$3:$K$27,MATCH($A173,Työkonekanta!$A$3:$A$24,0)),0)</f>
        <v>43.121723076923082</v>
      </c>
      <c r="W173" s="149">
        <f t="shared" si="61"/>
        <v>0</v>
      </c>
      <c r="X173" s="150">
        <f t="shared" si="62"/>
        <v>0</v>
      </c>
      <c r="Y173" s="151">
        <f t="shared" si="63"/>
        <v>0</v>
      </c>
      <c r="Z173" s="152">
        <f t="shared" si="55"/>
        <v>144.48412925669447</v>
      </c>
      <c r="AA173" s="153">
        <f t="shared" si="56"/>
        <v>0</v>
      </c>
      <c r="AB173" s="153">
        <f t="shared" si="57"/>
        <v>0</v>
      </c>
      <c r="AC173" s="154">
        <f t="shared" si="64"/>
        <v>144.48412925669447</v>
      </c>
      <c r="AD173" s="180">
        <f t="shared" si="58"/>
        <v>144.48412925669447</v>
      </c>
      <c r="AE173" s="160"/>
    </row>
    <row r="174" spans="1:31">
      <c r="A174" s="139">
        <v>22</v>
      </c>
      <c r="B174" s="139">
        <f>IFERROR(INDEX(Työkonekanta!$F$3:$F$27,MATCH('S2 Bio'!$A174,Työkonekanta!$A$3:$A$24,0),1),0)</f>
        <v>0</v>
      </c>
      <c r="C174" s="140">
        <v>2024</v>
      </c>
      <c r="D174" s="141" t="str">
        <f>IFERROR(INDEX(Työkonekanta!$D$3:$D$27,MATCH('S2 Bio'!$A174,Työkonekanta!$A$3:$A$24,0),1),"undefined")</f>
        <v>sähkö</v>
      </c>
      <c r="E174" s="145">
        <f>IFERROR(INDEX(Työkonekanta!$G$3:$G$27,MATCH($A174,Työkonekanta!$A$3:$A$24,0),1)*INDEX(Työkonekanta!$H$3:$H$27,MATCH($A174,Työkonekanta!$A$3:$A$24,0),1)*(1+_xlfn.SINGLE(s2_kerroin)*($C174-2019))*$B174,0)</f>
        <v>0</v>
      </c>
      <c r="F174" s="145">
        <f t="shared" si="45"/>
        <v>0</v>
      </c>
      <c r="G174" s="145">
        <f t="shared" si="51"/>
        <v>0</v>
      </c>
      <c r="H174" s="145">
        <f t="shared" si="52"/>
        <v>0</v>
      </c>
      <c r="I174" s="145">
        <f t="shared" si="46"/>
        <v>0</v>
      </c>
      <c r="J174" s="145">
        <f t="shared" si="47"/>
        <v>0</v>
      </c>
      <c r="K174" s="142" t="str">
        <f t="shared" si="53"/>
        <v>kWh</v>
      </c>
      <c r="L174" s="146">
        <f>IFERROR(INDEX(Työkonekanta!$I$3:$I$27,MATCH('S2 Bio'!$A174,Työkonekanta!$A$3:$A$24,0),1)*(I174+J174)*f_adblue,0)</f>
        <v>0</v>
      </c>
      <c r="M174" s="146">
        <f t="shared" si="60"/>
        <v>0</v>
      </c>
      <c r="N174" s="143" t="str">
        <f>IF(tuulisähkö_vuosi&lt;='S2 Bio'!C174,"tuulisähkö",ostosähkö_nyt)</f>
        <v>jäännössähkö</v>
      </c>
      <c r="O174" s="147">
        <f>INDEX(Muuttujat!$J$5:$J$21,MATCH($C174,Muuttujat!$H$5:$H$21,0),1)</f>
        <v>65.853419316547502</v>
      </c>
      <c r="P174" s="148">
        <f t="shared" si="54"/>
        <v>0.71133333333333337</v>
      </c>
      <c r="Q174" s="148">
        <f t="shared" si="65"/>
        <v>0.28866666666666663</v>
      </c>
      <c r="R174" s="148">
        <f t="shared" si="65"/>
        <v>0.28866666666666663</v>
      </c>
      <c r="S174" s="149">
        <f t="shared" si="48"/>
        <v>0</v>
      </c>
      <c r="T174" s="150">
        <f t="shared" si="49"/>
        <v>0</v>
      </c>
      <c r="U174" s="150">
        <f t="shared" si="50"/>
        <v>0</v>
      </c>
      <c r="V174" s="150">
        <f>IFERROR(INDEX(Työkonekanta!$J$3:$J$27,MATCH($A174,Työkonekanta!$A$3:$A$24,0),1)*$B174*ef_li_ion_akku/1000/1000/INDEX(Työkonekanta!$K$3:$K$27,MATCH($A174,Työkonekanta!$A$3:$A$24,0)),0)</f>
        <v>0</v>
      </c>
      <c r="W174" s="149">
        <f t="shared" si="61"/>
        <v>0</v>
      </c>
      <c r="X174" s="150">
        <f t="shared" si="62"/>
        <v>0</v>
      </c>
      <c r="Y174" s="151">
        <f t="shared" si="63"/>
        <v>0</v>
      </c>
      <c r="Z174" s="152">
        <f t="shared" si="55"/>
        <v>0</v>
      </c>
      <c r="AA174" s="153">
        <f t="shared" si="56"/>
        <v>0</v>
      </c>
      <c r="AB174" s="153">
        <f t="shared" si="57"/>
        <v>0</v>
      </c>
      <c r="AC174" s="154">
        <f t="shared" si="64"/>
        <v>0</v>
      </c>
      <c r="AD174" s="180">
        <f t="shared" si="58"/>
        <v>0</v>
      </c>
      <c r="AE174" s="160"/>
    </row>
    <row r="175" spans="1:31">
      <c r="A175" s="139">
        <v>23</v>
      </c>
      <c r="B175" s="139">
        <f>IFERROR(INDEX(Työkonekanta!$F$3:$F$27,MATCH('S2 Bio'!$A175,Työkonekanta!$A$3:$A$24,0),1),0)</f>
        <v>0</v>
      </c>
      <c r="C175" s="140">
        <v>2024</v>
      </c>
      <c r="D175" s="141" t="str">
        <f>IFERROR(INDEX(Työkonekanta!$D$3:$D$27,MATCH('S2 Bio'!$A175,Työkonekanta!$A$3:$A$24,0),1),"undefined")</f>
        <v>undefined</v>
      </c>
      <c r="E175" s="145">
        <f>IFERROR(INDEX(Työkonekanta!$G$3:$G$27,MATCH($A175,Työkonekanta!$A$3:$A$24,0),1)*INDEX(Työkonekanta!$H$3:$H$27,MATCH($A175,Työkonekanta!$A$3:$A$24,0),1)*(1+_xlfn.SINGLE(s2_kerroin)*($C175-2019))*$B175,0)</f>
        <v>0</v>
      </c>
      <c r="F175" s="145">
        <f t="shared" si="45"/>
        <v>0</v>
      </c>
      <c r="G175" s="145">
        <f t="shared" si="51"/>
        <v>0</v>
      </c>
      <c r="H175" s="145">
        <f t="shared" si="52"/>
        <v>0</v>
      </c>
      <c r="I175" s="145">
        <f t="shared" si="46"/>
        <v>0</v>
      </c>
      <c r="J175" s="145">
        <f t="shared" si="47"/>
        <v>0</v>
      </c>
      <c r="K175" s="142" t="str">
        <f t="shared" si="53"/>
        <v>undefined</v>
      </c>
      <c r="L175" s="146">
        <f>IFERROR(INDEX(Työkonekanta!$I$3:$I$27,MATCH('S2 Bio'!$A175,Työkonekanta!$A$3:$A$24,0),1)*(I175+J175)*f_adblue,0)</f>
        <v>0</v>
      </c>
      <c r="M175" s="146">
        <f t="shared" si="60"/>
        <v>0</v>
      </c>
      <c r="N175" s="143" t="str">
        <f>IF(tuulisähkö_vuosi&lt;='S2 Bio'!C175,"tuulisähkö",ostosähkö_nyt)</f>
        <v>jäännössähkö</v>
      </c>
      <c r="O175" s="147">
        <f>INDEX(Muuttujat!$J$5:$J$21,MATCH($C175,Muuttujat!$H$5:$H$21,0),1)</f>
        <v>65.853419316547502</v>
      </c>
      <c r="P175" s="148">
        <f t="shared" si="54"/>
        <v>0.71133333333333337</v>
      </c>
      <c r="Q175" s="148">
        <f t="shared" si="65"/>
        <v>0.28866666666666663</v>
      </c>
      <c r="R175" s="148">
        <f t="shared" si="65"/>
        <v>0.28866666666666663</v>
      </c>
      <c r="S175" s="149">
        <f t="shared" si="48"/>
        <v>0</v>
      </c>
      <c r="T175" s="150">
        <f t="shared" si="49"/>
        <v>0</v>
      </c>
      <c r="U175" s="150">
        <f t="shared" si="50"/>
        <v>0</v>
      </c>
      <c r="V175" s="150">
        <f>IFERROR(INDEX(Työkonekanta!$J$3:$J$27,MATCH($A175,Työkonekanta!$A$3:$A$24,0),1)*$B175*ef_li_ion_akku/1000/1000/INDEX(Työkonekanta!$K$3:$K$27,MATCH($A175,Työkonekanta!$A$3:$A$24,0)),0)</f>
        <v>0</v>
      </c>
      <c r="W175" s="149">
        <f t="shared" si="61"/>
        <v>0</v>
      </c>
      <c r="X175" s="150">
        <f t="shared" si="62"/>
        <v>0</v>
      </c>
      <c r="Y175" s="151">
        <f t="shared" si="63"/>
        <v>0</v>
      </c>
      <c r="Z175" s="152">
        <f t="shared" si="55"/>
        <v>0</v>
      </c>
      <c r="AA175" s="153">
        <f t="shared" si="56"/>
        <v>0</v>
      </c>
      <c r="AB175" s="153">
        <f t="shared" si="57"/>
        <v>0</v>
      </c>
      <c r="AC175" s="154">
        <f t="shared" si="64"/>
        <v>0</v>
      </c>
      <c r="AD175" s="180">
        <f t="shared" si="58"/>
        <v>0</v>
      </c>
      <c r="AE175" s="160"/>
    </row>
    <row r="176" spans="1:31">
      <c r="A176" s="139">
        <v>24</v>
      </c>
      <c r="B176" s="139">
        <f>IFERROR(INDEX(Työkonekanta!$F$3:$F$27,MATCH('S2 Bio'!$A176,Työkonekanta!$A$3:$A$24,0),1),0)</f>
        <v>0</v>
      </c>
      <c r="C176" s="140">
        <v>2024</v>
      </c>
      <c r="D176" s="141" t="str">
        <f>IFERROR(INDEX(Työkonekanta!$D$3:$D$27,MATCH('S2 Bio'!$A176,Työkonekanta!$A$3:$A$24,0),1),"undefined")</f>
        <v>undefined</v>
      </c>
      <c r="E176" s="145">
        <f>IFERROR(INDEX(Työkonekanta!$G$3:$G$27,MATCH($A176,Työkonekanta!$A$3:$A$24,0),1)*INDEX(Työkonekanta!$H$3:$H$27,MATCH($A176,Työkonekanta!$A$3:$A$24,0),1)*(1+_xlfn.SINGLE(s2_kerroin)*($C176-2019))*$B176,0)</f>
        <v>0</v>
      </c>
      <c r="F176" s="145">
        <f t="shared" si="45"/>
        <v>0</v>
      </c>
      <c r="G176" s="145">
        <f t="shared" si="51"/>
        <v>0</v>
      </c>
      <c r="H176" s="145">
        <f t="shared" si="52"/>
        <v>0</v>
      </c>
      <c r="I176" s="145">
        <f t="shared" si="46"/>
        <v>0</v>
      </c>
      <c r="J176" s="145">
        <f t="shared" si="47"/>
        <v>0</v>
      </c>
      <c r="K176" s="142" t="str">
        <f t="shared" si="53"/>
        <v>undefined</v>
      </c>
      <c r="L176" s="146">
        <f>IFERROR(INDEX(Työkonekanta!$I$3:$I$27,MATCH('S2 Bio'!$A176,Työkonekanta!$A$3:$A$24,0),1)*(I176+J176)*f_adblue,0)</f>
        <v>0</v>
      </c>
      <c r="M176" s="146">
        <f t="shared" si="60"/>
        <v>0</v>
      </c>
      <c r="N176" s="143" t="str">
        <f>IF(tuulisähkö_vuosi&lt;='S2 Bio'!C176,"tuulisähkö",ostosähkö_nyt)</f>
        <v>jäännössähkö</v>
      </c>
      <c r="O176" s="147">
        <f>INDEX(Muuttujat!$J$5:$J$21,MATCH($C176,Muuttujat!$H$5:$H$21,0),1)</f>
        <v>65.853419316547502</v>
      </c>
      <c r="P176" s="148">
        <f t="shared" si="54"/>
        <v>0.71133333333333337</v>
      </c>
      <c r="Q176" s="148">
        <f t="shared" si="65"/>
        <v>0.28866666666666663</v>
      </c>
      <c r="R176" s="148">
        <f t="shared" si="65"/>
        <v>0.28866666666666663</v>
      </c>
      <c r="S176" s="149">
        <f t="shared" si="48"/>
        <v>0</v>
      </c>
      <c r="T176" s="150">
        <f t="shared" si="49"/>
        <v>0</v>
      </c>
      <c r="U176" s="150">
        <f t="shared" si="50"/>
        <v>0</v>
      </c>
      <c r="V176" s="150">
        <f>IFERROR(INDEX(Työkonekanta!$J$3:$J$27,MATCH($A176,Työkonekanta!$A$3:$A$24,0),1)*$B176*ef_li_ion_akku/1000/1000/INDEX(Työkonekanta!$K$3:$K$27,MATCH($A176,Työkonekanta!$A$3:$A$24,0)),0)</f>
        <v>0</v>
      </c>
      <c r="W176" s="149">
        <f t="shared" si="61"/>
        <v>0</v>
      </c>
      <c r="X176" s="150">
        <f t="shared" si="62"/>
        <v>0</v>
      </c>
      <c r="Y176" s="151">
        <f t="shared" si="63"/>
        <v>0</v>
      </c>
      <c r="Z176" s="152">
        <f t="shared" si="55"/>
        <v>0</v>
      </c>
      <c r="AA176" s="153">
        <f t="shared" si="56"/>
        <v>0</v>
      </c>
      <c r="AB176" s="153">
        <f t="shared" si="57"/>
        <v>0</v>
      </c>
      <c r="AC176" s="154">
        <f t="shared" si="64"/>
        <v>0</v>
      </c>
      <c r="AD176" s="180">
        <f t="shared" si="58"/>
        <v>0</v>
      </c>
      <c r="AE176" s="160"/>
    </row>
    <row r="177" spans="1:31">
      <c r="A177" s="139">
        <v>25</v>
      </c>
      <c r="B177" s="139">
        <f>IFERROR(INDEX(Työkonekanta!$F$3:$F$27,MATCH('S2 Bio'!$A177,Työkonekanta!$A$3:$A$24,0),1),0)</f>
        <v>0</v>
      </c>
      <c r="C177" s="140">
        <v>2024</v>
      </c>
      <c r="D177" s="141" t="str">
        <f>IFERROR(INDEX(Työkonekanta!$D$3:$D$27,MATCH('S2 Bio'!$A177,Työkonekanta!$A$3:$A$24,0),1),"undefined")</f>
        <v>undefined</v>
      </c>
      <c r="E177" s="145">
        <f>IFERROR(INDEX(Työkonekanta!$G$3:$G$27,MATCH($A177,Työkonekanta!$A$3:$A$24,0),1)*INDEX(Työkonekanta!$H$3:$H$27,MATCH($A177,Työkonekanta!$A$3:$A$24,0),1)*(1+_xlfn.SINGLE(s2_kerroin)*($C177-2019))*$B177,0)</f>
        <v>0</v>
      </c>
      <c r="F177" s="145">
        <f t="shared" si="45"/>
        <v>0</v>
      </c>
      <c r="G177" s="145">
        <f t="shared" si="51"/>
        <v>0</v>
      </c>
      <c r="H177" s="145">
        <f t="shared" si="52"/>
        <v>0</v>
      </c>
      <c r="I177" s="145">
        <f t="shared" si="46"/>
        <v>0</v>
      </c>
      <c r="J177" s="145">
        <f t="shared" si="47"/>
        <v>0</v>
      </c>
      <c r="K177" s="142" t="str">
        <f t="shared" si="53"/>
        <v>undefined</v>
      </c>
      <c r="L177" s="146">
        <f>IFERROR(INDEX(Työkonekanta!$I$3:$I$27,MATCH('S2 Bio'!$A177,Työkonekanta!$A$3:$A$24,0),1)*(I177+J177)*f_adblue,0)</f>
        <v>0</v>
      </c>
      <c r="M177" s="146">
        <f t="shared" si="60"/>
        <v>0</v>
      </c>
      <c r="N177" s="143" t="str">
        <f>IF(tuulisähkö_vuosi&lt;='S2 Bio'!C177,"tuulisähkö",ostosähkö_nyt)</f>
        <v>jäännössähkö</v>
      </c>
      <c r="O177" s="147">
        <f>INDEX(Muuttujat!$J$5:$J$21,MATCH($C177,Muuttujat!$H$5:$H$21,0),1)</f>
        <v>65.853419316547502</v>
      </c>
      <c r="P177" s="148">
        <f t="shared" si="54"/>
        <v>0.71133333333333337</v>
      </c>
      <c r="Q177" s="148">
        <f t="shared" si="65"/>
        <v>0.28866666666666663</v>
      </c>
      <c r="R177" s="148">
        <f t="shared" si="65"/>
        <v>0.28866666666666663</v>
      </c>
      <c r="S177" s="149">
        <f t="shared" si="48"/>
        <v>0</v>
      </c>
      <c r="T177" s="150">
        <f t="shared" si="49"/>
        <v>0</v>
      </c>
      <c r="U177" s="150">
        <f t="shared" si="50"/>
        <v>0</v>
      </c>
      <c r="V177" s="150">
        <f>IFERROR(INDEX(Työkonekanta!$J$3:$J$27,MATCH($A177,Työkonekanta!$A$3:$A$24,0),1)*$B177*ef_li_ion_akku/1000/1000/INDEX(Työkonekanta!$K$3:$K$27,MATCH($A177,Työkonekanta!$A$3:$A$24,0)),0)</f>
        <v>0</v>
      </c>
      <c r="W177" s="149">
        <f t="shared" si="61"/>
        <v>0</v>
      </c>
      <c r="X177" s="150">
        <f t="shared" si="62"/>
        <v>0</v>
      </c>
      <c r="Y177" s="151">
        <f t="shared" si="63"/>
        <v>0</v>
      </c>
      <c r="Z177" s="152">
        <f t="shared" si="55"/>
        <v>0</v>
      </c>
      <c r="AA177" s="153">
        <f t="shared" si="56"/>
        <v>0</v>
      </c>
      <c r="AB177" s="153">
        <f t="shared" si="57"/>
        <v>0</v>
      </c>
      <c r="AC177" s="154">
        <f t="shared" si="64"/>
        <v>0</v>
      </c>
      <c r="AD177" s="180">
        <f t="shared" si="58"/>
        <v>0</v>
      </c>
      <c r="AE177" s="160"/>
    </row>
    <row r="178" spans="1:31">
      <c r="A178" s="139">
        <v>26</v>
      </c>
      <c r="B178" s="139">
        <f>IFERROR(INDEX(Työkonekanta!$F$3:$F$27,MATCH('S2 Bio'!$A178,Työkonekanta!$A$3:$A$24,0),1),0)</f>
        <v>0</v>
      </c>
      <c r="C178" s="140">
        <v>2024</v>
      </c>
      <c r="D178" s="141" t="str">
        <f>IFERROR(INDEX(Työkonekanta!$D$3:$D$27,MATCH('S2 Bio'!$A178,Työkonekanta!$A$3:$A$24,0),1),"undefined")</f>
        <v>undefined</v>
      </c>
      <c r="E178" s="145">
        <f>IFERROR(INDEX(Työkonekanta!$G$3:$G$27,MATCH($A178,Työkonekanta!$A$3:$A$24,0),1)*INDEX(Työkonekanta!$H$3:$H$27,MATCH($A178,Työkonekanta!$A$3:$A$24,0),1)*(1+_xlfn.SINGLE(s2_kerroin)*($C178-2019))*$B178,0)</f>
        <v>0</v>
      </c>
      <c r="F178" s="145">
        <f t="shared" si="45"/>
        <v>0</v>
      </c>
      <c r="G178" s="145">
        <f t="shared" si="51"/>
        <v>0</v>
      </c>
      <c r="H178" s="145">
        <f t="shared" si="52"/>
        <v>0</v>
      </c>
      <c r="I178" s="145">
        <f t="shared" si="46"/>
        <v>0</v>
      </c>
      <c r="J178" s="145">
        <f t="shared" si="47"/>
        <v>0</v>
      </c>
      <c r="K178" s="142" t="str">
        <f t="shared" si="53"/>
        <v>undefined</v>
      </c>
      <c r="L178" s="146">
        <f>IFERROR(INDEX(Työkonekanta!$I$3:$I$27,MATCH('S2 Bio'!$A178,Työkonekanta!$A$3:$A$24,0),1)*(I178+J178)*f_adblue,0)</f>
        <v>0</v>
      </c>
      <c r="M178" s="146">
        <f t="shared" si="60"/>
        <v>0</v>
      </c>
      <c r="N178" s="143" t="str">
        <f>IF(tuulisähkö_vuosi&lt;='S2 Bio'!C178,"tuulisähkö",ostosähkö_nyt)</f>
        <v>jäännössähkö</v>
      </c>
      <c r="O178" s="147">
        <f>INDEX(Muuttujat!$J$5:$J$21,MATCH($C178,Muuttujat!$H$5:$H$21,0),1)</f>
        <v>65.853419316547502</v>
      </c>
      <c r="P178" s="148">
        <f t="shared" si="54"/>
        <v>0.71133333333333337</v>
      </c>
      <c r="Q178" s="148">
        <f t="shared" si="65"/>
        <v>0.28866666666666663</v>
      </c>
      <c r="R178" s="148">
        <f t="shared" si="65"/>
        <v>0.28866666666666663</v>
      </c>
      <c r="S178" s="149">
        <f t="shared" si="48"/>
        <v>0</v>
      </c>
      <c r="T178" s="150">
        <f t="shared" si="49"/>
        <v>0</v>
      </c>
      <c r="U178" s="150">
        <f t="shared" si="50"/>
        <v>0</v>
      </c>
      <c r="V178" s="150">
        <f>IFERROR(INDEX(Työkonekanta!$J$3:$J$27,MATCH($A178,Työkonekanta!$A$3:$A$24,0),1)*$B178*ef_li_ion_akku/1000/1000/INDEX(Työkonekanta!$K$3:$K$27,MATCH($A178,Työkonekanta!$A$3:$A$24,0)),0)</f>
        <v>0</v>
      </c>
      <c r="W178" s="149">
        <f t="shared" si="61"/>
        <v>0</v>
      </c>
      <c r="X178" s="150">
        <f t="shared" si="62"/>
        <v>0</v>
      </c>
      <c r="Y178" s="151">
        <f t="shared" si="63"/>
        <v>0</v>
      </c>
      <c r="Z178" s="152">
        <f t="shared" si="55"/>
        <v>0</v>
      </c>
      <c r="AA178" s="153">
        <f t="shared" si="56"/>
        <v>0</v>
      </c>
      <c r="AB178" s="153">
        <f t="shared" si="57"/>
        <v>0</v>
      </c>
      <c r="AC178" s="154">
        <f t="shared" si="64"/>
        <v>0</v>
      </c>
      <c r="AD178" s="180">
        <f t="shared" si="58"/>
        <v>0</v>
      </c>
      <c r="AE178" s="160"/>
    </row>
    <row r="179" spans="1:31">
      <c r="A179" s="139">
        <v>27</v>
      </c>
      <c r="B179" s="139">
        <f>IFERROR(INDEX(Työkonekanta!$F$3:$F$27,MATCH('S2 Bio'!$A179,Työkonekanta!$A$3:$A$24,0),1),0)</f>
        <v>0</v>
      </c>
      <c r="C179" s="140">
        <v>2024</v>
      </c>
      <c r="D179" s="141" t="str">
        <f>IFERROR(INDEX(Työkonekanta!$D$3:$D$27,MATCH('S2 Bio'!$A179,Työkonekanta!$A$3:$A$24,0),1),"undefined")</f>
        <v>undefined</v>
      </c>
      <c r="E179" s="145">
        <f>IFERROR(INDEX(Työkonekanta!$G$3:$G$27,MATCH($A179,Työkonekanta!$A$3:$A$24,0),1)*INDEX(Työkonekanta!$H$3:$H$27,MATCH($A179,Työkonekanta!$A$3:$A$24,0),1)*(1+_xlfn.SINGLE(s2_kerroin)*($C179-2019))*$B179,0)</f>
        <v>0</v>
      </c>
      <c r="F179" s="145">
        <f t="shared" si="45"/>
        <v>0</v>
      </c>
      <c r="G179" s="145">
        <f t="shared" si="51"/>
        <v>0</v>
      </c>
      <c r="H179" s="145">
        <f t="shared" si="52"/>
        <v>0</v>
      </c>
      <c r="I179" s="145">
        <f t="shared" si="46"/>
        <v>0</v>
      </c>
      <c r="J179" s="145">
        <f t="shared" si="47"/>
        <v>0</v>
      </c>
      <c r="K179" s="142" t="str">
        <f t="shared" si="53"/>
        <v>undefined</v>
      </c>
      <c r="L179" s="146">
        <f>IFERROR(INDEX(Työkonekanta!$I$3:$I$27,MATCH('S2 Bio'!$A179,Työkonekanta!$A$3:$A$24,0),1)*(I179+J179)*f_adblue,0)</f>
        <v>0</v>
      </c>
      <c r="M179" s="146">
        <f t="shared" si="60"/>
        <v>0</v>
      </c>
      <c r="N179" s="143" t="str">
        <f>IF(tuulisähkö_vuosi&lt;='S2 Bio'!C179,"tuulisähkö",ostosähkö_nyt)</f>
        <v>jäännössähkö</v>
      </c>
      <c r="O179" s="147">
        <f>INDEX(Muuttujat!$J$5:$J$21,MATCH($C179,Muuttujat!$H$5:$H$21,0),1)</f>
        <v>65.853419316547502</v>
      </c>
      <c r="P179" s="148">
        <f t="shared" si="54"/>
        <v>0.71133333333333337</v>
      </c>
      <c r="Q179" s="148">
        <f t="shared" si="65"/>
        <v>0.28866666666666663</v>
      </c>
      <c r="R179" s="148">
        <f t="shared" si="65"/>
        <v>0.28866666666666663</v>
      </c>
      <c r="S179" s="149">
        <f t="shared" si="48"/>
        <v>0</v>
      </c>
      <c r="T179" s="150">
        <f t="shared" si="49"/>
        <v>0</v>
      </c>
      <c r="U179" s="150">
        <f t="shared" si="50"/>
        <v>0</v>
      </c>
      <c r="V179" s="150">
        <f>IFERROR(INDEX(Työkonekanta!$J$3:$J$27,MATCH($A179,Työkonekanta!$A$3:$A$24,0),1)*$B179*ef_li_ion_akku/1000/1000/INDEX(Työkonekanta!$K$3:$K$27,MATCH($A179,Työkonekanta!$A$3:$A$24,0)),0)</f>
        <v>0</v>
      </c>
      <c r="W179" s="149">
        <f t="shared" si="61"/>
        <v>0</v>
      </c>
      <c r="X179" s="150">
        <f t="shared" si="62"/>
        <v>0</v>
      </c>
      <c r="Y179" s="151">
        <f t="shared" si="63"/>
        <v>0</v>
      </c>
      <c r="Z179" s="152">
        <f t="shared" si="55"/>
        <v>0</v>
      </c>
      <c r="AA179" s="153">
        <f t="shared" si="56"/>
        <v>0</v>
      </c>
      <c r="AB179" s="153">
        <f t="shared" si="57"/>
        <v>0</v>
      </c>
      <c r="AC179" s="154">
        <f t="shared" si="64"/>
        <v>0</v>
      </c>
      <c r="AD179" s="180">
        <f t="shared" si="58"/>
        <v>0</v>
      </c>
      <c r="AE179" s="160"/>
    </row>
    <row r="180" spans="1:31">
      <c r="A180" s="139">
        <v>28</v>
      </c>
      <c r="B180" s="139">
        <f>IFERROR(INDEX(Työkonekanta!$F$3:$F$27,MATCH('S2 Bio'!$A180,Työkonekanta!$A$3:$A$24,0),1),0)</f>
        <v>0</v>
      </c>
      <c r="C180" s="140">
        <v>2024</v>
      </c>
      <c r="D180" s="141" t="str">
        <f>IFERROR(INDEX(Työkonekanta!$D$3:$D$27,MATCH('S2 Bio'!$A180,Työkonekanta!$A$3:$A$24,0),1),"undefined")</f>
        <v>undefined</v>
      </c>
      <c r="E180" s="145">
        <f>IFERROR(INDEX(Työkonekanta!$G$3:$G$27,MATCH($A180,Työkonekanta!$A$3:$A$24,0),1)*INDEX(Työkonekanta!$H$3:$H$27,MATCH($A180,Työkonekanta!$A$3:$A$24,0),1)*(1+_xlfn.SINGLE(s2_kerroin)*($C180-2019))*$B180,0)</f>
        <v>0</v>
      </c>
      <c r="F180" s="145">
        <f t="shared" si="45"/>
        <v>0</v>
      </c>
      <c r="G180" s="145">
        <f t="shared" si="51"/>
        <v>0</v>
      </c>
      <c r="H180" s="145">
        <f t="shared" si="52"/>
        <v>0</v>
      </c>
      <c r="I180" s="145">
        <f t="shared" si="46"/>
        <v>0</v>
      </c>
      <c r="J180" s="145">
        <f t="shared" si="47"/>
        <v>0</v>
      </c>
      <c r="K180" s="142" t="str">
        <f t="shared" si="53"/>
        <v>undefined</v>
      </c>
      <c r="L180" s="146">
        <f>IFERROR(INDEX(Työkonekanta!$I$3:$I$27,MATCH('S2 Bio'!$A180,Työkonekanta!$A$3:$A$24,0),1)*(I180+J180)*f_adblue,0)</f>
        <v>0</v>
      </c>
      <c r="M180" s="146">
        <f t="shared" si="60"/>
        <v>0</v>
      </c>
      <c r="N180" s="143" t="str">
        <f>IF(tuulisähkö_vuosi&lt;='S2 Bio'!C180,"tuulisähkö",ostosähkö_nyt)</f>
        <v>jäännössähkö</v>
      </c>
      <c r="O180" s="147">
        <f>INDEX(Muuttujat!$J$5:$J$21,MATCH($C180,Muuttujat!$H$5:$H$21,0),1)</f>
        <v>65.853419316547502</v>
      </c>
      <c r="P180" s="148">
        <f t="shared" si="54"/>
        <v>0.71133333333333337</v>
      </c>
      <c r="Q180" s="148">
        <f t="shared" si="65"/>
        <v>0.28866666666666663</v>
      </c>
      <c r="R180" s="148">
        <f t="shared" si="65"/>
        <v>0.28866666666666663</v>
      </c>
      <c r="S180" s="149">
        <f t="shared" si="48"/>
        <v>0</v>
      </c>
      <c r="T180" s="150">
        <f t="shared" si="49"/>
        <v>0</v>
      </c>
      <c r="U180" s="150">
        <f t="shared" si="50"/>
        <v>0</v>
      </c>
      <c r="V180" s="150">
        <f>IFERROR(INDEX(Työkonekanta!$J$3:$J$27,MATCH($A180,Työkonekanta!$A$3:$A$24,0),1)*$B180*ef_li_ion_akku/1000/1000/INDEX(Työkonekanta!$K$3:$K$27,MATCH($A180,Työkonekanta!$A$3:$A$24,0)),0)</f>
        <v>0</v>
      </c>
      <c r="W180" s="149">
        <f t="shared" si="61"/>
        <v>0</v>
      </c>
      <c r="X180" s="150">
        <f t="shared" si="62"/>
        <v>0</v>
      </c>
      <c r="Y180" s="151">
        <f t="shared" si="63"/>
        <v>0</v>
      </c>
      <c r="Z180" s="152">
        <f t="shared" si="55"/>
        <v>0</v>
      </c>
      <c r="AA180" s="153">
        <f t="shared" si="56"/>
        <v>0</v>
      </c>
      <c r="AB180" s="153">
        <f t="shared" si="57"/>
        <v>0</v>
      </c>
      <c r="AC180" s="154">
        <f t="shared" si="64"/>
        <v>0</v>
      </c>
      <c r="AD180" s="180">
        <f t="shared" si="58"/>
        <v>0</v>
      </c>
      <c r="AE180" s="160"/>
    </row>
    <row r="181" spans="1:31">
      <c r="A181" s="139">
        <v>29</v>
      </c>
      <c r="B181" s="139">
        <f>IFERROR(INDEX(Työkonekanta!$F$3:$F$27,MATCH('S2 Bio'!$A181,Työkonekanta!$A$3:$A$24,0),1),0)</f>
        <v>0</v>
      </c>
      <c r="C181" s="140">
        <v>2024</v>
      </c>
      <c r="D181" s="141" t="str">
        <f>IFERROR(INDEX(Työkonekanta!$D$3:$D$27,MATCH('S2 Bio'!$A181,Työkonekanta!$A$3:$A$24,0),1),"undefined")</f>
        <v>undefined</v>
      </c>
      <c r="E181" s="145">
        <f>IFERROR(INDEX(Työkonekanta!$G$3:$G$27,MATCH($A181,Työkonekanta!$A$3:$A$24,0),1)*INDEX(Työkonekanta!$H$3:$H$27,MATCH($A181,Työkonekanta!$A$3:$A$24,0),1)*(1+_xlfn.SINGLE(s2_kerroin)*($C181-2019))*$B181,0)</f>
        <v>0</v>
      </c>
      <c r="F181" s="145">
        <f t="shared" si="45"/>
        <v>0</v>
      </c>
      <c r="G181" s="145">
        <f t="shared" si="51"/>
        <v>0</v>
      </c>
      <c r="H181" s="145">
        <f t="shared" si="52"/>
        <v>0</v>
      </c>
      <c r="I181" s="145">
        <f t="shared" si="46"/>
        <v>0</v>
      </c>
      <c r="J181" s="145">
        <f t="shared" si="47"/>
        <v>0</v>
      </c>
      <c r="K181" s="142" t="str">
        <f t="shared" si="53"/>
        <v>undefined</v>
      </c>
      <c r="L181" s="146">
        <f>IFERROR(INDEX(Työkonekanta!$I$3:$I$27,MATCH('S2 Bio'!$A181,Työkonekanta!$A$3:$A$24,0),1)*(I181+J181)*f_adblue,0)</f>
        <v>0</v>
      </c>
      <c r="M181" s="146">
        <f t="shared" si="60"/>
        <v>0</v>
      </c>
      <c r="N181" s="143" t="str">
        <f>IF(tuulisähkö_vuosi&lt;='S2 Bio'!C181,"tuulisähkö",ostosähkö_nyt)</f>
        <v>jäännössähkö</v>
      </c>
      <c r="O181" s="147">
        <f>INDEX(Muuttujat!$J$5:$J$21,MATCH($C181,Muuttujat!$H$5:$H$21,0),1)</f>
        <v>65.853419316547502</v>
      </c>
      <c r="P181" s="148">
        <f t="shared" si="54"/>
        <v>0.71133333333333337</v>
      </c>
      <c r="Q181" s="148">
        <f t="shared" si="65"/>
        <v>0.28866666666666663</v>
      </c>
      <c r="R181" s="148">
        <f t="shared" si="65"/>
        <v>0.28866666666666663</v>
      </c>
      <c r="S181" s="149">
        <f t="shared" si="48"/>
        <v>0</v>
      </c>
      <c r="T181" s="150">
        <f t="shared" si="49"/>
        <v>0</v>
      </c>
      <c r="U181" s="150">
        <f t="shared" si="50"/>
        <v>0</v>
      </c>
      <c r="V181" s="150">
        <f>IFERROR(INDEX(Työkonekanta!$J$3:$J$27,MATCH($A181,Työkonekanta!$A$3:$A$24,0),1)*$B181*ef_li_ion_akku/1000/1000/INDEX(Työkonekanta!$K$3:$K$27,MATCH($A181,Työkonekanta!$A$3:$A$24,0)),0)</f>
        <v>0</v>
      </c>
      <c r="W181" s="149">
        <f t="shared" si="61"/>
        <v>0</v>
      </c>
      <c r="X181" s="150">
        <f t="shared" si="62"/>
        <v>0</v>
      </c>
      <c r="Y181" s="151">
        <f t="shared" si="63"/>
        <v>0</v>
      </c>
      <c r="Z181" s="152">
        <f t="shared" si="55"/>
        <v>0</v>
      </c>
      <c r="AA181" s="153">
        <f t="shared" si="56"/>
        <v>0</v>
      </c>
      <c r="AB181" s="153">
        <f t="shared" si="57"/>
        <v>0</v>
      </c>
      <c r="AC181" s="154">
        <f t="shared" si="64"/>
        <v>0</v>
      </c>
      <c r="AD181" s="180">
        <f t="shared" si="58"/>
        <v>0</v>
      </c>
      <c r="AE181" s="160"/>
    </row>
    <row r="182" spans="1:31">
      <c r="A182" s="139">
        <v>30</v>
      </c>
      <c r="B182" s="139">
        <f>IFERROR(INDEX(Työkonekanta!$F$3:$F$27,MATCH('S2 Bio'!$A182,Työkonekanta!$A$3:$A$24,0),1),0)</f>
        <v>0</v>
      </c>
      <c r="C182" s="140">
        <v>2024</v>
      </c>
      <c r="D182" s="141" t="str">
        <f>IFERROR(INDEX(Työkonekanta!$D$3:$D$27,MATCH('S2 Bio'!$A182,Työkonekanta!$A$3:$A$24,0),1),"undefined")</f>
        <v>undefined</v>
      </c>
      <c r="E182" s="145">
        <f>IFERROR(INDEX(Työkonekanta!$G$3:$G$27,MATCH($A182,Työkonekanta!$A$3:$A$24,0),1)*INDEX(Työkonekanta!$H$3:$H$27,MATCH($A182,Työkonekanta!$A$3:$A$24,0),1)*(1+_xlfn.SINGLE(s2_kerroin)*($C182-2019))*$B182,0)</f>
        <v>0</v>
      </c>
      <c r="F182" s="145">
        <f t="shared" si="45"/>
        <v>0</v>
      </c>
      <c r="G182" s="145">
        <f t="shared" si="51"/>
        <v>0</v>
      </c>
      <c r="H182" s="145">
        <f t="shared" si="52"/>
        <v>0</v>
      </c>
      <c r="I182" s="145">
        <f t="shared" si="46"/>
        <v>0</v>
      </c>
      <c r="J182" s="145">
        <f t="shared" si="47"/>
        <v>0</v>
      </c>
      <c r="K182" s="142" t="str">
        <f t="shared" si="53"/>
        <v>undefined</v>
      </c>
      <c r="L182" s="146">
        <f>IFERROR(INDEX(Työkonekanta!$I$3:$I$27,MATCH('S2 Bio'!$A182,Työkonekanta!$A$3:$A$24,0),1)*(I182+J182)*f_adblue,0)</f>
        <v>0</v>
      </c>
      <c r="M182" s="146">
        <f t="shared" si="60"/>
        <v>0</v>
      </c>
      <c r="N182" s="143" t="str">
        <f>IF(tuulisähkö_vuosi&lt;='S2 Bio'!C182,"tuulisähkö",ostosähkö_nyt)</f>
        <v>jäännössähkö</v>
      </c>
      <c r="O182" s="147">
        <f>INDEX(Muuttujat!$J$5:$J$21,MATCH($C182,Muuttujat!$H$5:$H$21,0),1)</f>
        <v>65.853419316547502</v>
      </c>
      <c r="P182" s="148">
        <f t="shared" si="54"/>
        <v>0.71133333333333337</v>
      </c>
      <c r="Q182" s="148">
        <f t="shared" si="65"/>
        <v>0.28866666666666663</v>
      </c>
      <c r="R182" s="148">
        <f t="shared" si="65"/>
        <v>0.28866666666666663</v>
      </c>
      <c r="S182" s="149">
        <f t="shared" si="48"/>
        <v>0</v>
      </c>
      <c r="T182" s="150">
        <f t="shared" si="49"/>
        <v>0</v>
      </c>
      <c r="U182" s="150">
        <f t="shared" si="50"/>
        <v>0</v>
      </c>
      <c r="V182" s="150">
        <f>IFERROR(INDEX(Työkonekanta!$J$3:$J$27,MATCH($A182,Työkonekanta!$A$3:$A$24,0),1)*$B182*ef_li_ion_akku/1000/1000/INDEX(Työkonekanta!$K$3:$K$27,MATCH($A182,Työkonekanta!$A$3:$A$24,0)),0)</f>
        <v>0</v>
      </c>
      <c r="W182" s="149">
        <f t="shared" si="61"/>
        <v>0</v>
      </c>
      <c r="X182" s="150">
        <f t="shared" si="62"/>
        <v>0</v>
      </c>
      <c r="Y182" s="151">
        <f t="shared" si="63"/>
        <v>0</v>
      </c>
      <c r="Z182" s="152">
        <f t="shared" si="55"/>
        <v>0</v>
      </c>
      <c r="AA182" s="153">
        <f t="shared" si="56"/>
        <v>0</v>
      </c>
      <c r="AB182" s="153">
        <f t="shared" si="57"/>
        <v>0</v>
      </c>
      <c r="AC182" s="154">
        <f t="shared" si="64"/>
        <v>0</v>
      </c>
      <c r="AD182" s="180">
        <f t="shared" si="58"/>
        <v>0</v>
      </c>
      <c r="AE182" s="160"/>
    </row>
    <row r="183" spans="1:31">
      <c r="A183" s="139">
        <v>1</v>
      </c>
      <c r="B183" s="139">
        <f>IFERROR(INDEX(Työkonekanta!$F$3:$F$27,MATCH('S2 Bio'!$A183,Työkonekanta!$A$3:$A$24,0),1),0)</f>
        <v>1</v>
      </c>
      <c r="C183" s="140">
        <v>2025</v>
      </c>
      <c r="D183" s="141" t="str">
        <f>IFERROR(INDEX(Työkonekanta!$D$3:$D$27,MATCH('S2 Bio'!$A183,Työkonekanta!$A$3:$A$24,0),1),"undefined")</f>
        <v>pom</v>
      </c>
      <c r="E183" s="145">
        <f>IFERROR(INDEX(Työkonekanta!$G$3:$G$27,MATCH($A183,Työkonekanta!$A$3:$A$24,0),1)*INDEX(Työkonekanta!$H$3:$H$27,MATCH($A183,Työkonekanta!$A$3:$A$24,0),1)*(1+_xlfn.SINGLE(s2_kerroin)*($C183-2019))*$B183,0)</f>
        <v>10600</v>
      </c>
      <c r="F183" s="145">
        <f t="shared" si="45"/>
        <v>380540</v>
      </c>
      <c r="G183" s="145">
        <f t="shared" si="51"/>
        <v>246082.53333333335</v>
      </c>
      <c r="H183" s="145">
        <f t="shared" si="52"/>
        <v>134457.46666666665</v>
      </c>
      <c r="I183" s="145">
        <f t="shared" si="46"/>
        <v>6854.6666666666679</v>
      </c>
      <c r="J183" s="145">
        <f t="shared" si="47"/>
        <v>3920.0427599611271</v>
      </c>
      <c r="K183" s="142" t="str">
        <f t="shared" si="53"/>
        <v>l</v>
      </c>
      <c r="L183" s="146">
        <f>IFERROR(INDEX(Työkonekanta!$I$3:$I$27,MATCH('S2 Bio'!$A183,Työkonekanta!$A$3:$A$24,0),1)*(I183+J183)*f_adblue,0)</f>
        <v>538.7354713313897</v>
      </c>
      <c r="M183" s="146">
        <f t="shared" si="60"/>
        <v>0</v>
      </c>
      <c r="N183" s="143" t="str">
        <f>IF(tuulisähkö_vuosi&lt;='S2 Bio'!C183,"tuulisähkö",ostosähkö_nyt)</f>
        <v>jäännössähkö</v>
      </c>
      <c r="O183" s="147">
        <f>INDEX(Muuttujat!$J$5:$J$21,MATCH($C183,Muuttujat!$H$5:$H$21,0),1)</f>
        <v>65.194885123382022</v>
      </c>
      <c r="P183" s="148">
        <f t="shared" si="54"/>
        <v>0.64666666666666672</v>
      </c>
      <c r="Q183" s="148">
        <f t="shared" ref="Q183:R202" si="66">IF(biosiirtymä_luonne="äkillinen",INDEX($AG$4:$AG$20,MATCH($C183,$AF$4:$AF$20,0),1),INDEX($AH$4:$AH$20,MATCH($C183,$AF$4:$AF$20,0),1))</f>
        <v>0.35333333333333328</v>
      </c>
      <c r="R183" s="148">
        <f t="shared" si="66"/>
        <v>0.35333333333333328</v>
      </c>
      <c r="S183" s="149">
        <f t="shared" si="48"/>
        <v>4.6509598800000003</v>
      </c>
      <c r="T183" s="150">
        <f t="shared" si="49"/>
        <v>8.3901459199999966</v>
      </c>
      <c r="U183" s="150">
        <f t="shared" si="50"/>
        <v>0</v>
      </c>
      <c r="V183" s="150">
        <f>IFERROR(INDEX(Työkonekanta!$J$3:$J$27,MATCH($A183,Työkonekanta!$A$3:$A$24,0),1)*$B183*ef_li_ion_akku/1000/1000/INDEX(Työkonekanta!$K$3:$K$27,MATCH($A183,Työkonekanta!$A$3:$A$24,0)),0)</f>
        <v>0</v>
      </c>
      <c r="W183" s="149">
        <f t="shared" si="61"/>
        <v>18.162922193776804</v>
      </c>
      <c r="X183" s="150">
        <f t="shared" si="62"/>
        <v>0.33681039959999998</v>
      </c>
      <c r="Y183" s="151">
        <f t="shared" si="63"/>
        <v>0.14007122254616133</v>
      </c>
      <c r="Z183" s="152">
        <f t="shared" si="55"/>
        <v>13.041105799999997</v>
      </c>
      <c r="AA183" s="153">
        <f t="shared" si="56"/>
        <v>18.302993416322966</v>
      </c>
      <c r="AB183" s="153">
        <f t="shared" si="57"/>
        <v>18.639803815922967</v>
      </c>
      <c r="AC183" s="154">
        <f t="shared" si="64"/>
        <v>31.344099216322963</v>
      </c>
      <c r="AD183" s="180">
        <f t="shared" si="58"/>
        <v>31.680909615922964</v>
      </c>
      <c r="AE183" s="160"/>
    </row>
    <row r="184" spans="1:31">
      <c r="A184" s="139">
        <v>2</v>
      </c>
      <c r="B184" s="139">
        <f>IFERROR(INDEX(Työkonekanta!$F$3:$F$27,MATCH('S2 Bio'!$A184,Työkonekanta!$A$3:$A$24,0),1),0)</f>
        <v>1</v>
      </c>
      <c r="C184" s="140">
        <v>2025</v>
      </c>
      <c r="D184" s="141" t="str">
        <f>IFERROR(INDEX(Työkonekanta!$D$3:$D$27,MATCH('S2 Bio'!$A184,Työkonekanta!$A$3:$A$24,0),1),"undefined")</f>
        <v>pom</v>
      </c>
      <c r="E184" s="145">
        <f>IFERROR(INDEX(Työkonekanta!$G$3:$G$27,MATCH($A184,Työkonekanta!$A$3:$A$24,0),1)*INDEX(Työkonekanta!$H$3:$H$27,MATCH($A184,Työkonekanta!$A$3:$A$24,0),1)*(1+_xlfn.SINGLE(s2_kerroin)*($C184-2019))*$B184,0)</f>
        <v>10600</v>
      </c>
      <c r="F184" s="145">
        <f t="shared" si="45"/>
        <v>380540</v>
      </c>
      <c r="G184" s="145">
        <f t="shared" si="51"/>
        <v>246082.53333333335</v>
      </c>
      <c r="H184" s="145">
        <f t="shared" si="52"/>
        <v>134457.46666666665</v>
      </c>
      <c r="I184" s="145">
        <f t="shared" si="46"/>
        <v>6854.6666666666679</v>
      </c>
      <c r="J184" s="145">
        <f t="shared" si="47"/>
        <v>3920.0427599611271</v>
      </c>
      <c r="K184" s="142" t="str">
        <f t="shared" si="53"/>
        <v>l</v>
      </c>
      <c r="L184" s="146">
        <f>IFERROR(INDEX(Työkonekanta!$I$3:$I$27,MATCH('S2 Bio'!$A184,Työkonekanta!$A$3:$A$24,0),1)*(I184+J184)*f_adblue,0)</f>
        <v>538.7354713313897</v>
      </c>
      <c r="M184" s="146">
        <f t="shared" si="60"/>
        <v>0</v>
      </c>
      <c r="N184" s="143" t="str">
        <f>IF(tuulisähkö_vuosi&lt;='S2 Bio'!C184,"tuulisähkö",ostosähkö_nyt)</f>
        <v>jäännössähkö</v>
      </c>
      <c r="O184" s="147">
        <f>INDEX(Muuttujat!$J$5:$J$21,MATCH($C184,Muuttujat!$H$5:$H$21,0),1)</f>
        <v>65.194885123382022</v>
      </c>
      <c r="P184" s="148">
        <f t="shared" si="54"/>
        <v>0.64666666666666672</v>
      </c>
      <c r="Q184" s="148">
        <f t="shared" si="66"/>
        <v>0.35333333333333328</v>
      </c>
      <c r="R184" s="148">
        <f t="shared" si="66"/>
        <v>0.35333333333333328</v>
      </c>
      <c r="S184" s="149">
        <f t="shared" si="48"/>
        <v>4.6509598800000003</v>
      </c>
      <c r="T184" s="150">
        <f t="shared" si="49"/>
        <v>8.3901459199999966</v>
      </c>
      <c r="U184" s="150">
        <f t="shared" si="50"/>
        <v>0</v>
      </c>
      <c r="V184" s="150">
        <f>IFERROR(INDEX(Työkonekanta!$J$3:$J$27,MATCH($A184,Työkonekanta!$A$3:$A$24,0),1)*$B184*ef_li_ion_akku/1000/1000/INDEX(Työkonekanta!$K$3:$K$27,MATCH($A184,Työkonekanta!$A$3:$A$24,0)),0)</f>
        <v>0</v>
      </c>
      <c r="W184" s="149">
        <f t="shared" si="61"/>
        <v>18.162922193776804</v>
      </c>
      <c r="X184" s="150">
        <f t="shared" si="62"/>
        <v>0.33681039959999998</v>
      </c>
      <c r="Y184" s="151">
        <f t="shared" si="63"/>
        <v>0.14007122254616133</v>
      </c>
      <c r="Z184" s="152">
        <f t="shared" si="55"/>
        <v>13.041105799999997</v>
      </c>
      <c r="AA184" s="153">
        <f t="shared" si="56"/>
        <v>18.302993416322966</v>
      </c>
      <c r="AB184" s="153">
        <f t="shared" si="57"/>
        <v>18.639803815922967</v>
      </c>
      <c r="AC184" s="154">
        <f t="shared" si="64"/>
        <v>31.344099216322963</v>
      </c>
      <c r="AD184" s="180">
        <f t="shared" si="58"/>
        <v>31.680909615922964</v>
      </c>
      <c r="AE184" s="160"/>
    </row>
    <row r="185" spans="1:31">
      <c r="A185" s="139">
        <v>3</v>
      </c>
      <c r="B185" s="139">
        <f>IFERROR(INDEX(Työkonekanta!$F$3:$F$27,MATCH('S2 Bio'!$A185,Työkonekanta!$A$3:$A$24,0),1),0)</f>
        <v>1</v>
      </c>
      <c r="C185" s="140">
        <v>2025</v>
      </c>
      <c r="D185" s="141" t="str">
        <f>IFERROR(INDEX(Työkonekanta!$D$3:$D$27,MATCH('S2 Bio'!$A185,Työkonekanta!$A$3:$A$24,0),1),"undefined")</f>
        <v>pom</v>
      </c>
      <c r="E185" s="145">
        <f>IFERROR(INDEX(Työkonekanta!$G$3:$G$27,MATCH($A185,Työkonekanta!$A$3:$A$24,0),1)*INDEX(Työkonekanta!$H$3:$H$27,MATCH($A185,Työkonekanta!$A$3:$A$24,0),1)*(1+_xlfn.SINGLE(s2_kerroin)*($C185-2019))*$B185,0)</f>
        <v>10600</v>
      </c>
      <c r="F185" s="145">
        <f t="shared" si="45"/>
        <v>380540</v>
      </c>
      <c r="G185" s="145">
        <f t="shared" si="51"/>
        <v>246082.53333333335</v>
      </c>
      <c r="H185" s="145">
        <f t="shared" si="52"/>
        <v>134457.46666666665</v>
      </c>
      <c r="I185" s="145">
        <f t="shared" si="46"/>
        <v>6854.6666666666679</v>
      </c>
      <c r="J185" s="145">
        <f t="shared" si="47"/>
        <v>3920.0427599611271</v>
      </c>
      <c r="K185" s="142" t="str">
        <f t="shared" si="53"/>
        <v>l</v>
      </c>
      <c r="L185" s="146">
        <f>IFERROR(INDEX(Työkonekanta!$I$3:$I$27,MATCH('S2 Bio'!$A185,Työkonekanta!$A$3:$A$24,0),1)*(I185+J185)*f_adblue,0)</f>
        <v>538.7354713313897</v>
      </c>
      <c r="M185" s="146">
        <f t="shared" si="60"/>
        <v>0</v>
      </c>
      <c r="N185" s="143" t="str">
        <f>IF(tuulisähkö_vuosi&lt;='S2 Bio'!C185,"tuulisähkö",ostosähkö_nyt)</f>
        <v>jäännössähkö</v>
      </c>
      <c r="O185" s="147">
        <f>INDEX(Muuttujat!$J$5:$J$21,MATCH($C185,Muuttujat!$H$5:$H$21,0),1)</f>
        <v>65.194885123382022</v>
      </c>
      <c r="P185" s="148">
        <f t="shared" si="54"/>
        <v>0.64666666666666672</v>
      </c>
      <c r="Q185" s="148">
        <f t="shared" si="66"/>
        <v>0.35333333333333328</v>
      </c>
      <c r="R185" s="148">
        <f t="shared" si="66"/>
        <v>0.35333333333333328</v>
      </c>
      <c r="S185" s="149">
        <f t="shared" si="48"/>
        <v>4.6509598800000003</v>
      </c>
      <c r="T185" s="150">
        <f t="shared" si="49"/>
        <v>8.3901459199999966</v>
      </c>
      <c r="U185" s="150">
        <f t="shared" si="50"/>
        <v>0</v>
      </c>
      <c r="V185" s="150">
        <f>IFERROR(INDEX(Työkonekanta!$J$3:$J$27,MATCH($A185,Työkonekanta!$A$3:$A$24,0),1)*$B185*ef_li_ion_akku/1000/1000/INDEX(Työkonekanta!$K$3:$K$27,MATCH($A185,Työkonekanta!$A$3:$A$24,0)),0)</f>
        <v>0</v>
      </c>
      <c r="W185" s="149">
        <f t="shared" si="61"/>
        <v>18.162922193776804</v>
      </c>
      <c r="X185" s="150">
        <f t="shared" si="62"/>
        <v>0.33681039959999998</v>
      </c>
      <c r="Y185" s="151">
        <f t="shared" si="63"/>
        <v>0.14007122254616133</v>
      </c>
      <c r="Z185" s="152">
        <f t="shared" si="55"/>
        <v>13.041105799999997</v>
      </c>
      <c r="AA185" s="153">
        <f t="shared" si="56"/>
        <v>18.302993416322966</v>
      </c>
      <c r="AB185" s="153">
        <f t="shared" si="57"/>
        <v>18.639803815922967</v>
      </c>
      <c r="AC185" s="154">
        <f t="shared" si="64"/>
        <v>31.344099216322963</v>
      </c>
      <c r="AD185" s="180">
        <f t="shared" si="58"/>
        <v>31.680909615922964</v>
      </c>
      <c r="AE185" s="160"/>
    </row>
    <row r="186" spans="1:31">
      <c r="A186" s="139">
        <v>4</v>
      </c>
      <c r="B186" s="139">
        <f>IFERROR(INDEX(Työkonekanta!$F$3:$F$27,MATCH('S2 Bio'!$A186,Työkonekanta!$A$3:$A$24,0),1),0)</f>
        <v>1</v>
      </c>
      <c r="C186" s="140">
        <v>2025</v>
      </c>
      <c r="D186" s="141" t="str">
        <f>IFERROR(INDEX(Työkonekanta!$D$3:$D$27,MATCH('S2 Bio'!$A186,Työkonekanta!$A$3:$A$24,0),1),"undefined")</f>
        <v>pom</v>
      </c>
      <c r="E186" s="145">
        <f>IFERROR(INDEX(Työkonekanta!$G$3:$G$27,MATCH($A186,Työkonekanta!$A$3:$A$24,0),1)*INDEX(Työkonekanta!$H$3:$H$27,MATCH($A186,Työkonekanta!$A$3:$A$24,0),1)*(1+_xlfn.SINGLE(s2_kerroin)*($C186-2019))*$B186,0)</f>
        <v>10600</v>
      </c>
      <c r="F186" s="145">
        <f t="shared" si="45"/>
        <v>380540</v>
      </c>
      <c r="G186" s="145">
        <f t="shared" si="51"/>
        <v>246082.53333333335</v>
      </c>
      <c r="H186" s="145">
        <f t="shared" si="52"/>
        <v>134457.46666666665</v>
      </c>
      <c r="I186" s="145">
        <f t="shared" si="46"/>
        <v>6854.6666666666679</v>
      </c>
      <c r="J186" s="145">
        <f t="shared" si="47"/>
        <v>3920.0427599611271</v>
      </c>
      <c r="K186" s="142" t="str">
        <f t="shared" si="53"/>
        <v>l</v>
      </c>
      <c r="L186" s="146">
        <f>IFERROR(INDEX(Työkonekanta!$I$3:$I$27,MATCH('S2 Bio'!$A186,Työkonekanta!$A$3:$A$24,0),1)*(I186+J186)*f_adblue,0)</f>
        <v>538.7354713313897</v>
      </c>
      <c r="M186" s="146">
        <f t="shared" si="60"/>
        <v>0</v>
      </c>
      <c r="N186" s="143" t="str">
        <f>IF(tuulisähkö_vuosi&lt;='S2 Bio'!C186,"tuulisähkö",ostosähkö_nyt)</f>
        <v>jäännössähkö</v>
      </c>
      <c r="O186" s="147">
        <f>INDEX(Muuttujat!$J$5:$J$21,MATCH($C186,Muuttujat!$H$5:$H$21,0),1)</f>
        <v>65.194885123382022</v>
      </c>
      <c r="P186" s="148">
        <f t="shared" si="54"/>
        <v>0.64666666666666672</v>
      </c>
      <c r="Q186" s="148">
        <f t="shared" si="66"/>
        <v>0.35333333333333328</v>
      </c>
      <c r="R186" s="148">
        <f t="shared" si="66"/>
        <v>0.35333333333333328</v>
      </c>
      <c r="S186" s="149">
        <f t="shared" si="48"/>
        <v>4.6509598800000003</v>
      </c>
      <c r="T186" s="150">
        <f t="shared" si="49"/>
        <v>8.3901459199999966</v>
      </c>
      <c r="U186" s="150">
        <f t="shared" si="50"/>
        <v>0</v>
      </c>
      <c r="V186" s="150">
        <f>IFERROR(INDEX(Työkonekanta!$J$3:$J$27,MATCH($A186,Työkonekanta!$A$3:$A$24,0),1)*$B186*ef_li_ion_akku/1000/1000/INDEX(Työkonekanta!$K$3:$K$27,MATCH($A186,Työkonekanta!$A$3:$A$24,0)),0)</f>
        <v>0</v>
      </c>
      <c r="W186" s="149">
        <f t="shared" si="61"/>
        <v>18.162922193776804</v>
      </c>
      <c r="X186" s="150">
        <f t="shared" si="62"/>
        <v>0.33681039959999998</v>
      </c>
      <c r="Y186" s="151">
        <f t="shared" si="63"/>
        <v>0.14007122254616133</v>
      </c>
      <c r="Z186" s="152">
        <f t="shared" si="55"/>
        <v>13.041105799999997</v>
      </c>
      <c r="AA186" s="153">
        <f t="shared" si="56"/>
        <v>18.302993416322966</v>
      </c>
      <c r="AB186" s="153">
        <f t="shared" si="57"/>
        <v>18.639803815922967</v>
      </c>
      <c r="AC186" s="154">
        <f t="shared" si="64"/>
        <v>31.344099216322963</v>
      </c>
      <c r="AD186" s="180">
        <f t="shared" si="58"/>
        <v>31.680909615922964</v>
      </c>
      <c r="AE186" s="160"/>
    </row>
    <row r="187" spans="1:31">
      <c r="A187" s="139">
        <v>5</v>
      </c>
      <c r="B187" s="139">
        <f>IFERROR(INDEX(Työkonekanta!$F$3:$F$27,MATCH('S2 Bio'!$A187,Työkonekanta!$A$3:$A$24,0),1),0)</f>
        <v>0</v>
      </c>
      <c r="C187" s="140">
        <v>2025</v>
      </c>
      <c r="D187" s="141" t="str">
        <f>IFERROR(INDEX(Työkonekanta!$D$3:$D$27,MATCH('S2 Bio'!$A187,Työkonekanta!$A$3:$A$24,0),1),"undefined")</f>
        <v>sähkö</v>
      </c>
      <c r="E187" s="145">
        <f>IFERROR(INDEX(Työkonekanta!$G$3:$G$27,MATCH($A187,Työkonekanta!$A$3:$A$24,0),1)*INDEX(Työkonekanta!$H$3:$H$27,MATCH($A187,Työkonekanta!$A$3:$A$24,0),1)*(1+_xlfn.SINGLE(s2_kerroin)*($C187-2019))*$B187,0)</f>
        <v>0</v>
      </c>
      <c r="F187" s="145">
        <f t="shared" si="45"/>
        <v>0</v>
      </c>
      <c r="G187" s="145">
        <f t="shared" si="51"/>
        <v>0</v>
      </c>
      <c r="H187" s="145">
        <f t="shared" si="52"/>
        <v>0</v>
      </c>
      <c r="I187" s="145">
        <f t="shared" si="46"/>
        <v>0</v>
      </c>
      <c r="J187" s="145">
        <f t="shared" si="47"/>
        <v>0</v>
      </c>
      <c r="K187" s="142" t="str">
        <f t="shared" si="53"/>
        <v>kWh</v>
      </c>
      <c r="L187" s="146">
        <f>IFERROR(INDEX(Työkonekanta!$I$3:$I$27,MATCH('S2 Bio'!$A187,Työkonekanta!$A$3:$A$24,0),1)*(I187+J187)*f_adblue,0)</f>
        <v>0</v>
      </c>
      <c r="M187" s="146">
        <f t="shared" si="60"/>
        <v>0</v>
      </c>
      <c r="N187" s="143" t="str">
        <f>IF(tuulisähkö_vuosi&lt;='S2 Bio'!C187,"tuulisähkö",ostosähkö_nyt)</f>
        <v>jäännössähkö</v>
      </c>
      <c r="O187" s="147">
        <f>INDEX(Muuttujat!$J$5:$J$21,MATCH($C187,Muuttujat!$H$5:$H$21,0),1)</f>
        <v>65.194885123382022</v>
      </c>
      <c r="P187" s="148">
        <f t="shared" si="54"/>
        <v>0.64666666666666672</v>
      </c>
      <c r="Q187" s="148">
        <f t="shared" si="66"/>
        <v>0.35333333333333328</v>
      </c>
      <c r="R187" s="148">
        <f t="shared" si="66"/>
        <v>0.35333333333333328</v>
      </c>
      <c r="S187" s="149">
        <f t="shared" si="48"/>
        <v>0</v>
      </c>
      <c r="T187" s="150">
        <f t="shared" si="49"/>
        <v>0</v>
      </c>
      <c r="U187" s="150">
        <f t="shared" si="50"/>
        <v>0</v>
      </c>
      <c r="V187" s="150">
        <f>IFERROR(INDEX(Työkonekanta!$J$3:$J$27,MATCH($A187,Työkonekanta!$A$3:$A$24,0),1)*$B187*ef_li_ion_akku/1000/1000/INDEX(Työkonekanta!$K$3:$K$27,MATCH($A187,Työkonekanta!$A$3:$A$24,0)),0)</f>
        <v>0</v>
      </c>
      <c r="W187" s="149">
        <f t="shared" si="61"/>
        <v>0</v>
      </c>
      <c r="X187" s="150">
        <f t="shared" si="62"/>
        <v>0</v>
      </c>
      <c r="Y187" s="151">
        <f t="shared" si="63"/>
        <v>0</v>
      </c>
      <c r="Z187" s="152">
        <f t="shared" si="55"/>
        <v>0</v>
      </c>
      <c r="AA187" s="153">
        <f t="shared" si="56"/>
        <v>0</v>
      </c>
      <c r="AB187" s="153">
        <f t="shared" si="57"/>
        <v>0</v>
      </c>
      <c r="AC187" s="154">
        <f t="shared" si="64"/>
        <v>0</v>
      </c>
      <c r="AD187" s="180">
        <f t="shared" si="58"/>
        <v>0</v>
      </c>
      <c r="AE187" s="160"/>
    </row>
    <row r="188" spans="1:31">
      <c r="A188" s="139">
        <v>6</v>
      </c>
      <c r="B188" s="139">
        <f>IFERROR(INDEX(Työkonekanta!$F$3:$F$27,MATCH('S2 Bio'!$A188,Työkonekanta!$A$3:$A$24,0),1),0)</f>
        <v>0</v>
      </c>
      <c r="C188" s="140">
        <v>2025</v>
      </c>
      <c r="D188" s="141" t="str">
        <f>IFERROR(INDEX(Työkonekanta!$D$3:$D$27,MATCH('S2 Bio'!$A188,Työkonekanta!$A$3:$A$24,0),1),"undefined")</f>
        <v>sähkö</v>
      </c>
      <c r="E188" s="145">
        <f>IFERROR(INDEX(Työkonekanta!$G$3:$G$27,MATCH($A188,Työkonekanta!$A$3:$A$24,0),1)*INDEX(Työkonekanta!$H$3:$H$27,MATCH($A188,Työkonekanta!$A$3:$A$24,0),1)*(1+_xlfn.SINGLE(s2_kerroin)*($C188-2019))*$B188,0)</f>
        <v>0</v>
      </c>
      <c r="F188" s="145">
        <f t="shared" si="45"/>
        <v>0</v>
      </c>
      <c r="G188" s="145">
        <f t="shared" si="51"/>
        <v>0</v>
      </c>
      <c r="H188" s="145">
        <f t="shared" si="52"/>
        <v>0</v>
      </c>
      <c r="I188" s="145">
        <f t="shared" si="46"/>
        <v>0</v>
      </c>
      <c r="J188" s="145">
        <f t="shared" si="47"/>
        <v>0</v>
      </c>
      <c r="K188" s="142" t="str">
        <f t="shared" si="53"/>
        <v>kWh</v>
      </c>
      <c r="L188" s="146">
        <f>IFERROR(INDEX(Työkonekanta!$I$3:$I$27,MATCH('S2 Bio'!$A188,Työkonekanta!$A$3:$A$24,0),1)*(I188+J188)*f_adblue,0)</f>
        <v>0</v>
      </c>
      <c r="M188" s="146">
        <f t="shared" si="60"/>
        <v>0</v>
      </c>
      <c r="N188" s="143" t="str">
        <f>IF(tuulisähkö_vuosi&lt;='S2 Bio'!C188,"tuulisähkö",ostosähkö_nyt)</f>
        <v>jäännössähkö</v>
      </c>
      <c r="O188" s="147">
        <f>INDEX(Muuttujat!$J$5:$J$21,MATCH($C188,Muuttujat!$H$5:$H$21,0),1)</f>
        <v>65.194885123382022</v>
      </c>
      <c r="P188" s="148">
        <f t="shared" si="54"/>
        <v>0.64666666666666672</v>
      </c>
      <c r="Q188" s="148">
        <f t="shared" si="66"/>
        <v>0.35333333333333328</v>
      </c>
      <c r="R188" s="148">
        <f t="shared" si="66"/>
        <v>0.35333333333333328</v>
      </c>
      <c r="S188" s="149">
        <f t="shared" si="48"/>
        <v>0</v>
      </c>
      <c r="T188" s="150">
        <f t="shared" si="49"/>
        <v>0</v>
      </c>
      <c r="U188" s="150">
        <f t="shared" si="50"/>
        <v>0</v>
      </c>
      <c r="V188" s="150">
        <f>IFERROR(INDEX(Työkonekanta!$J$3:$J$27,MATCH($A188,Työkonekanta!$A$3:$A$24,0),1)*$B188*ef_li_ion_akku/1000/1000/INDEX(Työkonekanta!$K$3:$K$27,MATCH($A188,Työkonekanta!$A$3:$A$24,0)),0)</f>
        <v>0</v>
      </c>
      <c r="W188" s="149">
        <f t="shared" si="61"/>
        <v>0</v>
      </c>
      <c r="X188" s="150">
        <f t="shared" si="62"/>
        <v>0</v>
      </c>
      <c r="Y188" s="151">
        <f t="shared" si="63"/>
        <v>0</v>
      </c>
      <c r="Z188" s="152">
        <f t="shared" si="55"/>
        <v>0</v>
      </c>
      <c r="AA188" s="153">
        <f t="shared" si="56"/>
        <v>0</v>
      </c>
      <c r="AB188" s="153">
        <f t="shared" si="57"/>
        <v>0</v>
      </c>
      <c r="AC188" s="154">
        <f t="shared" si="64"/>
        <v>0</v>
      </c>
      <c r="AD188" s="180">
        <f t="shared" si="58"/>
        <v>0</v>
      </c>
      <c r="AE188" s="160"/>
    </row>
    <row r="189" spans="1:31">
      <c r="A189" s="139">
        <v>7</v>
      </c>
      <c r="B189" s="139">
        <f>IFERROR(INDEX(Työkonekanta!$F$3:$F$27,MATCH('S2 Bio'!$A189,Työkonekanta!$A$3:$A$24,0),1),0)</f>
        <v>1</v>
      </c>
      <c r="C189" s="140">
        <v>2025</v>
      </c>
      <c r="D189" s="141" t="str">
        <f>IFERROR(INDEX(Työkonekanta!$D$3:$D$27,MATCH('S2 Bio'!$A189,Työkonekanta!$A$3:$A$24,0),1),"undefined")</f>
        <v>pom</v>
      </c>
      <c r="E189" s="145">
        <f>IFERROR(INDEX(Työkonekanta!$G$3:$G$27,MATCH($A189,Työkonekanta!$A$3:$A$24,0),1)*INDEX(Työkonekanta!$H$3:$H$27,MATCH($A189,Työkonekanta!$A$3:$A$24,0),1)*(1+_xlfn.SINGLE(s2_kerroin)*($C189-2019))*$B189,0)</f>
        <v>10600</v>
      </c>
      <c r="F189" s="145">
        <f t="shared" si="45"/>
        <v>380540</v>
      </c>
      <c r="G189" s="145">
        <f t="shared" si="51"/>
        <v>246082.53333333335</v>
      </c>
      <c r="H189" s="145">
        <f t="shared" si="52"/>
        <v>134457.46666666665</v>
      </c>
      <c r="I189" s="145">
        <f t="shared" si="46"/>
        <v>6854.6666666666679</v>
      </c>
      <c r="J189" s="145">
        <f t="shared" si="47"/>
        <v>3920.0427599611271</v>
      </c>
      <c r="K189" s="142" t="str">
        <f t="shared" si="53"/>
        <v>l</v>
      </c>
      <c r="L189" s="146">
        <f>IFERROR(INDEX(Työkonekanta!$I$3:$I$27,MATCH('S2 Bio'!$A189,Työkonekanta!$A$3:$A$24,0),1)*(I189+J189)*f_adblue,0)</f>
        <v>0</v>
      </c>
      <c r="M189" s="146">
        <f t="shared" si="60"/>
        <v>0</v>
      </c>
      <c r="N189" s="143" t="str">
        <f>IF(tuulisähkö_vuosi&lt;='S2 Bio'!C189,"tuulisähkö",ostosähkö_nyt)</f>
        <v>jäännössähkö</v>
      </c>
      <c r="O189" s="147">
        <f>INDEX(Muuttujat!$J$5:$J$21,MATCH($C189,Muuttujat!$H$5:$H$21,0),1)</f>
        <v>65.194885123382022</v>
      </c>
      <c r="P189" s="148">
        <f t="shared" si="54"/>
        <v>0.64666666666666672</v>
      </c>
      <c r="Q189" s="148">
        <f t="shared" si="66"/>
        <v>0.35333333333333328</v>
      </c>
      <c r="R189" s="148">
        <f t="shared" si="66"/>
        <v>0.35333333333333328</v>
      </c>
      <c r="S189" s="149">
        <f t="shared" si="48"/>
        <v>4.6509598800000003</v>
      </c>
      <c r="T189" s="150">
        <f t="shared" si="49"/>
        <v>8.3901459199999966</v>
      </c>
      <c r="U189" s="150">
        <f t="shared" si="50"/>
        <v>0</v>
      </c>
      <c r="V189" s="150">
        <f>IFERROR(INDEX(Työkonekanta!$J$3:$J$27,MATCH($A189,Työkonekanta!$A$3:$A$24,0),1)*$B189*ef_li_ion_akku/1000/1000/INDEX(Työkonekanta!$K$3:$K$27,MATCH($A189,Työkonekanta!$A$3:$A$24,0)),0)</f>
        <v>0</v>
      </c>
      <c r="W189" s="149">
        <f t="shared" si="61"/>
        <v>18.162922193776804</v>
      </c>
      <c r="X189" s="150">
        <f t="shared" si="62"/>
        <v>0.33681039959999998</v>
      </c>
      <c r="Y189" s="151">
        <f t="shared" si="63"/>
        <v>0</v>
      </c>
      <c r="Z189" s="152">
        <f t="shared" si="55"/>
        <v>13.041105799999997</v>
      </c>
      <c r="AA189" s="153">
        <f t="shared" si="56"/>
        <v>18.162922193776804</v>
      </c>
      <c r="AB189" s="153">
        <f t="shared" si="57"/>
        <v>18.499732593376805</v>
      </c>
      <c r="AC189" s="154">
        <f t="shared" si="64"/>
        <v>31.204027993776801</v>
      </c>
      <c r="AD189" s="180">
        <f t="shared" si="58"/>
        <v>31.540838393376802</v>
      </c>
      <c r="AE189" s="160"/>
    </row>
    <row r="190" spans="1:31">
      <c r="A190" s="139">
        <v>8</v>
      </c>
      <c r="B190" s="139">
        <f>IFERROR(INDEX(Työkonekanta!$F$3:$F$27,MATCH('S2 Bio'!$A190,Työkonekanta!$A$3:$A$24,0),1),0)</f>
        <v>1</v>
      </c>
      <c r="C190" s="140">
        <v>2025</v>
      </c>
      <c r="D190" s="141" t="str">
        <f>IFERROR(INDEX(Työkonekanta!$D$3:$D$27,MATCH('S2 Bio'!$A190,Työkonekanta!$A$3:$A$24,0),1),"undefined")</f>
        <v>pom</v>
      </c>
      <c r="E190" s="145">
        <f>IFERROR(INDEX(Työkonekanta!$G$3:$G$27,MATCH($A190,Työkonekanta!$A$3:$A$24,0),1)*INDEX(Työkonekanta!$H$3:$H$27,MATCH($A190,Työkonekanta!$A$3:$A$24,0),1)*(1+_xlfn.SINGLE(s2_kerroin)*($C190-2019))*$B190,0)</f>
        <v>10600</v>
      </c>
      <c r="F190" s="145">
        <f t="shared" si="45"/>
        <v>380540</v>
      </c>
      <c r="G190" s="145">
        <f t="shared" si="51"/>
        <v>246082.53333333335</v>
      </c>
      <c r="H190" s="145">
        <f t="shared" si="52"/>
        <v>134457.46666666665</v>
      </c>
      <c r="I190" s="145">
        <f t="shared" si="46"/>
        <v>6854.6666666666679</v>
      </c>
      <c r="J190" s="145">
        <f t="shared" si="47"/>
        <v>3920.0427599611271</v>
      </c>
      <c r="K190" s="142" t="str">
        <f t="shared" si="53"/>
        <v>l</v>
      </c>
      <c r="L190" s="146">
        <f>IFERROR(INDEX(Työkonekanta!$I$3:$I$27,MATCH('S2 Bio'!$A190,Työkonekanta!$A$3:$A$24,0),1)*(I190+J190)*f_adblue,0)</f>
        <v>538.7354713313897</v>
      </c>
      <c r="M190" s="146">
        <f t="shared" si="60"/>
        <v>0</v>
      </c>
      <c r="N190" s="143" t="str">
        <f>IF(tuulisähkö_vuosi&lt;='S2 Bio'!C190,"tuulisähkö",ostosähkö_nyt)</f>
        <v>jäännössähkö</v>
      </c>
      <c r="O190" s="147">
        <f>INDEX(Muuttujat!$J$5:$J$21,MATCH($C190,Muuttujat!$H$5:$H$21,0),1)</f>
        <v>65.194885123382022</v>
      </c>
      <c r="P190" s="148">
        <f t="shared" si="54"/>
        <v>0.64666666666666672</v>
      </c>
      <c r="Q190" s="148">
        <f t="shared" si="66"/>
        <v>0.35333333333333328</v>
      </c>
      <c r="R190" s="148">
        <f t="shared" si="66"/>
        <v>0.35333333333333328</v>
      </c>
      <c r="S190" s="149">
        <f t="shared" si="48"/>
        <v>4.6509598800000003</v>
      </c>
      <c r="T190" s="150">
        <f t="shared" si="49"/>
        <v>8.3901459199999966</v>
      </c>
      <c r="U190" s="150">
        <f t="shared" si="50"/>
        <v>0</v>
      </c>
      <c r="V190" s="150">
        <f>IFERROR(INDEX(Työkonekanta!$J$3:$J$27,MATCH($A190,Työkonekanta!$A$3:$A$24,0),1)*$B190*ef_li_ion_akku/1000/1000/INDEX(Työkonekanta!$K$3:$K$27,MATCH($A190,Työkonekanta!$A$3:$A$24,0)),0)</f>
        <v>0</v>
      </c>
      <c r="W190" s="149">
        <f t="shared" si="61"/>
        <v>18.162922193776804</v>
      </c>
      <c r="X190" s="150">
        <f t="shared" si="62"/>
        <v>0.33681039959999998</v>
      </c>
      <c r="Y190" s="151">
        <f t="shared" si="63"/>
        <v>0.14007122254616133</v>
      </c>
      <c r="Z190" s="152">
        <f t="shared" si="55"/>
        <v>13.041105799999997</v>
      </c>
      <c r="AA190" s="153">
        <f t="shared" si="56"/>
        <v>18.302993416322966</v>
      </c>
      <c r="AB190" s="153">
        <f t="shared" si="57"/>
        <v>18.639803815922967</v>
      </c>
      <c r="AC190" s="154">
        <f t="shared" si="64"/>
        <v>31.344099216322963</v>
      </c>
      <c r="AD190" s="180">
        <f t="shared" si="58"/>
        <v>31.680909615922964</v>
      </c>
      <c r="AE190" s="160"/>
    </row>
    <row r="191" spans="1:31">
      <c r="A191" s="139">
        <v>9</v>
      </c>
      <c r="B191" s="139">
        <f>IFERROR(INDEX(Työkonekanta!$F$3:$F$27,MATCH('S2 Bio'!$A191,Työkonekanta!$A$3:$A$24,0),1),0)</f>
        <v>0</v>
      </c>
      <c r="C191" s="140">
        <v>2025</v>
      </c>
      <c r="D191" s="141" t="str">
        <f>IFERROR(INDEX(Työkonekanta!$D$3:$D$27,MATCH('S2 Bio'!$A191,Työkonekanta!$A$3:$A$24,0),1),"undefined")</f>
        <v>sähkö</v>
      </c>
      <c r="E191" s="145">
        <f>IFERROR(INDEX(Työkonekanta!$G$3:$G$27,MATCH($A191,Työkonekanta!$A$3:$A$24,0),1)*INDEX(Työkonekanta!$H$3:$H$27,MATCH($A191,Työkonekanta!$A$3:$A$24,0),1)*(1+_xlfn.SINGLE(s2_kerroin)*($C191-2019))*$B191,0)</f>
        <v>0</v>
      </c>
      <c r="F191" s="145">
        <f t="shared" si="45"/>
        <v>0</v>
      </c>
      <c r="G191" s="145">
        <f t="shared" si="51"/>
        <v>0</v>
      </c>
      <c r="H191" s="145">
        <f t="shared" si="52"/>
        <v>0</v>
      </c>
      <c r="I191" s="145">
        <f t="shared" si="46"/>
        <v>0</v>
      </c>
      <c r="J191" s="145">
        <f t="shared" si="47"/>
        <v>0</v>
      </c>
      <c r="K191" s="142" t="str">
        <f t="shared" si="53"/>
        <v>kWh</v>
      </c>
      <c r="L191" s="146">
        <f>IFERROR(INDEX(Työkonekanta!$I$3:$I$27,MATCH('S2 Bio'!$A191,Työkonekanta!$A$3:$A$24,0),1)*(I191+J191)*f_adblue,0)</f>
        <v>0</v>
      </c>
      <c r="M191" s="146">
        <f t="shared" si="60"/>
        <v>0</v>
      </c>
      <c r="N191" s="143" t="str">
        <f>IF(tuulisähkö_vuosi&lt;='S2 Bio'!C191,"tuulisähkö",ostosähkö_nyt)</f>
        <v>jäännössähkö</v>
      </c>
      <c r="O191" s="147">
        <f>INDEX(Muuttujat!$J$5:$J$21,MATCH($C191,Muuttujat!$H$5:$H$21,0),1)</f>
        <v>65.194885123382022</v>
      </c>
      <c r="P191" s="148">
        <f t="shared" si="54"/>
        <v>0.64666666666666672</v>
      </c>
      <c r="Q191" s="148">
        <f t="shared" si="66"/>
        <v>0.35333333333333328</v>
      </c>
      <c r="R191" s="148">
        <f t="shared" si="66"/>
        <v>0.35333333333333328</v>
      </c>
      <c r="S191" s="149">
        <f t="shared" si="48"/>
        <v>0</v>
      </c>
      <c r="T191" s="150">
        <f t="shared" si="49"/>
        <v>0</v>
      </c>
      <c r="U191" s="150">
        <f t="shared" si="50"/>
        <v>0</v>
      </c>
      <c r="V191" s="150">
        <f>IFERROR(INDEX(Työkonekanta!$J$3:$J$27,MATCH($A191,Työkonekanta!$A$3:$A$24,0),1)*$B191*ef_li_ion_akku/1000/1000/INDEX(Työkonekanta!$K$3:$K$27,MATCH($A191,Työkonekanta!$A$3:$A$24,0)),0)</f>
        <v>0</v>
      </c>
      <c r="W191" s="149">
        <f t="shared" si="61"/>
        <v>0</v>
      </c>
      <c r="X191" s="150">
        <f t="shared" si="62"/>
        <v>0</v>
      </c>
      <c r="Y191" s="151">
        <f t="shared" si="63"/>
        <v>0</v>
      </c>
      <c r="Z191" s="152">
        <f t="shared" si="55"/>
        <v>0</v>
      </c>
      <c r="AA191" s="153">
        <f t="shared" si="56"/>
        <v>0</v>
      </c>
      <c r="AB191" s="153">
        <f t="shared" si="57"/>
        <v>0</v>
      </c>
      <c r="AC191" s="154">
        <f t="shared" si="64"/>
        <v>0</v>
      </c>
      <c r="AD191" s="180">
        <f t="shared" si="58"/>
        <v>0</v>
      </c>
      <c r="AE191" s="160"/>
    </row>
    <row r="192" spans="1:31">
      <c r="A192" s="139">
        <v>10</v>
      </c>
      <c r="B192" s="139">
        <f>IFERROR(INDEX(Työkonekanta!$F$3:$F$27,MATCH('S2 Bio'!$A192,Työkonekanta!$A$3:$A$24,0),1),0)</f>
        <v>0</v>
      </c>
      <c r="C192" s="140">
        <v>2025</v>
      </c>
      <c r="D192" s="141" t="str">
        <f>IFERROR(INDEX(Työkonekanta!$D$3:$D$27,MATCH('S2 Bio'!$A192,Työkonekanta!$A$3:$A$24,0),1),"undefined")</f>
        <v>sähkö</v>
      </c>
      <c r="E192" s="145">
        <f>IFERROR(INDEX(Työkonekanta!$G$3:$G$27,MATCH($A192,Työkonekanta!$A$3:$A$24,0),1)*INDEX(Työkonekanta!$H$3:$H$27,MATCH($A192,Työkonekanta!$A$3:$A$24,0),1)*(1+_xlfn.SINGLE(s2_kerroin)*($C192-2019))*$B192,0)</f>
        <v>0</v>
      </c>
      <c r="F192" s="145">
        <f t="shared" si="45"/>
        <v>0</v>
      </c>
      <c r="G192" s="145">
        <f t="shared" si="51"/>
        <v>0</v>
      </c>
      <c r="H192" s="145">
        <f t="shared" si="52"/>
        <v>0</v>
      </c>
      <c r="I192" s="145">
        <f t="shared" si="46"/>
        <v>0</v>
      </c>
      <c r="J192" s="145">
        <f t="shared" si="47"/>
        <v>0</v>
      </c>
      <c r="K192" s="142" t="str">
        <f t="shared" si="53"/>
        <v>kWh</v>
      </c>
      <c r="L192" s="146">
        <f>IFERROR(INDEX(Työkonekanta!$I$3:$I$27,MATCH('S2 Bio'!$A192,Työkonekanta!$A$3:$A$24,0),1)*(I192+J192)*f_adblue,0)</f>
        <v>0</v>
      </c>
      <c r="M192" s="146">
        <f t="shared" si="60"/>
        <v>0</v>
      </c>
      <c r="N192" s="143" t="str">
        <f>IF(tuulisähkö_vuosi&lt;='S2 Bio'!C192,"tuulisähkö",ostosähkö_nyt)</f>
        <v>jäännössähkö</v>
      </c>
      <c r="O192" s="147">
        <f>INDEX(Muuttujat!$J$5:$J$21,MATCH($C192,Muuttujat!$H$5:$H$21,0),1)</f>
        <v>65.194885123382022</v>
      </c>
      <c r="P192" s="148">
        <f t="shared" si="54"/>
        <v>0.64666666666666672</v>
      </c>
      <c r="Q192" s="148">
        <f t="shared" si="66"/>
        <v>0.35333333333333328</v>
      </c>
      <c r="R192" s="148">
        <f t="shared" si="66"/>
        <v>0.35333333333333328</v>
      </c>
      <c r="S192" s="149">
        <f t="shared" si="48"/>
        <v>0</v>
      </c>
      <c r="T192" s="150">
        <f t="shared" si="49"/>
        <v>0</v>
      </c>
      <c r="U192" s="150">
        <f t="shared" si="50"/>
        <v>0</v>
      </c>
      <c r="V192" s="150">
        <f>IFERROR(INDEX(Työkonekanta!$J$3:$J$27,MATCH($A192,Työkonekanta!$A$3:$A$24,0),1)*$B192*ef_li_ion_akku/1000/1000/INDEX(Työkonekanta!$K$3:$K$27,MATCH($A192,Työkonekanta!$A$3:$A$24,0)),0)</f>
        <v>0</v>
      </c>
      <c r="W192" s="149">
        <f t="shared" si="61"/>
        <v>0</v>
      </c>
      <c r="X192" s="150">
        <f t="shared" si="62"/>
        <v>0</v>
      </c>
      <c r="Y192" s="151">
        <f t="shared" si="63"/>
        <v>0</v>
      </c>
      <c r="Z192" s="152">
        <f t="shared" si="55"/>
        <v>0</v>
      </c>
      <c r="AA192" s="153">
        <f t="shared" si="56"/>
        <v>0</v>
      </c>
      <c r="AB192" s="153">
        <f t="shared" si="57"/>
        <v>0</v>
      </c>
      <c r="AC192" s="154">
        <f t="shared" si="64"/>
        <v>0</v>
      </c>
      <c r="AD192" s="180">
        <f t="shared" si="58"/>
        <v>0</v>
      </c>
      <c r="AE192" s="160"/>
    </row>
    <row r="193" spans="1:31">
      <c r="A193" s="139">
        <v>11</v>
      </c>
      <c r="B193" s="139">
        <f>IFERROR(INDEX(Työkonekanta!$F$3:$F$27,MATCH('S2 Bio'!$A193,Työkonekanta!$A$3:$A$24,0),1),0)</f>
        <v>1</v>
      </c>
      <c r="C193" s="140">
        <v>2025</v>
      </c>
      <c r="D193" s="141" t="str">
        <f>IFERROR(INDEX(Työkonekanta!$D$3:$D$27,MATCH('S2 Bio'!$A193,Työkonekanta!$A$3:$A$24,0),1),"undefined")</f>
        <v>pom</v>
      </c>
      <c r="E193" s="145">
        <f>IFERROR(INDEX(Työkonekanta!$G$3:$G$27,MATCH($A193,Työkonekanta!$A$3:$A$24,0),1)*INDEX(Työkonekanta!$H$3:$H$27,MATCH($A193,Työkonekanta!$A$3:$A$24,0),1)*(1+_xlfn.SINGLE(s2_kerroin)*($C193-2019))*$B193,0)</f>
        <v>10600</v>
      </c>
      <c r="F193" s="145">
        <f t="shared" si="45"/>
        <v>380540</v>
      </c>
      <c r="G193" s="145">
        <f t="shared" si="51"/>
        <v>246082.53333333335</v>
      </c>
      <c r="H193" s="145">
        <f t="shared" si="52"/>
        <v>134457.46666666665</v>
      </c>
      <c r="I193" s="145">
        <f t="shared" si="46"/>
        <v>6854.6666666666679</v>
      </c>
      <c r="J193" s="145">
        <f t="shared" si="47"/>
        <v>3920.0427599611271</v>
      </c>
      <c r="K193" s="142" t="str">
        <f t="shared" si="53"/>
        <v>l</v>
      </c>
      <c r="L193" s="146">
        <f>IFERROR(INDEX(Työkonekanta!$I$3:$I$27,MATCH('S2 Bio'!$A193,Työkonekanta!$A$3:$A$24,0),1)*(I193+J193)*f_adblue,0)</f>
        <v>538.7354713313897</v>
      </c>
      <c r="M193" s="146">
        <f t="shared" si="60"/>
        <v>0</v>
      </c>
      <c r="N193" s="143" t="str">
        <f>IF(tuulisähkö_vuosi&lt;='S2 Bio'!C193,"tuulisähkö",ostosähkö_nyt)</f>
        <v>jäännössähkö</v>
      </c>
      <c r="O193" s="147">
        <f>INDEX(Muuttujat!$J$5:$J$21,MATCH($C193,Muuttujat!$H$5:$H$21,0),1)</f>
        <v>65.194885123382022</v>
      </c>
      <c r="P193" s="148">
        <f t="shared" si="54"/>
        <v>0.64666666666666672</v>
      </c>
      <c r="Q193" s="148">
        <f t="shared" si="66"/>
        <v>0.35333333333333328</v>
      </c>
      <c r="R193" s="148">
        <f t="shared" si="66"/>
        <v>0.35333333333333328</v>
      </c>
      <c r="S193" s="149">
        <f t="shared" si="48"/>
        <v>4.6509598800000003</v>
      </c>
      <c r="T193" s="150">
        <f t="shared" si="49"/>
        <v>8.3901459199999966</v>
      </c>
      <c r="U193" s="150">
        <f t="shared" si="50"/>
        <v>0</v>
      </c>
      <c r="V193" s="150">
        <f>IFERROR(INDEX(Työkonekanta!$J$3:$J$27,MATCH($A193,Työkonekanta!$A$3:$A$24,0),1)*$B193*ef_li_ion_akku/1000/1000/INDEX(Työkonekanta!$K$3:$K$27,MATCH($A193,Työkonekanta!$A$3:$A$24,0)),0)</f>
        <v>0</v>
      </c>
      <c r="W193" s="149">
        <f t="shared" si="61"/>
        <v>18.162922193776804</v>
      </c>
      <c r="X193" s="150">
        <f t="shared" si="62"/>
        <v>0.33681039959999998</v>
      </c>
      <c r="Y193" s="151">
        <f t="shared" si="63"/>
        <v>0.14007122254616133</v>
      </c>
      <c r="Z193" s="152">
        <f t="shared" si="55"/>
        <v>13.041105799999997</v>
      </c>
      <c r="AA193" s="153">
        <f t="shared" si="56"/>
        <v>18.302993416322966</v>
      </c>
      <c r="AB193" s="153">
        <f t="shared" si="57"/>
        <v>18.639803815922967</v>
      </c>
      <c r="AC193" s="154">
        <f t="shared" si="64"/>
        <v>31.344099216322963</v>
      </c>
      <c r="AD193" s="180">
        <f t="shared" si="58"/>
        <v>31.680909615922964</v>
      </c>
      <c r="AE193" s="160"/>
    </row>
    <row r="194" spans="1:31">
      <c r="A194" s="139">
        <v>12</v>
      </c>
      <c r="B194" s="139">
        <f>IFERROR(INDEX(Työkonekanta!$F$3:$F$27,MATCH('S2 Bio'!$A194,Työkonekanta!$A$3:$A$24,0),1),0)</f>
        <v>1</v>
      </c>
      <c r="C194" s="140">
        <v>2025</v>
      </c>
      <c r="D194" s="141" t="str">
        <f>IFERROR(INDEX(Työkonekanta!$D$3:$D$27,MATCH('S2 Bio'!$A194,Työkonekanta!$A$3:$A$24,0),1),"undefined")</f>
        <v>pom</v>
      </c>
      <c r="E194" s="145">
        <f>IFERROR(INDEX(Työkonekanta!$G$3:$G$27,MATCH($A194,Työkonekanta!$A$3:$A$24,0),1)*INDEX(Työkonekanta!$H$3:$H$27,MATCH($A194,Työkonekanta!$A$3:$A$24,0),1)*(1+_xlfn.SINGLE(s2_kerroin)*($C194-2019))*$B194,0)</f>
        <v>10600</v>
      </c>
      <c r="F194" s="145">
        <f t="shared" si="45"/>
        <v>380540</v>
      </c>
      <c r="G194" s="145">
        <f t="shared" si="51"/>
        <v>246082.53333333335</v>
      </c>
      <c r="H194" s="145">
        <f t="shared" si="52"/>
        <v>134457.46666666665</v>
      </c>
      <c r="I194" s="145">
        <f t="shared" si="46"/>
        <v>6854.6666666666679</v>
      </c>
      <c r="J194" s="145">
        <f t="shared" si="47"/>
        <v>3920.0427599611271</v>
      </c>
      <c r="K194" s="142" t="str">
        <f t="shared" si="53"/>
        <v>l</v>
      </c>
      <c r="L194" s="146">
        <f>IFERROR(INDEX(Työkonekanta!$I$3:$I$27,MATCH('S2 Bio'!$A194,Työkonekanta!$A$3:$A$24,0),1)*(I194+J194)*f_adblue,0)</f>
        <v>538.7354713313897</v>
      </c>
      <c r="M194" s="146">
        <f t="shared" si="60"/>
        <v>0</v>
      </c>
      <c r="N194" s="143" t="str">
        <f>IF(tuulisähkö_vuosi&lt;='S2 Bio'!C194,"tuulisähkö",ostosähkö_nyt)</f>
        <v>jäännössähkö</v>
      </c>
      <c r="O194" s="147">
        <f>INDEX(Muuttujat!$J$5:$J$21,MATCH($C194,Muuttujat!$H$5:$H$21,0),1)</f>
        <v>65.194885123382022</v>
      </c>
      <c r="P194" s="148">
        <f t="shared" si="54"/>
        <v>0.64666666666666672</v>
      </c>
      <c r="Q194" s="148">
        <f t="shared" si="66"/>
        <v>0.35333333333333328</v>
      </c>
      <c r="R194" s="148">
        <f t="shared" si="66"/>
        <v>0.35333333333333328</v>
      </c>
      <c r="S194" s="149">
        <f t="shared" si="48"/>
        <v>4.6509598800000003</v>
      </c>
      <c r="T194" s="150">
        <f t="shared" si="49"/>
        <v>8.3901459199999966</v>
      </c>
      <c r="U194" s="150">
        <f t="shared" si="50"/>
        <v>0</v>
      </c>
      <c r="V194" s="150">
        <f>IFERROR(INDEX(Työkonekanta!$J$3:$J$27,MATCH($A194,Työkonekanta!$A$3:$A$24,0),1)*$B194*ef_li_ion_akku/1000/1000/INDEX(Työkonekanta!$K$3:$K$27,MATCH($A194,Työkonekanta!$A$3:$A$24,0)),0)</f>
        <v>0</v>
      </c>
      <c r="W194" s="149">
        <f t="shared" si="61"/>
        <v>18.162922193776804</v>
      </c>
      <c r="X194" s="150">
        <f t="shared" si="62"/>
        <v>0.33681039959999998</v>
      </c>
      <c r="Y194" s="151">
        <f t="shared" si="63"/>
        <v>0.14007122254616133</v>
      </c>
      <c r="Z194" s="152">
        <f t="shared" si="55"/>
        <v>13.041105799999997</v>
      </c>
      <c r="AA194" s="153">
        <f t="shared" si="56"/>
        <v>18.302993416322966</v>
      </c>
      <c r="AB194" s="153">
        <f t="shared" si="57"/>
        <v>18.639803815922967</v>
      </c>
      <c r="AC194" s="154">
        <f t="shared" si="64"/>
        <v>31.344099216322963</v>
      </c>
      <c r="AD194" s="180">
        <f t="shared" si="58"/>
        <v>31.680909615922964</v>
      </c>
      <c r="AE194" s="160"/>
    </row>
    <row r="195" spans="1:31">
      <c r="A195" s="139">
        <v>13</v>
      </c>
      <c r="B195" s="139">
        <f>IFERROR(INDEX(Työkonekanta!$F$3:$F$27,MATCH('S2 Bio'!$A195,Työkonekanta!$A$3:$A$24,0),1),0)</f>
        <v>0</v>
      </c>
      <c r="C195" s="140">
        <v>2025</v>
      </c>
      <c r="D195" s="141" t="str">
        <f>IFERROR(INDEX(Työkonekanta!$D$3:$D$27,MATCH('S2 Bio'!$A195,Työkonekanta!$A$3:$A$24,0),1),"undefined")</f>
        <v>pom</v>
      </c>
      <c r="E195" s="145">
        <f>IFERROR(INDEX(Työkonekanta!$G$3:$G$27,MATCH($A195,Työkonekanta!$A$3:$A$24,0),1)*INDEX(Työkonekanta!$H$3:$H$27,MATCH($A195,Työkonekanta!$A$3:$A$24,0),1)*(1+_xlfn.SINGLE(s2_kerroin)*($C195-2019))*$B195,0)</f>
        <v>0</v>
      </c>
      <c r="F195" s="145">
        <f t="shared" ref="F195:F258" si="67">IF(D195="pom",$E195*hv_pom,0)</f>
        <v>0</v>
      </c>
      <c r="G195" s="145">
        <f t="shared" si="51"/>
        <v>0</v>
      </c>
      <c r="H195" s="145">
        <f t="shared" si="52"/>
        <v>0</v>
      </c>
      <c r="I195" s="145">
        <f t="shared" ref="I195:I258" si="68">$G195/hv_pom</f>
        <v>0</v>
      </c>
      <c r="J195" s="145">
        <f t="shared" ref="J195:J258" si="69">$H195/hv_biodies</f>
        <v>0</v>
      </c>
      <c r="K195" s="142" t="str">
        <f t="shared" si="53"/>
        <v>l</v>
      </c>
      <c r="L195" s="146">
        <f>IFERROR(INDEX(Työkonekanta!$I$3:$I$27,MATCH('S2 Bio'!$A195,Työkonekanta!$A$3:$A$24,0),1)*(I195+J195)*f_adblue,0)</f>
        <v>0</v>
      </c>
      <c r="M195" s="146">
        <f t="shared" si="60"/>
        <v>0</v>
      </c>
      <c r="N195" s="143" t="str">
        <f>IF(tuulisähkö_vuosi&lt;='S2 Bio'!C195,"tuulisähkö",ostosähkö_nyt)</f>
        <v>jäännössähkö</v>
      </c>
      <c r="O195" s="147">
        <f>INDEX(Muuttujat!$J$5:$J$21,MATCH($C195,Muuttujat!$H$5:$H$21,0),1)</f>
        <v>65.194885123382022</v>
      </c>
      <c r="P195" s="148">
        <f t="shared" si="54"/>
        <v>0.64666666666666672</v>
      </c>
      <c r="Q195" s="148">
        <f t="shared" si="66"/>
        <v>0.35333333333333328</v>
      </c>
      <c r="R195" s="148">
        <f t="shared" si="66"/>
        <v>0.35333333333333328</v>
      </c>
      <c r="S195" s="149">
        <f t="shared" ref="S195:S258" si="70">wtt_ef_e_co2_dies*$G195/1000/1000</f>
        <v>0</v>
      </c>
      <c r="T195" s="150">
        <f t="shared" ref="T195:T258" si="71">wtt_ef_e_co2_biodies*$H195/1000/1000</f>
        <v>0</v>
      </c>
      <c r="U195" s="150">
        <f t="shared" ref="U195:U258" si="72">IF(N195="jäännössähkö",$O195,IF(N195="tuulisähkö",wtt_ef_e_co2_el_wind,0))*$M195/1000/1000</f>
        <v>0</v>
      </c>
      <c r="V195" s="150">
        <f>IFERROR(INDEX(Työkonekanta!$J$3:$J$27,MATCH($A195,Työkonekanta!$A$3:$A$24,0),1)*$B195*ef_li_ion_akku/1000/1000/INDEX(Työkonekanta!$K$3:$K$27,MATCH($A195,Työkonekanta!$A$3:$A$24,0)),0)</f>
        <v>0</v>
      </c>
      <c r="W195" s="149">
        <f t="shared" si="61"/>
        <v>0</v>
      </c>
      <c r="X195" s="150">
        <f t="shared" si="62"/>
        <v>0</v>
      </c>
      <c r="Y195" s="151">
        <f t="shared" si="63"/>
        <v>0</v>
      </c>
      <c r="Z195" s="152">
        <f t="shared" si="55"/>
        <v>0</v>
      </c>
      <c r="AA195" s="153">
        <f t="shared" si="56"/>
        <v>0</v>
      </c>
      <c r="AB195" s="153">
        <f t="shared" si="57"/>
        <v>0</v>
      </c>
      <c r="AC195" s="154">
        <f t="shared" si="64"/>
        <v>0</v>
      </c>
      <c r="AD195" s="180">
        <f t="shared" si="58"/>
        <v>0</v>
      </c>
      <c r="AE195" s="160"/>
    </row>
    <row r="196" spans="1:31">
      <c r="A196" s="139">
        <v>14</v>
      </c>
      <c r="B196" s="139">
        <f>IFERROR(INDEX(Työkonekanta!$F$3:$F$27,MATCH('S2 Bio'!$A196,Työkonekanta!$A$3:$A$24,0),1),0)</f>
        <v>0</v>
      </c>
      <c r="C196" s="140">
        <v>2025</v>
      </c>
      <c r="D196" s="141" t="str">
        <f>IFERROR(INDEX(Työkonekanta!$D$3:$D$27,MATCH('S2 Bio'!$A196,Työkonekanta!$A$3:$A$24,0),1),"undefined")</f>
        <v>pom</v>
      </c>
      <c r="E196" s="145">
        <f>IFERROR(INDEX(Työkonekanta!$G$3:$G$27,MATCH($A196,Työkonekanta!$A$3:$A$24,0),1)*INDEX(Työkonekanta!$H$3:$H$27,MATCH($A196,Työkonekanta!$A$3:$A$24,0),1)*(1+_xlfn.SINGLE(s2_kerroin)*($C196-2019))*$B196,0)</f>
        <v>0</v>
      </c>
      <c r="F196" s="145">
        <f t="shared" si="67"/>
        <v>0</v>
      </c>
      <c r="G196" s="145">
        <f t="shared" ref="G196:G259" si="73">$F196*$P196</f>
        <v>0</v>
      </c>
      <c r="H196" s="145">
        <f t="shared" ref="H196:H259" si="74">$F196*$Q196</f>
        <v>0</v>
      </c>
      <c r="I196" s="145">
        <f t="shared" si="68"/>
        <v>0</v>
      </c>
      <c r="J196" s="145">
        <f t="shared" si="69"/>
        <v>0</v>
      </c>
      <c r="K196" s="142" t="str">
        <f t="shared" ref="K196:K259" si="75">IF($D196="sähkö","kWh",IF($D196="pom","l","undefined"))</f>
        <v>l</v>
      </c>
      <c r="L196" s="146">
        <f>IFERROR(INDEX(Työkonekanta!$I$3:$I$27,MATCH('S2 Bio'!$A196,Työkonekanta!$A$3:$A$24,0),1)*(I196+J196)*f_adblue,0)</f>
        <v>0</v>
      </c>
      <c r="M196" s="146">
        <f t="shared" si="60"/>
        <v>0</v>
      </c>
      <c r="N196" s="143" t="str">
        <f>IF(tuulisähkö_vuosi&lt;='S2 Bio'!C196,"tuulisähkö",ostosähkö_nyt)</f>
        <v>jäännössähkö</v>
      </c>
      <c r="O196" s="147">
        <f>INDEX(Muuttujat!$J$5:$J$21,MATCH($C196,Muuttujat!$H$5:$H$21,0),1)</f>
        <v>65.194885123382022</v>
      </c>
      <c r="P196" s="148">
        <f t="shared" ref="P196:P259" si="76">1-Q196</f>
        <v>0.64666666666666672</v>
      </c>
      <c r="Q196" s="148">
        <f t="shared" si="66"/>
        <v>0.35333333333333328</v>
      </c>
      <c r="R196" s="148">
        <f t="shared" si="66"/>
        <v>0.35333333333333328</v>
      </c>
      <c r="S196" s="149">
        <f t="shared" si="70"/>
        <v>0</v>
      </c>
      <c r="T196" s="150">
        <f t="shared" si="71"/>
        <v>0</v>
      </c>
      <c r="U196" s="150">
        <f t="shared" si="72"/>
        <v>0</v>
      </c>
      <c r="V196" s="150">
        <f>IFERROR(INDEX(Työkonekanta!$J$3:$J$27,MATCH($A196,Työkonekanta!$A$3:$A$24,0),1)*$B196*ef_li_ion_akku/1000/1000/INDEX(Työkonekanta!$K$3:$K$27,MATCH($A196,Työkonekanta!$A$3:$A$24,0)),0)</f>
        <v>0</v>
      </c>
      <c r="W196" s="149">
        <f t="shared" si="61"/>
        <v>0</v>
      </c>
      <c r="X196" s="150">
        <f t="shared" si="62"/>
        <v>0</v>
      </c>
      <c r="Y196" s="151">
        <f t="shared" si="63"/>
        <v>0</v>
      </c>
      <c r="Z196" s="152">
        <f t="shared" ref="Z196:Z259" si="77">SUM($S196:$V196)</f>
        <v>0</v>
      </c>
      <c r="AA196" s="153">
        <f t="shared" ref="AA196:AA259" si="78">$W196+$Y196</f>
        <v>0</v>
      </c>
      <c r="AB196" s="153">
        <f t="shared" ref="AB196:AB259" si="79">SUM($W196:$Y196)</f>
        <v>0</v>
      </c>
      <c r="AC196" s="154">
        <f t="shared" si="64"/>
        <v>0</v>
      </c>
      <c r="AD196" s="180">
        <f t="shared" ref="AD196:AD259" si="80">$Z196+$AB196</f>
        <v>0</v>
      </c>
      <c r="AE196" s="160"/>
    </row>
    <row r="197" spans="1:31">
      <c r="A197" s="139">
        <v>15</v>
      </c>
      <c r="B197" s="139">
        <f>IFERROR(INDEX(Työkonekanta!$F$3:$F$27,MATCH('S2 Bio'!$A197,Työkonekanta!$A$3:$A$24,0),1),0)</f>
        <v>0</v>
      </c>
      <c r="C197" s="140">
        <v>2025</v>
      </c>
      <c r="D197" s="141" t="str">
        <f>IFERROR(INDEX(Työkonekanta!$D$3:$D$27,MATCH('S2 Bio'!$A197,Työkonekanta!$A$3:$A$24,0),1),"undefined")</f>
        <v>sähkö</v>
      </c>
      <c r="E197" s="145">
        <f>IFERROR(INDEX(Työkonekanta!$G$3:$G$27,MATCH($A197,Työkonekanta!$A$3:$A$24,0),1)*INDEX(Työkonekanta!$H$3:$H$27,MATCH($A197,Työkonekanta!$A$3:$A$24,0),1)*(1+_xlfn.SINGLE(s2_kerroin)*($C197-2019))*$B197,0)</f>
        <v>0</v>
      </c>
      <c r="F197" s="145">
        <f t="shared" si="67"/>
        <v>0</v>
      </c>
      <c r="G197" s="145">
        <f t="shared" si="73"/>
        <v>0</v>
      </c>
      <c r="H197" s="145">
        <f t="shared" si="74"/>
        <v>0</v>
      </c>
      <c r="I197" s="145">
        <f t="shared" si="68"/>
        <v>0</v>
      </c>
      <c r="J197" s="145">
        <f t="shared" si="69"/>
        <v>0</v>
      </c>
      <c r="K197" s="142" t="str">
        <f t="shared" si="75"/>
        <v>kWh</v>
      </c>
      <c r="L197" s="146">
        <f>IFERROR(INDEX(Työkonekanta!$I$3:$I$27,MATCH('S2 Bio'!$A197,Työkonekanta!$A$3:$A$24,0),1)*(I197+J197)*f_adblue,0)</f>
        <v>0</v>
      </c>
      <c r="M197" s="146">
        <f t="shared" si="60"/>
        <v>0</v>
      </c>
      <c r="N197" s="143" t="str">
        <f>IF(tuulisähkö_vuosi&lt;='S2 Bio'!C197,"tuulisähkö",ostosähkö_nyt)</f>
        <v>jäännössähkö</v>
      </c>
      <c r="O197" s="147">
        <f>INDEX(Muuttujat!$J$5:$J$21,MATCH($C197,Muuttujat!$H$5:$H$21,0),1)</f>
        <v>65.194885123382022</v>
      </c>
      <c r="P197" s="148">
        <f t="shared" si="76"/>
        <v>0.64666666666666672</v>
      </c>
      <c r="Q197" s="148">
        <f t="shared" si="66"/>
        <v>0.35333333333333328</v>
      </c>
      <c r="R197" s="148">
        <f t="shared" si="66"/>
        <v>0.35333333333333328</v>
      </c>
      <c r="S197" s="149">
        <f t="shared" si="70"/>
        <v>0</v>
      </c>
      <c r="T197" s="150">
        <f t="shared" si="71"/>
        <v>0</v>
      </c>
      <c r="U197" s="150">
        <f t="shared" si="72"/>
        <v>0</v>
      </c>
      <c r="V197" s="150">
        <f>IFERROR(INDEX(Työkonekanta!$J$3:$J$27,MATCH($A197,Työkonekanta!$A$3:$A$24,0),1)*$B197*ef_li_ion_akku/1000/1000/INDEX(Työkonekanta!$K$3:$K$27,MATCH($A197,Työkonekanta!$A$3:$A$24,0)),0)</f>
        <v>0</v>
      </c>
      <c r="W197" s="149">
        <f t="shared" si="61"/>
        <v>0</v>
      </c>
      <c r="X197" s="150">
        <f t="shared" si="62"/>
        <v>0</v>
      </c>
      <c r="Y197" s="151">
        <f t="shared" si="63"/>
        <v>0</v>
      </c>
      <c r="Z197" s="152">
        <f t="shared" si="77"/>
        <v>0</v>
      </c>
      <c r="AA197" s="153">
        <f t="shared" si="78"/>
        <v>0</v>
      </c>
      <c r="AB197" s="153">
        <f t="shared" si="79"/>
        <v>0</v>
      </c>
      <c r="AC197" s="154">
        <f t="shared" si="64"/>
        <v>0</v>
      </c>
      <c r="AD197" s="180">
        <f t="shared" si="80"/>
        <v>0</v>
      </c>
      <c r="AE197" s="160"/>
    </row>
    <row r="198" spans="1:31">
      <c r="A198" s="139">
        <v>16</v>
      </c>
      <c r="B198" s="139">
        <f>IFERROR(INDEX(Työkonekanta!$F$3:$F$27,MATCH('S2 Bio'!$A198,Työkonekanta!$A$3:$A$24,0),1),0)</f>
        <v>0</v>
      </c>
      <c r="C198" s="140">
        <v>2025</v>
      </c>
      <c r="D198" s="141" t="str">
        <f>IFERROR(INDEX(Työkonekanta!$D$3:$D$27,MATCH('S2 Bio'!$A198,Työkonekanta!$A$3:$A$24,0),1),"undefined")</f>
        <v>sähkö</v>
      </c>
      <c r="E198" s="145">
        <f>IFERROR(INDEX(Työkonekanta!$G$3:$G$27,MATCH($A198,Työkonekanta!$A$3:$A$24,0),1)*INDEX(Työkonekanta!$H$3:$H$27,MATCH($A198,Työkonekanta!$A$3:$A$24,0),1)*(1+_xlfn.SINGLE(s2_kerroin)*($C198-2019))*$B198,0)</f>
        <v>0</v>
      </c>
      <c r="F198" s="145">
        <f t="shared" si="67"/>
        <v>0</v>
      </c>
      <c r="G198" s="145">
        <f t="shared" si="73"/>
        <v>0</v>
      </c>
      <c r="H198" s="145">
        <f t="shared" si="74"/>
        <v>0</v>
      </c>
      <c r="I198" s="145">
        <f t="shared" si="68"/>
        <v>0</v>
      </c>
      <c r="J198" s="145">
        <f t="shared" si="69"/>
        <v>0</v>
      </c>
      <c r="K198" s="142" t="str">
        <f t="shared" si="75"/>
        <v>kWh</v>
      </c>
      <c r="L198" s="146">
        <f>IFERROR(INDEX(Työkonekanta!$I$3:$I$27,MATCH('S2 Bio'!$A198,Työkonekanta!$A$3:$A$24,0),1)*(I198+J198)*f_adblue,0)</f>
        <v>0</v>
      </c>
      <c r="M198" s="146">
        <f t="shared" si="60"/>
        <v>0</v>
      </c>
      <c r="N198" s="143" t="str">
        <f>IF(tuulisähkö_vuosi&lt;='S2 Bio'!C198,"tuulisähkö",ostosähkö_nyt)</f>
        <v>jäännössähkö</v>
      </c>
      <c r="O198" s="147">
        <f>INDEX(Muuttujat!$J$5:$J$21,MATCH($C198,Muuttujat!$H$5:$H$21,0),1)</f>
        <v>65.194885123382022</v>
      </c>
      <c r="P198" s="148">
        <f t="shared" si="76"/>
        <v>0.64666666666666672</v>
      </c>
      <c r="Q198" s="148">
        <f t="shared" si="66"/>
        <v>0.35333333333333328</v>
      </c>
      <c r="R198" s="148">
        <f t="shared" si="66"/>
        <v>0.35333333333333328</v>
      </c>
      <c r="S198" s="149">
        <f t="shared" si="70"/>
        <v>0</v>
      </c>
      <c r="T198" s="150">
        <f t="shared" si="71"/>
        <v>0</v>
      </c>
      <c r="U198" s="150">
        <f t="shared" si="72"/>
        <v>0</v>
      </c>
      <c r="V198" s="150">
        <f>IFERROR(INDEX(Työkonekanta!$J$3:$J$27,MATCH($A198,Työkonekanta!$A$3:$A$24,0),1)*$B198*ef_li_ion_akku/1000/1000/INDEX(Työkonekanta!$K$3:$K$27,MATCH($A198,Työkonekanta!$A$3:$A$24,0)),0)</f>
        <v>0</v>
      </c>
      <c r="W198" s="149">
        <f t="shared" si="61"/>
        <v>0</v>
      </c>
      <c r="X198" s="150">
        <f t="shared" si="62"/>
        <v>0</v>
      </c>
      <c r="Y198" s="151">
        <f t="shared" si="63"/>
        <v>0</v>
      </c>
      <c r="Z198" s="152">
        <f t="shared" si="77"/>
        <v>0</v>
      </c>
      <c r="AA198" s="153">
        <f t="shared" si="78"/>
        <v>0</v>
      </c>
      <c r="AB198" s="153">
        <f t="shared" si="79"/>
        <v>0</v>
      </c>
      <c r="AC198" s="154">
        <f t="shared" si="64"/>
        <v>0</v>
      </c>
      <c r="AD198" s="180">
        <f t="shared" si="80"/>
        <v>0</v>
      </c>
      <c r="AE198" s="160"/>
    </row>
    <row r="199" spans="1:31">
      <c r="A199" s="139">
        <v>17</v>
      </c>
      <c r="B199" s="139">
        <f>IFERROR(INDEX(Työkonekanta!$F$3:$F$27,MATCH('S2 Bio'!$A199,Työkonekanta!$A$3:$A$24,0),1),0)</f>
        <v>1</v>
      </c>
      <c r="C199" s="140">
        <v>2025</v>
      </c>
      <c r="D199" s="141" t="str">
        <f>IFERROR(INDEX(Työkonekanta!$D$3:$D$27,MATCH('S2 Bio'!$A199,Työkonekanta!$A$3:$A$24,0),1),"undefined")</f>
        <v>pom</v>
      </c>
      <c r="E199" s="145">
        <f>IFERROR(INDEX(Työkonekanta!$G$3:$G$27,MATCH($A199,Työkonekanta!$A$3:$A$24,0),1)*INDEX(Työkonekanta!$H$3:$H$27,MATCH($A199,Työkonekanta!$A$3:$A$24,0),1)*(1+_xlfn.SINGLE(s2_kerroin)*($C199-2019))*$B199,0)</f>
        <v>10600</v>
      </c>
      <c r="F199" s="145">
        <f t="shared" si="67"/>
        <v>380540</v>
      </c>
      <c r="G199" s="145">
        <f t="shared" si="73"/>
        <v>246082.53333333335</v>
      </c>
      <c r="H199" s="145">
        <f t="shared" si="74"/>
        <v>134457.46666666665</v>
      </c>
      <c r="I199" s="145">
        <f t="shared" si="68"/>
        <v>6854.6666666666679</v>
      </c>
      <c r="J199" s="145">
        <f t="shared" si="69"/>
        <v>3920.0427599611271</v>
      </c>
      <c r="K199" s="142" t="str">
        <f t="shared" si="75"/>
        <v>l</v>
      </c>
      <c r="L199" s="146">
        <f>IFERROR(INDEX(Työkonekanta!$I$3:$I$27,MATCH('S2 Bio'!$A199,Työkonekanta!$A$3:$A$24,0),1)*(I199+J199)*f_adblue,0)</f>
        <v>538.7354713313897</v>
      </c>
      <c r="M199" s="146">
        <f t="shared" si="60"/>
        <v>0</v>
      </c>
      <c r="N199" s="143" t="str">
        <f>IF(tuulisähkö_vuosi&lt;='S2 Bio'!C199,"tuulisähkö",ostosähkö_nyt)</f>
        <v>jäännössähkö</v>
      </c>
      <c r="O199" s="147">
        <f>INDEX(Muuttujat!$J$5:$J$21,MATCH($C199,Muuttujat!$H$5:$H$21,0),1)</f>
        <v>65.194885123382022</v>
      </c>
      <c r="P199" s="148">
        <f t="shared" si="76"/>
        <v>0.64666666666666672</v>
      </c>
      <c r="Q199" s="148">
        <f t="shared" si="66"/>
        <v>0.35333333333333328</v>
      </c>
      <c r="R199" s="148">
        <f t="shared" si="66"/>
        <v>0.35333333333333328</v>
      </c>
      <c r="S199" s="149">
        <f t="shared" si="70"/>
        <v>4.6509598800000003</v>
      </c>
      <c r="T199" s="150">
        <f t="shared" si="71"/>
        <v>8.3901459199999966</v>
      </c>
      <c r="U199" s="150">
        <f t="shared" si="72"/>
        <v>0</v>
      </c>
      <c r="V199" s="150">
        <f>IFERROR(INDEX(Työkonekanta!$J$3:$J$27,MATCH($A199,Työkonekanta!$A$3:$A$24,0),1)*$B199*ef_li_ion_akku/1000/1000/INDEX(Työkonekanta!$K$3:$K$27,MATCH($A199,Työkonekanta!$A$3:$A$24,0)),0)</f>
        <v>0</v>
      </c>
      <c r="W199" s="149">
        <f t="shared" si="61"/>
        <v>18.162922193776804</v>
      </c>
      <c r="X199" s="150">
        <f t="shared" si="62"/>
        <v>0.33681039959999998</v>
      </c>
      <c r="Y199" s="151">
        <f t="shared" si="63"/>
        <v>0.14007122254616133</v>
      </c>
      <c r="Z199" s="152">
        <f t="shared" si="77"/>
        <v>13.041105799999997</v>
      </c>
      <c r="AA199" s="153">
        <f t="shared" si="78"/>
        <v>18.302993416322966</v>
      </c>
      <c r="AB199" s="153">
        <f t="shared" si="79"/>
        <v>18.639803815922967</v>
      </c>
      <c r="AC199" s="154">
        <f t="shared" si="64"/>
        <v>31.344099216322963</v>
      </c>
      <c r="AD199" s="180">
        <f t="shared" si="80"/>
        <v>31.680909615922964</v>
      </c>
      <c r="AE199" s="160"/>
    </row>
    <row r="200" spans="1:31">
      <c r="A200" s="139">
        <v>18</v>
      </c>
      <c r="B200" s="139">
        <f>IFERROR(INDEX(Työkonekanta!$F$3:$F$27,MATCH('S2 Bio'!$A200,Työkonekanta!$A$3:$A$24,0),1),0)</f>
        <v>1</v>
      </c>
      <c r="C200" s="140">
        <v>2025</v>
      </c>
      <c r="D200" s="141" t="str">
        <f>IFERROR(INDEX(Työkonekanta!$D$3:$D$27,MATCH('S2 Bio'!$A200,Työkonekanta!$A$3:$A$24,0),1),"undefined")</f>
        <v>pom</v>
      </c>
      <c r="E200" s="145">
        <f>IFERROR(INDEX(Työkonekanta!$G$3:$G$27,MATCH($A200,Työkonekanta!$A$3:$A$24,0),1)*INDEX(Työkonekanta!$H$3:$H$27,MATCH($A200,Työkonekanta!$A$3:$A$24,0),1)*(1+_xlfn.SINGLE(s2_kerroin)*($C200-2019))*$B200,0)</f>
        <v>10600</v>
      </c>
      <c r="F200" s="145">
        <f t="shared" si="67"/>
        <v>380540</v>
      </c>
      <c r="G200" s="145">
        <f t="shared" si="73"/>
        <v>246082.53333333335</v>
      </c>
      <c r="H200" s="145">
        <f t="shared" si="74"/>
        <v>134457.46666666665</v>
      </c>
      <c r="I200" s="145">
        <f t="shared" si="68"/>
        <v>6854.6666666666679</v>
      </c>
      <c r="J200" s="145">
        <f t="shared" si="69"/>
        <v>3920.0427599611271</v>
      </c>
      <c r="K200" s="142" t="str">
        <f t="shared" si="75"/>
        <v>l</v>
      </c>
      <c r="L200" s="146">
        <f>IFERROR(INDEX(Työkonekanta!$I$3:$I$27,MATCH('S2 Bio'!$A200,Työkonekanta!$A$3:$A$24,0),1)*(I200+J200)*f_adblue,0)</f>
        <v>430.98837706511176</v>
      </c>
      <c r="M200" s="146">
        <f t="shared" si="60"/>
        <v>0</v>
      </c>
      <c r="N200" s="143" t="str">
        <f>IF(tuulisähkö_vuosi&lt;='S2 Bio'!C200,"tuulisähkö",ostosähkö_nyt)</f>
        <v>jäännössähkö</v>
      </c>
      <c r="O200" s="147">
        <f>INDEX(Muuttujat!$J$5:$J$21,MATCH($C200,Muuttujat!$H$5:$H$21,0),1)</f>
        <v>65.194885123382022</v>
      </c>
      <c r="P200" s="148">
        <f t="shared" si="76"/>
        <v>0.64666666666666672</v>
      </c>
      <c r="Q200" s="148">
        <f t="shared" si="66"/>
        <v>0.35333333333333328</v>
      </c>
      <c r="R200" s="148">
        <f t="shared" si="66"/>
        <v>0.35333333333333328</v>
      </c>
      <c r="S200" s="149">
        <f t="shared" si="70"/>
        <v>4.6509598800000003</v>
      </c>
      <c r="T200" s="150">
        <f t="shared" si="71"/>
        <v>8.3901459199999966</v>
      </c>
      <c r="U200" s="150">
        <f t="shared" si="72"/>
        <v>0</v>
      </c>
      <c r="V200" s="150">
        <f>IFERROR(INDEX(Työkonekanta!$J$3:$J$27,MATCH($A200,Työkonekanta!$A$3:$A$24,0),1)*$B200*ef_li_ion_akku/1000/1000/INDEX(Työkonekanta!$K$3:$K$27,MATCH($A200,Työkonekanta!$A$3:$A$24,0)),0)</f>
        <v>0</v>
      </c>
      <c r="W200" s="149">
        <f t="shared" si="61"/>
        <v>18.162922193776804</v>
      </c>
      <c r="X200" s="150">
        <f t="shared" si="62"/>
        <v>0.33681039959999998</v>
      </c>
      <c r="Y200" s="151">
        <f t="shared" si="63"/>
        <v>0.11205697803692906</v>
      </c>
      <c r="Z200" s="152">
        <f t="shared" si="77"/>
        <v>13.041105799999997</v>
      </c>
      <c r="AA200" s="153">
        <f t="shared" si="78"/>
        <v>18.274979171813733</v>
      </c>
      <c r="AB200" s="153">
        <f t="shared" si="79"/>
        <v>18.611789571413734</v>
      </c>
      <c r="AC200" s="154">
        <f t="shared" si="64"/>
        <v>31.31608497181373</v>
      </c>
      <c r="AD200" s="180">
        <f t="shared" si="80"/>
        <v>31.652895371413731</v>
      </c>
      <c r="AE200" s="160"/>
    </row>
    <row r="201" spans="1:31">
      <c r="A201" s="139">
        <v>19</v>
      </c>
      <c r="B201" s="139">
        <f>IFERROR(INDEX(Työkonekanta!$F$3:$F$27,MATCH('S2 Bio'!$A201,Työkonekanta!$A$3:$A$24,0),1),0)</f>
        <v>0</v>
      </c>
      <c r="C201" s="140">
        <v>2025</v>
      </c>
      <c r="D201" s="141" t="str">
        <f>IFERROR(INDEX(Työkonekanta!$D$3:$D$27,MATCH('S2 Bio'!$A201,Työkonekanta!$A$3:$A$24,0),1),"undefined")</f>
        <v>pom</v>
      </c>
      <c r="E201" s="145">
        <f>IFERROR(INDEX(Työkonekanta!$G$3:$G$27,MATCH($A201,Työkonekanta!$A$3:$A$24,0),1)*INDEX(Työkonekanta!$H$3:$H$27,MATCH($A201,Työkonekanta!$A$3:$A$24,0),1)*(1+_xlfn.SINGLE(s2_kerroin)*($C201-2019))*$B201,0)</f>
        <v>0</v>
      </c>
      <c r="F201" s="145">
        <f t="shared" si="67"/>
        <v>0</v>
      </c>
      <c r="G201" s="145">
        <f t="shared" si="73"/>
        <v>0</v>
      </c>
      <c r="H201" s="145">
        <f t="shared" si="74"/>
        <v>0</v>
      </c>
      <c r="I201" s="145">
        <f t="shared" si="68"/>
        <v>0</v>
      </c>
      <c r="J201" s="145">
        <f t="shared" si="69"/>
        <v>0</v>
      </c>
      <c r="K201" s="142" t="str">
        <f t="shared" si="75"/>
        <v>l</v>
      </c>
      <c r="L201" s="146">
        <f>IFERROR(INDEX(Työkonekanta!$I$3:$I$27,MATCH('S2 Bio'!$A201,Työkonekanta!$A$3:$A$24,0),1)*(I201+J201)*f_adblue,0)</f>
        <v>0</v>
      </c>
      <c r="M201" s="146">
        <f t="shared" si="60"/>
        <v>0</v>
      </c>
      <c r="N201" s="143" t="str">
        <f>IF(tuulisähkö_vuosi&lt;='S2 Bio'!C201,"tuulisähkö",ostosähkö_nyt)</f>
        <v>jäännössähkö</v>
      </c>
      <c r="O201" s="147">
        <f>INDEX(Muuttujat!$J$5:$J$21,MATCH($C201,Muuttujat!$H$5:$H$21,0),1)</f>
        <v>65.194885123382022</v>
      </c>
      <c r="P201" s="148">
        <f t="shared" si="76"/>
        <v>0.64666666666666672</v>
      </c>
      <c r="Q201" s="148">
        <f t="shared" si="66"/>
        <v>0.35333333333333328</v>
      </c>
      <c r="R201" s="148">
        <f t="shared" si="66"/>
        <v>0.35333333333333328</v>
      </c>
      <c r="S201" s="149">
        <f t="shared" si="70"/>
        <v>0</v>
      </c>
      <c r="T201" s="150">
        <f t="shared" si="71"/>
        <v>0</v>
      </c>
      <c r="U201" s="150">
        <f t="shared" si="72"/>
        <v>0</v>
      </c>
      <c r="V201" s="150">
        <f>IFERROR(INDEX(Työkonekanta!$J$3:$J$27,MATCH($A201,Työkonekanta!$A$3:$A$24,0),1)*$B201*ef_li_ion_akku/1000/1000/INDEX(Työkonekanta!$K$3:$K$27,MATCH($A201,Työkonekanta!$A$3:$A$24,0)),0)</f>
        <v>0</v>
      </c>
      <c r="W201" s="149">
        <f t="shared" si="61"/>
        <v>0</v>
      </c>
      <c r="X201" s="150">
        <f t="shared" si="62"/>
        <v>0</v>
      </c>
      <c r="Y201" s="151">
        <f t="shared" si="63"/>
        <v>0</v>
      </c>
      <c r="Z201" s="152">
        <f t="shared" si="77"/>
        <v>0</v>
      </c>
      <c r="AA201" s="153">
        <f t="shared" si="78"/>
        <v>0</v>
      </c>
      <c r="AB201" s="153">
        <f t="shared" si="79"/>
        <v>0</v>
      </c>
      <c r="AC201" s="154">
        <f t="shared" si="64"/>
        <v>0</v>
      </c>
      <c r="AD201" s="180">
        <f t="shared" si="80"/>
        <v>0</v>
      </c>
      <c r="AE201" s="160"/>
    </row>
    <row r="202" spans="1:31">
      <c r="A202" s="139">
        <v>20</v>
      </c>
      <c r="B202" s="139">
        <f>IFERROR(INDEX(Työkonekanta!$F$3:$F$27,MATCH('S2 Bio'!$A202,Työkonekanta!$A$3:$A$24,0),1),0)</f>
        <v>0</v>
      </c>
      <c r="C202" s="140">
        <v>2025</v>
      </c>
      <c r="D202" s="141" t="str">
        <f>IFERROR(INDEX(Työkonekanta!$D$3:$D$27,MATCH('S2 Bio'!$A202,Työkonekanta!$A$3:$A$24,0),1),"undefined")</f>
        <v>pom</v>
      </c>
      <c r="E202" s="145">
        <f>IFERROR(INDEX(Työkonekanta!$G$3:$G$27,MATCH($A202,Työkonekanta!$A$3:$A$24,0),1)*INDEX(Työkonekanta!$H$3:$H$27,MATCH($A202,Työkonekanta!$A$3:$A$24,0),1)*(1+_xlfn.SINGLE(s2_kerroin)*($C202-2019))*$B202,0)</f>
        <v>0</v>
      </c>
      <c r="F202" s="145">
        <f t="shared" si="67"/>
        <v>0</v>
      </c>
      <c r="G202" s="145">
        <f t="shared" si="73"/>
        <v>0</v>
      </c>
      <c r="H202" s="145">
        <f t="shared" si="74"/>
        <v>0</v>
      </c>
      <c r="I202" s="145">
        <f t="shared" si="68"/>
        <v>0</v>
      </c>
      <c r="J202" s="145">
        <f t="shared" si="69"/>
        <v>0</v>
      </c>
      <c r="K202" s="142" t="str">
        <f t="shared" si="75"/>
        <v>l</v>
      </c>
      <c r="L202" s="146">
        <f>IFERROR(INDEX(Työkonekanta!$I$3:$I$27,MATCH('S2 Bio'!$A202,Työkonekanta!$A$3:$A$24,0),1)*(I202+J202)*f_adblue,0)</f>
        <v>0</v>
      </c>
      <c r="M202" s="146">
        <f t="shared" si="60"/>
        <v>0</v>
      </c>
      <c r="N202" s="143" t="str">
        <f>IF(tuulisähkö_vuosi&lt;='S2 Bio'!C202,"tuulisähkö",ostosähkö_nyt)</f>
        <v>jäännössähkö</v>
      </c>
      <c r="O202" s="147">
        <f>INDEX(Muuttujat!$J$5:$J$21,MATCH($C202,Muuttujat!$H$5:$H$21,0),1)</f>
        <v>65.194885123382022</v>
      </c>
      <c r="P202" s="148">
        <f t="shared" si="76"/>
        <v>0.64666666666666672</v>
      </c>
      <c r="Q202" s="148">
        <f t="shared" si="66"/>
        <v>0.35333333333333328</v>
      </c>
      <c r="R202" s="148">
        <f t="shared" si="66"/>
        <v>0.35333333333333328</v>
      </c>
      <c r="S202" s="149">
        <f t="shared" si="70"/>
        <v>0</v>
      </c>
      <c r="T202" s="150">
        <f t="shared" si="71"/>
        <v>0</v>
      </c>
      <c r="U202" s="150">
        <f t="shared" si="72"/>
        <v>0</v>
      </c>
      <c r="V202" s="150">
        <f>IFERROR(INDEX(Työkonekanta!$J$3:$J$27,MATCH($A202,Työkonekanta!$A$3:$A$24,0),1)*$B202*ef_li_ion_akku/1000/1000/INDEX(Työkonekanta!$K$3:$K$27,MATCH($A202,Työkonekanta!$A$3:$A$24,0)),0)</f>
        <v>0</v>
      </c>
      <c r="W202" s="149">
        <f t="shared" si="61"/>
        <v>0</v>
      </c>
      <c r="X202" s="150">
        <f t="shared" si="62"/>
        <v>0</v>
      </c>
      <c r="Y202" s="151">
        <f t="shared" si="63"/>
        <v>0</v>
      </c>
      <c r="Z202" s="152">
        <f t="shared" si="77"/>
        <v>0</v>
      </c>
      <c r="AA202" s="153">
        <f t="shared" si="78"/>
        <v>0</v>
      </c>
      <c r="AB202" s="153">
        <f t="shared" si="79"/>
        <v>0</v>
      </c>
      <c r="AC202" s="154">
        <f t="shared" si="64"/>
        <v>0</v>
      </c>
      <c r="AD202" s="180">
        <f t="shared" si="80"/>
        <v>0</v>
      </c>
      <c r="AE202" s="160"/>
    </row>
    <row r="203" spans="1:31">
      <c r="A203" s="139">
        <v>21</v>
      </c>
      <c r="B203" s="139">
        <f>IFERROR(INDEX(Työkonekanta!$F$3:$F$27,MATCH('S2 Bio'!$A203,Työkonekanta!$A$3:$A$24,0),1),0)</f>
        <v>35</v>
      </c>
      <c r="C203" s="140">
        <v>2025</v>
      </c>
      <c r="D203" s="141" t="str">
        <f>IFERROR(INDEX(Työkonekanta!$D$3:$D$27,MATCH('S2 Bio'!$A203,Työkonekanta!$A$3:$A$24,0),1),"undefined")</f>
        <v>sähkö</v>
      </c>
      <c r="E203" s="145">
        <f>IFERROR(INDEX(Työkonekanta!$G$3:$G$27,MATCH($A203,Työkonekanta!$A$3:$A$24,0),1)*INDEX(Työkonekanta!$H$3:$H$27,MATCH($A203,Työkonekanta!$A$3:$A$24,0),1)*(1+_xlfn.SINGLE(s2_kerroin)*($C203-2019))*$B203,0)</f>
        <v>431631.01851851854</v>
      </c>
      <c r="F203" s="145">
        <f t="shared" si="67"/>
        <v>0</v>
      </c>
      <c r="G203" s="145">
        <f t="shared" si="73"/>
        <v>0</v>
      </c>
      <c r="H203" s="145">
        <f t="shared" si="74"/>
        <v>0</v>
      </c>
      <c r="I203" s="145">
        <f t="shared" si="68"/>
        <v>0</v>
      </c>
      <c r="J203" s="145">
        <f t="shared" si="69"/>
        <v>0</v>
      </c>
      <c r="K203" s="142" t="str">
        <f t="shared" si="75"/>
        <v>kWh</v>
      </c>
      <c r="L203" s="146">
        <f>IFERROR(INDEX(Työkonekanta!$I$3:$I$27,MATCH('S2 Bio'!$A203,Työkonekanta!$A$3:$A$24,0),1)*(I203+J203)*f_adblue,0)</f>
        <v>0</v>
      </c>
      <c r="M203" s="146">
        <f t="shared" si="60"/>
        <v>1553871.6666666667</v>
      </c>
      <c r="N203" s="143" t="str">
        <f>IF(tuulisähkö_vuosi&lt;='S2 Bio'!C203,"tuulisähkö",ostosähkö_nyt)</f>
        <v>jäännössähkö</v>
      </c>
      <c r="O203" s="147">
        <f>INDEX(Muuttujat!$J$5:$J$21,MATCH($C203,Muuttujat!$H$5:$H$21,0),1)</f>
        <v>65.194885123382022</v>
      </c>
      <c r="P203" s="148">
        <f t="shared" si="76"/>
        <v>0.64666666666666672</v>
      </c>
      <c r="Q203" s="148">
        <f t="shared" ref="Q203:R222" si="81">IF(biosiirtymä_luonne="äkillinen",INDEX($AG$4:$AG$20,MATCH($C203,$AF$4:$AF$20,0),1),INDEX($AH$4:$AH$20,MATCH($C203,$AF$4:$AF$20,0),1))</f>
        <v>0.35333333333333328</v>
      </c>
      <c r="R203" s="148">
        <f t="shared" si="81"/>
        <v>0.35333333333333328</v>
      </c>
      <c r="S203" s="149">
        <f t="shared" si="70"/>
        <v>0</v>
      </c>
      <c r="T203" s="150">
        <f t="shared" si="71"/>
        <v>0</v>
      </c>
      <c r="U203" s="150">
        <f t="shared" si="72"/>
        <v>101.30448480481151</v>
      </c>
      <c r="V203" s="150">
        <f>IFERROR(INDEX(Työkonekanta!$J$3:$J$27,MATCH($A203,Työkonekanta!$A$3:$A$24,0),1)*$B203*ef_li_ion_akku/1000/1000/INDEX(Työkonekanta!$K$3:$K$27,MATCH($A203,Työkonekanta!$A$3:$A$24,0)),0)</f>
        <v>43.121723076923082</v>
      </c>
      <c r="W203" s="149">
        <f t="shared" si="61"/>
        <v>0</v>
      </c>
      <c r="X203" s="150">
        <f t="shared" si="62"/>
        <v>0</v>
      </c>
      <c r="Y203" s="151">
        <f t="shared" si="63"/>
        <v>0</v>
      </c>
      <c r="Z203" s="152">
        <f t="shared" si="77"/>
        <v>144.4262078817346</v>
      </c>
      <c r="AA203" s="153">
        <f t="shared" si="78"/>
        <v>0</v>
      </c>
      <c r="AB203" s="153">
        <f t="shared" si="79"/>
        <v>0</v>
      </c>
      <c r="AC203" s="154">
        <f t="shared" si="64"/>
        <v>144.4262078817346</v>
      </c>
      <c r="AD203" s="180">
        <f t="shared" si="80"/>
        <v>144.4262078817346</v>
      </c>
      <c r="AE203" s="160"/>
    </row>
    <row r="204" spans="1:31">
      <c r="A204" s="139">
        <v>22</v>
      </c>
      <c r="B204" s="139">
        <f>IFERROR(INDEX(Työkonekanta!$F$3:$F$27,MATCH('S2 Bio'!$A204,Työkonekanta!$A$3:$A$24,0),1),0)</f>
        <v>0</v>
      </c>
      <c r="C204" s="140">
        <v>2025</v>
      </c>
      <c r="D204" s="141" t="str">
        <f>IFERROR(INDEX(Työkonekanta!$D$3:$D$27,MATCH('S2 Bio'!$A204,Työkonekanta!$A$3:$A$24,0),1),"undefined")</f>
        <v>sähkö</v>
      </c>
      <c r="E204" s="145">
        <f>IFERROR(INDEX(Työkonekanta!$G$3:$G$27,MATCH($A204,Työkonekanta!$A$3:$A$24,0),1)*INDEX(Työkonekanta!$H$3:$H$27,MATCH($A204,Työkonekanta!$A$3:$A$24,0),1)*(1+_xlfn.SINGLE(s2_kerroin)*($C204-2019))*$B204,0)</f>
        <v>0</v>
      </c>
      <c r="F204" s="145">
        <f t="shared" si="67"/>
        <v>0</v>
      </c>
      <c r="G204" s="145">
        <f t="shared" si="73"/>
        <v>0</v>
      </c>
      <c r="H204" s="145">
        <f t="shared" si="74"/>
        <v>0</v>
      </c>
      <c r="I204" s="145">
        <f t="shared" si="68"/>
        <v>0</v>
      </c>
      <c r="J204" s="145">
        <f t="shared" si="69"/>
        <v>0</v>
      </c>
      <c r="K204" s="142" t="str">
        <f t="shared" si="75"/>
        <v>kWh</v>
      </c>
      <c r="L204" s="146">
        <f>IFERROR(INDEX(Työkonekanta!$I$3:$I$27,MATCH('S2 Bio'!$A204,Työkonekanta!$A$3:$A$24,0),1)*(I204+J204)*f_adblue,0)</f>
        <v>0</v>
      </c>
      <c r="M204" s="146">
        <f t="shared" si="60"/>
        <v>0</v>
      </c>
      <c r="N204" s="143" t="str">
        <f>IF(tuulisähkö_vuosi&lt;='S2 Bio'!C204,"tuulisähkö",ostosähkö_nyt)</f>
        <v>jäännössähkö</v>
      </c>
      <c r="O204" s="147">
        <f>INDEX(Muuttujat!$J$5:$J$21,MATCH($C204,Muuttujat!$H$5:$H$21,0),1)</f>
        <v>65.194885123382022</v>
      </c>
      <c r="P204" s="148">
        <f t="shared" si="76"/>
        <v>0.64666666666666672</v>
      </c>
      <c r="Q204" s="148">
        <f t="shared" si="81"/>
        <v>0.35333333333333328</v>
      </c>
      <c r="R204" s="148">
        <f t="shared" si="81"/>
        <v>0.35333333333333328</v>
      </c>
      <c r="S204" s="149">
        <f t="shared" si="70"/>
        <v>0</v>
      </c>
      <c r="T204" s="150">
        <f t="shared" si="71"/>
        <v>0</v>
      </c>
      <c r="U204" s="150">
        <f t="shared" si="72"/>
        <v>0</v>
      </c>
      <c r="V204" s="150">
        <f>IFERROR(INDEX(Työkonekanta!$J$3:$J$27,MATCH($A204,Työkonekanta!$A$3:$A$24,0),1)*$B204*ef_li_ion_akku/1000/1000/INDEX(Työkonekanta!$K$3:$K$27,MATCH($A204,Työkonekanta!$A$3:$A$24,0)),0)</f>
        <v>0</v>
      </c>
      <c r="W204" s="149">
        <f t="shared" si="61"/>
        <v>0</v>
      </c>
      <c r="X204" s="150">
        <f t="shared" si="62"/>
        <v>0</v>
      </c>
      <c r="Y204" s="151">
        <f t="shared" si="63"/>
        <v>0</v>
      </c>
      <c r="Z204" s="152">
        <f t="shared" si="77"/>
        <v>0</v>
      </c>
      <c r="AA204" s="153">
        <f t="shared" si="78"/>
        <v>0</v>
      </c>
      <c r="AB204" s="153">
        <f t="shared" si="79"/>
        <v>0</v>
      </c>
      <c r="AC204" s="154">
        <f t="shared" si="64"/>
        <v>0</v>
      </c>
      <c r="AD204" s="180">
        <f t="shared" si="80"/>
        <v>0</v>
      </c>
      <c r="AE204" s="160"/>
    </row>
    <row r="205" spans="1:31">
      <c r="A205" s="139">
        <v>23</v>
      </c>
      <c r="B205" s="139">
        <f>IFERROR(INDEX(Työkonekanta!$F$3:$F$27,MATCH('S2 Bio'!$A205,Työkonekanta!$A$3:$A$24,0),1),0)</f>
        <v>0</v>
      </c>
      <c r="C205" s="140">
        <v>2025</v>
      </c>
      <c r="D205" s="141" t="str">
        <f>IFERROR(INDEX(Työkonekanta!$D$3:$D$27,MATCH('S2 Bio'!$A205,Työkonekanta!$A$3:$A$24,0),1),"undefined")</f>
        <v>undefined</v>
      </c>
      <c r="E205" s="145">
        <f>IFERROR(INDEX(Työkonekanta!$G$3:$G$27,MATCH($A205,Työkonekanta!$A$3:$A$24,0),1)*INDEX(Työkonekanta!$H$3:$H$27,MATCH($A205,Työkonekanta!$A$3:$A$24,0),1)*(1+_xlfn.SINGLE(s2_kerroin)*($C205-2019))*$B205,0)</f>
        <v>0</v>
      </c>
      <c r="F205" s="145">
        <f t="shared" si="67"/>
        <v>0</v>
      </c>
      <c r="G205" s="145">
        <f t="shared" si="73"/>
        <v>0</v>
      </c>
      <c r="H205" s="145">
        <f t="shared" si="74"/>
        <v>0</v>
      </c>
      <c r="I205" s="145">
        <f t="shared" si="68"/>
        <v>0</v>
      </c>
      <c r="J205" s="145">
        <f t="shared" si="69"/>
        <v>0</v>
      </c>
      <c r="K205" s="142" t="str">
        <f t="shared" si="75"/>
        <v>undefined</v>
      </c>
      <c r="L205" s="146">
        <f>IFERROR(INDEX(Työkonekanta!$I$3:$I$27,MATCH('S2 Bio'!$A205,Työkonekanta!$A$3:$A$24,0),1)*(I205+J205)*f_adblue,0)</f>
        <v>0</v>
      </c>
      <c r="M205" s="146">
        <f t="shared" si="60"/>
        <v>0</v>
      </c>
      <c r="N205" s="143" t="str">
        <f>IF(tuulisähkö_vuosi&lt;='S2 Bio'!C205,"tuulisähkö",ostosähkö_nyt)</f>
        <v>jäännössähkö</v>
      </c>
      <c r="O205" s="147">
        <f>INDEX(Muuttujat!$J$5:$J$21,MATCH($C205,Muuttujat!$H$5:$H$21,0),1)</f>
        <v>65.194885123382022</v>
      </c>
      <c r="P205" s="148">
        <f t="shared" si="76"/>
        <v>0.64666666666666672</v>
      </c>
      <c r="Q205" s="148">
        <f t="shared" si="81"/>
        <v>0.35333333333333328</v>
      </c>
      <c r="R205" s="148">
        <f t="shared" si="81"/>
        <v>0.35333333333333328</v>
      </c>
      <c r="S205" s="149">
        <f t="shared" si="70"/>
        <v>0</v>
      </c>
      <c r="T205" s="150">
        <f t="shared" si="71"/>
        <v>0</v>
      </c>
      <c r="U205" s="150">
        <f t="shared" si="72"/>
        <v>0</v>
      </c>
      <c r="V205" s="150">
        <f>IFERROR(INDEX(Työkonekanta!$J$3:$J$27,MATCH($A205,Työkonekanta!$A$3:$A$24,0),1)*$B205*ef_li_ion_akku/1000/1000/INDEX(Työkonekanta!$K$3:$K$27,MATCH($A205,Työkonekanta!$A$3:$A$24,0)),0)</f>
        <v>0</v>
      </c>
      <c r="W205" s="149">
        <f t="shared" si="61"/>
        <v>0</v>
      </c>
      <c r="X205" s="150">
        <f t="shared" si="62"/>
        <v>0</v>
      </c>
      <c r="Y205" s="151">
        <f t="shared" si="63"/>
        <v>0</v>
      </c>
      <c r="Z205" s="152">
        <f t="shared" si="77"/>
        <v>0</v>
      </c>
      <c r="AA205" s="153">
        <f t="shared" si="78"/>
        <v>0</v>
      </c>
      <c r="AB205" s="153">
        <f t="shared" si="79"/>
        <v>0</v>
      </c>
      <c r="AC205" s="154">
        <f t="shared" si="64"/>
        <v>0</v>
      </c>
      <c r="AD205" s="180">
        <f t="shared" si="80"/>
        <v>0</v>
      </c>
      <c r="AE205" s="160"/>
    </row>
    <row r="206" spans="1:31">
      <c r="A206" s="139">
        <v>24</v>
      </c>
      <c r="B206" s="139">
        <f>IFERROR(INDEX(Työkonekanta!$F$3:$F$27,MATCH('S2 Bio'!$A206,Työkonekanta!$A$3:$A$24,0),1),0)</f>
        <v>0</v>
      </c>
      <c r="C206" s="140">
        <v>2025</v>
      </c>
      <c r="D206" s="141" t="str">
        <f>IFERROR(INDEX(Työkonekanta!$D$3:$D$27,MATCH('S2 Bio'!$A206,Työkonekanta!$A$3:$A$24,0),1),"undefined")</f>
        <v>undefined</v>
      </c>
      <c r="E206" s="145">
        <f>IFERROR(INDEX(Työkonekanta!$G$3:$G$27,MATCH($A206,Työkonekanta!$A$3:$A$24,0),1)*INDEX(Työkonekanta!$H$3:$H$27,MATCH($A206,Työkonekanta!$A$3:$A$24,0),1)*(1+_xlfn.SINGLE(s2_kerroin)*($C206-2019))*$B206,0)</f>
        <v>0</v>
      </c>
      <c r="F206" s="145">
        <f t="shared" si="67"/>
        <v>0</v>
      </c>
      <c r="G206" s="145">
        <f t="shared" si="73"/>
        <v>0</v>
      </c>
      <c r="H206" s="145">
        <f t="shared" si="74"/>
        <v>0</v>
      </c>
      <c r="I206" s="145">
        <f t="shared" si="68"/>
        <v>0</v>
      </c>
      <c r="J206" s="145">
        <f t="shared" si="69"/>
        <v>0</v>
      </c>
      <c r="K206" s="142" t="str">
        <f t="shared" si="75"/>
        <v>undefined</v>
      </c>
      <c r="L206" s="146">
        <f>IFERROR(INDEX(Työkonekanta!$I$3:$I$27,MATCH('S2 Bio'!$A206,Työkonekanta!$A$3:$A$24,0),1)*(I206+J206)*f_adblue,0)</f>
        <v>0</v>
      </c>
      <c r="M206" s="146">
        <f t="shared" si="60"/>
        <v>0</v>
      </c>
      <c r="N206" s="143" t="str">
        <f>IF(tuulisähkö_vuosi&lt;='S2 Bio'!C206,"tuulisähkö",ostosähkö_nyt)</f>
        <v>jäännössähkö</v>
      </c>
      <c r="O206" s="147">
        <f>INDEX(Muuttujat!$J$5:$J$21,MATCH($C206,Muuttujat!$H$5:$H$21,0),1)</f>
        <v>65.194885123382022</v>
      </c>
      <c r="P206" s="148">
        <f t="shared" si="76"/>
        <v>0.64666666666666672</v>
      </c>
      <c r="Q206" s="148">
        <f t="shared" si="81"/>
        <v>0.35333333333333328</v>
      </c>
      <c r="R206" s="148">
        <f t="shared" si="81"/>
        <v>0.35333333333333328</v>
      </c>
      <c r="S206" s="149">
        <f t="shared" si="70"/>
        <v>0</v>
      </c>
      <c r="T206" s="150">
        <f t="shared" si="71"/>
        <v>0</v>
      </c>
      <c r="U206" s="150">
        <f t="shared" si="72"/>
        <v>0</v>
      </c>
      <c r="V206" s="150">
        <f>IFERROR(INDEX(Työkonekanta!$J$3:$J$27,MATCH($A206,Työkonekanta!$A$3:$A$24,0),1)*$B206*ef_li_ion_akku/1000/1000/INDEX(Työkonekanta!$K$3:$K$27,MATCH($A206,Työkonekanta!$A$3:$A$24,0)),0)</f>
        <v>0</v>
      </c>
      <c r="W206" s="149">
        <f t="shared" si="61"/>
        <v>0</v>
      </c>
      <c r="X206" s="150">
        <f t="shared" si="62"/>
        <v>0</v>
      </c>
      <c r="Y206" s="151">
        <f t="shared" si="63"/>
        <v>0</v>
      </c>
      <c r="Z206" s="152">
        <f t="shared" si="77"/>
        <v>0</v>
      </c>
      <c r="AA206" s="153">
        <f t="shared" si="78"/>
        <v>0</v>
      </c>
      <c r="AB206" s="153">
        <f t="shared" si="79"/>
        <v>0</v>
      </c>
      <c r="AC206" s="154">
        <f t="shared" si="64"/>
        <v>0</v>
      </c>
      <c r="AD206" s="180">
        <f t="shared" si="80"/>
        <v>0</v>
      </c>
      <c r="AE206" s="160"/>
    </row>
    <row r="207" spans="1:31">
      <c r="A207" s="139">
        <v>25</v>
      </c>
      <c r="B207" s="139">
        <f>IFERROR(INDEX(Työkonekanta!$F$3:$F$27,MATCH('S2 Bio'!$A207,Työkonekanta!$A$3:$A$24,0),1),0)</f>
        <v>0</v>
      </c>
      <c r="C207" s="140">
        <v>2025</v>
      </c>
      <c r="D207" s="141" t="str">
        <f>IFERROR(INDEX(Työkonekanta!$D$3:$D$27,MATCH('S2 Bio'!$A207,Työkonekanta!$A$3:$A$24,0),1),"undefined")</f>
        <v>undefined</v>
      </c>
      <c r="E207" s="145">
        <f>IFERROR(INDEX(Työkonekanta!$G$3:$G$27,MATCH($A207,Työkonekanta!$A$3:$A$24,0),1)*INDEX(Työkonekanta!$H$3:$H$27,MATCH($A207,Työkonekanta!$A$3:$A$24,0),1)*(1+_xlfn.SINGLE(s2_kerroin)*($C207-2019))*$B207,0)</f>
        <v>0</v>
      </c>
      <c r="F207" s="145">
        <f t="shared" si="67"/>
        <v>0</v>
      </c>
      <c r="G207" s="145">
        <f t="shared" si="73"/>
        <v>0</v>
      </c>
      <c r="H207" s="145">
        <f t="shared" si="74"/>
        <v>0</v>
      </c>
      <c r="I207" s="145">
        <f t="shared" si="68"/>
        <v>0</v>
      </c>
      <c r="J207" s="145">
        <f t="shared" si="69"/>
        <v>0</v>
      </c>
      <c r="K207" s="142" t="str">
        <f t="shared" si="75"/>
        <v>undefined</v>
      </c>
      <c r="L207" s="146">
        <f>IFERROR(INDEX(Työkonekanta!$I$3:$I$27,MATCH('S2 Bio'!$A207,Työkonekanta!$A$3:$A$24,0),1)*(I207+J207)*f_adblue,0)</f>
        <v>0</v>
      </c>
      <c r="M207" s="146">
        <f t="shared" si="60"/>
        <v>0</v>
      </c>
      <c r="N207" s="143" t="str">
        <f>IF(tuulisähkö_vuosi&lt;='S2 Bio'!C207,"tuulisähkö",ostosähkö_nyt)</f>
        <v>jäännössähkö</v>
      </c>
      <c r="O207" s="147">
        <f>INDEX(Muuttujat!$J$5:$J$21,MATCH($C207,Muuttujat!$H$5:$H$21,0),1)</f>
        <v>65.194885123382022</v>
      </c>
      <c r="P207" s="148">
        <f t="shared" si="76"/>
        <v>0.64666666666666672</v>
      </c>
      <c r="Q207" s="148">
        <f t="shared" si="81"/>
        <v>0.35333333333333328</v>
      </c>
      <c r="R207" s="148">
        <f t="shared" si="81"/>
        <v>0.35333333333333328</v>
      </c>
      <c r="S207" s="149">
        <f t="shared" si="70"/>
        <v>0</v>
      </c>
      <c r="T207" s="150">
        <f t="shared" si="71"/>
        <v>0</v>
      </c>
      <c r="U207" s="150">
        <f t="shared" si="72"/>
        <v>0</v>
      </c>
      <c r="V207" s="150">
        <f>IFERROR(INDEX(Työkonekanta!$J$3:$J$27,MATCH($A207,Työkonekanta!$A$3:$A$24,0),1)*$B207*ef_li_ion_akku/1000/1000/INDEX(Työkonekanta!$K$3:$K$27,MATCH($A207,Työkonekanta!$A$3:$A$24,0)),0)</f>
        <v>0</v>
      </c>
      <c r="W207" s="149">
        <f t="shared" si="61"/>
        <v>0</v>
      </c>
      <c r="X207" s="150">
        <f t="shared" si="62"/>
        <v>0</v>
      </c>
      <c r="Y207" s="151">
        <f t="shared" si="63"/>
        <v>0</v>
      </c>
      <c r="Z207" s="152">
        <f t="shared" si="77"/>
        <v>0</v>
      </c>
      <c r="AA207" s="153">
        <f t="shared" si="78"/>
        <v>0</v>
      </c>
      <c r="AB207" s="153">
        <f t="shared" si="79"/>
        <v>0</v>
      </c>
      <c r="AC207" s="154">
        <f t="shared" si="64"/>
        <v>0</v>
      </c>
      <c r="AD207" s="180">
        <f t="shared" si="80"/>
        <v>0</v>
      </c>
      <c r="AE207" s="160"/>
    </row>
    <row r="208" spans="1:31">
      <c r="A208" s="139">
        <v>26</v>
      </c>
      <c r="B208" s="139">
        <f>IFERROR(INDEX(Työkonekanta!$F$3:$F$27,MATCH('S2 Bio'!$A208,Työkonekanta!$A$3:$A$24,0),1),0)</f>
        <v>0</v>
      </c>
      <c r="C208" s="140">
        <v>2025</v>
      </c>
      <c r="D208" s="141" t="str">
        <f>IFERROR(INDEX(Työkonekanta!$D$3:$D$27,MATCH('S2 Bio'!$A208,Työkonekanta!$A$3:$A$24,0),1),"undefined")</f>
        <v>undefined</v>
      </c>
      <c r="E208" s="145">
        <f>IFERROR(INDEX(Työkonekanta!$G$3:$G$27,MATCH($A208,Työkonekanta!$A$3:$A$24,0),1)*INDEX(Työkonekanta!$H$3:$H$27,MATCH($A208,Työkonekanta!$A$3:$A$24,0),1)*(1+_xlfn.SINGLE(s2_kerroin)*($C208-2019))*$B208,0)</f>
        <v>0</v>
      </c>
      <c r="F208" s="145">
        <f t="shared" si="67"/>
        <v>0</v>
      </c>
      <c r="G208" s="145">
        <f t="shared" si="73"/>
        <v>0</v>
      </c>
      <c r="H208" s="145">
        <f t="shared" si="74"/>
        <v>0</v>
      </c>
      <c r="I208" s="145">
        <f t="shared" si="68"/>
        <v>0</v>
      </c>
      <c r="J208" s="145">
        <f t="shared" si="69"/>
        <v>0</v>
      </c>
      <c r="K208" s="142" t="str">
        <f t="shared" si="75"/>
        <v>undefined</v>
      </c>
      <c r="L208" s="146">
        <f>IFERROR(INDEX(Työkonekanta!$I$3:$I$27,MATCH('S2 Bio'!$A208,Työkonekanta!$A$3:$A$24,0),1)*(I208+J208)*f_adblue,0)</f>
        <v>0</v>
      </c>
      <c r="M208" s="146">
        <f t="shared" si="60"/>
        <v>0</v>
      </c>
      <c r="N208" s="143" t="str">
        <f>IF(tuulisähkö_vuosi&lt;='S2 Bio'!C208,"tuulisähkö",ostosähkö_nyt)</f>
        <v>jäännössähkö</v>
      </c>
      <c r="O208" s="147">
        <f>INDEX(Muuttujat!$J$5:$J$21,MATCH($C208,Muuttujat!$H$5:$H$21,0),1)</f>
        <v>65.194885123382022</v>
      </c>
      <c r="P208" s="148">
        <f t="shared" si="76"/>
        <v>0.64666666666666672</v>
      </c>
      <c r="Q208" s="148">
        <f t="shared" si="81"/>
        <v>0.35333333333333328</v>
      </c>
      <c r="R208" s="148">
        <f t="shared" si="81"/>
        <v>0.35333333333333328</v>
      </c>
      <c r="S208" s="149">
        <f t="shared" si="70"/>
        <v>0</v>
      </c>
      <c r="T208" s="150">
        <f t="shared" si="71"/>
        <v>0</v>
      </c>
      <c r="U208" s="150">
        <f t="shared" si="72"/>
        <v>0</v>
      </c>
      <c r="V208" s="150">
        <f>IFERROR(INDEX(Työkonekanta!$J$3:$J$27,MATCH($A208,Työkonekanta!$A$3:$A$24,0),1)*$B208*ef_li_ion_akku/1000/1000/INDEX(Työkonekanta!$K$3:$K$27,MATCH($A208,Työkonekanta!$A$3:$A$24,0)),0)</f>
        <v>0</v>
      </c>
      <c r="W208" s="149">
        <f t="shared" si="61"/>
        <v>0</v>
      </c>
      <c r="X208" s="150">
        <f t="shared" si="62"/>
        <v>0</v>
      </c>
      <c r="Y208" s="151">
        <f t="shared" si="63"/>
        <v>0</v>
      </c>
      <c r="Z208" s="152">
        <f t="shared" si="77"/>
        <v>0</v>
      </c>
      <c r="AA208" s="153">
        <f t="shared" si="78"/>
        <v>0</v>
      </c>
      <c r="AB208" s="153">
        <f t="shared" si="79"/>
        <v>0</v>
      </c>
      <c r="AC208" s="154">
        <f t="shared" si="64"/>
        <v>0</v>
      </c>
      <c r="AD208" s="180">
        <f t="shared" si="80"/>
        <v>0</v>
      </c>
      <c r="AE208" s="160"/>
    </row>
    <row r="209" spans="1:31">
      <c r="A209" s="139">
        <v>27</v>
      </c>
      <c r="B209" s="139">
        <f>IFERROR(INDEX(Työkonekanta!$F$3:$F$27,MATCH('S2 Bio'!$A209,Työkonekanta!$A$3:$A$24,0),1),0)</f>
        <v>0</v>
      </c>
      <c r="C209" s="140">
        <v>2025</v>
      </c>
      <c r="D209" s="141" t="str">
        <f>IFERROR(INDEX(Työkonekanta!$D$3:$D$27,MATCH('S2 Bio'!$A209,Työkonekanta!$A$3:$A$24,0),1),"undefined")</f>
        <v>undefined</v>
      </c>
      <c r="E209" s="145">
        <f>IFERROR(INDEX(Työkonekanta!$G$3:$G$27,MATCH($A209,Työkonekanta!$A$3:$A$24,0),1)*INDEX(Työkonekanta!$H$3:$H$27,MATCH($A209,Työkonekanta!$A$3:$A$24,0),1)*(1+_xlfn.SINGLE(s2_kerroin)*($C209-2019))*$B209,0)</f>
        <v>0</v>
      </c>
      <c r="F209" s="145">
        <f t="shared" si="67"/>
        <v>0</v>
      </c>
      <c r="G209" s="145">
        <f t="shared" si="73"/>
        <v>0</v>
      </c>
      <c r="H209" s="145">
        <f t="shared" si="74"/>
        <v>0</v>
      </c>
      <c r="I209" s="145">
        <f t="shared" si="68"/>
        <v>0</v>
      </c>
      <c r="J209" s="145">
        <f t="shared" si="69"/>
        <v>0</v>
      </c>
      <c r="K209" s="142" t="str">
        <f t="shared" si="75"/>
        <v>undefined</v>
      </c>
      <c r="L209" s="146">
        <f>IFERROR(INDEX(Työkonekanta!$I$3:$I$27,MATCH('S2 Bio'!$A209,Työkonekanta!$A$3:$A$24,0),1)*(I209+J209)*f_adblue,0)</f>
        <v>0</v>
      </c>
      <c r="M209" s="146">
        <f t="shared" si="60"/>
        <v>0</v>
      </c>
      <c r="N209" s="143" t="str">
        <f>IF(tuulisähkö_vuosi&lt;='S2 Bio'!C209,"tuulisähkö",ostosähkö_nyt)</f>
        <v>jäännössähkö</v>
      </c>
      <c r="O209" s="147">
        <f>INDEX(Muuttujat!$J$5:$J$21,MATCH($C209,Muuttujat!$H$5:$H$21,0),1)</f>
        <v>65.194885123382022</v>
      </c>
      <c r="P209" s="148">
        <f t="shared" si="76"/>
        <v>0.64666666666666672</v>
      </c>
      <c r="Q209" s="148">
        <f t="shared" si="81"/>
        <v>0.35333333333333328</v>
      </c>
      <c r="R209" s="148">
        <f t="shared" si="81"/>
        <v>0.35333333333333328</v>
      </c>
      <c r="S209" s="149">
        <f t="shared" si="70"/>
        <v>0</v>
      </c>
      <c r="T209" s="150">
        <f t="shared" si="71"/>
        <v>0</v>
      </c>
      <c r="U209" s="150">
        <f t="shared" si="72"/>
        <v>0</v>
      </c>
      <c r="V209" s="150">
        <f>IFERROR(INDEX(Työkonekanta!$J$3:$J$27,MATCH($A209,Työkonekanta!$A$3:$A$24,0),1)*$B209*ef_li_ion_akku/1000/1000/INDEX(Työkonekanta!$K$3:$K$27,MATCH($A209,Työkonekanta!$A$3:$A$24,0)),0)</f>
        <v>0</v>
      </c>
      <c r="W209" s="149">
        <f t="shared" si="61"/>
        <v>0</v>
      </c>
      <c r="X209" s="150">
        <f t="shared" si="62"/>
        <v>0</v>
      </c>
      <c r="Y209" s="151">
        <f t="shared" si="63"/>
        <v>0</v>
      </c>
      <c r="Z209" s="152">
        <f t="shared" si="77"/>
        <v>0</v>
      </c>
      <c r="AA209" s="153">
        <f t="shared" si="78"/>
        <v>0</v>
      </c>
      <c r="AB209" s="153">
        <f t="shared" si="79"/>
        <v>0</v>
      </c>
      <c r="AC209" s="154">
        <f t="shared" si="64"/>
        <v>0</v>
      </c>
      <c r="AD209" s="180">
        <f t="shared" si="80"/>
        <v>0</v>
      </c>
      <c r="AE209" s="160"/>
    </row>
    <row r="210" spans="1:31">
      <c r="A210" s="139">
        <v>28</v>
      </c>
      <c r="B210" s="139">
        <f>IFERROR(INDEX(Työkonekanta!$F$3:$F$27,MATCH('S2 Bio'!$A210,Työkonekanta!$A$3:$A$24,0),1),0)</f>
        <v>0</v>
      </c>
      <c r="C210" s="140">
        <v>2025</v>
      </c>
      <c r="D210" s="141" t="str">
        <f>IFERROR(INDEX(Työkonekanta!$D$3:$D$27,MATCH('S2 Bio'!$A210,Työkonekanta!$A$3:$A$24,0),1),"undefined")</f>
        <v>undefined</v>
      </c>
      <c r="E210" s="145">
        <f>IFERROR(INDEX(Työkonekanta!$G$3:$G$27,MATCH($A210,Työkonekanta!$A$3:$A$24,0),1)*INDEX(Työkonekanta!$H$3:$H$27,MATCH($A210,Työkonekanta!$A$3:$A$24,0),1)*(1+_xlfn.SINGLE(s2_kerroin)*($C210-2019))*$B210,0)</f>
        <v>0</v>
      </c>
      <c r="F210" s="145">
        <f t="shared" si="67"/>
        <v>0</v>
      </c>
      <c r="G210" s="145">
        <f t="shared" si="73"/>
        <v>0</v>
      </c>
      <c r="H210" s="145">
        <f t="shared" si="74"/>
        <v>0</v>
      </c>
      <c r="I210" s="145">
        <f t="shared" si="68"/>
        <v>0</v>
      </c>
      <c r="J210" s="145">
        <f t="shared" si="69"/>
        <v>0</v>
      </c>
      <c r="K210" s="142" t="str">
        <f t="shared" si="75"/>
        <v>undefined</v>
      </c>
      <c r="L210" s="146">
        <f>IFERROR(INDEX(Työkonekanta!$I$3:$I$27,MATCH('S2 Bio'!$A210,Työkonekanta!$A$3:$A$24,0),1)*(I210+J210)*f_adblue,0)</f>
        <v>0</v>
      </c>
      <c r="M210" s="146">
        <f t="shared" si="60"/>
        <v>0</v>
      </c>
      <c r="N210" s="143" t="str">
        <f>IF(tuulisähkö_vuosi&lt;='S2 Bio'!C210,"tuulisähkö",ostosähkö_nyt)</f>
        <v>jäännössähkö</v>
      </c>
      <c r="O210" s="147">
        <f>INDEX(Muuttujat!$J$5:$J$21,MATCH($C210,Muuttujat!$H$5:$H$21,0),1)</f>
        <v>65.194885123382022</v>
      </c>
      <c r="P210" s="148">
        <f t="shared" si="76"/>
        <v>0.64666666666666672</v>
      </c>
      <c r="Q210" s="148">
        <f t="shared" si="81"/>
        <v>0.35333333333333328</v>
      </c>
      <c r="R210" s="148">
        <f t="shared" si="81"/>
        <v>0.35333333333333328</v>
      </c>
      <c r="S210" s="149">
        <f t="shared" si="70"/>
        <v>0</v>
      </c>
      <c r="T210" s="150">
        <f t="shared" si="71"/>
        <v>0</v>
      </c>
      <c r="U210" s="150">
        <f t="shared" si="72"/>
        <v>0</v>
      </c>
      <c r="V210" s="150">
        <f>IFERROR(INDEX(Työkonekanta!$J$3:$J$27,MATCH($A210,Työkonekanta!$A$3:$A$24,0),1)*$B210*ef_li_ion_akku/1000/1000/INDEX(Työkonekanta!$K$3:$K$27,MATCH($A210,Työkonekanta!$A$3:$A$24,0)),0)</f>
        <v>0</v>
      </c>
      <c r="W210" s="149">
        <f t="shared" si="61"/>
        <v>0</v>
      </c>
      <c r="X210" s="150">
        <f t="shared" si="62"/>
        <v>0</v>
      </c>
      <c r="Y210" s="151">
        <f t="shared" si="63"/>
        <v>0</v>
      </c>
      <c r="Z210" s="152">
        <f t="shared" si="77"/>
        <v>0</v>
      </c>
      <c r="AA210" s="153">
        <f t="shared" si="78"/>
        <v>0</v>
      </c>
      <c r="AB210" s="153">
        <f t="shared" si="79"/>
        <v>0</v>
      </c>
      <c r="AC210" s="154">
        <f t="shared" si="64"/>
        <v>0</v>
      </c>
      <c r="AD210" s="180">
        <f t="shared" si="80"/>
        <v>0</v>
      </c>
      <c r="AE210" s="160"/>
    </row>
    <row r="211" spans="1:31">
      <c r="A211" s="139">
        <v>29</v>
      </c>
      <c r="B211" s="139">
        <f>IFERROR(INDEX(Työkonekanta!$F$3:$F$27,MATCH('S2 Bio'!$A211,Työkonekanta!$A$3:$A$24,0),1),0)</f>
        <v>0</v>
      </c>
      <c r="C211" s="140">
        <v>2025</v>
      </c>
      <c r="D211" s="141" t="str">
        <f>IFERROR(INDEX(Työkonekanta!$D$3:$D$27,MATCH('S2 Bio'!$A211,Työkonekanta!$A$3:$A$24,0),1),"undefined")</f>
        <v>undefined</v>
      </c>
      <c r="E211" s="145">
        <f>IFERROR(INDEX(Työkonekanta!$G$3:$G$27,MATCH($A211,Työkonekanta!$A$3:$A$24,0),1)*INDEX(Työkonekanta!$H$3:$H$27,MATCH($A211,Työkonekanta!$A$3:$A$24,0),1)*(1+_xlfn.SINGLE(s2_kerroin)*($C211-2019))*$B211,0)</f>
        <v>0</v>
      </c>
      <c r="F211" s="145">
        <f t="shared" si="67"/>
        <v>0</v>
      </c>
      <c r="G211" s="145">
        <f t="shared" si="73"/>
        <v>0</v>
      </c>
      <c r="H211" s="145">
        <f t="shared" si="74"/>
        <v>0</v>
      </c>
      <c r="I211" s="145">
        <f t="shared" si="68"/>
        <v>0</v>
      </c>
      <c r="J211" s="145">
        <f t="shared" si="69"/>
        <v>0</v>
      </c>
      <c r="K211" s="142" t="str">
        <f t="shared" si="75"/>
        <v>undefined</v>
      </c>
      <c r="L211" s="146">
        <f>IFERROR(INDEX(Työkonekanta!$I$3:$I$27,MATCH('S2 Bio'!$A211,Työkonekanta!$A$3:$A$24,0),1)*(I211+J211)*f_adblue,0)</f>
        <v>0</v>
      </c>
      <c r="M211" s="146">
        <f t="shared" ref="M211:M274" si="82">IF($D211="sähkö",conv_kwh_mj*$E211,0)</f>
        <v>0</v>
      </c>
      <c r="N211" s="143" t="str">
        <f>IF(tuulisähkö_vuosi&lt;='S2 Bio'!C211,"tuulisähkö",ostosähkö_nyt)</f>
        <v>jäännössähkö</v>
      </c>
      <c r="O211" s="147">
        <f>INDEX(Muuttujat!$J$5:$J$21,MATCH($C211,Muuttujat!$H$5:$H$21,0),1)</f>
        <v>65.194885123382022</v>
      </c>
      <c r="P211" s="148">
        <f t="shared" si="76"/>
        <v>0.64666666666666672</v>
      </c>
      <c r="Q211" s="148">
        <f t="shared" si="81"/>
        <v>0.35333333333333328</v>
      </c>
      <c r="R211" s="148">
        <f t="shared" si="81"/>
        <v>0.35333333333333328</v>
      </c>
      <c r="S211" s="149">
        <f t="shared" si="70"/>
        <v>0</v>
      </c>
      <c r="T211" s="150">
        <f t="shared" si="71"/>
        <v>0</v>
      </c>
      <c r="U211" s="150">
        <f t="shared" si="72"/>
        <v>0</v>
      </c>
      <c r="V211" s="150">
        <f>IFERROR(INDEX(Työkonekanta!$J$3:$J$27,MATCH($A211,Työkonekanta!$A$3:$A$24,0),1)*$B211*ef_li_ion_akku/1000/1000/INDEX(Työkonekanta!$K$3:$K$27,MATCH($A211,Työkonekanta!$A$3:$A$24,0)),0)</f>
        <v>0</v>
      </c>
      <c r="W211" s="149">
        <f t="shared" ref="W211:W274" si="83">($I211*IF($D211="pom",ef_v_co2_pom,0))/1000/1000</f>
        <v>0</v>
      </c>
      <c r="X211" s="150">
        <f t="shared" ref="X211:X274" si="84">($E211*(IF($D211="pom",ef_v_ch4_pom,0)*gwp100_ch4+IF($D211="pom",ef_v_n2o_pom,0)*gwp100_n2o))/1000/1000</f>
        <v>0</v>
      </c>
      <c r="Y211" s="151">
        <f t="shared" ref="Y211:Y274" si="85">$L211*ef_v_co2_adblue/1000/1000</f>
        <v>0</v>
      </c>
      <c r="Z211" s="152">
        <f t="shared" si="77"/>
        <v>0</v>
      </c>
      <c r="AA211" s="153">
        <f t="shared" si="78"/>
        <v>0</v>
      </c>
      <c r="AB211" s="153">
        <f t="shared" si="79"/>
        <v>0</v>
      </c>
      <c r="AC211" s="154">
        <f t="shared" ref="AC211:AC274" si="86">$Z211+$AA211</f>
        <v>0</v>
      </c>
      <c r="AD211" s="180">
        <f t="shared" si="80"/>
        <v>0</v>
      </c>
      <c r="AE211" s="160"/>
    </row>
    <row r="212" spans="1:31">
      <c r="A212" s="139">
        <v>30</v>
      </c>
      <c r="B212" s="139">
        <f>IFERROR(INDEX(Työkonekanta!$F$3:$F$27,MATCH('S2 Bio'!$A212,Työkonekanta!$A$3:$A$24,0),1),0)</f>
        <v>0</v>
      </c>
      <c r="C212" s="140">
        <v>2025</v>
      </c>
      <c r="D212" s="141" t="str">
        <f>IFERROR(INDEX(Työkonekanta!$D$3:$D$27,MATCH('S2 Bio'!$A212,Työkonekanta!$A$3:$A$24,0),1),"undefined")</f>
        <v>undefined</v>
      </c>
      <c r="E212" s="145">
        <f>IFERROR(INDEX(Työkonekanta!$G$3:$G$27,MATCH($A212,Työkonekanta!$A$3:$A$24,0),1)*INDEX(Työkonekanta!$H$3:$H$27,MATCH($A212,Työkonekanta!$A$3:$A$24,0),1)*(1+_xlfn.SINGLE(s2_kerroin)*($C212-2019))*$B212,0)</f>
        <v>0</v>
      </c>
      <c r="F212" s="145">
        <f t="shared" si="67"/>
        <v>0</v>
      </c>
      <c r="G212" s="145">
        <f t="shared" si="73"/>
        <v>0</v>
      </c>
      <c r="H212" s="145">
        <f t="shared" si="74"/>
        <v>0</v>
      </c>
      <c r="I212" s="145">
        <f t="shared" si="68"/>
        <v>0</v>
      </c>
      <c r="J212" s="145">
        <f t="shared" si="69"/>
        <v>0</v>
      </c>
      <c r="K212" s="142" t="str">
        <f t="shared" si="75"/>
        <v>undefined</v>
      </c>
      <c r="L212" s="146">
        <f>IFERROR(INDEX(Työkonekanta!$I$3:$I$27,MATCH('S2 Bio'!$A212,Työkonekanta!$A$3:$A$24,0),1)*(I212+J212)*f_adblue,0)</f>
        <v>0</v>
      </c>
      <c r="M212" s="146">
        <f t="shared" si="82"/>
        <v>0</v>
      </c>
      <c r="N212" s="143" t="str">
        <f>IF(tuulisähkö_vuosi&lt;='S2 Bio'!C212,"tuulisähkö",ostosähkö_nyt)</f>
        <v>jäännössähkö</v>
      </c>
      <c r="O212" s="147">
        <f>INDEX(Muuttujat!$J$5:$J$21,MATCH($C212,Muuttujat!$H$5:$H$21,0),1)</f>
        <v>65.194885123382022</v>
      </c>
      <c r="P212" s="148">
        <f t="shared" si="76"/>
        <v>0.64666666666666672</v>
      </c>
      <c r="Q212" s="148">
        <f t="shared" si="81"/>
        <v>0.35333333333333328</v>
      </c>
      <c r="R212" s="148">
        <f t="shared" si="81"/>
        <v>0.35333333333333328</v>
      </c>
      <c r="S212" s="149">
        <f t="shared" si="70"/>
        <v>0</v>
      </c>
      <c r="T212" s="150">
        <f t="shared" si="71"/>
        <v>0</v>
      </c>
      <c r="U212" s="150">
        <f t="shared" si="72"/>
        <v>0</v>
      </c>
      <c r="V212" s="150">
        <f>IFERROR(INDEX(Työkonekanta!$J$3:$J$27,MATCH($A212,Työkonekanta!$A$3:$A$24,0),1)*$B212*ef_li_ion_akku/1000/1000/INDEX(Työkonekanta!$K$3:$K$27,MATCH($A212,Työkonekanta!$A$3:$A$24,0)),0)</f>
        <v>0</v>
      </c>
      <c r="W212" s="149">
        <f t="shared" si="83"/>
        <v>0</v>
      </c>
      <c r="X212" s="150">
        <f t="shared" si="84"/>
        <v>0</v>
      </c>
      <c r="Y212" s="151">
        <f t="shared" si="85"/>
        <v>0</v>
      </c>
      <c r="Z212" s="152">
        <f t="shared" si="77"/>
        <v>0</v>
      </c>
      <c r="AA212" s="153">
        <f t="shared" si="78"/>
        <v>0</v>
      </c>
      <c r="AB212" s="153">
        <f t="shared" si="79"/>
        <v>0</v>
      </c>
      <c r="AC212" s="154">
        <f t="shared" si="86"/>
        <v>0</v>
      </c>
      <c r="AD212" s="180">
        <f t="shared" si="80"/>
        <v>0</v>
      </c>
      <c r="AE212" s="160"/>
    </row>
    <row r="213" spans="1:31">
      <c r="A213" s="139">
        <v>1</v>
      </c>
      <c r="B213" s="139">
        <f>IFERROR(INDEX(Työkonekanta!$F$3:$F$27,MATCH('S2 Bio'!$A213,Työkonekanta!$A$3:$A$24,0),1),0)</f>
        <v>1</v>
      </c>
      <c r="C213" s="140">
        <v>2026</v>
      </c>
      <c r="D213" s="141" t="str">
        <f>IFERROR(INDEX(Työkonekanta!$D$3:$D$27,MATCH('S2 Bio'!$A213,Työkonekanta!$A$3:$A$24,0),1),"undefined")</f>
        <v>pom</v>
      </c>
      <c r="E213" s="145">
        <f>IFERROR(INDEX(Työkonekanta!$G$3:$G$27,MATCH($A213,Työkonekanta!$A$3:$A$24,0),1)*INDEX(Työkonekanta!$H$3:$H$27,MATCH($A213,Työkonekanta!$A$3:$A$24,0),1)*(1+_xlfn.SINGLE(s2_kerroin)*($C213-2019))*$B213,0)</f>
        <v>10700</v>
      </c>
      <c r="F213" s="145">
        <f t="shared" si="67"/>
        <v>384130</v>
      </c>
      <c r="G213" s="145">
        <f t="shared" si="73"/>
        <v>223563.65999999997</v>
      </c>
      <c r="H213" s="145">
        <f t="shared" si="74"/>
        <v>160566.34000000003</v>
      </c>
      <c r="I213" s="145">
        <f t="shared" si="68"/>
        <v>6227.4</v>
      </c>
      <c r="J213" s="145">
        <f t="shared" si="69"/>
        <v>4681.2344023323631</v>
      </c>
      <c r="K213" s="142" t="str">
        <f t="shared" si="75"/>
        <v>l</v>
      </c>
      <c r="L213" s="146">
        <f>IFERROR(INDEX(Työkonekanta!$I$3:$I$27,MATCH('S2 Bio'!$A213,Työkonekanta!$A$3:$A$24,0),1)*(I213+J213)*f_adblue,0)</f>
        <v>545.43172011661807</v>
      </c>
      <c r="M213" s="146">
        <f t="shared" si="82"/>
        <v>0</v>
      </c>
      <c r="N213" s="143" t="str">
        <f>IF(tuulisähkö_vuosi&lt;='S2 Bio'!C213,"tuulisähkö",ostosähkö_nyt)</f>
        <v>jäännössähkö</v>
      </c>
      <c r="O213" s="147">
        <f>INDEX(Muuttujat!$J$5:$J$21,MATCH($C213,Muuttujat!$H$5:$H$21,0),1)</f>
        <v>64.542936272148211</v>
      </c>
      <c r="P213" s="148">
        <f t="shared" si="76"/>
        <v>0.58199999999999996</v>
      </c>
      <c r="Q213" s="148">
        <f t="shared" si="81"/>
        <v>0.41800000000000004</v>
      </c>
      <c r="R213" s="148">
        <f t="shared" si="81"/>
        <v>0.41800000000000004</v>
      </c>
      <c r="S213" s="149">
        <f t="shared" si="70"/>
        <v>4.2253531739999994</v>
      </c>
      <c r="T213" s="150">
        <f t="shared" si="71"/>
        <v>10.019339616000003</v>
      </c>
      <c r="U213" s="150">
        <f t="shared" si="72"/>
        <v>0</v>
      </c>
      <c r="V213" s="150">
        <f>IFERROR(INDEX(Työkonekanta!$J$3:$J$27,MATCH($A213,Työkonekanta!$A$3:$A$24,0),1)*$B213*ef_li_ion_akku/1000/1000/INDEX(Työkonekanta!$K$3:$K$27,MATCH($A213,Työkonekanta!$A$3:$A$24,0)),0)</f>
        <v>0</v>
      </c>
      <c r="W213" s="149">
        <f t="shared" si="83"/>
        <v>16.500843464723641</v>
      </c>
      <c r="X213" s="150">
        <f t="shared" si="84"/>
        <v>0.33998785619999994</v>
      </c>
      <c r="Y213" s="151">
        <f t="shared" si="85"/>
        <v>0.14181224723032071</v>
      </c>
      <c r="Z213" s="152">
        <f t="shared" si="77"/>
        <v>14.244692790000002</v>
      </c>
      <c r="AA213" s="153">
        <f t="shared" si="78"/>
        <v>16.64265571195396</v>
      </c>
      <c r="AB213" s="153">
        <f t="shared" si="79"/>
        <v>16.982643568153961</v>
      </c>
      <c r="AC213" s="154">
        <f t="shared" si="86"/>
        <v>30.887348501953962</v>
      </c>
      <c r="AD213" s="180">
        <f t="shared" si="80"/>
        <v>31.227336358153963</v>
      </c>
      <c r="AE213" s="160"/>
    </row>
    <row r="214" spans="1:31">
      <c r="A214" s="139">
        <v>2</v>
      </c>
      <c r="B214" s="139">
        <f>IFERROR(INDEX(Työkonekanta!$F$3:$F$27,MATCH('S2 Bio'!$A214,Työkonekanta!$A$3:$A$24,0),1),0)</f>
        <v>1</v>
      </c>
      <c r="C214" s="140">
        <v>2026</v>
      </c>
      <c r="D214" s="141" t="str">
        <f>IFERROR(INDEX(Työkonekanta!$D$3:$D$27,MATCH('S2 Bio'!$A214,Työkonekanta!$A$3:$A$24,0),1),"undefined")</f>
        <v>pom</v>
      </c>
      <c r="E214" s="145">
        <f>IFERROR(INDEX(Työkonekanta!$G$3:$G$27,MATCH($A214,Työkonekanta!$A$3:$A$24,0),1)*INDEX(Työkonekanta!$H$3:$H$27,MATCH($A214,Työkonekanta!$A$3:$A$24,0),1)*(1+_xlfn.SINGLE(s2_kerroin)*($C214-2019))*$B214,0)</f>
        <v>10700</v>
      </c>
      <c r="F214" s="145">
        <f t="shared" si="67"/>
        <v>384130</v>
      </c>
      <c r="G214" s="145">
        <f t="shared" si="73"/>
        <v>223563.65999999997</v>
      </c>
      <c r="H214" s="145">
        <f t="shared" si="74"/>
        <v>160566.34000000003</v>
      </c>
      <c r="I214" s="145">
        <f t="shared" si="68"/>
        <v>6227.4</v>
      </c>
      <c r="J214" s="145">
        <f t="shared" si="69"/>
        <v>4681.2344023323631</v>
      </c>
      <c r="K214" s="142" t="str">
        <f t="shared" si="75"/>
        <v>l</v>
      </c>
      <c r="L214" s="146">
        <f>IFERROR(INDEX(Työkonekanta!$I$3:$I$27,MATCH('S2 Bio'!$A214,Työkonekanta!$A$3:$A$24,0),1)*(I214+J214)*f_adblue,0)</f>
        <v>545.43172011661807</v>
      </c>
      <c r="M214" s="146">
        <f t="shared" si="82"/>
        <v>0</v>
      </c>
      <c r="N214" s="143" t="str">
        <f>IF(tuulisähkö_vuosi&lt;='S2 Bio'!C214,"tuulisähkö",ostosähkö_nyt)</f>
        <v>jäännössähkö</v>
      </c>
      <c r="O214" s="147">
        <f>INDEX(Muuttujat!$J$5:$J$21,MATCH($C214,Muuttujat!$H$5:$H$21,0),1)</f>
        <v>64.542936272148211</v>
      </c>
      <c r="P214" s="148">
        <f t="shared" si="76"/>
        <v>0.58199999999999996</v>
      </c>
      <c r="Q214" s="148">
        <f t="shared" si="81"/>
        <v>0.41800000000000004</v>
      </c>
      <c r="R214" s="148">
        <f t="shared" si="81"/>
        <v>0.41800000000000004</v>
      </c>
      <c r="S214" s="149">
        <f t="shared" si="70"/>
        <v>4.2253531739999994</v>
      </c>
      <c r="T214" s="150">
        <f t="shared" si="71"/>
        <v>10.019339616000003</v>
      </c>
      <c r="U214" s="150">
        <f t="shared" si="72"/>
        <v>0</v>
      </c>
      <c r="V214" s="150">
        <f>IFERROR(INDEX(Työkonekanta!$J$3:$J$27,MATCH($A214,Työkonekanta!$A$3:$A$24,0),1)*$B214*ef_li_ion_akku/1000/1000/INDEX(Työkonekanta!$K$3:$K$27,MATCH($A214,Työkonekanta!$A$3:$A$24,0)),0)</f>
        <v>0</v>
      </c>
      <c r="W214" s="149">
        <f t="shared" si="83"/>
        <v>16.500843464723641</v>
      </c>
      <c r="X214" s="150">
        <f t="shared" si="84"/>
        <v>0.33998785619999994</v>
      </c>
      <c r="Y214" s="151">
        <f t="shared" si="85"/>
        <v>0.14181224723032071</v>
      </c>
      <c r="Z214" s="152">
        <f t="shared" si="77"/>
        <v>14.244692790000002</v>
      </c>
      <c r="AA214" s="153">
        <f t="shared" si="78"/>
        <v>16.64265571195396</v>
      </c>
      <c r="AB214" s="153">
        <f t="shared" si="79"/>
        <v>16.982643568153961</v>
      </c>
      <c r="AC214" s="154">
        <f t="shared" si="86"/>
        <v>30.887348501953962</v>
      </c>
      <c r="AD214" s="180">
        <f t="shared" si="80"/>
        <v>31.227336358153963</v>
      </c>
      <c r="AE214" s="160"/>
    </row>
    <row r="215" spans="1:31">
      <c r="A215" s="139">
        <v>3</v>
      </c>
      <c r="B215" s="139">
        <f>IFERROR(INDEX(Työkonekanta!$F$3:$F$27,MATCH('S2 Bio'!$A215,Työkonekanta!$A$3:$A$24,0),1),0)</f>
        <v>1</v>
      </c>
      <c r="C215" s="140">
        <v>2026</v>
      </c>
      <c r="D215" s="141" t="str">
        <f>IFERROR(INDEX(Työkonekanta!$D$3:$D$27,MATCH('S2 Bio'!$A215,Työkonekanta!$A$3:$A$24,0),1),"undefined")</f>
        <v>pom</v>
      </c>
      <c r="E215" s="145">
        <f>IFERROR(INDEX(Työkonekanta!$G$3:$G$27,MATCH($A215,Työkonekanta!$A$3:$A$24,0),1)*INDEX(Työkonekanta!$H$3:$H$27,MATCH($A215,Työkonekanta!$A$3:$A$24,0),1)*(1+_xlfn.SINGLE(s2_kerroin)*($C215-2019))*$B215,0)</f>
        <v>10700</v>
      </c>
      <c r="F215" s="145">
        <f t="shared" si="67"/>
        <v>384130</v>
      </c>
      <c r="G215" s="145">
        <f t="shared" si="73"/>
        <v>223563.65999999997</v>
      </c>
      <c r="H215" s="145">
        <f t="shared" si="74"/>
        <v>160566.34000000003</v>
      </c>
      <c r="I215" s="145">
        <f t="shared" si="68"/>
        <v>6227.4</v>
      </c>
      <c r="J215" s="145">
        <f t="shared" si="69"/>
        <v>4681.2344023323631</v>
      </c>
      <c r="K215" s="142" t="str">
        <f t="shared" si="75"/>
        <v>l</v>
      </c>
      <c r="L215" s="146">
        <f>IFERROR(INDEX(Työkonekanta!$I$3:$I$27,MATCH('S2 Bio'!$A215,Työkonekanta!$A$3:$A$24,0),1)*(I215+J215)*f_adblue,0)</f>
        <v>545.43172011661807</v>
      </c>
      <c r="M215" s="146">
        <f t="shared" si="82"/>
        <v>0</v>
      </c>
      <c r="N215" s="143" t="str">
        <f>IF(tuulisähkö_vuosi&lt;='S2 Bio'!C215,"tuulisähkö",ostosähkö_nyt)</f>
        <v>jäännössähkö</v>
      </c>
      <c r="O215" s="147">
        <f>INDEX(Muuttujat!$J$5:$J$21,MATCH($C215,Muuttujat!$H$5:$H$21,0),1)</f>
        <v>64.542936272148211</v>
      </c>
      <c r="P215" s="148">
        <f t="shared" si="76"/>
        <v>0.58199999999999996</v>
      </c>
      <c r="Q215" s="148">
        <f t="shared" si="81"/>
        <v>0.41800000000000004</v>
      </c>
      <c r="R215" s="148">
        <f t="shared" si="81"/>
        <v>0.41800000000000004</v>
      </c>
      <c r="S215" s="149">
        <f t="shared" si="70"/>
        <v>4.2253531739999994</v>
      </c>
      <c r="T215" s="150">
        <f t="shared" si="71"/>
        <v>10.019339616000003</v>
      </c>
      <c r="U215" s="150">
        <f t="shared" si="72"/>
        <v>0</v>
      </c>
      <c r="V215" s="150">
        <f>IFERROR(INDEX(Työkonekanta!$J$3:$J$27,MATCH($A215,Työkonekanta!$A$3:$A$24,0),1)*$B215*ef_li_ion_akku/1000/1000/INDEX(Työkonekanta!$K$3:$K$27,MATCH($A215,Työkonekanta!$A$3:$A$24,0)),0)</f>
        <v>0</v>
      </c>
      <c r="W215" s="149">
        <f t="shared" si="83"/>
        <v>16.500843464723641</v>
      </c>
      <c r="X215" s="150">
        <f t="shared" si="84"/>
        <v>0.33998785619999994</v>
      </c>
      <c r="Y215" s="151">
        <f t="shared" si="85"/>
        <v>0.14181224723032071</v>
      </c>
      <c r="Z215" s="152">
        <f t="shared" si="77"/>
        <v>14.244692790000002</v>
      </c>
      <c r="AA215" s="153">
        <f t="shared" si="78"/>
        <v>16.64265571195396</v>
      </c>
      <c r="AB215" s="153">
        <f t="shared" si="79"/>
        <v>16.982643568153961</v>
      </c>
      <c r="AC215" s="154">
        <f t="shared" si="86"/>
        <v>30.887348501953962</v>
      </c>
      <c r="AD215" s="180">
        <f t="shared" si="80"/>
        <v>31.227336358153963</v>
      </c>
      <c r="AE215" s="160"/>
    </row>
    <row r="216" spans="1:31">
      <c r="A216" s="139">
        <v>4</v>
      </c>
      <c r="B216" s="139">
        <f>IFERROR(INDEX(Työkonekanta!$F$3:$F$27,MATCH('S2 Bio'!$A216,Työkonekanta!$A$3:$A$24,0),1),0)</f>
        <v>1</v>
      </c>
      <c r="C216" s="140">
        <v>2026</v>
      </c>
      <c r="D216" s="141" t="str">
        <f>IFERROR(INDEX(Työkonekanta!$D$3:$D$27,MATCH('S2 Bio'!$A216,Työkonekanta!$A$3:$A$24,0),1),"undefined")</f>
        <v>pom</v>
      </c>
      <c r="E216" s="145">
        <f>IFERROR(INDEX(Työkonekanta!$G$3:$G$27,MATCH($A216,Työkonekanta!$A$3:$A$24,0),1)*INDEX(Työkonekanta!$H$3:$H$27,MATCH($A216,Työkonekanta!$A$3:$A$24,0),1)*(1+_xlfn.SINGLE(s2_kerroin)*($C216-2019))*$B216,0)</f>
        <v>10700</v>
      </c>
      <c r="F216" s="145">
        <f t="shared" si="67"/>
        <v>384130</v>
      </c>
      <c r="G216" s="145">
        <f t="shared" si="73"/>
        <v>223563.65999999997</v>
      </c>
      <c r="H216" s="145">
        <f t="shared" si="74"/>
        <v>160566.34000000003</v>
      </c>
      <c r="I216" s="145">
        <f t="shared" si="68"/>
        <v>6227.4</v>
      </c>
      <c r="J216" s="145">
        <f t="shared" si="69"/>
        <v>4681.2344023323631</v>
      </c>
      <c r="K216" s="142" t="str">
        <f t="shared" si="75"/>
        <v>l</v>
      </c>
      <c r="L216" s="146">
        <f>IFERROR(INDEX(Työkonekanta!$I$3:$I$27,MATCH('S2 Bio'!$A216,Työkonekanta!$A$3:$A$24,0),1)*(I216+J216)*f_adblue,0)</f>
        <v>545.43172011661807</v>
      </c>
      <c r="M216" s="146">
        <f t="shared" si="82"/>
        <v>0</v>
      </c>
      <c r="N216" s="143" t="str">
        <f>IF(tuulisähkö_vuosi&lt;='S2 Bio'!C216,"tuulisähkö",ostosähkö_nyt)</f>
        <v>jäännössähkö</v>
      </c>
      <c r="O216" s="147">
        <f>INDEX(Muuttujat!$J$5:$J$21,MATCH($C216,Muuttujat!$H$5:$H$21,0),1)</f>
        <v>64.542936272148211</v>
      </c>
      <c r="P216" s="148">
        <f t="shared" si="76"/>
        <v>0.58199999999999996</v>
      </c>
      <c r="Q216" s="148">
        <f t="shared" si="81"/>
        <v>0.41800000000000004</v>
      </c>
      <c r="R216" s="148">
        <f t="shared" si="81"/>
        <v>0.41800000000000004</v>
      </c>
      <c r="S216" s="149">
        <f t="shared" si="70"/>
        <v>4.2253531739999994</v>
      </c>
      <c r="T216" s="150">
        <f t="shared" si="71"/>
        <v>10.019339616000003</v>
      </c>
      <c r="U216" s="150">
        <f t="shared" si="72"/>
        <v>0</v>
      </c>
      <c r="V216" s="150">
        <f>IFERROR(INDEX(Työkonekanta!$J$3:$J$27,MATCH($A216,Työkonekanta!$A$3:$A$24,0),1)*$B216*ef_li_ion_akku/1000/1000/INDEX(Työkonekanta!$K$3:$K$27,MATCH($A216,Työkonekanta!$A$3:$A$24,0)),0)</f>
        <v>0</v>
      </c>
      <c r="W216" s="149">
        <f t="shared" si="83"/>
        <v>16.500843464723641</v>
      </c>
      <c r="X216" s="150">
        <f t="shared" si="84"/>
        <v>0.33998785619999994</v>
      </c>
      <c r="Y216" s="151">
        <f t="shared" si="85"/>
        <v>0.14181224723032071</v>
      </c>
      <c r="Z216" s="152">
        <f t="shared" si="77"/>
        <v>14.244692790000002</v>
      </c>
      <c r="AA216" s="153">
        <f t="shared" si="78"/>
        <v>16.64265571195396</v>
      </c>
      <c r="AB216" s="153">
        <f t="shared" si="79"/>
        <v>16.982643568153961</v>
      </c>
      <c r="AC216" s="154">
        <f t="shared" si="86"/>
        <v>30.887348501953962</v>
      </c>
      <c r="AD216" s="180">
        <f t="shared" si="80"/>
        <v>31.227336358153963</v>
      </c>
      <c r="AE216" s="160"/>
    </row>
    <row r="217" spans="1:31">
      <c r="A217" s="139">
        <v>5</v>
      </c>
      <c r="B217" s="139">
        <f>IFERROR(INDEX(Työkonekanta!$F$3:$F$27,MATCH('S2 Bio'!$A217,Työkonekanta!$A$3:$A$24,0),1),0)</f>
        <v>0</v>
      </c>
      <c r="C217" s="140">
        <v>2026</v>
      </c>
      <c r="D217" s="141" t="str">
        <f>IFERROR(INDEX(Työkonekanta!$D$3:$D$27,MATCH('S2 Bio'!$A217,Työkonekanta!$A$3:$A$24,0),1),"undefined")</f>
        <v>sähkö</v>
      </c>
      <c r="E217" s="145">
        <f>IFERROR(INDEX(Työkonekanta!$G$3:$G$27,MATCH($A217,Työkonekanta!$A$3:$A$24,0),1)*INDEX(Työkonekanta!$H$3:$H$27,MATCH($A217,Työkonekanta!$A$3:$A$24,0),1)*(1+_xlfn.SINGLE(s2_kerroin)*($C217-2019))*$B217,0)</f>
        <v>0</v>
      </c>
      <c r="F217" s="145">
        <f t="shared" si="67"/>
        <v>0</v>
      </c>
      <c r="G217" s="145">
        <f t="shared" si="73"/>
        <v>0</v>
      </c>
      <c r="H217" s="145">
        <f t="shared" si="74"/>
        <v>0</v>
      </c>
      <c r="I217" s="145">
        <f t="shared" si="68"/>
        <v>0</v>
      </c>
      <c r="J217" s="145">
        <f t="shared" si="69"/>
        <v>0</v>
      </c>
      <c r="K217" s="142" t="str">
        <f t="shared" si="75"/>
        <v>kWh</v>
      </c>
      <c r="L217" s="146">
        <f>IFERROR(INDEX(Työkonekanta!$I$3:$I$27,MATCH('S2 Bio'!$A217,Työkonekanta!$A$3:$A$24,0),1)*(I217+J217)*f_adblue,0)</f>
        <v>0</v>
      </c>
      <c r="M217" s="146">
        <f t="shared" si="82"/>
        <v>0</v>
      </c>
      <c r="N217" s="143" t="str">
        <f>IF(tuulisähkö_vuosi&lt;='S2 Bio'!C217,"tuulisähkö",ostosähkö_nyt)</f>
        <v>jäännössähkö</v>
      </c>
      <c r="O217" s="147">
        <f>INDEX(Muuttujat!$J$5:$J$21,MATCH($C217,Muuttujat!$H$5:$H$21,0),1)</f>
        <v>64.542936272148211</v>
      </c>
      <c r="P217" s="148">
        <f t="shared" si="76"/>
        <v>0.58199999999999996</v>
      </c>
      <c r="Q217" s="148">
        <f t="shared" si="81"/>
        <v>0.41800000000000004</v>
      </c>
      <c r="R217" s="148">
        <f t="shared" si="81"/>
        <v>0.41800000000000004</v>
      </c>
      <c r="S217" s="149">
        <f t="shared" si="70"/>
        <v>0</v>
      </c>
      <c r="T217" s="150">
        <f t="shared" si="71"/>
        <v>0</v>
      </c>
      <c r="U217" s="150">
        <f t="shared" si="72"/>
        <v>0</v>
      </c>
      <c r="V217" s="150">
        <f>IFERROR(INDEX(Työkonekanta!$J$3:$J$27,MATCH($A217,Työkonekanta!$A$3:$A$24,0),1)*$B217*ef_li_ion_akku/1000/1000/INDEX(Työkonekanta!$K$3:$K$27,MATCH($A217,Työkonekanta!$A$3:$A$24,0)),0)</f>
        <v>0</v>
      </c>
      <c r="W217" s="149">
        <f t="shared" si="83"/>
        <v>0</v>
      </c>
      <c r="X217" s="150">
        <f t="shared" si="84"/>
        <v>0</v>
      </c>
      <c r="Y217" s="151">
        <f t="shared" si="85"/>
        <v>0</v>
      </c>
      <c r="Z217" s="152">
        <f t="shared" si="77"/>
        <v>0</v>
      </c>
      <c r="AA217" s="153">
        <f t="shared" si="78"/>
        <v>0</v>
      </c>
      <c r="AB217" s="153">
        <f t="shared" si="79"/>
        <v>0</v>
      </c>
      <c r="AC217" s="154">
        <f t="shared" si="86"/>
        <v>0</v>
      </c>
      <c r="AD217" s="180">
        <f t="shared" si="80"/>
        <v>0</v>
      </c>
      <c r="AE217" s="160"/>
    </row>
    <row r="218" spans="1:31">
      <c r="A218" s="139">
        <v>6</v>
      </c>
      <c r="B218" s="139">
        <f>IFERROR(INDEX(Työkonekanta!$F$3:$F$27,MATCH('S2 Bio'!$A218,Työkonekanta!$A$3:$A$24,0),1),0)</f>
        <v>0</v>
      </c>
      <c r="C218" s="140">
        <v>2026</v>
      </c>
      <c r="D218" s="141" t="str">
        <f>IFERROR(INDEX(Työkonekanta!$D$3:$D$27,MATCH('S2 Bio'!$A218,Työkonekanta!$A$3:$A$24,0),1),"undefined")</f>
        <v>sähkö</v>
      </c>
      <c r="E218" s="145">
        <f>IFERROR(INDEX(Työkonekanta!$G$3:$G$27,MATCH($A218,Työkonekanta!$A$3:$A$24,0),1)*INDEX(Työkonekanta!$H$3:$H$27,MATCH($A218,Työkonekanta!$A$3:$A$24,0),1)*(1+_xlfn.SINGLE(s2_kerroin)*($C218-2019))*$B218,0)</f>
        <v>0</v>
      </c>
      <c r="F218" s="145">
        <f t="shared" si="67"/>
        <v>0</v>
      </c>
      <c r="G218" s="145">
        <f t="shared" si="73"/>
        <v>0</v>
      </c>
      <c r="H218" s="145">
        <f t="shared" si="74"/>
        <v>0</v>
      </c>
      <c r="I218" s="145">
        <f t="shared" si="68"/>
        <v>0</v>
      </c>
      <c r="J218" s="145">
        <f t="shared" si="69"/>
        <v>0</v>
      </c>
      <c r="K218" s="142" t="str">
        <f t="shared" si="75"/>
        <v>kWh</v>
      </c>
      <c r="L218" s="146">
        <f>IFERROR(INDEX(Työkonekanta!$I$3:$I$27,MATCH('S2 Bio'!$A218,Työkonekanta!$A$3:$A$24,0),1)*(I218+J218)*f_adblue,0)</f>
        <v>0</v>
      </c>
      <c r="M218" s="146">
        <f t="shared" si="82"/>
        <v>0</v>
      </c>
      <c r="N218" s="143" t="str">
        <f>IF(tuulisähkö_vuosi&lt;='S2 Bio'!C218,"tuulisähkö",ostosähkö_nyt)</f>
        <v>jäännössähkö</v>
      </c>
      <c r="O218" s="147">
        <f>INDEX(Muuttujat!$J$5:$J$21,MATCH($C218,Muuttujat!$H$5:$H$21,0),1)</f>
        <v>64.542936272148211</v>
      </c>
      <c r="P218" s="148">
        <f t="shared" si="76"/>
        <v>0.58199999999999996</v>
      </c>
      <c r="Q218" s="148">
        <f t="shared" si="81"/>
        <v>0.41800000000000004</v>
      </c>
      <c r="R218" s="148">
        <f t="shared" si="81"/>
        <v>0.41800000000000004</v>
      </c>
      <c r="S218" s="149">
        <f t="shared" si="70"/>
        <v>0</v>
      </c>
      <c r="T218" s="150">
        <f t="shared" si="71"/>
        <v>0</v>
      </c>
      <c r="U218" s="150">
        <f t="shared" si="72"/>
        <v>0</v>
      </c>
      <c r="V218" s="150">
        <f>IFERROR(INDEX(Työkonekanta!$J$3:$J$27,MATCH($A218,Työkonekanta!$A$3:$A$24,0),1)*$B218*ef_li_ion_akku/1000/1000/INDEX(Työkonekanta!$K$3:$K$27,MATCH($A218,Työkonekanta!$A$3:$A$24,0)),0)</f>
        <v>0</v>
      </c>
      <c r="W218" s="149">
        <f t="shared" si="83"/>
        <v>0</v>
      </c>
      <c r="X218" s="150">
        <f t="shared" si="84"/>
        <v>0</v>
      </c>
      <c r="Y218" s="151">
        <f t="shared" si="85"/>
        <v>0</v>
      </c>
      <c r="Z218" s="152">
        <f t="shared" si="77"/>
        <v>0</v>
      </c>
      <c r="AA218" s="153">
        <f t="shared" si="78"/>
        <v>0</v>
      </c>
      <c r="AB218" s="153">
        <f t="shared" si="79"/>
        <v>0</v>
      </c>
      <c r="AC218" s="154">
        <f t="shared" si="86"/>
        <v>0</v>
      </c>
      <c r="AD218" s="180">
        <f t="shared" si="80"/>
        <v>0</v>
      </c>
      <c r="AE218" s="160"/>
    </row>
    <row r="219" spans="1:31">
      <c r="A219" s="139">
        <v>7</v>
      </c>
      <c r="B219" s="139">
        <f>IFERROR(INDEX(Työkonekanta!$F$3:$F$27,MATCH('S2 Bio'!$A219,Työkonekanta!$A$3:$A$24,0),1),0)</f>
        <v>1</v>
      </c>
      <c r="C219" s="140">
        <v>2026</v>
      </c>
      <c r="D219" s="141" t="str">
        <f>IFERROR(INDEX(Työkonekanta!$D$3:$D$27,MATCH('S2 Bio'!$A219,Työkonekanta!$A$3:$A$24,0),1),"undefined")</f>
        <v>pom</v>
      </c>
      <c r="E219" s="145">
        <f>IFERROR(INDEX(Työkonekanta!$G$3:$G$27,MATCH($A219,Työkonekanta!$A$3:$A$24,0),1)*INDEX(Työkonekanta!$H$3:$H$27,MATCH($A219,Työkonekanta!$A$3:$A$24,0),1)*(1+_xlfn.SINGLE(s2_kerroin)*($C219-2019))*$B219,0)</f>
        <v>10700</v>
      </c>
      <c r="F219" s="145">
        <f t="shared" si="67"/>
        <v>384130</v>
      </c>
      <c r="G219" s="145">
        <f t="shared" si="73"/>
        <v>223563.65999999997</v>
      </c>
      <c r="H219" s="145">
        <f t="shared" si="74"/>
        <v>160566.34000000003</v>
      </c>
      <c r="I219" s="145">
        <f t="shared" si="68"/>
        <v>6227.4</v>
      </c>
      <c r="J219" s="145">
        <f t="shared" si="69"/>
        <v>4681.2344023323631</v>
      </c>
      <c r="K219" s="142" t="str">
        <f t="shared" si="75"/>
        <v>l</v>
      </c>
      <c r="L219" s="146">
        <f>IFERROR(INDEX(Työkonekanta!$I$3:$I$27,MATCH('S2 Bio'!$A219,Työkonekanta!$A$3:$A$24,0),1)*(I219+J219)*f_adblue,0)</f>
        <v>0</v>
      </c>
      <c r="M219" s="146">
        <f t="shared" si="82"/>
        <v>0</v>
      </c>
      <c r="N219" s="143" t="str">
        <f>IF(tuulisähkö_vuosi&lt;='S2 Bio'!C219,"tuulisähkö",ostosähkö_nyt)</f>
        <v>jäännössähkö</v>
      </c>
      <c r="O219" s="147">
        <f>INDEX(Muuttujat!$J$5:$J$21,MATCH($C219,Muuttujat!$H$5:$H$21,0),1)</f>
        <v>64.542936272148211</v>
      </c>
      <c r="P219" s="148">
        <f t="shared" si="76"/>
        <v>0.58199999999999996</v>
      </c>
      <c r="Q219" s="148">
        <f t="shared" si="81"/>
        <v>0.41800000000000004</v>
      </c>
      <c r="R219" s="148">
        <f t="shared" si="81"/>
        <v>0.41800000000000004</v>
      </c>
      <c r="S219" s="149">
        <f t="shared" si="70"/>
        <v>4.2253531739999994</v>
      </c>
      <c r="T219" s="150">
        <f t="shared" si="71"/>
        <v>10.019339616000003</v>
      </c>
      <c r="U219" s="150">
        <f t="shared" si="72"/>
        <v>0</v>
      </c>
      <c r="V219" s="150">
        <f>IFERROR(INDEX(Työkonekanta!$J$3:$J$27,MATCH($A219,Työkonekanta!$A$3:$A$24,0),1)*$B219*ef_li_ion_akku/1000/1000/INDEX(Työkonekanta!$K$3:$K$27,MATCH($A219,Työkonekanta!$A$3:$A$24,0)),0)</f>
        <v>0</v>
      </c>
      <c r="W219" s="149">
        <f t="shared" si="83"/>
        <v>16.500843464723641</v>
      </c>
      <c r="X219" s="150">
        <f t="shared" si="84"/>
        <v>0.33998785619999994</v>
      </c>
      <c r="Y219" s="151">
        <f t="shared" si="85"/>
        <v>0</v>
      </c>
      <c r="Z219" s="152">
        <f t="shared" si="77"/>
        <v>14.244692790000002</v>
      </c>
      <c r="AA219" s="153">
        <f t="shared" si="78"/>
        <v>16.500843464723641</v>
      </c>
      <c r="AB219" s="153">
        <f t="shared" si="79"/>
        <v>16.840831320923641</v>
      </c>
      <c r="AC219" s="154">
        <f t="shared" si="86"/>
        <v>30.745536254723643</v>
      </c>
      <c r="AD219" s="180">
        <f t="shared" si="80"/>
        <v>31.085524110923643</v>
      </c>
      <c r="AE219" s="160"/>
    </row>
    <row r="220" spans="1:31">
      <c r="A220" s="139">
        <v>8</v>
      </c>
      <c r="B220" s="139">
        <f>IFERROR(INDEX(Työkonekanta!$F$3:$F$27,MATCH('S2 Bio'!$A220,Työkonekanta!$A$3:$A$24,0),1),0)</f>
        <v>1</v>
      </c>
      <c r="C220" s="140">
        <v>2026</v>
      </c>
      <c r="D220" s="141" t="str">
        <f>IFERROR(INDEX(Työkonekanta!$D$3:$D$27,MATCH('S2 Bio'!$A220,Työkonekanta!$A$3:$A$24,0),1),"undefined")</f>
        <v>pom</v>
      </c>
      <c r="E220" s="145">
        <f>IFERROR(INDEX(Työkonekanta!$G$3:$G$27,MATCH($A220,Työkonekanta!$A$3:$A$24,0),1)*INDEX(Työkonekanta!$H$3:$H$27,MATCH($A220,Työkonekanta!$A$3:$A$24,0),1)*(1+_xlfn.SINGLE(s2_kerroin)*($C220-2019))*$B220,0)</f>
        <v>10700</v>
      </c>
      <c r="F220" s="145">
        <f t="shared" si="67"/>
        <v>384130</v>
      </c>
      <c r="G220" s="145">
        <f t="shared" si="73"/>
        <v>223563.65999999997</v>
      </c>
      <c r="H220" s="145">
        <f t="shared" si="74"/>
        <v>160566.34000000003</v>
      </c>
      <c r="I220" s="145">
        <f t="shared" si="68"/>
        <v>6227.4</v>
      </c>
      <c r="J220" s="145">
        <f t="shared" si="69"/>
        <v>4681.2344023323631</v>
      </c>
      <c r="K220" s="142" t="str">
        <f t="shared" si="75"/>
        <v>l</v>
      </c>
      <c r="L220" s="146">
        <f>IFERROR(INDEX(Työkonekanta!$I$3:$I$27,MATCH('S2 Bio'!$A220,Työkonekanta!$A$3:$A$24,0),1)*(I220+J220)*f_adblue,0)</f>
        <v>545.43172011661807</v>
      </c>
      <c r="M220" s="146">
        <f t="shared" si="82"/>
        <v>0</v>
      </c>
      <c r="N220" s="143" t="str">
        <f>IF(tuulisähkö_vuosi&lt;='S2 Bio'!C220,"tuulisähkö",ostosähkö_nyt)</f>
        <v>jäännössähkö</v>
      </c>
      <c r="O220" s="147">
        <f>INDEX(Muuttujat!$J$5:$J$21,MATCH($C220,Muuttujat!$H$5:$H$21,0),1)</f>
        <v>64.542936272148211</v>
      </c>
      <c r="P220" s="148">
        <f t="shared" si="76"/>
        <v>0.58199999999999996</v>
      </c>
      <c r="Q220" s="148">
        <f t="shared" si="81"/>
        <v>0.41800000000000004</v>
      </c>
      <c r="R220" s="148">
        <f t="shared" si="81"/>
        <v>0.41800000000000004</v>
      </c>
      <c r="S220" s="149">
        <f t="shared" si="70"/>
        <v>4.2253531739999994</v>
      </c>
      <c r="T220" s="150">
        <f t="shared" si="71"/>
        <v>10.019339616000003</v>
      </c>
      <c r="U220" s="150">
        <f t="shared" si="72"/>
        <v>0</v>
      </c>
      <c r="V220" s="150">
        <f>IFERROR(INDEX(Työkonekanta!$J$3:$J$27,MATCH($A220,Työkonekanta!$A$3:$A$24,0),1)*$B220*ef_li_ion_akku/1000/1000/INDEX(Työkonekanta!$K$3:$K$27,MATCH($A220,Työkonekanta!$A$3:$A$24,0)),0)</f>
        <v>0</v>
      </c>
      <c r="W220" s="149">
        <f t="shared" si="83"/>
        <v>16.500843464723641</v>
      </c>
      <c r="X220" s="150">
        <f t="shared" si="84"/>
        <v>0.33998785619999994</v>
      </c>
      <c r="Y220" s="151">
        <f t="shared" si="85"/>
        <v>0.14181224723032071</v>
      </c>
      <c r="Z220" s="152">
        <f t="shared" si="77"/>
        <v>14.244692790000002</v>
      </c>
      <c r="AA220" s="153">
        <f t="shared" si="78"/>
        <v>16.64265571195396</v>
      </c>
      <c r="AB220" s="153">
        <f t="shared" si="79"/>
        <v>16.982643568153961</v>
      </c>
      <c r="AC220" s="154">
        <f t="shared" si="86"/>
        <v>30.887348501953962</v>
      </c>
      <c r="AD220" s="180">
        <f t="shared" si="80"/>
        <v>31.227336358153963</v>
      </c>
      <c r="AE220" s="160"/>
    </row>
    <row r="221" spans="1:31">
      <c r="A221" s="139">
        <v>9</v>
      </c>
      <c r="B221" s="139">
        <f>IFERROR(INDEX(Työkonekanta!$F$3:$F$27,MATCH('S2 Bio'!$A221,Työkonekanta!$A$3:$A$24,0),1),0)</f>
        <v>0</v>
      </c>
      <c r="C221" s="140">
        <v>2026</v>
      </c>
      <c r="D221" s="141" t="str">
        <f>IFERROR(INDEX(Työkonekanta!$D$3:$D$27,MATCH('S2 Bio'!$A221,Työkonekanta!$A$3:$A$24,0),1),"undefined")</f>
        <v>sähkö</v>
      </c>
      <c r="E221" s="145">
        <f>IFERROR(INDEX(Työkonekanta!$G$3:$G$27,MATCH($A221,Työkonekanta!$A$3:$A$24,0),1)*INDEX(Työkonekanta!$H$3:$H$27,MATCH($A221,Työkonekanta!$A$3:$A$24,0),1)*(1+_xlfn.SINGLE(s2_kerroin)*($C221-2019))*$B221,0)</f>
        <v>0</v>
      </c>
      <c r="F221" s="145">
        <f t="shared" si="67"/>
        <v>0</v>
      </c>
      <c r="G221" s="145">
        <f t="shared" si="73"/>
        <v>0</v>
      </c>
      <c r="H221" s="145">
        <f t="shared" si="74"/>
        <v>0</v>
      </c>
      <c r="I221" s="145">
        <f t="shared" si="68"/>
        <v>0</v>
      </c>
      <c r="J221" s="145">
        <f t="shared" si="69"/>
        <v>0</v>
      </c>
      <c r="K221" s="142" t="str">
        <f t="shared" si="75"/>
        <v>kWh</v>
      </c>
      <c r="L221" s="146">
        <f>IFERROR(INDEX(Työkonekanta!$I$3:$I$27,MATCH('S2 Bio'!$A221,Työkonekanta!$A$3:$A$24,0),1)*(I221+J221)*f_adblue,0)</f>
        <v>0</v>
      </c>
      <c r="M221" s="146">
        <f t="shared" si="82"/>
        <v>0</v>
      </c>
      <c r="N221" s="143" t="str">
        <f>IF(tuulisähkö_vuosi&lt;='S2 Bio'!C221,"tuulisähkö",ostosähkö_nyt)</f>
        <v>jäännössähkö</v>
      </c>
      <c r="O221" s="147">
        <f>INDEX(Muuttujat!$J$5:$J$21,MATCH($C221,Muuttujat!$H$5:$H$21,0),1)</f>
        <v>64.542936272148211</v>
      </c>
      <c r="P221" s="148">
        <f t="shared" si="76"/>
        <v>0.58199999999999996</v>
      </c>
      <c r="Q221" s="148">
        <f t="shared" si="81"/>
        <v>0.41800000000000004</v>
      </c>
      <c r="R221" s="148">
        <f t="shared" si="81"/>
        <v>0.41800000000000004</v>
      </c>
      <c r="S221" s="149">
        <f t="shared" si="70"/>
        <v>0</v>
      </c>
      <c r="T221" s="150">
        <f t="shared" si="71"/>
        <v>0</v>
      </c>
      <c r="U221" s="150">
        <f t="shared" si="72"/>
        <v>0</v>
      </c>
      <c r="V221" s="150">
        <f>IFERROR(INDEX(Työkonekanta!$J$3:$J$27,MATCH($A221,Työkonekanta!$A$3:$A$24,0),1)*$B221*ef_li_ion_akku/1000/1000/INDEX(Työkonekanta!$K$3:$K$27,MATCH($A221,Työkonekanta!$A$3:$A$24,0)),0)</f>
        <v>0</v>
      </c>
      <c r="W221" s="149">
        <f t="shared" si="83"/>
        <v>0</v>
      </c>
      <c r="X221" s="150">
        <f t="shared" si="84"/>
        <v>0</v>
      </c>
      <c r="Y221" s="151">
        <f t="shared" si="85"/>
        <v>0</v>
      </c>
      <c r="Z221" s="152">
        <f t="shared" si="77"/>
        <v>0</v>
      </c>
      <c r="AA221" s="153">
        <f t="shared" si="78"/>
        <v>0</v>
      </c>
      <c r="AB221" s="153">
        <f t="shared" si="79"/>
        <v>0</v>
      </c>
      <c r="AC221" s="154">
        <f t="shared" si="86"/>
        <v>0</v>
      </c>
      <c r="AD221" s="180">
        <f t="shared" si="80"/>
        <v>0</v>
      </c>
      <c r="AE221" s="160"/>
    </row>
    <row r="222" spans="1:31">
      <c r="A222" s="139">
        <v>10</v>
      </c>
      <c r="B222" s="139">
        <f>IFERROR(INDEX(Työkonekanta!$F$3:$F$27,MATCH('S2 Bio'!$A222,Työkonekanta!$A$3:$A$24,0),1),0)</f>
        <v>0</v>
      </c>
      <c r="C222" s="140">
        <v>2026</v>
      </c>
      <c r="D222" s="141" t="str">
        <f>IFERROR(INDEX(Työkonekanta!$D$3:$D$27,MATCH('S2 Bio'!$A222,Työkonekanta!$A$3:$A$24,0),1),"undefined")</f>
        <v>sähkö</v>
      </c>
      <c r="E222" s="145">
        <f>IFERROR(INDEX(Työkonekanta!$G$3:$G$27,MATCH($A222,Työkonekanta!$A$3:$A$24,0),1)*INDEX(Työkonekanta!$H$3:$H$27,MATCH($A222,Työkonekanta!$A$3:$A$24,0),1)*(1+_xlfn.SINGLE(s2_kerroin)*($C222-2019))*$B222,0)</f>
        <v>0</v>
      </c>
      <c r="F222" s="145">
        <f t="shared" si="67"/>
        <v>0</v>
      </c>
      <c r="G222" s="145">
        <f t="shared" si="73"/>
        <v>0</v>
      </c>
      <c r="H222" s="145">
        <f t="shared" si="74"/>
        <v>0</v>
      </c>
      <c r="I222" s="145">
        <f t="shared" si="68"/>
        <v>0</v>
      </c>
      <c r="J222" s="145">
        <f t="shared" si="69"/>
        <v>0</v>
      </c>
      <c r="K222" s="142" t="str">
        <f t="shared" si="75"/>
        <v>kWh</v>
      </c>
      <c r="L222" s="146">
        <f>IFERROR(INDEX(Työkonekanta!$I$3:$I$27,MATCH('S2 Bio'!$A222,Työkonekanta!$A$3:$A$24,0),1)*(I222+J222)*f_adblue,0)</f>
        <v>0</v>
      </c>
      <c r="M222" s="146">
        <f t="shared" si="82"/>
        <v>0</v>
      </c>
      <c r="N222" s="143" t="str">
        <f>IF(tuulisähkö_vuosi&lt;='S2 Bio'!C222,"tuulisähkö",ostosähkö_nyt)</f>
        <v>jäännössähkö</v>
      </c>
      <c r="O222" s="147">
        <f>INDEX(Muuttujat!$J$5:$J$21,MATCH($C222,Muuttujat!$H$5:$H$21,0),1)</f>
        <v>64.542936272148211</v>
      </c>
      <c r="P222" s="148">
        <f t="shared" si="76"/>
        <v>0.58199999999999996</v>
      </c>
      <c r="Q222" s="148">
        <f t="shared" si="81"/>
        <v>0.41800000000000004</v>
      </c>
      <c r="R222" s="148">
        <f t="shared" si="81"/>
        <v>0.41800000000000004</v>
      </c>
      <c r="S222" s="149">
        <f t="shared" si="70"/>
        <v>0</v>
      </c>
      <c r="T222" s="150">
        <f t="shared" si="71"/>
        <v>0</v>
      </c>
      <c r="U222" s="150">
        <f t="shared" si="72"/>
        <v>0</v>
      </c>
      <c r="V222" s="150">
        <f>IFERROR(INDEX(Työkonekanta!$J$3:$J$27,MATCH($A222,Työkonekanta!$A$3:$A$24,0),1)*$B222*ef_li_ion_akku/1000/1000/INDEX(Työkonekanta!$K$3:$K$27,MATCH($A222,Työkonekanta!$A$3:$A$24,0)),0)</f>
        <v>0</v>
      </c>
      <c r="W222" s="149">
        <f t="shared" si="83"/>
        <v>0</v>
      </c>
      <c r="X222" s="150">
        <f t="shared" si="84"/>
        <v>0</v>
      </c>
      <c r="Y222" s="151">
        <f t="shared" si="85"/>
        <v>0</v>
      </c>
      <c r="Z222" s="152">
        <f t="shared" si="77"/>
        <v>0</v>
      </c>
      <c r="AA222" s="153">
        <f t="shared" si="78"/>
        <v>0</v>
      </c>
      <c r="AB222" s="153">
        <f t="shared" si="79"/>
        <v>0</v>
      </c>
      <c r="AC222" s="154">
        <f t="shared" si="86"/>
        <v>0</v>
      </c>
      <c r="AD222" s="180">
        <f t="shared" si="80"/>
        <v>0</v>
      </c>
      <c r="AE222" s="160"/>
    </row>
    <row r="223" spans="1:31">
      <c r="A223" s="139">
        <v>11</v>
      </c>
      <c r="B223" s="139">
        <f>IFERROR(INDEX(Työkonekanta!$F$3:$F$27,MATCH('S2 Bio'!$A223,Työkonekanta!$A$3:$A$24,0),1),0)</f>
        <v>1</v>
      </c>
      <c r="C223" s="140">
        <v>2026</v>
      </c>
      <c r="D223" s="141" t="str">
        <f>IFERROR(INDEX(Työkonekanta!$D$3:$D$27,MATCH('S2 Bio'!$A223,Työkonekanta!$A$3:$A$24,0),1),"undefined")</f>
        <v>pom</v>
      </c>
      <c r="E223" s="145">
        <f>IFERROR(INDEX(Työkonekanta!$G$3:$G$27,MATCH($A223,Työkonekanta!$A$3:$A$24,0),1)*INDEX(Työkonekanta!$H$3:$H$27,MATCH($A223,Työkonekanta!$A$3:$A$24,0),1)*(1+_xlfn.SINGLE(s2_kerroin)*($C223-2019))*$B223,0)</f>
        <v>10700</v>
      </c>
      <c r="F223" s="145">
        <f t="shared" si="67"/>
        <v>384130</v>
      </c>
      <c r="G223" s="145">
        <f t="shared" si="73"/>
        <v>223563.65999999997</v>
      </c>
      <c r="H223" s="145">
        <f t="shared" si="74"/>
        <v>160566.34000000003</v>
      </c>
      <c r="I223" s="145">
        <f t="shared" si="68"/>
        <v>6227.4</v>
      </c>
      <c r="J223" s="145">
        <f t="shared" si="69"/>
        <v>4681.2344023323631</v>
      </c>
      <c r="K223" s="142" t="str">
        <f t="shared" si="75"/>
        <v>l</v>
      </c>
      <c r="L223" s="146">
        <f>IFERROR(INDEX(Työkonekanta!$I$3:$I$27,MATCH('S2 Bio'!$A223,Työkonekanta!$A$3:$A$24,0),1)*(I223+J223)*f_adblue,0)</f>
        <v>545.43172011661807</v>
      </c>
      <c r="M223" s="146">
        <f t="shared" si="82"/>
        <v>0</v>
      </c>
      <c r="N223" s="143" t="str">
        <f>IF(tuulisähkö_vuosi&lt;='S2 Bio'!C223,"tuulisähkö",ostosähkö_nyt)</f>
        <v>jäännössähkö</v>
      </c>
      <c r="O223" s="147">
        <f>INDEX(Muuttujat!$J$5:$J$21,MATCH($C223,Muuttujat!$H$5:$H$21,0),1)</f>
        <v>64.542936272148211</v>
      </c>
      <c r="P223" s="148">
        <f t="shared" si="76"/>
        <v>0.58199999999999996</v>
      </c>
      <c r="Q223" s="148">
        <f t="shared" ref="Q223:R242" si="87">IF(biosiirtymä_luonne="äkillinen",INDEX($AG$4:$AG$20,MATCH($C223,$AF$4:$AF$20,0),1),INDEX($AH$4:$AH$20,MATCH($C223,$AF$4:$AF$20,0),1))</f>
        <v>0.41800000000000004</v>
      </c>
      <c r="R223" s="148">
        <f t="shared" si="87"/>
        <v>0.41800000000000004</v>
      </c>
      <c r="S223" s="149">
        <f t="shared" si="70"/>
        <v>4.2253531739999994</v>
      </c>
      <c r="T223" s="150">
        <f t="shared" si="71"/>
        <v>10.019339616000003</v>
      </c>
      <c r="U223" s="150">
        <f t="shared" si="72"/>
        <v>0</v>
      </c>
      <c r="V223" s="150">
        <f>IFERROR(INDEX(Työkonekanta!$J$3:$J$27,MATCH($A223,Työkonekanta!$A$3:$A$24,0),1)*$B223*ef_li_ion_akku/1000/1000/INDEX(Työkonekanta!$K$3:$K$27,MATCH($A223,Työkonekanta!$A$3:$A$24,0)),0)</f>
        <v>0</v>
      </c>
      <c r="W223" s="149">
        <f t="shared" si="83"/>
        <v>16.500843464723641</v>
      </c>
      <c r="X223" s="150">
        <f t="shared" si="84"/>
        <v>0.33998785619999994</v>
      </c>
      <c r="Y223" s="151">
        <f t="shared" si="85"/>
        <v>0.14181224723032071</v>
      </c>
      <c r="Z223" s="152">
        <f t="shared" si="77"/>
        <v>14.244692790000002</v>
      </c>
      <c r="AA223" s="153">
        <f t="shared" si="78"/>
        <v>16.64265571195396</v>
      </c>
      <c r="AB223" s="153">
        <f t="shared" si="79"/>
        <v>16.982643568153961</v>
      </c>
      <c r="AC223" s="154">
        <f t="shared" si="86"/>
        <v>30.887348501953962</v>
      </c>
      <c r="AD223" s="180">
        <f t="shared" si="80"/>
        <v>31.227336358153963</v>
      </c>
      <c r="AE223" s="160"/>
    </row>
    <row r="224" spans="1:31">
      <c r="A224" s="139">
        <v>12</v>
      </c>
      <c r="B224" s="139">
        <f>IFERROR(INDEX(Työkonekanta!$F$3:$F$27,MATCH('S2 Bio'!$A224,Työkonekanta!$A$3:$A$24,0),1),0)</f>
        <v>1</v>
      </c>
      <c r="C224" s="140">
        <v>2026</v>
      </c>
      <c r="D224" s="141" t="str">
        <f>IFERROR(INDEX(Työkonekanta!$D$3:$D$27,MATCH('S2 Bio'!$A224,Työkonekanta!$A$3:$A$24,0),1),"undefined")</f>
        <v>pom</v>
      </c>
      <c r="E224" s="145">
        <f>IFERROR(INDEX(Työkonekanta!$G$3:$G$27,MATCH($A224,Työkonekanta!$A$3:$A$24,0),1)*INDEX(Työkonekanta!$H$3:$H$27,MATCH($A224,Työkonekanta!$A$3:$A$24,0),1)*(1+_xlfn.SINGLE(s2_kerroin)*($C224-2019))*$B224,0)</f>
        <v>10700</v>
      </c>
      <c r="F224" s="145">
        <f t="shared" si="67"/>
        <v>384130</v>
      </c>
      <c r="G224" s="145">
        <f t="shared" si="73"/>
        <v>223563.65999999997</v>
      </c>
      <c r="H224" s="145">
        <f t="shared" si="74"/>
        <v>160566.34000000003</v>
      </c>
      <c r="I224" s="145">
        <f t="shared" si="68"/>
        <v>6227.4</v>
      </c>
      <c r="J224" s="145">
        <f t="shared" si="69"/>
        <v>4681.2344023323631</v>
      </c>
      <c r="K224" s="142" t="str">
        <f t="shared" si="75"/>
        <v>l</v>
      </c>
      <c r="L224" s="146">
        <f>IFERROR(INDEX(Työkonekanta!$I$3:$I$27,MATCH('S2 Bio'!$A224,Työkonekanta!$A$3:$A$24,0),1)*(I224+J224)*f_adblue,0)</f>
        <v>545.43172011661807</v>
      </c>
      <c r="M224" s="146">
        <f t="shared" si="82"/>
        <v>0</v>
      </c>
      <c r="N224" s="143" t="str">
        <f>IF(tuulisähkö_vuosi&lt;='S2 Bio'!C224,"tuulisähkö",ostosähkö_nyt)</f>
        <v>jäännössähkö</v>
      </c>
      <c r="O224" s="147">
        <f>INDEX(Muuttujat!$J$5:$J$21,MATCH($C224,Muuttujat!$H$5:$H$21,0),1)</f>
        <v>64.542936272148211</v>
      </c>
      <c r="P224" s="148">
        <f t="shared" si="76"/>
        <v>0.58199999999999996</v>
      </c>
      <c r="Q224" s="148">
        <f t="shared" si="87"/>
        <v>0.41800000000000004</v>
      </c>
      <c r="R224" s="148">
        <f t="shared" si="87"/>
        <v>0.41800000000000004</v>
      </c>
      <c r="S224" s="149">
        <f t="shared" si="70"/>
        <v>4.2253531739999994</v>
      </c>
      <c r="T224" s="150">
        <f t="shared" si="71"/>
        <v>10.019339616000003</v>
      </c>
      <c r="U224" s="150">
        <f t="shared" si="72"/>
        <v>0</v>
      </c>
      <c r="V224" s="150">
        <f>IFERROR(INDEX(Työkonekanta!$J$3:$J$27,MATCH($A224,Työkonekanta!$A$3:$A$24,0),1)*$B224*ef_li_ion_akku/1000/1000/INDEX(Työkonekanta!$K$3:$K$27,MATCH($A224,Työkonekanta!$A$3:$A$24,0)),0)</f>
        <v>0</v>
      </c>
      <c r="W224" s="149">
        <f t="shared" si="83"/>
        <v>16.500843464723641</v>
      </c>
      <c r="X224" s="150">
        <f t="shared" si="84"/>
        <v>0.33998785619999994</v>
      </c>
      <c r="Y224" s="151">
        <f t="shared" si="85"/>
        <v>0.14181224723032071</v>
      </c>
      <c r="Z224" s="152">
        <f t="shared" si="77"/>
        <v>14.244692790000002</v>
      </c>
      <c r="AA224" s="153">
        <f t="shared" si="78"/>
        <v>16.64265571195396</v>
      </c>
      <c r="AB224" s="153">
        <f t="shared" si="79"/>
        <v>16.982643568153961</v>
      </c>
      <c r="AC224" s="154">
        <f t="shared" si="86"/>
        <v>30.887348501953962</v>
      </c>
      <c r="AD224" s="180">
        <f t="shared" si="80"/>
        <v>31.227336358153963</v>
      </c>
      <c r="AE224" s="160"/>
    </row>
    <row r="225" spans="1:31">
      <c r="A225" s="139">
        <v>13</v>
      </c>
      <c r="B225" s="139">
        <f>IFERROR(INDEX(Työkonekanta!$F$3:$F$27,MATCH('S2 Bio'!$A225,Työkonekanta!$A$3:$A$24,0),1),0)</f>
        <v>0</v>
      </c>
      <c r="C225" s="140">
        <v>2026</v>
      </c>
      <c r="D225" s="141" t="str">
        <f>IFERROR(INDEX(Työkonekanta!$D$3:$D$27,MATCH('S2 Bio'!$A225,Työkonekanta!$A$3:$A$24,0),1),"undefined")</f>
        <v>pom</v>
      </c>
      <c r="E225" s="145">
        <f>IFERROR(INDEX(Työkonekanta!$G$3:$G$27,MATCH($A225,Työkonekanta!$A$3:$A$24,0),1)*INDEX(Työkonekanta!$H$3:$H$27,MATCH($A225,Työkonekanta!$A$3:$A$24,0),1)*(1+_xlfn.SINGLE(s2_kerroin)*($C225-2019))*$B225,0)</f>
        <v>0</v>
      </c>
      <c r="F225" s="145">
        <f t="shared" si="67"/>
        <v>0</v>
      </c>
      <c r="G225" s="145">
        <f t="shared" si="73"/>
        <v>0</v>
      </c>
      <c r="H225" s="145">
        <f t="shared" si="74"/>
        <v>0</v>
      </c>
      <c r="I225" s="145">
        <f t="shared" si="68"/>
        <v>0</v>
      </c>
      <c r="J225" s="145">
        <f t="shared" si="69"/>
        <v>0</v>
      </c>
      <c r="K225" s="142" t="str">
        <f t="shared" si="75"/>
        <v>l</v>
      </c>
      <c r="L225" s="146">
        <f>IFERROR(INDEX(Työkonekanta!$I$3:$I$27,MATCH('S2 Bio'!$A225,Työkonekanta!$A$3:$A$24,0),1)*(I225+J225)*f_adblue,0)</f>
        <v>0</v>
      </c>
      <c r="M225" s="146">
        <f t="shared" si="82"/>
        <v>0</v>
      </c>
      <c r="N225" s="143" t="str">
        <f>IF(tuulisähkö_vuosi&lt;='S2 Bio'!C225,"tuulisähkö",ostosähkö_nyt)</f>
        <v>jäännössähkö</v>
      </c>
      <c r="O225" s="147">
        <f>INDEX(Muuttujat!$J$5:$J$21,MATCH($C225,Muuttujat!$H$5:$H$21,0),1)</f>
        <v>64.542936272148211</v>
      </c>
      <c r="P225" s="148">
        <f t="shared" si="76"/>
        <v>0.58199999999999996</v>
      </c>
      <c r="Q225" s="148">
        <f t="shared" si="87"/>
        <v>0.41800000000000004</v>
      </c>
      <c r="R225" s="148">
        <f t="shared" si="87"/>
        <v>0.41800000000000004</v>
      </c>
      <c r="S225" s="149">
        <f t="shared" si="70"/>
        <v>0</v>
      </c>
      <c r="T225" s="150">
        <f t="shared" si="71"/>
        <v>0</v>
      </c>
      <c r="U225" s="150">
        <f t="shared" si="72"/>
        <v>0</v>
      </c>
      <c r="V225" s="150">
        <f>IFERROR(INDEX(Työkonekanta!$J$3:$J$27,MATCH($A225,Työkonekanta!$A$3:$A$24,0),1)*$B225*ef_li_ion_akku/1000/1000/INDEX(Työkonekanta!$K$3:$K$27,MATCH($A225,Työkonekanta!$A$3:$A$24,0)),0)</f>
        <v>0</v>
      </c>
      <c r="W225" s="149">
        <f t="shared" si="83"/>
        <v>0</v>
      </c>
      <c r="X225" s="150">
        <f t="shared" si="84"/>
        <v>0</v>
      </c>
      <c r="Y225" s="151">
        <f t="shared" si="85"/>
        <v>0</v>
      </c>
      <c r="Z225" s="152">
        <f t="shared" si="77"/>
        <v>0</v>
      </c>
      <c r="AA225" s="153">
        <f t="shared" si="78"/>
        <v>0</v>
      </c>
      <c r="AB225" s="153">
        <f t="shared" si="79"/>
        <v>0</v>
      </c>
      <c r="AC225" s="154">
        <f t="shared" si="86"/>
        <v>0</v>
      </c>
      <c r="AD225" s="180">
        <f t="shared" si="80"/>
        <v>0</v>
      </c>
      <c r="AE225" s="160"/>
    </row>
    <row r="226" spans="1:31">
      <c r="A226" s="139">
        <v>14</v>
      </c>
      <c r="B226" s="139">
        <f>IFERROR(INDEX(Työkonekanta!$F$3:$F$27,MATCH('S2 Bio'!$A226,Työkonekanta!$A$3:$A$24,0),1),0)</f>
        <v>0</v>
      </c>
      <c r="C226" s="140">
        <v>2026</v>
      </c>
      <c r="D226" s="141" t="str">
        <f>IFERROR(INDEX(Työkonekanta!$D$3:$D$27,MATCH('S2 Bio'!$A226,Työkonekanta!$A$3:$A$24,0),1),"undefined")</f>
        <v>pom</v>
      </c>
      <c r="E226" s="145">
        <f>IFERROR(INDEX(Työkonekanta!$G$3:$G$27,MATCH($A226,Työkonekanta!$A$3:$A$24,0),1)*INDEX(Työkonekanta!$H$3:$H$27,MATCH($A226,Työkonekanta!$A$3:$A$24,0),1)*(1+_xlfn.SINGLE(s2_kerroin)*($C226-2019))*$B226,0)</f>
        <v>0</v>
      </c>
      <c r="F226" s="145">
        <f t="shared" si="67"/>
        <v>0</v>
      </c>
      <c r="G226" s="145">
        <f t="shared" si="73"/>
        <v>0</v>
      </c>
      <c r="H226" s="145">
        <f t="shared" si="74"/>
        <v>0</v>
      </c>
      <c r="I226" s="145">
        <f t="shared" si="68"/>
        <v>0</v>
      </c>
      <c r="J226" s="145">
        <f t="shared" si="69"/>
        <v>0</v>
      </c>
      <c r="K226" s="142" t="str">
        <f t="shared" si="75"/>
        <v>l</v>
      </c>
      <c r="L226" s="146">
        <f>IFERROR(INDEX(Työkonekanta!$I$3:$I$27,MATCH('S2 Bio'!$A226,Työkonekanta!$A$3:$A$24,0),1)*(I226+J226)*f_adblue,0)</f>
        <v>0</v>
      </c>
      <c r="M226" s="146">
        <f t="shared" si="82"/>
        <v>0</v>
      </c>
      <c r="N226" s="143" t="str">
        <f>IF(tuulisähkö_vuosi&lt;='S2 Bio'!C226,"tuulisähkö",ostosähkö_nyt)</f>
        <v>jäännössähkö</v>
      </c>
      <c r="O226" s="147">
        <f>INDEX(Muuttujat!$J$5:$J$21,MATCH($C226,Muuttujat!$H$5:$H$21,0),1)</f>
        <v>64.542936272148211</v>
      </c>
      <c r="P226" s="148">
        <f t="shared" si="76"/>
        <v>0.58199999999999996</v>
      </c>
      <c r="Q226" s="148">
        <f t="shared" si="87"/>
        <v>0.41800000000000004</v>
      </c>
      <c r="R226" s="148">
        <f t="shared" si="87"/>
        <v>0.41800000000000004</v>
      </c>
      <c r="S226" s="149">
        <f t="shared" si="70"/>
        <v>0</v>
      </c>
      <c r="T226" s="150">
        <f t="shared" si="71"/>
        <v>0</v>
      </c>
      <c r="U226" s="150">
        <f t="shared" si="72"/>
        <v>0</v>
      </c>
      <c r="V226" s="150">
        <f>IFERROR(INDEX(Työkonekanta!$J$3:$J$27,MATCH($A226,Työkonekanta!$A$3:$A$24,0),1)*$B226*ef_li_ion_akku/1000/1000/INDEX(Työkonekanta!$K$3:$K$27,MATCH($A226,Työkonekanta!$A$3:$A$24,0)),0)</f>
        <v>0</v>
      </c>
      <c r="W226" s="149">
        <f t="shared" si="83"/>
        <v>0</v>
      </c>
      <c r="X226" s="150">
        <f t="shared" si="84"/>
        <v>0</v>
      </c>
      <c r="Y226" s="151">
        <f t="shared" si="85"/>
        <v>0</v>
      </c>
      <c r="Z226" s="152">
        <f t="shared" si="77"/>
        <v>0</v>
      </c>
      <c r="AA226" s="153">
        <f t="shared" si="78"/>
        <v>0</v>
      </c>
      <c r="AB226" s="153">
        <f t="shared" si="79"/>
        <v>0</v>
      </c>
      <c r="AC226" s="154">
        <f t="shared" si="86"/>
        <v>0</v>
      </c>
      <c r="AD226" s="180">
        <f t="shared" si="80"/>
        <v>0</v>
      </c>
      <c r="AE226" s="160"/>
    </row>
    <row r="227" spans="1:31">
      <c r="A227" s="139">
        <v>15</v>
      </c>
      <c r="B227" s="139">
        <f>IFERROR(INDEX(Työkonekanta!$F$3:$F$27,MATCH('S2 Bio'!$A227,Työkonekanta!$A$3:$A$24,0),1),0)</f>
        <v>0</v>
      </c>
      <c r="C227" s="140">
        <v>2026</v>
      </c>
      <c r="D227" s="141" t="str">
        <f>IFERROR(INDEX(Työkonekanta!$D$3:$D$27,MATCH('S2 Bio'!$A227,Työkonekanta!$A$3:$A$24,0),1),"undefined")</f>
        <v>sähkö</v>
      </c>
      <c r="E227" s="145">
        <f>IFERROR(INDEX(Työkonekanta!$G$3:$G$27,MATCH($A227,Työkonekanta!$A$3:$A$24,0),1)*INDEX(Työkonekanta!$H$3:$H$27,MATCH($A227,Työkonekanta!$A$3:$A$24,0),1)*(1+_xlfn.SINGLE(s2_kerroin)*($C227-2019))*$B227,0)</f>
        <v>0</v>
      </c>
      <c r="F227" s="145">
        <f t="shared" si="67"/>
        <v>0</v>
      </c>
      <c r="G227" s="145">
        <f t="shared" si="73"/>
        <v>0</v>
      </c>
      <c r="H227" s="145">
        <f t="shared" si="74"/>
        <v>0</v>
      </c>
      <c r="I227" s="145">
        <f t="shared" si="68"/>
        <v>0</v>
      </c>
      <c r="J227" s="145">
        <f t="shared" si="69"/>
        <v>0</v>
      </c>
      <c r="K227" s="142" t="str">
        <f t="shared" si="75"/>
        <v>kWh</v>
      </c>
      <c r="L227" s="146">
        <f>IFERROR(INDEX(Työkonekanta!$I$3:$I$27,MATCH('S2 Bio'!$A227,Työkonekanta!$A$3:$A$24,0),1)*(I227+J227)*f_adblue,0)</f>
        <v>0</v>
      </c>
      <c r="M227" s="146">
        <f t="shared" si="82"/>
        <v>0</v>
      </c>
      <c r="N227" s="143" t="str">
        <f>IF(tuulisähkö_vuosi&lt;='S2 Bio'!C227,"tuulisähkö",ostosähkö_nyt)</f>
        <v>jäännössähkö</v>
      </c>
      <c r="O227" s="147">
        <f>INDEX(Muuttujat!$J$5:$J$21,MATCH($C227,Muuttujat!$H$5:$H$21,0),1)</f>
        <v>64.542936272148211</v>
      </c>
      <c r="P227" s="148">
        <f t="shared" si="76"/>
        <v>0.58199999999999996</v>
      </c>
      <c r="Q227" s="148">
        <f t="shared" si="87"/>
        <v>0.41800000000000004</v>
      </c>
      <c r="R227" s="148">
        <f t="shared" si="87"/>
        <v>0.41800000000000004</v>
      </c>
      <c r="S227" s="149">
        <f t="shared" si="70"/>
        <v>0</v>
      </c>
      <c r="T227" s="150">
        <f t="shared" si="71"/>
        <v>0</v>
      </c>
      <c r="U227" s="150">
        <f t="shared" si="72"/>
        <v>0</v>
      </c>
      <c r="V227" s="150">
        <f>IFERROR(INDEX(Työkonekanta!$J$3:$J$27,MATCH($A227,Työkonekanta!$A$3:$A$24,0),1)*$B227*ef_li_ion_akku/1000/1000/INDEX(Työkonekanta!$K$3:$K$27,MATCH($A227,Työkonekanta!$A$3:$A$24,0)),0)</f>
        <v>0</v>
      </c>
      <c r="W227" s="149">
        <f t="shared" si="83"/>
        <v>0</v>
      </c>
      <c r="X227" s="150">
        <f t="shared" si="84"/>
        <v>0</v>
      </c>
      <c r="Y227" s="151">
        <f t="shared" si="85"/>
        <v>0</v>
      </c>
      <c r="Z227" s="152">
        <f t="shared" si="77"/>
        <v>0</v>
      </c>
      <c r="AA227" s="153">
        <f t="shared" si="78"/>
        <v>0</v>
      </c>
      <c r="AB227" s="153">
        <f t="shared" si="79"/>
        <v>0</v>
      </c>
      <c r="AC227" s="154">
        <f t="shared" si="86"/>
        <v>0</v>
      </c>
      <c r="AD227" s="180">
        <f t="shared" si="80"/>
        <v>0</v>
      </c>
      <c r="AE227" s="160"/>
    </row>
    <row r="228" spans="1:31">
      <c r="A228" s="139">
        <v>16</v>
      </c>
      <c r="B228" s="139">
        <f>IFERROR(INDEX(Työkonekanta!$F$3:$F$27,MATCH('S2 Bio'!$A228,Työkonekanta!$A$3:$A$24,0),1),0)</f>
        <v>0</v>
      </c>
      <c r="C228" s="140">
        <v>2026</v>
      </c>
      <c r="D228" s="141" t="str">
        <f>IFERROR(INDEX(Työkonekanta!$D$3:$D$27,MATCH('S2 Bio'!$A228,Työkonekanta!$A$3:$A$24,0),1),"undefined")</f>
        <v>sähkö</v>
      </c>
      <c r="E228" s="145">
        <f>IFERROR(INDEX(Työkonekanta!$G$3:$G$27,MATCH($A228,Työkonekanta!$A$3:$A$24,0),1)*INDEX(Työkonekanta!$H$3:$H$27,MATCH($A228,Työkonekanta!$A$3:$A$24,0),1)*(1+_xlfn.SINGLE(s2_kerroin)*($C228-2019))*$B228,0)</f>
        <v>0</v>
      </c>
      <c r="F228" s="145">
        <f t="shared" si="67"/>
        <v>0</v>
      </c>
      <c r="G228" s="145">
        <f t="shared" si="73"/>
        <v>0</v>
      </c>
      <c r="H228" s="145">
        <f t="shared" si="74"/>
        <v>0</v>
      </c>
      <c r="I228" s="145">
        <f t="shared" si="68"/>
        <v>0</v>
      </c>
      <c r="J228" s="145">
        <f t="shared" si="69"/>
        <v>0</v>
      </c>
      <c r="K228" s="142" t="str">
        <f t="shared" si="75"/>
        <v>kWh</v>
      </c>
      <c r="L228" s="146">
        <f>IFERROR(INDEX(Työkonekanta!$I$3:$I$27,MATCH('S2 Bio'!$A228,Työkonekanta!$A$3:$A$24,0),1)*(I228+J228)*f_adblue,0)</f>
        <v>0</v>
      </c>
      <c r="M228" s="146">
        <f t="shared" si="82"/>
        <v>0</v>
      </c>
      <c r="N228" s="143" t="str">
        <f>IF(tuulisähkö_vuosi&lt;='S2 Bio'!C228,"tuulisähkö",ostosähkö_nyt)</f>
        <v>jäännössähkö</v>
      </c>
      <c r="O228" s="147">
        <f>INDEX(Muuttujat!$J$5:$J$21,MATCH($C228,Muuttujat!$H$5:$H$21,0),1)</f>
        <v>64.542936272148211</v>
      </c>
      <c r="P228" s="148">
        <f t="shared" si="76"/>
        <v>0.58199999999999996</v>
      </c>
      <c r="Q228" s="148">
        <f t="shared" si="87"/>
        <v>0.41800000000000004</v>
      </c>
      <c r="R228" s="148">
        <f t="shared" si="87"/>
        <v>0.41800000000000004</v>
      </c>
      <c r="S228" s="149">
        <f t="shared" si="70"/>
        <v>0</v>
      </c>
      <c r="T228" s="150">
        <f t="shared" si="71"/>
        <v>0</v>
      </c>
      <c r="U228" s="150">
        <f t="shared" si="72"/>
        <v>0</v>
      </c>
      <c r="V228" s="150">
        <f>IFERROR(INDEX(Työkonekanta!$J$3:$J$27,MATCH($A228,Työkonekanta!$A$3:$A$24,0),1)*$B228*ef_li_ion_akku/1000/1000/INDEX(Työkonekanta!$K$3:$K$27,MATCH($A228,Työkonekanta!$A$3:$A$24,0)),0)</f>
        <v>0</v>
      </c>
      <c r="W228" s="149">
        <f t="shared" si="83"/>
        <v>0</v>
      </c>
      <c r="X228" s="150">
        <f t="shared" si="84"/>
        <v>0</v>
      </c>
      <c r="Y228" s="151">
        <f t="shared" si="85"/>
        <v>0</v>
      </c>
      <c r="Z228" s="152">
        <f t="shared" si="77"/>
        <v>0</v>
      </c>
      <c r="AA228" s="153">
        <f t="shared" si="78"/>
        <v>0</v>
      </c>
      <c r="AB228" s="153">
        <f t="shared" si="79"/>
        <v>0</v>
      </c>
      <c r="AC228" s="154">
        <f t="shared" si="86"/>
        <v>0</v>
      </c>
      <c r="AD228" s="180">
        <f t="shared" si="80"/>
        <v>0</v>
      </c>
      <c r="AE228" s="160"/>
    </row>
    <row r="229" spans="1:31">
      <c r="A229" s="139">
        <v>17</v>
      </c>
      <c r="B229" s="139">
        <f>IFERROR(INDEX(Työkonekanta!$F$3:$F$27,MATCH('S2 Bio'!$A229,Työkonekanta!$A$3:$A$24,0),1),0)</f>
        <v>1</v>
      </c>
      <c r="C229" s="140">
        <v>2026</v>
      </c>
      <c r="D229" s="141" t="str">
        <f>IFERROR(INDEX(Työkonekanta!$D$3:$D$27,MATCH('S2 Bio'!$A229,Työkonekanta!$A$3:$A$24,0),1),"undefined")</f>
        <v>pom</v>
      </c>
      <c r="E229" s="145">
        <f>IFERROR(INDEX(Työkonekanta!$G$3:$G$27,MATCH($A229,Työkonekanta!$A$3:$A$24,0),1)*INDEX(Työkonekanta!$H$3:$H$27,MATCH($A229,Työkonekanta!$A$3:$A$24,0),1)*(1+_xlfn.SINGLE(s2_kerroin)*($C229-2019))*$B229,0)</f>
        <v>10700</v>
      </c>
      <c r="F229" s="145">
        <f t="shared" si="67"/>
        <v>384130</v>
      </c>
      <c r="G229" s="145">
        <f t="shared" si="73"/>
        <v>223563.65999999997</v>
      </c>
      <c r="H229" s="145">
        <f t="shared" si="74"/>
        <v>160566.34000000003</v>
      </c>
      <c r="I229" s="145">
        <f t="shared" si="68"/>
        <v>6227.4</v>
      </c>
      <c r="J229" s="145">
        <f t="shared" si="69"/>
        <v>4681.2344023323631</v>
      </c>
      <c r="K229" s="142" t="str">
        <f t="shared" si="75"/>
        <v>l</v>
      </c>
      <c r="L229" s="146">
        <f>IFERROR(INDEX(Työkonekanta!$I$3:$I$27,MATCH('S2 Bio'!$A229,Työkonekanta!$A$3:$A$24,0),1)*(I229+J229)*f_adblue,0)</f>
        <v>545.43172011661807</v>
      </c>
      <c r="M229" s="146">
        <f t="shared" si="82"/>
        <v>0</v>
      </c>
      <c r="N229" s="143" t="str">
        <f>IF(tuulisähkö_vuosi&lt;='S2 Bio'!C229,"tuulisähkö",ostosähkö_nyt)</f>
        <v>jäännössähkö</v>
      </c>
      <c r="O229" s="147">
        <f>INDEX(Muuttujat!$J$5:$J$21,MATCH($C229,Muuttujat!$H$5:$H$21,0),1)</f>
        <v>64.542936272148211</v>
      </c>
      <c r="P229" s="148">
        <f t="shared" si="76"/>
        <v>0.58199999999999996</v>
      </c>
      <c r="Q229" s="148">
        <f t="shared" si="87"/>
        <v>0.41800000000000004</v>
      </c>
      <c r="R229" s="148">
        <f t="shared" si="87"/>
        <v>0.41800000000000004</v>
      </c>
      <c r="S229" s="149">
        <f t="shared" si="70"/>
        <v>4.2253531739999994</v>
      </c>
      <c r="T229" s="150">
        <f t="shared" si="71"/>
        <v>10.019339616000003</v>
      </c>
      <c r="U229" s="150">
        <f t="shared" si="72"/>
        <v>0</v>
      </c>
      <c r="V229" s="150">
        <f>IFERROR(INDEX(Työkonekanta!$J$3:$J$27,MATCH($A229,Työkonekanta!$A$3:$A$24,0),1)*$B229*ef_li_ion_akku/1000/1000/INDEX(Työkonekanta!$K$3:$K$27,MATCH($A229,Työkonekanta!$A$3:$A$24,0)),0)</f>
        <v>0</v>
      </c>
      <c r="W229" s="149">
        <f t="shared" si="83"/>
        <v>16.500843464723641</v>
      </c>
      <c r="X229" s="150">
        <f t="shared" si="84"/>
        <v>0.33998785619999994</v>
      </c>
      <c r="Y229" s="151">
        <f t="shared" si="85"/>
        <v>0.14181224723032071</v>
      </c>
      <c r="Z229" s="152">
        <f t="shared" si="77"/>
        <v>14.244692790000002</v>
      </c>
      <c r="AA229" s="153">
        <f t="shared" si="78"/>
        <v>16.64265571195396</v>
      </c>
      <c r="AB229" s="153">
        <f t="shared" si="79"/>
        <v>16.982643568153961</v>
      </c>
      <c r="AC229" s="154">
        <f t="shared" si="86"/>
        <v>30.887348501953962</v>
      </c>
      <c r="AD229" s="180">
        <f t="shared" si="80"/>
        <v>31.227336358153963</v>
      </c>
      <c r="AE229" s="160"/>
    </row>
    <row r="230" spans="1:31">
      <c r="A230" s="139">
        <v>18</v>
      </c>
      <c r="B230" s="139">
        <f>IFERROR(INDEX(Työkonekanta!$F$3:$F$27,MATCH('S2 Bio'!$A230,Työkonekanta!$A$3:$A$24,0),1),0)</f>
        <v>1</v>
      </c>
      <c r="C230" s="140">
        <v>2026</v>
      </c>
      <c r="D230" s="141" t="str">
        <f>IFERROR(INDEX(Työkonekanta!$D$3:$D$27,MATCH('S2 Bio'!$A230,Työkonekanta!$A$3:$A$24,0),1),"undefined")</f>
        <v>pom</v>
      </c>
      <c r="E230" s="145">
        <f>IFERROR(INDEX(Työkonekanta!$G$3:$G$27,MATCH($A230,Työkonekanta!$A$3:$A$24,0),1)*INDEX(Työkonekanta!$H$3:$H$27,MATCH($A230,Työkonekanta!$A$3:$A$24,0),1)*(1+_xlfn.SINGLE(s2_kerroin)*($C230-2019))*$B230,0)</f>
        <v>10700</v>
      </c>
      <c r="F230" s="145">
        <f t="shared" si="67"/>
        <v>384130</v>
      </c>
      <c r="G230" s="145">
        <f t="shared" si="73"/>
        <v>223563.65999999997</v>
      </c>
      <c r="H230" s="145">
        <f t="shared" si="74"/>
        <v>160566.34000000003</v>
      </c>
      <c r="I230" s="145">
        <f t="shared" si="68"/>
        <v>6227.4</v>
      </c>
      <c r="J230" s="145">
        <f t="shared" si="69"/>
        <v>4681.2344023323631</v>
      </c>
      <c r="K230" s="142" t="str">
        <f t="shared" si="75"/>
        <v>l</v>
      </c>
      <c r="L230" s="146">
        <f>IFERROR(INDEX(Työkonekanta!$I$3:$I$27,MATCH('S2 Bio'!$A230,Työkonekanta!$A$3:$A$24,0),1)*(I230+J230)*f_adblue,0)</f>
        <v>436.34537609329448</v>
      </c>
      <c r="M230" s="146">
        <f t="shared" si="82"/>
        <v>0</v>
      </c>
      <c r="N230" s="143" t="str">
        <f>IF(tuulisähkö_vuosi&lt;='S2 Bio'!C230,"tuulisähkö",ostosähkö_nyt)</f>
        <v>jäännössähkö</v>
      </c>
      <c r="O230" s="147">
        <f>INDEX(Muuttujat!$J$5:$J$21,MATCH($C230,Muuttujat!$H$5:$H$21,0),1)</f>
        <v>64.542936272148211</v>
      </c>
      <c r="P230" s="148">
        <f t="shared" si="76"/>
        <v>0.58199999999999996</v>
      </c>
      <c r="Q230" s="148">
        <f t="shared" si="87"/>
        <v>0.41800000000000004</v>
      </c>
      <c r="R230" s="148">
        <f t="shared" si="87"/>
        <v>0.41800000000000004</v>
      </c>
      <c r="S230" s="149">
        <f t="shared" si="70"/>
        <v>4.2253531739999994</v>
      </c>
      <c r="T230" s="150">
        <f t="shared" si="71"/>
        <v>10.019339616000003</v>
      </c>
      <c r="U230" s="150">
        <f t="shared" si="72"/>
        <v>0</v>
      </c>
      <c r="V230" s="150">
        <f>IFERROR(INDEX(Työkonekanta!$J$3:$J$27,MATCH($A230,Työkonekanta!$A$3:$A$24,0),1)*$B230*ef_li_ion_akku/1000/1000/INDEX(Työkonekanta!$K$3:$K$27,MATCH($A230,Työkonekanta!$A$3:$A$24,0)),0)</f>
        <v>0</v>
      </c>
      <c r="W230" s="149">
        <f t="shared" si="83"/>
        <v>16.500843464723641</v>
      </c>
      <c r="X230" s="150">
        <f t="shared" si="84"/>
        <v>0.33998785619999994</v>
      </c>
      <c r="Y230" s="151">
        <f t="shared" si="85"/>
        <v>0.11344979778425655</v>
      </c>
      <c r="Z230" s="152">
        <f t="shared" si="77"/>
        <v>14.244692790000002</v>
      </c>
      <c r="AA230" s="153">
        <f t="shared" si="78"/>
        <v>16.614293262507896</v>
      </c>
      <c r="AB230" s="153">
        <f t="shared" si="79"/>
        <v>16.954281118707897</v>
      </c>
      <c r="AC230" s="154">
        <f t="shared" si="86"/>
        <v>30.858986052507898</v>
      </c>
      <c r="AD230" s="180">
        <f t="shared" si="80"/>
        <v>31.198973908707899</v>
      </c>
      <c r="AE230" s="160"/>
    </row>
    <row r="231" spans="1:31">
      <c r="A231" s="139">
        <v>19</v>
      </c>
      <c r="B231" s="139">
        <f>IFERROR(INDEX(Työkonekanta!$F$3:$F$27,MATCH('S2 Bio'!$A231,Työkonekanta!$A$3:$A$24,0),1),0)</f>
        <v>0</v>
      </c>
      <c r="C231" s="140">
        <v>2026</v>
      </c>
      <c r="D231" s="141" t="str">
        <f>IFERROR(INDEX(Työkonekanta!$D$3:$D$27,MATCH('S2 Bio'!$A231,Työkonekanta!$A$3:$A$24,0),1),"undefined")</f>
        <v>pom</v>
      </c>
      <c r="E231" s="145">
        <f>IFERROR(INDEX(Työkonekanta!$G$3:$G$27,MATCH($A231,Työkonekanta!$A$3:$A$24,0),1)*INDEX(Työkonekanta!$H$3:$H$27,MATCH($A231,Työkonekanta!$A$3:$A$24,0),1)*(1+_xlfn.SINGLE(s2_kerroin)*($C231-2019))*$B231,0)</f>
        <v>0</v>
      </c>
      <c r="F231" s="145">
        <f t="shared" si="67"/>
        <v>0</v>
      </c>
      <c r="G231" s="145">
        <f t="shared" si="73"/>
        <v>0</v>
      </c>
      <c r="H231" s="145">
        <f t="shared" si="74"/>
        <v>0</v>
      </c>
      <c r="I231" s="145">
        <f t="shared" si="68"/>
        <v>0</v>
      </c>
      <c r="J231" s="145">
        <f t="shared" si="69"/>
        <v>0</v>
      </c>
      <c r="K231" s="142" t="str">
        <f t="shared" si="75"/>
        <v>l</v>
      </c>
      <c r="L231" s="146">
        <f>IFERROR(INDEX(Työkonekanta!$I$3:$I$27,MATCH('S2 Bio'!$A231,Työkonekanta!$A$3:$A$24,0),1)*(I231+J231)*f_adblue,0)</f>
        <v>0</v>
      </c>
      <c r="M231" s="146">
        <f t="shared" si="82"/>
        <v>0</v>
      </c>
      <c r="N231" s="143" t="str">
        <f>IF(tuulisähkö_vuosi&lt;='S2 Bio'!C231,"tuulisähkö",ostosähkö_nyt)</f>
        <v>jäännössähkö</v>
      </c>
      <c r="O231" s="147">
        <f>INDEX(Muuttujat!$J$5:$J$21,MATCH($C231,Muuttujat!$H$5:$H$21,0),1)</f>
        <v>64.542936272148211</v>
      </c>
      <c r="P231" s="148">
        <f t="shared" si="76"/>
        <v>0.58199999999999996</v>
      </c>
      <c r="Q231" s="148">
        <f t="shared" si="87"/>
        <v>0.41800000000000004</v>
      </c>
      <c r="R231" s="148">
        <f t="shared" si="87"/>
        <v>0.41800000000000004</v>
      </c>
      <c r="S231" s="149">
        <f t="shared" si="70"/>
        <v>0</v>
      </c>
      <c r="T231" s="150">
        <f t="shared" si="71"/>
        <v>0</v>
      </c>
      <c r="U231" s="150">
        <f t="shared" si="72"/>
        <v>0</v>
      </c>
      <c r="V231" s="150">
        <f>IFERROR(INDEX(Työkonekanta!$J$3:$J$27,MATCH($A231,Työkonekanta!$A$3:$A$24,0),1)*$B231*ef_li_ion_akku/1000/1000/INDEX(Työkonekanta!$K$3:$K$27,MATCH($A231,Työkonekanta!$A$3:$A$24,0)),0)</f>
        <v>0</v>
      </c>
      <c r="W231" s="149">
        <f t="shared" si="83"/>
        <v>0</v>
      </c>
      <c r="X231" s="150">
        <f t="shared" si="84"/>
        <v>0</v>
      </c>
      <c r="Y231" s="151">
        <f t="shared" si="85"/>
        <v>0</v>
      </c>
      <c r="Z231" s="152">
        <f t="shared" si="77"/>
        <v>0</v>
      </c>
      <c r="AA231" s="153">
        <f t="shared" si="78"/>
        <v>0</v>
      </c>
      <c r="AB231" s="153">
        <f t="shared" si="79"/>
        <v>0</v>
      </c>
      <c r="AC231" s="154">
        <f t="shared" si="86"/>
        <v>0</v>
      </c>
      <c r="AD231" s="180">
        <f t="shared" si="80"/>
        <v>0</v>
      </c>
      <c r="AE231" s="160"/>
    </row>
    <row r="232" spans="1:31">
      <c r="A232" s="139">
        <v>20</v>
      </c>
      <c r="B232" s="139">
        <f>IFERROR(INDEX(Työkonekanta!$F$3:$F$27,MATCH('S2 Bio'!$A232,Työkonekanta!$A$3:$A$24,0),1),0)</f>
        <v>0</v>
      </c>
      <c r="C232" s="140">
        <v>2026</v>
      </c>
      <c r="D232" s="141" t="str">
        <f>IFERROR(INDEX(Työkonekanta!$D$3:$D$27,MATCH('S2 Bio'!$A232,Työkonekanta!$A$3:$A$24,0),1),"undefined")</f>
        <v>pom</v>
      </c>
      <c r="E232" s="145">
        <f>IFERROR(INDEX(Työkonekanta!$G$3:$G$27,MATCH($A232,Työkonekanta!$A$3:$A$24,0),1)*INDEX(Työkonekanta!$H$3:$H$27,MATCH($A232,Työkonekanta!$A$3:$A$24,0),1)*(1+_xlfn.SINGLE(s2_kerroin)*($C232-2019))*$B232,0)</f>
        <v>0</v>
      </c>
      <c r="F232" s="145">
        <f t="shared" si="67"/>
        <v>0</v>
      </c>
      <c r="G232" s="145">
        <f t="shared" si="73"/>
        <v>0</v>
      </c>
      <c r="H232" s="145">
        <f t="shared" si="74"/>
        <v>0</v>
      </c>
      <c r="I232" s="145">
        <f t="shared" si="68"/>
        <v>0</v>
      </c>
      <c r="J232" s="145">
        <f t="shared" si="69"/>
        <v>0</v>
      </c>
      <c r="K232" s="142" t="str">
        <f t="shared" si="75"/>
        <v>l</v>
      </c>
      <c r="L232" s="146">
        <f>IFERROR(INDEX(Työkonekanta!$I$3:$I$27,MATCH('S2 Bio'!$A232,Työkonekanta!$A$3:$A$24,0),1)*(I232+J232)*f_adblue,0)</f>
        <v>0</v>
      </c>
      <c r="M232" s="146">
        <f t="shared" si="82"/>
        <v>0</v>
      </c>
      <c r="N232" s="143" t="str">
        <f>IF(tuulisähkö_vuosi&lt;='S2 Bio'!C232,"tuulisähkö",ostosähkö_nyt)</f>
        <v>jäännössähkö</v>
      </c>
      <c r="O232" s="147">
        <f>INDEX(Muuttujat!$J$5:$J$21,MATCH($C232,Muuttujat!$H$5:$H$21,0),1)</f>
        <v>64.542936272148211</v>
      </c>
      <c r="P232" s="148">
        <f t="shared" si="76"/>
        <v>0.58199999999999996</v>
      </c>
      <c r="Q232" s="148">
        <f t="shared" si="87"/>
        <v>0.41800000000000004</v>
      </c>
      <c r="R232" s="148">
        <f t="shared" si="87"/>
        <v>0.41800000000000004</v>
      </c>
      <c r="S232" s="149">
        <f t="shared" si="70"/>
        <v>0</v>
      </c>
      <c r="T232" s="150">
        <f t="shared" si="71"/>
        <v>0</v>
      </c>
      <c r="U232" s="150">
        <f t="shared" si="72"/>
        <v>0</v>
      </c>
      <c r="V232" s="150">
        <f>IFERROR(INDEX(Työkonekanta!$J$3:$J$27,MATCH($A232,Työkonekanta!$A$3:$A$24,0),1)*$B232*ef_li_ion_akku/1000/1000/INDEX(Työkonekanta!$K$3:$K$27,MATCH($A232,Työkonekanta!$A$3:$A$24,0)),0)</f>
        <v>0</v>
      </c>
      <c r="W232" s="149">
        <f t="shared" si="83"/>
        <v>0</v>
      </c>
      <c r="X232" s="150">
        <f t="shared" si="84"/>
        <v>0</v>
      </c>
      <c r="Y232" s="151">
        <f t="shared" si="85"/>
        <v>0</v>
      </c>
      <c r="Z232" s="152">
        <f t="shared" si="77"/>
        <v>0</v>
      </c>
      <c r="AA232" s="153">
        <f t="shared" si="78"/>
        <v>0</v>
      </c>
      <c r="AB232" s="153">
        <f t="shared" si="79"/>
        <v>0</v>
      </c>
      <c r="AC232" s="154">
        <f t="shared" si="86"/>
        <v>0</v>
      </c>
      <c r="AD232" s="180">
        <f t="shared" si="80"/>
        <v>0</v>
      </c>
      <c r="AE232" s="160"/>
    </row>
    <row r="233" spans="1:31">
      <c r="A233" s="139">
        <v>21</v>
      </c>
      <c r="B233" s="139">
        <f>IFERROR(INDEX(Työkonekanta!$F$3:$F$27,MATCH('S2 Bio'!$A233,Työkonekanta!$A$3:$A$24,0),1),0)</f>
        <v>35</v>
      </c>
      <c r="C233" s="140">
        <v>2026</v>
      </c>
      <c r="D233" s="141" t="str">
        <f>IFERROR(INDEX(Työkonekanta!$D$3:$D$27,MATCH('S2 Bio'!$A233,Työkonekanta!$A$3:$A$24,0),1),"undefined")</f>
        <v>sähkö</v>
      </c>
      <c r="E233" s="145">
        <f>IFERROR(INDEX(Työkonekanta!$G$3:$G$27,MATCH($A233,Työkonekanta!$A$3:$A$24,0),1)*INDEX(Työkonekanta!$H$3:$H$27,MATCH($A233,Työkonekanta!$A$3:$A$24,0),1)*(1+_xlfn.SINGLE(s2_kerroin)*($C233-2019))*$B233,0)</f>
        <v>435703.00925925933</v>
      </c>
      <c r="F233" s="145">
        <f t="shared" si="67"/>
        <v>0</v>
      </c>
      <c r="G233" s="145">
        <f t="shared" si="73"/>
        <v>0</v>
      </c>
      <c r="H233" s="145">
        <f t="shared" si="74"/>
        <v>0</v>
      </c>
      <c r="I233" s="145">
        <f t="shared" si="68"/>
        <v>0</v>
      </c>
      <c r="J233" s="145">
        <f t="shared" si="69"/>
        <v>0</v>
      </c>
      <c r="K233" s="142" t="str">
        <f t="shared" si="75"/>
        <v>kWh</v>
      </c>
      <c r="L233" s="146">
        <f>IFERROR(INDEX(Työkonekanta!$I$3:$I$27,MATCH('S2 Bio'!$A233,Työkonekanta!$A$3:$A$24,0),1)*(I233+J233)*f_adblue,0)</f>
        <v>0</v>
      </c>
      <c r="M233" s="146">
        <f t="shared" si="82"/>
        <v>1568530.8333333337</v>
      </c>
      <c r="N233" s="143" t="str">
        <f>IF(tuulisähkö_vuosi&lt;='S2 Bio'!C233,"tuulisähkö",ostosähkö_nyt)</f>
        <v>jäännössähkö</v>
      </c>
      <c r="O233" s="147">
        <f>INDEX(Muuttujat!$J$5:$J$21,MATCH($C233,Muuttujat!$H$5:$H$21,0),1)</f>
        <v>64.542936272148211</v>
      </c>
      <c r="P233" s="148">
        <f t="shared" si="76"/>
        <v>0.58199999999999996</v>
      </c>
      <c r="Q233" s="148">
        <f t="shared" si="87"/>
        <v>0.41800000000000004</v>
      </c>
      <c r="R233" s="148">
        <f t="shared" si="87"/>
        <v>0.41800000000000004</v>
      </c>
      <c r="S233" s="149">
        <f t="shared" si="70"/>
        <v>0</v>
      </c>
      <c r="T233" s="150">
        <f t="shared" si="71"/>
        <v>0</v>
      </c>
      <c r="U233" s="150">
        <f t="shared" si="72"/>
        <v>101.23758561673287</v>
      </c>
      <c r="V233" s="150">
        <f>IFERROR(INDEX(Työkonekanta!$J$3:$J$27,MATCH($A233,Työkonekanta!$A$3:$A$24,0),1)*$B233*ef_li_ion_akku/1000/1000/INDEX(Työkonekanta!$K$3:$K$27,MATCH($A233,Työkonekanta!$A$3:$A$24,0)),0)</f>
        <v>43.121723076923082</v>
      </c>
      <c r="W233" s="149">
        <f t="shared" si="83"/>
        <v>0</v>
      </c>
      <c r="X233" s="150">
        <f t="shared" si="84"/>
        <v>0</v>
      </c>
      <c r="Y233" s="151">
        <f t="shared" si="85"/>
        <v>0</v>
      </c>
      <c r="Z233" s="152">
        <f t="shared" si="77"/>
        <v>144.35930869365595</v>
      </c>
      <c r="AA233" s="153">
        <f t="shared" si="78"/>
        <v>0</v>
      </c>
      <c r="AB233" s="153">
        <f t="shared" si="79"/>
        <v>0</v>
      </c>
      <c r="AC233" s="154">
        <f t="shared" si="86"/>
        <v>144.35930869365595</v>
      </c>
      <c r="AD233" s="180">
        <f t="shared" si="80"/>
        <v>144.35930869365595</v>
      </c>
      <c r="AE233" s="160"/>
    </row>
    <row r="234" spans="1:31">
      <c r="A234" s="139">
        <v>22</v>
      </c>
      <c r="B234" s="139">
        <f>IFERROR(INDEX(Työkonekanta!$F$3:$F$27,MATCH('S2 Bio'!$A234,Työkonekanta!$A$3:$A$24,0),1),0)</f>
        <v>0</v>
      </c>
      <c r="C234" s="140">
        <v>2026</v>
      </c>
      <c r="D234" s="141" t="str">
        <f>IFERROR(INDEX(Työkonekanta!$D$3:$D$27,MATCH('S2 Bio'!$A234,Työkonekanta!$A$3:$A$24,0),1),"undefined")</f>
        <v>sähkö</v>
      </c>
      <c r="E234" s="145">
        <f>IFERROR(INDEX(Työkonekanta!$G$3:$G$27,MATCH($A234,Työkonekanta!$A$3:$A$24,0),1)*INDEX(Työkonekanta!$H$3:$H$27,MATCH($A234,Työkonekanta!$A$3:$A$24,0),1)*(1+_xlfn.SINGLE(s2_kerroin)*($C234-2019))*$B234,0)</f>
        <v>0</v>
      </c>
      <c r="F234" s="145">
        <f t="shared" si="67"/>
        <v>0</v>
      </c>
      <c r="G234" s="145">
        <f t="shared" si="73"/>
        <v>0</v>
      </c>
      <c r="H234" s="145">
        <f t="shared" si="74"/>
        <v>0</v>
      </c>
      <c r="I234" s="145">
        <f t="shared" si="68"/>
        <v>0</v>
      </c>
      <c r="J234" s="145">
        <f t="shared" si="69"/>
        <v>0</v>
      </c>
      <c r="K234" s="142" t="str">
        <f t="shared" si="75"/>
        <v>kWh</v>
      </c>
      <c r="L234" s="146">
        <f>IFERROR(INDEX(Työkonekanta!$I$3:$I$27,MATCH('S2 Bio'!$A234,Työkonekanta!$A$3:$A$24,0),1)*(I234+J234)*f_adblue,0)</f>
        <v>0</v>
      </c>
      <c r="M234" s="146">
        <f t="shared" si="82"/>
        <v>0</v>
      </c>
      <c r="N234" s="143" t="str">
        <f>IF(tuulisähkö_vuosi&lt;='S2 Bio'!C234,"tuulisähkö",ostosähkö_nyt)</f>
        <v>jäännössähkö</v>
      </c>
      <c r="O234" s="147">
        <f>INDEX(Muuttujat!$J$5:$J$21,MATCH($C234,Muuttujat!$H$5:$H$21,0),1)</f>
        <v>64.542936272148211</v>
      </c>
      <c r="P234" s="148">
        <f t="shared" si="76"/>
        <v>0.58199999999999996</v>
      </c>
      <c r="Q234" s="148">
        <f t="shared" si="87"/>
        <v>0.41800000000000004</v>
      </c>
      <c r="R234" s="148">
        <f t="shared" si="87"/>
        <v>0.41800000000000004</v>
      </c>
      <c r="S234" s="149">
        <f t="shared" si="70"/>
        <v>0</v>
      </c>
      <c r="T234" s="150">
        <f t="shared" si="71"/>
        <v>0</v>
      </c>
      <c r="U234" s="150">
        <f t="shared" si="72"/>
        <v>0</v>
      </c>
      <c r="V234" s="150">
        <f>IFERROR(INDEX(Työkonekanta!$J$3:$J$27,MATCH($A234,Työkonekanta!$A$3:$A$24,0),1)*$B234*ef_li_ion_akku/1000/1000/INDEX(Työkonekanta!$K$3:$K$27,MATCH($A234,Työkonekanta!$A$3:$A$24,0)),0)</f>
        <v>0</v>
      </c>
      <c r="W234" s="149">
        <f t="shared" si="83"/>
        <v>0</v>
      </c>
      <c r="X234" s="150">
        <f t="shared" si="84"/>
        <v>0</v>
      </c>
      <c r="Y234" s="151">
        <f t="shared" si="85"/>
        <v>0</v>
      </c>
      <c r="Z234" s="152">
        <f t="shared" si="77"/>
        <v>0</v>
      </c>
      <c r="AA234" s="153">
        <f t="shared" si="78"/>
        <v>0</v>
      </c>
      <c r="AB234" s="153">
        <f t="shared" si="79"/>
        <v>0</v>
      </c>
      <c r="AC234" s="154">
        <f t="shared" si="86"/>
        <v>0</v>
      </c>
      <c r="AD234" s="180">
        <f t="shared" si="80"/>
        <v>0</v>
      </c>
      <c r="AE234" s="160"/>
    </row>
    <row r="235" spans="1:31">
      <c r="A235" s="139">
        <v>23</v>
      </c>
      <c r="B235" s="139">
        <f>IFERROR(INDEX(Työkonekanta!$F$3:$F$27,MATCH('S2 Bio'!$A235,Työkonekanta!$A$3:$A$24,0),1),0)</f>
        <v>0</v>
      </c>
      <c r="C235" s="140">
        <v>2026</v>
      </c>
      <c r="D235" s="141" t="str">
        <f>IFERROR(INDEX(Työkonekanta!$D$3:$D$27,MATCH('S2 Bio'!$A235,Työkonekanta!$A$3:$A$24,0),1),"undefined")</f>
        <v>undefined</v>
      </c>
      <c r="E235" s="145">
        <f>IFERROR(INDEX(Työkonekanta!$G$3:$G$27,MATCH($A235,Työkonekanta!$A$3:$A$24,0),1)*INDEX(Työkonekanta!$H$3:$H$27,MATCH($A235,Työkonekanta!$A$3:$A$24,0),1)*(1+_xlfn.SINGLE(s2_kerroin)*($C235-2019))*$B235,0)</f>
        <v>0</v>
      </c>
      <c r="F235" s="145">
        <f t="shared" si="67"/>
        <v>0</v>
      </c>
      <c r="G235" s="145">
        <f t="shared" si="73"/>
        <v>0</v>
      </c>
      <c r="H235" s="145">
        <f t="shared" si="74"/>
        <v>0</v>
      </c>
      <c r="I235" s="145">
        <f t="shared" si="68"/>
        <v>0</v>
      </c>
      <c r="J235" s="145">
        <f t="shared" si="69"/>
        <v>0</v>
      </c>
      <c r="K235" s="142" t="str">
        <f t="shared" si="75"/>
        <v>undefined</v>
      </c>
      <c r="L235" s="146">
        <f>IFERROR(INDEX(Työkonekanta!$I$3:$I$27,MATCH('S2 Bio'!$A235,Työkonekanta!$A$3:$A$24,0),1)*(I235+J235)*f_adblue,0)</f>
        <v>0</v>
      </c>
      <c r="M235" s="146">
        <f t="shared" si="82"/>
        <v>0</v>
      </c>
      <c r="N235" s="143" t="str">
        <f>IF(tuulisähkö_vuosi&lt;='S2 Bio'!C235,"tuulisähkö",ostosähkö_nyt)</f>
        <v>jäännössähkö</v>
      </c>
      <c r="O235" s="147">
        <f>INDEX(Muuttujat!$J$5:$J$21,MATCH($C235,Muuttujat!$H$5:$H$21,0),1)</f>
        <v>64.542936272148211</v>
      </c>
      <c r="P235" s="148">
        <f t="shared" si="76"/>
        <v>0.58199999999999996</v>
      </c>
      <c r="Q235" s="148">
        <f t="shared" si="87"/>
        <v>0.41800000000000004</v>
      </c>
      <c r="R235" s="148">
        <f t="shared" si="87"/>
        <v>0.41800000000000004</v>
      </c>
      <c r="S235" s="149">
        <f t="shared" si="70"/>
        <v>0</v>
      </c>
      <c r="T235" s="150">
        <f t="shared" si="71"/>
        <v>0</v>
      </c>
      <c r="U235" s="150">
        <f t="shared" si="72"/>
        <v>0</v>
      </c>
      <c r="V235" s="150">
        <f>IFERROR(INDEX(Työkonekanta!$J$3:$J$27,MATCH($A235,Työkonekanta!$A$3:$A$24,0),1)*$B235*ef_li_ion_akku/1000/1000/INDEX(Työkonekanta!$K$3:$K$27,MATCH($A235,Työkonekanta!$A$3:$A$24,0)),0)</f>
        <v>0</v>
      </c>
      <c r="W235" s="149">
        <f t="shared" si="83"/>
        <v>0</v>
      </c>
      <c r="X235" s="150">
        <f t="shared" si="84"/>
        <v>0</v>
      </c>
      <c r="Y235" s="151">
        <f t="shared" si="85"/>
        <v>0</v>
      </c>
      <c r="Z235" s="152">
        <f t="shared" si="77"/>
        <v>0</v>
      </c>
      <c r="AA235" s="153">
        <f t="shared" si="78"/>
        <v>0</v>
      </c>
      <c r="AB235" s="153">
        <f t="shared" si="79"/>
        <v>0</v>
      </c>
      <c r="AC235" s="154">
        <f t="shared" si="86"/>
        <v>0</v>
      </c>
      <c r="AD235" s="180">
        <f t="shared" si="80"/>
        <v>0</v>
      </c>
      <c r="AE235" s="160"/>
    </row>
    <row r="236" spans="1:31">
      <c r="A236" s="139">
        <v>24</v>
      </c>
      <c r="B236" s="139">
        <f>IFERROR(INDEX(Työkonekanta!$F$3:$F$27,MATCH('S2 Bio'!$A236,Työkonekanta!$A$3:$A$24,0),1),0)</f>
        <v>0</v>
      </c>
      <c r="C236" s="140">
        <v>2026</v>
      </c>
      <c r="D236" s="141" t="str">
        <f>IFERROR(INDEX(Työkonekanta!$D$3:$D$27,MATCH('S2 Bio'!$A236,Työkonekanta!$A$3:$A$24,0),1),"undefined")</f>
        <v>undefined</v>
      </c>
      <c r="E236" s="145">
        <f>IFERROR(INDEX(Työkonekanta!$G$3:$G$27,MATCH($A236,Työkonekanta!$A$3:$A$24,0),1)*INDEX(Työkonekanta!$H$3:$H$27,MATCH($A236,Työkonekanta!$A$3:$A$24,0),1)*(1+_xlfn.SINGLE(s2_kerroin)*($C236-2019))*$B236,0)</f>
        <v>0</v>
      </c>
      <c r="F236" s="145">
        <f t="shared" si="67"/>
        <v>0</v>
      </c>
      <c r="G236" s="145">
        <f t="shared" si="73"/>
        <v>0</v>
      </c>
      <c r="H236" s="145">
        <f t="shared" si="74"/>
        <v>0</v>
      </c>
      <c r="I236" s="145">
        <f t="shared" si="68"/>
        <v>0</v>
      </c>
      <c r="J236" s="145">
        <f t="shared" si="69"/>
        <v>0</v>
      </c>
      <c r="K236" s="142" t="str">
        <f t="shared" si="75"/>
        <v>undefined</v>
      </c>
      <c r="L236" s="146">
        <f>IFERROR(INDEX(Työkonekanta!$I$3:$I$27,MATCH('S2 Bio'!$A236,Työkonekanta!$A$3:$A$24,0),1)*(I236+J236)*f_adblue,0)</f>
        <v>0</v>
      </c>
      <c r="M236" s="146">
        <f t="shared" si="82"/>
        <v>0</v>
      </c>
      <c r="N236" s="143" t="str">
        <f>IF(tuulisähkö_vuosi&lt;='S2 Bio'!C236,"tuulisähkö",ostosähkö_nyt)</f>
        <v>jäännössähkö</v>
      </c>
      <c r="O236" s="147">
        <f>INDEX(Muuttujat!$J$5:$J$21,MATCH($C236,Muuttujat!$H$5:$H$21,0),1)</f>
        <v>64.542936272148211</v>
      </c>
      <c r="P236" s="148">
        <f t="shared" si="76"/>
        <v>0.58199999999999996</v>
      </c>
      <c r="Q236" s="148">
        <f t="shared" si="87"/>
        <v>0.41800000000000004</v>
      </c>
      <c r="R236" s="148">
        <f t="shared" si="87"/>
        <v>0.41800000000000004</v>
      </c>
      <c r="S236" s="149">
        <f t="shared" si="70"/>
        <v>0</v>
      </c>
      <c r="T236" s="150">
        <f t="shared" si="71"/>
        <v>0</v>
      </c>
      <c r="U236" s="150">
        <f t="shared" si="72"/>
        <v>0</v>
      </c>
      <c r="V236" s="150">
        <f>IFERROR(INDEX(Työkonekanta!$J$3:$J$27,MATCH($A236,Työkonekanta!$A$3:$A$24,0),1)*$B236*ef_li_ion_akku/1000/1000/INDEX(Työkonekanta!$K$3:$K$27,MATCH($A236,Työkonekanta!$A$3:$A$24,0)),0)</f>
        <v>0</v>
      </c>
      <c r="W236" s="149">
        <f t="shared" si="83"/>
        <v>0</v>
      </c>
      <c r="X236" s="150">
        <f t="shared" si="84"/>
        <v>0</v>
      </c>
      <c r="Y236" s="151">
        <f t="shared" si="85"/>
        <v>0</v>
      </c>
      <c r="Z236" s="152">
        <f t="shared" si="77"/>
        <v>0</v>
      </c>
      <c r="AA236" s="153">
        <f t="shared" si="78"/>
        <v>0</v>
      </c>
      <c r="AB236" s="153">
        <f t="shared" si="79"/>
        <v>0</v>
      </c>
      <c r="AC236" s="154">
        <f t="shared" si="86"/>
        <v>0</v>
      </c>
      <c r="AD236" s="180">
        <f t="shared" si="80"/>
        <v>0</v>
      </c>
      <c r="AE236" s="160"/>
    </row>
    <row r="237" spans="1:31">
      <c r="A237" s="139">
        <v>25</v>
      </c>
      <c r="B237" s="139">
        <f>IFERROR(INDEX(Työkonekanta!$F$3:$F$27,MATCH('S2 Bio'!$A237,Työkonekanta!$A$3:$A$24,0),1),0)</f>
        <v>0</v>
      </c>
      <c r="C237" s="140">
        <v>2026</v>
      </c>
      <c r="D237" s="141" t="str">
        <f>IFERROR(INDEX(Työkonekanta!$D$3:$D$27,MATCH('S2 Bio'!$A237,Työkonekanta!$A$3:$A$24,0),1),"undefined")</f>
        <v>undefined</v>
      </c>
      <c r="E237" s="145">
        <f>IFERROR(INDEX(Työkonekanta!$G$3:$G$27,MATCH($A237,Työkonekanta!$A$3:$A$24,0),1)*INDEX(Työkonekanta!$H$3:$H$27,MATCH($A237,Työkonekanta!$A$3:$A$24,0),1)*(1+_xlfn.SINGLE(s2_kerroin)*($C237-2019))*$B237,0)</f>
        <v>0</v>
      </c>
      <c r="F237" s="145">
        <f t="shared" si="67"/>
        <v>0</v>
      </c>
      <c r="G237" s="145">
        <f t="shared" si="73"/>
        <v>0</v>
      </c>
      <c r="H237" s="145">
        <f t="shared" si="74"/>
        <v>0</v>
      </c>
      <c r="I237" s="145">
        <f t="shared" si="68"/>
        <v>0</v>
      </c>
      <c r="J237" s="145">
        <f t="shared" si="69"/>
        <v>0</v>
      </c>
      <c r="K237" s="142" t="str">
        <f t="shared" si="75"/>
        <v>undefined</v>
      </c>
      <c r="L237" s="146">
        <f>IFERROR(INDEX(Työkonekanta!$I$3:$I$27,MATCH('S2 Bio'!$A237,Työkonekanta!$A$3:$A$24,0),1)*(I237+J237)*f_adblue,0)</f>
        <v>0</v>
      </c>
      <c r="M237" s="146">
        <f t="shared" si="82"/>
        <v>0</v>
      </c>
      <c r="N237" s="143" t="str">
        <f>IF(tuulisähkö_vuosi&lt;='S2 Bio'!C237,"tuulisähkö",ostosähkö_nyt)</f>
        <v>jäännössähkö</v>
      </c>
      <c r="O237" s="147">
        <f>INDEX(Muuttujat!$J$5:$J$21,MATCH($C237,Muuttujat!$H$5:$H$21,0),1)</f>
        <v>64.542936272148211</v>
      </c>
      <c r="P237" s="148">
        <f t="shared" si="76"/>
        <v>0.58199999999999996</v>
      </c>
      <c r="Q237" s="148">
        <f t="shared" si="87"/>
        <v>0.41800000000000004</v>
      </c>
      <c r="R237" s="148">
        <f t="shared" si="87"/>
        <v>0.41800000000000004</v>
      </c>
      <c r="S237" s="149">
        <f t="shared" si="70"/>
        <v>0</v>
      </c>
      <c r="T237" s="150">
        <f t="shared" si="71"/>
        <v>0</v>
      </c>
      <c r="U237" s="150">
        <f t="shared" si="72"/>
        <v>0</v>
      </c>
      <c r="V237" s="150">
        <f>IFERROR(INDEX(Työkonekanta!$J$3:$J$27,MATCH($A237,Työkonekanta!$A$3:$A$24,0),1)*$B237*ef_li_ion_akku/1000/1000/INDEX(Työkonekanta!$K$3:$K$27,MATCH($A237,Työkonekanta!$A$3:$A$24,0)),0)</f>
        <v>0</v>
      </c>
      <c r="W237" s="149">
        <f t="shared" si="83"/>
        <v>0</v>
      </c>
      <c r="X237" s="150">
        <f t="shared" si="84"/>
        <v>0</v>
      </c>
      <c r="Y237" s="151">
        <f t="shared" si="85"/>
        <v>0</v>
      </c>
      <c r="Z237" s="152">
        <f t="shared" si="77"/>
        <v>0</v>
      </c>
      <c r="AA237" s="153">
        <f t="shared" si="78"/>
        <v>0</v>
      </c>
      <c r="AB237" s="153">
        <f t="shared" si="79"/>
        <v>0</v>
      </c>
      <c r="AC237" s="154">
        <f t="shared" si="86"/>
        <v>0</v>
      </c>
      <c r="AD237" s="180">
        <f t="shared" si="80"/>
        <v>0</v>
      </c>
      <c r="AE237" s="160"/>
    </row>
    <row r="238" spans="1:31">
      <c r="A238" s="139">
        <v>26</v>
      </c>
      <c r="B238" s="139">
        <f>IFERROR(INDEX(Työkonekanta!$F$3:$F$27,MATCH('S2 Bio'!$A238,Työkonekanta!$A$3:$A$24,0),1),0)</f>
        <v>0</v>
      </c>
      <c r="C238" s="140">
        <v>2026</v>
      </c>
      <c r="D238" s="141" t="str">
        <f>IFERROR(INDEX(Työkonekanta!$D$3:$D$27,MATCH('S2 Bio'!$A238,Työkonekanta!$A$3:$A$24,0),1),"undefined")</f>
        <v>undefined</v>
      </c>
      <c r="E238" s="145">
        <f>IFERROR(INDEX(Työkonekanta!$G$3:$G$27,MATCH($A238,Työkonekanta!$A$3:$A$24,0),1)*INDEX(Työkonekanta!$H$3:$H$27,MATCH($A238,Työkonekanta!$A$3:$A$24,0),1)*(1+_xlfn.SINGLE(s2_kerroin)*($C238-2019))*$B238,0)</f>
        <v>0</v>
      </c>
      <c r="F238" s="145">
        <f t="shared" si="67"/>
        <v>0</v>
      </c>
      <c r="G238" s="145">
        <f t="shared" si="73"/>
        <v>0</v>
      </c>
      <c r="H238" s="145">
        <f t="shared" si="74"/>
        <v>0</v>
      </c>
      <c r="I238" s="145">
        <f t="shared" si="68"/>
        <v>0</v>
      </c>
      <c r="J238" s="145">
        <f t="shared" si="69"/>
        <v>0</v>
      </c>
      <c r="K238" s="142" t="str">
        <f t="shared" si="75"/>
        <v>undefined</v>
      </c>
      <c r="L238" s="146">
        <f>IFERROR(INDEX(Työkonekanta!$I$3:$I$27,MATCH('S2 Bio'!$A238,Työkonekanta!$A$3:$A$24,0),1)*(I238+J238)*f_adblue,0)</f>
        <v>0</v>
      </c>
      <c r="M238" s="146">
        <f t="shared" si="82"/>
        <v>0</v>
      </c>
      <c r="N238" s="143" t="str">
        <f>IF(tuulisähkö_vuosi&lt;='S2 Bio'!C238,"tuulisähkö",ostosähkö_nyt)</f>
        <v>jäännössähkö</v>
      </c>
      <c r="O238" s="147">
        <f>INDEX(Muuttujat!$J$5:$J$21,MATCH($C238,Muuttujat!$H$5:$H$21,0),1)</f>
        <v>64.542936272148211</v>
      </c>
      <c r="P238" s="148">
        <f t="shared" si="76"/>
        <v>0.58199999999999996</v>
      </c>
      <c r="Q238" s="148">
        <f t="shared" si="87"/>
        <v>0.41800000000000004</v>
      </c>
      <c r="R238" s="148">
        <f t="shared" si="87"/>
        <v>0.41800000000000004</v>
      </c>
      <c r="S238" s="149">
        <f t="shared" si="70"/>
        <v>0</v>
      </c>
      <c r="T238" s="150">
        <f t="shared" si="71"/>
        <v>0</v>
      </c>
      <c r="U238" s="150">
        <f t="shared" si="72"/>
        <v>0</v>
      </c>
      <c r="V238" s="150">
        <f>IFERROR(INDEX(Työkonekanta!$J$3:$J$27,MATCH($A238,Työkonekanta!$A$3:$A$24,0),1)*$B238*ef_li_ion_akku/1000/1000/INDEX(Työkonekanta!$K$3:$K$27,MATCH($A238,Työkonekanta!$A$3:$A$24,0)),0)</f>
        <v>0</v>
      </c>
      <c r="W238" s="149">
        <f t="shared" si="83"/>
        <v>0</v>
      </c>
      <c r="X238" s="150">
        <f t="shared" si="84"/>
        <v>0</v>
      </c>
      <c r="Y238" s="151">
        <f t="shared" si="85"/>
        <v>0</v>
      </c>
      <c r="Z238" s="152">
        <f t="shared" si="77"/>
        <v>0</v>
      </c>
      <c r="AA238" s="153">
        <f t="shared" si="78"/>
        <v>0</v>
      </c>
      <c r="AB238" s="153">
        <f t="shared" si="79"/>
        <v>0</v>
      </c>
      <c r="AC238" s="154">
        <f t="shared" si="86"/>
        <v>0</v>
      </c>
      <c r="AD238" s="180">
        <f t="shared" si="80"/>
        <v>0</v>
      </c>
      <c r="AE238" s="160"/>
    </row>
    <row r="239" spans="1:31">
      <c r="A239" s="139">
        <v>27</v>
      </c>
      <c r="B239" s="139">
        <f>IFERROR(INDEX(Työkonekanta!$F$3:$F$27,MATCH('S2 Bio'!$A239,Työkonekanta!$A$3:$A$24,0),1),0)</f>
        <v>0</v>
      </c>
      <c r="C239" s="140">
        <v>2026</v>
      </c>
      <c r="D239" s="141" t="str">
        <f>IFERROR(INDEX(Työkonekanta!$D$3:$D$27,MATCH('S2 Bio'!$A239,Työkonekanta!$A$3:$A$24,0),1),"undefined")</f>
        <v>undefined</v>
      </c>
      <c r="E239" s="145">
        <f>IFERROR(INDEX(Työkonekanta!$G$3:$G$27,MATCH($A239,Työkonekanta!$A$3:$A$24,0),1)*INDEX(Työkonekanta!$H$3:$H$27,MATCH($A239,Työkonekanta!$A$3:$A$24,0),1)*(1+_xlfn.SINGLE(s2_kerroin)*($C239-2019))*$B239,0)</f>
        <v>0</v>
      </c>
      <c r="F239" s="145">
        <f t="shared" si="67"/>
        <v>0</v>
      </c>
      <c r="G239" s="145">
        <f t="shared" si="73"/>
        <v>0</v>
      </c>
      <c r="H239" s="145">
        <f t="shared" si="74"/>
        <v>0</v>
      </c>
      <c r="I239" s="145">
        <f t="shared" si="68"/>
        <v>0</v>
      </c>
      <c r="J239" s="145">
        <f t="shared" si="69"/>
        <v>0</v>
      </c>
      <c r="K239" s="142" t="str">
        <f t="shared" si="75"/>
        <v>undefined</v>
      </c>
      <c r="L239" s="146">
        <f>IFERROR(INDEX(Työkonekanta!$I$3:$I$27,MATCH('S2 Bio'!$A239,Työkonekanta!$A$3:$A$24,0),1)*(I239+J239)*f_adblue,0)</f>
        <v>0</v>
      </c>
      <c r="M239" s="146">
        <f t="shared" si="82"/>
        <v>0</v>
      </c>
      <c r="N239" s="143" t="str">
        <f>IF(tuulisähkö_vuosi&lt;='S2 Bio'!C239,"tuulisähkö",ostosähkö_nyt)</f>
        <v>jäännössähkö</v>
      </c>
      <c r="O239" s="147">
        <f>INDEX(Muuttujat!$J$5:$J$21,MATCH($C239,Muuttujat!$H$5:$H$21,0),1)</f>
        <v>64.542936272148211</v>
      </c>
      <c r="P239" s="148">
        <f t="shared" si="76"/>
        <v>0.58199999999999996</v>
      </c>
      <c r="Q239" s="148">
        <f t="shared" si="87"/>
        <v>0.41800000000000004</v>
      </c>
      <c r="R239" s="148">
        <f t="shared" si="87"/>
        <v>0.41800000000000004</v>
      </c>
      <c r="S239" s="149">
        <f t="shared" si="70"/>
        <v>0</v>
      </c>
      <c r="T239" s="150">
        <f t="shared" si="71"/>
        <v>0</v>
      </c>
      <c r="U239" s="150">
        <f t="shared" si="72"/>
        <v>0</v>
      </c>
      <c r="V239" s="150">
        <f>IFERROR(INDEX(Työkonekanta!$J$3:$J$27,MATCH($A239,Työkonekanta!$A$3:$A$24,0),1)*$B239*ef_li_ion_akku/1000/1000/INDEX(Työkonekanta!$K$3:$K$27,MATCH($A239,Työkonekanta!$A$3:$A$24,0)),0)</f>
        <v>0</v>
      </c>
      <c r="W239" s="149">
        <f t="shared" si="83"/>
        <v>0</v>
      </c>
      <c r="X239" s="150">
        <f t="shared" si="84"/>
        <v>0</v>
      </c>
      <c r="Y239" s="151">
        <f t="shared" si="85"/>
        <v>0</v>
      </c>
      <c r="Z239" s="152">
        <f t="shared" si="77"/>
        <v>0</v>
      </c>
      <c r="AA239" s="153">
        <f t="shared" si="78"/>
        <v>0</v>
      </c>
      <c r="AB239" s="153">
        <f t="shared" si="79"/>
        <v>0</v>
      </c>
      <c r="AC239" s="154">
        <f t="shared" si="86"/>
        <v>0</v>
      </c>
      <c r="AD239" s="180">
        <f t="shared" si="80"/>
        <v>0</v>
      </c>
      <c r="AE239" s="160"/>
    </row>
    <row r="240" spans="1:31">
      <c r="A240" s="139">
        <v>28</v>
      </c>
      <c r="B240" s="139">
        <f>IFERROR(INDEX(Työkonekanta!$F$3:$F$27,MATCH('S2 Bio'!$A240,Työkonekanta!$A$3:$A$24,0),1),0)</f>
        <v>0</v>
      </c>
      <c r="C240" s="140">
        <v>2026</v>
      </c>
      <c r="D240" s="141" t="str">
        <f>IFERROR(INDEX(Työkonekanta!$D$3:$D$27,MATCH('S2 Bio'!$A240,Työkonekanta!$A$3:$A$24,0),1),"undefined")</f>
        <v>undefined</v>
      </c>
      <c r="E240" s="145">
        <f>IFERROR(INDEX(Työkonekanta!$G$3:$G$27,MATCH($A240,Työkonekanta!$A$3:$A$24,0),1)*INDEX(Työkonekanta!$H$3:$H$27,MATCH($A240,Työkonekanta!$A$3:$A$24,0),1)*(1+_xlfn.SINGLE(s2_kerroin)*($C240-2019))*$B240,0)</f>
        <v>0</v>
      </c>
      <c r="F240" s="145">
        <f t="shared" si="67"/>
        <v>0</v>
      </c>
      <c r="G240" s="145">
        <f t="shared" si="73"/>
        <v>0</v>
      </c>
      <c r="H240" s="145">
        <f t="shared" si="74"/>
        <v>0</v>
      </c>
      <c r="I240" s="145">
        <f t="shared" si="68"/>
        <v>0</v>
      </c>
      <c r="J240" s="145">
        <f t="shared" si="69"/>
        <v>0</v>
      </c>
      <c r="K240" s="142" t="str">
        <f t="shared" si="75"/>
        <v>undefined</v>
      </c>
      <c r="L240" s="146">
        <f>IFERROR(INDEX(Työkonekanta!$I$3:$I$27,MATCH('S2 Bio'!$A240,Työkonekanta!$A$3:$A$24,0),1)*(I240+J240)*f_adblue,0)</f>
        <v>0</v>
      </c>
      <c r="M240" s="146">
        <f t="shared" si="82"/>
        <v>0</v>
      </c>
      <c r="N240" s="143" t="str">
        <f>IF(tuulisähkö_vuosi&lt;='S2 Bio'!C240,"tuulisähkö",ostosähkö_nyt)</f>
        <v>jäännössähkö</v>
      </c>
      <c r="O240" s="147">
        <f>INDEX(Muuttujat!$J$5:$J$21,MATCH($C240,Muuttujat!$H$5:$H$21,0),1)</f>
        <v>64.542936272148211</v>
      </c>
      <c r="P240" s="148">
        <f t="shared" si="76"/>
        <v>0.58199999999999996</v>
      </c>
      <c r="Q240" s="148">
        <f t="shared" si="87"/>
        <v>0.41800000000000004</v>
      </c>
      <c r="R240" s="148">
        <f t="shared" si="87"/>
        <v>0.41800000000000004</v>
      </c>
      <c r="S240" s="149">
        <f t="shared" si="70"/>
        <v>0</v>
      </c>
      <c r="T240" s="150">
        <f t="shared" si="71"/>
        <v>0</v>
      </c>
      <c r="U240" s="150">
        <f t="shared" si="72"/>
        <v>0</v>
      </c>
      <c r="V240" s="150">
        <f>IFERROR(INDEX(Työkonekanta!$J$3:$J$27,MATCH($A240,Työkonekanta!$A$3:$A$24,0),1)*$B240*ef_li_ion_akku/1000/1000/INDEX(Työkonekanta!$K$3:$K$27,MATCH($A240,Työkonekanta!$A$3:$A$24,0)),0)</f>
        <v>0</v>
      </c>
      <c r="W240" s="149">
        <f t="shared" si="83"/>
        <v>0</v>
      </c>
      <c r="X240" s="150">
        <f t="shared" si="84"/>
        <v>0</v>
      </c>
      <c r="Y240" s="151">
        <f t="shared" si="85"/>
        <v>0</v>
      </c>
      <c r="Z240" s="152">
        <f t="shared" si="77"/>
        <v>0</v>
      </c>
      <c r="AA240" s="153">
        <f t="shared" si="78"/>
        <v>0</v>
      </c>
      <c r="AB240" s="153">
        <f t="shared" si="79"/>
        <v>0</v>
      </c>
      <c r="AC240" s="154">
        <f t="shared" si="86"/>
        <v>0</v>
      </c>
      <c r="AD240" s="180">
        <f t="shared" si="80"/>
        <v>0</v>
      </c>
      <c r="AE240" s="160"/>
    </row>
    <row r="241" spans="1:31">
      <c r="A241" s="139">
        <v>29</v>
      </c>
      <c r="B241" s="139">
        <f>IFERROR(INDEX(Työkonekanta!$F$3:$F$27,MATCH('S2 Bio'!$A241,Työkonekanta!$A$3:$A$24,0),1),0)</f>
        <v>0</v>
      </c>
      <c r="C241" s="140">
        <v>2026</v>
      </c>
      <c r="D241" s="141" t="str">
        <f>IFERROR(INDEX(Työkonekanta!$D$3:$D$27,MATCH('S2 Bio'!$A241,Työkonekanta!$A$3:$A$24,0),1),"undefined")</f>
        <v>undefined</v>
      </c>
      <c r="E241" s="145">
        <f>IFERROR(INDEX(Työkonekanta!$G$3:$G$27,MATCH($A241,Työkonekanta!$A$3:$A$24,0),1)*INDEX(Työkonekanta!$H$3:$H$27,MATCH($A241,Työkonekanta!$A$3:$A$24,0),1)*(1+_xlfn.SINGLE(s2_kerroin)*($C241-2019))*$B241,0)</f>
        <v>0</v>
      </c>
      <c r="F241" s="145">
        <f t="shared" si="67"/>
        <v>0</v>
      </c>
      <c r="G241" s="145">
        <f t="shared" si="73"/>
        <v>0</v>
      </c>
      <c r="H241" s="145">
        <f t="shared" si="74"/>
        <v>0</v>
      </c>
      <c r="I241" s="145">
        <f t="shared" si="68"/>
        <v>0</v>
      </c>
      <c r="J241" s="145">
        <f t="shared" si="69"/>
        <v>0</v>
      </c>
      <c r="K241" s="142" t="str">
        <f t="shared" si="75"/>
        <v>undefined</v>
      </c>
      <c r="L241" s="146">
        <f>IFERROR(INDEX(Työkonekanta!$I$3:$I$27,MATCH('S2 Bio'!$A241,Työkonekanta!$A$3:$A$24,0),1)*(I241+J241)*f_adblue,0)</f>
        <v>0</v>
      </c>
      <c r="M241" s="146">
        <f t="shared" si="82"/>
        <v>0</v>
      </c>
      <c r="N241" s="143" t="str">
        <f>IF(tuulisähkö_vuosi&lt;='S2 Bio'!C241,"tuulisähkö",ostosähkö_nyt)</f>
        <v>jäännössähkö</v>
      </c>
      <c r="O241" s="147">
        <f>INDEX(Muuttujat!$J$5:$J$21,MATCH($C241,Muuttujat!$H$5:$H$21,0),1)</f>
        <v>64.542936272148211</v>
      </c>
      <c r="P241" s="148">
        <f t="shared" si="76"/>
        <v>0.58199999999999996</v>
      </c>
      <c r="Q241" s="148">
        <f t="shared" si="87"/>
        <v>0.41800000000000004</v>
      </c>
      <c r="R241" s="148">
        <f t="shared" si="87"/>
        <v>0.41800000000000004</v>
      </c>
      <c r="S241" s="149">
        <f t="shared" si="70"/>
        <v>0</v>
      </c>
      <c r="T241" s="150">
        <f t="shared" si="71"/>
        <v>0</v>
      </c>
      <c r="U241" s="150">
        <f t="shared" si="72"/>
        <v>0</v>
      </c>
      <c r="V241" s="150">
        <f>IFERROR(INDEX(Työkonekanta!$J$3:$J$27,MATCH($A241,Työkonekanta!$A$3:$A$24,0),1)*$B241*ef_li_ion_akku/1000/1000/INDEX(Työkonekanta!$K$3:$K$27,MATCH($A241,Työkonekanta!$A$3:$A$24,0)),0)</f>
        <v>0</v>
      </c>
      <c r="W241" s="149">
        <f t="shared" si="83"/>
        <v>0</v>
      </c>
      <c r="X241" s="150">
        <f t="shared" si="84"/>
        <v>0</v>
      </c>
      <c r="Y241" s="151">
        <f t="shared" si="85"/>
        <v>0</v>
      </c>
      <c r="Z241" s="152">
        <f t="shared" si="77"/>
        <v>0</v>
      </c>
      <c r="AA241" s="153">
        <f t="shared" si="78"/>
        <v>0</v>
      </c>
      <c r="AB241" s="153">
        <f t="shared" si="79"/>
        <v>0</v>
      </c>
      <c r="AC241" s="154">
        <f t="shared" si="86"/>
        <v>0</v>
      </c>
      <c r="AD241" s="180">
        <f t="shared" si="80"/>
        <v>0</v>
      </c>
      <c r="AE241" s="160"/>
    </row>
    <row r="242" spans="1:31">
      <c r="A242" s="139">
        <v>30</v>
      </c>
      <c r="B242" s="139">
        <f>IFERROR(INDEX(Työkonekanta!$F$3:$F$27,MATCH('S2 Bio'!$A242,Työkonekanta!$A$3:$A$24,0),1),0)</f>
        <v>0</v>
      </c>
      <c r="C242" s="140">
        <v>2026</v>
      </c>
      <c r="D242" s="141" t="str">
        <f>IFERROR(INDEX(Työkonekanta!$D$3:$D$27,MATCH('S2 Bio'!$A242,Työkonekanta!$A$3:$A$24,0),1),"undefined")</f>
        <v>undefined</v>
      </c>
      <c r="E242" s="145">
        <f>IFERROR(INDEX(Työkonekanta!$G$3:$G$27,MATCH($A242,Työkonekanta!$A$3:$A$24,0),1)*INDEX(Työkonekanta!$H$3:$H$27,MATCH($A242,Työkonekanta!$A$3:$A$24,0),1)*(1+_xlfn.SINGLE(s2_kerroin)*($C242-2019))*$B242,0)</f>
        <v>0</v>
      </c>
      <c r="F242" s="145">
        <f t="shared" si="67"/>
        <v>0</v>
      </c>
      <c r="G242" s="145">
        <f t="shared" si="73"/>
        <v>0</v>
      </c>
      <c r="H242" s="145">
        <f t="shared" si="74"/>
        <v>0</v>
      </c>
      <c r="I242" s="145">
        <f t="shared" si="68"/>
        <v>0</v>
      </c>
      <c r="J242" s="145">
        <f t="shared" si="69"/>
        <v>0</v>
      </c>
      <c r="K242" s="142" t="str">
        <f t="shared" si="75"/>
        <v>undefined</v>
      </c>
      <c r="L242" s="146">
        <f>IFERROR(INDEX(Työkonekanta!$I$3:$I$27,MATCH('S2 Bio'!$A242,Työkonekanta!$A$3:$A$24,0),1)*(I242+J242)*f_adblue,0)</f>
        <v>0</v>
      </c>
      <c r="M242" s="146">
        <f t="shared" si="82"/>
        <v>0</v>
      </c>
      <c r="N242" s="143" t="str">
        <f>IF(tuulisähkö_vuosi&lt;='S2 Bio'!C242,"tuulisähkö",ostosähkö_nyt)</f>
        <v>jäännössähkö</v>
      </c>
      <c r="O242" s="147">
        <f>INDEX(Muuttujat!$J$5:$J$21,MATCH($C242,Muuttujat!$H$5:$H$21,0),1)</f>
        <v>64.542936272148211</v>
      </c>
      <c r="P242" s="148">
        <f t="shared" si="76"/>
        <v>0.58199999999999996</v>
      </c>
      <c r="Q242" s="148">
        <f t="shared" si="87"/>
        <v>0.41800000000000004</v>
      </c>
      <c r="R242" s="148">
        <f t="shared" si="87"/>
        <v>0.41800000000000004</v>
      </c>
      <c r="S242" s="149">
        <f t="shared" si="70"/>
        <v>0</v>
      </c>
      <c r="T242" s="150">
        <f t="shared" si="71"/>
        <v>0</v>
      </c>
      <c r="U242" s="150">
        <f t="shared" si="72"/>
        <v>0</v>
      </c>
      <c r="V242" s="150">
        <f>IFERROR(INDEX(Työkonekanta!$J$3:$J$27,MATCH($A242,Työkonekanta!$A$3:$A$24,0),1)*$B242*ef_li_ion_akku/1000/1000/INDEX(Työkonekanta!$K$3:$K$27,MATCH($A242,Työkonekanta!$A$3:$A$24,0)),0)</f>
        <v>0</v>
      </c>
      <c r="W242" s="149">
        <f t="shared" si="83"/>
        <v>0</v>
      </c>
      <c r="X242" s="150">
        <f t="shared" si="84"/>
        <v>0</v>
      </c>
      <c r="Y242" s="151">
        <f t="shared" si="85"/>
        <v>0</v>
      </c>
      <c r="Z242" s="152">
        <f t="shared" si="77"/>
        <v>0</v>
      </c>
      <c r="AA242" s="153">
        <f t="shared" si="78"/>
        <v>0</v>
      </c>
      <c r="AB242" s="153">
        <f t="shared" si="79"/>
        <v>0</v>
      </c>
      <c r="AC242" s="154">
        <f t="shared" si="86"/>
        <v>0</v>
      </c>
      <c r="AD242" s="180">
        <f t="shared" si="80"/>
        <v>0</v>
      </c>
      <c r="AE242" s="160"/>
    </row>
    <row r="243" spans="1:31">
      <c r="A243" s="139">
        <v>1</v>
      </c>
      <c r="B243" s="139">
        <f>IFERROR(INDEX(Työkonekanta!$F$3:$F$27,MATCH('S2 Bio'!$A243,Työkonekanta!$A$3:$A$24,0),1),0)</f>
        <v>1</v>
      </c>
      <c r="C243" s="140">
        <v>2027</v>
      </c>
      <c r="D243" s="141" t="str">
        <f>IFERROR(INDEX(Työkonekanta!$D$3:$D$27,MATCH('S2 Bio'!$A243,Työkonekanta!$A$3:$A$24,0),1),"undefined")</f>
        <v>pom</v>
      </c>
      <c r="E243" s="145">
        <f>IFERROR(INDEX(Työkonekanta!$G$3:$G$27,MATCH($A243,Työkonekanta!$A$3:$A$24,0),1)*INDEX(Työkonekanta!$H$3:$H$27,MATCH($A243,Työkonekanta!$A$3:$A$24,0),1)*(1+_xlfn.SINGLE(s2_kerroin)*($C243-2019))*$B243,0)</f>
        <v>10800</v>
      </c>
      <c r="F243" s="145">
        <f t="shared" si="67"/>
        <v>387720</v>
      </c>
      <c r="G243" s="145">
        <f t="shared" si="73"/>
        <v>200580.47999999998</v>
      </c>
      <c r="H243" s="145">
        <f t="shared" si="74"/>
        <v>187139.52000000002</v>
      </c>
      <c r="I243" s="145">
        <f t="shared" si="68"/>
        <v>5587.2</v>
      </c>
      <c r="J243" s="145">
        <f t="shared" si="69"/>
        <v>5455.9626822157443</v>
      </c>
      <c r="K243" s="142" t="str">
        <f t="shared" si="75"/>
        <v>l</v>
      </c>
      <c r="L243" s="146">
        <f>IFERROR(INDEX(Työkonekanta!$I$3:$I$27,MATCH('S2 Bio'!$A243,Työkonekanta!$A$3:$A$24,0),1)*(I243+J243)*f_adblue,0)</f>
        <v>552.15813411078727</v>
      </c>
      <c r="M243" s="146">
        <f t="shared" si="82"/>
        <v>0</v>
      </c>
      <c r="N243" s="143" t="str">
        <f>IF(tuulisähkö_vuosi&lt;='S2 Bio'!C243,"tuulisähkö",ostosähkö_nyt)</f>
        <v>jäännössähkö</v>
      </c>
      <c r="O243" s="147">
        <f>INDEX(Muuttujat!$J$5:$J$21,MATCH($C243,Muuttujat!$H$5:$H$21,0),1)</f>
        <v>63.897506909426724</v>
      </c>
      <c r="P243" s="148">
        <f t="shared" si="76"/>
        <v>0.51733333333333331</v>
      </c>
      <c r="Q243" s="148">
        <f t="shared" ref="Q243:R262" si="88">IF(biosiirtymä_luonne="äkillinen",INDEX($AG$4:$AG$20,MATCH($C243,$AF$4:$AF$20,0),1),INDEX($AH$4:$AH$20,MATCH($C243,$AF$4:$AF$20,0),1))</f>
        <v>0.48266666666666669</v>
      </c>
      <c r="R243" s="148">
        <f t="shared" si="88"/>
        <v>0.48266666666666669</v>
      </c>
      <c r="S243" s="149">
        <f t="shared" si="70"/>
        <v>3.7909710719999992</v>
      </c>
      <c r="T243" s="150">
        <f t="shared" si="71"/>
        <v>11.677506048000001</v>
      </c>
      <c r="U243" s="150">
        <f t="shared" si="72"/>
        <v>0</v>
      </c>
      <c r="V243" s="150">
        <f>IFERROR(INDEX(Työkonekanta!$J$3:$J$27,MATCH($A243,Työkonekanta!$A$3:$A$24,0),1)*$B243*ef_li_ion_akku/1000/1000/INDEX(Työkonekanta!$K$3:$K$27,MATCH($A243,Työkonekanta!$A$3:$A$24,0)),0)</f>
        <v>0</v>
      </c>
      <c r="W243" s="149">
        <f t="shared" si="83"/>
        <v>14.804495071153921</v>
      </c>
      <c r="X243" s="150">
        <f t="shared" si="84"/>
        <v>0.34316531280000001</v>
      </c>
      <c r="Y243" s="151">
        <f t="shared" si="85"/>
        <v>0.14356111486880471</v>
      </c>
      <c r="Z243" s="152">
        <f t="shared" si="77"/>
        <v>15.468477120000001</v>
      </c>
      <c r="AA243" s="153">
        <f t="shared" si="78"/>
        <v>14.948056186022725</v>
      </c>
      <c r="AB243" s="153">
        <f t="shared" si="79"/>
        <v>15.291221498822726</v>
      </c>
      <c r="AC243" s="154">
        <f t="shared" si="86"/>
        <v>30.416533306022728</v>
      </c>
      <c r="AD243" s="180">
        <f t="shared" si="80"/>
        <v>30.759698618822725</v>
      </c>
      <c r="AE243" s="160"/>
    </row>
    <row r="244" spans="1:31">
      <c r="A244" s="139">
        <v>2</v>
      </c>
      <c r="B244" s="139">
        <f>IFERROR(INDEX(Työkonekanta!$F$3:$F$27,MATCH('S2 Bio'!$A244,Työkonekanta!$A$3:$A$24,0),1),0)</f>
        <v>1</v>
      </c>
      <c r="C244" s="140">
        <v>2027</v>
      </c>
      <c r="D244" s="141" t="str">
        <f>IFERROR(INDEX(Työkonekanta!$D$3:$D$27,MATCH('S2 Bio'!$A244,Työkonekanta!$A$3:$A$24,0),1),"undefined")</f>
        <v>pom</v>
      </c>
      <c r="E244" s="145">
        <f>IFERROR(INDEX(Työkonekanta!$G$3:$G$27,MATCH($A244,Työkonekanta!$A$3:$A$24,0),1)*INDEX(Työkonekanta!$H$3:$H$27,MATCH($A244,Työkonekanta!$A$3:$A$24,0),1)*(1+_xlfn.SINGLE(s2_kerroin)*($C244-2019))*$B244,0)</f>
        <v>10800</v>
      </c>
      <c r="F244" s="145">
        <f t="shared" si="67"/>
        <v>387720</v>
      </c>
      <c r="G244" s="145">
        <f t="shared" si="73"/>
        <v>200580.47999999998</v>
      </c>
      <c r="H244" s="145">
        <f t="shared" si="74"/>
        <v>187139.52000000002</v>
      </c>
      <c r="I244" s="145">
        <f t="shared" si="68"/>
        <v>5587.2</v>
      </c>
      <c r="J244" s="145">
        <f t="shared" si="69"/>
        <v>5455.9626822157443</v>
      </c>
      <c r="K244" s="142" t="str">
        <f t="shared" si="75"/>
        <v>l</v>
      </c>
      <c r="L244" s="146">
        <f>IFERROR(INDEX(Työkonekanta!$I$3:$I$27,MATCH('S2 Bio'!$A244,Työkonekanta!$A$3:$A$24,0),1)*(I244+J244)*f_adblue,0)</f>
        <v>552.15813411078727</v>
      </c>
      <c r="M244" s="146">
        <f t="shared" si="82"/>
        <v>0</v>
      </c>
      <c r="N244" s="143" t="str">
        <f>IF(tuulisähkö_vuosi&lt;='S2 Bio'!C244,"tuulisähkö",ostosähkö_nyt)</f>
        <v>jäännössähkö</v>
      </c>
      <c r="O244" s="147">
        <f>INDEX(Muuttujat!$J$5:$J$21,MATCH($C244,Muuttujat!$H$5:$H$21,0),1)</f>
        <v>63.897506909426724</v>
      </c>
      <c r="P244" s="148">
        <f t="shared" si="76"/>
        <v>0.51733333333333331</v>
      </c>
      <c r="Q244" s="148">
        <f t="shared" si="88"/>
        <v>0.48266666666666669</v>
      </c>
      <c r="R244" s="148">
        <f t="shared" si="88"/>
        <v>0.48266666666666669</v>
      </c>
      <c r="S244" s="149">
        <f t="shared" si="70"/>
        <v>3.7909710719999992</v>
      </c>
      <c r="T244" s="150">
        <f t="shared" si="71"/>
        <v>11.677506048000001</v>
      </c>
      <c r="U244" s="150">
        <f t="shared" si="72"/>
        <v>0</v>
      </c>
      <c r="V244" s="150">
        <f>IFERROR(INDEX(Työkonekanta!$J$3:$J$27,MATCH($A244,Työkonekanta!$A$3:$A$24,0),1)*$B244*ef_li_ion_akku/1000/1000/INDEX(Työkonekanta!$K$3:$K$27,MATCH($A244,Työkonekanta!$A$3:$A$24,0)),0)</f>
        <v>0</v>
      </c>
      <c r="W244" s="149">
        <f t="shared" si="83"/>
        <v>14.804495071153921</v>
      </c>
      <c r="X244" s="150">
        <f t="shared" si="84"/>
        <v>0.34316531280000001</v>
      </c>
      <c r="Y244" s="151">
        <f t="shared" si="85"/>
        <v>0.14356111486880471</v>
      </c>
      <c r="Z244" s="152">
        <f t="shared" si="77"/>
        <v>15.468477120000001</v>
      </c>
      <c r="AA244" s="153">
        <f t="shared" si="78"/>
        <v>14.948056186022725</v>
      </c>
      <c r="AB244" s="153">
        <f t="shared" si="79"/>
        <v>15.291221498822726</v>
      </c>
      <c r="AC244" s="154">
        <f t="shared" si="86"/>
        <v>30.416533306022728</v>
      </c>
      <c r="AD244" s="180">
        <f t="shared" si="80"/>
        <v>30.759698618822725</v>
      </c>
      <c r="AE244" s="160"/>
    </row>
    <row r="245" spans="1:31">
      <c r="A245" s="139">
        <v>3</v>
      </c>
      <c r="B245" s="139">
        <f>IFERROR(INDEX(Työkonekanta!$F$3:$F$27,MATCH('S2 Bio'!$A245,Työkonekanta!$A$3:$A$24,0),1),0)</f>
        <v>1</v>
      </c>
      <c r="C245" s="140">
        <v>2027</v>
      </c>
      <c r="D245" s="141" t="str">
        <f>IFERROR(INDEX(Työkonekanta!$D$3:$D$27,MATCH('S2 Bio'!$A245,Työkonekanta!$A$3:$A$24,0),1),"undefined")</f>
        <v>pom</v>
      </c>
      <c r="E245" s="145">
        <f>IFERROR(INDEX(Työkonekanta!$G$3:$G$27,MATCH($A245,Työkonekanta!$A$3:$A$24,0),1)*INDEX(Työkonekanta!$H$3:$H$27,MATCH($A245,Työkonekanta!$A$3:$A$24,0),1)*(1+_xlfn.SINGLE(s2_kerroin)*($C245-2019))*$B245,0)</f>
        <v>10800</v>
      </c>
      <c r="F245" s="145">
        <f t="shared" si="67"/>
        <v>387720</v>
      </c>
      <c r="G245" s="145">
        <f t="shared" si="73"/>
        <v>200580.47999999998</v>
      </c>
      <c r="H245" s="145">
        <f t="shared" si="74"/>
        <v>187139.52000000002</v>
      </c>
      <c r="I245" s="145">
        <f t="shared" si="68"/>
        <v>5587.2</v>
      </c>
      <c r="J245" s="145">
        <f t="shared" si="69"/>
        <v>5455.9626822157443</v>
      </c>
      <c r="K245" s="142" t="str">
        <f t="shared" si="75"/>
        <v>l</v>
      </c>
      <c r="L245" s="146">
        <f>IFERROR(INDEX(Työkonekanta!$I$3:$I$27,MATCH('S2 Bio'!$A245,Työkonekanta!$A$3:$A$24,0),1)*(I245+J245)*f_adblue,0)</f>
        <v>552.15813411078727</v>
      </c>
      <c r="M245" s="146">
        <f t="shared" si="82"/>
        <v>0</v>
      </c>
      <c r="N245" s="143" t="str">
        <f>IF(tuulisähkö_vuosi&lt;='S2 Bio'!C245,"tuulisähkö",ostosähkö_nyt)</f>
        <v>jäännössähkö</v>
      </c>
      <c r="O245" s="147">
        <f>INDEX(Muuttujat!$J$5:$J$21,MATCH($C245,Muuttujat!$H$5:$H$21,0),1)</f>
        <v>63.897506909426724</v>
      </c>
      <c r="P245" s="148">
        <f t="shared" si="76"/>
        <v>0.51733333333333331</v>
      </c>
      <c r="Q245" s="148">
        <f t="shared" si="88"/>
        <v>0.48266666666666669</v>
      </c>
      <c r="R245" s="148">
        <f t="shared" si="88"/>
        <v>0.48266666666666669</v>
      </c>
      <c r="S245" s="149">
        <f t="shared" si="70"/>
        <v>3.7909710719999992</v>
      </c>
      <c r="T245" s="150">
        <f t="shared" si="71"/>
        <v>11.677506048000001</v>
      </c>
      <c r="U245" s="150">
        <f t="shared" si="72"/>
        <v>0</v>
      </c>
      <c r="V245" s="150">
        <f>IFERROR(INDEX(Työkonekanta!$J$3:$J$27,MATCH($A245,Työkonekanta!$A$3:$A$24,0),1)*$B245*ef_li_ion_akku/1000/1000/INDEX(Työkonekanta!$K$3:$K$27,MATCH($A245,Työkonekanta!$A$3:$A$24,0)),0)</f>
        <v>0</v>
      </c>
      <c r="W245" s="149">
        <f t="shared" si="83"/>
        <v>14.804495071153921</v>
      </c>
      <c r="X245" s="150">
        <f t="shared" si="84"/>
        <v>0.34316531280000001</v>
      </c>
      <c r="Y245" s="151">
        <f t="shared" si="85"/>
        <v>0.14356111486880471</v>
      </c>
      <c r="Z245" s="152">
        <f t="shared" si="77"/>
        <v>15.468477120000001</v>
      </c>
      <c r="AA245" s="153">
        <f t="shared" si="78"/>
        <v>14.948056186022725</v>
      </c>
      <c r="AB245" s="153">
        <f t="shared" si="79"/>
        <v>15.291221498822726</v>
      </c>
      <c r="AC245" s="154">
        <f t="shared" si="86"/>
        <v>30.416533306022728</v>
      </c>
      <c r="AD245" s="180">
        <f t="shared" si="80"/>
        <v>30.759698618822725</v>
      </c>
      <c r="AE245" s="160"/>
    </row>
    <row r="246" spans="1:31">
      <c r="A246" s="139">
        <v>4</v>
      </c>
      <c r="B246" s="139">
        <f>IFERROR(INDEX(Työkonekanta!$F$3:$F$27,MATCH('S2 Bio'!$A246,Työkonekanta!$A$3:$A$24,0),1),0)</f>
        <v>1</v>
      </c>
      <c r="C246" s="140">
        <v>2027</v>
      </c>
      <c r="D246" s="141" t="str">
        <f>IFERROR(INDEX(Työkonekanta!$D$3:$D$27,MATCH('S2 Bio'!$A246,Työkonekanta!$A$3:$A$24,0),1),"undefined")</f>
        <v>pom</v>
      </c>
      <c r="E246" s="145">
        <f>IFERROR(INDEX(Työkonekanta!$G$3:$G$27,MATCH($A246,Työkonekanta!$A$3:$A$24,0),1)*INDEX(Työkonekanta!$H$3:$H$27,MATCH($A246,Työkonekanta!$A$3:$A$24,0),1)*(1+_xlfn.SINGLE(s2_kerroin)*($C246-2019))*$B246,0)</f>
        <v>10800</v>
      </c>
      <c r="F246" s="145">
        <f t="shared" si="67"/>
        <v>387720</v>
      </c>
      <c r="G246" s="145">
        <f t="shared" si="73"/>
        <v>200580.47999999998</v>
      </c>
      <c r="H246" s="145">
        <f t="shared" si="74"/>
        <v>187139.52000000002</v>
      </c>
      <c r="I246" s="145">
        <f t="shared" si="68"/>
        <v>5587.2</v>
      </c>
      <c r="J246" s="145">
        <f t="shared" si="69"/>
        <v>5455.9626822157443</v>
      </c>
      <c r="K246" s="142" t="str">
        <f t="shared" si="75"/>
        <v>l</v>
      </c>
      <c r="L246" s="146">
        <f>IFERROR(INDEX(Työkonekanta!$I$3:$I$27,MATCH('S2 Bio'!$A246,Työkonekanta!$A$3:$A$24,0),1)*(I246+J246)*f_adblue,0)</f>
        <v>552.15813411078727</v>
      </c>
      <c r="M246" s="146">
        <f t="shared" si="82"/>
        <v>0</v>
      </c>
      <c r="N246" s="143" t="str">
        <f>IF(tuulisähkö_vuosi&lt;='S2 Bio'!C246,"tuulisähkö",ostosähkö_nyt)</f>
        <v>jäännössähkö</v>
      </c>
      <c r="O246" s="147">
        <f>INDEX(Muuttujat!$J$5:$J$21,MATCH($C246,Muuttujat!$H$5:$H$21,0),1)</f>
        <v>63.897506909426724</v>
      </c>
      <c r="P246" s="148">
        <f t="shared" si="76"/>
        <v>0.51733333333333331</v>
      </c>
      <c r="Q246" s="148">
        <f t="shared" si="88"/>
        <v>0.48266666666666669</v>
      </c>
      <c r="R246" s="148">
        <f t="shared" si="88"/>
        <v>0.48266666666666669</v>
      </c>
      <c r="S246" s="149">
        <f t="shared" si="70"/>
        <v>3.7909710719999992</v>
      </c>
      <c r="T246" s="150">
        <f t="shared" si="71"/>
        <v>11.677506048000001</v>
      </c>
      <c r="U246" s="150">
        <f t="shared" si="72"/>
        <v>0</v>
      </c>
      <c r="V246" s="150">
        <f>IFERROR(INDEX(Työkonekanta!$J$3:$J$27,MATCH($A246,Työkonekanta!$A$3:$A$24,0),1)*$B246*ef_li_ion_akku/1000/1000/INDEX(Työkonekanta!$K$3:$K$27,MATCH($A246,Työkonekanta!$A$3:$A$24,0)),0)</f>
        <v>0</v>
      </c>
      <c r="W246" s="149">
        <f t="shared" si="83"/>
        <v>14.804495071153921</v>
      </c>
      <c r="X246" s="150">
        <f t="shared" si="84"/>
        <v>0.34316531280000001</v>
      </c>
      <c r="Y246" s="151">
        <f t="shared" si="85"/>
        <v>0.14356111486880471</v>
      </c>
      <c r="Z246" s="152">
        <f t="shared" si="77"/>
        <v>15.468477120000001</v>
      </c>
      <c r="AA246" s="153">
        <f t="shared" si="78"/>
        <v>14.948056186022725</v>
      </c>
      <c r="AB246" s="153">
        <f t="shared" si="79"/>
        <v>15.291221498822726</v>
      </c>
      <c r="AC246" s="154">
        <f t="shared" si="86"/>
        <v>30.416533306022728</v>
      </c>
      <c r="AD246" s="180">
        <f t="shared" si="80"/>
        <v>30.759698618822725</v>
      </c>
      <c r="AE246" s="160"/>
    </row>
    <row r="247" spans="1:31">
      <c r="A247" s="139">
        <v>5</v>
      </c>
      <c r="B247" s="139">
        <f>IFERROR(INDEX(Työkonekanta!$F$3:$F$27,MATCH('S2 Bio'!$A247,Työkonekanta!$A$3:$A$24,0),1),0)</f>
        <v>0</v>
      </c>
      <c r="C247" s="140">
        <v>2027</v>
      </c>
      <c r="D247" s="141" t="str">
        <f>IFERROR(INDEX(Työkonekanta!$D$3:$D$27,MATCH('S2 Bio'!$A247,Työkonekanta!$A$3:$A$24,0),1),"undefined")</f>
        <v>sähkö</v>
      </c>
      <c r="E247" s="145">
        <f>IFERROR(INDEX(Työkonekanta!$G$3:$G$27,MATCH($A247,Työkonekanta!$A$3:$A$24,0),1)*INDEX(Työkonekanta!$H$3:$H$27,MATCH($A247,Työkonekanta!$A$3:$A$24,0),1)*(1+_xlfn.SINGLE(s2_kerroin)*($C247-2019))*$B247,0)</f>
        <v>0</v>
      </c>
      <c r="F247" s="145">
        <f t="shared" si="67"/>
        <v>0</v>
      </c>
      <c r="G247" s="145">
        <f t="shared" si="73"/>
        <v>0</v>
      </c>
      <c r="H247" s="145">
        <f t="shared" si="74"/>
        <v>0</v>
      </c>
      <c r="I247" s="145">
        <f t="shared" si="68"/>
        <v>0</v>
      </c>
      <c r="J247" s="145">
        <f t="shared" si="69"/>
        <v>0</v>
      </c>
      <c r="K247" s="142" t="str">
        <f t="shared" si="75"/>
        <v>kWh</v>
      </c>
      <c r="L247" s="146">
        <f>IFERROR(INDEX(Työkonekanta!$I$3:$I$27,MATCH('S2 Bio'!$A247,Työkonekanta!$A$3:$A$24,0),1)*(I247+J247)*f_adblue,0)</f>
        <v>0</v>
      </c>
      <c r="M247" s="146">
        <f t="shared" si="82"/>
        <v>0</v>
      </c>
      <c r="N247" s="143" t="str">
        <f>IF(tuulisähkö_vuosi&lt;='S2 Bio'!C247,"tuulisähkö",ostosähkö_nyt)</f>
        <v>jäännössähkö</v>
      </c>
      <c r="O247" s="147">
        <f>INDEX(Muuttujat!$J$5:$J$21,MATCH($C247,Muuttujat!$H$5:$H$21,0),1)</f>
        <v>63.897506909426724</v>
      </c>
      <c r="P247" s="148">
        <f t="shared" si="76"/>
        <v>0.51733333333333331</v>
      </c>
      <c r="Q247" s="148">
        <f t="shared" si="88"/>
        <v>0.48266666666666669</v>
      </c>
      <c r="R247" s="148">
        <f t="shared" si="88"/>
        <v>0.48266666666666669</v>
      </c>
      <c r="S247" s="149">
        <f t="shared" si="70"/>
        <v>0</v>
      </c>
      <c r="T247" s="150">
        <f t="shared" si="71"/>
        <v>0</v>
      </c>
      <c r="U247" s="150">
        <f t="shared" si="72"/>
        <v>0</v>
      </c>
      <c r="V247" s="150">
        <f>IFERROR(INDEX(Työkonekanta!$J$3:$J$27,MATCH($A247,Työkonekanta!$A$3:$A$24,0),1)*$B247*ef_li_ion_akku/1000/1000/INDEX(Työkonekanta!$K$3:$K$27,MATCH($A247,Työkonekanta!$A$3:$A$24,0)),0)</f>
        <v>0</v>
      </c>
      <c r="W247" s="149">
        <f t="shared" si="83"/>
        <v>0</v>
      </c>
      <c r="X247" s="150">
        <f t="shared" si="84"/>
        <v>0</v>
      </c>
      <c r="Y247" s="151">
        <f t="shared" si="85"/>
        <v>0</v>
      </c>
      <c r="Z247" s="152">
        <f t="shared" si="77"/>
        <v>0</v>
      </c>
      <c r="AA247" s="153">
        <f t="shared" si="78"/>
        <v>0</v>
      </c>
      <c r="AB247" s="153">
        <f t="shared" si="79"/>
        <v>0</v>
      </c>
      <c r="AC247" s="154">
        <f t="shared" si="86"/>
        <v>0</v>
      </c>
      <c r="AD247" s="180">
        <f t="shared" si="80"/>
        <v>0</v>
      </c>
      <c r="AE247" s="160"/>
    </row>
    <row r="248" spans="1:31">
      <c r="A248" s="139">
        <v>6</v>
      </c>
      <c r="B248" s="139">
        <f>IFERROR(INDEX(Työkonekanta!$F$3:$F$27,MATCH('S2 Bio'!$A248,Työkonekanta!$A$3:$A$24,0),1),0)</f>
        <v>0</v>
      </c>
      <c r="C248" s="140">
        <v>2027</v>
      </c>
      <c r="D248" s="141" t="str">
        <f>IFERROR(INDEX(Työkonekanta!$D$3:$D$27,MATCH('S2 Bio'!$A248,Työkonekanta!$A$3:$A$24,0),1),"undefined")</f>
        <v>sähkö</v>
      </c>
      <c r="E248" s="145">
        <f>IFERROR(INDEX(Työkonekanta!$G$3:$G$27,MATCH($A248,Työkonekanta!$A$3:$A$24,0),1)*INDEX(Työkonekanta!$H$3:$H$27,MATCH($A248,Työkonekanta!$A$3:$A$24,0),1)*(1+_xlfn.SINGLE(s2_kerroin)*($C248-2019))*$B248,0)</f>
        <v>0</v>
      </c>
      <c r="F248" s="145">
        <f t="shared" si="67"/>
        <v>0</v>
      </c>
      <c r="G248" s="145">
        <f t="shared" si="73"/>
        <v>0</v>
      </c>
      <c r="H248" s="145">
        <f t="shared" si="74"/>
        <v>0</v>
      </c>
      <c r="I248" s="145">
        <f t="shared" si="68"/>
        <v>0</v>
      </c>
      <c r="J248" s="145">
        <f t="shared" si="69"/>
        <v>0</v>
      </c>
      <c r="K248" s="142" t="str">
        <f t="shared" si="75"/>
        <v>kWh</v>
      </c>
      <c r="L248" s="146">
        <f>IFERROR(INDEX(Työkonekanta!$I$3:$I$27,MATCH('S2 Bio'!$A248,Työkonekanta!$A$3:$A$24,0),1)*(I248+J248)*f_adblue,0)</f>
        <v>0</v>
      </c>
      <c r="M248" s="146">
        <f t="shared" si="82"/>
        <v>0</v>
      </c>
      <c r="N248" s="143" t="str">
        <f>IF(tuulisähkö_vuosi&lt;='S2 Bio'!C248,"tuulisähkö",ostosähkö_nyt)</f>
        <v>jäännössähkö</v>
      </c>
      <c r="O248" s="147">
        <f>INDEX(Muuttujat!$J$5:$J$21,MATCH($C248,Muuttujat!$H$5:$H$21,0),1)</f>
        <v>63.897506909426724</v>
      </c>
      <c r="P248" s="148">
        <f t="shared" si="76"/>
        <v>0.51733333333333331</v>
      </c>
      <c r="Q248" s="148">
        <f t="shared" si="88"/>
        <v>0.48266666666666669</v>
      </c>
      <c r="R248" s="148">
        <f t="shared" si="88"/>
        <v>0.48266666666666669</v>
      </c>
      <c r="S248" s="149">
        <f t="shared" si="70"/>
        <v>0</v>
      </c>
      <c r="T248" s="150">
        <f t="shared" si="71"/>
        <v>0</v>
      </c>
      <c r="U248" s="150">
        <f t="shared" si="72"/>
        <v>0</v>
      </c>
      <c r="V248" s="150">
        <f>IFERROR(INDEX(Työkonekanta!$J$3:$J$27,MATCH($A248,Työkonekanta!$A$3:$A$24,0),1)*$B248*ef_li_ion_akku/1000/1000/INDEX(Työkonekanta!$K$3:$K$27,MATCH($A248,Työkonekanta!$A$3:$A$24,0)),0)</f>
        <v>0</v>
      </c>
      <c r="W248" s="149">
        <f t="shared" si="83"/>
        <v>0</v>
      </c>
      <c r="X248" s="150">
        <f t="shared" si="84"/>
        <v>0</v>
      </c>
      <c r="Y248" s="151">
        <f t="shared" si="85"/>
        <v>0</v>
      </c>
      <c r="Z248" s="152">
        <f t="shared" si="77"/>
        <v>0</v>
      </c>
      <c r="AA248" s="153">
        <f t="shared" si="78"/>
        <v>0</v>
      </c>
      <c r="AB248" s="153">
        <f t="shared" si="79"/>
        <v>0</v>
      </c>
      <c r="AC248" s="154">
        <f t="shared" si="86"/>
        <v>0</v>
      </c>
      <c r="AD248" s="180">
        <f t="shared" si="80"/>
        <v>0</v>
      </c>
      <c r="AE248" s="160"/>
    </row>
    <row r="249" spans="1:31">
      <c r="A249" s="139">
        <v>7</v>
      </c>
      <c r="B249" s="139">
        <f>IFERROR(INDEX(Työkonekanta!$F$3:$F$27,MATCH('S2 Bio'!$A249,Työkonekanta!$A$3:$A$24,0),1),0)</f>
        <v>1</v>
      </c>
      <c r="C249" s="140">
        <v>2027</v>
      </c>
      <c r="D249" s="141" t="str">
        <f>IFERROR(INDEX(Työkonekanta!$D$3:$D$27,MATCH('S2 Bio'!$A249,Työkonekanta!$A$3:$A$24,0),1),"undefined")</f>
        <v>pom</v>
      </c>
      <c r="E249" s="145">
        <f>IFERROR(INDEX(Työkonekanta!$G$3:$G$27,MATCH($A249,Työkonekanta!$A$3:$A$24,0),1)*INDEX(Työkonekanta!$H$3:$H$27,MATCH($A249,Työkonekanta!$A$3:$A$24,0),1)*(1+_xlfn.SINGLE(s2_kerroin)*($C249-2019))*$B249,0)</f>
        <v>10800</v>
      </c>
      <c r="F249" s="145">
        <f t="shared" si="67"/>
        <v>387720</v>
      </c>
      <c r="G249" s="145">
        <f t="shared" si="73"/>
        <v>200580.47999999998</v>
      </c>
      <c r="H249" s="145">
        <f t="shared" si="74"/>
        <v>187139.52000000002</v>
      </c>
      <c r="I249" s="145">
        <f t="shared" si="68"/>
        <v>5587.2</v>
      </c>
      <c r="J249" s="145">
        <f t="shared" si="69"/>
        <v>5455.9626822157443</v>
      </c>
      <c r="K249" s="142" t="str">
        <f t="shared" si="75"/>
        <v>l</v>
      </c>
      <c r="L249" s="146">
        <f>IFERROR(INDEX(Työkonekanta!$I$3:$I$27,MATCH('S2 Bio'!$A249,Työkonekanta!$A$3:$A$24,0),1)*(I249+J249)*f_adblue,0)</f>
        <v>0</v>
      </c>
      <c r="M249" s="146">
        <f t="shared" si="82"/>
        <v>0</v>
      </c>
      <c r="N249" s="143" t="str">
        <f>IF(tuulisähkö_vuosi&lt;='S2 Bio'!C249,"tuulisähkö",ostosähkö_nyt)</f>
        <v>jäännössähkö</v>
      </c>
      <c r="O249" s="147">
        <f>INDEX(Muuttujat!$J$5:$J$21,MATCH($C249,Muuttujat!$H$5:$H$21,0),1)</f>
        <v>63.897506909426724</v>
      </c>
      <c r="P249" s="148">
        <f t="shared" si="76"/>
        <v>0.51733333333333331</v>
      </c>
      <c r="Q249" s="148">
        <f t="shared" si="88"/>
        <v>0.48266666666666669</v>
      </c>
      <c r="R249" s="148">
        <f t="shared" si="88"/>
        <v>0.48266666666666669</v>
      </c>
      <c r="S249" s="149">
        <f t="shared" si="70"/>
        <v>3.7909710719999992</v>
      </c>
      <c r="T249" s="150">
        <f t="shared" si="71"/>
        <v>11.677506048000001</v>
      </c>
      <c r="U249" s="150">
        <f t="shared" si="72"/>
        <v>0</v>
      </c>
      <c r="V249" s="150">
        <f>IFERROR(INDEX(Työkonekanta!$J$3:$J$27,MATCH($A249,Työkonekanta!$A$3:$A$24,0),1)*$B249*ef_li_ion_akku/1000/1000/INDEX(Työkonekanta!$K$3:$K$27,MATCH($A249,Työkonekanta!$A$3:$A$24,0)),0)</f>
        <v>0</v>
      </c>
      <c r="W249" s="149">
        <f t="shared" si="83"/>
        <v>14.804495071153921</v>
      </c>
      <c r="X249" s="150">
        <f t="shared" si="84"/>
        <v>0.34316531280000001</v>
      </c>
      <c r="Y249" s="151">
        <f t="shared" si="85"/>
        <v>0</v>
      </c>
      <c r="Z249" s="152">
        <f t="shared" si="77"/>
        <v>15.468477120000001</v>
      </c>
      <c r="AA249" s="153">
        <f t="shared" si="78"/>
        <v>14.804495071153921</v>
      </c>
      <c r="AB249" s="153">
        <f t="shared" si="79"/>
        <v>15.147660383953921</v>
      </c>
      <c r="AC249" s="154">
        <f t="shared" si="86"/>
        <v>30.272972191153922</v>
      </c>
      <c r="AD249" s="180">
        <f t="shared" si="80"/>
        <v>30.616137503953922</v>
      </c>
      <c r="AE249" s="160"/>
    </row>
    <row r="250" spans="1:31">
      <c r="A250" s="139">
        <v>8</v>
      </c>
      <c r="B250" s="139">
        <f>IFERROR(INDEX(Työkonekanta!$F$3:$F$27,MATCH('S2 Bio'!$A250,Työkonekanta!$A$3:$A$24,0),1),0)</f>
        <v>1</v>
      </c>
      <c r="C250" s="140">
        <v>2027</v>
      </c>
      <c r="D250" s="141" t="str">
        <f>IFERROR(INDEX(Työkonekanta!$D$3:$D$27,MATCH('S2 Bio'!$A250,Työkonekanta!$A$3:$A$24,0),1),"undefined")</f>
        <v>pom</v>
      </c>
      <c r="E250" s="145">
        <f>IFERROR(INDEX(Työkonekanta!$G$3:$G$27,MATCH($A250,Työkonekanta!$A$3:$A$24,0),1)*INDEX(Työkonekanta!$H$3:$H$27,MATCH($A250,Työkonekanta!$A$3:$A$24,0),1)*(1+_xlfn.SINGLE(s2_kerroin)*($C250-2019))*$B250,0)</f>
        <v>10800</v>
      </c>
      <c r="F250" s="145">
        <f t="shared" si="67"/>
        <v>387720</v>
      </c>
      <c r="G250" s="145">
        <f t="shared" si="73"/>
        <v>200580.47999999998</v>
      </c>
      <c r="H250" s="145">
        <f t="shared" si="74"/>
        <v>187139.52000000002</v>
      </c>
      <c r="I250" s="145">
        <f t="shared" si="68"/>
        <v>5587.2</v>
      </c>
      <c r="J250" s="145">
        <f t="shared" si="69"/>
        <v>5455.9626822157443</v>
      </c>
      <c r="K250" s="142" t="str">
        <f t="shared" si="75"/>
        <v>l</v>
      </c>
      <c r="L250" s="146">
        <f>IFERROR(INDEX(Työkonekanta!$I$3:$I$27,MATCH('S2 Bio'!$A250,Työkonekanta!$A$3:$A$24,0),1)*(I250+J250)*f_adblue,0)</f>
        <v>552.15813411078727</v>
      </c>
      <c r="M250" s="146">
        <f t="shared" si="82"/>
        <v>0</v>
      </c>
      <c r="N250" s="143" t="str">
        <f>IF(tuulisähkö_vuosi&lt;='S2 Bio'!C250,"tuulisähkö",ostosähkö_nyt)</f>
        <v>jäännössähkö</v>
      </c>
      <c r="O250" s="147">
        <f>INDEX(Muuttujat!$J$5:$J$21,MATCH($C250,Muuttujat!$H$5:$H$21,0),1)</f>
        <v>63.897506909426724</v>
      </c>
      <c r="P250" s="148">
        <f t="shared" si="76"/>
        <v>0.51733333333333331</v>
      </c>
      <c r="Q250" s="148">
        <f t="shared" si="88"/>
        <v>0.48266666666666669</v>
      </c>
      <c r="R250" s="148">
        <f t="shared" si="88"/>
        <v>0.48266666666666669</v>
      </c>
      <c r="S250" s="149">
        <f t="shared" si="70"/>
        <v>3.7909710719999992</v>
      </c>
      <c r="T250" s="150">
        <f t="shared" si="71"/>
        <v>11.677506048000001</v>
      </c>
      <c r="U250" s="150">
        <f t="shared" si="72"/>
        <v>0</v>
      </c>
      <c r="V250" s="150">
        <f>IFERROR(INDEX(Työkonekanta!$J$3:$J$27,MATCH($A250,Työkonekanta!$A$3:$A$24,0),1)*$B250*ef_li_ion_akku/1000/1000/INDEX(Työkonekanta!$K$3:$K$27,MATCH($A250,Työkonekanta!$A$3:$A$24,0)),0)</f>
        <v>0</v>
      </c>
      <c r="W250" s="149">
        <f t="shared" si="83"/>
        <v>14.804495071153921</v>
      </c>
      <c r="X250" s="150">
        <f t="shared" si="84"/>
        <v>0.34316531280000001</v>
      </c>
      <c r="Y250" s="151">
        <f t="shared" si="85"/>
        <v>0.14356111486880471</v>
      </c>
      <c r="Z250" s="152">
        <f t="shared" si="77"/>
        <v>15.468477120000001</v>
      </c>
      <c r="AA250" s="153">
        <f t="shared" si="78"/>
        <v>14.948056186022725</v>
      </c>
      <c r="AB250" s="153">
        <f t="shared" si="79"/>
        <v>15.291221498822726</v>
      </c>
      <c r="AC250" s="154">
        <f t="shared" si="86"/>
        <v>30.416533306022728</v>
      </c>
      <c r="AD250" s="180">
        <f t="shared" si="80"/>
        <v>30.759698618822725</v>
      </c>
      <c r="AE250" s="160"/>
    </row>
    <row r="251" spans="1:31">
      <c r="A251" s="139">
        <v>9</v>
      </c>
      <c r="B251" s="139">
        <f>IFERROR(INDEX(Työkonekanta!$F$3:$F$27,MATCH('S2 Bio'!$A251,Työkonekanta!$A$3:$A$24,0),1),0)</f>
        <v>0</v>
      </c>
      <c r="C251" s="140">
        <v>2027</v>
      </c>
      <c r="D251" s="141" t="str">
        <f>IFERROR(INDEX(Työkonekanta!$D$3:$D$27,MATCH('S2 Bio'!$A251,Työkonekanta!$A$3:$A$24,0),1),"undefined")</f>
        <v>sähkö</v>
      </c>
      <c r="E251" s="145">
        <f>IFERROR(INDEX(Työkonekanta!$G$3:$G$27,MATCH($A251,Työkonekanta!$A$3:$A$24,0),1)*INDEX(Työkonekanta!$H$3:$H$27,MATCH($A251,Työkonekanta!$A$3:$A$24,0),1)*(1+_xlfn.SINGLE(s2_kerroin)*($C251-2019))*$B251,0)</f>
        <v>0</v>
      </c>
      <c r="F251" s="145">
        <f t="shared" si="67"/>
        <v>0</v>
      </c>
      <c r="G251" s="145">
        <f t="shared" si="73"/>
        <v>0</v>
      </c>
      <c r="H251" s="145">
        <f t="shared" si="74"/>
        <v>0</v>
      </c>
      <c r="I251" s="145">
        <f t="shared" si="68"/>
        <v>0</v>
      </c>
      <c r="J251" s="145">
        <f t="shared" si="69"/>
        <v>0</v>
      </c>
      <c r="K251" s="142" t="str">
        <f t="shared" si="75"/>
        <v>kWh</v>
      </c>
      <c r="L251" s="146">
        <f>IFERROR(INDEX(Työkonekanta!$I$3:$I$27,MATCH('S2 Bio'!$A251,Työkonekanta!$A$3:$A$24,0),1)*(I251+J251)*f_adblue,0)</f>
        <v>0</v>
      </c>
      <c r="M251" s="146">
        <f t="shared" si="82"/>
        <v>0</v>
      </c>
      <c r="N251" s="143" t="str">
        <f>IF(tuulisähkö_vuosi&lt;='S2 Bio'!C251,"tuulisähkö",ostosähkö_nyt)</f>
        <v>jäännössähkö</v>
      </c>
      <c r="O251" s="147">
        <f>INDEX(Muuttujat!$J$5:$J$21,MATCH($C251,Muuttujat!$H$5:$H$21,0),1)</f>
        <v>63.897506909426724</v>
      </c>
      <c r="P251" s="148">
        <f t="shared" si="76"/>
        <v>0.51733333333333331</v>
      </c>
      <c r="Q251" s="148">
        <f t="shared" si="88"/>
        <v>0.48266666666666669</v>
      </c>
      <c r="R251" s="148">
        <f t="shared" si="88"/>
        <v>0.48266666666666669</v>
      </c>
      <c r="S251" s="149">
        <f t="shared" si="70"/>
        <v>0</v>
      </c>
      <c r="T251" s="150">
        <f t="shared" si="71"/>
        <v>0</v>
      </c>
      <c r="U251" s="150">
        <f t="shared" si="72"/>
        <v>0</v>
      </c>
      <c r="V251" s="150">
        <f>IFERROR(INDEX(Työkonekanta!$J$3:$J$27,MATCH($A251,Työkonekanta!$A$3:$A$24,0),1)*$B251*ef_li_ion_akku/1000/1000/INDEX(Työkonekanta!$K$3:$K$27,MATCH($A251,Työkonekanta!$A$3:$A$24,0)),0)</f>
        <v>0</v>
      </c>
      <c r="W251" s="149">
        <f t="shared" si="83"/>
        <v>0</v>
      </c>
      <c r="X251" s="150">
        <f t="shared" si="84"/>
        <v>0</v>
      </c>
      <c r="Y251" s="151">
        <f t="shared" si="85"/>
        <v>0</v>
      </c>
      <c r="Z251" s="152">
        <f t="shared" si="77"/>
        <v>0</v>
      </c>
      <c r="AA251" s="153">
        <f t="shared" si="78"/>
        <v>0</v>
      </c>
      <c r="AB251" s="153">
        <f t="shared" si="79"/>
        <v>0</v>
      </c>
      <c r="AC251" s="154">
        <f t="shared" si="86"/>
        <v>0</v>
      </c>
      <c r="AD251" s="180">
        <f t="shared" si="80"/>
        <v>0</v>
      </c>
      <c r="AE251" s="160"/>
    </row>
    <row r="252" spans="1:31">
      <c r="A252" s="139">
        <v>10</v>
      </c>
      <c r="B252" s="139">
        <f>IFERROR(INDEX(Työkonekanta!$F$3:$F$27,MATCH('S2 Bio'!$A252,Työkonekanta!$A$3:$A$24,0),1),0)</f>
        <v>0</v>
      </c>
      <c r="C252" s="140">
        <v>2027</v>
      </c>
      <c r="D252" s="141" t="str">
        <f>IFERROR(INDEX(Työkonekanta!$D$3:$D$27,MATCH('S2 Bio'!$A252,Työkonekanta!$A$3:$A$24,0),1),"undefined")</f>
        <v>sähkö</v>
      </c>
      <c r="E252" s="145">
        <f>IFERROR(INDEX(Työkonekanta!$G$3:$G$27,MATCH($A252,Työkonekanta!$A$3:$A$24,0),1)*INDEX(Työkonekanta!$H$3:$H$27,MATCH($A252,Työkonekanta!$A$3:$A$24,0),1)*(1+_xlfn.SINGLE(s2_kerroin)*($C252-2019))*$B252,0)</f>
        <v>0</v>
      </c>
      <c r="F252" s="145">
        <f t="shared" si="67"/>
        <v>0</v>
      </c>
      <c r="G252" s="145">
        <f t="shared" si="73"/>
        <v>0</v>
      </c>
      <c r="H252" s="145">
        <f t="shared" si="74"/>
        <v>0</v>
      </c>
      <c r="I252" s="145">
        <f t="shared" si="68"/>
        <v>0</v>
      </c>
      <c r="J252" s="145">
        <f t="shared" si="69"/>
        <v>0</v>
      </c>
      <c r="K252" s="142" t="str">
        <f t="shared" si="75"/>
        <v>kWh</v>
      </c>
      <c r="L252" s="146">
        <f>IFERROR(INDEX(Työkonekanta!$I$3:$I$27,MATCH('S2 Bio'!$A252,Työkonekanta!$A$3:$A$24,0),1)*(I252+J252)*f_adblue,0)</f>
        <v>0</v>
      </c>
      <c r="M252" s="146">
        <f t="shared" si="82"/>
        <v>0</v>
      </c>
      <c r="N252" s="143" t="str">
        <f>IF(tuulisähkö_vuosi&lt;='S2 Bio'!C252,"tuulisähkö",ostosähkö_nyt)</f>
        <v>jäännössähkö</v>
      </c>
      <c r="O252" s="147">
        <f>INDEX(Muuttujat!$J$5:$J$21,MATCH($C252,Muuttujat!$H$5:$H$21,0),1)</f>
        <v>63.897506909426724</v>
      </c>
      <c r="P252" s="148">
        <f t="shared" si="76"/>
        <v>0.51733333333333331</v>
      </c>
      <c r="Q252" s="148">
        <f t="shared" si="88"/>
        <v>0.48266666666666669</v>
      </c>
      <c r="R252" s="148">
        <f t="shared" si="88"/>
        <v>0.48266666666666669</v>
      </c>
      <c r="S252" s="149">
        <f t="shared" si="70"/>
        <v>0</v>
      </c>
      <c r="T252" s="150">
        <f t="shared" si="71"/>
        <v>0</v>
      </c>
      <c r="U252" s="150">
        <f t="shared" si="72"/>
        <v>0</v>
      </c>
      <c r="V252" s="150">
        <f>IFERROR(INDEX(Työkonekanta!$J$3:$J$27,MATCH($A252,Työkonekanta!$A$3:$A$24,0),1)*$B252*ef_li_ion_akku/1000/1000/INDEX(Työkonekanta!$K$3:$K$27,MATCH($A252,Työkonekanta!$A$3:$A$24,0)),0)</f>
        <v>0</v>
      </c>
      <c r="W252" s="149">
        <f t="shared" si="83"/>
        <v>0</v>
      </c>
      <c r="X252" s="150">
        <f t="shared" si="84"/>
        <v>0</v>
      </c>
      <c r="Y252" s="151">
        <f t="shared" si="85"/>
        <v>0</v>
      </c>
      <c r="Z252" s="152">
        <f t="shared" si="77"/>
        <v>0</v>
      </c>
      <c r="AA252" s="153">
        <f t="shared" si="78"/>
        <v>0</v>
      </c>
      <c r="AB252" s="153">
        <f t="shared" si="79"/>
        <v>0</v>
      </c>
      <c r="AC252" s="154">
        <f t="shared" si="86"/>
        <v>0</v>
      </c>
      <c r="AD252" s="180">
        <f t="shared" si="80"/>
        <v>0</v>
      </c>
      <c r="AE252" s="160"/>
    </row>
    <row r="253" spans="1:31">
      <c r="A253" s="139">
        <v>11</v>
      </c>
      <c r="B253" s="139">
        <f>IFERROR(INDEX(Työkonekanta!$F$3:$F$27,MATCH('S2 Bio'!$A253,Työkonekanta!$A$3:$A$24,0),1),0)</f>
        <v>1</v>
      </c>
      <c r="C253" s="140">
        <v>2027</v>
      </c>
      <c r="D253" s="141" t="str">
        <f>IFERROR(INDEX(Työkonekanta!$D$3:$D$27,MATCH('S2 Bio'!$A253,Työkonekanta!$A$3:$A$24,0),1),"undefined")</f>
        <v>pom</v>
      </c>
      <c r="E253" s="145">
        <f>IFERROR(INDEX(Työkonekanta!$G$3:$G$27,MATCH($A253,Työkonekanta!$A$3:$A$24,0),1)*INDEX(Työkonekanta!$H$3:$H$27,MATCH($A253,Työkonekanta!$A$3:$A$24,0),1)*(1+_xlfn.SINGLE(s2_kerroin)*($C253-2019))*$B253,0)</f>
        <v>10800</v>
      </c>
      <c r="F253" s="145">
        <f t="shared" si="67"/>
        <v>387720</v>
      </c>
      <c r="G253" s="145">
        <f t="shared" si="73"/>
        <v>200580.47999999998</v>
      </c>
      <c r="H253" s="145">
        <f t="shared" si="74"/>
        <v>187139.52000000002</v>
      </c>
      <c r="I253" s="145">
        <f t="shared" si="68"/>
        <v>5587.2</v>
      </c>
      <c r="J253" s="145">
        <f t="shared" si="69"/>
        <v>5455.9626822157443</v>
      </c>
      <c r="K253" s="142" t="str">
        <f t="shared" si="75"/>
        <v>l</v>
      </c>
      <c r="L253" s="146">
        <f>IFERROR(INDEX(Työkonekanta!$I$3:$I$27,MATCH('S2 Bio'!$A253,Työkonekanta!$A$3:$A$24,0),1)*(I253+J253)*f_adblue,0)</f>
        <v>552.15813411078727</v>
      </c>
      <c r="M253" s="146">
        <f t="shared" si="82"/>
        <v>0</v>
      </c>
      <c r="N253" s="143" t="str">
        <f>IF(tuulisähkö_vuosi&lt;='S2 Bio'!C253,"tuulisähkö",ostosähkö_nyt)</f>
        <v>jäännössähkö</v>
      </c>
      <c r="O253" s="147">
        <f>INDEX(Muuttujat!$J$5:$J$21,MATCH($C253,Muuttujat!$H$5:$H$21,0),1)</f>
        <v>63.897506909426724</v>
      </c>
      <c r="P253" s="148">
        <f t="shared" si="76"/>
        <v>0.51733333333333331</v>
      </c>
      <c r="Q253" s="148">
        <f t="shared" si="88"/>
        <v>0.48266666666666669</v>
      </c>
      <c r="R253" s="148">
        <f t="shared" si="88"/>
        <v>0.48266666666666669</v>
      </c>
      <c r="S253" s="149">
        <f t="shared" si="70"/>
        <v>3.7909710719999992</v>
      </c>
      <c r="T253" s="150">
        <f t="shared" si="71"/>
        <v>11.677506048000001</v>
      </c>
      <c r="U253" s="150">
        <f t="shared" si="72"/>
        <v>0</v>
      </c>
      <c r="V253" s="150">
        <f>IFERROR(INDEX(Työkonekanta!$J$3:$J$27,MATCH($A253,Työkonekanta!$A$3:$A$24,0),1)*$B253*ef_li_ion_akku/1000/1000/INDEX(Työkonekanta!$K$3:$K$27,MATCH($A253,Työkonekanta!$A$3:$A$24,0)),0)</f>
        <v>0</v>
      </c>
      <c r="W253" s="149">
        <f t="shared" si="83"/>
        <v>14.804495071153921</v>
      </c>
      <c r="X253" s="150">
        <f t="shared" si="84"/>
        <v>0.34316531280000001</v>
      </c>
      <c r="Y253" s="151">
        <f t="shared" si="85"/>
        <v>0.14356111486880471</v>
      </c>
      <c r="Z253" s="152">
        <f t="shared" si="77"/>
        <v>15.468477120000001</v>
      </c>
      <c r="AA253" s="153">
        <f t="shared" si="78"/>
        <v>14.948056186022725</v>
      </c>
      <c r="AB253" s="153">
        <f t="shared" si="79"/>
        <v>15.291221498822726</v>
      </c>
      <c r="AC253" s="154">
        <f t="shared" si="86"/>
        <v>30.416533306022728</v>
      </c>
      <c r="AD253" s="180">
        <f t="shared" si="80"/>
        <v>30.759698618822725</v>
      </c>
      <c r="AE253" s="160"/>
    </row>
    <row r="254" spans="1:31">
      <c r="A254" s="139">
        <v>12</v>
      </c>
      <c r="B254" s="139">
        <f>IFERROR(INDEX(Työkonekanta!$F$3:$F$27,MATCH('S2 Bio'!$A254,Työkonekanta!$A$3:$A$24,0),1),0)</f>
        <v>1</v>
      </c>
      <c r="C254" s="140">
        <v>2027</v>
      </c>
      <c r="D254" s="141" t="str">
        <f>IFERROR(INDEX(Työkonekanta!$D$3:$D$27,MATCH('S2 Bio'!$A254,Työkonekanta!$A$3:$A$24,0),1),"undefined")</f>
        <v>pom</v>
      </c>
      <c r="E254" s="145">
        <f>IFERROR(INDEX(Työkonekanta!$G$3:$G$27,MATCH($A254,Työkonekanta!$A$3:$A$24,0),1)*INDEX(Työkonekanta!$H$3:$H$27,MATCH($A254,Työkonekanta!$A$3:$A$24,0),1)*(1+_xlfn.SINGLE(s2_kerroin)*($C254-2019))*$B254,0)</f>
        <v>10800</v>
      </c>
      <c r="F254" s="145">
        <f t="shared" si="67"/>
        <v>387720</v>
      </c>
      <c r="G254" s="145">
        <f t="shared" si="73"/>
        <v>200580.47999999998</v>
      </c>
      <c r="H254" s="145">
        <f t="shared" si="74"/>
        <v>187139.52000000002</v>
      </c>
      <c r="I254" s="145">
        <f t="shared" si="68"/>
        <v>5587.2</v>
      </c>
      <c r="J254" s="145">
        <f t="shared" si="69"/>
        <v>5455.9626822157443</v>
      </c>
      <c r="K254" s="142" t="str">
        <f t="shared" si="75"/>
        <v>l</v>
      </c>
      <c r="L254" s="146">
        <f>IFERROR(INDEX(Työkonekanta!$I$3:$I$27,MATCH('S2 Bio'!$A254,Työkonekanta!$A$3:$A$24,0),1)*(I254+J254)*f_adblue,0)</f>
        <v>552.15813411078727</v>
      </c>
      <c r="M254" s="146">
        <f t="shared" si="82"/>
        <v>0</v>
      </c>
      <c r="N254" s="143" t="str">
        <f>IF(tuulisähkö_vuosi&lt;='S2 Bio'!C254,"tuulisähkö",ostosähkö_nyt)</f>
        <v>jäännössähkö</v>
      </c>
      <c r="O254" s="147">
        <f>INDEX(Muuttujat!$J$5:$J$21,MATCH($C254,Muuttujat!$H$5:$H$21,0),1)</f>
        <v>63.897506909426724</v>
      </c>
      <c r="P254" s="148">
        <f t="shared" si="76"/>
        <v>0.51733333333333331</v>
      </c>
      <c r="Q254" s="148">
        <f t="shared" si="88"/>
        <v>0.48266666666666669</v>
      </c>
      <c r="R254" s="148">
        <f t="shared" si="88"/>
        <v>0.48266666666666669</v>
      </c>
      <c r="S254" s="149">
        <f t="shared" si="70"/>
        <v>3.7909710719999992</v>
      </c>
      <c r="T254" s="150">
        <f t="shared" si="71"/>
        <v>11.677506048000001</v>
      </c>
      <c r="U254" s="150">
        <f t="shared" si="72"/>
        <v>0</v>
      </c>
      <c r="V254" s="150">
        <f>IFERROR(INDEX(Työkonekanta!$J$3:$J$27,MATCH($A254,Työkonekanta!$A$3:$A$24,0),1)*$B254*ef_li_ion_akku/1000/1000/INDEX(Työkonekanta!$K$3:$K$27,MATCH($A254,Työkonekanta!$A$3:$A$24,0)),0)</f>
        <v>0</v>
      </c>
      <c r="W254" s="149">
        <f t="shared" si="83"/>
        <v>14.804495071153921</v>
      </c>
      <c r="X254" s="150">
        <f t="shared" si="84"/>
        <v>0.34316531280000001</v>
      </c>
      <c r="Y254" s="151">
        <f t="shared" si="85"/>
        <v>0.14356111486880471</v>
      </c>
      <c r="Z254" s="152">
        <f t="shared" si="77"/>
        <v>15.468477120000001</v>
      </c>
      <c r="AA254" s="153">
        <f t="shared" si="78"/>
        <v>14.948056186022725</v>
      </c>
      <c r="AB254" s="153">
        <f t="shared" si="79"/>
        <v>15.291221498822726</v>
      </c>
      <c r="AC254" s="154">
        <f t="shared" si="86"/>
        <v>30.416533306022728</v>
      </c>
      <c r="AD254" s="180">
        <f t="shared" si="80"/>
        <v>30.759698618822725</v>
      </c>
      <c r="AE254" s="160"/>
    </row>
    <row r="255" spans="1:31">
      <c r="A255" s="139">
        <v>13</v>
      </c>
      <c r="B255" s="139">
        <f>IFERROR(INDEX(Työkonekanta!$F$3:$F$27,MATCH('S2 Bio'!$A255,Työkonekanta!$A$3:$A$24,0),1),0)</f>
        <v>0</v>
      </c>
      <c r="C255" s="140">
        <v>2027</v>
      </c>
      <c r="D255" s="141" t="str">
        <f>IFERROR(INDEX(Työkonekanta!$D$3:$D$27,MATCH('S2 Bio'!$A255,Työkonekanta!$A$3:$A$24,0),1),"undefined")</f>
        <v>pom</v>
      </c>
      <c r="E255" s="145">
        <f>IFERROR(INDEX(Työkonekanta!$G$3:$G$27,MATCH($A255,Työkonekanta!$A$3:$A$24,0),1)*INDEX(Työkonekanta!$H$3:$H$27,MATCH($A255,Työkonekanta!$A$3:$A$24,0),1)*(1+_xlfn.SINGLE(s2_kerroin)*($C255-2019))*$B255,0)</f>
        <v>0</v>
      </c>
      <c r="F255" s="145">
        <f t="shared" si="67"/>
        <v>0</v>
      </c>
      <c r="G255" s="145">
        <f t="shared" si="73"/>
        <v>0</v>
      </c>
      <c r="H255" s="145">
        <f t="shared" si="74"/>
        <v>0</v>
      </c>
      <c r="I255" s="145">
        <f t="shared" si="68"/>
        <v>0</v>
      </c>
      <c r="J255" s="145">
        <f t="shared" si="69"/>
        <v>0</v>
      </c>
      <c r="K255" s="142" t="str">
        <f t="shared" si="75"/>
        <v>l</v>
      </c>
      <c r="L255" s="146">
        <f>IFERROR(INDEX(Työkonekanta!$I$3:$I$27,MATCH('S2 Bio'!$A255,Työkonekanta!$A$3:$A$24,0),1)*(I255+J255)*f_adblue,0)</f>
        <v>0</v>
      </c>
      <c r="M255" s="146">
        <f t="shared" si="82"/>
        <v>0</v>
      </c>
      <c r="N255" s="143" t="str">
        <f>IF(tuulisähkö_vuosi&lt;='S2 Bio'!C255,"tuulisähkö",ostosähkö_nyt)</f>
        <v>jäännössähkö</v>
      </c>
      <c r="O255" s="147">
        <f>INDEX(Muuttujat!$J$5:$J$21,MATCH($C255,Muuttujat!$H$5:$H$21,0),1)</f>
        <v>63.897506909426724</v>
      </c>
      <c r="P255" s="148">
        <f t="shared" si="76"/>
        <v>0.51733333333333331</v>
      </c>
      <c r="Q255" s="148">
        <f t="shared" si="88"/>
        <v>0.48266666666666669</v>
      </c>
      <c r="R255" s="148">
        <f t="shared" si="88"/>
        <v>0.48266666666666669</v>
      </c>
      <c r="S255" s="149">
        <f t="shared" si="70"/>
        <v>0</v>
      </c>
      <c r="T255" s="150">
        <f t="shared" si="71"/>
        <v>0</v>
      </c>
      <c r="U255" s="150">
        <f t="shared" si="72"/>
        <v>0</v>
      </c>
      <c r="V255" s="150">
        <f>IFERROR(INDEX(Työkonekanta!$J$3:$J$27,MATCH($A255,Työkonekanta!$A$3:$A$24,0),1)*$B255*ef_li_ion_akku/1000/1000/INDEX(Työkonekanta!$K$3:$K$27,MATCH($A255,Työkonekanta!$A$3:$A$24,0)),0)</f>
        <v>0</v>
      </c>
      <c r="W255" s="149">
        <f t="shared" si="83"/>
        <v>0</v>
      </c>
      <c r="X255" s="150">
        <f t="shared" si="84"/>
        <v>0</v>
      </c>
      <c r="Y255" s="151">
        <f t="shared" si="85"/>
        <v>0</v>
      </c>
      <c r="Z255" s="152">
        <f t="shared" si="77"/>
        <v>0</v>
      </c>
      <c r="AA255" s="153">
        <f t="shared" si="78"/>
        <v>0</v>
      </c>
      <c r="AB255" s="153">
        <f t="shared" si="79"/>
        <v>0</v>
      </c>
      <c r="AC255" s="154">
        <f t="shared" si="86"/>
        <v>0</v>
      </c>
      <c r="AD255" s="180">
        <f t="shared" si="80"/>
        <v>0</v>
      </c>
      <c r="AE255" s="160"/>
    </row>
    <row r="256" spans="1:31">
      <c r="A256" s="139">
        <v>14</v>
      </c>
      <c r="B256" s="139">
        <f>IFERROR(INDEX(Työkonekanta!$F$3:$F$27,MATCH('S2 Bio'!$A256,Työkonekanta!$A$3:$A$24,0),1),0)</f>
        <v>0</v>
      </c>
      <c r="C256" s="140">
        <v>2027</v>
      </c>
      <c r="D256" s="141" t="str">
        <f>IFERROR(INDEX(Työkonekanta!$D$3:$D$27,MATCH('S2 Bio'!$A256,Työkonekanta!$A$3:$A$24,0),1),"undefined")</f>
        <v>pom</v>
      </c>
      <c r="E256" s="145">
        <f>IFERROR(INDEX(Työkonekanta!$G$3:$G$27,MATCH($A256,Työkonekanta!$A$3:$A$24,0),1)*INDEX(Työkonekanta!$H$3:$H$27,MATCH($A256,Työkonekanta!$A$3:$A$24,0),1)*(1+_xlfn.SINGLE(s2_kerroin)*($C256-2019))*$B256,0)</f>
        <v>0</v>
      </c>
      <c r="F256" s="145">
        <f t="shared" si="67"/>
        <v>0</v>
      </c>
      <c r="G256" s="145">
        <f t="shared" si="73"/>
        <v>0</v>
      </c>
      <c r="H256" s="145">
        <f t="shared" si="74"/>
        <v>0</v>
      </c>
      <c r="I256" s="145">
        <f t="shared" si="68"/>
        <v>0</v>
      </c>
      <c r="J256" s="145">
        <f t="shared" si="69"/>
        <v>0</v>
      </c>
      <c r="K256" s="142" t="str">
        <f t="shared" si="75"/>
        <v>l</v>
      </c>
      <c r="L256" s="146">
        <f>IFERROR(INDEX(Työkonekanta!$I$3:$I$27,MATCH('S2 Bio'!$A256,Työkonekanta!$A$3:$A$24,0),1)*(I256+J256)*f_adblue,0)</f>
        <v>0</v>
      </c>
      <c r="M256" s="146">
        <f t="shared" si="82"/>
        <v>0</v>
      </c>
      <c r="N256" s="143" t="str">
        <f>IF(tuulisähkö_vuosi&lt;='S2 Bio'!C256,"tuulisähkö",ostosähkö_nyt)</f>
        <v>jäännössähkö</v>
      </c>
      <c r="O256" s="147">
        <f>INDEX(Muuttujat!$J$5:$J$21,MATCH($C256,Muuttujat!$H$5:$H$21,0),1)</f>
        <v>63.897506909426724</v>
      </c>
      <c r="P256" s="148">
        <f t="shared" si="76"/>
        <v>0.51733333333333331</v>
      </c>
      <c r="Q256" s="148">
        <f t="shared" si="88"/>
        <v>0.48266666666666669</v>
      </c>
      <c r="R256" s="148">
        <f t="shared" si="88"/>
        <v>0.48266666666666669</v>
      </c>
      <c r="S256" s="149">
        <f t="shared" si="70"/>
        <v>0</v>
      </c>
      <c r="T256" s="150">
        <f t="shared" si="71"/>
        <v>0</v>
      </c>
      <c r="U256" s="150">
        <f t="shared" si="72"/>
        <v>0</v>
      </c>
      <c r="V256" s="150">
        <f>IFERROR(INDEX(Työkonekanta!$J$3:$J$27,MATCH($A256,Työkonekanta!$A$3:$A$24,0),1)*$B256*ef_li_ion_akku/1000/1000/INDEX(Työkonekanta!$K$3:$K$27,MATCH($A256,Työkonekanta!$A$3:$A$24,0)),0)</f>
        <v>0</v>
      </c>
      <c r="W256" s="149">
        <f t="shared" si="83"/>
        <v>0</v>
      </c>
      <c r="X256" s="150">
        <f t="shared" si="84"/>
        <v>0</v>
      </c>
      <c r="Y256" s="151">
        <f t="shared" si="85"/>
        <v>0</v>
      </c>
      <c r="Z256" s="152">
        <f t="shared" si="77"/>
        <v>0</v>
      </c>
      <c r="AA256" s="153">
        <f t="shared" si="78"/>
        <v>0</v>
      </c>
      <c r="AB256" s="153">
        <f t="shared" si="79"/>
        <v>0</v>
      </c>
      <c r="AC256" s="154">
        <f t="shared" si="86"/>
        <v>0</v>
      </c>
      <c r="AD256" s="180">
        <f t="shared" si="80"/>
        <v>0</v>
      </c>
      <c r="AE256" s="160"/>
    </row>
    <row r="257" spans="1:31">
      <c r="A257" s="139">
        <v>15</v>
      </c>
      <c r="B257" s="139">
        <f>IFERROR(INDEX(Työkonekanta!$F$3:$F$27,MATCH('S2 Bio'!$A257,Työkonekanta!$A$3:$A$24,0),1),0)</f>
        <v>0</v>
      </c>
      <c r="C257" s="140">
        <v>2027</v>
      </c>
      <c r="D257" s="141" t="str">
        <f>IFERROR(INDEX(Työkonekanta!$D$3:$D$27,MATCH('S2 Bio'!$A257,Työkonekanta!$A$3:$A$24,0),1),"undefined")</f>
        <v>sähkö</v>
      </c>
      <c r="E257" s="145">
        <f>IFERROR(INDEX(Työkonekanta!$G$3:$G$27,MATCH($A257,Työkonekanta!$A$3:$A$24,0),1)*INDEX(Työkonekanta!$H$3:$H$27,MATCH($A257,Työkonekanta!$A$3:$A$24,0),1)*(1+_xlfn.SINGLE(s2_kerroin)*($C257-2019))*$B257,0)</f>
        <v>0</v>
      </c>
      <c r="F257" s="145">
        <f t="shared" si="67"/>
        <v>0</v>
      </c>
      <c r="G257" s="145">
        <f t="shared" si="73"/>
        <v>0</v>
      </c>
      <c r="H257" s="145">
        <f t="shared" si="74"/>
        <v>0</v>
      </c>
      <c r="I257" s="145">
        <f t="shared" si="68"/>
        <v>0</v>
      </c>
      <c r="J257" s="145">
        <f t="shared" si="69"/>
        <v>0</v>
      </c>
      <c r="K257" s="142" t="str">
        <f t="shared" si="75"/>
        <v>kWh</v>
      </c>
      <c r="L257" s="146">
        <f>IFERROR(INDEX(Työkonekanta!$I$3:$I$27,MATCH('S2 Bio'!$A257,Työkonekanta!$A$3:$A$24,0),1)*(I257+J257)*f_adblue,0)</f>
        <v>0</v>
      </c>
      <c r="M257" s="146">
        <f t="shared" si="82"/>
        <v>0</v>
      </c>
      <c r="N257" s="143" t="str">
        <f>IF(tuulisähkö_vuosi&lt;='S2 Bio'!C257,"tuulisähkö",ostosähkö_nyt)</f>
        <v>jäännössähkö</v>
      </c>
      <c r="O257" s="147">
        <f>INDEX(Muuttujat!$J$5:$J$21,MATCH($C257,Muuttujat!$H$5:$H$21,0),1)</f>
        <v>63.897506909426724</v>
      </c>
      <c r="P257" s="148">
        <f t="shared" si="76"/>
        <v>0.51733333333333331</v>
      </c>
      <c r="Q257" s="148">
        <f t="shared" si="88"/>
        <v>0.48266666666666669</v>
      </c>
      <c r="R257" s="148">
        <f t="shared" si="88"/>
        <v>0.48266666666666669</v>
      </c>
      <c r="S257" s="149">
        <f t="shared" si="70"/>
        <v>0</v>
      </c>
      <c r="T257" s="150">
        <f t="shared" si="71"/>
        <v>0</v>
      </c>
      <c r="U257" s="150">
        <f t="shared" si="72"/>
        <v>0</v>
      </c>
      <c r="V257" s="150">
        <f>IFERROR(INDEX(Työkonekanta!$J$3:$J$27,MATCH($A257,Työkonekanta!$A$3:$A$24,0),1)*$B257*ef_li_ion_akku/1000/1000/INDEX(Työkonekanta!$K$3:$K$27,MATCH($A257,Työkonekanta!$A$3:$A$24,0)),0)</f>
        <v>0</v>
      </c>
      <c r="W257" s="149">
        <f t="shared" si="83"/>
        <v>0</v>
      </c>
      <c r="X257" s="150">
        <f t="shared" si="84"/>
        <v>0</v>
      </c>
      <c r="Y257" s="151">
        <f t="shared" si="85"/>
        <v>0</v>
      </c>
      <c r="Z257" s="152">
        <f t="shared" si="77"/>
        <v>0</v>
      </c>
      <c r="AA257" s="153">
        <f t="shared" si="78"/>
        <v>0</v>
      </c>
      <c r="AB257" s="153">
        <f t="shared" si="79"/>
        <v>0</v>
      </c>
      <c r="AC257" s="154">
        <f t="shared" si="86"/>
        <v>0</v>
      </c>
      <c r="AD257" s="180">
        <f t="shared" si="80"/>
        <v>0</v>
      </c>
      <c r="AE257" s="160"/>
    </row>
    <row r="258" spans="1:31">
      <c r="A258" s="139">
        <v>16</v>
      </c>
      <c r="B258" s="139">
        <f>IFERROR(INDEX(Työkonekanta!$F$3:$F$27,MATCH('S2 Bio'!$A258,Työkonekanta!$A$3:$A$24,0),1),0)</f>
        <v>0</v>
      </c>
      <c r="C258" s="140">
        <v>2027</v>
      </c>
      <c r="D258" s="141" t="str">
        <f>IFERROR(INDEX(Työkonekanta!$D$3:$D$27,MATCH('S2 Bio'!$A258,Työkonekanta!$A$3:$A$24,0),1),"undefined")</f>
        <v>sähkö</v>
      </c>
      <c r="E258" s="145">
        <f>IFERROR(INDEX(Työkonekanta!$G$3:$G$27,MATCH($A258,Työkonekanta!$A$3:$A$24,0),1)*INDEX(Työkonekanta!$H$3:$H$27,MATCH($A258,Työkonekanta!$A$3:$A$24,0),1)*(1+_xlfn.SINGLE(s2_kerroin)*($C258-2019))*$B258,0)</f>
        <v>0</v>
      </c>
      <c r="F258" s="145">
        <f t="shared" si="67"/>
        <v>0</v>
      </c>
      <c r="G258" s="145">
        <f t="shared" si="73"/>
        <v>0</v>
      </c>
      <c r="H258" s="145">
        <f t="shared" si="74"/>
        <v>0</v>
      </c>
      <c r="I258" s="145">
        <f t="shared" si="68"/>
        <v>0</v>
      </c>
      <c r="J258" s="145">
        <f t="shared" si="69"/>
        <v>0</v>
      </c>
      <c r="K258" s="142" t="str">
        <f t="shared" si="75"/>
        <v>kWh</v>
      </c>
      <c r="L258" s="146">
        <f>IFERROR(INDEX(Työkonekanta!$I$3:$I$27,MATCH('S2 Bio'!$A258,Työkonekanta!$A$3:$A$24,0),1)*(I258+J258)*f_adblue,0)</f>
        <v>0</v>
      </c>
      <c r="M258" s="146">
        <f t="shared" si="82"/>
        <v>0</v>
      </c>
      <c r="N258" s="143" t="str">
        <f>IF(tuulisähkö_vuosi&lt;='S2 Bio'!C258,"tuulisähkö",ostosähkö_nyt)</f>
        <v>jäännössähkö</v>
      </c>
      <c r="O258" s="147">
        <f>INDEX(Muuttujat!$J$5:$J$21,MATCH($C258,Muuttujat!$H$5:$H$21,0),1)</f>
        <v>63.897506909426724</v>
      </c>
      <c r="P258" s="148">
        <f t="shared" si="76"/>
        <v>0.51733333333333331</v>
      </c>
      <c r="Q258" s="148">
        <f t="shared" si="88"/>
        <v>0.48266666666666669</v>
      </c>
      <c r="R258" s="148">
        <f t="shared" si="88"/>
        <v>0.48266666666666669</v>
      </c>
      <c r="S258" s="149">
        <f t="shared" si="70"/>
        <v>0</v>
      </c>
      <c r="T258" s="150">
        <f t="shared" si="71"/>
        <v>0</v>
      </c>
      <c r="U258" s="150">
        <f t="shared" si="72"/>
        <v>0</v>
      </c>
      <c r="V258" s="150">
        <f>IFERROR(INDEX(Työkonekanta!$J$3:$J$27,MATCH($A258,Työkonekanta!$A$3:$A$24,0),1)*$B258*ef_li_ion_akku/1000/1000/INDEX(Työkonekanta!$K$3:$K$27,MATCH($A258,Työkonekanta!$A$3:$A$24,0)),0)</f>
        <v>0</v>
      </c>
      <c r="W258" s="149">
        <f t="shared" si="83"/>
        <v>0</v>
      </c>
      <c r="X258" s="150">
        <f t="shared" si="84"/>
        <v>0</v>
      </c>
      <c r="Y258" s="151">
        <f t="shared" si="85"/>
        <v>0</v>
      </c>
      <c r="Z258" s="152">
        <f t="shared" si="77"/>
        <v>0</v>
      </c>
      <c r="AA258" s="153">
        <f t="shared" si="78"/>
        <v>0</v>
      </c>
      <c r="AB258" s="153">
        <f t="shared" si="79"/>
        <v>0</v>
      </c>
      <c r="AC258" s="154">
        <f t="shared" si="86"/>
        <v>0</v>
      </c>
      <c r="AD258" s="180">
        <f t="shared" si="80"/>
        <v>0</v>
      </c>
      <c r="AE258" s="160"/>
    </row>
    <row r="259" spans="1:31">
      <c r="A259" s="139">
        <v>17</v>
      </c>
      <c r="B259" s="139">
        <f>IFERROR(INDEX(Työkonekanta!$F$3:$F$27,MATCH('S2 Bio'!$A259,Työkonekanta!$A$3:$A$24,0),1),0)</f>
        <v>1</v>
      </c>
      <c r="C259" s="140">
        <v>2027</v>
      </c>
      <c r="D259" s="141" t="str">
        <f>IFERROR(INDEX(Työkonekanta!$D$3:$D$27,MATCH('S2 Bio'!$A259,Työkonekanta!$A$3:$A$24,0),1),"undefined")</f>
        <v>pom</v>
      </c>
      <c r="E259" s="145">
        <f>IFERROR(INDEX(Työkonekanta!$G$3:$G$27,MATCH($A259,Työkonekanta!$A$3:$A$24,0),1)*INDEX(Työkonekanta!$H$3:$H$27,MATCH($A259,Työkonekanta!$A$3:$A$24,0),1)*(1+_xlfn.SINGLE(s2_kerroin)*($C259-2019))*$B259,0)</f>
        <v>10800</v>
      </c>
      <c r="F259" s="145">
        <f t="shared" ref="F259:F322" si="89">IF(D259="pom",$E259*hv_pom,0)</f>
        <v>387720</v>
      </c>
      <c r="G259" s="145">
        <f t="shared" si="73"/>
        <v>200580.47999999998</v>
      </c>
      <c r="H259" s="145">
        <f t="shared" si="74"/>
        <v>187139.52000000002</v>
      </c>
      <c r="I259" s="145">
        <f t="shared" ref="I259:I322" si="90">$G259/hv_pom</f>
        <v>5587.2</v>
      </c>
      <c r="J259" s="145">
        <f t="shared" ref="J259:J322" si="91">$H259/hv_biodies</f>
        <v>5455.9626822157443</v>
      </c>
      <c r="K259" s="142" t="str">
        <f t="shared" si="75"/>
        <v>l</v>
      </c>
      <c r="L259" s="146">
        <f>IFERROR(INDEX(Työkonekanta!$I$3:$I$27,MATCH('S2 Bio'!$A259,Työkonekanta!$A$3:$A$24,0),1)*(I259+J259)*f_adblue,0)</f>
        <v>552.15813411078727</v>
      </c>
      <c r="M259" s="146">
        <f t="shared" si="82"/>
        <v>0</v>
      </c>
      <c r="N259" s="143" t="str">
        <f>IF(tuulisähkö_vuosi&lt;='S2 Bio'!C259,"tuulisähkö",ostosähkö_nyt)</f>
        <v>jäännössähkö</v>
      </c>
      <c r="O259" s="147">
        <f>INDEX(Muuttujat!$J$5:$J$21,MATCH($C259,Muuttujat!$H$5:$H$21,0),1)</f>
        <v>63.897506909426724</v>
      </c>
      <c r="P259" s="148">
        <f t="shared" si="76"/>
        <v>0.51733333333333331</v>
      </c>
      <c r="Q259" s="148">
        <f t="shared" si="88"/>
        <v>0.48266666666666669</v>
      </c>
      <c r="R259" s="148">
        <f t="shared" si="88"/>
        <v>0.48266666666666669</v>
      </c>
      <c r="S259" s="149">
        <f t="shared" ref="S259:S322" si="92">wtt_ef_e_co2_dies*$G259/1000/1000</f>
        <v>3.7909710719999992</v>
      </c>
      <c r="T259" s="150">
        <f t="shared" ref="T259:T322" si="93">wtt_ef_e_co2_biodies*$H259/1000/1000</f>
        <v>11.677506048000001</v>
      </c>
      <c r="U259" s="150">
        <f t="shared" ref="U259:U322" si="94">IF(N259="jäännössähkö",$O259,IF(N259="tuulisähkö",wtt_ef_e_co2_el_wind,0))*$M259/1000/1000</f>
        <v>0</v>
      </c>
      <c r="V259" s="150">
        <f>IFERROR(INDEX(Työkonekanta!$J$3:$J$27,MATCH($A259,Työkonekanta!$A$3:$A$24,0),1)*$B259*ef_li_ion_akku/1000/1000/INDEX(Työkonekanta!$K$3:$K$27,MATCH($A259,Työkonekanta!$A$3:$A$24,0)),0)</f>
        <v>0</v>
      </c>
      <c r="W259" s="149">
        <f t="shared" si="83"/>
        <v>14.804495071153921</v>
      </c>
      <c r="X259" s="150">
        <f t="shared" si="84"/>
        <v>0.34316531280000001</v>
      </c>
      <c r="Y259" s="151">
        <f t="shared" si="85"/>
        <v>0.14356111486880471</v>
      </c>
      <c r="Z259" s="152">
        <f t="shared" si="77"/>
        <v>15.468477120000001</v>
      </c>
      <c r="AA259" s="153">
        <f t="shared" si="78"/>
        <v>14.948056186022725</v>
      </c>
      <c r="AB259" s="153">
        <f t="shared" si="79"/>
        <v>15.291221498822726</v>
      </c>
      <c r="AC259" s="154">
        <f t="shared" si="86"/>
        <v>30.416533306022728</v>
      </c>
      <c r="AD259" s="180">
        <f t="shared" si="80"/>
        <v>30.759698618822725</v>
      </c>
      <c r="AE259" s="160"/>
    </row>
    <row r="260" spans="1:31">
      <c r="A260" s="139">
        <v>18</v>
      </c>
      <c r="B260" s="139">
        <f>IFERROR(INDEX(Työkonekanta!$F$3:$F$27,MATCH('S2 Bio'!$A260,Työkonekanta!$A$3:$A$24,0),1),0)</f>
        <v>1</v>
      </c>
      <c r="C260" s="140">
        <v>2027</v>
      </c>
      <c r="D260" s="141" t="str">
        <f>IFERROR(INDEX(Työkonekanta!$D$3:$D$27,MATCH('S2 Bio'!$A260,Työkonekanta!$A$3:$A$24,0),1),"undefined")</f>
        <v>pom</v>
      </c>
      <c r="E260" s="145">
        <f>IFERROR(INDEX(Työkonekanta!$G$3:$G$27,MATCH($A260,Työkonekanta!$A$3:$A$24,0),1)*INDEX(Työkonekanta!$H$3:$H$27,MATCH($A260,Työkonekanta!$A$3:$A$24,0),1)*(1+_xlfn.SINGLE(s2_kerroin)*($C260-2019))*$B260,0)</f>
        <v>10800</v>
      </c>
      <c r="F260" s="145">
        <f t="shared" si="89"/>
        <v>387720</v>
      </c>
      <c r="G260" s="145">
        <f t="shared" ref="G260:G323" si="95">$F260*$P260</f>
        <v>200580.47999999998</v>
      </c>
      <c r="H260" s="145">
        <f t="shared" ref="H260:H323" si="96">$F260*$Q260</f>
        <v>187139.52000000002</v>
      </c>
      <c r="I260" s="145">
        <f t="shared" si="90"/>
        <v>5587.2</v>
      </c>
      <c r="J260" s="145">
        <f t="shared" si="91"/>
        <v>5455.9626822157443</v>
      </c>
      <c r="K260" s="142" t="str">
        <f t="shared" ref="K260:K323" si="97">IF($D260="sähkö","kWh",IF($D260="pom","l","undefined"))</f>
        <v>l</v>
      </c>
      <c r="L260" s="146">
        <f>IFERROR(INDEX(Työkonekanta!$I$3:$I$27,MATCH('S2 Bio'!$A260,Työkonekanta!$A$3:$A$24,0),1)*(I260+J260)*f_adblue,0)</f>
        <v>441.72650728862982</v>
      </c>
      <c r="M260" s="146">
        <f t="shared" si="82"/>
        <v>0</v>
      </c>
      <c r="N260" s="143" t="str">
        <f>IF(tuulisähkö_vuosi&lt;='S2 Bio'!C260,"tuulisähkö",ostosähkö_nyt)</f>
        <v>jäännössähkö</v>
      </c>
      <c r="O260" s="147">
        <f>INDEX(Muuttujat!$J$5:$J$21,MATCH($C260,Muuttujat!$H$5:$H$21,0),1)</f>
        <v>63.897506909426724</v>
      </c>
      <c r="P260" s="148">
        <f t="shared" ref="P260:P323" si="98">1-Q260</f>
        <v>0.51733333333333331</v>
      </c>
      <c r="Q260" s="148">
        <f t="shared" si="88"/>
        <v>0.48266666666666669</v>
      </c>
      <c r="R260" s="148">
        <f t="shared" si="88"/>
        <v>0.48266666666666669</v>
      </c>
      <c r="S260" s="149">
        <f t="shared" si="92"/>
        <v>3.7909710719999992</v>
      </c>
      <c r="T260" s="150">
        <f t="shared" si="93"/>
        <v>11.677506048000001</v>
      </c>
      <c r="U260" s="150">
        <f t="shared" si="94"/>
        <v>0</v>
      </c>
      <c r="V260" s="150">
        <f>IFERROR(INDEX(Työkonekanta!$J$3:$J$27,MATCH($A260,Työkonekanta!$A$3:$A$24,0),1)*$B260*ef_li_ion_akku/1000/1000/INDEX(Työkonekanta!$K$3:$K$27,MATCH($A260,Työkonekanta!$A$3:$A$24,0)),0)</f>
        <v>0</v>
      </c>
      <c r="W260" s="149">
        <f t="shared" si="83"/>
        <v>14.804495071153921</v>
      </c>
      <c r="X260" s="150">
        <f t="shared" si="84"/>
        <v>0.34316531280000001</v>
      </c>
      <c r="Y260" s="151">
        <f t="shared" si="85"/>
        <v>0.11484889189504376</v>
      </c>
      <c r="Z260" s="152">
        <f t="shared" ref="Z260:Z323" si="99">SUM($S260:$V260)</f>
        <v>15.468477120000001</v>
      </c>
      <c r="AA260" s="153">
        <f t="shared" ref="AA260:AA323" si="100">$W260+$Y260</f>
        <v>14.919343963048965</v>
      </c>
      <c r="AB260" s="153">
        <f t="shared" ref="AB260:AB323" si="101">SUM($W260:$Y260)</f>
        <v>15.262509275848965</v>
      </c>
      <c r="AC260" s="154">
        <f t="shared" si="86"/>
        <v>30.387821083048966</v>
      </c>
      <c r="AD260" s="180">
        <f t="shared" ref="AD260:AD323" si="102">$Z260+$AB260</f>
        <v>30.730986395848966</v>
      </c>
      <c r="AE260" s="160"/>
    </row>
    <row r="261" spans="1:31">
      <c r="A261" s="139">
        <v>19</v>
      </c>
      <c r="B261" s="139">
        <f>IFERROR(INDEX(Työkonekanta!$F$3:$F$27,MATCH('S2 Bio'!$A261,Työkonekanta!$A$3:$A$24,0),1),0)</f>
        <v>0</v>
      </c>
      <c r="C261" s="140">
        <v>2027</v>
      </c>
      <c r="D261" s="141" t="str">
        <f>IFERROR(INDEX(Työkonekanta!$D$3:$D$27,MATCH('S2 Bio'!$A261,Työkonekanta!$A$3:$A$24,0),1),"undefined")</f>
        <v>pom</v>
      </c>
      <c r="E261" s="145">
        <f>IFERROR(INDEX(Työkonekanta!$G$3:$G$27,MATCH($A261,Työkonekanta!$A$3:$A$24,0),1)*INDEX(Työkonekanta!$H$3:$H$27,MATCH($A261,Työkonekanta!$A$3:$A$24,0),1)*(1+_xlfn.SINGLE(s2_kerroin)*($C261-2019))*$B261,0)</f>
        <v>0</v>
      </c>
      <c r="F261" s="145">
        <f t="shared" si="89"/>
        <v>0</v>
      </c>
      <c r="G261" s="145">
        <f t="shared" si="95"/>
        <v>0</v>
      </c>
      <c r="H261" s="145">
        <f t="shared" si="96"/>
        <v>0</v>
      </c>
      <c r="I261" s="145">
        <f t="shared" si="90"/>
        <v>0</v>
      </c>
      <c r="J261" s="145">
        <f t="shared" si="91"/>
        <v>0</v>
      </c>
      <c r="K261" s="142" t="str">
        <f t="shared" si="97"/>
        <v>l</v>
      </c>
      <c r="L261" s="146">
        <f>IFERROR(INDEX(Työkonekanta!$I$3:$I$27,MATCH('S2 Bio'!$A261,Työkonekanta!$A$3:$A$24,0),1)*(I261+J261)*f_adblue,0)</f>
        <v>0</v>
      </c>
      <c r="M261" s="146">
        <f t="shared" si="82"/>
        <v>0</v>
      </c>
      <c r="N261" s="143" t="str">
        <f>IF(tuulisähkö_vuosi&lt;='S2 Bio'!C261,"tuulisähkö",ostosähkö_nyt)</f>
        <v>jäännössähkö</v>
      </c>
      <c r="O261" s="147">
        <f>INDEX(Muuttujat!$J$5:$J$21,MATCH($C261,Muuttujat!$H$5:$H$21,0),1)</f>
        <v>63.897506909426724</v>
      </c>
      <c r="P261" s="148">
        <f t="shared" si="98"/>
        <v>0.51733333333333331</v>
      </c>
      <c r="Q261" s="148">
        <f t="shared" si="88"/>
        <v>0.48266666666666669</v>
      </c>
      <c r="R261" s="148">
        <f t="shared" si="88"/>
        <v>0.48266666666666669</v>
      </c>
      <c r="S261" s="149">
        <f t="shared" si="92"/>
        <v>0</v>
      </c>
      <c r="T261" s="150">
        <f t="shared" si="93"/>
        <v>0</v>
      </c>
      <c r="U261" s="150">
        <f t="shared" si="94"/>
        <v>0</v>
      </c>
      <c r="V261" s="150">
        <f>IFERROR(INDEX(Työkonekanta!$J$3:$J$27,MATCH($A261,Työkonekanta!$A$3:$A$24,0),1)*$B261*ef_li_ion_akku/1000/1000/INDEX(Työkonekanta!$K$3:$K$27,MATCH($A261,Työkonekanta!$A$3:$A$24,0)),0)</f>
        <v>0</v>
      </c>
      <c r="W261" s="149">
        <f t="shared" si="83"/>
        <v>0</v>
      </c>
      <c r="X261" s="150">
        <f t="shared" si="84"/>
        <v>0</v>
      </c>
      <c r="Y261" s="151">
        <f t="shared" si="85"/>
        <v>0</v>
      </c>
      <c r="Z261" s="152">
        <f t="shared" si="99"/>
        <v>0</v>
      </c>
      <c r="AA261" s="153">
        <f t="shared" si="100"/>
        <v>0</v>
      </c>
      <c r="AB261" s="153">
        <f t="shared" si="101"/>
        <v>0</v>
      </c>
      <c r="AC261" s="154">
        <f t="shared" si="86"/>
        <v>0</v>
      </c>
      <c r="AD261" s="180">
        <f t="shared" si="102"/>
        <v>0</v>
      </c>
      <c r="AE261" s="160"/>
    </row>
    <row r="262" spans="1:31">
      <c r="A262" s="139">
        <v>20</v>
      </c>
      <c r="B262" s="139">
        <f>IFERROR(INDEX(Työkonekanta!$F$3:$F$27,MATCH('S2 Bio'!$A262,Työkonekanta!$A$3:$A$24,0),1),0)</f>
        <v>0</v>
      </c>
      <c r="C262" s="140">
        <v>2027</v>
      </c>
      <c r="D262" s="141" t="str">
        <f>IFERROR(INDEX(Työkonekanta!$D$3:$D$27,MATCH('S2 Bio'!$A262,Työkonekanta!$A$3:$A$24,0),1),"undefined")</f>
        <v>pom</v>
      </c>
      <c r="E262" s="145">
        <f>IFERROR(INDEX(Työkonekanta!$G$3:$G$27,MATCH($A262,Työkonekanta!$A$3:$A$24,0),1)*INDEX(Työkonekanta!$H$3:$H$27,MATCH($A262,Työkonekanta!$A$3:$A$24,0),1)*(1+_xlfn.SINGLE(s2_kerroin)*($C262-2019))*$B262,0)</f>
        <v>0</v>
      </c>
      <c r="F262" s="145">
        <f t="shared" si="89"/>
        <v>0</v>
      </c>
      <c r="G262" s="145">
        <f t="shared" si="95"/>
        <v>0</v>
      </c>
      <c r="H262" s="145">
        <f t="shared" si="96"/>
        <v>0</v>
      </c>
      <c r="I262" s="145">
        <f t="shared" si="90"/>
        <v>0</v>
      </c>
      <c r="J262" s="145">
        <f t="shared" si="91"/>
        <v>0</v>
      </c>
      <c r="K262" s="142" t="str">
        <f t="shared" si="97"/>
        <v>l</v>
      </c>
      <c r="L262" s="146">
        <f>IFERROR(INDEX(Työkonekanta!$I$3:$I$27,MATCH('S2 Bio'!$A262,Työkonekanta!$A$3:$A$24,0),1)*(I262+J262)*f_adblue,0)</f>
        <v>0</v>
      </c>
      <c r="M262" s="146">
        <f t="shared" si="82"/>
        <v>0</v>
      </c>
      <c r="N262" s="143" t="str">
        <f>IF(tuulisähkö_vuosi&lt;='S2 Bio'!C262,"tuulisähkö",ostosähkö_nyt)</f>
        <v>jäännössähkö</v>
      </c>
      <c r="O262" s="147">
        <f>INDEX(Muuttujat!$J$5:$J$21,MATCH($C262,Muuttujat!$H$5:$H$21,0),1)</f>
        <v>63.897506909426724</v>
      </c>
      <c r="P262" s="148">
        <f t="shared" si="98"/>
        <v>0.51733333333333331</v>
      </c>
      <c r="Q262" s="148">
        <f t="shared" si="88"/>
        <v>0.48266666666666669</v>
      </c>
      <c r="R262" s="148">
        <f t="shared" si="88"/>
        <v>0.48266666666666669</v>
      </c>
      <c r="S262" s="149">
        <f t="shared" si="92"/>
        <v>0</v>
      </c>
      <c r="T262" s="150">
        <f t="shared" si="93"/>
        <v>0</v>
      </c>
      <c r="U262" s="150">
        <f t="shared" si="94"/>
        <v>0</v>
      </c>
      <c r="V262" s="150">
        <f>IFERROR(INDEX(Työkonekanta!$J$3:$J$27,MATCH($A262,Työkonekanta!$A$3:$A$24,0),1)*$B262*ef_li_ion_akku/1000/1000/INDEX(Työkonekanta!$K$3:$K$27,MATCH($A262,Työkonekanta!$A$3:$A$24,0)),0)</f>
        <v>0</v>
      </c>
      <c r="W262" s="149">
        <f t="shared" si="83"/>
        <v>0</v>
      </c>
      <c r="X262" s="150">
        <f t="shared" si="84"/>
        <v>0</v>
      </c>
      <c r="Y262" s="151">
        <f t="shared" si="85"/>
        <v>0</v>
      </c>
      <c r="Z262" s="152">
        <f t="shared" si="99"/>
        <v>0</v>
      </c>
      <c r="AA262" s="153">
        <f t="shared" si="100"/>
        <v>0</v>
      </c>
      <c r="AB262" s="153">
        <f t="shared" si="101"/>
        <v>0</v>
      </c>
      <c r="AC262" s="154">
        <f t="shared" si="86"/>
        <v>0</v>
      </c>
      <c r="AD262" s="180">
        <f t="shared" si="102"/>
        <v>0</v>
      </c>
      <c r="AE262" s="160"/>
    </row>
    <row r="263" spans="1:31">
      <c r="A263" s="139">
        <v>21</v>
      </c>
      <c r="B263" s="139">
        <f>IFERROR(INDEX(Työkonekanta!$F$3:$F$27,MATCH('S2 Bio'!$A263,Työkonekanta!$A$3:$A$24,0),1),0)</f>
        <v>35</v>
      </c>
      <c r="C263" s="140">
        <v>2027</v>
      </c>
      <c r="D263" s="141" t="str">
        <f>IFERROR(INDEX(Työkonekanta!$D$3:$D$27,MATCH('S2 Bio'!$A263,Työkonekanta!$A$3:$A$24,0),1),"undefined")</f>
        <v>sähkö</v>
      </c>
      <c r="E263" s="145">
        <f>IFERROR(INDEX(Työkonekanta!$G$3:$G$27,MATCH($A263,Työkonekanta!$A$3:$A$24,0),1)*INDEX(Työkonekanta!$H$3:$H$27,MATCH($A263,Työkonekanta!$A$3:$A$24,0),1)*(1+_xlfn.SINGLE(s2_kerroin)*($C263-2019))*$B263,0)</f>
        <v>439775</v>
      </c>
      <c r="F263" s="145">
        <f t="shared" si="89"/>
        <v>0</v>
      </c>
      <c r="G263" s="145">
        <f t="shared" si="95"/>
        <v>0</v>
      </c>
      <c r="H263" s="145">
        <f t="shared" si="96"/>
        <v>0</v>
      </c>
      <c r="I263" s="145">
        <f t="shared" si="90"/>
        <v>0</v>
      </c>
      <c r="J263" s="145">
        <f t="shared" si="91"/>
        <v>0</v>
      </c>
      <c r="K263" s="142" t="str">
        <f t="shared" si="97"/>
        <v>kWh</v>
      </c>
      <c r="L263" s="146">
        <f>IFERROR(INDEX(Työkonekanta!$I$3:$I$27,MATCH('S2 Bio'!$A263,Työkonekanta!$A$3:$A$24,0),1)*(I263+J263)*f_adblue,0)</f>
        <v>0</v>
      </c>
      <c r="M263" s="146">
        <f t="shared" si="82"/>
        <v>1583190</v>
      </c>
      <c r="N263" s="143" t="str">
        <f>IF(tuulisähkö_vuosi&lt;='S2 Bio'!C263,"tuulisähkö",ostosähkö_nyt)</f>
        <v>jäännössähkö</v>
      </c>
      <c r="O263" s="147">
        <f>INDEX(Muuttujat!$J$5:$J$21,MATCH($C263,Muuttujat!$H$5:$H$21,0),1)</f>
        <v>63.897506909426724</v>
      </c>
      <c r="P263" s="148">
        <f t="shared" si="98"/>
        <v>0.51733333333333331</v>
      </c>
      <c r="Q263" s="148">
        <f t="shared" ref="Q263:R282" si="103">IF(biosiirtymä_luonne="äkillinen",INDEX($AG$4:$AG$20,MATCH($C263,$AF$4:$AF$20,0),1),INDEX($AH$4:$AH$20,MATCH($C263,$AF$4:$AF$20,0),1))</f>
        <v>0.48266666666666669</v>
      </c>
      <c r="R263" s="148">
        <f t="shared" si="103"/>
        <v>0.48266666666666669</v>
      </c>
      <c r="S263" s="149">
        <f t="shared" si="92"/>
        <v>0</v>
      </c>
      <c r="T263" s="150">
        <f t="shared" si="93"/>
        <v>0</v>
      </c>
      <c r="U263" s="150">
        <f t="shared" si="94"/>
        <v>101.1618939639353</v>
      </c>
      <c r="V263" s="150">
        <f>IFERROR(INDEX(Työkonekanta!$J$3:$J$27,MATCH($A263,Työkonekanta!$A$3:$A$24,0),1)*$B263*ef_li_ion_akku/1000/1000/INDEX(Työkonekanta!$K$3:$K$27,MATCH($A263,Työkonekanta!$A$3:$A$24,0)),0)</f>
        <v>43.121723076923082</v>
      </c>
      <c r="W263" s="149">
        <f t="shared" si="83"/>
        <v>0</v>
      </c>
      <c r="X263" s="150">
        <f t="shared" si="84"/>
        <v>0</v>
      </c>
      <c r="Y263" s="151">
        <f t="shared" si="85"/>
        <v>0</v>
      </c>
      <c r="Z263" s="152">
        <f t="shared" si="99"/>
        <v>144.28361704085839</v>
      </c>
      <c r="AA263" s="153">
        <f t="shared" si="100"/>
        <v>0</v>
      </c>
      <c r="AB263" s="153">
        <f t="shared" si="101"/>
        <v>0</v>
      </c>
      <c r="AC263" s="154">
        <f t="shared" si="86"/>
        <v>144.28361704085839</v>
      </c>
      <c r="AD263" s="180">
        <f t="shared" si="102"/>
        <v>144.28361704085839</v>
      </c>
      <c r="AE263" s="160"/>
    </row>
    <row r="264" spans="1:31">
      <c r="A264" s="139">
        <v>22</v>
      </c>
      <c r="B264" s="139">
        <f>IFERROR(INDEX(Työkonekanta!$F$3:$F$27,MATCH('S2 Bio'!$A264,Työkonekanta!$A$3:$A$24,0),1),0)</f>
        <v>0</v>
      </c>
      <c r="C264" s="140">
        <v>2027</v>
      </c>
      <c r="D264" s="141" t="str">
        <f>IFERROR(INDEX(Työkonekanta!$D$3:$D$27,MATCH('S2 Bio'!$A264,Työkonekanta!$A$3:$A$24,0),1),"undefined")</f>
        <v>sähkö</v>
      </c>
      <c r="E264" s="145">
        <f>IFERROR(INDEX(Työkonekanta!$G$3:$G$27,MATCH($A264,Työkonekanta!$A$3:$A$24,0),1)*INDEX(Työkonekanta!$H$3:$H$27,MATCH($A264,Työkonekanta!$A$3:$A$24,0),1)*(1+_xlfn.SINGLE(s2_kerroin)*($C264-2019))*$B264,0)</f>
        <v>0</v>
      </c>
      <c r="F264" s="145">
        <f t="shared" si="89"/>
        <v>0</v>
      </c>
      <c r="G264" s="145">
        <f t="shared" si="95"/>
        <v>0</v>
      </c>
      <c r="H264" s="145">
        <f t="shared" si="96"/>
        <v>0</v>
      </c>
      <c r="I264" s="145">
        <f t="shared" si="90"/>
        <v>0</v>
      </c>
      <c r="J264" s="145">
        <f t="shared" si="91"/>
        <v>0</v>
      </c>
      <c r="K264" s="142" t="str">
        <f t="shared" si="97"/>
        <v>kWh</v>
      </c>
      <c r="L264" s="146">
        <f>IFERROR(INDEX(Työkonekanta!$I$3:$I$27,MATCH('S2 Bio'!$A264,Työkonekanta!$A$3:$A$24,0),1)*(I264+J264)*f_adblue,0)</f>
        <v>0</v>
      </c>
      <c r="M264" s="146">
        <f t="shared" si="82"/>
        <v>0</v>
      </c>
      <c r="N264" s="143" t="str">
        <f>IF(tuulisähkö_vuosi&lt;='S2 Bio'!C264,"tuulisähkö",ostosähkö_nyt)</f>
        <v>jäännössähkö</v>
      </c>
      <c r="O264" s="147">
        <f>INDEX(Muuttujat!$J$5:$J$21,MATCH($C264,Muuttujat!$H$5:$H$21,0),1)</f>
        <v>63.897506909426724</v>
      </c>
      <c r="P264" s="148">
        <f t="shared" si="98"/>
        <v>0.51733333333333331</v>
      </c>
      <c r="Q264" s="148">
        <f t="shared" si="103"/>
        <v>0.48266666666666669</v>
      </c>
      <c r="R264" s="148">
        <f t="shared" si="103"/>
        <v>0.48266666666666669</v>
      </c>
      <c r="S264" s="149">
        <f t="shared" si="92"/>
        <v>0</v>
      </c>
      <c r="T264" s="150">
        <f t="shared" si="93"/>
        <v>0</v>
      </c>
      <c r="U264" s="150">
        <f t="shared" si="94"/>
        <v>0</v>
      </c>
      <c r="V264" s="150">
        <f>IFERROR(INDEX(Työkonekanta!$J$3:$J$27,MATCH($A264,Työkonekanta!$A$3:$A$24,0),1)*$B264*ef_li_ion_akku/1000/1000/INDEX(Työkonekanta!$K$3:$K$27,MATCH($A264,Työkonekanta!$A$3:$A$24,0)),0)</f>
        <v>0</v>
      </c>
      <c r="W264" s="149">
        <f t="shared" si="83"/>
        <v>0</v>
      </c>
      <c r="X264" s="150">
        <f t="shared" si="84"/>
        <v>0</v>
      </c>
      <c r="Y264" s="151">
        <f t="shared" si="85"/>
        <v>0</v>
      </c>
      <c r="Z264" s="152">
        <f t="shared" si="99"/>
        <v>0</v>
      </c>
      <c r="AA264" s="153">
        <f t="shared" si="100"/>
        <v>0</v>
      </c>
      <c r="AB264" s="153">
        <f t="shared" si="101"/>
        <v>0</v>
      </c>
      <c r="AC264" s="154">
        <f t="shared" si="86"/>
        <v>0</v>
      </c>
      <c r="AD264" s="180">
        <f t="shared" si="102"/>
        <v>0</v>
      </c>
      <c r="AE264" s="160"/>
    </row>
    <row r="265" spans="1:31">
      <c r="A265" s="139">
        <v>23</v>
      </c>
      <c r="B265" s="139">
        <f>IFERROR(INDEX(Työkonekanta!$F$3:$F$27,MATCH('S2 Bio'!$A265,Työkonekanta!$A$3:$A$24,0),1),0)</f>
        <v>0</v>
      </c>
      <c r="C265" s="140">
        <v>2027</v>
      </c>
      <c r="D265" s="141" t="str">
        <f>IFERROR(INDEX(Työkonekanta!$D$3:$D$27,MATCH('S2 Bio'!$A265,Työkonekanta!$A$3:$A$24,0),1),"undefined")</f>
        <v>undefined</v>
      </c>
      <c r="E265" s="145">
        <f>IFERROR(INDEX(Työkonekanta!$G$3:$G$27,MATCH($A265,Työkonekanta!$A$3:$A$24,0),1)*INDEX(Työkonekanta!$H$3:$H$27,MATCH($A265,Työkonekanta!$A$3:$A$24,0),1)*(1+_xlfn.SINGLE(s2_kerroin)*($C265-2019))*$B265,0)</f>
        <v>0</v>
      </c>
      <c r="F265" s="145">
        <f t="shared" si="89"/>
        <v>0</v>
      </c>
      <c r="G265" s="145">
        <f t="shared" si="95"/>
        <v>0</v>
      </c>
      <c r="H265" s="145">
        <f t="shared" si="96"/>
        <v>0</v>
      </c>
      <c r="I265" s="145">
        <f t="shared" si="90"/>
        <v>0</v>
      </c>
      <c r="J265" s="145">
        <f t="shared" si="91"/>
        <v>0</v>
      </c>
      <c r="K265" s="142" t="str">
        <f t="shared" si="97"/>
        <v>undefined</v>
      </c>
      <c r="L265" s="146">
        <f>IFERROR(INDEX(Työkonekanta!$I$3:$I$27,MATCH('S2 Bio'!$A265,Työkonekanta!$A$3:$A$24,0),1)*(I265+J265)*f_adblue,0)</f>
        <v>0</v>
      </c>
      <c r="M265" s="146">
        <f t="shared" si="82"/>
        <v>0</v>
      </c>
      <c r="N265" s="143" t="str">
        <f>IF(tuulisähkö_vuosi&lt;='S2 Bio'!C265,"tuulisähkö",ostosähkö_nyt)</f>
        <v>jäännössähkö</v>
      </c>
      <c r="O265" s="147">
        <f>INDEX(Muuttujat!$J$5:$J$21,MATCH($C265,Muuttujat!$H$5:$H$21,0),1)</f>
        <v>63.897506909426724</v>
      </c>
      <c r="P265" s="148">
        <f t="shared" si="98"/>
        <v>0.51733333333333331</v>
      </c>
      <c r="Q265" s="148">
        <f t="shared" si="103"/>
        <v>0.48266666666666669</v>
      </c>
      <c r="R265" s="148">
        <f t="shared" si="103"/>
        <v>0.48266666666666669</v>
      </c>
      <c r="S265" s="149">
        <f t="shared" si="92"/>
        <v>0</v>
      </c>
      <c r="T265" s="150">
        <f t="shared" si="93"/>
        <v>0</v>
      </c>
      <c r="U265" s="150">
        <f t="shared" si="94"/>
        <v>0</v>
      </c>
      <c r="V265" s="150">
        <f>IFERROR(INDEX(Työkonekanta!$J$3:$J$27,MATCH($A265,Työkonekanta!$A$3:$A$24,0),1)*$B265*ef_li_ion_akku/1000/1000/INDEX(Työkonekanta!$K$3:$K$27,MATCH($A265,Työkonekanta!$A$3:$A$24,0)),0)</f>
        <v>0</v>
      </c>
      <c r="W265" s="149">
        <f t="shared" si="83"/>
        <v>0</v>
      </c>
      <c r="X265" s="150">
        <f t="shared" si="84"/>
        <v>0</v>
      </c>
      <c r="Y265" s="151">
        <f t="shared" si="85"/>
        <v>0</v>
      </c>
      <c r="Z265" s="152">
        <f t="shared" si="99"/>
        <v>0</v>
      </c>
      <c r="AA265" s="153">
        <f t="shared" si="100"/>
        <v>0</v>
      </c>
      <c r="AB265" s="153">
        <f t="shared" si="101"/>
        <v>0</v>
      </c>
      <c r="AC265" s="154">
        <f t="shared" si="86"/>
        <v>0</v>
      </c>
      <c r="AD265" s="180">
        <f t="shared" si="102"/>
        <v>0</v>
      </c>
      <c r="AE265" s="160"/>
    </row>
    <row r="266" spans="1:31">
      <c r="A266" s="139">
        <v>24</v>
      </c>
      <c r="B266" s="139">
        <f>IFERROR(INDEX(Työkonekanta!$F$3:$F$27,MATCH('S2 Bio'!$A266,Työkonekanta!$A$3:$A$24,0),1),0)</f>
        <v>0</v>
      </c>
      <c r="C266" s="140">
        <v>2027</v>
      </c>
      <c r="D266" s="141" t="str">
        <f>IFERROR(INDEX(Työkonekanta!$D$3:$D$27,MATCH('S2 Bio'!$A266,Työkonekanta!$A$3:$A$24,0),1),"undefined")</f>
        <v>undefined</v>
      </c>
      <c r="E266" s="145">
        <f>IFERROR(INDEX(Työkonekanta!$G$3:$G$27,MATCH($A266,Työkonekanta!$A$3:$A$24,0),1)*INDEX(Työkonekanta!$H$3:$H$27,MATCH($A266,Työkonekanta!$A$3:$A$24,0),1)*(1+_xlfn.SINGLE(s2_kerroin)*($C266-2019))*$B266,0)</f>
        <v>0</v>
      </c>
      <c r="F266" s="145">
        <f t="shared" si="89"/>
        <v>0</v>
      </c>
      <c r="G266" s="145">
        <f t="shared" si="95"/>
        <v>0</v>
      </c>
      <c r="H266" s="145">
        <f t="shared" si="96"/>
        <v>0</v>
      </c>
      <c r="I266" s="145">
        <f t="shared" si="90"/>
        <v>0</v>
      </c>
      <c r="J266" s="145">
        <f t="shared" si="91"/>
        <v>0</v>
      </c>
      <c r="K266" s="142" t="str">
        <f t="shared" si="97"/>
        <v>undefined</v>
      </c>
      <c r="L266" s="146">
        <f>IFERROR(INDEX(Työkonekanta!$I$3:$I$27,MATCH('S2 Bio'!$A266,Työkonekanta!$A$3:$A$24,0),1)*(I266+J266)*f_adblue,0)</f>
        <v>0</v>
      </c>
      <c r="M266" s="146">
        <f t="shared" si="82"/>
        <v>0</v>
      </c>
      <c r="N266" s="143" t="str">
        <f>IF(tuulisähkö_vuosi&lt;='S2 Bio'!C266,"tuulisähkö",ostosähkö_nyt)</f>
        <v>jäännössähkö</v>
      </c>
      <c r="O266" s="147">
        <f>INDEX(Muuttujat!$J$5:$J$21,MATCH($C266,Muuttujat!$H$5:$H$21,0),1)</f>
        <v>63.897506909426724</v>
      </c>
      <c r="P266" s="148">
        <f t="shared" si="98"/>
        <v>0.51733333333333331</v>
      </c>
      <c r="Q266" s="148">
        <f t="shared" si="103"/>
        <v>0.48266666666666669</v>
      </c>
      <c r="R266" s="148">
        <f t="shared" si="103"/>
        <v>0.48266666666666669</v>
      </c>
      <c r="S266" s="149">
        <f t="shared" si="92"/>
        <v>0</v>
      </c>
      <c r="T266" s="150">
        <f t="shared" si="93"/>
        <v>0</v>
      </c>
      <c r="U266" s="150">
        <f t="shared" si="94"/>
        <v>0</v>
      </c>
      <c r="V266" s="150">
        <f>IFERROR(INDEX(Työkonekanta!$J$3:$J$27,MATCH($A266,Työkonekanta!$A$3:$A$24,0),1)*$B266*ef_li_ion_akku/1000/1000/INDEX(Työkonekanta!$K$3:$K$27,MATCH($A266,Työkonekanta!$A$3:$A$24,0)),0)</f>
        <v>0</v>
      </c>
      <c r="W266" s="149">
        <f t="shared" si="83"/>
        <v>0</v>
      </c>
      <c r="X266" s="150">
        <f t="shared" si="84"/>
        <v>0</v>
      </c>
      <c r="Y266" s="151">
        <f t="shared" si="85"/>
        <v>0</v>
      </c>
      <c r="Z266" s="152">
        <f t="shared" si="99"/>
        <v>0</v>
      </c>
      <c r="AA266" s="153">
        <f t="shared" si="100"/>
        <v>0</v>
      </c>
      <c r="AB266" s="153">
        <f t="shared" si="101"/>
        <v>0</v>
      </c>
      <c r="AC266" s="154">
        <f t="shared" si="86"/>
        <v>0</v>
      </c>
      <c r="AD266" s="180">
        <f t="shared" si="102"/>
        <v>0</v>
      </c>
      <c r="AE266" s="160"/>
    </row>
    <row r="267" spans="1:31">
      <c r="A267" s="139">
        <v>25</v>
      </c>
      <c r="B267" s="139">
        <f>IFERROR(INDEX(Työkonekanta!$F$3:$F$27,MATCH('S2 Bio'!$A267,Työkonekanta!$A$3:$A$24,0),1),0)</f>
        <v>0</v>
      </c>
      <c r="C267" s="140">
        <v>2027</v>
      </c>
      <c r="D267" s="141" t="str">
        <f>IFERROR(INDEX(Työkonekanta!$D$3:$D$27,MATCH('S2 Bio'!$A267,Työkonekanta!$A$3:$A$24,0),1),"undefined")</f>
        <v>undefined</v>
      </c>
      <c r="E267" s="145">
        <f>IFERROR(INDEX(Työkonekanta!$G$3:$G$27,MATCH($A267,Työkonekanta!$A$3:$A$24,0),1)*INDEX(Työkonekanta!$H$3:$H$27,MATCH($A267,Työkonekanta!$A$3:$A$24,0),1)*(1+_xlfn.SINGLE(s2_kerroin)*($C267-2019))*$B267,0)</f>
        <v>0</v>
      </c>
      <c r="F267" s="145">
        <f t="shared" si="89"/>
        <v>0</v>
      </c>
      <c r="G267" s="145">
        <f t="shared" si="95"/>
        <v>0</v>
      </c>
      <c r="H267" s="145">
        <f t="shared" si="96"/>
        <v>0</v>
      </c>
      <c r="I267" s="145">
        <f t="shared" si="90"/>
        <v>0</v>
      </c>
      <c r="J267" s="145">
        <f t="shared" si="91"/>
        <v>0</v>
      </c>
      <c r="K267" s="142" t="str">
        <f t="shared" si="97"/>
        <v>undefined</v>
      </c>
      <c r="L267" s="146">
        <f>IFERROR(INDEX(Työkonekanta!$I$3:$I$27,MATCH('S2 Bio'!$A267,Työkonekanta!$A$3:$A$24,0),1)*(I267+J267)*f_adblue,0)</f>
        <v>0</v>
      </c>
      <c r="M267" s="146">
        <f t="shared" si="82"/>
        <v>0</v>
      </c>
      <c r="N267" s="143" t="str">
        <f>IF(tuulisähkö_vuosi&lt;='S2 Bio'!C267,"tuulisähkö",ostosähkö_nyt)</f>
        <v>jäännössähkö</v>
      </c>
      <c r="O267" s="147">
        <f>INDEX(Muuttujat!$J$5:$J$21,MATCH($C267,Muuttujat!$H$5:$H$21,0),1)</f>
        <v>63.897506909426724</v>
      </c>
      <c r="P267" s="148">
        <f t="shared" si="98"/>
        <v>0.51733333333333331</v>
      </c>
      <c r="Q267" s="148">
        <f t="shared" si="103"/>
        <v>0.48266666666666669</v>
      </c>
      <c r="R267" s="148">
        <f t="shared" si="103"/>
        <v>0.48266666666666669</v>
      </c>
      <c r="S267" s="149">
        <f t="shared" si="92"/>
        <v>0</v>
      </c>
      <c r="T267" s="150">
        <f t="shared" si="93"/>
        <v>0</v>
      </c>
      <c r="U267" s="150">
        <f t="shared" si="94"/>
        <v>0</v>
      </c>
      <c r="V267" s="150">
        <f>IFERROR(INDEX(Työkonekanta!$J$3:$J$27,MATCH($A267,Työkonekanta!$A$3:$A$24,0),1)*$B267*ef_li_ion_akku/1000/1000/INDEX(Työkonekanta!$K$3:$K$27,MATCH($A267,Työkonekanta!$A$3:$A$24,0)),0)</f>
        <v>0</v>
      </c>
      <c r="W267" s="149">
        <f t="shared" si="83"/>
        <v>0</v>
      </c>
      <c r="X267" s="150">
        <f t="shared" si="84"/>
        <v>0</v>
      </c>
      <c r="Y267" s="151">
        <f t="shared" si="85"/>
        <v>0</v>
      </c>
      <c r="Z267" s="152">
        <f t="shared" si="99"/>
        <v>0</v>
      </c>
      <c r="AA267" s="153">
        <f t="shared" si="100"/>
        <v>0</v>
      </c>
      <c r="AB267" s="153">
        <f t="shared" si="101"/>
        <v>0</v>
      </c>
      <c r="AC267" s="154">
        <f t="shared" si="86"/>
        <v>0</v>
      </c>
      <c r="AD267" s="180">
        <f t="shared" si="102"/>
        <v>0</v>
      </c>
      <c r="AE267" s="160"/>
    </row>
    <row r="268" spans="1:31">
      <c r="A268" s="139">
        <v>26</v>
      </c>
      <c r="B268" s="139">
        <f>IFERROR(INDEX(Työkonekanta!$F$3:$F$27,MATCH('S2 Bio'!$A268,Työkonekanta!$A$3:$A$24,0),1),0)</f>
        <v>0</v>
      </c>
      <c r="C268" s="140">
        <v>2027</v>
      </c>
      <c r="D268" s="141" t="str">
        <f>IFERROR(INDEX(Työkonekanta!$D$3:$D$27,MATCH('S2 Bio'!$A268,Työkonekanta!$A$3:$A$24,0),1),"undefined")</f>
        <v>undefined</v>
      </c>
      <c r="E268" s="145">
        <f>IFERROR(INDEX(Työkonekanta!$G$3:$G$27,MATCH($A268,Työkonekanta!$A$3:$A$24,0),1)*INDEX(Työkonekanta!$H$3:$H$27,MATCH($A268,Työkonekanta!$A$3:$A$24,0),1)*(1+_xlfn.SINGLE(s2_kerroin)*($C268-2019))*$B268,0)</f>
        <v>0</v>
      </c>
      <c r="F268" s="145">
        <f t="shared" si="89"/>
        <v>0</v>
      </c>
      <c r="G268" s="145">
        <f t="shared" si="95"/>
        <v>0</v>
      </c>
      <c r="H268" s="145">
        <f t="shared" si="96"/>
        <v>0</v>
      </c>
      <c r="I268" s="145">
        <f t="shared" si="90"/>
        <v>0</v>
      </c>
      <c r="J268" s="145">
        <f t="shared" si="91"/>
        <v>0</v>
      </c>
      <c r="K268" s="142" t="str">
        <f t="shared" si="97"/>
        <v>undefined</v>
      </c>
      <c r="L268" s="146">
        <f>IFERROR(INDEX(Työkonekanta!$I$3:$I$27,MATCH('S2 Bio'!$A268,Työkonekanta!$A$3:$A$24,0),1)*(I268+J268)*f_adblue,0)</f>
        <v>0</v>
      </c>
      <c r="M268" s="146">
        <f t="shared" si="82"/>
        <v>0</v>
      </c>
      <c r="N268" s="143" t="str">
        <f>IF(tuulisähkö_vuosi&lt;='S2 Bio'!C268,"tuulisähkö",ostosähkö_nyt)</f>
        <v>jäännössähkö</v>
      </c>
      <c r="O268" s="147">
        <f>INDEX(Muuttujat!$J$5:$J$21,MATCH($C268,Muuttujat!$H$5:$H$21,0),1)</f>
        <v>63.897506909426724</v>
      </c>
      <c r="P268" s="148">
        <f t="shared" si="98"/>
        <v>0.51733333333333331</v>
      </c>
      <c r="Q268" s="148">
        <f t="shared" si="103"/>
        <v>0.48266666666666669</v>
      </c>
      <c r="R268" s="148">
        <f t="shared" si="103"/>
        <v>0.48266666666666669</v>
      </c>
      <c r="S268" s="149">
        <f t="shared" si="92"/>
        <v>0</v>
      </c>
      <c r="T268" s="150">
        <f t="shared" si="93"/>
        <v>0</v>
      </c>
      <c r="U268" s="150">
        <f t="shared" si="94"/>
        <v>0</v>
      </c>
      <c r="V268" s="150">
        <f>IFERROR(INDEX(Työkonekanta!$J$3:$J$27,MATCH($A268,Työkonekanta!$A$3:$A$24,0),1)*$B268*ef_li_ion_akku/1000/1000/INDEX(Työkonekanta!$K$3:$K$27,MATCH($A268,Työkonekanta!$A$3:$A$24,0)),0)</f>
        <v>0</v>
      </c>
      <c r="W268" s="149">
        <f t="shared" si="83"/>
        <v>0</v>
      </c>
      <c r="X268" s="150">
        <f t="shared" si="84"/>
        <v>0</v>
      </c>
      <c r="Y268" s="151">
        <f t="shared" si="85"/>
        <v>0</v>
      </c>
      <c r="Z268" s="152">
        <f t="shared" si="99"/>
        <v>0</v>
      </c>
      <c r="AA268" s="153">
        <f t="shared" si="100"/>
        <v>0</v>
      </c>
      <c r="AB268" s="153">
        <f t="shared" si="101"/>
        <v>0</v>
      </c>
      <c r="AC268" s="154">
        <f t="shared" si="86"/>
        <v>0</v>
      </c>
      <c r="AD268" s="180">
        <f t="shared" si="102"/>
        <v>0</v>
      </c>
      <c r="AE268" s="160"/>
    </row>
    <row r="269" spans="1:31">
      <c r="A269" s="139">
        <v>27</v>
      </c>
      <c r="B269" s="139">
        <f>IFERROR(INDEX(Työkonekanta!$F$3:$F$27,MATCH('S2 Bio'!$A269,Työkonekanta!$A$3:$A$24,0),1),0)</f>
        <v>0</v>
      </c>
      <c r="C269" s="140">
        <v>2027</v>
      </c>
      <c r="D269" s="141" t="str">
        <f>IFERROR(INDEX(Työkonekanta!$D$3:$D$27,MATCH('S2 Bio'!$A269,Työkonekanta!$A$3:$A$24,0),1),"undefined")</f>
        <v>undefined</v>
      </c>
      <c r="E269" s="145">
        <f>IFERROR(INDEX(Työkonekanta!$G$3:$G$27,MATCH($A269,Työkonekanta!$A$3:$A$24,0),1)*INDEX(Työkonekanta!$H$3:$H$27,MATCH($A269,Työkonekanta!$A$3:$A$24,0),1)*(1+_xlfn.SINGLE(s2_kerroin)*($C269-2019))*$B269,0)</f>
        <v>0</v>
      </c>
      <c r="F269" s="145">
        <f t="shared" si="89"/>
        <v>0</v>
      </c>
      <c r="G269" s="145">
        <f t="shared" si="95"/>
        <v>0</v>
      </c>
      <c r="H269" s="145">
        <f t="shared" si="96"/>
        <v>0</v>
      </c>
      <c r="I269" s="145">
        <f t="shared" si="90"/>
        <v>0</v>
      </c>
      <c r="J269" s="145">
        <f t="shared" si="91"/>
        <v>0</v>
      </c>
      <c r="K269" s="142" t="str">
        <f t="shared" si="97"/>
        <v>undefined</v>
      </c>
      <c r="L269" s="146">
        <f>IFERROR(INDEX(Työkonekanta!$I$3:$I$27,MATCH('S2 Bio'!$A269,Työkonekanta!$A$3:$A$24,0),1)*(I269+J269)*f_adblue,0)</f>
        <v>0</v>
      </c>
      <c r="M269" s="146">
        <f t="shared" si="82"/>
        <v>0</v>
      </c>
      <c r="N269" s="143" t="str">
        <f>IF(tuulisähkö_vuosi&lt;='S2 Bio'!C269,"tuulisähkö",ostosähkö_nyt)</f>
        <v>jäännössähkö</v>
      </c>
      <c r="O269" s="147">
        <f>INDEX(Muuttujat!$J$5:$J$21,MATCH($C269,Muuttujat!$H$5:$H$21,0),1)</f>
        <v>63.897506909426724</v>
      </c>
      <c r="P269" s="148">
        <f t="shared" si="98"/>
        <v>0.51733333333333331</v>
      </c>
      <c r="Q269" s="148">
        <f t="shared" si="103"/>
        <v>0.48266666666666669</v>
      </c>
      <c r="R269" s="148">
        <f t="shared" si="103"/>
        <v>0.48266666666666669</v>
      </c>
      <c r="S269" s="149">
        <f t="shared" si="92"/>
        <v>0</v>
      </c>
      <c r="T269" s="150">
        <f t="shared" si="93"/>
        <v>0</v>
      </c>
      <c r="U269" s="150">
        <f t="shared" si="94"/>
        <v>0</v>
      </c>
      <c r="V269" s="150">
        <f>IFERROR(INDEX(Työkonekanta!$J$3:$J$27,MATCH($A269,Työkonekanta!$A$3:$A$24,0),1)*$B269*ef_li_ion_akku/1000/1000/INDEX(Työkonekanta!$K$3:$K$27,MATCH($A269,Työkonekanta!$A$3:$A$24,0)),0)</f>
        <v>0</v>
      </c>
      <c r="W269" s="149">
        <f t="shared" si="83"/>
        <v>0</v>
      </c>
      <c r="X269" s="150">
        <f t="shared" si="84"/>
        <v>0</v>
      </c>
      <c r="Y269" s="151">
        <f t="shared" si="85"/>
        <v>0</v>
      </c>
      <c r="Z269" s="152">
        <f t="shared" si="99"/>
        <v>0</v>
      </c>
      <c r="AA269" s="153">
        <f t="shared" si="100"/>
        <v>0</v>
      </c>
      <c r="AB269" s="153">
        <f t="shared" si="101"/>
        <v>0</v>
      </c>
      <c r="AC269" s="154">
        <f t="shared" si="86"/>
        <v>0</v>
      </c>
      <c r="AD269" s="180">
        <f t="shared" si="102"/>
        <v>0</v>
      </c>
      <c r="AE269" s="160"/>
    </row>
    <row r="270" spans="1:31">
      <c r="A270" s="139">
        <v>28</v>
      </c>
      <c r="B270" s="139">
        <f>IFERROR(INDEX(Työkonekanta!$F$3:$F$27,MATCH('S2 Bio'!$A270,Työkonekanta!$A$3:$A$24,0),1),0)</f>
        <v>0</v>
      </c>
      <c r="C270" s="140">
        <v>2027</v>
      </c>
      <c r="D270" s="141" t="str">
        <f>IFERROR(INDEX(Työkonekanta!$D$3:$D$27,MATCH('S2 Bio'!$A270,Työkonekanta!$A$3:$A$24,0),1),"undefined")</f>
        <v>undefined</v>
      </c>
      <c r="E270" s="145">
        <f>IFERROR(INDEX(Työkonekanta!$G$3:$G$27,MATCH($A270,Työkonekanta!$A$3:$A$24,0),1)*INDEX(Työkonekanta!$H$3:$H$27,MATCH($A270,Työkonekanta!$A$3:$A$24,0),1)*(1+_xlfn.SINGLE(s2_kerroin)*($C270-2019))*$B270,0)</f>
        <v>0</v>
      </c>
      <c r="F270" s="145">
        <f t="shared" si="89"/>
        <v>0</v>
      </c>
      <c r="G270" s="145">
        <f t="shared" si="95"/>
        <v>0</v>
      </c>
      <c r="H270" s="145">
        <f t="shared" si="96"/>
        <v>0</v>
      </c>
      <c r="I270" s="145">
        <f t="shared" si="90"/>
        <v>0</v>
      </c>
      <c r="J270" s="145">
        <f t="shared" si="91"/>
        <v>0</v>
      </c>
      <c r="K270" s="142" t="str">
        <f t="shared" si="97"/>
        <v>undefined</v>
      </c>
      <c r="L270" s="146">
        <f>IFERROR(INDEX(Työkonekanta!$I$3:$I$27,MATCH('S2 Bio'!$A270,Työkonekanta!$A$3:$A$24,0),1)*(I270+J270)*f_adblue,0)</f>
        <v>0</v>
      </c>
      <c r="M270" s="146">
        <f t="shared" si="82"/>
        <v>0</v>
      </c>
      <c r="N270" s="143" t="str">
        <f>IF(tuulisähkö_vuosi&lt;='S2 Bio'!C270,"tuulisähkö",ostosähkö_nyt)</f>
        <v>jäännössähkö</v>
      </c>
      <c r="O270" s="147">
        <f>INDEX(Muuttujat!$J$5:$J$21,MATCH($C270,Muuttujat!$H$5:$H$21,0),1)</f>
        <v>63.897506909426724</v>
      </c>
      <c r="P270" s="148">
        <f t="shared" si="98"/>
        <v>0.51733333333333331</v>
      </c>
      <c r="Q270" s="148">
        <f t="shared" si="103"/>
        <v>0.48266666666666669</v>
      </c>
      <c r="R270" s="148">
        <f t="shared" si="103"/>
        <v>0.48266666666666669</v>
      </c>
      <c r="S270" s="149">
        <f t="shared" si="92"/>
        <v>0</v>
      </c>
      <c r="T270" s="150">
        <f t="shared" si="93"/>
        <v>0</v>
      </c>
      <c r="U270" s="150">
        <f t="shared" si="94"/>
        <v>0</v>
      </c>
      <c r="V270" s="150">
        <f>IFERROR(INDEX(Työkonekanta!$J$3:$J$27,MATCH($A270,Työkonekanta!$A$3:$A$24,0),1)*$B270*ef_li_ion_akku/1000/1000/INDEX(Työkonekanta!$K$3:$K$27,MATCH($A270,Työkonekanta!$A$3:$A$24,0)),0)</f>
        <v>0</v>
      </c>
      <c r="W270" s="149">
        <f t="shared" si="83"/>
        <v>0</v>
      </c>
      <c r="X270" s="150">
        <f t="shared" si="84"/>
        <v>0</v>
      </c>
      <c r="Y270" s="151">
        <f t="shared" si="85"/>
        <v>0</v>
      </c>
      <c r="Z270" s="152">
        <f t="shared" si="99"/>
        <v>0</v>
      </c>
      <c r="AA270" s="153">
        <f t="shared" si="100"/>
        <v>0</v>
      </c>
      <c r="AB270" s="153">
        <f t="shared" si="101"/>
        <v>0</v>
      </c>
      <c r="AC270" s="154">
        <f t="shared" si="86"/>
        <v>0</v>
      </c>
      <c r="AD270" s="180">
        <f t="shared" si="102"/>
        <v>0</v>
      </c>
      <c r="AE270" s="160"/>
    </row>
    <row r="271" spans="1:31">
      <c r="A271" s="139">
        <v>29</v>
      </c>
      <c r="B271" s="139">
        <f>IFERROR(INDEX(Työkonekanta!$F$3:$F$27,MATCH('S2 Bio'!$A271,Työkonekanta!$A$3:$A$24,0),1),0)</f>
        <v>0</v>
      </c>
      <c r="C271" s="140">
        <v>2027</v>
      </c>
      <c r="D271" s="141" t="str">
        <f>IFERROR(INDEX(Työkonekanta!$D$3:$D$27,MATCH('S2 Bio'!$A271,Työkonekanta!$A$3:$A$24,0),1),"undefined")</f>
        <v>undefined</v>
      </c>
      <c r="E271" s="145">
        <f>IFERROR(INDEX(Työkonekanta!$G$3:$G$27,MATCH($A271,Työkonekanta!$A$3:$A$24,0),1)*INDEX(Työkonekanta!$H$3:$H$27,MATCH($A271,Työkonekanta!$A$3:$A$24,0),1)*(1+_xlfn.SINGLE(s2_kerroin)*($C271-2019))*$B271,0)</f>
        <v>0</v>
      </c>
      <c r="F271" s="145">
        <f t="shared" si="89"/>
        <v>0</v>
      </c>
      <c r="G271" s="145">
        <f t="shared" si="95"/>
        <v>0</v>
      </c>
      <c r="H271" s="145">
        <f t="shared" si="96"/>
        <v>0</v>
      </c>
      <c r="I271" s="145">
        <f t="shared" si="90"/>
        <v>0</v>
      </c>
      <c r="J271" s="145">
        <f t="shared" si="91"/>
        <v>0</v>
      </c>
      <c r="K271" s="142" t="str">
        <f t="shared" si="97"/>
        <v>undefined</v>
      </c>
      <c r="L271" s="146">
        <f>IFERROR(INDEX(Työkonekanta!$I$3:$I$27,MATCH('S2 Bio'!$A271,Työkonekanta!$A$3:$A$24,0),1)*(I271+J271)*f_adblue,0)</f>
        <v>0</v>
      </c>
      <c r="M271" s="146">
        <f t="shared" si="82"/>
        <v>0</v>
      </c>
      <c r="N271" s="143" t="str">
        <f>IF(tuulisähkö_vuosi&lt;='S2 Bio'!C271,"tuulisähkö",ostosähkö_nyt)</f>
        <v>jäännössähkö</v>
      </c>
      <c r="O271" s="147">
        <f>INDEX(Muuttujat!$J$5:$J$21,MATCH($C271,Muuttujat!$H$5:$H$21,0),1)</f>
        <v>63.897506909426724</v>
      </c>
      <c r="P271" s="148">
        <f t="shared" si="98"/>
        <v>0.51733333333333331</v>
      </c>
      <c r="Q271" s="148">
        <f t="shared" si="103"/>
        <v>0.48266666666666669</v>
      </c>
      <c r="R271" s="148">
        <f t="shared" si="103"/>
        <v>0.48266666666666669</v>
      </c>
      <c r="S271" s="149">
        <f t="shared" si="92"/>
        <v>0</v>
      </c>
      <c r="T271" s="150">
        <f t="shared" si="93"/>
        <v>0</v>
      </c>
      <c r="U271" s="150">
        <f t="shared" si="94"/>
        <v>0</v>
      </c>
      <c r="V271" s="150">
        <f>IFERROR(INDEX(Työkonekanta!$J$3:$J$27,MATCH($A271,Työkonekanta!$A$3:$A$24,0),1)*$B271*ef_li_ion_akku/1000/1000/INDEX(Työkonekanta!$K$3:$K$27,MATCH($A271,Työkonekanta!$A$3:$A$24,0)),0)</f>
        <v>0</v>
      </c>
      <c r="W271" s="149">
        <f t="shared" si="83"/>
        <v>0</v>
      </c>
      <c r="X271" s="150">
        <f t="shared" si="84"/>
        <v>0</v>
      </c>
      <c r="Y271" s="151">
        <f t="shared" si="85"/>
        <v>0</v>
      </c>
      <c r="Z271" s="152">
        <f t="shared" si="99"/>
        <v>0</v>
      </c>
      <c r="AA271" s="153">
        <f t="shared" si="100"/>
        <v>0</v>
      </c>
      <c r="AB271" s="153">
        <f t="shared" si="101"/>
        <v>0</v>
      </c>
      <c r="AC271" s="154">
        <f t="shared" si="86"/>
        <v>0</v>
      </c>
      <c r="AD271" s="180">
        <f t="shared" si="102"/>
        <v>0</v>
      </c>
      <c r="AE271" s="160"/>
    </row>
    <row r="272" spans="1:31">
      <c r="A272" s="139">
        <v>30</v>
      </c>
      <c r="B272" s="139">
        <f>IFERROR(INDEX(Työkonekanta!$F$3:$F$27,MATCH('S2 Bio'!$A272,Työkonekanta!$A$3:$A$24,0),1),0)</f>
        <v>0</v>
      </c>
      <c r="C272" s="140">
        <v>2027</v>
      </c>
      <c r="D272" s="141" t="str">
        <f>IFERROR(INDEX(Työkonekanta!$D$3:$D$27,MATCH('S2 Bio'!$A272,Työkonekanta!$A$3:$A$24,0),1),"undefined")</f>
        <v>undefined</v>
      </c>
      <c r="E272" s="145">
        <f>IFERROR(INDEX(Työkonekanta!$G$3:$G$27,MATCH($A272,Työkonekanta!$A$3:$A$24,0),1)*INDEX(Työkonekanta!$H$3:$H$27,MATCH($A272,Työkonekanta!$A$3:$A$24,0),1)*(1+_xlfn.SINGLE(s2_kerroin)*($C272-2019))*$B272,0)</f>
        <v>0</v>
      </c>
      <c r="F272" s="145">
        <f t="shared" si="89"/>
        <v>0</v>
      </c>
      <c r="G272" s="145">
        <f t="shared" si="95"/>
        <v>0</v>
      </c>
      <c r="H272" s="145">
        <f t="shared" si="96"/>
        <v>0</v>
      </c>
      <c r="I272" s="145">
        <f t="shared" si="90"/>
        <v>0</v>
      </c>
      <c r="J272" s="145">
        <f t="shared" si="91"/>
        <v>0</v>
      </c>
      <c r="K272" s="142" t="str">
        <f t="shared" si="97"/>
        <v>undefined</v>
      </c>
      <c r="L272" s="146">
        <f>IFERROR(INDEX(Työkonekanta!$I$3:$I$27,MATCH('S2 Bio'!$A272,Työkonekanta!$A$3:$A$24,0),1)*(I272+J272)*f_adblue,0)</f>
        <v>0</v>
      </c>
      <c r="M272" s="146">
        <f t="shared" si="82"/>
        <v>0</v>
      </c>
      <c r="N272" s="143" t="str">
        <f>IF(tuulisähkö_vuosi&lt;='S2 Bio'!C272,"tuulisähkö",ostosähkö_nyt)</f>
        <v>jäännössähkö</v>
      </c>
      <c r="O272" s="147">
        <f>INDEX(Muuttujat!$J$5:$J$21,MATCH($C272,Muuttujat!$H$5:$H$21,0),1)</f>
        <v>63.897506909426724</v>
      </c>
      <c r="P272" s="148">
        <f t="shared" si="98"/>
        <v>0.51733333333333331</v>
      </c>
      <c r="Q272" s="148">
        <f t="shared" si="103"/>
        <v>0.48266666666666669</v>
      </c>
      <c r="R272" s="148">
        <f t="shared" si="103"/>
        <v>0.48266666666666669</v>
      </c>
      <c r="S272" s="149">
        <f t="shared" si="92"/>
        <v>0</v>
      </c>
      <c r="T272" s="150">
        <f t="shared" si="93"/>
        <v>0</v>
      </c>
      <c r="U272" s="150">
        <f t="shared" si="94"/>
        <v>0</v>
      </c>
      <c r="V272" s="150">
        <f>IFERROR(INDEX(Työkonekanta!$J$3:$J$27,MATCH($A272,Työkonekanta!$A$3:$A$24,0),1)*$B272*ef_li_ion_akku/1000/1000/INDEX(Työkonekanta!$K$3:$K$27,MATCH($A272,Työkonekanta!$A$3:$A$24,0)),0)</f>
        <v>0</v>
      </c>
      <c r="W272" s="149">
        <f t="shared" si="83"/>
        <v>0</v>
      </c>
      <c r="X272" s="150">
        <f t="shared" si="84"/>
        <v>0</v>
      </c>
      <c r="Y272" s="151">
        <f t="shared" si="85"/>
        <v>0</v>
      </c>
      <c r="Z272" s="152">
        <f t="shared" si="99"/>
        <v>0</v>
      </c>
      <c r="AA272" s="153">
        <f t="shared" si="100"/>
        <v>0</v>
      </c>
      <c r="AB272" s="153">
        <f t="shared" si="101"/>
        <v>0</v>
      </c>
      <c r="AC272" s="154">
        <f t="shared" si="86"/>
        <v>0</v>
      </c>
      <c r="AD272" s="180">
        <f t="shared" si="102"/>
        <v>0</v>
      </c>
      <c r="AE272" s="160"/>
    </row>
    <row r="273" spans="1:31">
      <c r="A273" s="139">
        <v>1</v>
      </c>
      <c r="B273" s="139">
        <f>IFERROR(INDEX(Työkonekanta!$F$3:$F$27,MATCH('S2 Bio'!$A273,Työkonekanta!$A$3:$A$24,0),1),0)</f>
        <v>1</v>
      </c>
      <c r="C273" s="140">
        <v>2028</v>
      </c>
      <c r="D273" s="141" t="str">
        <f>IFERROR(INDEX(Työkonekanta!$D$3:$D$27,MATCH('S2 Bio'!$A273,Työkonekanta!$A$3:$A$24,0),1),"undefined")</f>
        <v>pom</v>
      </c>
      <c r="E273" s="145">
        <f>IFERROR(INDEX(Työkonekanta!$G$3:$G$27,MATCH($A273,Työkonekanta!$A$3:$A$24,0),1)*INDEX(Työkonekanta!$H$3:$H$27,MATCH($A273,Työkonekanta!$A$3:$A$24,0),1)*(1+_xlfn.SINGLE(s2_kerroin)*($C273-2019))*$B273,0)</f>
        <v>10900</v>
      </c>
      <c r="F273" s="145">
        <f t="shared" si="89"/>
        <v>391310</v>
      </c>
      <c r="G273" s="145">
        <f t="shared" si="95"/>
        <v>177132.99333333332</v>
      </c>
      <c r="H273" s="145">
        <f t="shared" si="96"/>
        <v>214177.00666666668</v>
      </c>
      <c r="I273" s="145">
        <f t="shared" si="90"/>
        <v>4934.0666666666666</v>
      </c>
      <c r="J273" s="145">
        <f t="shared" si="91"/>
        <v>6244.2275996112739</v>
      </c>
      <c r="K273" s="142" t="str">
        <f t="shared" si="97"/>
        <v>l</v>
      </c>
      <c r="L273" s="146">
        <f>IFERROR(INDEX(Työkonekanta!$I$3:$I$27,MATCH('S2 Bio'!$A273,Työkonekanta!$A$3:$A$24,0),1)*(I273+J273)*f_adblue,0)</f>
        <v>558.9147133138971</v>
      </c>
      <c r="M273" s="146">
        <f t="shared" si="82"/>
        <v>0</v>
      </c>
      <c r="N273" s="143" t="str">
        <f>IF(tuulisähkö_vuosi&lt;='S2 Bio'!C273,"tuulisähkö",ostosähkö_nyt)</f>
        <v>jäännössähkö</v>
      </c>
      <c r="O273" s="147">
        <f>INDEX(Muuttujat!$J$5:$J$21,MATCH($C273,Muuttujat!$H$5:$H$21,0),1)</f>
        <v>63.258531840332459</v>
      </c>
      <c r="P273" s="148">
        <f t="shared" si="98"/>
        <v>0.45266666666666666</v>
      </c>
      <c r="Q273" s="148">
        <f t="shared" si="103"/>
        <v>0.54733333333333334</v>
      </c>
      <c r="R273" s="148">
        <f t="shared" si="103"/>
        <v>0.54733333333333334</v>
      </c>
      <c r="S273" s="149">
        <f t="shared" si="92"/>
        <v>3.3478135739999995</v>
      </c>
      <c r="T273" s="150">
        <f t="shared" si="93"/>
        <v>13.364645216000001</v>
      </c>
      <c r="U273" s="150">
        <f t="shared" si="94"/>
        <v>0</v>
      </c>
      <c r="V273" s="150">
        <f>IFERROR(INDEX(Työkonekanta!$J$3:$J$27,MATCH($A273,Työkonekanta!$A$3:$A$24,0),1)*$B273*ef_li_ion_akku/1000/1000/INDEX(Työkonekanta!$K$3:$K$27,MATCH($A273,Työkonekanta!$A$3:$A$24,0)),0)</f>
        <v>0</v>
      </c>
      <c r="W273" s="149">
        <f t="shared" si="83"/>
        <v>13.073877013067641</v>
      </c>
      <c r="X273" s="150">
        <f t="shared" si="84"/>
        <v>0.34634276940000003</v>
      </c>
      <c r="Y273" s="151">
        <f t="shared" si="85"/>
        <v>0.14531782546161323</v>
      </c>
      <c r="Z273" s="152">
        <f t="shared" si="99"/>
        <v>16.712458789999999</v>
      </c>
      <c r="AA273" s="153">
        <f t="shared" si="100"/>
        <v>13.219194838529255</v>
      </c>
      <c r="AB273" s="153">
        <f t="shared" si="101"/>
        <v>13.565537607929254</v>
      </c>
      <c r="AC273" s="154">
        <f t="shared" si="86"/>
        <v>29.931653628529254</v>
      </c>
      <c r="AD273" s="180">
        <f t="shared" si="102"/>
        <v>30.277996397929254</v>
      </c>
      <c r="AE273" s="160"/>
    </row>
    <row r="274" spans="1:31">
      <c r="A274" s="139">
        <v>2</v>
      </c>
      <c r="B274" s="139">
        <f>IFERROR(INDEX(Työkonekanta!$F$3:$F$27,MATCH('S2 Bio'!$A274,Työkonekanta!$A$3:$A$24,0),1),0)</f>
        <v>1</v>
      </c>
      <c r="C274" s="140">
        <v>2028</v>
      </c>
      <c r="D274" s="141" t="str">
        <f>IFERROR(INDEX(Työkonekanta!$D$3:$D$27,MATCH('S2 Bio'!$A274,Työkonekanta!$A$3:$A$24,0),1),"undefined")</f>
        <v>pom</v>
      </c>
      <c r="E274" s="145">
        <f>IFERROR(INDEX(Työkonekanta!$G$3:$G$27,MATCH($A274,Työkonekanta!$A$3:$A$24,0),1)*INDEX(Työkonekanta!$H$3:$H$27,MATCH($A274,Työkonekanta!$A$3:$A$24,0),1)*(1+_xlfn.SINGLE(s2_kerroin)*($C274-2019))*$B274,0)</f>
        <v>10900</v>
      </c>
      <c r="F274" s="145">
        <f t="shared" si="89"/>
        <v>391310</v>
      </c>
      <c r="G274" s="145">
        <f t="shared" si="95"/>
        <v>177132.99333333332</v>
      </c>
      <c r="H274" s="145">
        <f t="shared" si="96"/>
        <v>214177.00666666668</v>
      </c>
      <c r="I274" s="145">
        <f t="shared" si="90"/>
        <v>4934.0666666666666</v>
      </c>
      <c r="J274" s="145">
        <f t="shared" si="91"/>
        <v>6244.2275996112739</v>
      </c>
      <c r="K274" s="142" t="str">
        <f t="shared" si="97"/>
        <v>l</v>
      </c>
      <c r="L274" s="146">
        <f>IFERROR(INDEX(Työkonekanta!$I$3:$I$27,MATCH('S2 Bio'!$A274,Työkonekanta!$A$3:$A$24,0),1)*(I274+J274)*f_adblue,0)</f>
        <v>558.9147133138971</v>
      </c>
      <c r="M274" s="146">
        <f t="shared" si="82"/>
        <v>0</v>
      </c>
      <c r="N274" s="143" t="str">
        <f>IF(tuulisähkö_vuosi&lt;='S2 Bio'!C274,"tuulisähkö",ostosähkö_nyt)</f>
        <v>jäännössähkö</v>
      </c>
      <c r="O274" s="147">
        <f>INDEX(Muuttujat!$J$5:$J$21,MATCH($C274,Muuttujat!$H$5:$H$21,0),1)</f>
        <v>63.258531840332459</v>
      </c>
      <c r="P274" s="148">
        <f t="shared" si="98"/>
        <v>0.45266666666666666</v>
      </c>
      <c r="Q274" s="148">
        <f t="shared" si="103"/>
        <v>0.54733333333333334</v>
      </c>
      <c r="R274" s="148">
        <f t="shared" si="103"/>
        <v>0.54733333333333334</v>
      </c>
      <c r="S274" s="149">
        <f t="shared" si="92"/>
        <v>3.3478135739999995</v>
      </c>
      <c r="T274" s="150">
        <f t="shared" si="93"/>
        <v>13.364645216000001</v>
      </c>
      <c r="U274" s="150">
        <f t="shared" si="94"/>
        <v>0</v>
      </c>
      <c r="V274" s="150">
        <f>IFERROR(INDEX(Työkonekanta!$J$3:$J$27,MATCH($A274,Työkonekanta!$A$3:$A$24,0),1)*$B274*ef_li_ion_akku/1000/1000/INDEX(Työkonekanta!$K$3:$K$27,MATCH($A274,Työkonekanta!$A$3:$A$24,0)),0)</f>
        <v>0</v>
      </c>
      <c r="W274" s="149">
        <f t="shared" si="83"/>
        <v>13.073877013067641</v>
      </c>
      <c r="X274" s="150">
        <f t="shared" si="84"/>
        <v>0.34634276940000003</v>
      </c>
      <c r="Y274" s="151">
        <f t="shared" si="85"/>
        <v>0.14531782546161323</v>
      </c>
      <c r="Z274" s="152">
        <f t="shared" si="99"/>
        <v>16.712458789999999</v>
      </c>
      <c r="AA274" s="153">
        <f t="shared" si="100"/>
        <v>13.219194838529255</v>
      </c>
      <c r="AB274" s="153">
        <f t="shared" si="101"/>
        <v>13.565537607929254</v>
      </c>
      <c r="AC274" s="154">
        <f t="shared" si="86"/>
        <v>29.931653628529254</v>
      </c>
      <c r="AD274" s="180">
        <f t="shared" si="102"/>
        <v>30.277996397929254</v>
      </c>
      <c r="AE274" s="160"/>
    </row>
    <row r="275" spans="1:31">
      <c r="A275" s="139">
        <v>3</v>
      </c>
      <c r="B275" s="139">
        <f>IFERROR(INDEX(Työkonekanta!$F$3:$F$27,MATCH('S2 Bio'!$A275,Työkonekanta!$A$3:$A$24,0),1),0)</f>
        <v>1</v>
      </c>
      <c r="C275" s="140">
        <v>2028</v>
      </c>
      <c r="D275" s="141" t="str">
        <f>IFERROR(INDEX(Työkonekanta!$D$3:$D$27,MATCH('S2 Bio'!$A275,Työkonekanta!$A$3:$A$24,0),1),"undefined")</f>
        <v>pom</v>
      </c>
      <c r="E275" s="145">
        <f>IFERROR(INDEX(Työkonekanta!$G$3:$G$27,MATCH($A275,Työkonekanta!$A$3:$A$24,0),1)*INDEX(Työkonekanta!$H$3:$H$27,MATCH($A275,Työkonekanta!$A$3:$A$24,0),1)*(1+_xlfn.SINGLE(s2_kerroin)*($C275-2019))*$B275,0)</f>
        <v>10900</v>
      </c>
      <c r="F275" s="145">
        <f t="shared" si="89"/>
        <v>391310</v>
      </c>
      <c r="G275" s="145">
        <f t="shared" si="95"/>
        <v>177132.99333333332</v>
      </c>
      <c r="H275" s="145">
        <f t="shared" si="96"/>
        <v>214177.00666666668</v>
      </c>
      <c r="I275" s="145">
        <f t="shared" si="90"/>
        <v>4934.0666666666666</v>
      </c>
      <c r="J275" s="145">
        <f t="shared" si="91"/>
        <v>6244.2275996112739</v>
      </c>
      <c r="K275" s="142" t="str">
        <f t="shared" si="97"/>
        <v>l</v>
      </c>
      <c r="L275" s="146">
        <f>IFERROR(INDEX(Työkonekanta!$I$3:$I$27,MATCH('S2 Bio'!$A275,Työkonekanta!$A$3:$A$24,0),1)*(I275+J275)*f_adblue,0)</f>
        <v>558.9147133138971</v>
      </c>
      <c r="M275" s="146">
        <f t="shared" ref="M275:M338" si="104">IF($D275="sähkö",conv_kwh_mj*$E275,0)</f>
        <v>0</v>
      </c>
      <c r="N275" s="143" t="str">
        <f>IF(tuulisähkö_vuosi&lt;='S2 Bio'!C275,"tuulisähkö",ostosähkö_nyt)</f>
        <v>jäännössähkö</v>
      </c>
      <c r="O275" s="147">
        <f>INDEX(Muuttujat!$J$5:$J$21,MATCH($C275,Muuttujat!$H$5:$H$21,0),1)</f>
        <v>63.258531840332459</v>
      </c>
      <c r="P275" s="148">
        <f t="shared" si="98"/>
        <v>0.45266666666666666</v>
      </c>
      <c r="Q275" s="148">
        <f t="shared" si="103"/>
        <v>0.54733333333333334</v>
      </c>
      <c r="R275" s="148">
        <f t="shared" si="103"/>
        <v>0.54733333333333334</v>
      </c>
      <c r="S275" s="149">
        <f t="shared" si="92"/>
        <v>3.3478135739999995</v>
      </c>
      <c r="T275" s="150">
        <f t="shared" si="93"/>
        <v>13.364645216000001</v>
      </c>
      <c r="U275" s="150">
        <f t="shared" si="94"/>
        <v>0</v>
      </c>
      <c r="V275" s="150">
        <f>IFERROR(INDEX(Työkonekanta!$J$3:$J$27,MATCH($A275,Työkonekanta!$A$3:$A$24,0),1)*$B275*ef_li_ion_akku/1000/1000/INDEX(Työkonekanta!$K$3:$K$27,MATCH($A275,Työkonekanta!$A$3:$A$24,0)),0)</f>
        <v>0</v>
      </c>
      <c r="W275" s="149">
        <f t="shared" ref="W275:W338" si="105">($I275*IF($D275="pom",ef_v_co2_pom,0))/1000/1000</f>
        <v>13.073877013067641</v>
      </c>
      <c r="X275" s="150">
        <f t="shared" ref="X275:X338" si="106">($E275*(IF($D275="pom",ef_v_ch4_pom,0)*gwp100_ch4+IF($D275="pom",ef_v_n2o_pom,0)*gwp100_n2o))/1000/1000</f>
        <v>0.34634276940000003</v>
      </c>
      <c r="Y275" s="151">
        <f t="shared" ref="Y275:Y338" si="107">$L275*ef_v_co2_adblue/1000/1000</f>
        <v>0.14531782546161323</v>
      </c>
      <c r="Z275" s="152">
        <f t="shared" si="99"/>
        <v>16.712458789999999</v>
      </c>
      <c r="AA275" s="153">
        <f t="shared" si="100"/>
        <v>13.219194838529255</v>
      </c>
      <c r="AB275" s="153">
        <f t="shared" si="101"/>
        <v>13.565537607929254</v>
      </c>
      <c r="AC275" s="154">
        <f t="shared" ref="AC275:AC338" si="108">$Z275+$AA275</f>
        <v>29.931653628529254</v>
      </c>
      <c r="AD275" s="180">
        <f t="shared" si="102"/>
        <v>30.277996397929254</v>
      </c>
      <c r="AE275" s="160"/>
    </row>
    <row r="276" spans="1:31">
      <c r="A276" s="139">
        <v>4</v>
      </c>
      <c r="B276" s="139">
        <f>IFERROR(INDEX(Työkonekanta!$F$3:$F$27,MATCH('S2 Bio'!$A276,Työkonekanta!$A$3:$A$24,0),1),0)</f>
        <v>1</v>
      </c>
      <c r="C276" s="140">
        <v>2028</v>
      </c>
      <c r="D276" s="141" t="str">
        <f>IFERROR(INDEX(Työkonekanta!$D$3:$D$27,MATCH('S2 Bio'!$A276,Työkonekanta!$A$3:$A$24,0),1),"undefined")</f>
        <v>pom</v>
      </c>
      <c r="E276" s="145">
        <f>IFERROR(INDEX(Työkonekanta!$G$3:$G$27,MATCH($A276,Työkonekanta!$A$3:$A$24,0),1)*INDEX(Työkonekanta!$H$3:$H$27,MATCH($A276,Työkonekanta!$A$3:$A$24,0),1)*(1+_xlfn.SINGLE(s2_kerroin)*($C276-2019))*$B276,0)</f>
        <v>10900</v>
      </c>
      <c r="F276" s="145">
        <f t="shared" si="89"/>
        <v>391310</v>
      </c>
      <c r="G276" s="145">
        <f t="shared" si="95"/>
        <v>177132.99333333332</v>
      </c>
      <c r="H276" s="145">
        <f t="shared" si="96"/>
        <v>214177.00666666668</v>
      </c>
      <c r="I276" s="145">
        <f t="shared" si="90"/>
        <v>4934.0666666666666</v>
      </c>
      <c r="J276" s="145">
        <f t="shared" si="91"/>
        <v>6244.2275996112739</v>
      </c>
      <c r="K276" s="142" t="str">
        <f t="shared" si="97"/>
        <v>l</v>
      </c>
      <c r="L276" s="146">
        <f>IFERROR(INDEX(Työkonekanta!$I$3:$I$27,MATCH('S2 Bio'!$A276,Työkonekanta!$A$3:$A$24,0),1)*(I276+J276)*f_adblue,0)</f>
        <v>558.9147133138971</v>
      </c>
      <c r="M276" s="146">
        <f t="shared" si="104"/>
        <v>0</v>
      </c>
      <c r="N276" s="143" t="str">
        <f>IF(tuulisähkö_vuosi&lt;='S2 Bio'!C276,"tuulisähkö",ostosähkö_nyt)</f>
        <v>jäännössähkö</v>
      </c>
      <c r="O276" s="147">
        <f>INDEX(Muuttujat!$J$5:$J$21,MATCH($C276,Muuttujat!$H$5:$H$21,0),1)</f>
        <v>63.258531840332459</v>
      </c>
      <c r="P276" s="148">
        <f t="shared" si="98"/>
        <v>0.45266666666666666</v>
      </c>
      <c r="Q276" s="148">
        <f t="shared" si="103"/>
        <v>0.54733333333333334</v>
      </c>
      <c r="R276" s="148">
        <f t="shared" si="103"/>
        <v>0.54733333333333334</v>
      </c>
      <c r="S276" s="149">
        <f t="shared" si="92"/>
        <v>3.3478135739999995</v>
      </c>
      <c r="T276" s="150">
        <f t="shared" si="93"/>
        <v>13.364645216000001</v>
      </c>
      <c r="U276" s="150">
        <f t="shared" si="94"/>
        <v>0</v>
      </c>
      <c r="V276" s="150">
        <f>IFERROR(INDEX(Työkonekanta!$J$3:$J$27,MATCH($A276,Työkonekanta!$A$3:$A$24,0),1)*$B276*ef_li_ion_akku/1000/1000/INDEX(Työkonekanta!$K$3:$K$27,MATCH($A276,Työkonekanta!$A$3:$A$24,0)),0)</f>
        <v>0</v>
      </c>
      <c r="W276" s="149">
        <f t="shared" si="105"/>
        <v>13.073877013067641</v>
      </c>
      <c r="X276" s="150">
        <f t="shared" si="106"/>
        <v>0.34634276940000003</v>
      </c>
      <c r="Y276" s="151">
        <f t="shared" si="107"/>
        <v>0.14531782546161323</v>
      </c>
      <c r="Z276" s="152">
        <f t="shared" si="99"/>
        <v>16.712458789999999</v>
      </c>
      <c r="AA276" s="153">
        <f t="shared" si="100"/>
        <v>13.219194838529255</v>
      </c>
      <c r="AB276" s="153">
        <f t="shared" si="101"/>
        <v>13.565537607929254</v>
      </c>
      <c r="AC276" s="154">
        <f t="shared" si="108"/>
        <v>29.931653628529254</v>
      </c>
      <c r="AD276" s="180">
        <f t="shared" si="102"/>
        <v>30.277996397929254</v>
      </c>
      <c r="AE276" s="160"/>
    </row>
    <row r="277" spans="1:31">
      <c r="A277" s="139">
        <v>5</v>
      </c>
      <c r="B277" s="139">
        <f>IFERROR(INDEX(Työkonekanta!$F$3:$F$27,MATCH('S2 Bio'!$A277,Työkonekanta!$A$3:$A$24,0),1),0)</f>
        <v>0</v>
      </c>
      <c r="C277" s="140">
        <v>2028</v>
      </c>
      <c r="D277" s="141" t="str">
        <f>IFERROR(INDEX(Työkonekanta!$D$3:$D$27,MATCH('S2 Bio'!$A277,Työkonekanta!$A$3:$A$24,0),1),"undefined")</f>
        <v>sähkö</v>
      </c>
      <c r="E277" s="145">
        <f>IFERROR(INDEX(Työkonekanta!$G$3:$G$27,MATCH($A277,Työkonekanta!$A$3:$A$24,0),1)*INDEX(Työkonekanta!$H$3:$H$27,MATCH($A277,Työkonekanta!$A$3:$A$24,0),1)*(1+_xlfn.SINGLE(s2_kerroin)*($C277-2019))*$B277,0)</f>
        <v>0</v>
      </c>
      <c r="F277" s="145">
        <f t="shared" si="89"/>
        <v>0</v>
      </c>
      <c r="G277" s="145">
        <f t="shared" si="95"/>
        <v>0</v>
      </c>
      <c r="H277" s="145">
        <f t="shared" si="96"/>
        <v>0</v>
      </c>
      <c r="I277" s="145">
        <f t="shared" si="90"/>
        <v>0</v>
      </c>
      <c r="J277" s="145">
        <f t="shared" si="91"/>
        <v>0</v>
      </c>
      <c r="K277" s="142" t="str">
        <f t="shared" si="97"/>
        <v>kWh</v>
      </c>
      <c r="L277" s="146">
        <f>IFERROR(INDEX(Työkonekanta!$I$3:$I$27,MATCH('S2 Bio'!$A277,Työkonekanta!$A$3:$A$24,0),1)*(I277+J277)*f_adblue,0)</f>
        <v>0</v>
      </c>
      <c r="M277" s="146">
        <f t="shared" si="104"/>
        <v>0</v>
      </c>
      <c r="N277" s="143" t="str">
        <f>IF(tuulisähkö_vuosi&lt;='S2 Bio'!C277,"tuulisähkö",ostosähkö_nyt)</f>
        <v>jäännössähkö</v>
      </c>
      <c r="O277" s="147">
        <f>INDEX(Muuttujat!$J$5:$J$21,MATCH($C277,Muuttujat!$H$5:$H$21,0),1)</f>
        <v>63.258531840332459</v>
      </c>
      <c r="P277" s="148">
        <f t="shared" si="98"/>
        <v>0.45266666666666666</v>
      </c>
      <c r="Q277" s="148">
        <f t="shared" si="103"/>
        <v>0.54733333333333334</v>
      </c>
      <c r="R277" s="148">
        <f t="shared" si="103"/>
        <v>0.54733333333333334</v>
      </c>
      <c r="S277" s="149">
        <f t="shared" si="92"/>
        <v>0</v>
      </c>
      <c r="T277" s="150">
        <f t="shared" si="93"/>
        <v>0</v>
      </c>
      <c r="U277" s="150">
        <f t="shared" si="94"/>
        <v>0</v>
      </c>
      <c r="V277" s="150">
        <f>IFERROR(INDEX(Työkonekanta!$J$3:$J$27,MATCH($A277,Työkonekanta!$A$3:$A$24,0),1)*$B277*ef_li_ion_akku/1000/1000/INDEX(Työkonekanta!$K$3:$K$27,MATCH($A277,Työkonekanta!$A$3:$A$24,0)),0)</f>
        <v>0</v>
      </c>
      <c r="W277" s="149">
        <f t="shared" si="105"/>
        <v>0</v>
      </c>
      <c r="X277" s="150">
        <f t="shared" si="106"/>
        <v>0</v>
      </c>
      <c r="Y277" s="151">
        <f t="shared" si="107"/>
        <v>0</v>
      </c>
      <c r="Z277" s="152">
        <f t="shared" si="99"/>
        <v>0</v>
      </c>
      <c r="AA277" s="153">
        <f t="shared" si="100"/>
        <v>0</v>
      </c>
      <c r="AB277" s="153">
        <f t="shared" si="101"/>
        <v>0</v>
      </c>
      <c r="AC277" s="154">
        <f t="shared" si="108"/>
        <v>0</v>
      </c>
      <c r="AD277" s="180">
        <f t="shared" si="102"/>
        <v>0</v>
      </c>
      <c r="AE277" s="160"/>
    </row>
    <row r="278" spans="1:31">
      <c r="A278" s="139">
        <v>6</v>
      </c>
      <c r="B278" s="139">
        <f>IFERROR(INDEX(Työkonekanta!$F$3:$F$27,MATCH('S2 Bio'!$A278,Työkonekanta!$A$3:$A$24,0),1),0)</f>
        <v>0</v>
      </c>
      <c r="C278" s="140">
        <v>2028</v>
      </c>
      <c r="D278" s="141" t="str">
        <f>IFERROR(INDEX(Työkonekanta!$D$3:$D$27,MATCH('S2 Bio'!$A278,Työkonekanta!$A$3:$A$24,0),1),"undefined")</f>
        <v>sähkö</v>
      </c>
      <c r="E278" s="145">
        <f>IFERROR(INDEX(Työkonekanta!$G$3:$G$27,MATCH($A278,Työkonekanta!$A$3:$A$24,0),1)*INDEX(Työkonekanta!$H$3:$H$27,MATCH($A278,Työkonekanta!$A$3:$A$24,0),1)*(1+_xlfn.SINGLE(s2_kerroin)*($C278-2019))*$B278,0)</f>
        <v>0</v>
      </c>
      <c r="F278" s="145">
        <f t="shared" si="89"/>
        <v>0</v>
      </c>
      <c r="G278" s="145">
        <f t="shared" si="95"/>
        <v>0</v>
      </c>
      <c r="H278" s="145">
        <f t="shared" si="96"/>
        <v>0</v>
      </c>
      <c r="I278" s="145">
        <f t="shared" si="90"/>
        <v>0</v>
      </c>
      <c r="J278" s="145">
        <f t="shared" si="91"/>
        <v>0</v>
      </c>
      <c r="K278" s="142" t="str">
        <f t="shared" si="97"/>
        <v>kWh</v>
      </c>
      <c r="L278" s="146">
        <f>IFERROR(INDEX(Työkonekanta!$I$3:$I$27,MATCH('S2 Bio'!$A278,Työkonekanta!$A$3:$A$24,0),1)*(I278+J278)*f_adblue,0)</f>
        <v>0</v>
      </c>
      <c r="M278" s="146">
        <f t="shared" si="104"/>
        <v>0</v>
      </c>
      <c r="N278" s="143" t="str">
        <f>IF(tuulisähkö_vuosi&lt;='S2 Bio'!C278,"tuulisähkö",ostosähkö_nyt)</f>
        <v>jäännössähkö</v>
      </c>
      <c r="O278" s="147">
        <f>INDEX(Muuttujat!$J$5:$J$21,MATCH($C278,Muuttujat!$H$5:$H$21,0),1)</f>
        <v>63.258531840332459</v>
      </c>
      <c r="P278" s="148">
        <f t="shared" si="98"/>
        <v>0.45266666666666666</v>
      </c>
      <c r="Q278" s="148">
        <f t="shared" si="103"/>
        <v>0.54733333333333334</v>
      </c>
      <c r="R278" s="148">
        <f t="shared" si="103"/>
        <v>0.54733333333333334</v>
      </c>
      <c r="S278" s="149">
        <f t="shared" si="92"/>
        <v>0</v>
      </c>
      <c r="T278" s="150">
        <f t="shared" si="93"/>
        <v>0</v>
      </c>
      <c r="U278" s="150">
        <f t="shared" si="94"/>
        <v>0</v>
      </c>
      <c r="V278" s="150">
        <f>IFERROR(INDEX(Työkonekanta!$J$3:$J$27,MATCH($A278,Työkonekanta!$A$3:$A$24,0),1)*$B278*ef_li_ion_akku/1000/1000/INDEX(Työkonekanta!$K$3:$K$27,MATCH($A278,Työkonekanta!$A$3:$A$24,0)),0)</f>
        <v>0</v>
      </c>
      <c r="W278" s="149">
        <f t="shared" si="105"/>
        <v>0</v>
      </c>
      <c r="X278" s="150">
        <f t="shared" si="106"/>
        <v>0</v>
      </c>
      <c r="Y278" s="151">
        <f t="shared" si="107"/>
        <v>0</v>
      </c>
      <c r="Z278" s="152">
        <f t="shared" si="99"/>
        <v>0</v>
      </c>
      <c r="AA278" s="153">
        <f t="shared" si="100"/>
        <v>0</v>
      </c>
      <c r="AB278" s="153">
        <f t="shared" si="101"/>
        <v>0</v>
      </c>
      <c r="AC278" s="154">
        <f t="shared" si="108"/>
        <v>0</v>
      </c>
      <c r="AD278" s="180">
        <f t="shared" si="102"/>
        <v>0</v>
      </c>
      <c r="AE278" s="160"/>
    </row>
    <row r="279" spans="1:31">
      <c r="A279" s="139">
        <v>7</v>
      </c>
      <c r="B279" s="139">
        <f>IFERROR(INDEX(Työkonekanta!$F$3:$F$27,MATCH('S2 Bio'!$A279,Työkonekanta!$A$3:$A$24,0),1),0)</f>
        <v>1</v>
      </c>
      <c r="C279" s="140">
        <v>2028</v>
      </c>
      <c r="D279" s="141" t="str">
        <f>IFERROR(INDEX(Työkonekanta!$D$3:$D$27,MATCH('S2 Bio'!$A279,Työkonekanta!$A$3:$A$24,0),1),"undefined")</f>
        <v>pom</v>
      </c>
      <c r="E279" s="145">
        <f>IFERROR(INDEX(Työkonekanta!$G$3:$G$27,MATCH($A279,Työkonekanta!$A$3:$A$24,0),1)*INDEX(Työkonekanta!$H$3:$H$27,MATCH($A279,Työkonekanta!$A$3:$A$24,0),1)*(1+_xlfn.SINGLE(s2_kerroin)*($C279-2019))*$B279,0)</f>
        <v>10900</v>
      </c>
      <c r="F279" s="145">
        <f t="shared" si="89"/>
        <v>391310</v>
      </c>
      <c r="G279" s="145">
        <f t="shared" si="95"/>
        <v>177132.99333333332</v>
      </c>
      <c r="H279" s="145">
        <f t="shared" si="96"/>
        <v>214177.00666666668</v>
      </c>
      <c r="I279" s="145">
        <f t="shared" si="90"/>
        <v>4934.0666666666666</v>
      </c>
      <c r="J279" s="145">
        <f t="shared" si="91"/>
        <v>6244.2275996112739</v>
      </c>
      <c r="K279" s="142" t="str">
        <f t="shared" si="97"/>
        <v>l</v>
      </c>
      <c r="L279" s="146">
        <f>IFERROR(INDEX(Työkonekanta!$I$3:$I$27,MATCH('S2 Bio'!$A279,Työkonekanta!$A$3:$A$24,0),1)*(I279+J279)*f_adblue,0)</f>
        <v>0</v>
      </c>
      <c r="M279" s="146">
        <f t="shared" si="104"/>
        <v>0</v>
      </c>
      <c r="N279" s="143" t="str">
        <f>IF(tuulisähkö_vuosi&lt;='S2 Bio'!C279,"tuulisähkö",ostosähkö_nyt)</f>
        <v>jäännössähkö</v>
      </c>
      <c r="O279" s="147">
        <f>INDEX(Muuttujat!$J$5:$J$21,MATCH($C279,Muuttujat!$H$5:$H$21,0),1)</f>
        <v>63.258531840332459</v>
      </c>
      <c r="P279" s="148">
        <f t="shared" si="98"/>
        <v>0.45266666666666666</v>
      </c>
      <c r="Q279" s="148">
        <f t="shared" si="103"/>
        <v>0.54733333333333334</v>
      </c>
      <c r="R279" s="148">
        <f t="shared" si="103"/>
        <v>0.54733333333333334</v>
      </c>
      <c r="S279" s="149">
        <f t="shared" si="92"/>
        <v>3.3478135739999995</v>
      </c>
      <c r="T279" s="150">
        <f t="shared" si="93"/>
        <v>13.364645216000001</v>
      </c>
      <c r="U279" s="150">
        <f t="shared" si="94"/>
        <v>0</v>
      </c>
      <c r="V279" s="150">
        <f>IFERROR(INDEX(Työkonekanta!$J$3:$J$27,MATCH($A279,Työkonekanta!$A$3:$A$24,0),1)*$B279*ef_li_ion_akku/1000/1000/INDEX(Työkonekanta!$K$3:$K$27,MATCH($A279,Työkonekanta!$A$3:$A$24,0)),0)</f>
        <v>0</v>
      </c>
      <c r="W279" s="149">
        <f t="shared" si="105"/>
        <v>13.073877013067641</v>
      </c>
      <c r="X279" s="150">
        <f t="shared" si="106"/>
        <v>0.34634276940000003</v>
      </c>
      <c r="Y279" s="151">
        <f t="shared" si="107"/>
        <v>0</v>
      </c>
      <c r="Z279" s="152">
        <f t="shared" si="99"/>
        <v>16.712458789999999</v>
      </c>
      <c r="AA279" s="153">
        <f t="shared" si="100"/>
        <v>13.073877013067641</v>
      </c>
      <c r="AB279" s="153">
        <f t="shared" si="101"/>
        <v>13.42021978246764</v>
      </c>
      <c r="AC279" s="154">
        <f t="shared" si="108"/>
        <v>29.78633580306764</v>
      </c>
      <c r="AD279" s="180">
        <f t="shared" si="102"/>
        <v>30.13267857246764</v>
      </c>
      <c r="AE279" s="160"/>
    </row>
    <row r="280" spans="1:31">
      <c r="A280" s="139">
        <v>8</v>
      </c>
      <c r="B280" s="139">
        <f>IFERROR(INDEX(Työkonekanta!$F$3:$F$27,MATCH('S2 Bio'!$A280,Työkonekanta!$A$3:$A$24,0),1),0)</f>
        <v>1</v>
      </c>
      <c r="C280" s="140">
        <v>2028</v>
      </c>
      <c r="D280" s="141" t="str">
        <f>IFERROR(INDEX(Työkonekanta!$D$3:$D$27,MATCH('S2 Bio'!$A280,Työkonekanta!$A$3:$A$24,0),1),"undefined")</f>
        <v>pom</v>
      </c>
      <c r="E280" s="145">
        <f>IFERROR(INDEX(Työkonekanta!$G$3:$G$27,MATCH($A280,Työkonekanta!$A$3:$A$24,0),1)*INDEX(Työkonekanta!$H$3:$H$27,MATCH($A280,Työkonekanta!$A$3:$A$24,0),1)*(1+_xlfn.SINGLE(s2_kerroin)*($C280-2019))*$B280,0)</f>
        <v>10900</v>
      </c>
      <c r="F280" s="145">
        <f t="shared" si="89"/>
        <v>391310</v>
      </c>
      <c r="G280" s="145">
        <f t="shared" si="95"/>
        <v>177132.99333333332</v>
      </c>
      <c r="H280" s="145">
        <f t="shared" si="96"/>
        <v>214177.00666666668</v>
      </c>
      <c r="I280" s="145">
        <f t="shared" si="90"/>
        <v>4934.0666666666666</v>
      </c>
      <c r="J280" s="145">
        <f t="shared" si="91"/>
        <v>6244.2275996112739</v>
      </c>
      <c r="K280" s="142" t="str">
        <f t="shared" si="97"/>
        <v>l</v>
      </c>
      <c r="L280" s="146">
        <f>IFERROR(INDEX(Työkonekanta!$I$3:$I$27,MATCH('S2 Bio'!$A280,Työkonekanta!$A$3:$A$24,0),1)*(I280+J280)*f_adblue,0)</f>
        <v>558.9147133138971</v>
      </c>
      <c r="M280" s="146">
        <f t="shared" si="104"/>
        <v>0</v>
      </c>
      <c r="N280" s="143" t="str">
        <f>IF(tuulisähkö_vuosi&lt;='S2 Bio'!C280,"tuulisähkö",ostosähkö_nyt)</f>
        <v>jäännössähkö</v>
      </c>
      <c r="O280" s="147">
        <f>INDEX(Muuttujat!$J$5:$J$21,MATCH($C280,Muuttujat!$H$5:$H$21,0),1)</f>
        <v>63.258531840332459</v>
      </c>
      <c r="P280" s="148">
        <f t="shared" si="98"/>
        <v>0.45266666666666666</v>
      </c>
      <c r="Q280" s="148">
        <f t="shared" si="103"/>
        <v>0.54733333333333334</v>
      </c>
      <c r="R280" s="148">
        <f t="shared" si="103"/>
        <v>0.54733333333333334</v>
      </c>
      <c r="S280" s="149">
        <f t="shared" si="92"/>
        <v>3.3478135739999995</v>
      </c>
      <c r="T280" s="150">
        <f t="shared" si="93"/>
        <v>13.364645216000001</v>
      </c>
      <c r="U280" s="150">
        <f t="shared" si="94"/>
        <v>0</v>
      </c>
      <c r="V280" s="150">
        <f>IFERROR(INDEX(Työkonekanta!$J$3:$J$27,MATCH($A280,Työkonekanta!$A$3:$A$24,0),1)*$B280*ef_li_ion_akku/1000/1000/INDEX(Työkonekanta!$K$3:$K$27,MATCH($A280,Työkonekanta!$A$3:$A$24,0)),0)</f>
        <v>0</v>
      </c>
      <c r="W280" s="149">
        <f t="shared" si="105"/>
        <v>13.073877013067641</v>
      </c>
      <c r="X280" s="150">
        <f t="shared" si="106"/>
        <v>0.34634276940000003</v>
      </c>
      <c r="Y280" s="151">
        <f t="shared" si="107"/>
        <v>0.14531782546161323</v>
      </c>
      <c r="Z280" s="152">
        <f t="shared" si="99"/>
        <v>16.712458789999999</v>
      </c>
      <c r="AA280" s="153">
        <f t="shared" si="100"/>
        <v>13.219194838529255</v>
      </c>
      <c r="AB280" s="153">
        <f t="shared" si="101"/>
        <v>13.565537607929254</v>
      </c>
      <c r="AC280" s="154">
        <f t="shared" si="108"/>
        <v>29.931653628529254</v>
      </c>
      <c r="AD280" s="180">
        <f t="shared" si="102"/>
        <v>30.277996397929254</v>
      </c>
      <c r="AE280" s="160"/>
    </row>
    <row r="281" spans="1:31">
      <c r="A281" s="139">
        <v>9</v>
      </c>
      <c r="B281" s="139">
        <f>IFERROR(INDEX(Työkonekanta!$F$3:$F$27,MATCH('S2 Bio'!$A281,Työkonekanta!$A$3:$A$24,0),1),0)</f>
        <v>0</v>
      </c>
      <c r="C281" s="140">
        <v>2028</v>
      </c>
      <c r="D281" s="141" t="str">
        <f>IFERROR(INDEX(Työkonekanta!$D$3:$D$27,MATCH('S2 Bio'!$A281,Työkonekanta!$A$3:$A$24,0),1),"undefined")</f>
        <v>sähkö</v>
      </c>
      <c r="E281" s="145">
        <f>IFERROR(INDEX(Työkonekanta!$G$3:$G$27,MATCH($A281,Työkonekanta!$A$3:$A$24,0),1)*INDEX(Työkonekanta!$H$3:$H$27,MATCH($A281,Työkonekanta!$A$3:$A$24,0),1)*(1+_xlfn.SINGLE(s2_kerroin)*($C281-2019))*$B281,0)</f>
        <v>0</v>
      </c>
      <c r="F281" s="145">
        <f t="shared" si="89"/>
        <v>0</v>
      </c>
      <c r="G281" s="145">
        <f t="shared" si="95"/>
        <v>0</v>
      </c>
      <c r="H281" s="145">
        <f t="shared" si="96"/>
        <v>0</v>
      </c>
      <c r="I281" s="145">
        <f t="shared" si="90"/>
        <v>0</v>
      </c>
      <c r="J281" s="145">
        <f t="shared" si="91"/>
        <v>0</v>
      </c>
      <c r="K281" s="142" t="str">
        <f t="shared" si="97"/>
        <v>kWh</v>
      </c>
      <c r="L281" s="146">
        <f>IFERROR(INDEX(Työkonekanta!$I$3:$I$27,MATCH('S2 Bio'!$A281,Työkonekanta!$A$3:$A$24,0),1)*(I281+J281)*f_adblue,0)</f>
        <v>0</v>
      </c>
      <c r="M281" s="146">
        <f t="shared" si="104"/>
        <v>0</v>
      </c>
      <c r="N281" s="143" t="str">
        <f>IF(tuulisähkö_vuosi&lt;='S2 Bio'!C281,"tuulisähkö",ostosähkö_nyt)</f>
        <v>jäännössähkö</v>
      </c>
      <c r="O281" s="147">
        <f>INDEX(Muuttujat!$J$5:$J$21,MATCH($C281,Muuttujat!$H$5:$H$21,0),1)</f>
        <v>63.258531840332459</v>
      </c>
      <c r="P281" s="148">
        <f t="shared" si="98"/>
        <v>0.45266666666666666</v>
      </c>
      <c r="Q281" s="148">
        <f t="shared" si="103"/>
        <v>0.54733333333333334</v>
      </c>
      <c r="R281" s="148">
        <f t="shared" si="103"/>
        <v>0.54733333333333334</v>
      </c>
      <c r="S281" s="149">
        <f t="shared" si="92"/>
        <v>0</v>
      </c>
      <c r="T281" s="150">
        <f t="shared" si="93"/>
        <v>0</v>
      </c>
      <c r="U281" s="150">
        <f t="shared" si="94"/>
        <v>0</v>
      </c>
      <c r="V281" s="150">
        <f>IFERROR(INDEX(Työkonekanta!$J$3:$J$27,MATCH($A281,Työkonekanta!$A$3:$A$24,0),1)*$B281*ef_li_ion_akku/1000/1000/INDEX(Työkonekanta!$K$3:$K$27,MATCH($A281,Työkonekanta!$A$3:$A$24,0)),0)</f>
        <v>0</v>
      </c>
      <c r="W281" s="149">
        <f t="shared" si="105"/>
        <v>0</v>
      </c>
      <c r="X281" s="150">
        <f t="shared" si="106"/>
        <v>0</v>
      </c>
      <c r="Y281" s="151">
        <f t="shared" si="107"/>
        <v>0</v>
      </c>
      <c r="Z281" s="152">
        <f t="shared" si="99"/>
        <v>0</v>
      </c>
      <c r="AA281" s="153">
        <f t="shared" si="100"/>
        <v>0</v>
      </c>
      <c r="AB281" s="153">
        <f t="shared" si="101"/>
        <v>0</v>
      </c>
      <c r="AC281" s="154">
        <f t="shared" si="108"/>
        <v>0</v>
      </c>
      <c r="AD281" s="180">
        <f t="shared" si="102"/>
        <v>0</v>
      </c>
      <c r="AE281" s="160"/>
    </row>
    <row r="282" spans="1:31">
      <c r="A282" s="139">
        <v>10</v>
      </c>
      <c r="B282" s="139">
        <f>IFERROR(INDEX(Työkonekanta!$F$3:$F$27,MATCH('S2 Bio'!$A282,Työkonekanta!$A$3:$A$24,0),1),0)</f>
        <v>0</v>
      </c>
      <c r="C282" s="140">
        <v>2028</v>
      </c>
      <c r="D282" s="141" t="str">
        <f>IFERROR(INDEX(Työkonekanta!$D$3:$D$27,MATCH('S2 Bio'!$A282,Työkonekanta!$A$3:$A$24,0),1),"undefined")</f>
        <v>sähkö</v>
      </c>
      <c r="E282" s="145">
        <f>IFERROR(INDEX(Työkonekanta!$G$3:$G$27,MATCH($A282,Työkonekanta!$A$3:$A$24,0),1)*INDEX(Työkonekanta!$H$3:$H$27,MATCH($A282,Työkonekanta!$A$3:$A$24,0),1)*(1+_xlfn.SINGLE(s2_kerroin)*($C282-2019))*$B282,0)</f>
        <v>0</v>
      </c>
      <c r="F282" s="145">
        <f t="shared" si="89"/>
        <v>0</v>
      </c>
      <c r="G282" s="145">
        <f t="shared" si="95"/>
        <v>0</v>
      </c>
      <c r="H282" s="145">
        <f t="shared" si="96"/>
        <v>0</v>
      </c>
      <c r="I282" s="145">
        <f t="shared" si="90"/>
        <v>0</v>
      </c>
      <c r="J282" s="145">
        <f t="shared" si="91"/>
        <v>0</v>
      </c>
      <c r="K282" s="142" t="str">
        <f t="shared" si="97"/>
        <v>kWh</v>
      </c>
      <c r="L282" s="146">
        <f>IFERROR(INDEX(Työkonekanta!$I$3:$I$27,MATCH('S2 Bio'!$A282,Työkonekanta!$A$3:$A$24,0),1)*(I282+J282)*f_adblue,0)</f>
        <v>0</v>
      </c>
      <c r="M282" s="146">
        <f t="shared" si="104"/>
        <v>0</v>
      </c>
      <c r="N282" s="143" t="str">
        <f>IF(tuulisähkö_vuosi&lt;='S2 Bio'!C282,"tuulisähkö",ostosähkö_nyt)</f>
        <v>jäännössähkö</v>
      </c>
      <c r="O282" s="147">
        <f>INDEX(Muuttujat!$J$5:$J$21,MATCH($C282,Muuttujat!$H$5:$H$21,0),1)</f>
        <v>63.258531840332459</v>
      </c>
      <c r="P282" s="148">
        <f t="shared" si="98"/>
        <v>0.45266666666666666</v>
      </c>
      <c r="Q282" s="148">
        <f t="shared" si="103"/>
        <v>0.54733333333333334</v>
      </c>
      <c r="R282" s="148">
        <f t="shared" si="103"/>
        <v>0.54733333333333334</v>
      </c>
      <c r="S282" s="149">
        <f t="shared" si="92"/>
        <v>0</v>
      </c>
      <c r="T282" s="150">
        <f t="shared" si="93"/>
        <v>0</v>
      </c>
      <c r="U282" s="150">
        <f t="shared" si="94"/>
        <v>0</v>
      </c>
      <c r="V282" s="150">
        <f>IFERROR(INDEX(Työkonekanta!$J$3:$J$27,MATCH($A282,Työkonekanta!$A$3:$A$24,0),1)*$B282*ef_li_ion_akku/1000/1000/INDEX(Työkonekanta!$K$3:$K$27,MATCH($A282,Työkonekanta!$A$3:$A$24,0)),0)</f>
        <v>0</v>
      </c>
      <c r="W282" s="149">
        <f t="shared" si="105"/>
        <v>0</v>
      </c>
      <c r="X282" s="150">
        <f t="shared" si="106"/>
        <v>0</v>
      </c>
      <c r="Y282" s="151">
        <f t="shared" si="107"/>
        <v>0</v>
      </c>
      <c r="Z282" s="152">
        <f t="shared" si="99"/>
        <v>0</v>
      </c>
      <c r="AA282" s="153">
        <f t="shared" si="100"/>
        <v>0</v>
      </c>
      <c r="AB282" s="153">
        <f t="shared" si="101"/>
        <v>0</v>
      </c>
      <c r="AC282" s="154">
        <f t="shared" si="108"/>
        <v>0</v>
      </c>
      <c r="AD282" s="180">
        <f t="shared" si="102"/>
        <v>0</v>
      </c>
      <c r="AE282" s="160"/>
    </row>
    <row r="283" spans="1:31">
      <c r="A283" s="139">
        <v>11</v>
      </c>
      <c r="B283" s="139">
        <f>IFERROR(INDEX(Työkonekanta!$F$3:$F$27,MATCH('S2 Bio'!$A283,Työkonekanta!$A$3:$A$24,0),1),0)</f>
        <v>1</v>
      </c>
      <c r="C283" s="140">
        <v>2028</v>
      </c>
      <c r="D283" s="141" t="str">
        <f>IFERROR(INDEX(Työkonekanta!$D$3:$D$27,MATCH('S2 Bio'!$A283,Työkonekanta!$A$3:$A$24,0),1),"undefined")</f>
        <v>pom</v>
      </c>
      <c r="E283" s="145">
        <f>IFERROR(INDEX(Työkonekanta!$G$3:$G$27,MATCH($A283,Työkonekanta!$A$3:$A$24,0),1)*INDEX(Työkonekanta!$H$3:$H$27,MATCH($A283,Työkonekanta!$A$3:$A$24,0),1)*(1+_xlfn.SINGLE(s2_kerroin)*($C283-2019))*$B283,0)</f>
        <v>10900</v>
      </c>
      <c r="F283" s="145">
        <f t="shared" si="89"/>
        <v>391310</v>
      </c>
      <c r="G283" s="145">
        <f t="shared" si="95"/>
        <v>177132.99333333332</v>
      </c>
      <c r="H283" s="145">
        <f t="shared" si="96"/>
        <v>214177.00666666668</v>
      </c>
      <c r="I283" s="145">
        <f t="shared" si="90"/>
        <v>4934.0666666666666</v>
      </c>
      <c r="J283" s="145">
        <f t="shared" si="91"/>
        <v>6244.2275996112739</v>
      </c>
      <c r="K283" s="142" t="str">
        <f t="shared" si="97"/>
        <v>l</v>
      </c>
      <c r="L283" s="146">
        <f>IFERROR(INDEX(Työkonekanta!$I$3:$I$27,MATCH('S2 Bio'!$A283,Työkonekanta!$A$3:$A$24,0),1)*(I283+J283)*f_adblue,0)</f>
        <v>558.9147133138971</v>
      </c>
      <c r="M283" s="146">
        <f t="shared" si="104"/>
        <v>0</v>
      </c>
      <c r="N283" s="143" t="str">
        <f>IF(tuulisähkö_vuosi&lt;='S2 Bio'!C283,"tuulisähkö",ostosähkö_nyt)</f>
        <v>jäännössähkö</v>
      </c>
      <c r="O283" s="147">
        <f>INDEX(Muuttujat!$J$5:$J$21,MATCH($C283,Muuttujat!$H$5:$H$21,0),1)</f>
        <v>63.258531840332459</v>
      </c>
      <c r="P283" s="148">
        <f t="shared" si="98"/>
        <v>0.45266666666666666</v>
      </c>
      <c r="Q283" s="148">
        <f t="shared" ref="Q283:R302" si="109">IF(biosiirtymä_luonne="äkillinen",INDEX($AG$4:$AG$20,MATCH($C283,$AF$4:$AF$20,0),1),INDEX($AH$4:$AH$20,MATCH($C283,$AF$4:$AF$20,0),1))</f>
        <v>0.54733333333333334</v>
      </c>
      <c r="R283" s="148">
        <f t="shared" si="109"/>
        <v>0.54733333333333334</v>
      </c>
      <c r="S283" s="149">
        <f t="shared" si="92"/>
        <v>3.3478135739999995</v>
      </c>
      <c r="T283" s="150">
        <f t="shared" si="93"/>
        <v>13.364645216000001</v>
      </c>
      <c r="U283" s="150">
        <f t="shared" si="94"/>
        <v>0</v>
      </c>
      <c r="V283" s="150">
        <f>IFERROR(INDEX(Työkonekanta!$J$3:$J$27,MATCH($A283,Työkonekanta!$A$3:$A$24,0),1)*$B283*ef_li_ion_akku/1000/1000/INDEX(Työkonekanta!$K$3:$K$27,MATCH($A283,Työkonekanta!$A$3:$A$24,0)),0)</f>
        <v>0</v>
      </c>
      <c r="W283" s="149">
        <f t="shared" si="105"/>
        <v>13.073877013067641</v>
      </c>
      <c r="X283" s="150">
        <f t="shared" si="106"/>
        <v>0.34634276940000003</v>
      </c>
      <c r="Y283" s="151">
        <f t="shared" si="107"/>
        <v>0.14531782546161323</v>
      </c>
      <c r="Z283" s="152">
        <f t="shared" si="99"/>
        <v>16.712458789999999</v>
      </c>
      <c r="AA283" s="153">
        <f t="shared" si="100"/>
        <v>13.219194838529255</v>
      </c>
      <c r="AB283" s="153">
        <f t="shared" si="101"/>
        <v>13.565537607929254</v>
      </c>
      <c r="AC283" s="154">
        <f t="shared" si="108"/>
        <v>29.931653628529254</v>
      </c>
      <c r="AD283" s="180">
        <f t="shared" si="102"/>
        <v>30.277996397929254</v>
      </c>
      <c r="AE283" s="160"/>
    </row>
    <row r="284" spans="1:31">
      <c r="A284" s="139">
        <v>12</v>
      </c>
      <c r="B284" s="139">
        <f>IFERROR(INDEX(Työkonekanta!$F$3:$F$27,MATCH('S2 Bio'!$A284,Työkonekanta!$A$3:$A$24,0),1),0)</f>
        <v>1</v>
      </c>
      <c r="C284" s="140">
        <v>2028</v>
      </c>
      <c r="D284" s="141" t="str">
        <f>IFERROR(INDEX(Työkonekanta!$D$3:$D$27,MATCH('S2 Bio'!$A284,Työkonekanta!$A$3:$A$24,0),1),"undefined")</f>
        <v>pom</v>
      </c>
      <c r="E284" s="145">
        <f>IFERROR(INDEX(Työkonekanta!$G$3:$G$27,MATCH($A284,Työkonekanta!$A$3:$A$24,0),1)*INDEX(Työkonekanta!$H$3:$H$27,MATCH($A284,Työkonekanta!$A$3:$A$24,0),1)*(1+_xlfn.SINGLE(s2_kerroin)*($C284-2019))*$B284,0)</f>
        <v>10900</v>
      </c>
      <c r="F284" s="145">
        <f t="shared" si="89"/>
        <v>391310</v>
      </c>
      <c r="G284" s="145">
        <f t="shared" si="95"/>
        <v>177132.99333333332</v>
      </c>
      <c r="H284" s="145">
        <f t="shared" si="96"/>
        <v>214177.00666666668</v>
      </c>
      <c r="I284" s="145">
        <f t="shared" si="90"/>
        <v>4934.0666666666666</v>
      </c>
      <c r="J284" s="145">
        <f t="shared" si="91"/>
        <v>6244.2275996112739</v>
      </c>
      <c r="K284" s="142" t="str">
        <f t="shared" si="97"/>
        <v>l</v>
      </c>
      <c r="L284" s="146">
        <f>IFERROR(INDEX(Työkonekanta!$I$3:$I$27,MATCH('S2 Bio'!$A284,Työkonekanta!$A$3:$A$24,0),1)*(I284+J284)*f_adblue,0)</f>
        <v>558.9147133138971</v>
      </c>
      <c r="M284" s="146">
        <f t="shared" si="104"/>
        <v>0</v>
      </c>
      <c r="N284" s="143" t="str">
        <f>IF(tuulisähkö_vuosi&lt;='S2 Bio'!C284,"tuulisähkö",ostosähkö_nyt)</f>
        <v>jäännössähkö</v>
      </c>
      <c r="O284" s="147">
        <f>INDEX(Muuttujat!$J$5:$J$21,MATCH($C284,Muuttujat!$H$5:$H$21,0),1)</f>
        <v>63.258531840332459</v>
      </c>
      <c r="P284" s="148">
        <f t="shared" si="98"/>
        <v>0.45266666666666666</v>
      </c>
      <c r="Q284" s="148">
        <f t="shared" si="109"/>
        <v>0.54733333333333334</v>
      </c>
      <c r="R284" s="148">
        <f t="shared" si="109"/>
        <v>0.54733333333333334</v>
      </c>
      <c r="S284" s="149">
        <f t="shared" si="92"/>
        <v>3.3478135739999995</v>
      </c>
      <c r="T284" s="150">
        <f t="shared" si="93"/>
        <v>13.364645216000001</v>
      </c>
      <c r="U284" s="150">
        <f t="shared" si="94"/>
        <v>0</v>
      </c>
      <c r="V284" s="150">
        <f>IFERROR(INDEX(Työkonekanta!$J$3:$J$27,MATCH($A284,Työkonekanta!$A$3:$A$24,0),1)*$B284*ef_li_ion_akku/1000/1000/INDEX(Työkonekanta!$K$3:$K$27,MATCH($A284,Työkonekanta!$A$3:$A$24,0)),0)</f>
        <v>0</v>
      </c>
      <c r="W284" s="149">
        <f t="shared" si="105"/>
        <v>13.073877013067641</v>
      </c>
      <c r="X284" s="150">
        <f t="shared" si="106"/>
        <v>0.34634276940000003</v>
      </c>
      <c r="Y284" s="151">
        <f t="shared" si="107"/>
        <v>0.14531782546161323</v>
      </c>
      <c r="Z284" s="152">
        <f t="shared" si="99"/>
        <v>16.712458789999999</v>
      </c>
      <c r="AA284" s="153">
        <f t="shared" si="100"/>
        <v>13.219194838529255</v>
      </c>
      <c r="AB284" s="153">
        <f t="shared" si="101"/>
        <v>13.565537607929254</v>
      </c>
      <c r="AC284" s="154">
        <f t="shared" si="108"/>
        <v>29.931653628529254</v>
      </c>
      <c r="AD284" s="180">
        <f t="shared" si="102"/>
        <v>30.277996397929254</v>
      </c>
      <c r="AE284" s="160"/>
    </row>
    <row r="285" spans="1:31">
      <c r="A285" s="139">
        <v>13</v>
      </c>
      <c r="B285" s="139">
        <f>IFERROR(INDEX(Työkonekanta!$F$3:$F$27,MATCH('S2 Bio'!$A285,Työkonekanta!$A$3:$A$24,0),1),0)</f>
        <v>0</v>
      </c>
      <c r="C285" s="140">
        <v>2028</v>
      </c>
      <c r="D285" s="141" t="str">
        <f>IFERROR(INDEX(Työkonekanta!$D$3:$D$27,MATCH('S2 Bio'!$A285,Työkonekanta!$A$3:$A$24,0),1),"undefined")</f>
        <v>pom</v>
      </c>
      <c r="E285" s="145">
        <f>IFERROR(INDEX(Työkonekanta!$G$3:$G$27,MATCH($A285,Työkonekanta!$A$3:$A$24,0),1)*INDEX(Työkonekanta!$H$3:$H$27,MATCH($A285,Työkonekanta!$A$3:$A$24,0),1)*(1+_xlfn.SINGLE(s2_kerroin)*($C285-2019))*$B285,0)</f>
        <v>0</v>
      </c>
      <c r="F285" s="145">
        <f t="shared" si="89"/>
        <v>0</v>
      </c>
      <c r="G285" s="145">
        <f t="shared" si="95"/>
        <v>0</v>
      </c>
      <c r="H285" s="145">
        <f t="shared" si="96"/>
        <v>0</v>
      </c>
      <c r="I285" s="145">
        <f t="shared" si="90"/>
        <v>0</v>
      </c>
      <c r="J285" s="145">
        <f t="shared" si="91"/>
        <v>0</v>
      </c>
      <c r="K285" s="142" t="str">
        <f t="shared" si="97"/>
        <v>l</v>
      </c>
      <c r="L285" s="146">
        <f>IFERROR(INDEX(Työkonekanta!$I$3:$I$27,MATCH('S2 Bio'!$A285,Työkonekanta!$A$3:$A$24,0),1)*(I285+J285)*f_adblue,0)</f>
        <v>0</v>
      </c>
      <c r="M285" s="146">
        <f t="shared" si="104"/>
        <v>0</v>
      </c>
      <c r="N285" s="143" t="str">
        <f>IF(tuulisähkö_vuosi&lt;='S2 Bio'!C285,"tuulisähkö",ostosähkö_nyt)</f>
        <v>jäännössähkö</v>
      </c>
      <c r="O285" s="147">
        <f>INDEX(Muuttujat!$J$5:$J$21,MATCH($C285,Muuttujat!$H$5:$H$21,0),1)</f>
        <v>63.258531840332459</v>
      </c>
      <c r="P285" s="148">
        <f t="shared" si="98"/>
        <v>0.45266666666666666</v>
      </c>
      <c r="Q285" s="148">
        <f t="shared" si="109"/>
        <v>0.54733333333333334</v>
      </c>
      <c r="R285" s="148">
        <f t="shared" si="109"/>
        <v>0.54733333333333334</v>
      </c>
      <c r="S285" s="149">
        <f t="shared" si="92"/>
        <v>0</v>
      </c>
      <c r="T285" s="150">
        <f t="shared" si="93"/>
        <v>0</v>
      </c>
      <c r="U285" s="150">
        <f t="shared" si="94"/>
        <v>0</v>
      </c>
      <c r="V285" s="150">
        <f>IFERROR(INDEX(Työkonekanta!$J$3:$J$27,MATCH($A285,Työkonekanta!$A$3:$A$24,0),1)*$B285*ef_li_ion_akku/1000/1000/INDEX(Työkonekanta!$K$3:$K$27,MATCH($A285,Työkonekanta!$A$3:$A$24,0)),0)</f>
        <v>0</v>
      </c>
      <c r="W285" s="149">
        <f t="shared" si="105"/>
        <v>0</v>
      </c>
      <c r="X285" s="150">
        <f t="shared" si="106"/>
        <v>0</v>
      </c>
      <c r="Y285" s="151">
        <f t="shared" si="107"/>
        <v>0</v>
      </c>
      <c r="Z285" s="152">
        <f t="shared" si="99"/>
        <v>0</v>
      </c>
      <c r="AA285" s="153">
        <f t="shared" si="100"/>
        <v>0</v>
      </c>
      <c r="AB285" s="153">
        <f t="shared" si="101"/>
        <v>0</v>
      </c>
      <c r="AC285" s="154">
        <f t="shared" si="108"/>
        <v>0</v>
      </c>
      <c r="AD285" s="180">
        <f t="shared" si="102"/>
        <v>0</v>
      </c>
      <c r="AE285" s="160"/>
    </row>
    <row r="286" spans="1:31">
      <c r="A286" s="139">
        <v>14</v>
      </c>
      <c r="B286" s="139">
        <f>IFERROR(INDEX(Työkonekanta!$F$3:$F$27,MATCH('S2 Bio'!$A286,Työkonekanta!$A$3:$A$24,0),1),0)</f>
        <v>0</v>
      </c>
      <c r="C286" s="140">
        <v>2028</v>
      </c>
      <c r="D286" s="141" t="str">
        <f>IFERROR(INDEX(Työkonekanta!$D$3:$D$27,MATCH('S2 Bio'!$A286,Työkonekanta!$A$3:$A$24,0),1),"undefined")</f>
        <v>pom</v>
      </c>
      <c r="E286" s="145">
        <f>IFERROR(INDEX(Työkonekanta!$G$3:$G$27,MATCH($A286,Työkonekanta!$A$3:$A$24,0),1)*INDEX(Työkonekanta!$H$3:$H$27,MATCH($A286,Työkonekanta!$A$3:$A$24,0),1)*(1+_xlfn.SINGLE(s2_kerroin)*($C286-2019))*$B286,0)</f>
        <v>0</v>
      </c>
      <c r="F286" s="145">
        <f t="shared" si="89"/>
        <v>0</v>
      </c>
      <c r="G286" s="145">
        <f t="shared" si="95"/>
        <v>0</v>
      </c>
      <c r="H286" s="145">
        <f t="shared" si="96"/>
        <v>0</v>
      </c>
      <c r="I286" s="145">
        <f t="shared" si="90"/>
        <v>0</v>
      </c>
      <c r="J286" s="145">
        <f t="shared" si="91"/>
        <v>0</v>
      </c>
      <c r="K286" s="142" t="str">
        <f t="shared" si="97"/>
        <v>l</v>
      </c>
      <c r="L286" s="146">
        <f>IFERROR(INDEX(Työkonekanta!$I$3:$I$27,MATCH('S2 Bio'!$A286,Työkonekanta!$A$3:$A$24,0),1)*(I286+J286)*f_adblue,0)</f>
        <v>0</v>
      </c>
      <c r="M286" s="146">
        <f t="shared" si="104"/>
        <v>0</v>
      </c>
      <c r="N286" s="143" t="str">
        <f>IF(tuulisähkö_vuosi&lt;='S2 Bio'!C286,"tuulisähkö",ostosähkö_nyt)</f>
        <v>jäännössähkö</v>
      </c>
      <c r="O286" s="147">
        <f>INDEX(Muuttujat!$J$5:$J$21,MATCH($C286,Muuttujat!$H$5:$H$21,0),1)</f>
        <v>63.258531840332459</v>
      </c>
      <c r="P286" s="148">
        <f t="shared" si="98"/>
        <v>0.45266666666666666</v>
      </c>
      <c r="Q286" s="148">
        <f t="shared" si="109"/>
        <v>0.54733333333333334</v>
      </c>
      <c r="R286" s="148">
        <f t="shared" si="109"/>
        <v>0.54733333333333334</v>
      </c>
      <c r="S286" s="149">
        <f t="shared" si="92"/>
        <v>0</v>
      </c>
      <c r="T286" s="150">
        <f t="shared" si="93"/>
        <v>0</v>
      </c>
      <c r="U286" s="150">
        <f t="shared" si="94"/>
        <v>0</v>
      </c>
      <c r="V286" s="150">
        <f>IFERROR(INDEX(Työkonekanta!$J$3:$J$27,MATCH($A286,Työkonekanta!$A$3:$A$24,0),1)*$B286*ef_li_ion_akku/1000/1000/INDEX(Työkonekanta!$K$3:$K$27,MATCH($A286,Työkonekanta!$A$3:$A$24,0)),0)</f>
        <v>0</v>
      </c>
      <c r="W286" s="149">
        <f t="shared" si="105"/>
        <v>0</v>
      </c>
      <c r="X286" s="150">
        <f t="shared" si="106"/>
        <v>0</v>
      </c>
      <c r="Y286" s="151">
        <f t="shared" si="107"/>
        <v>0</v>
      </c>
      <c r="Z286" s="152">
        <f t="shared" si="99"/>
        <v>0</v>
      </c>
      <c r="AA286" s="153">
        <f t="shared" si="100"/>
        <v>0</v>
      </c>
      <c r="AB286" s="153">
        <f t="shared" si="101"/>
        <v>0</v>
      </c>
      <c r="AC286" s="154">
        <f t="shared" si="108"/>
        <v>0</v>
      </c>
      <c r="AD286" s="180">
        <f t="shared" si="102"/>
        <v>0</v>
      </c>
      <c r="AE286" s="160"/>
    </row>
    <row r="287" spans="1:31">
      <c r="A287" s="139">
        <v>15</v>
      </c>
      <c r="B287" s="139">
        <f>IFERROR(INDEX(Työkonekanta!$F$3:$F$27,MATCH('S2 Bio'!$A287,Työkonekanta!$A$3:$A$24,0),1),0)</f>
        <v>0</v>
      </c>
      <c r="C287" s="140">
        <v>2028</v>
      </c>
      <c r="D287" s="141" t="str">
        <f>IFERROR(INDEX(Työkonekanta!$D$3:$D$27,MATCH('S2 Bio'!$A287,Työkonekanta!$A$3:$A$24,0),1),"undefined")</f>
        <v>sähkö</v>
      </c>
      <c r="E287" s="145">
        <f>IFERROR(INDEX(Työkonekanta!$G$3:$G$27,MATCH($A287,Työkonekanta!$A$3:$A$24,0),1)*INDEX(Työkonekanta!$H$3:$H$27,MATCH($A287,Työkonekanta!$A$3:$A$24,0),1)*(1+_xlfn.SINGLE(s2_kerroin)*($C287-2019))*$B287,0)</f>
        <v>0</v>
      </c>
      <c r="F287" s="145">
        <f t="shared" si="89"/>
        <v>0</v>
      </c>
      <c r="G287" s="145">
        <f t="shared" si="95"/>
        <v>0</v>
      </c>
      <c r="H287" s="145">
        <f t="shared" si="96"/>
        <v>0</v>
      </c>
      <c r="I287" s="145">
        <f t="shared" si="90"/>
        <v>0</v>
      </c>
      <c r="J287" s="145">
        <f t="shared" si="91"/>
        <v>0</v>
      </c>
      <c r="K287" s="142" t="str">
        <f t="shared" si="97"/>
        <v>kWh</v>
      </c>
      <c r="L287" s="146">
        <f>IFERROR(INDEX(Työkonekanta!$I$3:$I$27,MATCH('S2 Bio'!$A287,Työkonekanta!$A$3:$A$24,0),1)*(I287+J287)*f_adblue,0)</f>
        <v>0</v>
      </c>
      <c r="M287" s="146">
        <f t="shared" si="104"/>
        <v>0</v>
      </c>
      <c r="N287" s="143" t="str">
        <f>IF(tuulisähkö_vuosi&lt;='S2 Bio'!C287,"tuulisähkö",ostosähkö_nyt)</f>
        <v>jäännössähkö</v>
      </c>
      <c r="O287" s="147">
        <f>INDEX(Muuttujat!$J$5:$J$21,MATCH($C287,Muuttujat!$H$5:$H$21,0),1)</f>
        <v>63.258531840332459</v>
      </c>
      <c r="P287" s="148">
        <f t="shared" si="98"/>
        <v>0.45266666666666666</v>
      </c>
      <c r="Q287" s="148">
        <f t="shared" si="109"/>
        <v>0.54733333333333334</v>
      </c>
      <c r="R287" s="148">
        <f t="shared" si="109"/>
        <v>0.54733333333333334</v>
      </c>
      <c r="S287" s="149">
        <f t="shared" si="92"/>
        <v>0</v>
      </c>
      <c r="T287" s="150">
        <f t="shared" si="93"/>
        <v>0</v>
      </c>
      <c r="U287" s="150">
        <f t="shared" si="94"/>
        <v>0</v>
      </c>
      <c r="V287" s="150">
        <f>IFERROR(INDEX(Työkonekanta!$J$3:$J$27,MATCH($A287,Työkonekanta!$A$3:$A$24,0),1)*$B287*ef_li_ion_akku/1000/1000/INDEX(Työkonekanta!$K$3:$K$27,MATCH($A287,Työkonekanta!$A$3:$A$24,0)),0)</f>
        <v>0</v>
      </c>
      <c r="W287" s="149">
        <f t="shared" si="105"/>
        <v>0</v>
      </c>
      <c r="X287" s="150">
        <f t="shared" si="106"/>
        <v>0</v>
      </c>
      <c r="Y287" s="151">
        <f t="shared" si="107"/>
        <v>0</v>
      </c>
      <c r="Z287" s="152">
        <f t="shared" si="99"/>
        <v>0</v>
      </c>
      <c r="AA287" s="153">
        <f t="shared" si="100"/>
        <v>0</v>
      </c>
      <c r="AB287" s="153">
        <f t="shared" si="101"/>
        <v>0</v>
      </c>
      <c r="AC287" s="154">
        <f t="shared" si="108"/>
        <v>0</v>
      </c>
      <c r="AD287" s="180">
        <f t="shared" si="102"/>
        <v>0</v>
      </c>
      <c r="AE287" s="160"/>
    </row>
    <row r="288" spans="1:31">
      <c r="A288" s="139">
        <v>16</v>
      </c>
      <c r="B288" s="139">
        <f>IFERROR(INDEX(Työkonekanta!$F$3:$F$27,MATCH('S2 Bio'!$A288,Työkonekanta!$A$3:$A$24,0),1),0)</f>
        <v>0</v>
      </c>
      <c r="C288" s="140">
        <v>2028</v>
      </c>
      <c r="D288" s="141" t="str">
        <f>IFERROR(INDEX(Työkonekanta!$D$3:$D$27,MATCH('S2 Bio'!$A288,Työkonekanta!$A$3:$A$24,0),1),"undefined")</f>
        <v>sähkö</v>
      </c>
      <c r="E288" s="145">
        <f>IFERROR(INDEX(Työkonekanta!$G$3:$G$27,MATCH($A288,Työkonekanta!$A$3:$A$24,0),1)*INDEX(Työkonekanta!$H$3:$H$27,MATCH($A288,Työkonekanta!$A$3:$A$24,0),1)*(1+_xlfn.SINGLE(s2_kerroin)*($C288-2019))*$B288,0)</f>
        <v>0</v>
      </c>
      <c r="F288" s="145">
        <f t="shared" si="89"/>
        <v>0</v>
      </c>
      <c r="G288" s="145">
        <f t="shared" si="95"/>
        <v>0</v>
      </c>
      <c r="H288" s="145">
        <f t="shared" si="96"/>
        <v>0</v>
      </c>
      <c r="I288" s="145">
        <f t="shared" si="90"/>
        <v>0</v>
      </c>
      <c r="J288" s="145">
        <f t="shared" si="91"/>
        <v>0</v>
      </c>
      <c r="K288" s="142" t="str">
        <f t="shared" si="97"/>
        <v>kWh</v>
      </c>
      <c r="L288" s="146">
        <f>IFERROR(INDEX(Työkonekanta!$I$3:$I$27,MATCH('S2 Bio'!$A288,Työkonekanta!$A$3:$A$24,0),1)*(I288+J288)*f_adblue,0)</f>
        <v>0</v>
      </c>
      <c r="M288" s="146">
        <f t="shared" si="104"/>
        <v>0</v>
      </c>
      <c r="N288" s="143" t="str">
        <f>IF(tuulisähkö_vuosi&lt;='S2 Bio'!C288,"tuulisähkö",ostosähkö_nyt)</f>
        <v>jäännössähkö</v>
      </c>
      <c r="O288" s="147">
        <f>INDEX(Muuttujat!$J$5:$J$21,MATCH($C288,Muuttujat!$H$5:$H$21,0),1)</f>
        <v>63.258531840332459</v>
      </c>
      <c r="P288" s="148">
        <f t="shared" si="98"/>
        <v>0.45266666666666666</v>
      </c>
      <c r="Q288" s="148">
        <f t="shared" si="109"/>
        <v>0.54733333333333334</v>
      </c>
      <c r="R288" s="148">
        <f t="shared" si="109"/>
        <v>0.54733333333333334</v>
      </c>
      <c r="S288" s="149">
        <f t="shared" si="92"/>
        <v>0</v>
      </c>
      <c r="T288" s="150">
        <f t="shared" si="93"/>
        <v>0</v>
      </c>
      <c r="U288" s="150">
        <f t="shared" si="94"/>
        <v>0</v>
      </c>
      <c r="V288" s="150">
        <f>IFERROR(INDEX(Työkonekanta!$J$3:$J$27,MATCH($A288,Työkonekanta!$A$3:$A$24,0),1)*$B288*ef_li_ion_akku/1000/1000/INDEX(Työkonekanta!$K$3:$K$27,MATCH($A288,Työkonekanta!$A$3:$A$24,0)),0)</f>
        <v>0</v>
      </c>
      <c r="W288" s="149">
        <f t="shared" si="105"/>
        <v>0</v>
      </c>
      <c r="X288" s="150">
        <f t="shared" si="106"/>
        <v>0</v>
      </c>
      <c r="Y288" s="151">
        <f t="shared" si="107"/>
        <v>0</v>
      </c>
      <c r="Z288" s="152">
        <f t="shared" si="99"/>
        <v>0</v>
      </c>
      <c r="AA288" s="153">
        <f t="shared" si="100"/>
        <v>0</v>
      </c>
      <c r="AB288" s="153">
        <f t="shared" si="101"/>
        <v>0</v>
      </c>
      <c r="AC288" s="154">
        <f t="shared" si="108"/>
        <v>0</v>
      </c>
      <c r="AD288" s="180">
        <f t="shared" si="102"/>
        <v>0</v>
      </c>
      <c r="AE288" s="160"/>
    </row>
    <row r="289" spans="1:31">
      <c r="A289" s="139">
        <v>17</v>
      </c>
      <c r="B289" s="139">
        <f>IFERROR(INDEX(Työkonekanta!$F$3:$F$27,MATCH('S2 Bio'!$A289,Työkonekanta!$A$3:$A$24,0),1),0)</f>
        <v>1</v>
      </c>
      <c r="C289" s="140">
        <v>2028</v>
      </c>
      <c r="D289" s="141" t="str">
        <f>IFERROR(INDEX(Työkonekanta!$D$3:$D$27,MATCH('S2 Bio'!$A289,Työkonekanta!$A$3:$A$24,0),1),"undefined")</f>
        <v>pom</v>
      </c>
      <c r="E289" s="145">
        <f>IFERROR(INDEX(Työkonekanta!$G$3:$G$27,MATCH($A289,Työkonekanta!$A$3:$A$24,0),1)*INDEX(Työkonekanta!$H$3:$H$27,MATCH($A289,Työkonekanta!$A$3:$A$24,0),1)*(1+_xlfn.SINGLE(s2_kerroin)*($C289-2019))*$B289,0)</f>
        <v>10900</v>
      </c>
      <c r="F289" s="145">
        <f t="shared" si="89"/>
        <v>391310</v>
      </c>
      <c r="G289" s="145">
        <f t="shared" si="95"/>
        <v>177132.99333333332</v>
      </c>
      <c r="H289" s="145">
        <f t="shared" si="96"/>
        <v>214177.00666666668</v>
      </c>
      <c r="I289" s="145">
        <f t="shared" si="90"/>
        <v>4934.0666666666666</v>
      </c>
      <c r="J289" s="145">
        <f t="shared" si="91"/>
        <v>6244.2275996112739</v>
      </c>
      <c r="K289" s="142" t="str">
        <f t="shared" si="97"/>
        <v>l</v>
      </c>
      <c r="L289" s="146">
        <f>IFERROR(INDEX(Työkonekanta!$I$3:$I$27,MATCH('S2 Bio'!$A289,Työkonekanta!$A$3:$A$24,0),1)*(I289+J289)*f_adblue,0)</f>
        <v>558.9147133138971</v>
      </c>
      <c r="M289" s="146">
        <f t="shared" si="104"/>
        <v>0</v>
      </c>
      <c r="N289" s="143" t="str">
        <f>IF(tuulisähkö_vuosi&lt;='S2 Bio'!C289,"tuulisähkö",ostosähkö_nyt)</f>
        <v>jäännössähkö</v>
      </c>
      <c r="O289" s="147">
        <f>INDEX(Muuttujat!$J$5:$J$21,MATCH($C289,Muuttujat!$H$5:$H$21,0),1)</f>
        <v>63.258531840332459</v>
      </c>
      <c r="P289" s="148">
        <f t="shared" si="98"/>
        <v>0.45266666666666666</v>
      </c>
      <c r="Q289" s="148">
        <f t="shared" si="109"/>
        <v>0.54733333333333334</v>
      </c>
      <c r="R289" s="148">
        <f t="shared" si="109"/>
        <v>0.54733333333333334</v>
      </c>
      <c r="S289" s="149">
        <f t="shared" si="92"/>
        <v>3.3478135739999995</v>
      </c>
      <c r="T289" s="150">
        <f t="shared" si="93"/>
        <v>13.364645216000001</v>
      </c>
      <c r="U289" s="150">
        <f t="shared" si="94"/>
        <v>0</v>
      </c>
      <c r="V289" s="150">
        <f>IFERROR(INDEX(Työkonekanta!$J$3:$J$27,MATCH($A289,Työkonekanta!$A$3:$A$24,0),1)*$B289*ef_li_ion_akku/1000/1000/INDEX(Työkonekanta!$K$3:$K$27,MATCH($A289,Työkonekanta!$A$3:$A$24,0)),0)</f>
        <v>0</v>
      </c>
      <c r="W289" s="149">
        <f t="shared" si="105"/>
        <v>13.073877013067641</v>
      </c>
      <c r="X289" s="150">
        <f t="shared" si="106"/>
        <v>0.34634276940000003</v>
      </c>
      <c r="Y289" s="151">
        <f t="shared" si="107"/>
        <v>0.14531782546161323</v>
      </c>
      <c r="Z289" s="152">
        <f t="shared" si="99"/>
        <v>16.712458789999999</v>
      </c>
      <c r="AA289" s="153">
        <f t="shared" si="100"/>
        <v>13.219194838529255</v>
      </c>
      <c r="AB289" s="153">
        <f t="shared" si="101"/>
        <v>13.565537607929254</v>
      </c>
      <c r="AC289" s="154">
        <f t="shared" si="108"/>
        <v>29.931653628529254</v>
      </c>
      <c r="AD289" s="180">
        <f t="shared" si="102"/>
        <v>30.277996397929254</v>
      </c>
      <c r="AE289" s="160"/>
    </row>
    <row r="290" spans="1:31">
      <c r="A290" s="139">
        <v>18</v>
      </c>
      <c r="B290" s="139">
        <f>IFERROR(INDEX(Työkonekanta!$F$3:$F$27,MATCH('S2 Bio'!$A290,Työkonekanta!$A$3:$A$24,0),1),0)</f>
        <v>1</v>
      </c>
      <c r="C290" s="140">
        <v>2028</v>
      </c>
      <c r="D290" s="141" t="str">
        <f>IFERROR(INDEX(Työkonekanta!$D$3:$D$27,MATCH('S2 Bio'!$A290,Työkonekanta!$A$3:$A$24,0),1),"undefined")</f>
        <v>pom</v>
      </c>
      <c r="E290" s="145">
        <f>IFERROR(INDEX(Työkonekanta!$G$3:$G$27,MATCH($A290,Työkonekanta!$A$3:$A$24,0),1)*INDEX(Työkonekanta!$H$3:$H$27,MATCH($A290,Työkonekanta!$A$3:$A$24,0),1)*(1+_xlfn.SINGLE(s2_kerroin)*($C290-2019))*$B290,0)</f>
        <v>10900</v>
      </c>
      <c r="F290" s="145">
        <f t="shared" si="89"/>
        <v>391310</v>
      </c>
      <c r="G290" s="145">
        <f t="shared" si="95"/>
        <v>177132.99333333332</v>
      </c>
      <c r="H290" s="145">
        <f t="shared" si="96"/>
        <v>214177.00666666668</v>
      </c>
      <c r="I290" s="145">
        <f t="shared" si="90"/>
        <v>4934.0666666666666</v>
      </c>
      <c r="J290" s="145">
        <f t="shared" si="91"/>
        <v>6244.2275996112739</v>
      </c>
      <c r="K290" s="142" t="str">
        <f t="shared" si="97"/>
        <v>l</v>
      </c>
      <c r="L290" s="146">
        <f>IFERROR(INDEX(Työkonekanta!$I$3:$I$27,MATCH('S2 Bio'!$A290,Työkonekanta!$A$3:$A$24,0),1)*(I290+J290)*f_adblue,0)</f>
        <v>447.13177065111768</v>
      </c>
      <c r="M290" s="146">
        <f t="shared" si="104"/>
        <v>0</v>
      </c>
      <c r="N290" s="143" t="str">
        <f>IF(tuulisähkö_vuosi&lt;='S2 Bio'!C290,"tuulisähkö",ostosähkö_nyt)</f>
        <v>jäännössähkö</v>
      </c>
      <c r="O290" s="147">
        <f>INDEX(Muuttujat!$J$5:$J$21,MATCH($C290,Muuttujat!$H$5:$H$21,0),1)</f>
        <v>63.258531840332459</v>
      </c>
      <c r="P290" s="148">
        <f t="shared" si="98"/>
        <v>0.45266666666666666</v>
      </c>
      <c r="Q290" s="148">
        <f t="shared" si="109"/>
        <v>0.54733333333333334</v>
      </c>
      <c r="R290" s="148">
        <f t="shared" si="109"/>
        <v>0.54733333333333334</v>
      </c>
      <c r="S290" s="149">
        <f t="shared" si="92"/>
        <v>3.3478135739999995</v>
      </c>
      <c r="T290" s="150">
        <f t="shared" si="93"/>
        <v>13.364645216000001</v>
      </c>
      <c r="U290" s="150">
        <f t="shared" si="94"/>
        <v>0</v>
      </c>
      <c r="V290" s="150">
        <f>IFERROR(INDEX(Työkonekanta!$J$3:$J$27,MATCH($A290,Työkonekanta!$A$3:$A$24,0),1)*$B290*ef_li_ion_akku/1000/1000/INDEX(Työkonekanta!$K$3:$K$27,MATCH($A290,Työkonekanta!$A$3:$A$24,0)),0)</f>
        <v>0</v>
      </c>
      <c r="W290" s="149">
        <f t="shared" si="105"/>
        <v>13.073877013067641</v>
      </c>
      <c r="X290" s="150">
        <f t="shared" si="106"/>
        <v>0.34634276940000003</v>
      </c>
      <c r="Y290" s="151">
        <f t="shared" si="107"/>
        <v>0.1162542603692906</v>
      </c>
      <c r="Z290" s="152">
        <f t="shared" si="99"/>
        <v>16.712458789999999</v>
      </c>
      <c r="AA290" s="153">
        <f t="shared" si="100"/>
        <v>13.190131273436931</v>
      </c>
      <c r="AB290" s="153">
        <f t="shared" si="101"/>
        <v>13.536474042836931</v>
      </c>
      <c r="AC290" s="154">
        <f t="shared" si="108"/>
        <v>29.902590063436932</v>
      </c>
      <c r="AD290" s="180">
        <f t="shared" si="102"/>
        <v>30.248932832836928</v>
      </c>
      <c r="AE290" s="160"/>
    </row>
    <row r="291" spans="1:31">
      <c r="A291" s="139">
        <v>19</v>
      </c>
      <c r="B291" s="139">
        <f>IFERROR(INDEX(Työkonekanta!$F$3:$F$27,MATCH('S2 Bio'!$A291,Työkonekanta!$A$3:$A$24,0),1),0)</f>
        <v>0</v>
      </c>
      <c r="C291" s="140">
        <v>2028</v>
      </c>
      <c r="D291" s="141" t="str">
        <f>IFERROR(INDEX(Työkonekanta!$D$3:$D$27,MATCH('S2 Bio'!$A291,Työkonekanta!$A$3:$A$24,0),1),"undefined")</f>
        <v>pom</v>
      </c>
      <c r="E291" s="145">
        <f>IFERROR(INDEX(Työkonekanta!$G$3:$G$27,MATCH($A291,Työkonekanta!$A$3:$A$24,0),1)*INDEX(Työkonekanta!$H$3:$H$27,MATCH($A291,Työkonekanta!$A$3:$A$24,0),1)*(1+_xlfn.SINGLE(s2_kerroin)*($C291-2019))*$B291,0)</f>
        <v>0</v>
      </c>
      <c r="F291" s="145">
        <f t="shared" si="89"/>
        <v>0</v>
      </c>
      <c r="G291" s="145">
        <f t="shared" si="95"/>
        <v>0</v>
      </c>
      <c r="H291" s="145">
        <f t="shared" si="96"/>
        <v>0</v>
      </c>
      <c r="I291" s="145">
        <f t="shared" si="90"/>
        <v>0</v>
      </c>
      <c r="J291" s="145">
        <f t="shared" si="91"/>
        <v>0</v>
      </c>
      <c r="K291" s="142" t="str">
        <f t="shared" si="97"/>
        <v>l</v>
      </c>
      <c r="L291" s="146">
        <f>IFERROR(INDEX(Työkonekanta!$I$3:$I$27,MATCH('S2 Bio'!$A291,Työkonekanta!$A$3:$A$24,0),1)*(I291+J291)*f_adblue,0)</f>
        <v>0</v>
      </c>
      <c r="M291" s="146">
        <f t="shared" si="104"/>
        <v>0</v>
      </c>
      <c r="N291" s="143" t="str">
        <f>IF(tuulisähkö_vuosi&lt;='S2 Bio'!C291,"tuulisähkö",ostosähkö_nyt)</f>
        <v>jäännössähkö</v>
      </c>
      <c r="O291" s="147">
        <f>INDEX(Muuttujat!$J$5:$J$21,MATCH($C291,Muuttujat!$H$5:$H$21,0),1)</f>
        <v>63.258531840332459</v>
      </c>
      <c r="P291" s="148">
        <f t="shared" si="98"/>
        <v>0.45266666666666666</v>
      </c>
      <c r="Q291" s="148">
        <f t="shared" si="109"/>
        <v>0.54733333333333334</v>
      </c>
      <c r="R291" s="148">
        <f t="shared" si="109"/>
        <v>0.54733333333333334</v>
      </c>
      <c r="S291" s="149">
        <f t="shared" si="92"/>
        <v>0</v>
      </c>
      <c r="T291" s="150">
        <f t="shared" si="93"/>
        <v>0</v>
      </c>
      <c r="U291" s="150">
        <f t="shared" si="94"/>
        <v>0</v>
      </c>
      <c r="V291" s="150">
        <f>IFERROR(INDEX(Työkonekanta!$J$3:$J$27,MATCH($A291,Työkonekanta!$A$3:$A$24,0),1)*$B291*ef_li_ion_akku/1000/1000/INDEX(Työkonekanta!$K$3:$K$27,MATCH($A291,Työkonekanta!$A$3:$A$24,0)),0)</f>
        <v>0</v>
      </c>
      <c r="W291" s="149">
        <f t="shared" si="105"/>
        <v>0</v>
      </c>
      <c r="X291" s="150">
        <f t="shared" si="106"/>
        <v>0</v>
      </c>
      <c r="Y291" s="151">
        <f t="shared" si="107"/>
        <v>0</v>
      </c>
      <c r="Z291" s="152">
        <f t="shared" si="99"/>
        <v>0</v>
      </c>
      <c r="AA291" s="153">
        <f t="shared" si="100"/>
        <v>0</v>
      </c>
      <c r="AB291" s="153">
        <f t="shared" si="101"/>
        <v>0</v>
      </c>
      <c r="AC291" s="154">
        <f t="shared" si="108"/>
        <v>0</v>
      </c>
      <c r="AD291" s="180">
        <f t="shared" si="102"/>
        <v>0</v>
      </c>
      <c r="AE291" s="160"/>
    </row>
    <row r="292" spans="1:31">
      <c r="A292" s="139">
        <v>20</v>
      </c>
      <c r="B292" s="139">
        <f>IFERROR(INDEX(Työkonekanta!$F$3:$F$27,MATCH('S2 Bio'!$A292,Työkonekanta!$A$3:$A$24,0),1),0)</f>
        <v>0</v>
      </c>
      <c r="C292" s="140">
        <v>2028</v>
      </c>
      <c r="D292" s="141" t="str">
        <f>IFERROR(INDEX(Työkonekanta!$D$3:$D$27,MATCH('S2 Bio'!$A292,Työkonekanta!$A$3:$A$24,0),1),"undefined")</f>
        <v>pom</v>
      </c>
      <c r="E292" s="145">
        <f>IFERROR(INDEX(Työkonekanta!$G$3:$G$27,MATCH($A292,Työkonekanta!$A$3:$A$24,0),1)*INDEX(Työkonekanta!$H$3:$H$27,MATCH($A292,Työkonekanta!$A$3:$A$24,0),1)*(1+_xlfn.SINGLE(s2_kerroin)*($C292-2019))*$B292,0)</f>
        <v>0</v>
      </c>
      <c r="F292" s="145">
        <f t="shared" si="89"/>
        <v>0</v>
      </c>
      <c r="G292" s="145">
        <f t="shared" si="95"/>
        <v>0</v>
      </c>
      <c r="H292" s="145">
        <f t="shared" si="96"/>
        <v>0</v>
      </c>
      <c r="I292" s="145">
        <f t="shared" si="90"/>
        <v>0</v>
      </c>
      <c r="J292" s="145">
        <f t="shared" si="91"/>
        <v>0</v>
      </c>
      <c r="K292" s="142" t="str">
        <f t="shared" si="97"/>
        <v>l</v>
      </c>
      <c r="L292" s="146">
        <f>IFERROR(INDEX(Työkonekanta!$I$3:$I$27,MATCH('S2 Bio'!$A292,Työkonekanta!$A$3:$A$24,0),1)*(I292+J292)*f_adblue,0)</f>
        <v>0</v>
      </c>
      <c r="M292" s="146">
        <f t="shared" si="104"/>
        <v>0</v>
      </c>
      <c r="N292" s="143" t="str">
        <f>IF(tuulisähkö_vuosi&lt;='S2 Bio'!C292,"tuulisähkö",ostosähkö_nyt)</f>
        <v>jäännössähkö</v>
      </c>
      <c r="O292" s="147">
        <f>INDEX(Muuttujat!$J$5:$J$21,MATCH($C292,Muuttujat!$H$5:$H$21,0),1)</f>
        <v>63.258531840332459</v>
      </c>
      <c r="P292" s="148">
        <f t="shared" si="98"/>
        <v>0.45266666666666666</v>
      </c>
      <c r="Q292" s="148">
        <f t="shared" si="109"/>
        <v>0.54733333333333334</v>
      </c>
      <c r="R292" s="148">
        <f t="shared" si="109"/>
        <v>0.54733333333333334</v>
      </c>
      <c r="S292" s="149">
        <f t="shared" si="92"/>
        <v>0</v>
      </c>
      <c r="T292" s="150">
        <f t="shared" si="93"/>
        <v>0</v>
      </c>
      <c r="U292" s="150">
        <f t="shared" si="94"/>
        <v>0</v>
      </c>
      <c r="V292" s="150">
        <f>IFERROR(INDEX(Työkonekanta!$J$3:$J$27,MATCH($A292,Työkonekanta!$A$3:$A$24,0),1)*$B292*ef_li_ion_akku/1000/1000/INDEX(Työkonekanta!$K$3:$K$27,MATCH($A292,Työkonekanta!$A$3:$A$24,0)),0)</f>
        <v>0</v>
      </c>
      <c r="W292" s="149">
        <f t="shared" si="105"/>
        <v>0</v>
      </c>
      <c r="X292" s="150">
        <f t="shared" si="106"/>
        <v>0</v>
      </c>
      <c r="Y292" s="151">
        <f t="shared" si="107"/>
        <v>0</v>
      </c>
      <c r="Z292" s="152">
        <f t="shared" si="99"/>
        <v>0</v>
      </c>
      <c r="AA292" s="153">
        <f t="shared" si="100"/>
        <v>0</v>
      </c>
      <c r="AB292" s="153">
        <f t="shared" si="101"/>
        <v>0</v>
      </c>
      <c r="AC292" s="154">
        <f t="shared" si="108"/>
        <v>0</v>
      </c>
      <c r="AD292" s="180">
        <f t="shared" si="102"/>
        <v>0</v>
      </c>
      <c r="AE292" s="160"/>
    </row>
    <row r="293" spans="1:31">
      <c r="A293" s="139">
        <v>21</v>
      </c>
      <c r="B293" s="139">
        <f>IFERROR(INDEX(Työkonekanta!$F$3:$F$27,MATCH('S2 Bio'!$A293,Työkonekanta!$A$3:$A$24,0),1),0)</f>
        <v>35</v>
      </c>
      <c r="C293" s="140">
        <v>2028</v>
      </c>
      <c r="D293" s="141" t="str">
        <f>IFERROR(INDEX(Työkonekanta!$D$3:$D$27,MATCH('S2 Bio'!$A293,Työkonekanta!$A$3:$A$24,0),1),"undefined")</f>
        <v>sähkö</v>
      </c>
      <c r="E293" s="145">
        <f>IFERROR(INDEX(Työkonekanta!$G$3:$G$27,MATCH($A293,Työkonekanta!$A$3:$A$24,0),1)*INDEX(Työkonekanta!$H$3:$H$27,MATCH($A293,Työkonekanta!$A$3:$A$24,0),1)*(1+_xlfn.SINGLE(s2_kerroin)*($C293-2019))*$B293,0)</f>
        <v>443846.99074074073</v>
      </c>
      <c r="F293" s="145">
        <f t="shared" si="89"/>
        <v>0</v>
      </c>
      <c r="G293" s="145">
        <f t="shared" si="95"/>
        <v>0</v>
      </c>
      <c r="H293" s="145">
        <f t="shared" si="96"/>
        <v>0</v>
      </c>
      <c r="I293" s="145">
        <f t="shared" si="90"/>
        <v>0</v>
      </c>
      <c r="J293" s="145">
        <f t="shared" si="91"/>
        <v>0</v>
      </c>
      <c r="K293" s="142" t="str">
        <f t="shared" si="97"/>
        <v>kWh</v>
      </c>
      <c r="L293" s="146">
        <f>IFERROR(INDEX(Työkonekanta!$I$3:$I$27,MATCH('S2 Bio'!$A293,Työkonekanta!$A$3:$A$24,0),1)*(I293+J293)*f_adblue,0)</f>
        <v>0</v>
      </c>
      <c r="M293" s="146">
        <f t="shared" si="104"/>
        <v>1597849.1666666667</v>
      </c>
      <c r="N293" s="143" t="str">
        <f>IF(tuulisähkö_vuosi&lt;='S2 Bio'!C293,"tuulisähkö",ostosähkö_nyt)</f>
        <v>jäännössähkö</v>
      </c>
      <c r="O293" s="147">
        <f>INDEX(Muuttujat!$J$5:$J$21,MATCH($C293,Muuttujat!$H$5:$H$21,0),1)</f>
        <v>63.258531840332459</v>
      </c>
      <c r="P293" s="148">
        <f t="shared" si="98"/>
        <v>0.45266666666666666</v>
      </c>
      <c r="Q293" s="148">
        <f t="shared" si="109"/>
        <v>0.54733333333333334</v>
      </c>
      <c r="R293" s="148">
        <f t="shared" si="109"/>
        <v>0.54733333333333334</v>
      </c>
      <c r="S293" s="149">
        <f t="shared" si="92"/>
        <v>0</v>
      </c>
      <c r="T293" s="150">
        <f t="shared" si="93"/>
        <v>0</v>
      </c>
      <c r="U293" s="150">
        <f t="shared" si="94"/>
        <v>101.07759238563203</v>
      </c>
      <c r="V293" s="150">
        <f>IFERROR(INDEX(Työkonekanta!$J$3:$J$27,MATCH($A293,Työkonekanta!$A$3:$A$24,0),1)*$B293*ef_li_ion_akku/1000/1000/INDEX(Työkonekanta!$K$3:$K$27,MATCH($A293,Työkonekanta!$A$3:$A$24,0)),0)</f>
        <v>43.121723076923082</v>
      </c>
      <c r="W293" s="149">
        <f t="shared" si="105"/>
        <v>0</v>
      </c>
      <c r="X293" s="150">
        <f t="shared" si="106"/>
        <v>0</v>
      </c>
      <c r="Y293" s="151">
        <f t="shared" si="107"/>
        <v>0</v>
      </c>
      <c r="Z293" s="152">
        <f t="shared" si="99"/>
        <v>144.19931546255512</v>
      </c>
      <c r="AA293" s="153">
        <f t="shared" si="100"/>
        <v>0</v>
      </c>
      <c r="AB293" s="153">
        <f t="shared" si="101"/>
        <v>0</v>
      </c>
      <c r="AC293" s="154">
        <f t="shared" si="108"/>
        <v>144.19931546255512</v>
      </c>
      <c r="AD293" s="180">
        <f t="shared" si="102"/>
        <v>144.19931546255512</v>
      </c>
      <c r="AE293" s="160"/>
    </row>
    <row r="294" spans="1:31">
      <c r="A294" s="139">
        <v>22</v>
      </c>
      <c r="B294" s="139">
        <f>IFERROR(INDEX(Työkonekanta!$F$3:$F$27,MATCH('S2 Bio'!$A294,Työkonekanta!$A$3:$A$24,0),1),0)</f>
        <v>0</v>
      </c>
      <c r="C294" s="140">
        <v>2028</v>
      </c>
      <c r="D294" s="141" t="str">
        <f>IFERROR(INDEX(Työkonekanta!$D$3:$D$27,MATCH('S2 Bio'!$A294,Työkonekanta!$A$3:$A$24,0),1),"undefined")</f>
        <v>sähkö</v>
      </c>
      <c r="E294" s="145">
        <f>IFERROR(INDEX(Työkonekanta!$G$3:$G$27,MATCH($A294,Työkonekanta!$A$3:$A$24,0),1)*INDEX(Työkonekanta!$H$3:$H$27,MATCH($A294,Työkonekanta!$A$3:$A$24,0),1)*(1+_xlfn.SINGLE(s2_kerroin)*($C294-2019))*$B294,0)</f>
        <v>0</v>
      </c>
      <c r="F294" s="145">
        <f t="shared" si="89"/>
        <v>0</v>
      </c>
      <c r="G294" s="145">
        <f t="shared" si="95"/>
        <v>0</v>
      </c>
      <c r="H294" s="145">
        <f t="shared" si="96"/>
        <v>0</v>
      </c>
      <c r="I294" s="145">
        <f t="shared" si="90"/>
        <v>0</v>
      </c>
      <c r="J294" s="145">
        <f t="shared" si="91"/>
        <v>0</v>
      </c>
      <c r="K294" s="142" t="str">
        <f t="shared" si="97"/>
        <v>kWh</v>
      </c>
      <c r="L294" s="146">
        <f>IFERROR(INDEX(Työkonekanta!$I$3:$I$27,MATCH('S2 Bio'!$A294,Työkonekanta!$A$3:$A$24,0),1)*(I294+J294)*f_adblue,0)</f>
        <v>0</v>
      </c>
      <c r="M294" s="146">
        <f t="shared" si="104"/>
        <v>0</v>
      </c>
      <c r="N294" s="143" t="str">
        <f>IF(tuulisähkö_vuosi&lt;='S2 Bio'!C294,"tuulisähkö",ostosähkö_nyt)</f>
        <v>jäännössähkö</v>
      </c>
      <c r="O294" s="147">
        <f>INDEX(Muuttujat!$J$5:$J$21,MATCH($C294,Muuttujat!$H$5:$H$21,0),1)</f>
        <v>63.258531840332459</v>
      </c>
      <c r="P294" s="148">
        <f t="shared" si="98"/>
        <v>0.45266666666666666</v>
      </c>
      <c r="Q294" s="148">
        <f t="shared" si="109"/>
        <v>0.54733333333333334</v>
      </c>
      <c r="R294" s="148">
        <f t="shared" si="109"/>
        <v>0.54733333333333334</v>
      </c>
      <c r="S294" s="149">
        <f t="shared" si="92"/>
        <v>0</v>
      </c>
      <c r="T294" s="150">
        <f t="shared" si="93"/>
        <v>0</v>
      </c>
      <c r="U294" s="150">
        <f t="shared" si="94"/>
        <v>0</v>
      </c>
      <c r="V294" s="150">
        <f>IFERROR(INDEX(Työkonekanta!$J$3:$J$27,MATCH($A294,Työkonekanta!$A$3:$A$24,0),1)*$B294*ef_li_ion_akku/1000/1000/INDEX(Työkonekanta!$K$3:$K$27,MATCH($A294,Työkonekanta!$A$3:$A$24,0)),0)</f>
        <v>0</v>
      </c>
      <c r="W294" s="149">
        <f t="shared" si="105"/>
        <v>0</v>
      </c>
      <c r="X294" s="150">
        <f t="shared" si="106"/>
        <v>0</v>
      </c>
      <c r="Y294" s="151">
        <f t="shared" si="107"/>
        <v>0</v>
      </c>
      <c r="Z294" s="152">
        <f t="shared" si="99"/>
        <v>0</v>
      </c>
      <c r="AA294" s="153">
        <f t="shared" si="100"/>
        <v>0</v>
      </c>
      <c r="AB294" s="153">
        <f t="shared" si="101"/>
        <v>0</v>
      </c>
      <c r="AC294" s="154">
        <f t="shared" si="108"/>
        <v>0</v>
      </c>
      <c r="AD294" s="180">
        <f t="shared" si="102"/>
        <v>0</v>
      </c>
      <c r="AE294" s="160"/>
    </row>
    <row r="295" spans="1:31">
      <c r="A295" s="139">
        <v>23</v>
      </c>
      <c r="B295" s="139">
        <f>IFERROR(INDEX(Työkonekanta!$F$3:$F$27,MATCH('S2 Bio'!$A295,Työkonekanta!$A$3:$A$24,0),1),0)</f>
        <v>0</v>
      </c>
      <c r="C295" s="140">
        <v>2028</v>
      </c>
      <c r="D295" s="141" t="str">
        <f>IFERROR(INDEX(Työkonekanta!$D$3:$D$27,MATCH('S2 Bio'!$A295,Työkonekanta!$A$3:$A$24,0),1),"undefined")</f>
        <v>undefined</v>
      </c>
      <c r="E295" s="145">
        <f>IFERROR(INDEX(Työkonekanta!$G$3:$G$27,MATCH($A295,Työkonekanta!$A$3:$A$24,0),1)*INDEX(Työkonekanta!$H$3:$H$27,MATCH($A295,Työkonekanta!$A$3:$A$24,0),1)*(1+_xlfn.SINGLE(s2_kerroin)*($C295-2019))*$B295,0)</f>
        <v>0</v>
      </c>
      <c r="F295" s="145">
        <f t="shared" si="89"/>
        <v>0</v>
      </c>
      <c r="G295" s="145">
        <f t="shared" si="95"/>
        <v>0</v>
      </c>
      <c r="H295" s="145">
        <f t="shared" si="96"/>
        <v>0</v>
      </c>
      <c r="I295" s="145">
        <f t="shared" si="90"/>
        <v>0</v>
      </c>
      <c r="J295" s="145">
        <f t="shared" si="91"/>
        <v>0</v>
      </c>
      <c r="K295" s="142" t="str">
        <f t="shared" si="97"/>
        <v>undefined</v>
      </c>
      <c r="L295" s="146">
        <f>IFERROR(INDEX(Työkonekanta!$I$3:$I$27,MATCH('S2 Bio'!$A295,Työkonekanta!$A$3:$A$24,0),1)*(I295+J295)*f_adblue,0)</f>
        <v>0</v>
      </c>
      <c r="M295" s="146">
        <f t="shared" si="104"/>
        <v>0</v>
      </c>
      <c r="N295" s="143" t="str">
        <f>IF(tuulisähkö_vuosi&lt;='S2 Bio'!C295,"tuulisähkö",ostosähkö_nyt)</f>
        <v>jäännössähkö</v>
      </c>
      <c r="O295" s="147">
        <f>INDEX(Muuttujat!$J$5:$J$21,MATCH($C295,Muuttujat!$H$5:$H$21,0),1)</f>
        <v>63.258531840332459</v>
      </c>
      <c r="P295" s="148">
        <f t="shared" si="98"/>
        <v>0.45266666666666666</v>
      </c>
      <c r="Q295" s="148">
        <f t="shared" si="109"/>
        <v>0.54733333333333334</v>
      </c>
      <c r="R295" s="148">
        <f t="shared" si="109"/>
        <v>0.54733333333333334</v>
      </c>
      <c r="S295" s="149">
        <f t="shared" si="92"/>
        <v>0</v>
      </c>
      <c r="T295" s="150">
        <f t="shared" si="93"/>
        <v>0</v>
      </c>
      <c r="U295" s="150">
        <f t="shared" si="94"/>
        <v>0</v>
      </c>
      <c r="V295" s="150">
        <f>IFERROR(INDEX(Työkonekanta!$J$3:$J$27,MATCH($A295,Työkonekanta!$A$3:$A$24,0),1)*$B295*ef_li_ion_akku/1000/1000/INDEX(Työkonekanta!$K$3:$K$27,MATCH($A295,Työkonekanta!$A$3:$A$24,0)),0)</f>
        <v>0</v>
      </c>
      <c r="W295" s="149">
        <f t="shared" si="105"/>
        <v>0</v>
      </c>
      <c r="X295" s="150">
        <f t="shared" si="106"/>
        <v>0</v>
      </c>
      <c r="Y295" s="151">
        <f t="shared" si="107"/>
        <v>0</v>
      </c>
      <c r="Z295" s="152">
        <f t="shared" si="99"/>
        <v>0</v>
      </c>
      <c r="AA295" s="153">
        <f t="shared" si="100"/>
        <v>0</v>
      </c>
      <c r="AB295" s="153">
        <f t="shared" si="101"/>
        <v>0</v>
      </c>
      <c r="AC295" s="154">
        <f t="shared" si="108"/>
        <v>0</v>
      </c>
      <c r="AD295" s="180">
        <f t="shared" si="102"/>
        <v>0</v>
      </c>
      <c r="AE295" s="160"/>
    </row>
    <row r="296" spans="1:31">
      <c r="A296" s="139">
        <v>24</v>
      </c>
      <c r="B296" s="139">
        <f>IFERROR(INDEX(Työkonekanta!$F$3:$F$27,MATCH('S2 Bio'!$A296,Työkonekanta!$A$3:$A$24,0),1),0)</f>
        <v>0</v>
      </c>
      <c r="C296" s="140">
        <v>2028</v>
      </c>
      <c r="D296" s="141" t="str">
        <f>IFERROR(INDEX(Työkonekanta!$D$3:$D$27,MATCH('S2 Bio'!$A296,Työkonekanta!$A$3:$A$24,0),1),"undefined")</f>
        <v>undefined</v>
      </c>
      <c r="E296" s="145">
        <f>IFERROR(INDEX(Työkonekanta!$G$3:$G$27,MATCH($A296,Työkonekanta!$A$3:$A$24,0),1)*INDEX(Työkonekanta!$H$3:$H$27,MATCH($A296,Työkonekanta!$A$3:$A$24,0),1)*(1+_xlfn.SINGLE(s2_kerroin)*($C296-2019))*$B296,0)</f>
        <v>0</v>
      </c>
      <c r="F296" s="145">
        <f t="shared" si="89"/>
        <v>0</v>
      </c>
      <c r="G296" s="145">
        <f t="shared" si="95"/>
        <v>0</v>
      </c>
      <c r="H296" s="145">
        <f t="shared" si="96"/>
        <v>0</v>
      </c>
      <c r="I296" s="145">
        <f t="shared" si="90"/>
        <v>0</v>
      </c>
      <c r="J296" s="145">
        <f t="shared" si="91"/>
        <v>0</v>
      </c>
      <c r="K296" s="142" t="str">
        <f t="shared" si="97"/>
        <v>undefined</v>
      </c>
      <c r="L296" s="146">
        <f>IFERROR(INDEX(Työkonekanta!$I$3:$I$27,MATCH('S2 Bio'!$A296,Työkonekanta!$A$3:$A$24,0),1)*(I296+J296)*f_adblue,0)</f>
        <v>0</v>
      </c>
      <c r="M296" s="146">
        <f t="shared" si="104"/>
        <v>0</v>
      </c>
      <c r="N296" s="143" t="str">
        <f>IF(tuulisähkö_vuosi&lt;='S2 Bio'!C296,"tuulisähkö",ostosähkö_nyt)</f>
        <v>jäännössähkö</v>
      </c>
      <c r="O296" s="147">
        <f>INDEX(Muuttujat!$J$5:$J$21,MATCH($C296,Muuttujat!$H$5:$H$21,0),1)</f>
        <v>63.258531840332459</v>
      </c>
      <c r="P296" s="148">
        <f t="shared" si="98"/>
        <v>0.45266666666666666</v>
      </c>
      <c r="Q296" s="148">
        <f t="shared" si="109"/>
        <v>0.54733333333333334</v>
      </c>
      <c r="R296" s="148">
        <f t="shared" si="109"/>
        <v>0.54733333333333334</v>
      </c>
      <c r="S296" s="149">
        <f t="shared" si="92"/>
        <v>0</v>
      </c>
      <c r="T296" s="150">
        <f t="shared" si="93"/>
        <v>0</v>
      </c>
      <c r="U296" s="150">
        <f t="shared" si="94"/>
        <v>0</v>
      </c>
      <c r="V296" s="150">
        <f>IFERROR(INDEX(Työkonekanta!$J$3:$J$27,MATCH($A296,Työkonekanta!$A$3:$A$24,0),1)*$B296*ef_li_ion_akku/1000/1000/INDEX(Työkonekanta!$K$3:$K$27,MATCH($A296,Työkonekanta!$A$3:$A$24,0)),0)</f>
        <v>0</v>
      </c>
      <c r="W296" s="149">
        <f t="shared" si="105"/>
        <v>0</v>
      </c>
      <c r="X296" s="150">
        <f t="shared" si="106"/>
        <v>0</v>
      </c>
      <c r="Y296" s="151">
        <f t="shared" si="107"/>
        <v>0</v>
      </c>
      <c r="Z296" s="152">
        <f t="shared" si="99"/>
        <v>0</v>
      </c>
      <c r="AA296" s="153">
        <f t="shared" si="100"/>
        <v>0</v>
      </c>
      <c r="AB296" s="153">
        <f t="shared" si="101"/>
        <v>0</v>
      </c>
      <c r="AC296" s="154">
        <f t="shared" si="108"/>
        <v>0</v>
      </c>
      <c r="AD296" s="180">
        <f t="shared" si="102"/>
        <v>0</v>
      </c>
      <c r="AE296" s="160"/>
    </row>
    <row r="297" spans="1:31">
      <c r="A297" s="139">
        <v>25</v>
      </c>
      <c r="B297" s="139">
        <f>IFERROR(INDEX(Työkonekanta!$F$3:$F$27,MATCH('S2 Bio'!$A297,Työkonekanta!$A$3:$A$24,0),1),0)</f>
        <v>0</v>
      </c>
      <c r="C297" s="140">
        <v>2028</v>
      </c>
      <c r="D297" s="141" t="str">
        <f>IFERROR(INDEX(Työkonekanta!$D$3:$D$27,MATCH('S2 Bio'!$A297,Työkonekanta!$A$3:$A$24,0),1),"undefined")</f>
        <v>undefined</v>
      </c>
      <c r="E297" s="145">
        <f>IFERROR(INDEX(Työkonekanta!$G$3:$G$27,MATCH($A297,Työkonekanta!$A$3:$A$24,0),1)*INDEX(Työkonekanta!$H$3:$H$27,MATCH($A297,Työkonekanta!$A$3:$A$24,0),1)*(1+_xlfn.SINGLE(s2_kerroin)*($C297-2019))*$B297,0)</f>
        <v>0</v>
      </c>
      <c r="F297" s="145">
        <f t="shared" si="89"/>
        <v>0</v>
      </c>
      <c r="G297" s="145">
        <f t="shared" si="95"/>
        <v>0</v>
      </c>
      <c r="H297" s="145">
        <f t="shared" si="96"/>
        <v>0</v>
      </c>
      <c r="I297" s="145">
        <f t="shared" si="90"/>
        <v>0</v>
      </c>
      <c r="J297" s="145">
        <f t="shared" si="91"/>
        <v>0</v>
      </c>
      <c r="K297" s="142" t="str">
        <f t="shared" si="97"/>
        <v>undefined</v>
      </c>
      <c r="L297" s="146">
        <f>IFERROR(INDEX(Työkonekanta!$I$3:$I$27,MATCH('S2 Bio'!$A297,Työkonekanta!$A$3:$A$24,0),1)*(I297+J297)*f_adblue,0)</f>
        <v>0</v>
      </c>
      <c r="M297" s="146">
        <f t="shared" si="104"/>
        <v>0</v>
      </c>
      <c r="N297" s="143" t="str">
        <f>IF(tuulisähkö_vuosi&lt;='S2 Bio'!C297,"tuulisähkö",ostosähkö_nyt)</f>
        <v>jäännössähkö</v>
      </c>
      <c r="O297" s="147">
        <f>INDEX(Muuttujat!$J$5:$J$21,MATCH($C297,Muuttujat!$H$5:$H$21,0),1)</f>
        <v>63.258531840332459</v>
      </c>
      <c r="P297" s="148">
        <f t="shared" si="98"/>
        <v>0.45266666666666666</v>
      </c>
      <c r="Q297" s="148">
        <f t="shared" si="109"/>
        <v>0.54733333333333334</v>
      </c>
      <c r="R297" s="148">
        <f t="shared" si="109"/>
        <v>0.54733333333333334</v>
      </c>
      <c r="S297" s="149">
        <f t="shared" si="92"/>
        <v>0</v>
      </c>
      <c r="T297" s="150">
        <f t="shared" si="93"/>
        <v>0</v>
      </c>
      <c r="U297" s="150">
        <f t="shared" si="94"/>
        <v>0</v>
      </c>
      <c r="V297" s="150">
        <f>IFERROR(INDEX(Työkonekanta!$J$3:$J$27,MATCH($A297,Työkonekanta!$A$3:$A$24,0),1)*$B297*ef_li_ion_akku/1000/1000/INDEX(Työkonekanta!$K$3:$K$27,MATCH($A297,Työkonekanta!$A$3:$A$24,0)),0)</f>
        <v>0</v>
      </c>
      <c r="W297" s="149">
        <f t="shared" si="105"/>
        <v>0</v>
      </c>
      <c r="X297" s="150">
        <f t="shared" si="106"/>
        <v>0</v>
      </c>
      <c r="Y297" s="151">
        <f t="shared" si="107"/>
        <v>0</v>
      </c>
      <c r="Z297" s="152">
        <f t="shared" si="99"/>
        <v>0</v>
      </c>
      <c r="AA297" s="153">
        <f t="shared" si="100"/>
        <v>0</v>
      </c>
      <c r="AB297" s="153">
        <f t="shared" si="101"/>
        <v>0</v>
      </c>
      <c r="AC297" s="154">
        <f t="shared" si="108"/>
        <v>0</v>
      </c>
      <c r="AD297" s="180">
        <f t="shared" si="102"/>
        <v>0</v>
      </c>
      <c r="AE297" s="160"/>
    </row>
    <row r="298" spans="1:31">
      <c r="A298" s="139">
        <v>26</v>
      </c>
      <c r="B298" s="139">
        <f>IFERROR(INDEX(Työkonekanta!$F$3:$F$27,MATCH('S2 Bio'!$A298,Työkonekanta!$A$3:$A$24,0),1),0)</f>
        <v>0</v>
      </c>
      <c r="C298" s="140">
        <v>2028</v>
      </c>
      <c r="D298" s="141" t="str">
        <f>IFERROR(INDEX(Työkonekanta!$D$3:$D$27,MATCH('S2 Bio'!$A298,Työkonekanta!$A$3:$A$24,0),1),"undefined")</f>
        <v>undefined</v>
      </c>
      <c r="E298" s="145">
        <f>IFERROR(INDEX(Työkonekanta!$G$3:$G$27,MATCH($A298,Työkonekanta!$A$3:$A$24,0),1)*INDEX(Työkonekanta!$H$3:$H$27,MATCH($A298,Työkonekanta!$A$3:$A$24,0),1)*(1+_xlfn.SINGLE(s2_kerroin)*($C298-2019))*$B298,0)</f>
        <v>0</v>
      </c>
      <c r="F298" s="145">
        <f t="shared" si="89"/>
        <v>0</v>
      </c>
      <c r="G298" s="145">
        <f t="shared" si="95"/>
        <v>0</v>
      </c>
      <c r="H298" s="145">
        <f t="shared" si="96"/>
        <v>0</v>
      </c>
      <c r="I298" s="145">
        <f t="shared" si="90"/>
        <v>0</v>
      </c>
      <c r="J298" s="145">
        <f t="shared" si="91"/>
        <v>0</v>
      </c>
      <c r="K298" s="142" t="str">
        <f t="shared" si="97"/>
        <v>undefined</v>
      </c>
      <c r="L298" s="146">
        <f>IFERROR(INDEX(Työkonekanta!$I$3:$I$27,MATCH('S2 Bio'!$A298,Työkonekanta!$A$3:$A$24,0),1)*(I298+J298)*f_adblue,0)</f>
        <v>0</v>
      </c>
      <c r="M298" s="146">
        <f t="shared" si="104"/>
        <v>0</v>
      </c>
      <c r="N298" s="143" t="str">
        <f>IF(tuulisähkö_vuosi&lt;='S2 Bio'!C298,"tuulisähkö",ostosähkö_nyt)</f>
        <v>jäännössähkö</v>
      </c>
      <c r="O298" s="147">
        <f>INDEX(Muuttujat!$J$5:$J$21,MATCH($C298,Muuttujat!$H$5:$H$21,0),1)</f>
        <v>63.258531840332459</v>
      </c>
      <c r="P298" s="148">
        <f t="shared" si="98"/>
        <v>0.45266666666666666</v>
      </c>
      <c r="Q298" s="148">
        <f t="shared" si="109"/>
        <v>0.54733333333333334</v>
      </c>
      <c r="R298" s="148">
        <f t="shared" si="109"/>
        <v>0.54733333333333334</v>
      </c>
      <c r="S298" s="149">
        <f t="shared" si="92"/>
        <v>0</v>
      </c>
      <c r="T298" s="150">
        <f t="shared" si="93"/>
        <v>0</v>
      </c>
      <c r="U298" s="150">
        <f t="shared" si="94"/>
        <v>0</v>
      </c>
      <c r="V298" s="150">
        <f>IFERROR(INDEX(Työkonekanta!$J$3:$J$27,MATCH($A298,Työkonekanta!$A$3:$A$24,0),1)*$B298*ef_li_ion_akku/1000/1000/INDEX(Työkonekanta!$K$3:$K$27,MATCH($A298,Työkonekanta!$A$3:$A$24,0)),0)</f>
        <v>0</v>
      </c>
      <c r="W298" s="149">
        <f t="shared" si="105"/>
        <v>0</v>
      </c>
      <c r="X298" s="150">
        <f t="shared" si="106"/>
        <v>0</v>
      </c>
      <c r="Y298" s="151">
        <f t="shared" si="107"/>
        <v>0</v>
      </c>
      <c r="Z298" s="152">
        <f t="shared" si="99"/>
        <v>0</v>
      </c>
      <c r="AA298" s="153">
        <f t="shared" si="100"/>
        <v>0</v>
      </c>
      <c r="AB298" s="153">
        <f t="shared" si="101"/>
        <v>0</v>
      </c>
      <c r="AC298" s="154">
        <f t="shared" si="108"/>
        <v>0</v>
      </c>
      <c r="AD298" s="180">
        <f t="shared" si="102"/>
        <v>0</v>
      </c>
      <c r="AE298" s="160"/>
    </row>
    <row r="299" spans="1:31">
      <c r="A299" s="139">
        <v>27</v>
      </c>
      <c r="B299" s="139">
        <f>IFERROR(INDEX(Työkonekanta!$F$3:$F$27,MATCH('S2 Bio'!$A299,Työkonekanta!$A$3:$A$24,0),1),0)</f>
        <v>0</v>
      </c>
      <c r="C299" s="140">
        <v>2028</v>
      </c>
      <c r="D299" s="141" t="str">
        <f>IFERROR(INDEX(Työkonekanta!$D$3:$D$27,MATCH('S2 Bio'!$A299,Työkonekanta!$A$3:$A$24,0),1),"undefined")</f>
        <v>undefined</v>
      </c>
      <c r="E299" s="145">
        <f>IFERROR(INDEX(Työkonekanta!$G$3:$G$27,MATCH($A299,Työkonekanta!$A$3:$A$24,0),1)*INDEX(Työkonekanta!$H$3:$H$27,MATCH($A299,Työkonekanta!$A$3:$A$24,0),1)*(1+_xlfn.SINGLE(s2_kerroin)*($C299-2019))*$B299,0)</f>
        <v>0</v>
      </c>
      <c r="F299" s="145">
        <f t="shared" si="89"/>
        <v>0</v>
      </c>
      <c r="G299" s="145">
        <f t="shared" si="95"/>
        <v>0</v>
      </c>
      <c r="H299" s="145">
        <f t="shared" si="96"/>
        <v>0</v>
      </c>
      <c r="I299" s="145">
        <f t="shared" si="90"/>
        <v>0</v>
      </c>
      <c r="J299" s="145">
        <f t="shared" si="91"/>
        <v>0</v>
      </c>
      <c r="K299" s="142" t="str">
        <f t="shared" si="97"/>
        <v>undefined</v>
      </c>
      <c r="L299" s="146">
        <f>IFERROR(INDEX(Työkonekanta!$I$3:$I$27,MATCH('S2 Bio'!$A299,Työkonekanta!$A$3:$A$24,0),1)*(I299+J299)*f_adblue,0)</f>
        <v>0</v>
      </c>
      <c r="M299" s="146">
        <f t="shared" si="104"/>
        <v>0</v>
      </c>
      <c r="N299" s="143" t="str">
        <f>IF(tuulisähkö_vuosi&lt;='S2 Bio'!C299,"tuulisähkö",ostosähkö_nyt)</f>
        <v>jäännössähkö</v>
      </c>
      <c r="O299" s="147">
        <f>INDEX(Muuttujat!$J$5:$J$21,MATCH($C299,Muuttujat!$H$5:$H$21,0),1)</f>
        <v>63.258531840332459</v>
      </c>
      <c r="P299" s="148">
        <f t="shared" si="98"/>
        <v>0.45266666666666666</v>
      </c>
      <c r="Q299" s="148">
        <f t="shared" si="109"/>
        <v>0.54733333333333334</v>
      </c>
      <c r="R299" s="148">
        <f t="shared" si="109"/>
        <v>0.54733333333333334</v>
      </c>
      <c r="S299" s="149">
        <f t="shared" si="92"/>
        <v>0</v>
      </c>
      <c r="T299" s="150">
        <f t="shared" si="93"/>
        <v>0</v>
      </c>
      <c r="U299" s="150">
        <f t="shared" si="94"/>
        <v>0</v>
      </c>
      <c r="V299" s="150">
        <f>IFERROR(INDEX(Työkonekanta!$J$3:$J$27,MATCH($A299,Työkonekanta!$A$3:$A$24,0),1)*$B299*ef_li_ion_akku/1000/1000/INDEX(Työkonekanta!$K$3:$K$27,MATCH($A299,Työkonekanta!$A$3:$A$24,0)),0)</f>
        <v>0</v>
      </c>
      <c r="W299" s="149">
        <f t="shared" si="105"/>
        <v>0</v>
      </c>
      <c r="X299" s="150">
        <f t="shared" si="106"/>
        <v>0</v>
      </c>
      <c r="Y299" s="151">
        <f t="shared" si="107"/>
        <v>0</v>
      </c>
      <c r="Z299" s="152">
        <f t="shared" si="99"/>
        <v>0</v>
      </c>
      <c r="AA299" s="153">
        <f t="shared" si="100"/>
        <v>0</v>
      </c>
      <c r="AB299" s="153">
        <f t="shared" si="101"/>
        <v>0</v>
      </c>
      <c r="AC299" s="154">
        <f t="shared" si="108"/>
        <v>0</v>
      </c>
      <c r="AD299" s="180">
        <f t="shared" si="102"/>
        <v>0</v>
      </c>
      <c r="AE299" s="160"/>
    </row>
    <row r="300" spans="1:31">
      <c r="A300" s="139">
        <v>28</v>
      </c>
      <c r="B300" s="139">
        <f>IFERROR(INDEX(Työkonekanta!$F$3:$F$27,MATCH('S2 Bio'!$A300,Työkonekanta!$A$3:$A$24,0),1),0)</f>
        <v>0</v>
      </c>
      <c r="C300" s="140">
        <v>2028</v>
      </c>
      <c r="D300" s="141" t="str">
        <f>IFERROR(INDEX(Työkonekanta!$D$3:$D$27,MATCH('S2 Bio'!$A300,Työkonekanta!$A$3:$A$24,0),1),"undefined")</f>
        <v>undefined</v>
      </c>
      <c r="E300" s="145">
        <f>IFERROR(INDEX(Työkonekanta!$G$3:$G$27,MATCH($A300,Työkonekanta!$A$3:$A$24,0),1)*INDEX(Työkonekanta!$H$3:$H$27,MATCH($A300,Työkonekanta!$A$3:$A$24,0),1)*(1+_xlfn.SINGLE(s2_kerroin)*($C300-2019))*$B300,0)</f>
        <v>0</v>
      </c>
      <c r="F300" s="145">
        <f t="shared" si="89"/>
        <v>0</v>
      </c>
      <c r="G300" s="145">
        <f t="shared" si="95"/>
        <v>0</v>
      </c>
      <c r="H300" s="145">
        <f t="shared" si="96"/>
        <v>0</v>
      </c>
      <c r="I300" s="145">
        <f t="shared" si="90"/>
        <v>0</v>
      </c>
      <c r="J300" s="145">
        <f t="shared" si="91"/>
        <v>0</v>
      </c>
      <c r="K300" s="142" t="str">
        <f t="shared" si="97"/>
        <v>undefined</v>
      </c>
      <c r="L300" s="146">
        <f>IFERROR(INDEX(Työkonekanta!$I$3:$I$27,MATCH('S2 Bio'!$A300,Työkonekanta!$A$3:$A$24,0),1)*(I300+J300)*f_adblue,0)</f>
        <v>0</v>
      </c>
      <c r="M300" s="146">
        <f t="shared" si="104"/>
        <v>0</v>
      </c>
      <c r="N300" s="143" t="str">
        <f>IF(tuulisähkö_vuosi&lt;='S2 Bio'!C300,"tuulisähkö",ostosähkö_nyt)</f>
        <v>jäännössähkö</v>
      </c>
      <c r="O300" s="147">
        <f>INDEX(Muuttujat!$J$5:$J$21,MATCH($C300,Muuttujat!$H$5:$H$21,0),1)</f>
        <v>63.258531840332459</v>
      </c>
      <c r="P300" s="148">
        <f t="shared" si="98"/>
        <v>0.45266666666666666</v>
      </c>
      <c r="Q300" s="148">
        <f t="shared" si="109"/>
        <v>0.54733333333333334</v>
      </c>
      <c r="R300" s="148">
        <f t="shared" si="109"/>
        <v>0.54733333333333334</v>
      </c>
      <c r="S300" s="149">
        <f t="shared" si="92"/>
        <v>0</v>
      </c>
      <c r="T300" s="150">
        <f t="shared" si="93"/>
        <v>0</v>
      </c>
      <c r="U300" s="150">
        <f t="shared" si="94"/>
        <v>0</v>
      </c>
      <c r="V300" s="150">
        <f>IFERROR(INDEX(Työkonekanta!$J$3:$J$27,MATCH($A300,Työkonekanta!$A$3:$A$24,0),1)*$B300*ef_li_ion_akku/1000/1000/INDEX(Työkonekanta!$K$3:$K$27,MATCH($A300,Työkonekanta!$A$3:$A$24,0)),0)</f>
        <v>0</v>
      </c>
      <c r="W300" s="149">
        <f t="shared" si="105"/>
        <v>0</v>
      </c>
      <c r="X300" s="150">
        <f t="shared" si="106"/>
        <v>0</v>
      </c>
      <c r="Y300" s="151">
        <f t="shared" si="107"/>
        <v>0</v>
      </c>
      <c r="Z300" s="152">
        <f t="shared" si="99"/>
        <v>0</v>
      </c>
      <c r="AA300" s="153">
        <f t="shared" si="100"/>
        <v>0</v>
      </c>
      <c r="AB300" s="153">
        <f t="shared" si="101"/>
        <v>0</v>
      </c>
      <c r="AC300" s="154">
        <f t="shared" si="108"/>
        <v>0</v>
      </c>
      <c r="AD300" s="180">
        <f t="shared" si="102"/>
        <v>0</v>
      </c>
      <c r="AE300" s="160"/>
    </row>
    <row r="301" spans="1:31">
      <c r="A301" s="139">
        <v>29</v>
      </c>
      <c r="B301" s="139">
        <f>IFERROR(INDEX(Työkonekanta!$F$3:$F$27,MATCH('S2 Bio'!$A301,Työkonekanta!$A$3:$A$24,0),1),0)</f>
        <v>0</v>
      </c>
      <c r="C301" s="140">
        <v>2028</v>
      </c>
      <c r="D301" s="141" t="str">
        <f>IFERROR(INDEX(Työkonekanta!$D$3:$D$27,MATCH('S2 Bio'!$A301,Työkonekanta!$A$3:$A$24,0),1),"undefined")</f>
        <v>undefined</v>
      </c>
      <c r="E301" s="145">
        <f>IFERROR(INDEX(Työkonekanta!$G$3:$G$27,MATCH($A301,Työkonekanta!$A$3:$A$24,0),1)*INDEX(Työkonekanta!$H$3:$H$27,MATCH($A301,Työkonekanta!$A$3:$A$24,0),1)*(1+_xlfn.SINGLE(s2_kerroin)*($C301-2019))*$B301,0)</f>
        <v>0</v>
      </c>
      <c r="F301" s="145">
        <f t="shared" si="89"/>
        <v>0</v>
      </c>
      <c r="G301" s="145">
        <f t="shared" si="95"/>
        <v>0</v>
      </c>
      <c r="H301" s="145">
        <f t="shared" si="96"/>
        <v>0</v>
      </c>
      <c r="I301" s="145">
        <f t="shared" si="90"/>
        <v>0</v>
      </c>
      <c r="J301" s="145">
        <f t="shared" si="91"/>
        <v>0</v>
      </c>
      <c r="K301" s="142" t="str">
        <f t="shared" si="97"/>
        <v>undefined</v>
      </c>
      <c r="L301" s="146">
        <f>IFERROR(INDEX(Työkonekanta!$I$3:$I$27,MATCH('S2 Bio'!$A301,Työkonekanta!$A$3:$A$24,0),1)*(I301+J301)*f_adblue,0)</f>
        <v>0</v>
      </c>
      <c r="M301" s="146">
        <f t="shared" si="104"/>
        <v>0</v>
      </c>
      <c r="N301" s="143" t="str">
        <f>IF(tuulisähkö_vuosi&lt;='S2 Bio'!C301,"tuulisähkö",ostosähkö_nyt)</f>
        <v>jäännössähkö</v>
      </c>
      <c r="O301" s="147">
        <f>INDEX(Muuttujat!$J$5:$J$21,MATCH($C301,Muuttujat!$H$5:$H$21,0),1)</f>
        <v>63.258531840332459</v>
      </c>
      <c r="P301" s="148">
        <f t="shared" si="98"/>
        <v>0.45266666666666666</v>
      </c>
      <c r="Q301" s="148">
        <f t="shared" si="109"/>
        <v>0.54733333333333334</v>
      </c>
      <c r="R301" s="148">
        <f t="shared" si="109"/>
        <v>0.54733333333333334</v>
      </c>
      <c r="S301" s="149">
        <f t="shared" si="92"/>
        <v>0</v>
      </c>
      <c r="T301" s="150">
        <f t="shared" si="93"/>
        <v>0</v>
      </c>
      <c r="U301" s="150">
        <f t="shared" si="94"/>
        <v>0</v>
      </c>
      <c r="V301" s="150">
        <f>IFERROR(INDEX(Työkonekanta!$J$3:$J$27,MATCH($A301,Työkonekanta!$A$3:$A$24,0),1)*$B301*ef_li_ion_akku/1000/1000/INDEX(Työkonekanta!$K$3:$K$27,MATCH($A301,Työkonekanta!$A$3:$A$24,0)),0)</f>
        <v>0</v>
      </c>
      <c r="W301" s="149">
        <f t="shared" si="105"/>
        <v>0</v>
      </c>
      <c r="X301" s="150">
        <f t="shared" si="106"/>
        <v>0</v>
      </c>
      <c r="Y301" s="151">
        <f t="shared" si="107"/>
        <v>0</v>
      </c>
      <c r="Z301" s="152">
        <f t="shared" si="99"/>
        <v>0</v>
      </c>
      <c r="AA301" s="153">
        <f t="shared" si="100"/>
        <v>0</v>
      </c>
      <c r="AB301" s="153">
        <f t="shared" si="101"/>
        <v>0</v>
      </c>
      <c r="AC301" s="154">
        <f t="shared" si="108"/>
        <v>0</v>
      </c>
      <c r="AD301" s="180">
        <f t="shared" si="102"/>
        <v>0</v>
      </c>
      <c r="AE301" s="160"/>
    </row>
    <row r="302" spans="1:31">
      <c r="A302" s="139">
        <v>30</v>
      </c>
      <c r="B302" s="139">
        <f>IFERROR(INDEX(Työkonekanta!$F$3:$F$27,MATCH('S2 Bio'!$A302,Työkonekanta!$A$3:$A$24,0),1),0)</f>
        <v>0</v>
      </c>
      <c r="C302" s="140">
        <v>2028</v>
      </c>
      <c r="D302" s="141" t="str">
        <f>IFERROR(INDEX(Työkonekanta!$D$3:$D$27,MATCH('S2 Bio'!$A302,Työkonekanta!$A$3:$A$24,0),1),"undefined")</f>
        <v>undefined</v>
      </c>
      <c r="E302" s="145">
        <f>IFERROR(INDEX(Työkonekanta!$G$3:$G$27,MATCH($A302,Työkonekanta!$A$3:$A$24,0),1)*INDEX(Työkonekanta!$H$3:$H$27,MATCH($A302,Työkonekanta!$A$3:$A$24,0),1)*(1+_xlfn.SINGLE(s2_kerroin)*($C302-2019))*$B302,0)</f>
        <v>0</v>
      </c>
      <c r="F302" s="145">
        <f t="shared" si="89"/>
        <v>0</v>
      </c>
      <c r="G302" s="145">
        <f t="shared" si="95"/>
        <v>0</v>
      </c>
      <c r="H302" s="145">
        <f t="shared" si="96"/>
        <v>0</v>
      </c>
      <c r="I302" s="145">
        <f t="shared" si="90"/>
        <v>0</v>
      </c>
      <c r="J302" s="145">
        <f t="shared" si="91"/>
        <v>0</v>
      </c>
      <c r="K302" s="142" t="str">
        <f t="shared" si="97"/>
        <v>undefined</v>
      </c>
      <c r="L302" s="146">
        <f>IFERROR(INDEX(Työkonekanta!$I$3:$I$27,MATCH('S2 Bio'!$A302,Työkonekanta!$A$3:$A$24,0),1)*(I302+J302)*f_adblue,0)</f>
        <v>0</v>
      </c>
      <c r="M302" s="146">
        <f t="shared" si="104"/>
        <v>0</v>
      </c>
      <c r="N302" s="143" t="str">
        <f>IF(tuulisähkö_vuosi&lt;='S2 Bio'!C302,"tuulisähkö",ostosähkö_nyt)</f>
        <v>jäännössähkö</v>
      </c>
      <c r="O302" s="147">
        <f>INDEX(Muuttujat!$J$5:$J$21,MATCH($C302,Muuttujat!$H$5:$H$21,0),1)</f>
        <v>63.258531840332459</v>
      </c>
      <c r="P302" s="148">
        <f t="shared" si="98"/>
        <v>0.45266666666666666</v>
      </c>
      <c r="Q302" s="148">
        <f t="shared" si="109"/>
        <v>0.54733333333333334</v>
      </c>
      <c r="R302" s="148">
        <f t="shared" si="109"/>
        <v>0.54733333333333334</v>
      </c>
      <c r="S302" s="149">
        <f t="shared" si="92"/>
        <v>0</v>
      </c>
      <c r="T302" s="150">
        <f t="shared" si="93"/>
        <v>0</v>
      </c>
      <c r="U302" s="150">
        <f t="shared" si="94"/>
        <v>0</v>
      </c>
      <c r="V302" s="150">
        <f>IFERROR(INDEX(Työkonekanta!$J$3:$J$27,MATCH($A302,Työkonekanta!$A$3:$A$24,0),1)*$B302*ef_li_ion_akku/1000/1000/INDEX(Työkonekanta!$K$3:$K$27,MATCH($A302,Työkonekanta!$A$3:$A$24,0)),0)</f>
        <v>0</v>
      </c>
      <c r="W302" s="149">
        <f t="shared" si="105"/>
        <v>0</v>
      </c>
      <c r="X302" s="150">
        <f t="shared" si="106"/>
        <v>0</v>
      </c>
      <c r="Y302" s="151">
        <f t="shared" si="107"/>
        <v>0</v>
      </c>
      <c r="Z302" s="152">
        <f t="shared" si="99"/>
        <v>0</v>
      </c>
      <c r="AA302" s="153">
        <f t="shared" si="100"/>
        <v>0</v>
      </c>
      <c r="AB302" s="153">
        <f t="shared" si="101"/>
        <v>0</v>
      </c>
      <c r="AC302" s="154">
        <f t="shared" si="108"/>
        <v>0</v>
      </c>
      <c r="AD302" s="180">
        <f t="shared" si="102"/>
        <v>0</v>
      </c>
      <c r="AE302" s="160"/>
    </row>
    <row r="303" spans="1:31">
      <c r="A303" s="139">
        <v>1</v>
      </c>
      <c r="B303" s="139">
        <f>IFERROR(INDEX(Työkonekanta!$F$3:$F$27,MATCH('S2 Bio'!$A303,Työkonekanta!$A$3:$A$24,0),1),0)</f>
        <v>1</v>
      </c>
      <c r="C303" s="140">
        <v>2029</v>
      </c>
      <c r="D303" s="141" t="str">
        <f>IFERROR(INDEX(Työkonekanta!$D$3:$D$27,MATCH('S2 Bio'!$A303,Työkonekanta!$A$3:$A$24,0),1),"undefined")</f>
        <v>pom</v>
      </c>
      <c r="E303" s="145">
        <f>IFERROR(INDEX(Työkonekanta!$G$3:$G$27,MATCH($A303,Työkonekanta!$A$3:$A$24,0),1)*INDEX(Työkonekanta!$H$3:$H$27,MATCH($A303,Työkonekanta!$A$3:$A$24,0),1)*(1+_xlfn.SINGLE(s2_kerroin)*($C303-2019))*$B303,0)</f>
        <v>11000</v>
      </c>
      <c r="F303" s="145">
        <f t="shared" si="89"/>
        <v>394900</v>
      </c>
      <c r="G303" s="145">
        <f t="shared" si="95"/>
        <v>153221.20000000001</v>
      </c>
      <c r="H303" s="145">
        <f t="shared" si="96"/>
        <v>241678.8</v>
      </c>
      <c r="I303" s="145">
        <f t="shared" si="90"/>
        <v>4268.0000000000009</v>
      </c>
      <c r="J303" s="145">
        <f t="shared" si="91"/>
        <v>7046.0291545189502</v>
      </c>
      <c r="K303" s="142" t="str">
        <f t="shared" si="97"/>
        <v>l</v>
      </c>
      <c r="L303" s="146">
        <f>IFERROR(INDEX(Työkonekanta!$I$3:$I$27,MATCH('S2 Bio'!$A303,Työkonekanta!$A$3:$A$24,0),1)*(I303+J303)*f_adblue,0)</f>
        <v>565.70145772594753</v>
      </c>
      <c r="M303" s="146">
        <f t="shared" si="104"/>
        <v>0</v>
      </c>
      <c r="N303" s="143" t="str">
        <f>IF(tuulisähkö_vuosi&lt;='S2 Bio'!C303,"tuulisähkö",ostosähkö_nyt)</f>
        <v>jäännössähkö</v>
      </c>
      <c r="O303" s="147">
        <f>INDEX(Muuttujat!$J$5:$J$21,MATCH($C303,Muuttujat!$H$5:$H$21,0),1)</f>
        <v>62.625946521929137</v>
      </c>
      <c r="P303" s="148">
        <f t="shared" si="98"/>
        <v>0.38800000000000001</v>
      </c>
      <c r="Q303" s="148">
        <f t="shared" ref="Q303:R322" si="110">IF(biosiirtymä_luonne="äkillinen",INDEX($AG$4:$AG$20,MATCH($C303,$AF$4:$AF$20,0),1),INDEX($AH$4:$AH$20,MATCH($C303,$AF$4:$AF$20,0),1))</f>
        <v>0.61199999999999999</v>
      </c>
      <c r="R303" s="148">
        <f t="shared" si="110"/>
        <v>0.61199999999999999</v>
      </c>
      <c r="S303" s="149">
        <f t="shared" si="92"/>
        <v>2.8958806800000003</v>
      </c>
      <c r="T303" s="150">
        <f t="shared" si="93"/>
        <v>15.080757119999998</v>
      </c>
      <c r="U303" s="150">
        <f t="shared" si="94"/>
        <v>0</v>
      </c>
      <c r="V303" s="150">
        <f>IFERROR(INDEX(Työkonekanta!$J$3:$J$27,MATCH($A303,Työkonekanta!$A$3:$A$24,0),1)*$B303*ef_li_ion_akku/1000/1000/INDEX(Työkonekanta!$K$3:$K$27,MATCH($A303,Työkonekanta!$A$3:$A$24,0)),0)</f>
        <v>0</v>
      </c>
      <c r="W303" s="149">
        <f t="shared" si="105"/>
        <v>11.308989290464803</v>
      </c>
      <c r="X303" s="150">
        <f t="shared" si="106"/>
        <v>0.34952022600000004</v>
      </c>
      <c r="Y303" s="151">
        <f t="shared" si="107"/>
        <v>0.14708237900874635</v>
      </c>
      <c r="Z303" s="152">
        <f t="shared" si="99"/>
        <v>17.976637799999999</v>
      </c>
      <c r="AA303" s="153">
        <f t="shared" si="100"/>
        <v>11.45607166947355</v>
      </c>
      <c r="AB303" s="153">
        <f t="shared" si="101"/>
        <v>11.805591895473549</v>
      </c>
      <c r="AC303" s="154">
        <f t="shared" si="108"/>
        <v>29.432709469473551</v>
      </c>
      <c r="AD303" s="180">
        <f t="shared" si="102"/>
        <v>29.782229695473546</v>
      </c>
      <c r="AE303" s="160"/>
    </row>
    <row r="304" spans="1:31">
      <c r="A304" s="139">
        <v>2</v>
      </c>
      <c r="B304" s="139">
        <f>IFERROR(INDEX(Työkonekanta!$F$3:$F$27,MATCH('S2 Bio'!$A304,Työkonekanta!$A$3:$A$24,0),1),0)</f>
        <v>1</v>
      </c>
      <c r="C304" s="140">
        <v>2029</v>
      </c>
      <c r="D304" s="141" t="str">
        <f>IFERROR(INDEX(Työkonekanta!$D$3:$D$27,MATCH('S2 Bio'!$A304,Työkonekanta!$A$3:$A$24,0),1),"undefined")</f>
        <v>pom</v>
      </c>
      <c r="E304" s="145">
        <f>IFERROR(INDEX(Työkonekanta!$G$3:$G$27,MATCH($A304,Työkonekanta!$A$3:$A$24,0),1)*INDEX(Työkonekanta!$H$3:$H$27,MATCH($A304,Työkonekanta!$A$3:$A$24,0),1)*(1+_xlfn.SINGLE(s2_kerroin)*($C304-2019))*$B304,0)</f>
        <v>11000</v>
      </c>
      <c r="F304" s="145">
        <f t="shared" si="89"/>
        <v>394900</v>
      </c>
      <c r="G304" s="145">
        <f t="shared" si="95"/>
        <v>153221.20000000001</v>
      </c>
      <c r="H304" s="145">
        <f t="shared" si="96"/>
        <v>241678.8</v>
      </c>
      <c r="I304" s="145">
        <f t="shared" si="90"/>
        <v>4268.0000000000009</v>
      </c>
      <c r="J304" s="145">
        <f t="shared" si="91"/>
        <v>7046.0291545189502</v>
      </c>
      <c r="K304" s="142" t="str">
        <f t="shared" si="97"/>
        <v>l</v>
      </c>
      <c r="L304" s="146">
        <f>IFERROR(INDEX(Työkonekanta!$I$3:$I$27,MATCH('S2 Bio'!$A304,Työkonekanta!$A$3:$A$24,0),1)*(I304+J304)*f_adblue,0)</f>
        <v>565.70145772594753</v>
      </c>
      <c r="M304" s="146">
        <f t="shared" si="104"/>
        <v>0</v>
      </c>
      <c r="N304" s="143" t="str">
        <f>IF(tuulisähkö_vuosi&lt;='S2 Bio'!C304,"tuulisähkö",ostosähkö_nyt)</f>
        <v>jäännössähkö</v>
      </c>
      <c r="O304" s="147">
        <f>INDEX(Muuttujat!$J$5:$J$21,MATCH($C304,Muuttujat!$H$5:$H$21,0),1)</f>
        <v>62.625946521929137</v>
      </c>
      <c r="P304" s="148">
        <f t="shared" si="98"/>
        <v>0.38800000000000001</v>
      </c>
      <c r="Q304" s="148">
        <f t="shared" si="110"/>
        <v>0.61199999999999999</v>
      </c>
      <c r="R304" s="148">
        <f t="shared" si="110"/>
        <v>0.61199999999999999</v>
      </c>
      <c r="S304" s="149">
        <f t="shared" si="92"/>
        <v>2.8958806800000003</v>
      </c>
      <c r="T304" s="150">
        <f t="shared" si="93"/>
        <v>15.080757119999998</v>
      </c>
      <c r="U304" s="150">
        <f t="shared" si="94"/>
        <v>0</v>
      </c>
      <c r="V304" s="150">
        <f>IFERROR(INDEX(Työkonekanta!$J$3:$J$27,MATCH($A304,Työkonekanta!$A$3:$A$24,0),1)*$B304*ef_li_ion_akku/1000/1000/INDEX(Työkonekanta!$K$3:$K$27,MATCH($A304,Työkonekanta!$A$3:$A$24,0)),0)</f>
        <v>0</v>
      </c>
      <c r="W304" s="149">
        <f t="shared" si="105"/>
        <v>11.308989290464803</v>
      </c>
      <c r="X304" s="150">
        <f t="shared" si="106"/>
        <v>0.34952022600000004</v>
      </c>
      <c r="Y304" s="151">
        <f t="shared" si="107"/>
        <v>0.14708237900874635</v>
      </c>
      <c r="Z304" s="152">
        <f t="shared" si="99"/>
        <v>17.976637799999999</v>
      </c>
      <c r="AA304" s="153">
        <f t="shared" si="100"/>
        <v>11.45607166947355</v>
      </c>
      <c r="AB304" s="153">
        <f t="shared" si="101"/>
        <v>11.805591895473549</v>
      </c>
      <c r="AC304" s="154">
        <f t="shared" si="108"/>
        <v>29.432709469473551</v>
      </c>
      <c r="AD304" s="180">
        <f t="shared" si="102"/>
        <v>29.782229695473546</v>
      </c>
      <c r="AE304" s="160"/>
    </row>
    <row r="305" spans="1:31">
      <c r="A305" s="139">
        <v>3</v>
      </c>
      <c r="B305" s="139">
        <f>IFERROR(INDEX(Työkonekanta!$F$3:$F$27,MATCH('S2 Bio'!$A305,Työkonekanta!$A$3:$A$24,0),1),0)</f>
        <v>1</v>
      </c>
      <c r="C305" s="140">
        <v>2029</v>
      </c>
      <c r="D305" s="141" t="str">
        <f>IFERROR(INDEX(Työkonekanta!$D$3:$D$27,MATCH('S2 Bio'!$A305,Työkonekanta!$A$3:$A$24,0),1),"undefined")</f>
        <v>pom</v>
      </c>
      <c r="E305" s="145">
        <f>IFERROR(INDEX(Työkonekanta!$G$3:$G$27,MATCH($A305,Työkonekanta!$A$3:$A$24,0),1)*INDEX(Työkonekanta!$H$3:$H$27,MATCH($A305,Työkonekanta!$A$3:$A$24,0),1)*(1+_xlfn.SINGLE(s2_kerroin)*($C305-2019))*$B305,0)</f>
        <v>11000</v>
      </c>
      <c r="F305" s="145">
        <f t="shared" si="89"/>
        <v>394900</v>
      </c>
      <c r="G305" s="145">
        <f t="shared" si="95"/>
        <v>153221.20000000001</v>
      </c>
      <c r="H305" s="145">
        <f t="shared" si="96"/>
        <v>241678.8</v>
      </c>
      <c r="I305" s="145">
        <f t="shared" si="90"/>
        <v>4268.0000000000009</v>
      </c>
      <c r="J305" s="145">
        <f t="shared" si="91"/>
        <v>7046.0291545189502</v>
      </c>
      <c r="K305" s="142" t="str">
        <f t="shared" si="97"/>
        <v>l</v>
      </c>
      <c r="L305" s="146">
        <f>IFERROR(INDEX(Työkonekanta!$I$3:$I$27,MATCH('S2 Bio'!$A305,Työkonekanta!$A$3:$A$24,0),1)*(I305+J305)*f_adblue,0)</f>
        <v>565.70145772594753</v>
      </c>
      <c r="M305" s="146">
        <f t="shared" si="104"/>
        <v>0</v>
      </c>
      <c r="N305" s="143" t="str">
        <f>IF(tuulisähkö_vuosi&lt;='S2 Bio'!C305,"tuulisähkö",ostosähkö_nyt)</f>
        <v>jäännössähkö</v>
      </c>
      <c r="O305" s="147">
        <f>INDEX(Muuttujat!$J$5:$J$21,MATCH($C305,Muuttujat!$H$5:$H$21,0),1)</f>
        <v>62.625946521929137</v>
      </c>
      <c r="P305" s="148">
        <f t="shared" si="98"/>
        <v>0.38800000000000001</v>
      </c>
      <c r="Q305" s="148">
        <f t="shared" si="110"/>
        <v>0.61199999999999999</v>
      </c>
      <c r="R305" s="148">
        <f t="shared" si="110"/>
        <v>0.61199999999999999</v>
      </c>
      <c r="S305" s="149">
        <f t="shared" si="92"/>
        <v>2.8958806800000003</v>
      </c>
      <c r="T305" s="150">
        <f t="shared" si="93"/>
        <v>15.080757119999998</v>
      </c>
      <c r="U305" s="150">
        <f t="shared" si="94"/>
        <v>0</v>
      </c>
      <c r="V305" s="150">
        <f>IFERROR(INDEX(Työkonekanta!$J$3:$J$27,MATCH($A305,Työkonekanta!$A$3:$A$24,0),1)*$B305*ef_li_ion_akku/1000/1000/INDEX(Työkonekanta!$K$3:$K$27,MATCH($A305,Työkonekanta!$A$3:$A$24,0)),0)</f>
        <v>0</v>
      </c>
      <c r="W305" s="149">
        <f t="shared" si="105"/>
        <v>11.308989290464803</v>
      </c>
      <c r="X305" s="150">
        <f t="shared" si="106"/>
        <v>0.34952022600000004</v>
      </c>
      <c r="Y305" s="151">
        <f t="shared" si="107"/>
        <v>0.14708237900874635</v>
      </c>
      <c r="Z305" s="152">
        <f t="shared" si="99"/>
        <v>17.976637799999999</v>
      </c>
      <c r="AA305" s="153">
        <f t="shared" si="100"/>
        <v>11.45607166947355</v>
      </c>
      <c r="AB305" s="153">
        <f t="shared" si="101"/>
        <v>11.805591895473549</v>
      </c>
      <c r="AC305" s="154">
        <f t="shared" si="108"/>
        <v>29.432709469473551</v>
      </c>
      <c r="AD305" s="180">
        <f t="shared" si="102"/>
        <v>29.782229695473546</v>
      </c>
      <c r="AE305" s="160"/>
    </row>
    <row r="306" spans="1:31">
      <c r="A306" s="139">
        <v>4</v>
      </c>
      <c r="B306" s="139">
        <f>IFERROR(INDEX(Työkonekanta!$F$3:$F$27,MATCH('S2 Bio'!$A306,Työkonekanta!$A$3:$A$24,0),1),0)</f>
        <v>1</v>
      </c>
      <c r="C306" s="140">
        <v>2029</v>
      </c>
      <c r="D306" s="141" t="str">
        <f>IFERROR(INDEX(Työkonekanta!$D$3:$D$27,MATCH('S2 Bio'!$A306,Työkonekanta!$A$3:$A$24,0),1),"undefined")</f>
        <v>pom</v>
      </c>
      <c r="E306" s="145">
        <f>IFERROR(INDEX(Työkonekanta!$G$3:$G$27,MATCH($A306,Työkonekanta!$A$3:$A$24,0),1)*INDEX(Työkonekanta!$H$3:$H$27,MATCH($A306,Työkonekanta!$A$3:$A$24,0),1)*(1+_xlfn.SINGLE(s2_kerroin)*($C306-2019))*$B306,0)</f>
        <v>11000</v>
      </c>
      <c r="F306" s="145">
        <f t="shared" si="89"/>
        <v>394900</v>
      </c>
      <c r="G306" s="145">
        <f t="shared" si="95"/>
        <v>153221.20000000001</v>
      </c>
      <c r="H306" s="145">
        <f t="shared" si="96"/>
        <v>241678.8</v>
      </c>
      <c r="I306" s="145">
        <f t="shared" si="90"/>
        <v>4268.0000000000009</v>
      </c>
      <c r="J306" s="145">
        <f t="shared" si="91"/>
        <v>7046.0291545189502</v>
      </c>
      <c r="K306" s="142" t="str">
        <f t="shared" si="97"/>
        <v>l</v>
      </c>
      <c r="L306" s="146">
        <f>IFERROR(INDEX(Työkonekanta!$I$3:$I$27,MATCH('S2 Bio'!$A306,Työkonekanta!$A$3:$A$24,0),1)*(I306+J306)*f_adblue,0)</f>
        <v>565.70145772594753</v>
      </c>
      <c r="M306" s="146">
        <f t="shared" si="104"/>
        <v>0</v>
      </c>
      <c r="N306" s="143" t="str">
        <f>IF(tuulisähkö_vuosi&lt;='S2 Bio'!C306,"tuulisähkö",ostosähkö_nyt)</f>
        <v>jäännössähkö</v>
      </c>
      <c r="O306" s="147">
        <f>INDEX(Muuttujat!$J$5:$J$21,MATCH($C306,Muuttujat!$H$5:$H$21,0),1)</f>
        <v>62.625946521929137</v>
      </c>
      <c r="P306" s="148">
        <f t="shared" si="98"/>
        <v>0.38800000000000001</v>
      </c>
      <c r="Q306" s="148">
        <f t="shared" si="110"/>
        <v>0.61199999999999999</v>
      </c>
      <c r="R306" s="148">
        <f t="shared" si="110"/>
        <v>0.61199999999999999</v>
      </c>
      <c r="S306" s="149">
        <f t="shared" si="92"/>
        <v>2.8958806800000003</v>
      </c>
      <c r="T306" s="150">
        <f t="shared" si="93"/>
        <v>15.080757119999998</v>
      </c>
      <c r="U306" s="150">
        <f t="shared" si="94"/>
        <v>0</v>
      </c>
      <c r="V306" s="150">
        <f>IFERROR(INDEX(Työkonekanta!$J$3:$J$27,MATCH($A306,Työkonekanta!$A$3:$A$24,0),1)*$B306*ef_li_ion_akku/1000/1000/INDEX(Työkonekanta!$K$3:$K$27,MATCH($A306,Työkonekanta!$A$3:$A$24,0)),0)</f>
        <v>0</v>
      </c>
      <c r="W306" s="149">
        <f t="shared" si="105"/>
        <v>11.308989290464803</v>
      </c>
      <c r="X306" s="150">
        <f t="shared" si="106"/>
        <v>0.34952022600000004</v>
      </c>
      <c r="Y306" s="151">
        <f t="shared" si="107"/>
        <v>0.14708237900874635</v>
      </c>
      <c r="Z306" s="152">
        <f t="shared" si="99"/>
        <v>17.976637799999999</v>
      </c>
      <c r="AA306" s="153">
        <f t="shared" si="100"/>
        <v>11.45607166947355</v>
      </c>
      <c r="AB306" s="153">
        <f t="shared" si="101"/>
        <v>11.805591895473549</v>
      </c>
      <c r="AC306" s="154">
        <f t="shared" si="108"/>
        <v>29.432709469473551</v>
      </c>
      <c r="AD306" s="180">
        <f t="shared" si="102"/>
        <v>29.782229695473546</v>
      </c>
      <c r="AE306" s="160"/>
    </row>
    <row r="307" spans="1:31">
      <c r="A307" s="139">
        <v>5</v>
      </c>
      <c r="B307" s="139">
        <f>IFERROR(INDEX(Työkonekanta!$F$3:$F$27,MATCH('S2 Bio'!$A307,Työkonekanta!$A$3:$A$24,0),1),0)</f>
        <v>0</v>
      </c>
      <c r="C307" s="140">
        <v>2029</v>
      </c>
      <c r="D307" s="141" t="str">
        <f>IFERROR(INDEX(Työkonekanta!$D$3:$D$27,MATCH('S2 Bio'!$A307,Työkonekanta!$A$3:$A$24,0),1),"undefined")</f>
        <v>sähkö</v>
      </c>
      <c r="E307" s="145">
        <f>IFERROR(INDEX(Työkonekanta!$G$3:$G$27,MATCH($A307,Työkonekanta!$A$3:$A$24,0),1)*INDEX(Työkonekanta!$H$3:$H$27,MATCH($A307,Työkonekanta!$A$3:$A$24,0),1)*(1+_xlfn.SINGLE(s2_kerroin)*($C307-2019))*$B307,0)</f>
        <v>0</v>
      </c>
      <c r="F307" s="145">
        <f t="shared" si="89"/>
        <v>0</v>
      </c>
      <c r="G307" s="145">
        <f t="shared" si="95"/>
        <v>0</v>
      </c>
      <c r="H307" s="145">
        <f t="shared" si="96"/>
        <v>0</v>
      </c>
      <c r="I307" s="145">
        <f t="shared" si="90"/>
        <v>0</v>
      </c>
      <c r="J307" s="145">
        <f t="shared" si="91"/>
        <v>0</v>
      </c>
      <c r="K307" s="142" t="str">
        <f t="shared" si="97"/>
        <v>kWh</v>
      </c>
      <c r="L307" s="146">
        <f>IFERROR(INDEX(Työkonekanta!$I$3:$I$27,MATCH('S2 Bio'!$A307,Työkonekanta!$A$3:$A$24,0),1)*(I307+J307)*f_adblue,0)</f>
        <v>0</v>
      </c>
      <c r="M307" s="146">
        <f t="shared" si="104"/>
        <v>0</v>
      </c>
      <c r="N307" s="143" t="str">
        <f>IF(tuulisähkö_vuosi&lt;='S2 Bio'!C307,"tuulisähkö",ostosähkö_nyt)</f>
        <v>jäännössähkö</v>
      </c>
      <c r="O307" s="147">
        <f>INDEX(Muuttujat!$J$5:$J$21,MATCH($C307,Muuttujat!$H$5:$H$21,0),1)</f>
        <v>62.625946521929137</v>
      </c>
      <c r="P307" s="148">
        <f t="shared" si="98"/>
        <v>0.38800000000000001</v>
      </c>
      <c r="Q307" s="148">
        <f t="shared" si="110"/>
        <v>0.61199999999999999</v>
      </c>
      <c r="R307" s="148">
        <f t="shared" si="110"/>
        <v>0.61199999999999999</v>
      </c>
      <c r="S307" s="149">
        <f t="shared" si="92"/>
        <v>0</v>
      </c>
      <c r="T307" s="150">
        <f t="shared" si="93"/>
        <v>0</v>
      </c>
      <c r="U307" s="150">
        <f t="shared" si="94"/>
        <v>0</v>
      </c>
      <c r="V307" s="150">
        <f>IFERROR(INDEX(Työkonekanta!$J$3:$J$27,MATCH($A307,Työkonekanta!$A$3:$A$24,0),1)*$B307*ef_li_ion_akku/1000/1000/INDEX(Työkonekanta!$K$3:$K$27,MATCH($A307,Työkonekanta!$A$3:$A$24,0)),0)</f>
        <v>0</v>
      </c>
      <c r="W307" s="149">
        <f t="shared" si="105"/>
        <v>0</v>
      </c>
      <c r="X307" s="150">
        <f t="shared" si="106"/>
        <v>0</v>
      </c>
      <c r="Y307" s="151">
        <f t="shared" si="107"/>
        <v>0</v>
      </c>
      <c r="Z307" s="152">
        <f t="shared" si="99"/>
        <v>0</v>
      </c>
      <c r="AA307" s="153">
        <f t="shared" si="100"/>
        <v>0</v>
      </c>
      <c r="AB307" s="153">
        <f t="shared" si="101"/>
        <v>0</v>
      </c>
      <c r="AC307" s="154">
        <f t="shared" si="108"/>
        <v>0</v>
      </c>
      <c r="AD307" s="180">
        <f t="shared" si="102"/>
        <v>0</v>
      </c>
      <c r="AE307" s="160"/>
    </row>
    <row r="308" spans="1:31">
      <c r="A308" s="139">
        <v>6</v>
      </c>
      <c r="B308" s="139">
        <f>IFERROR(INDEX(Työkonekanta!$F$3:$F$27,MATCH('S2 Bio'!$A308,Työkonekanta!$A$3:$A$24,0),1),0)</f>
        <v>0</v>
      </c>
      <c r="C308" s="140">
        <v>2029</v>
      </c>
      <c r="D308" s="141" t="str">
        <f>IFERROR(INDEX(Työkonekanta!$D$3:$D$27,MATCH('S2 Bio'!$A308,Työkonekanta!$A$3:$A$24,0),1),"undefined")</f>
        <v>sähkö</v>
      </c>
      <c r="E308" s="145">
        <f>IFERROR(INDEX(Työkonekanta!$G$3:$G$27,MATCH($A308,Työkonekanta!$A$3:$A$24,0),1)*INDEX(Työkonekanta!$H$3:$H$27,MATCH($A308,Työkonekanta!$A$3:$A$24,0),1)*(1+_xlfn.SINGLE(s2_kerroin)*($C308-2019))*$B308,0)</f>
        <v>0</v>
      </c>
      <c r="F308" s="145">
        <f t="shared" si="89"/>
        <v>0</v>
      </c>
      <c r="G308" s="145">
        <f t="shared" si="95"/>
        <v>0</v>
      </c>
      <c r="H308" s="145">
        <f t="shared" si="96"/>
        <v>0</v>
      </c>
      <c r="I308" s="145">
        <f t="shared" si="90"/>
        <v>0</v>
      </c>
      <c r="J308" s="145">
        <f t="shared" si="91"/>
        <v>0</v>
      </c>
      <c r="K308" s="142" t="str">
        <f t="shared" si="97"/>
        <v>kWh</v>
      </c>
      <c r="L308" s="146">
        <f>IFERROR(INDEX(Työkonekanta!$I$3:$I$27,MATCH('S2 Bio'!$A308,Työkonekanta!$A$3:$A$24,0),1)*(I308+J308)*f_adblue,0)</f>
        <v>0</v>
      </c>
      <c r="M308" s="146">
        <f t="shared" si="104"/>
        <v>0</v>
      </c>
      <c r="N308" s="143" t="str">
        <f>IF(tuulisähkö_vuosi&lt;='S2 Bio'!C308,"tuulisähkö",ostosähkö_nyt)</f>
        <v>jäännössähkö</v>
      </c>
      <c r="O308" s="147">
        <f>INDEX(Muuttujat!$J$5:$J$21,MATCH($C308,Muuttujat!$H$5:$H$21,0),1)</f>
        <v>62.625946521929137</v>
      </c>
      <c r="P308" s="148">
        <f t="shared" si="98"/>
        <v>0.38800000000000001</v>
      </c>
      <c r="Q308" s="148">
        <f t="shared" si="110"/>
        <v>0.61199999999999999</v>
      </c>
      <c r="R308" s="148">
        <f t="shared" si="110"/>
        <v>0.61199999999999999</v>
      </c>
      <c r="S308" s="149">
        <f t="shared" si="92"/>
        <v>0</v>
      </c>
      <c r="T308" s="150">
        <f t="shared" si="93"/>
        <v>0</v>
      </c>
      <c r="U308" s="150">
        <f t="shared" si="94"/>
        <v>0</v>
      </c>
      <c r="V308" s="150">
        <f>IFERROR(INDEX(Työkonekanta!$J$3:$J$27,MATCH($A308,Työkonekanta!$A$3:$A$24,0),1)*$B308*ef_li_ion_akku/1000/1000/INDEX(Työkonekanta!$K$3:$K$27,MATCH($A308,Työkonekanta!$A$3:$A$24,0)),0)</f>
        <v>0</v>
      </c>
      <c r="W308" s="149">
        <f t="shared" si="105"/>
        <v>0</v>
      </c>
      <c r="X308" s="150">
        <f t="shared" si="106"/>
        <v>0</v>
      </c>
      <c r="Y308" s="151">
        <f t="shared" si="107"/>
        <v>0</v>
      </c>
      <c r="Z308" s="152">
        <f t="shared" si="99"/>
        <v>0</v>
      </c>
      <c r="AA308" s="153">
        <f t="shared" si="100"/>
        <v>0</v>
      </c>
      <c r="AB308" s="153">
        <f t="shared" si="101"/>
        <v>0</v>
      </c>
      <c r="AC308" s="154">
        <f t="shared" si="108"/>
        <v>0</v>
      </c>
      <c r="AD308" s="180">
        <f t="shared" si="102"/>
        <v>0</v>
      </c>
      <c r="AE308" s="160"/>
    </row>
    <row r="309" spans="1:31">
      <c r="A309" s="139">
        <v>7</v>
      </c>
      <c r="B309" s="139">
        <f>IFERROR(INDEX(Työkonekanta!$F$3:$F$27,MATCH('S2 Bio'!$A309,Työkonekanta!$A$3:$A$24,0),1),0)</f>
        <v>1</v>
      </c>
      <c r="C309" s="140">
        <v>2029</v>
      </c>
      <c r="D309" s="141" t="str">
        <f>IFERROR(INDEX(Työkonekanta!$D$3:$D$27,MATCH('S2 Bio'!$A309,Työkonekanta!$A$3:$A$24,0),1),"undefined")</f>
        <v>pom</v>
      </c>
      <c r="E309" s="145">
        <f>IFERROR(INDEX(Työkonekanta!$G$3:$G$27,MATCH($A309,Työkonekanta!$A$3:$A$24,0),1)*INDEX(Työkonekanta!$H$3:$H$27,MATCH($A309,Työkonekanta!$A$3:$A$24,0),1)*(1+_xlfn.SINGLE(s2_kerroin)*($C309-2019))*$B309,0)</f>
        <v>11000</v>
      </c>
      <c r="F309" s="145">
        <f t="shared" si="89"/>
        <v>394900</v>
      </c>
      <c r="G309" s="145">
        <f t="shared" si="95"/>
        <v>153221.20000000001</v>
      </c>
      <c r="H309" s="145">
        <f t="shared" si="96"/>
        <v>241678.8</v>
      </c>
      <c r="I309" s="145">
        <f t="shared" si="90"/>
        <v>4268.0000000000009</v>
      </c>
      <c r="J309" s="145">
        <f t="shared" si="91"/>
        <v>7046.0291545189502</v>
      </c>
      <c r="K309" s="142" t="str">
        <f t="shared" si="97"/>
        <v>l</v>
      </c>
      <c r="L309" s="146">
        <f>IFERROR(INDEX(Työkonekanta!$I$3:$I$27,MATCH('S2 Bio'!$A309,Työkonekanta!$A$3:$A$24,0),1)*(I309+J309)*f_adblue,0)</f>
        <v>0</v>
      </c>
      <c r="M309" s="146">
        <f t="shared" si="104"/>
        <v>0</v>
      </c>
      <c r="N309" s="143" t="str">
        <f>IF(tuulisähkö_vuosi&lt;='S2 Bio'!C309,"tuulisähkö",ostosähkö_nyt)</f>
        <v>jäännössähkö</v>
      </c>
      <c r="O309" s="147">
        <f>INDEX(Muuttujat!$J$5:$J$21,MATCH($C309,Muuttujat!$H$5:$H$21,0),1)</f>
        <v>62.625946521929137</v>
      </c>
      <c r="P309" s="148">
        <f t="shared" si="98"/>
        <v>0.38800000000000001</v>
      </c>
      <c r="Q309" s="148">
        <f t="shared" si="110"/>
        <v>0.61199999999999999</v>
      </c>
      <c r="R309" s="148">
        <f t="shared" si="110"/>
        <v>0.61199999999999999</v>
      </c>
      <c r="S309" s="149">
        <f t="shared" si="92"/>
        <v>2.8958806800000003</v>
      </c>
      <c r="T309" s="150">
        <f t="shared" si="93"/>
        <v>15.080757119999998</v>
      </c>
      <c r="U309" s="150">
        <f t="shared" si="94"/>
        <v>0</v>
      </c>
      <c r="V309" s="150">
        <f>IFERROR(INDEX(Työkonekanta!$J$3:$J$27,MATCH($A309,Työkonekanta!$A$3:$A$24,0),1)*$B309*ef_li_ion_akku/1000/1000/INDEX(Työkonekanta!$K$3:$K$27,MATCH($A309,Työkonekanta!$A$3:$A$24,0)),0)</f>
        <v>0</v>
      </c>
      <c r="W309" s="149">
        <f t="shared" si="105"/>
        <v>11.308989290464803</v>
      </c>
      <c r="X309" s="150">
        <f t="shared" si="106"/>
        <v>0.34952022600000004</v>
      </c>
      <c r="Y309" s="151">
        <f t="shared" si="107"/>
        <v>0</v>
      </c>
      <c r="Z309" s="152">
        <f t="shared" si="99"/>
        <v>17.976637799999999</v>
      </c>
      <c r="AA309" s="153">
        <f t="shared" si="100"/>
        <v>11.308989290464803</v>
      </c>
      <c r="AB309" s="153">
        <f t="shared" si="101"/>
        <v>11.658509516464802</v>
      </c>
      <c r="AC309" s="154">
        <f t="shared" si="108"/>
        <v>29.2856270904648</v>
      </c>
      <c r="AD309" s="180">
        <f t="shared" si="102"/>
        <v>29.635147316464803</v>
      </c>
      <c r="AE309" s="160"/>
    </row>
    <row r="310" spans="1:31">
      <c r="A310" s="139">
        <v>8</v>
      </c>
      <c r="B310" s="139">
        <f>IFERROR(INDEX(Työkonekanta!$F$3:$F$27,MATCH('S2 Bio'!$A310,Työkonekanta!$A$3:$A$24,0),1),0)</f>
        <v>1</v>
      </c>
      <c r="C310" s="140">
        <v>2029</v>
      </c>
      <c r="D310" s="141" t="str">
        <f>IFERROR(INDEX(Työkonekanta!$D$3:$D$27,MATCH('S2 Bio'!$A310,Työkonekanta!$A$3:$A$24,0),1),"undefined")</f>
        <v>pom</v>
      </c>
      <c r="E310" s="145">
        <f>IFERROR(INDEX(Työkonekanta!$G$3:$G$27,MATCH($A310,Työkonekanta!$A$3:$A$24,0),1)*INDEX(Työkonekanta!$H$3:$H$27,MATCH($A310,Työkonekanta!$A$3:$A$24,0),1)*(1+_xlfn.SINGLE(s2_kerroin)*($C310-2019))*$B310,0)</f>
        <v>11000</v>
      </c>
      <c r="F310" s="145">
        <f t="shared" si="89"/>
        <v>394900</v>
      </c>
      <c r="G310" s="145">
        <f t="shared" si="95"/>
        <v>153221.20000000001</v>
      </c>
      <c r="H310" s="145">
        <f t="shared" si="96"/>
        <v>241678.8</v>
      </c>
      <c r="I310" s="145">
        <f t="shared" si="90"/>
        <v>4268.0000000000009</v>
      </c>
      <c r="J310" s="145">
        <f t="shared" si="91"/>
        <v>7046.0291545189502</v>
      </c>
      <c r="K310" s="142" t="str">
        <f t="shared" si="97"/>
        <v>l</v>
      </c>
      <c r="L310" s="146">
        <f>IFERROR(INDEX(Työkonekanta!$I$3:$I$27,MATCH('S2 Bio'!$A310,Työkonekanta!$A$3:$A$24,0),1)*(I310+J310)*f_adblue,0)</f>
        <v>565.70145772594753</v>
      </c>
      <c r="M310" s="146">
        <f t="shared" si="104"/>
        <v>0</v>
      </c>
      <c r="N310" s="143" t="str">
        <f>IF(tuulisähkö_vuosi&lt;='S2 Bio'!C310,"tuulisähkö",ostosähkö_nyt)</f>
        <v>jäännössähkö</v>
      </c>
      <c r="O310" s="147">
        <f>INDEX(Muuttujat!$J$5:$J$21,MATCH($C310,Muuttujat!$H$5:$H$21,0),1)</f>
        <v>62.625946521929137</v>
      </c>
      <c r="P310" s="148">
        <f t="shared" si="98"/>
        <v>0.38800000000000001</v>
      </c>
      <c r="Q310" s="148">
        <f t="shared" si="110"/>
        <v>0.61199999999999999</v>
      </c>
      <c r="R310" s="148">
        <f t="shared" si="110"/>
        <v>0.61199999999999999</v>
      </c>
      <c r="S310" s="149">
        <f t="shared" si="92"/>
        <v>2.8958806800000003</v>
      </c>
      <c r="T310" s="150">
        <f t="shared" si="93"/>
        <v>15.080757119999998</v>
      </c>
      <c r="U310" s="150">
        <f t="shared" si="94"/>
        <v>0</v>
      </c>
      <c r="V310" s="150">
        <f>IFERROR(INDEX(Työkonekanta!$J$3:$J$27,MATCH($A310,Työkonekanta!$A$3:$A$24,0),1)*$B310*ef_li_ion_akku/1000/1000/INDEX(Työkonekanta!$K$3:$K$27,MATCH($A310,Työkonekanta!$A$3:$A$24,0)),0)</f>
        <v>0</v>
      </c>
      <c r="W310" s="149">
        <f t="shared" si="105"/>
        <v>11.308989290464803</v>
      </c>
      <c r="X310" s="150">
        <f t="shared" si="106"/>
        <v>0.34952022600000004</v>
      </c>
      <c r="Y310" s="151">
        <f t="shared" si="107"/>
        <v>0.14708237900874635</v>
      </c>
      <c r="Z310" s="152">
        <f t="shared" si="99"/>
        <v>17.976637799999999</v>
      </c>
      <c r="AA310" s="153">
        <f t="shared" si="100"/>
        <v>11.45607166947355</v>
      </c>
      <c r="AB310" s="153">
        <f t="shared" si="101"/>
        <v>11.805591895473549</v>
      </c>
      <c r="AC310" s="154">
        <f t="shared" si="108"/>
        <v>29.432709469473551</v>
      </c>
      <c r="AD310" s="180">
        <f t="shared" si="102"/>
        <v>29.782229695473546</v>
      </c>
      <c r="AE310" s="160"/>
    </row>
    <row r="311" spans="1:31">
      <c r="A311" s="139">
        <v>9</v>
      </c>
      <c r="B311" s="139">
        <f>IFERROR(INDEX(Työkonekanta!$F$3:$F$27,MATCH('S2 Bio'!$A311,Työkonekanta!$A$3:$A$24,0),1),0)</f>
        <v>0</v>
      </c>
      <c r="C311" s="140">
        <v>2029</v>
      </c>
      <c r="D311" s="141" t="str">
        <f>IFERROR(INDEX(Työkonekanta!$D$3:$D$27,MATCH('S2 Bio'!$A311,Työkonekanta!$A$3:$A$24,0),1),"undefined")</f>
        <v>sähkö</v>
      </c>
      <c r="E311" s="145">
        <f>IFERROR(INDEX(Työkonekanta!$G$3:$G$27,MATCH($A311,Työkonekanta!$A$3:$A$24,0),1)*INDEX(Työkonekanta!$H$3:$H$27,MATCH($A311,Työkonekanta!$A$3:$A$24,0),1)*(1+_xlfn.SINGLE(s2_kerroin)*($C311-2019))*$B311,0)</f>
        <v>0</v>
      </c>
      <c r="F311" s="145">
        <f t="shared" si="89"/>
        <v>0</v>
      </c>
      <c r="G311" s="145">
        <f t="shared" si="95"/>
        <v>0</v>
      </c>
      <c r="H311" s="145">
        <f t="shared" si="96"/>
        <v>0</v>
      </c>
      <c r="I311" s="145">
        <f t="shared" si="90"/>
        <v>0</v>
      </c>
      <c r="J311" s="145">
        <f t="shared" si="91"/>
        <v>0</v>
      </c>
      <c r="K311" s="142" t="str">
        <f t="shared" si="97"/>
        <v>kWh</v>
      </c>
      <c r="L311" s="146">
        <f>IFERROR(INDEX(Työkonekanta!$I$3:$I$27,MATCH('S2 Bio'!$A311,Työkonekanta!$A$3:$A$24,0),1)*(I311+J311)*f_adblue,0)</f>
        <v>0</v>
      </c>
      <c r="M311" s="146">
        <f t="shared" si="104"/>
        <v>0</v>
      </c>
      <c r="N311" s="143" t="str">
        <f>IF(tuulisähkö_vuosi&lt;='S2 Bio'!C311,"tuulisähkö",ostosähkö_nyt)</f>
        <v>jäännössähkö</v>
      </c>
      <c r="O311" s="147">
        <f>INDEX(Muuttujat!$J$5:$J$21,MATCH($C311,Muuttujat!$H$5:$H$21,0),1)</f>
        <v>62.625946521929137</v>
      </c>
      <c r="P311" s="148">
        <f t="shared" si="98"/>
        <v>0.38800000000000001</v>
      </c>
      <c r="Q311" s="148">
        <f t="shared" si="110"/>
        <v>0.61199999999999999</v>
      </c>
      <c r="R311" s="148">
        <f t="shared" si="110"/>
        <v>0.61199999999999999</v>
      </c>
      <c r="S311" s="149">
        <f t="shared" si="92"/>
        <v>0</v>
      </c>
      <c r="T311" s="150">
        <f t="shared" si="93"/>
        <v>0</v>
      </c>
      <c r="U311" s="150">
        <f t="shared" si="94"/>
        <v>0</v>
      </c>
      <c r="V311" s="150">
        <f>IFERROR(INDEX(Työkonekanta!$J$3:$J$27,MATCH($A311,Työkonekanta!$A$3:$A$24,0),1)*$B311*ef_li_ion_akku/1000/1000/INDEX(Työkonekanta!$K$3:$K$27,MATCH($A311,Työkonekanta!$A$3:$A$24,0)),0)</f>
        <v>0</v>
      </c>
      <c r="W311" s="149">
        <f t="shared" si="105"/>
        <v>0</v>
      </c>
      <c r="X311" s="150">
        <f t="shared" si="106"/>
        <v>0</v>
      </c>
      <c r="Y311" s="151">
        <f t="shared" si="107"/>
        <v>0</v>
      </c>
      <c r="Z311" s="152">
        <f t="shared" si="99"/>
        <v>0</v>
      </c>
      <c r="AA311" s="153">
        <f t="shared" si="100"/>
        <v>0</v>
      </c>
      <c r="AB311" s="153">
        <f t="shared" si="101"/>
        <v>0</v>
      </c>
      <c r="AC311" s="154">
        <f t="shared" si="108"/>
        <v>0</v>
      </c>
      <c r="AD311" s="180">
        <f t="shared" si="102"/>
        <v>0</v>
      </c>
      <c r="AE311" s="160"/>
    </row>
    <row r="312" spans="1:31">
      <c r="A312" s="139">
        <v>10</v>
      </c>
      <c r="B312" s="139">
        <f>IFERROR(INDEX(Työkonekanta!$F$3:$F$27,MATCH('S2 Bio'!$A312,Työkonekanta!$A$3:$A$24,0),1),0)</f>
        <v>0</v>
      </c>
      <c r="C312" s="140">
        <v>2029</v>
      </c>
      <c r="D312" s="141" t="str">
        <f>IFERROR(INDEX(Työkonekanta!$D$3:$D$27,MATCH('S2 Bio'!$A312,Työkonekanta!$A$3:$A$24,0),1),"undefined")</f>
        <v>sähkö</v>
      </c>
      <c r="E312" s="145">
        <f>IFERROR(INDEX(Työkonekanta!$G$3:$G$27,MATCH($A312,Työkonekanta!$A$3:$A$24,0),1)*INDEX(Työkonekanta!$H$3:$H$27,MATCH($A312,Työkonekanta!$A$3:$A$24,0),1)*(1+_xlfn.SINGLE(s2_kerroin)*($C312-2019))*$B312,0)</f>
        <v>0</v>
      </c>
      <c r="F312" s="145">
        <f t="shared" si="89"/>
        <v>0</v>
      </c>
      <c r="G312" s="145">
        <f t="shared" si="95"/>
        <v>0</v>
      </c>
      <c r="H312" s="145">
        <f t="shared" si="96"/>
        <v>0</v>
      </c>
      <c r="I312" s="145">
        <f t="shared" si="90"/>
        <v>0</v>
      </c>
      <c r="J312" s="145">
        <f t="shared" si="91"/>
        <v>0</v>
      </c>
      <c r="K312" s="142" t="str">
        <f t="shared" si="97"/>
        <v>kWh</v>
      </c>
      <c r="L312" s="146">
        <f>IFERROR(INDEX(Työkonekanta!$I$3:$I$27,MATCH('S2 Bio'!$A312,Työkonekanta!$A$3:$A$24,0),1)*(I312+J312)*f_adblue,0)</f>
        <v>0</v>
      </c>
      <c r="M312" s="146">
        <f t="shared" si="104"/>
        <v>0</v>
      </c>
      <c r="N312" s="143" t="str">
        <f>IF(tuulisähkö_vuosi&lt;='S2 Bio'!C312,"tuulisähkö",ostosähkö_nyt)</f>
        <v>jäännössähkö</v>
      </c>
      <c r="O312" s="147">
        <f>INDEX(Muuttujat!$J$5:$J$21,MATCH($C312,Muuttujat!$H$5:$H$21,0),1)</f>
        <v>62.625946521929137</v>
      </c>
      <c r="P312" s="148">
        <f t="shared" si="98"/>
        <v>0.38800000000000001</v>
      </c>
      <c r="Q312" s="148">
        <f t="shared" si="110"/>
        <v>0.61199999999999999</v>
      </c>
      <c r="R312" s="148">
        <f t="shared" si="110"/>
        <v>0.61199999999999999</v>
      </c>
      <c r="S312" s="149">
        <f t="shared" si="92"/>
        <v>0</v>
      </c>
      <c r="T312" s="150">
        <f t="shared" si="93"/>
        <v>0</v>
      </c>
      <c r="U312" s="150">
        <f t="shared" si="94"/>
        <v>0</v>
      </c>
      <c r="V312" s="150">
        <f>IFERROR(INDEX(Työkonekanta!$J$3:$J$27,MATCH($A312,Työkonekanta!$A$3:$A$24,0),1)*$B312*ef_li_ion_akku/1000/1000/INDEX(Työkonekanta!$K$3:$K$27,MATCH($A312,Työkonekanta!$A$3:$A$24,0)),0)</f>
        <v>0</v>
      </c>
      <c r="W312" s="149">
        <f t="shared" si="105"/>
        <v>0</v>
      </c>
      <c r="X312" s="150">
        <f t="shared" si="106"/>
        <v>0</v>
      </c>
      <c r="Y312" s="151">
        <f t="shared" si="107"/>
        <v>0</v>
      </c>
      <c r="Z312" s="152">
        <f t="shared" si="99"/>
        <v>0</v>
      </c>
      <c r="AA312" s="153">
        <f t="shared" si="100"/>
        <v>0</v>
      </c>
      <c r="AB312" s="153">
        <f t="shared" si="101"/>
        <v>0</v>
      </c>
      <c r="AC312" s="154">
        <f t="shared" si="108"/>
        <v>0</v>
      </c>
      <c r="AD312" s="180">
        <f t="shared" si="102"/>
        <v>0</v>
      </c>
      <c r="AE312" s="160"/>
    </row>
    <row r="313" spans="1:31">
      <c r="A313" s="139">
        <v>11</v>
      </c>
      <c r="B313" s="139">
        <f>IFERROR(INDEX(Työkonekanta!$F$3:$F$27,MATCH('S2 Bio'!$A313,Työkonekanta!$A$3:$A$24,0),1),0)</f>
        <v>1</v>
      </c>
      <c r="C313" s="140">
        <v>2029</v>
      </c>
      <c r="D313" s="141" t="str">
        <f>IFERROR(INDEX(Työkonekanta!$D$3:$D$27,MATCH('S2 Bio'!$A313,Työkonekanta!$A$3:$A$24,0),1),"undefined")</f>
        <v>pom</v>
      </c>
      <c r="E313" s="145">
        <f>IFERROR(INDEX(Työkonekanta!$G$3:$G$27,MATCH($A313,Työkonekanta!$A$3:$A$24,0),1)*INDEX(Työkonekanta!$H$3:$H$27,MATCH($A313,Työkonekanta!$A$3:$A$24,0),1)*(1+_xlfn.SINGLE(s2_kerroin)*($C313-2019))*$B313,0)</f>
        <v>11000</v>
      </c>
      <c r="F313" s="145">
        <f t="shared" si="89"/>
        <v>394900</v>
      </c>
      <c r="G313" s="145">
        <f t="shared" si="95"/>
        <v>153221.20000000001</v>
      </c>
      <c r="H313" s="145">
        <f t="shared" si="96"/>
        <v>241678.8</v>
      </c>
      <c r="I313" s="145">
        <f t="shared" si="90"/>
        <v>4268.0000000000009</v>
      </c>
      <c r="J313" s="145">
        <f t="shared" si="91"/>
        <v>7046.0291545189502</v>
      </c>
      <c r="K313" s="142" t="str">
        <f t="shared" si="97"/>
        <v>l</v>
      </c>
      <c r="L313" s="146">
        <f>IFERROR(INDEX(Työkonekanta!$I$3:$I$27,MATCH('S2 Bio'!$A313,Työkonekanta!$A$3:$A$24,0),1)*(I313+J313)*f_adblue,0)</f>
        <v>565.70145772594753</v>
      </c>
      <c r="M313" s="146">
        <f t="shared" si="104"/>
        <v>0</v>
      </c>
      <c r="N313" s="143" t="str">
        <f>IF(tuulisähkö_vuosi&lt;='S2 Bio'!C313,"tuulisähkö",ostosähkö_nyt)</f>
        <v>jäännössähkö</v>
      </c>
      <c r="O313" s="147">
        <f>INDEX(Muuttujat!$J$5:$J$21,MATCH($C313,Muuttujat!$H$5:$H$21,0),1)</f>
        <v>62.625946521929137</v>
      </c>
      <c r="P313" s="148">
        <f t="shared" si="98"/>
        <v>0.38800000000000001</v>
      </c>
      <c r="Q313" s="148">
        <f t="shared" si="110"/>
        <v>0.61199999999999999</v>
      </c>
      <c r="R313" s="148">
        <f t="shared" si="110"/>
        <v>0.61199999999999999</v>
      </c>
      <c r="S313" s="149">
        <f t="shared" si="92"/>
        <v>2.8958806800000003</v>
      </c>
      <c r="T313" s="150">
        <f t="shared" si="93"/>
        <v>15.080757119999998</v>
      </c>
      <c r="U313" s="150">
        <f t="shared" si="94"/>
        <v>0</v>
      </c>
      <c r="V313" s="150">
        <f>IFERROR(INDEX(Työkonekanta!$J$3:$J$27,MATCH($A313,Työkonekanta!$A$3:$A$24,0),1)*$B313*ef_li_ion_akku/1000/1000/INDEX(Työkonekanta!$K$3:$K$27,MATCH($A313,Työkonekanta!$A$3:$A$24,0)),0)</f>
        <v>0</v>
      </c>
      <c r="W313" s="149">
        <f t="shared" si="105"/>
        <v>11.308989290464803</v>
      </c>
      <c r="X313" s="150">
        <f t="shared" si="106"/>
        <v>0.34952022600000004</v>
      </c>
      <c r="Y313" s="151">
        <f t="shared" si="107"/>
        <v>0.14708237900874635</v>
      </c>
      <c r="Z313" s="152">
        <f t="shared" si="99"/>
        <v>17.976637799999999</v>
      </c>
      <c r="AA313" s="153">
        <f t="shared" si="100"/>
        <v>11.45607166947355</v>
      </c>
      <c r="AB313" s="153">
        <f t="shared" si="101"/>
        <v>11.805591895473549</v>
      </c>
      <c r="AC313" s="154">
        <f t="shared" si="108"/>
        <v>29.432709469473551</v>
      </c>
      <c r="AD313" s="180">
        <f t="shared" si="102"/>
        <v>29.782229695473546</v>
      </c>
      <c r="AE313" s="160"/>
    </row>
    <row r="314" spans="1:31">
      <c r="A314" s="139">
        <v>12</v>
      </c>
      <c r="B314" s="139">
        <f>IFERROR(INDEX(Työkonekanta!$F$3:$F$27,MATCH('S2 Bio'!$A314,Työkonekanta!$A$3:$A$24,0),1),0)</f>
        <v>1</v>
      </c>
      <c r="C314" s="140">
        <v>2029</v>
      </c>
      <c r="D314" s="141" t="str">
        <f>IFERROR(INDEX(Työkonekanta!$D$3:$D$27,MATCH('S2 Bio'!$A314,Työkonekanta!$A$3:$A$24,0),1),"undefined")</f>
        <v>pom</v>
      </c>
      <c r="E314" s="145">
        <f>IFERROR(INDEX(Työkonekanta!$G$3:$G$27,MATCH($A314,Työkonekanta!$A$3:$A$24,0),1)*INDEX(Työkonekanta!$H$3:$H$27,MATCH($A314,Työkonekanta!$A$3:$A$24,0),1)*(1+_xlfn.SINGLE(s2_kerroin)*($C314-2019))*$B314,0)</f>
        <v>11000</v>
      </c>
      <c r="F314" s="145">
        <f t="shared" si="89"/>
        <v>394900</v>
      </c>
      <c r="G314" s="145">
        <f t="shared" si="95"/>
        <v>153221.20000000001</v>
      </c>
      <c r="H314" s="145">
        <f t="shared" si="96"/>
        <v>241678.8</v>
      </c>
      <c r="I314" s="145">
        <f t="shared" si="90"/>
        <v>4268.0000000000009</v>
      </c>
      <c r="J314" s="145">
        <f t="shared" si="91"/>
        <v>7046.0291545189502</v>
      </c>
      <c r="K314" s="142" t="str">
        <f t="shared" si="97"/>
        <v>l</v>
      </c>
      <c r="L314" s="146">
        <f>IFERROR(INDEX(Työkonekanta!$I$3:$I$27,MATCH('S2 Bio'!$A314,Työkonekanta!$A$3:$A$24,0),1)*(I314+J314)*f_adblue,0)</f>
        <v>565.70145772594753</v>
      </c>
      <c r="M314" s="146">
        <f t="shared" si="104"/>
        <v>0</v>
      </c>
      <c r="N314" s="143" t="str">
        <f>IF(tuulisähkö_vuosi&lt;='S2 Bio'!C314,"tuulisähkö",ostosähkö_nyt)</f>
        <v>jäännössähkö</v>
      </c>
      <c r="O314" s="147">
        <f>INDEX(Muuttujat!$J$5:$J$21,MATCH($C314,Muuttujat!$H$5:$H$21,0),1)</f>
        <v>62.625946521929137</v>
      </c>
      <c r="P314" s="148">
        <f t="shared" si="98"/>
        <v>0.38800000000000001</v>
      </c>
      <c r="Q314" s="148">
        <f t="shared" si="110"/>
        <v>0.61199999999999999</v>
      </c>
      <c r="R314" s="148">
        <f t="shared" si="110"/>
        <v>0.61199999999999999</v>
      </c>
      <c r="S314" s="149">
        <f t="shared" si="92"/>
        <v>2.8958806800000003</v>
      </c>
      <c r="T314" s="150">
        <f t="shared" si="93"/>
        <v>15.080757119999998</v>
      </c>
      <c r="U314" s="150">
        <f t="shared" si="94"/>
        <v>0</v>
      </c>
      <c r="V314" s="150">
        <f>IFERROR(INDEX(Työkonekanta!$J$3:$J$27,MATCH($A314,Työkonekanta!$A$3:$A$24,0),1)*$B314*ef_li_ion_akku/1000/1000/INDEX(Työkonekanta!$K$3:$K$27,MATCH($A314,Työkonekanta!$A$3:$A$24,0)),0)</f>
        <v>0</v>
      </c>
      <c r="W314" s="149">
        <f t="shared" si="105"/>
        <v>11.308989290464803</v>
      </c>
      <c r="X314" s="150">
        <f t="shared" si="106"/>
        <v>0.34952022600000004</v>
      </c>
      <c r="Y314" s="151">
        <f t="shared" si="107"/>
        <v>0.14708237900874635</v>
      </c>
      <c r="Z314" s="152">
        <f t="shared" si="99"/>
        <v>17.976637799999999</v>
      </c>
      <c r="AA314" s="153">
        <f t="shared" si="100"/>
        <v>11.45607166947355</v>
      </c>
      <c r="AB314" s="153">
        <f t="shared" si="101"/>
        <v>11.805591895473549</v>
      </c>
      <c r="AC314" s="154">
        <f t="shared" si="108"/>
        <v>29.432709469473551</v>
      </c>
      <c r="AD314" s="180">
        <f t="shared" si="102"/>
        <v>29.782229695473546</v>
      </c>
      <c r="AE314" s="160"/>
    </row>
    <row r="315" spans="1:31">
      <c r="A315" s="139">
        <v>13</v>
      </c>
      <c r="B315" s="139">
        <f>IFERROR(INDEX(Työkonekanta!$F$3:$F$27,MATCH('S2 Bio'!$A315,Työkonekanta!$A$3:$A$24,0),1),0)</f>
        <v>0</v>
      </c>
      <c r="C315" s="140">
        <v>2029</v>
      </c>
      <c r="D315" s="141" t="str">
        <f>IFERROR(INDEX(Työkonekanta!$D$3:$D$27,MATCH('S2 Bio'!$A315,Työkonekanta!$A$3:$A$24,0),1),"undefined")</f>
        <v>pom</v>
      </c>
      <c r="E315" s="145">
        <f>IFERROR(INDEX(Työkonekanta!$G$3:$G$27,MATCH($A315,Työkonekanta!$A$3:$A$24,0),1)*INDEX(Työkonekanta!$H$3:$H$27,MATCH($A315,Työkonekanta!$A$3:$A$24,0),1)*(1+_xlfn.SINGLE(s2_kerroin)*($C315-2019))*$B315,0)</f>
        <v>0</v>
      </c>
      <c r="F315" s="145">
        <f t="shared" si="89"/>
        <v>0</v>
      </c>
      <c r="G315" s="145">
        <f t="shared" si="95"/>
        <v>0</v>
      </c>
      <c r="H315" s="145">
        <f t="shared" si="96"/>
        <v>0</v>
      </c>
      <c r="I315" s="145">
        <f t="shared" si="90"/>
        <v>0</v>
      </c>
      <c r="J315" s="145">
        <f t="shared" si="91"/>
        <v>0</v>
      </c>
      <c r="K315" s="142" t="str">
        <f t="shared" si="97"/>
        <v>l</v>
      </c>
      <c r="L315" s="146">
        <f>IFERROR(INDEX(Työkonekanta!$I$3:$I$27,MATCH('S2 Bio'!$A315,Työkonekanta!$A$3:$A$24,0),1)*(I315+J315)*f_adblue,0)</f>
        <v>0</v>
      </c>
      <c r="M315" s="146">
        <f t="shared" si="104"/>
        <v>0</v>
      </c>
      <c r="N315" s="143" t="str">
        <f>IF(tuulisähkö_vuosi&lt;='S2 Bio'!C315,"tuulisähkö",ostosähkö_nyt)</f>
        <v>jäännössähkö</v>
      </c>
      <c r="O315" s="147">
        <f>INDEX(Muuttujat!$J$5:$J$21,MATCH($C315,Muuttujat!$H$5:$H$21,0),1)</f>
        <v>62.625946521929137</v>
      </c>
      <c r="P315" s="148">
        <f t="shared" si="98"/>
        <v>0.38800000000000001</v>
      </c>
      <c r="Q315" s="148">
        <f t="shared" si="110"/>
        <v>0.61199999999999999</v>
      </c>
      <c r="R315" s="148">
        <f t="shared" si="110"/>
        <v>0.61199999999999999</v>
      </c>
      <c r="S315" s="149">
        <f t="shared" si="92"/>
        <v>0</v>
      </c>
      <c r="T315" s="150">
        <f t="shared" si="93"/>
        <v>0</v>
      </c>
      <c r="U315" s="150">
        <f t="shared" si="94"/>
        <v>0</v>
      </c>
      <c r="V315" s="150">
        <f>IFERROR(INDEX(Työkonekanta!$J$3:$J$27,MATCH($A315,Työkonekanta!$A$3:$A$24,0),1)*$B315*ef_li_ion_akku/1000/1000/INDEX(Työkonekanta!$K$3:$K$27,MATCH($A315,Työkonekanta!$A$3:$A$24,0)),0)</f>
        <v>0</v>
      </c>
      <c r="W315" s="149">
        <f t="shared" si="105"/>
        <v>0</v>
      </c>
      <c r="X315" s="150">
        <f t="shared" si="106"/>
        <v>0</v>
      </c>
      <c r="Y315" s="151">
        <f t="shared" si="107"/>
        <v>0</v>
      </c>
      <c r="Z315" s="152">
        <f t="shared" si="99"/>
        <v>0</v>
      </c>
      <c r="AA315" s="153">
        <f t="shared" si="100"/>
        <v>0</v>
      </c>
      <c r="AB315" s="153">
        <f t="shared" si="101"/>
        <v>0</v>
      </c>
      <c r="AC315" s="154">
        <f t="shared" si="108"/>
        <v>0</v>
      </c>
      <c r="AD315" s="180">
        <f t="shared" si="102"/>
        <v>0</v>
      </c>
      <c r="AE315" s="160"/>
    </row>
    <row r="316" spans="1:31">
      <c r="A316" s="139">
        <v>14</v>
      </c>
      <c r="B316" s="139">
        <f>IFERROR(INDEX(Työkonekanta!$F$3:$F$27,MATCH('S2 Bio'!$A316,Työkonekanta!$A$3:$A$24,0),1),0)</f>
        <v>0</v>
      </c>
      <c r="C316" s="140">
        <v>2029</v>
      </c>
      <c r="D316" s="141" t="str">
        <f>IFERROR(INDEX(Työkonekanta!$D$3:$D$27,MATCH('S2 Bio'!$A316,Työkonekanta!$A$3:$A$24,0),1),"undefined")</f>
        <v>pom</v>
      </c>
      <c r="E316" s="145">
        <f>IFERROR(INDEX(Työkonekanta!$G$3:$G$27,MATCH($A316,Työkonekanta!$A$3:$A$24,0),1)*INDEX(Työkonekanta!$H$3:$H$27,MATCH($A316,Työkonekanta!$A$3:$A$24,0),1)*(1+_xlfn.SINGLE(s2_kerroin)*($C316-2019))*$B316,0)</f>
        <v>0</v>
      </c>
      <c r="F316" s="145">
        <f t="shared" si="89"/>
        <v>0</v>
      </c>
      <c r="G316" s="145">
        <f t="shared" si="95"/>
        <v>0</v>
      </c>
      <c r="H316" s="145">
        <f t="shared" si="96"/>
        <v>0</v>
      </c>
      <c r="I316" s="145">
        <f t="shared" si="90"/>
        <v>0</v>
      </c>
      <c r="J316" s="145">
        <f t="shared" si="91"/>
        <v>0</v>
      </c>
      <c r="K316" s="142" t="str">
        <f t="shared" si="97"/>
        <v>l</v>
      </c>
      <c r="L316" s="146">
        <f>IFERROR(INDEX(Työkonekanta!$I$3:$I$27,MATCH('S2 Bio'!$A316,Työkonekanta!$A$3:$A$24,0),1)*(I316+J316)*f_adblue,0)</f>
        <v>0</v>
      </c>
      <c r="M316" s="146">
        <f t="shared" si="104"/>
        <v>0</v>
      </c>
      <c r="N316" s="143" t="str">
        <f>IF(tuulisähkö_vuosi&lt;='S2 Bio'!C316,"tuulisähkö",ostosähkö_nyt)</f>
        <v>jäännössähkö</v>
      </c>
      <c r="O316" s="147">
        <f>INDEX(Muuttujat!$J$5:$J$21,MATCH($C316,Muuttujat!$H$5:$H$21,0),1)</f>
        <v>62.625946521929137</v>
      </c>
      <c r="P316" s="148">
        <f t="shared" si="98"/>
        <v>0.38800000000000001</v>
      </c>
      <c r="Q316" s="148">
        <f t="shared" si="110"/>
        <v>0.61199999999999999</v>
      </c>
      <c r="R316" s="148">
        <f t="shared" si="110"/>
        <v>0.61199999999999999</v>
      </c>
      <c r="S316" s="149">
        <f t="shared" si="92"/>
        <v>0</v>
      </c>
      <c r="T316" s="150">
        <f t="shared" si="93"/>
        <v>0</v>
      </c>
      <c r="U316" s="150">
        <f t="shared" si="94"/>
        <v>0</v>
      </c>
      <c r="V316" s="150">
        <f>IFERROR(INDEX(Työkonekanta!$J$3:$J$27,MATCH($A316,Työkonekanta!$A$3:$A$24,0),1)*$B316*ef_li_ion_akku/1000/1000/INDEX(Työkonekanta!$K$3:$K$27,MATCH($A316,Työkonekanta!$A$3:$A$24,0)),0)</f>
        <v>0</v>
      </c>
      <c r="W316" s="149">
        <f t="shared" si="105"/>
        <v>0</v>
      </c>
      <c r="X316" s="150">
        <f t="shared" si="106"/>
        <v>0</v>
      </c>
      <c r="Y316" s="151">
        <f t="shared" si="107"/>
        <v>0</v>
      </c>
      <c r="Z316" s="152">
        <f t="shared" si="99"/>
        <v>0</v>
      </c>
      <c r="AA316" s="153">
        <f t="shared" si="100"/>
        <v>0</v>
      </c>
      <c r="AB316" s="153">
        <f t="shared" si="101"/>
        <v>0</v>
      </c>
      <c r="AC316" s="154">
        <f t="shared" si="108"/>
        <v>0</v>
      </c>
      <c r="AD316" s="180">
        <f t="shared" si="102"/>
        <v>0</v>
      </c>
      <c r="AE316" s="160"/>
    </row>
    <row r="317" spans="1:31">
      <c r="A317" s="139">
        <v>15</v>
      </c>
      <c r="B317" s="139">
        <f>IFERROR(INDEX(Työkonekanta!$F$3:$F$27,MATCH('S2 Bio'!$A317,Työkonekanta!$A$3:$A$24,0),1),0)</f>
        <v>0</v>
      </c>
      <c r="C317" s="140">
        <v>2029</v>
      </c>
      <c r="D317" s="141" t="str">
        <f>IFERROR(INDEX(Työkonekanta!$D$3:$D$27,MATCH('S2 Bio'!$A317,Työkonekanta!$A$3:$A$24,0),1),"undefined")</f>
        <v>sähkö</v>
      </c>
      <c r="E317" s="145">
        <f>IFERROR(INDEX(Työkonekanta!$G$3:$G$27,MATCH($A317,Työkonekanta!$A$3:$A$24,0),1)*INDEX(Työkonekanta!$H$3:$H$27,MATCH($A317,Työkonekanta!$A$3:$A$24,0),1)*(1+_xlfn.SINGLE(s2_kerroin)*($C317-2019))*$B317,0)</f>
        <v>0</v>
      </c>
      <c r="F317" s="145">
        <f t="shared" si="89"/>
        <v>0</v>
      </c>
      <c r="G317" s="145">
        <f t="shared" si="95"/>
        <v>0</v>
      </c>
      <c r="H317" s="145">
        <f t="shared" si="96"/>
        <v>0</v>
      </c>
      <c r="I317" s="145">
        <f t="shared" si="90"/>
        <v>0</v>
      </c>
      <c r="J317" s="145">
        <f t="shared" si="91"/>
        <v>0</v>
      </c>
      <c r="K317" s="142" t="str">
        <f t="shared" si="97"/>
        <v>kWh</v>
      </c>
      <c r="L317" s="146">
        <f>IFERROR(INDEX(Työkonekanta!$I$3:$I$27,MATCH('S2 Bio'!$A317,Työkonekanta!$A$3:$A$24,0),1)*(I317+J317)*f_adblue,0)</f>
        <v>0</v>
      </c>
      <c r="M317" s="146">
        <f t="shared" si="104"/>
        <v>0</v>
      </c>
      <c r="N317" s="143" t="str">
        <f>IF(tuulisähkö_vuosi&lt;='S2 Bio'!C317,"tuulisähkö",ostosähkö_nyt)</f>
        <v>jäännössähkö</v>
      </c>
      <c r="O317" s="147">
        <f>INDEX(Muuttujat!$J$5:$J$21,MATCH($C317,Muuttujat!$H$5:$H$21,0),1)</f>
        <v>62.625946521929137</v>
      </c>
      <c r="P317" s="148">
        <f t="shared" si="98"/>
        <v>0.38800000000000001</v>
      </c>
      <c r="Q317" s="148">
        <f t="shared" si="110"/>
        <v>0.61199999999999999</v>
      </c>
      <c r="R317" s="148">
        <f t="shared" si="110"/>
        <v>0.61199999999999999</v>
      </c>
      <c r="S317" s="149">
        <f t="shared" si="92"/>
        <v>0</v>
      </c>
      <c r="T317" s="150">
        <f t="shared" si="93"/>
        <v>0</v>
      </c>
      <c r="U317" s="150">
        <f t="shared" si="94"/>
        <v>0</v>
      </c>
      <c r="V317" s="150">
        <f>IFERROR(INDEX(Työkonekanta!$J$3:$J$27,MATCH($A317,Työkonekanta!$A$3:$A$24,0),1)*$B317*ef_li_ion_akku/1000/1000/INDEX(Työkonekanta!$K$3:$K$27,MATCH($A317,Työkonekanta!$A$3:$A$24,0)),0)</f>
        <v>0</v>
      </c>
      <c r="W317" s="149">
        <f t="shared" si="105"/>
        <v>0</v>
      </c>
      <c r="X317" s="150">
        <f t="shared" si="106"/>
        <v>0</v>
      </c>
      <c r="Y317" s="151">
        <f t="shared" si="107"/>
        <v>0</v>
      </c>
      <c r="Z317" s="152">
        <f t="shared" si="99"/>
        <v>0</v>
      </c>
      <c r="AA317" s="153">
        <f t="shared" si="100"/>
        <v>0</v>
      </c>
      <c r="AB317" s="153">
        <f t="shared" si="101"/>
        <v>0</v>
      </c>
      <c r="AC317" s="154">
        <f t="shared" si="108"/>
        <v>0</v>
      </c>
      <c r="AD317" s="180">
        <f t="shared" si="102"/>
        <v>0</v>
      </c>
      <c r="AE317" s="160"/>
    </row>
    <row r="318" spans="1:31">
      <c r="A318" s="139">
        <v>16</v>
      </c>
      <c r="B318" s="139">
        <f>IFERROR(INDEX(Työkonekanta!$F$3:$F$27,MATCH('S2 Bio'!$A318,Työkonekanta!$A$3:$A$24,0),1),0)</f>
        <v>0</v>
      </c>
      <c r="C318" s="140">
        <v>2029</v>
      </c>
      <c r="D318" s="141" t="str">
        <f>IFERROR(INDEX(Työkonekanta!$D$3:$D$27,MATCH('S2 Bio'!$A318,Työkonekanta!$A$3:$A$24,0),1),"undefined")</f>
        <v>sähkö</v>
      </c>
      <c r="E318" s="145">
        <f>IFERROR(INDEX(Työkonekanta!$G$3:$G$27,MATCH($A318,Työkonekanta!$A$3:$A$24,0),1)*INDEX(Työkonekanta!$H$3:$H$27,MATCH($A318,Työkonekanta!$A$3:$A$24,0),1)*(1+_xlfn.SINGLE(s2_kerroin)*($C318-2019))*$B318,0)</f>
        <v>0</v>
      </c>
      <c r="F318" s="145">
        <f t="shared" si="89"/>
        <v>0</v>
      </c>
      <c r="G318" s="145">
        <f t="shared" si="95"/>
        <v>0</v>
      </c>
      <c r="H318" s="145">
        <f t="shared" si="96"/>
        <v>0</v>
      </c>
      <c r="I318" s="145">
        <f t="shared" si="90"/>
        <v>0</v>
      </c>
      <c r="J318" s="145">
        <f t="shared" si="91"/>
        <v>0</v>
      </c>
      <c r="K318" s="142" t="str">
        <f t="shared" si="97"/>
        <v>kWh</v>
      </c>
      <c r="L318" s="146">
        <f>IFERROR(INDEX(Työkonekanta!$I$3:$I$27,MATCH('S2 Bio'!$A318,Työkonekanta!$A$3:$A$24,0),1)*(I318+J318)*f_adblue,0)</f>
        <v>0</v>
      </c>
      <c r="M318" s="146">
        <f t="shared" si="104"/>
        <v>0</v>
      </c>
      <c r="N318" s="143" t="str">
        <f>IF(tuulisähkö_vuosi&lt;='S2 Bio'!C318,"tuulisähkö",ostosähkö_nyt)</f>
        <v>jäännössähkö</v>
      </c>
      <c r="O318" s="147">
        <f>INDEX(Muuttujat!$J$5:$J$21,MATCH($C318,Muuttujat!$H$5:$H$21,0),1)</f>
        <v>62.625946521929137</v>
      </c>
      <c r="P318" s="148">
        <f t="shared" si="98"/>
        <v>0.38800000000000001</v>
      </c>
      <c r="Q318" s="148">
        <f t="shared" si="110"/>
        <v>0.61199999999999999</v>
      </c>
      <c r="R318" s="148">
        <f t="shared" si="110"/>
        <v>0.61199999999999999</v>
      </c>
      <c r="S318" s="149">
        <f t="shared" si="92"/>
        <v>0</v>
      </c>
      <c r="T318" s="150">
        <f t="shared" si="93"/>
        <v>0</v>
      </c>
      <c r="U318" s="150">
        <f t="shared" si="94"/>
        <v>0</v>
      </c>
      <c r="V318" s="150">
        <f>IFERROR(INDEX(Työkonekanta!$J$3:$J$27,MATCH($A318,Työkonekanta!$A$3:$A$24,0),1)*$B318*ef_li_ion_akku/1000/1000/INDEX(Työkonekanta!$K$3:$K$27,MATCH($A318,Työkonekanta!$A$3:$A$24,0)),0)</f>
        <v>0</v>
      </c>
      <c r="W318" s="149">
        <f t="shared" si="105"/>
        <v>0</v>
      </c>
      <c r="X318" s="150">
        <f t="shared" si="106"/>
        <v>0</v>
      </c>
      <c r="Y318" s="151">
        <f t="shared" si="107"/>
        <v>0</v>
      </c>
      <c r="Z318" s="152">
        <f t="shared" si="99"/>
        <v>0</v>
      </c>
      <c r="AA318" s="153">
        <f t="shared" si="100"/>
        <v>0</v>
      </c>
      <c r="AB318" s="153">
        <f t="shared" si="101"/>
        <v>0</v>
      </c>
      <c r="AC318" s="154">
        <f t="shared" si="108"/>
        <v>0</v>
      </c>
      <c r="AD318" s="180">
        <f t="shared" si="102"/>
        <v>0</v>
      </c>
      <c r="AE318" s="160"/>
    </row>
    <row r="319" spans="1:31">
      <c r="A319" s="139">
        <v>17</v>
      </c>
      <c r="B319" s="139">
        <f>IFERROR(INDEX(Työkonekanta!$F$3:$F$27,MATCH('S2 Bio'!$A319,Työkonekanta!$A$3:$A$24,0),1),0)</f>
        <v>1</v>
      </c>
      <c r="C319" s="140">
        <v>2029</v>
      </c>
      <c r="D319" s="141" t="str">
        <f>IFERROR(INDEX(Työkonekanta!$D$3:$D$27,MATCH('S2 Bio'!$A319,Työkonekanta!$A$3:$A$24,0),1),"undefined")</f>
        <v>pom</v>
      </c>
      <c r="E319" s="145">
        <f>IFERROR(INDEX(Työkonekanta!$G$3:$G$27,MATCH($A319,Työkonekanta!$A$3:$A$24,0),1)*INDEX(Työkonekanta!$H$3:$H$27,MATCH($A319,Työkonekanta!$A$3:$A$24,0),1)*(1+_xlfn.SINGLE(s2_kerroin)*($C319-2019))*$B319,0)</f>
        <v>11000</v>
      </c>
      <c r="F319" s="145">
        <f t="shared" si="89"/>
        <v>394900</v>
      </c>
      <c r="G319" s="145">
        <f t="shared" si="95"/>
        <v>153221.20000000001</v>
      </c>
      <c r="H319" s="145">
        <f t="shared" si="96"/>
        <v>241678.8</v>
      </c>
      <c r="I319" s="145">
        <f t="shared" si="90"/>
        <v>4268.0000000000009</v>
      </c>
      <c r="J319" s="145">
        <f t="shared" si="91"/>
        <v>7046.0291545189502</v>
      </c>
      <c r="K319" s="142" t="str">
        <f t="shared" si="97"/>
        <v>l</v>
      </c>
      <c r="L319" s="146">
        <f>IFERROR(INDEX(Työkonekanta!$I$3:$I$27,MATCH('S2 Bio'!$A319,Työkonekanta!$A$3:$A$24,0),1)*(I319+J319)*f_adblue,0)</f>
        <v>565.70145772594753</v>
      </c>
      <c r="M319" s="146">
        <f t="shared" si="104"/>
        <v>0</v>
      </c>
      <c r="N319" s="143" t="str">
        <f>IF(tuulisähkö_vuosi&lt;='S2 Bio'!C319,"tuulisähkö",ostosähkö_nyt)</f>
        <v>jäännössähkö</v>
      </c>
      <c r="O319" s="147">
        <f>INDEX(Muuttujat!$J$5:$J$21,MATCH($C319,Muuttujat!$H$5:$H$21,0),1)</f>
        <v>62.625946521929137</v>
      </c>
      <c r="P319" s="148">
        <f t="shared" si="98"/>
        <v>0.38800000000000001</v>
      </c>
      <c r="Q319" s="148">
        <f t="shared" si="110"/>
        <v>0.61199999999999999</v>
      </c>
      <c r="R319" s="148">
        <f t="shared" si="110"/>
        <v>0.61199999999999999</v>
      </c>
      <c r="S319" s="149">
        <f t="shared" si="92"/>
        <v>2.8958806800000003</v>
      </c>
      <c r="T319" s="150">
        <f t="shared" si="93"/>
        <v>15.080757119999998</v>
      </c>
      <c r="U319" s="150">
        <f t="shared" si="94"/>
        <v>0</v>
      </c>
      <c r="V319" s="150">
        <f>IFERROR(INDEX(Työkonekanta!$J$3:$J$27,MATCH($A319,Työkonekanta!$A$3:$A$24,0),1)*$B319*ef_li_ion_akku/1000/1000/INDEX(Työkonekanta!$K$3:$K$27,MATCH($A319,Työkonekanta!$A$3:$A$24,0)),0)</f>
        <v>0</v>
      </c>
      <c r="W319" s="149">
        <f t="shared" si="105"/>
        <v>11.308989290464803</v>
      </c>
      <c r="X319" s="150">
        <f t="shared" si="106"/>
        <v>0.34952022600000004</v>
      </c>
      <c r="Y319" s="151">
        <f t="shared" si="107"/>
        <v>0.14708237900874635</v>
      </c>
      <c r="Z319" s="152">
        <f t="shared" si="99"/>
        <v>17.976637799999999</v>
      </c>
      <c r="AA319" s="153">
        <f t="shared" si="100"/>
        <v>11.45607166947355</v>
      </c>
      <c r="AB319" s="153">
        <f t="shared" si="101"/>
        <v>11.805591895473549</v>
      </c>
      <c r="AC319" s="154">
        <f t="shared" si="108"/>
        <v>29.432709469473551</v>
      </c>
      <c r="AD319" s="180">
        <f t="shared" si="102"/>
        <v>29.782229695473546</v>
      </c>
      <c r="AE319" s="160"/>
    </row>
    <row r="320" spans="1:31">
      <c r="A320" s="139">
        <v>18</v>
      </c>
      <c r="B320" s="139">
        <f>IFERROR(INDEX(Työkonekanta!$F$3:$F$27,MATCH('S2 Bio'!$A320,Työkonekanta!$A$3:$A$24,0),1),0)</f>
        <v>1</v>
      </c>
      <c r="C320" s="140">
        <v>2029</v>
      </c>
      <c r="D320" s="141" t="str">
        <f>IFERROR(INDEX(Työkonekanta!$D$3:$D$27,MATCH('S2 Bio'!$A320,Työkonekanta!$A$3:$A$24,0),1),"undefined")</f>
        <v>pom</v>
      </c>
      <c r="E320" s="145">
        <f>IFERROR(INDEX(Työkonekanta!$G$3:$G$27,MATCH($A320,Työkonekanta!$A$3:$A$24,0),1)*INDEX(Työkonekanta!$H$3:$H$27,MATCH($A320,Työkonekanta!$A$3:$A$24,0),1)*(1+_xlfn.SINGLE(s2_kerroin)*($C320-2019))*$B320,0)</f>
        <v>11000</v>
      </c>
      <c r="F320" s="145">
        <f t="shared" si="89"/>
        <v>394900</v>
      </c>
      <c r="G320" s="145">
        <f t="shared" si="95"/>
        <v>153221.20000000001</v>
      </c>
      <c r="H320" s="145">
        <f t="shared" si="96"/>
        <v>241678.8</v>
      </c>
      <c r="I320" s="145">
        <f t="shared" si="90"/>
        <v>4268.0000000000009</v>
      </c>
      <c r="J320" s="145">
        <f t="shared" si="91"/>
        <v>7046.0291545189502</v>
      </c>
      <c r="K320" s="142" t="str">
        <f t="shared" si="97"/>
        <v>l</v>
      </c>
      <c r="L320" s="146">
        <f>IFERROR(INDEX(Työkonekanta!$I$3:$I$27,MATCH('S2 Bio'!$A320,Työkonekanta!$A$3:$A$24,0),1)*(I320+J320)*f_adblue,0)</f>
        <v>452.56116618075805</v>
      </c>
      <c r="M320" s="146">
        <f t="shared" si="104"/>
        <v>0</v>
      </c>
      <c r="N320" s="143" t="str">
        <f>IF(tuulisähkö_vuosi&lt;='S2 Bio'!C320,"tuulisähkö",ostosähkö_nyt)</f>
        <v>jäännössähkö</v>
      </c>
      <c r="O320" s="147">
        <f>INDEX(Muuttujat!$J$5:$J$21,MATCH($C320,Muuttujat!$H$5:$H$21,0),1)</f>
        <v>62.625946521929137</v>
      </c>
      <c r="P320" s="148">
        <f t="shared" si="98"/>
        <v>0.38800000000000001</v>
      </c>
      <c r="Q320" s="148">
        <f t="shared" si="110"/>
        <v>0.61199999999999999</v>
      </c>
      <c r="R320" s="148">
        <f t="shared" si="110"/>
        <v>0.61199999999999999</v>
      </c>
      <c r="S320" s="149">
        <f t="shared" si="92"/>
        <v>2.8958806800000003</v>
      </c>
      <c r="T320" s="150">
        <f t="shared" si="93"/>
        <v>15.080757119999998</v>
      </c>
      <c r="U320" s="150">
        <f t="shared" si="94"/>
        <v>0</v>
      </c>
      <c r="V320" s="150">
        <f>IFERROR(INDEX(Työkonekanta!$J$3:$J$27,MATCH($A320,Työkonekanta!$A$3:$A$24,0),1)*$B320*ef_li_ion_akku/1000/1000/INDEX(Työkonekanta!$K$3:$K$27,MATCH($A320,Työkonekanta!$A$3:$A$24,0)),0)</f>
        <v>0</v>
      </c>
      <c r="W320" s="149">
        <f t="shared" si="105"/>
        <v>11.308989290464803</v>
      </c>
      <c r="X320" s="150">
        <f t="shared" si="106"/>
        <v>0.34952022600000004</v>
      </c>
      <c r="Y320" s="151">
        <f t="shared" si="107"/>
        <v>0.1176659032069971</v>
      </c>
      <c r="Z320" s="152">
        <f t="shared" si="99"/>
        <v>17.976637799999999</v>
      </c>
      <c r="AA320" s="153">
        <f t="shared" si="100"/>
        <v>11.426655193671801</v>
      </c>
      <c r="AB320" s="153">
        <f t="shared" si="101"/>
        <v>11.7761754196718</v>
      </c>
      <c r="AC320" s="154">
        <f t="shared" si="108"/>
        <v>29.403292993671798</v>
      </c>
      <c r="AD320" s="180">
        <f t="shared" si="102"/>
        <v>29.7528132196718</v>
      </c>
      <c r="AE320" s="160"/>
    </row>
    <row r="321" spans="1:31">
      <c r="A321" s="139">
        <v>19</v>
      </c>
      <c r="B321" s="139">
        <f>IFERROR(INDEX(Työkonekanta!$F$3:$F$27,MATCH('S2 Bio'!$A321,Työkonekanta!$A$3:$A$24,0),1),0)</f>
        <v>0</v>
      </c>
      <c r="C321" s="140">
        <v>2029</v>
      </c>
      <c r="D321" s="141" t="str">
        <f>IFERROR(INDEX(Työkonekanta!$D$3:$D$27,MATCH('S2 Bio'!$A321,Työkonekanta!$A$3:$A$24,0),1),"undefined")</f>
        <v>pom</v>
      </c>
      <c r="E321" s="145">
        <f>IFERROR(INDEX(Työkonekanta!$G$3:$G$27,MATCH($A321,Työkonekanta!$A$3:$A$24,0),1)*INDEX(Työkonekanta!$H$3:$H$27,MATCH($A321,Työkonekanta!$A$3:$A$24,0),1)*(1+_xlfn.SINGLE(s2_kerroin)*($C321-2019))*$B321,0)</f>
        <v>0</v>
      </c>
      <c r="F321" s="145">
        <f t="shared" si="89"/>
        <v>0</v>
      </c>
      <c r="G321" s="145">
        <f t="shared" si="95"/>
        <v>0</v>
      </c>
      <c r="H321" s="145">
        <f t="shared" si="96"/>
        <v>0</v>
      </c>
      <c r="I321" s="145">
        <f t="shared" si="90"/>
        <v>0</v>
      </c>
      <c r="J321" s="145">
        <f t="shared" si="91"/>
        <v>0</v>
      </c>
      <c r="K321" s="142" t="str">
        <f t="shared" si="97"/>
        <v>l</v>
      </c>
      <c r="L321" s="146">
        <f>IFERROR(INDEX(Työkonekanta!$I$3:$I$27,MATCH('S2 Bio'!$A321,Työkonekanta!$A$3:$A$24,0),1)*(I321+J321)*f_adblue,0)</f>
        <v>0</v>
      </c>
      <c r="M321" s="146">
        <f t="shared" si="104"/>
        <v>0</v>
      </c>
      <c r="N321" s="143" t="str">
        <f>IF(tuulisähkö_vuosi&lt;='S2 Bio'!C321,"tuulisähkö",ostosähkö_nyt)</f>
        <v>jäännössähkö</v>
      </c>
      <c r="O321" s="147">
        <f>INDEX(Muuttujat!$J$5:$J$21,MATCH($C321,Muuttujat!$H$5:$H$21,0),1)</f>
        <v>62.625946521929137</v>
      </c>
      <c r="P321" s="148">
        <f t="shared" si="98"/>
        <v>0.38800000000000001</v>
      </c>
      <c r="Q321" s="148">
        <f t="shared" si="110"/>
        <v>0.61199999999999999</v>
      </c>
      <c r="R321" s="148">
        <f t="shared" si="110"/>
        <v>0.61199999999999999</v>
      </c>
      <c r="S321" s="149">
        <f t="shared" si="92"/>
        <v>0</v>
      </c>
      <c r="T321" s="150">
        <f t="shared" si="93"/>
        <v>0</v>
      </c>
      <c r="U321" s="150">
        <f t="shared" si="94"/>
        <v>0</v>
      </c>
      <c r="V321" s="150">
        <f>IFERROR(INDEX(Työkonekanta!$J$3:$J$27,MATCH($A321,Työkonekanta!$A$3:$A$24,0),1)*$B321*ef_li_ion_akku/1000/1000/INDEX(Työkonekanta!$K$3:$K$27,MATCH($A321,Työkonekanta!$A$3:$A$24,0)),0)</f>
        <v>0</v>
      </c>
      <c r="W321" s="149">
        <f t="shared" si="105"/>
        <v>0</v>
      </c>
      <c r="X321" s="150">
        <f t="shared" si="106"/>
        <v>0</v>
      </c>
      <c r="Y321" s="151">
        <f t="shared" si="107"/>
        <v>0</v>
      </c>
      <c r="Z321" s="152">
        <f t="shared" si="99"/>
        <v>0</v>
      </c>
      <c r="AA321" s="153">
        <f t="shared" si="100"/>
        <v>0</v>
      </c>
      <c r="AB321" s="153">
        <f t="shared" si="101"/>
        <v>0</v>
      </c>
      <c r="AC321" s="154">
        <f t="shared" si="108"/>
        <v>0</v>
      </c>
      <c r="AD321" s="180">
        <f t="shared" si="102"/>
        <v>0</v>
      </c>
      <c r="AE321" s="160"/>
    </row>
    <row r="322" spans="1:31">
      <c r="A322" s="139">
        <v>20</v>
      </c>
      <c r="B322" s="139">
        <f>IFERROR(INDEX(Työkonekanta!$F$3:$F$27,MATCH('S2 Bio'!$A322,Työkonekanta!$A$3:$A$24,0),1),0)</f>
        <v>0</v>
      </c>
      <c r="C322" s="140">
        <v>2029</v>
      </c>
      <c r="D322" s="141" t="str">
        <f>IFERROR(INDEX(Työkonekanta!$D$3:$D$27,MATCH('S2 Bio'!$A322,Työkonekanta!$A$3:$A$24,0),1),"undefined")</f>
        <v>pom</v>
      </c>
      <c r="E322" s="145">
        <f>IFERROR(INDEX(Työkonekanta!$G$3:$G$27,MATCH($A322,Työkonekanta!$A$3:$A$24,0),1)*INDEX(Työkonekanta!$H$3:$H$27,MATCH($A322,Työkonekanta!$A$3:$A$24,0),1)*(1+_xlfn.SINGLE(s2_kerroin)*($C322-2019))*$B322,0)</f>
        <v>0</v>
      </c>
      <c r="F322" s="145">
        <f t="shared" si="89"/>
        <v>0</v>
      </c>
      <c r="G322" s="145">
        <f t="shared" si="95"/>
        <v>0</v>
      </c>
      <c r="H322" s="145">
        <f t="shared" si="96"/>
        <v>0</v>
      </c>
      <c r="I322" s="145">
        <f t="shared" si="90"/>
        <v>0</v>
      </c>
      <c r="J322" s="145">
        <f t="shared" si="91"/>
        <v>0</v>
      </c>
      <c r="K322" s="142" t="str">
        <f t="shared" si="97"/>
        <v>l</v>
      </c>
      <c r="L322" s="146">
        <f>IFERROR(INDEX(Työkonekanta!$I$3:$I$27,MATCH('S2 Bio'!$A322,Työkonekanta!$A$3:$A$24,0),1)*(I322+J322)*f_adblue,0)</f>
        <v>0</v>
      </c>
      <c r="M322" s="146">
        <f t="shared" si="104"/>
        <v>0</v>
      </c>
      <c r="N322" s="143" t="str">
        <f>IF(tuulisähkö_vuosi&lt;='S2 Bio'!C322,"tuulisähkö",ostosähkö_nyt)</f>
        <v>jäännössähkö</v>
      </c>
      <c r="O322" s="147">
        <f>INDEX(Muuttujat!$J$5:$J$21,MATCH($C322,Muuttujat!$H$5:$H$21,0),1)</f>
        <v>62.625946521929137</v>
      </c>
      <c r="P322" s="148">
        <f t="shared" si="98"/>
        <v>0.38800000000000001</v>
      </c>
      <c r="Q322" s="148">
        <f t="shared" si="110"/>
        <v>0.61199999999999999</v>
      </c>
      <c r="R322" s="148">
        <f t="shared" si="110"/>
        <v>0.61199999999999999</v>
      </c>
      <c r="S322" s="149">
        <f t="shared" si="92"/>
        <v>0</v>
      </c>
      <c r="T322" s="150">
        <f t="shared" si="93"/>
        <v>0</v>
      </c>
      <c r="U322" s="150">
        <f t="shared" si="94"/>
        <v>0</v>
      </c>
      <c r="V322" s="150">
        <f>IFERROR(INDEX(Työkonekanta!$J$3:$J$27,MATCH($A322,Työkonekanta!$A$3:$A$24,0),1)*$B322*ef_li_ion_akku/1000/1000/INDEX(Työkonekanta!$K$3:$K$27,MATCH($A322,Työkonekanta!$A$3:$A$24,0)),0)</f>
        <v>0</v>
      </c>
      <c r="W322" s="149">
        <f t="shared" si="105"/>
        <v>0</v>
      </c>
      <c r="X322" s="150">
        <f t="shared" si="106"/>
        <v>0</v>
      </c>
      <c r="Y322" s="151">
        <f t="shared" si="107"/>
        <v>0</v>
      </c>
      <c r="Z322" s="152">
        <f t="shared" si="99"/>
        <v>0</v>
      </c>
      <c r="AA322" s="153">
        <f t="shared" si="100"/>
        <v>0</v>
      </c>
      <c r="AB322" s="153">
        <f t="shared" si="101"/>
        <v>0</v>
      </c>
      <c r="AC322" s="154">
        <f t="shared" si="108"/>
        <v>0</v>
      </c>
      <c r="AD322" s="180">
        <f t="shared" si="102"/>
        <v>0</v>
      </c>
      <c r="AE322" s="160"/>
    </row>
    <row r="323" spans="1:31">
      <c r="A323" s="139">
        <v>21</v>
      </c>
      <c r="B323" s="139">
        <f>IFERROR(INDEX(Työkonekanta!$F$3:$F$27,MATCH('S2 Bio'!$A323,Työkonekanta!$A$3:$A$24,0),1),0)</f>
        <v>35</v>
      </c>
      <c r="C323" s="140">
        <v>2029</v>
      </c>
      <c r="D323" s="141" t="str">
        <f>IFERROR(INDEX(Työkonekanta!$D$3:$D$27,MATCH('S2 Bio'!$A323,Työkonekanta!$A$3:$A$24,0),1),"undefined")</f>
        <v>sähkö</v>
      </c>
      <c r="E323" s="145">
        <f>IFERROR(INDEX(Työkonekanta!$G$3:$G$27,MATCH($A323,Työkonekanta!$A$3:$A$24,0),1)*INDEX(Työkonekanta!$H$3:$H$27,MATCH($A323,Työkonekanta!$A$3:$A$24,0),1)*(1+_xlfn.SINGLE(s2_kerroin)*($C323-2019))*$B323,0)</f>
        <v>447918.98148148152</v>
      </c>
      <c r="F323" s="145">
        <f t="shared" ref="F323:F386" si="111">IF(D323="pom",$E323*hv_pom,0)</f>
        <v>0</v>
      </c>
      <c r="G323" s="145">
        <f t="shared" si="95"/>
        <v>0</v>
      </c>
      <c r="H323" s="145">
        <f t="shared" si="96"/>
        <v>0</v>
      </c>
      <c r="I323" s="145">
        <f t="shared" ref="I323:I386" si="112">$G323/hv_pom</f>
        <v>0</v>
      </c>
      <c r="J323" s="145">
        <f t="shared" ref="J323:J386" si="113">$H323/hv_biodies</f>
        <v>0</v>
      </c>
      <c r="K323" s="142" t="str">
        <f t="shared" si="97"/>
        <v>kWh</v>
      </c>
      <c r="L323" s="146">
        <f>IFERROR(INDEX(Työkonekanta!$I$3:$I$27,MATCH('S2 Bio'!$A323,Työkonekanta!$A$3:$A$24,0),1)*(I323+J323)*f_adblue,0)</f>
        <v>0</v>
      </c>
      <c r="M323" s="146">
        <f t="shared" si="104"/>
        <v>1612508.3333333335</v>
      </c>
      <c r="N323" s="143" t="str">
        <f>IF(tuulisähkö_vuosi&lt;='S2 Bio'!C323,"tuulisähkö",ostosähkö_nyt)</f>
        <v>jäännössähkö</v>
      </c>
      <c r="O323" s="147">
        <f>INDEX(Muuttujat!$J$5:$J$21,MATCH($C323,Muuttujat!$H$5:$H$21,0),1)</f>
        <v>62.625946521929137</v>
      </c>
      <c r="P323" s="148">
        <f t="shared" si="98"/>
        <v>0.38800000000000001</v>
      </c>
      <c r="Q323" s="148">
        <f t="shared" ref="Q323:R342" si="114">IF(biosiirtymä_luonne="äkillinen",INDEX($AG$4:$AG$20,MATCH($C323,$AF$4:$AF$20,0),1),INDEX($AH$4:$AH$20,MATCH($C323,$AF$4:$AF$20,0),1))</f>
        <v>0.61199999999999999</v>
      </c>
      <c r="R323" s="148">
        <f t="shared" si="114"/>
        <v>0.61199999999999999</v>
      </c>
      <c r="S323" s="149">
        <f t="shared" ref="S323:S386" si="115">wtt_ef_e_co2_dies*$G323/1000/1000</f>
        <v>0</v>
      </c>
      <c r="T323" s="150">
        <f t="shared" ref="T323:T386" si="116">wtt_ef_e_co2_biodies*$H323/1000/1000</f>
        <v>0</v>
      </c>
      <c r="U323" s="150">
        <f t="shared" ref="U323:U386" si="117">IF(N323="jäännössähkö",$O323,IF(N323="tuulisähkö",wtt_ef_e_co2_el_wind,0))*$M323/1000/1000</f>
        <v>100.98486064949843</v>
      </c>
      <c r="V323" s="150">
        <f>IFERROR(INDEX(Työkonekanta!$J$3:$J$27,MATCH($A323,Työkonekanta!$A$3:$A$24,0),1)*$B323*ef_li_ion_akku/1000/1000/INDEX(Työkonekanta!$K$3:$K$27,MATCH($A323,Työkonekanta!$A$3:$A$24,0)),0)</f>
        <v>43.121723076923082</v>
      </c>
      <c r="W323" s="149">
        <f t="shared" si="105"/>
        <v>0</v>
      </c>
      <c r="X323" s="150">
        <f t="shared" si="106"/>
        <v>0</v>
      </c>
      <c r="Y323" s="151">
        <f t="shared" si="107"/>
        <v>0</v>
      </c>
      <c r="Z323" s="152">
        <f t="shared" si="99"/>
        <v>144.10658372642152</v>
      </c>
      <c r="AA323" s="153">
        <f t="shared" si="100"/>
        <v>0</v>
      </c>
      <c r="AB323" s="153">
        <f t="shared" si="101"/>
        <v>0</v>
      </c>
      <c r="AC323" s="154">
        <f t="shared" si="108"/>
        <v>144.10658372642152</v>
      </c>
      <c r="AD323" s="180">
        <f t="shared" si="102"/>
        <v>144.10658372642152</v>
      </c>
      <c r="AE323" s="160"/>
    </row>
    <row r="324" spans="1:31">
      <c r="A324" s="139">
        <v>22</v>
      </c>
      <c r="B324" s="139">
        <f>IFERROR(INDEX(Työkonekanta!$F$3:$F$27,MATCH('S2 Bio'!$A324,Työkonekanta!$A$3:$A$24,0),1),0)</f>
        <v>0</v>
      </c>
      <c r="C324" s="140">
        <v>2029</v>
      </c>
      <c r="D324" s="141" t="str">
        <f>IFERROR(INDEX(Työkonekanta!$D$3:$D$27,MATCH('S2 Bio'!$A324,Työkonekanta!$A$3:$A$24,0),1),"undefined")</f>
        <v>sähkö</v>
      </c>
      <c r="E324" s="145">
        <f>IFERROR(INDEX(Työkonekanta!$G$3:$G$27,MATCH($A324,Työkonekanta!$A$3:$A$24,0),1)*INDEX(Työkonekanta!$H$3:$H$27,MATCH($A324,Työkonekanta!$A$3:$A$24,0),1)*(1+_xlfn.SINGLE(s2_kerroin)*($C324-2019))*$B324,0)</f>
        <v>0</v>
      </c>
      <c r="F324" s="145">
        <f t="shared" si="111"/>
        <v>0</v>
      </c>
      <c r="G324" s="145">
        <f t="shared" ref="G324:G387" si="118">$F324*$P324</f>
        <v>0</v>
      </c>
      <c r="H324" s="145">
        <f t="shared" ref="H324:H387" si="119">$F324*$Q324</f>
        <v>0</v>
      </c>
      <c r="I324" s="145">
        <f t="shared" si="112"/>
        <v>0</v>
      </c>
      <c r="J324" s="145">
        <f t="shared" si="113"/>
        <v>0</v>
      </c>
      <c r="K324" s="142" t="str">
        <f t="shared" ref="K324:K387" si="120">IF($D324="sähkö","kWh",IF($D324="pom","l","undefined"))</f>
        <v>kWh</v>
      </c>
      <c r="L324" s="146">
        <f>IFERROR(INDEX(Työkonekanta!$I$3:$I$27,MATCH('S2 Bio'!$A324,Työkonekanta!$A$3:$A$24,0),1)*(I324+J324)*f_adblue,0)</f>
        <v>0</v>
      </c>
      <c r="M324" s="146">
        <f t="shared" si="104"/>
        <v>0</v>
      </c>
      <c r="N324" s="143" t="str">
        <f>IF(tuulisähkö_vuosi&lt;='S2 Bio'!C324,"tuulisähkö",ostosähkö_nyt)</f>
        <v>jäännössähkö</v>
      </c>
      <c r="O324" s="147">
        <f>INDEX(Muuttujat!$J$5:$J$21,MATCH($C324,Muuttujat!$H$5:$H$21,0),1)</f>
        <v>62.625946521929137</v>
      </c>
      <c r="P324" s="148">
        <f t="shared" ref="P324:P387" si="121">1-Q324</f>
        <v>0.38800000000000001</v>
      </c>
      <c r="Q324" s="148">
        <f t="shared" si="114"/>
        <v>0.61199999999999999</v>
      </c>
      <c r="R324" s="148">
        <f t="shared" si="114"/>
        <v>0.61199999999999999</v>
      </c>
      <c r="S324" s="149">
        <f t="shared" si="115"/>
        <v>0</v>
      </c>
      <c r="T324" s="150">
        <f t="shared" si="116"/>
        <v>0</v>
      </c>
      <c r="U324" s="150">
        <f t="shared" si="117"/>
        <v>0</v>
      </c>
      <c r="V324" s="150">
        <f>IFERROR(INDEX(Työkonekanta!$J$3:$J$27,MATCH($A324,Työkonekanta!$A$3:$A$24,0),1)*$B324*ef_li_ion_akku/1000/1000/INDEX(Työkonekanta!$K$3:$K$27,MATCH($A324,Työkonekanta!$A$3:$A$24,0)),0)</f>
        <v>0</v>
      </c>
      <c r="W324" s="149">
        <f t="shared" si="105"/>
        <v>0</v>
      </c>
      <c r="X324" s="150">
        <f t="shared" si="106"/>
        <v>0</v>
      </c>
      <c r="Y324" s="151">
        <f t="shared" si="107"/>
        <v>0</v>
      </c>
      <c r="Z324" s="152">
        <f t="shared" ref="Z324:Z387" si="122">SUM($S324:$V324)</f>
        <v>0</v>
      </c>
      <c r="AA324" s="153">
        <f t="shared" ref="AA324:AA387" si="123">$W324+$Y324</f>
        <v>0</v>
      </c>
      <c r="AB324" s="153">
        <f t="shared" ref="AB324:AB387" si="124">SUM($W324:$Y324)</f>
        <v>0</v>
      </c>
      <c r="AC324" s="154">
        <f t="shared" si="108"/>
        <v>0</v>
      </c>
      <c r="AD324" s="180">
        <f t="shared" ref="AD324:AD387" si="125">$Z324+$AB324</f>
        <v>0</v>
      </c>
      <c r="AE324" s="160"/>
    </row>
    <row r="325" spans="1:31">
      <c r="A325" s="139">
        <v>23</v>
      </c>
      <c r="B325" s="139">
        <f>IFERROR(INDEX(Työkonekanta!$F$3:$F$27,MATCH('S2 Bio'!$A325,Työkonekanta!$A$3:$A$24,0),1),0)</f>
        <v>0</v>
      </c>
      <c r="C325" s="140">
        <v>2029</v>
      </c>
      <c r="D325" s="141" t="str">
        <f>IFERROR(INDEX(Työkonekanta!$D$3:$D$27,MATCH('S2 Bio'!$A325,Työkonekanta!$A$3:$A$24,0),1),"undefined")</f>
        <v>undefined</v>
      </c>
      <c r="E325" s="145">
        <f>IFERROR(INDEX(Työkonekanta!$G$3:$G$27,MATCH($A325,Työkonekanta!$A$3:$A$24,0),1)*INDEX(Työkonekanta!$H$3:$H$27,MATCH($A325,Työkonekanta!$A$3:$A$24,0),1)*(1+_xlfn.SINGLE(s2_kerroin)*($C325-2019))*$B325,0)</f>
        <v>0</v>
      </c>
      <c r="F325" s="145">
        <f t="shared" si="111"/>
        <v>0</v>
      </c>
      <c r="G325" s="145">
        <f t="shared" si="118"/>
        <v>0</v>
      </c>
      <c r="H325" s="145">
        <f t="shared" si="119"/>
        <v>0</v>
      </c>
      <c r="I325" s="145">
        <f t="shared" si="112"/>
        <v>0</v>
      </c>
      <c r="J325" s="145">
        <f t="shared" si="113"/>
        <v>0</v>
      </c>
      <c r="K325" s="142" t="str">
        <f t="shared" si="120"/>
        <v>undefined</v>
      </c>
      <c r="L325" s="146">
        <f>IFERROR(INDEX(Työkonekanta!$I$3:$I$27,MATCH('S2 Bio'!$A325,Työkonekanta!$A$3:$A$24,0),1)*(I325+J325)*f_adblue,0)</f>
        <v>0</v>
      </c>
      <c r="M325" s="146">
        <f t="shared" si="104"/>
        <v>0</v>
      </c>
      <c r="N325" s="143" t="str">
        <f>IF(tuulisähkö_vuosi&lt;='S2 Bio'!C325,"tuulisähkö",ostosähkö_nyt)</f>
        <v>jäännössähkö</v>
      </c>
      <c r="O325" s="147">
        <f>INDEX(Muuttujat!$J$5:$J$21,MATCH($C325,Muuttujat!$H$5:$H$21,0),1)</f>
        <v>62.625946521929137</v>
      </c>
      <c r="P325" s="148">
        <f t="shared" si="121"/>
        <v>0.38800000000000001</v>
      </c>
      <c r="Q325" s="148">
        <f t="shared" si="114"/>
        <v>0.61199999999999999</v>
      </c>
      <c r="R325" s="148">
        <f t="shared" si="114"/>
        <v>0.61199999999999999</v>
      </c>
      <c r="S325" s="149">
        <f t="shared" si="115"/>
        <v>0</v>
      </c>
      <c r="T325" s="150">
        <f t="shared" si="116"/>
        <v>0</v>
      </c>
      <c r="U325" s="150">
        <f t="shared" si="117"/>
        <v>0</v>
      </c>
      <c r="V325" s="150">
        <f>IFERROR(INDEX(Työkonekanta!$J$3:$J$27,MATCH($A325,Työkonekanta!$A$3:$A$24,0),1)*$B325*ef_li_ion_akku/1000/1000/INDEX(Työkonekanta!$K$3:$K$27,MATCH($A325,Työkonekanta!$A$3:$A$24,0)),0)</f>
        <v>0</v>
      </c>
      <c r="W325" s="149">
        <f t="shared" si="105"/>
        <v>0</v>
      </c>
      <c r="X325" s="150">
        <f t="shared" si="106"/>
        <v>0</v>
      </c>
      <c r="Y325" s="151">
        <f t="shared" si="107"/>
        <v>0</v>
      </c>
      <c r="Z325" s="152">
        <f t="shared" si="122"/>
        <v>0</v>
      </c>
      <c r="AA325" s="153">
        <f t="shared" si="123"/>
        <v>0</v>
      </c>
      <c r="AB325" s="153">
        <f t="shared" si="124"/>
        <v>0</v>
      </c>
      <c r="AC325" s="154">
        <f t="shared" si="108"/>
        <v>0</v>
      </c>
      <c r="AD325" s="180">
        <f t="shared" si="125"/>
        <v>0</v>
      </c>
      <c r="AE325" s="160"/>
    </row>
    <row r="326" spans="1:31">
      <c r="A326" s="139">
        <v>24</v>
      </c>
      <c r="B326" s="139">
        <f>IFERROR(INDEX(Työkonekanta!$F$3:$F$27,MATCH('S2 Bio'!$A326,Työkonekanta!$A$3:$A$24,0),1),0)</f>
        <v>0</v>
      </c>
      <c r="C326" s="140">
        <v>2029</v>
      </c>
      <c r="D326" s="141" t="str">
        <f>IFERROR(INDEX(Työkonekanta!$D$3:$D$27,MATCH('S2 Bio'!$A326,Työkonekanta!$A$3:$A$24,0),1),"undefined")</f>
        <v>undefined</v>
      </c>
      <c r="E326" s="145">
        <f>IFERROR(INDEX(Työkonekanta!$G$3:$G$27,MATCH($A326,Työkonekanta!$A$3:$A$24,0),1)*INDEX(Työkonekanta!$H$3:$H$27,MATCH($A326,Työkonekanta!$A$3:$A$24,0),1)*(1+_xlfn.SINGLE(s2_kerroin)*($C326-2019))*$B326,0)</f>
        <v>0</v>
      </c>
      <c r="F326" s="145">
        <f t="shared" si="111"/>
        <v>0</v>
      </c>
      <c r="G326" s="145">
        <f t="shared" si="118"/>
        <v>0</v>
      </c>
      <c r="H326" s="145">
        <f t="shared" si="119"/>
        <v>0</v>
      </c>
      <c r="I326" s="145">
        <f t="shared" si="112"/>
        <v>0</v>
      </c>
      <c r="J326" s="145">
        <f t="shared" si="113"/>
        <v>0</v>
      </c>
      <c r="K326" s="142" t="str">
        <f t="shared" si="120"/>
        <v>undefined</v>
      </c>
      <c r="L326" s="146">
        <f>IFERROR(INDEX(Työkonekanta!$I$3:$I$27,MATCH('S2 Bio'!$A326,Työkonekanta!$A$3:$A$24,0),1)*(I326+J326)*f_adblue,0)</f>
        <v>0</v>
      </c>
      <c r="M326" s="146">
        <f t="shared" si="104"/>
        <v>0</v>
      </c>
      <c r="N326" s="143" t="str">
        <f>IF(tuulisähkö_vuosi&lt;='S2 Bio'!C326,"tuulisähkö",ostosähkö_nyt)</f>
        <v>jäännössähkö</v>
      </c>
      <c r="O326" s="147">
        <f>INDEX(Muuttujat!$J$5:$J$21,MATCH($C326,Muuttujat!$H$5:$H$21,0),1)</f>
        <v>62.625946521929137</v>
      </c>
      <c r="P326" s="148">
        <f t="shared" si="121"/>
        <v>0.38800000000000001</v>
      </c>
      <c r="Q326" s="148">
        <f t="shared" si="114"/>
        <v>0.61199999999999999</v>
      </c>
      <c r="R326" s="148">
        <f t="shared" si="114"/>
        <v>0.61199999999999999</v>
      </c>
      <c r="S326" s="149">
        <f t="shared" si="115"/>
        <v>0</v>
      </c>
      <c r="T326" s="150">
        <f t="shared" si="116"/>
        <v>0</v>
      </c>
      <c r="U326" s="150">
        <f t="shared" si="117"/>
        <v>0</v>
      </c>
      <c r="V326" s="150">
        <f>IFERROR(INDEX(Työkonekanta!$J$3:$J$27,MATCH($A326,Työkonekanta!$A$3:$A$24,0),1)*$B326*ef_li_ion_akku/1000/1000/INDEX(Työkonekanta!$K$3:$K$27,MATCH($A326,Työkonekanta!$A$3:$A$24,0)),0)</f>
        <v>0</v>
      </c>
      <c r="W326" s="149">
        <f t="shared" si="105"/>
        <v>0</v>
      </c>
      <c r="X326" s="150">
        <f t="shared" si="106"/>
        <v>0</v>
      </c>
      <c r="Y326" s="151">
        <f t="shared" si="107"/>
        <v>0</v>
      </c>
      <c r="Z326" s="152">
        <f t="shared" si="122"/>
        <v>0</v>
      </c>
      <c r="AA326" s="153">
        <f t="shared" si="123"/>
        <v>0</v>
      </c>
      <c r="AB326" s="153">
        <f t="shared" si="124"/>
        <v>0</v>
      </c>
      <c r="AC326" s="154">
        <f t="shared" si="108"/>
        <v>0</v>
      </c>
      <c r="AD326" s="180">
        <f t="shared" si="125"/>
        <v>0</v>
      </c>
      <c r="AE326" s="160"/>
    </row>
    <row r="327" spans="1:31">
      <c r="A327" s="139">
        <v>25</v>
      </c>
      <c r="B327" s="139">
        <f>IFERROR(INDEX(Työkonekanta!$F$3:$F$27,MATCH('S2 Bio'!$A327,Työkonekanta!$A$3:$A$24,0),1),0)</f>
        <v>0</v>
      </c>
      <c r="C327" s="140">
        <v>2029</v>
      </c>
      <c r="D327" s="141" t="str">
        <f>IFERROR(INDEX(Työkonekanta!$D$3:$D$27,MATCH('S2 Bio'!$A327,Työkonekanta!$A$3:$A$24,0),1),"undefined")</f>
        <v>undefined</v>
      </c>
      <c r="E327" s="145">
        <f>IFERROR(INDEX(Työkonekanta!$G$3:$G$27,MATCH($A327,Työkonekanta!$A$3:$A$24,0),1)*INDEX(Työkonekanta!$H$3:$H$27,MATCH($A327,Työkonekanta!$A$3:$A$24,0),1)*(1+_xlfn.SINGLE(s2_kerroin)*($C327-2019))*$B327,0)</f>
        <v>0</v>
      </c>
      <c r="F327" s="145">
        <f t="shared" si="111"/>
        <v>0</v>
      </c>
      <c r="G327" s="145">
        <f t="shared" si="118"/>
        <v>0</v>
      </c>
      <c r="H327" s="145">
        <f t="shared" si="119"/>
        <v>0</v>
      </c>
      <c r="I327" s="145">
        <f t="shared" si="112"/>
        <v>0</v>
      </c>
      <c r="J327" s="145">
        <f t="shared" si="113"/>
        <v>0</v>
      </c>
      <c r="K327" s="142" t="str">
        <f t="shared" si="120"/>
        <v>undefined</v>
      </c>
      <c r="L327" s="146">
        <f>IFERROR(INDEX(Työkonekanta!$I$3:$I$27,MATCH('S2 Bio'!$A327,Työkonekanta!$A$3:$A$24,0),1)*(I327+J327)*f_adblue,0)</f>
        <v>0</v>
      </c>
      <c r="M327" s="146">
        <f t="shared" si="104"/>
        <v>0</v>
      </c>
      <c r="N327" s="143" t="str">
        <f>IF(tuulisähkö_vuosi&lt;='S2 Bio'!C327,"tuulisähkö",ostosähkö_nyt)</f>
        <v>jäännössähkö</v>
      </c>
      <c r="O327" s="147">
        <f>INDEX(Muuttujat!$J$5:$J$21,MATCH($C327,Muuttujat!$H$5:$H$21,0),1)</f>
        <v>62.625946521929137</v>
      </c>
      <c r="P327" s="148">
        <f t="shared" si="121"/>
        <v>0.38800000000000001</v>
      </c>
      <c r="Q327" s="148">
        <f t="shared" si="114"/>
        <v>0.61199999999999999</v>
      </c>
      <c r="R327" s="148">
        <f t="shared" si="114"/>
        <v>0.61199999999999999</v>
      </c>
      <c r="S327" s="149">
        <f t="shared" si="115"/>
        <v>0</v>
      </c>
      <c r="T327" s="150">
        <f t="shared" si="116"/>
        <v>0</v>
      </c>
      <c r="U327" s="150">
        <f t="shared" si="117"/>
        <v>0</v>
      </c>
      <c r="V327" s="150">
        <f>IFERROR(INDEX(Työkonekanta!$J$3:$J$27,MATCH($A327,Työkonekanta!$A$3:$A$24,0),1)*$B327*ef_li_ion_akku/1000/1000/INDEX(Työkonekanta!$K$3:$K$27,MATCH($A327,Työkonekanta!$A$3:$A$24,0)),0)</f>
        <v>0</v>
      </c>
      <c r="W327" s="149">
        <f t="shared" si="105"/>
        <v>0</v>
      </c>
      <c r="X327" s="150">
        <f t="shared" si="106"/>
        <v>0</v>
      </c>
      <c r="Y327" s="151">
        <f t="shared" si="107"/>
        <v>0</v>
      </c>
      <c r="Z327" s="152">
        <f t="shared" si="122"/>
        <v>0</v>
      </c>
      <c r="AA327" s="153">
        <f t="shared" si="123"/>
        <v>0</v>
      </c>
      <c r="AB327" s="153">
        <f t="shared" si="124"/>
        <v>0</v>
      </c>
      <c r="AC327" s="154">
        <f t="shared" si="108"/>
        <v>0</v>
      </c>
      <c r="AD327" s="180">
        <f t="shared" si="125"/>
        <v>0</v>
      </c>
      <c r="AE327" s="160"/>
    </row>
    <row r="328" spans="1:31">
      <c r="A328" s="139">
        <v>26</v>
      </c>
      <c r="B328" s="139">
        <f>IFERROR(INDEX(Työkonekanta!$F$3:$F$27,MATCH('S2 Bio'!$A328,Työkonekanta!$A$3:$A$24,0),1),0)</f>
        <v>0</v>
      </c>
      <c r="C328" s="140">
        <v>2029</v>
      </c>
      <c r="D328" s="141" t="str">
        <f>IFERROR(INDEX(Työkonekanta!$D$3:$D$27,MATCH('S2 Bio'!$A328,Työkonekanta!$A$3:$A$24,0),1),"undefined")</f>
        <v>undefined</v>
      </c>
      <c r="E328" s="145">
        <f>IFERROR(INDEX(Työkonekanta!$G$3:$G$27,MATCH($A328,Työkonekanta!$A$3:$A$24,0),1)*INDEX(Työkonekanta!$H$3:$H$27,MATCH($A328,Työkonekanta!$A$3:$A$24,0),1)*(1+_xlfn.SINGLE(s2_kerroin)*($C328-2019))*$B328,0)</f>
        <v>0</v>
      </c>
      <c r="F328" s="145">
        <f t="shared" si="111"/>
        <v>0</v>
      </c>
      <c r="G328" s="145">
        <f t="shared" si="118"/>
        <v>0</v>
      </c>
      <c r="H328" s="145">
        <f t="shared" si="119"/>
        <v>0</v>
      </c>
      <c r="I328" s="145">
        <f t="shared" si="112"/>
        <v>0</v>
      </c>
      <c r="J328" s="145">
        <f t="shared" si="113"/>
        <v>0</v>
      </c>
      <c r="K328" s="142" t="str">
        <f t="shared" si="120"/>
        <v>undefined</v>
      </c>
      <c r="L328" s="146">
        <f>IFERROR(INDEX(Työkonekanta!$I$3:$I$27,MATCH('S2 Bio'!$A328,Työkonekanta!$A$3:$A$24,0),1)*(I328+J328)*f_adblue,0)</f>
        <v>0</v>
      </c>
      <c r="M328" s="146">
        <f t="shared" si="104"/>
        <v>0</v>
      </c>
      <c r="N328" s="143" t="str">
        <f>IF(tuulisähkö_vuosi&lt;='S2 Bio'!C328,"tuulisähkö",ostosähkö_nyt)</f>
        <v>jäännössähkö</v>
      </c>
      <c r="O328" s="147">
        <f>INDEX(Muuttujat!$J$5:$J$21,MATCH($C328,Muuttujat!$H$5:$H$21,0),1)</f>
        <v>62.625946521929137</v>
      </c>
      <c r="P328" s="148">
        <f t="shared" si="121"/>
        <v>0.38800000000000001</v>
      </c>
      <c r="Q328" s="148">
        <f t="shared" si="114"/>
        <v>0.61199999999999999</v>
      </c>
      <c r="R328" s="148">
        <f t="shared" si="114"/>
        <v>0.61199999999999999</v>
      </c>
      <c r="S328" s="149">
        <f t="shared" si="115"/>
        <v>0</v>
      </c>
      <c r="T328" s="150">
        <f t="shared" si="116"/>
        <v>0</v>
      </c>
      <c r="U328" s="150">
        <f t="shared" si="117"/>
        <v>0</v>
      </c>
      <c r="V328" s="150">
        <f>IFERROR(INDEX(Työkonekanta!$J$3:$J$27,MATCH($A328,Työkonekanta!$A$3:$A$24,0),1)*$B328*ef_li_ion_akku/1000/1000/INDEX(Työkonekanta!$K$3:$K$27,MATCH($A328,Työkonekanta!$A$3:$A$24,0)),0)</f>
        <v>0</v>
      </c>
      <c r="W328" s="149">
        <f t="shared" si="105"/>
        <v>0</v>
      </c>
      <c r="X328" s="150">
        <f t="shared" si="106"/>
        <v>0</v>
      </c>
      <c r="Y328" s="151">
        <f t="shared" si="107"/>
        <v>0</v>
      </c>
      <c r="Z328" s="152">
        <f t="shared" si="122"/>
        <v>0</v>
      </c>
      <c r="AA328" s="153">
        <f t="shared" si="123"/>
        <v>0</v>
      </c>
      <c r="AB328" s="153">
        <f t="shared" si="124"/>
        <v>0</v>
      </c>
      <c r="AC328" s="154">
        <f t="shared" si="108"/>
        <v>0</v>
      </c>
      <c r="AD328" s="180">
        <f t="shared" si="125"/>
        <v>0</v>
      </c>
      <c r="AE328" s="160"/>
    </row>
    <row r="329" spans="1:31">
      <c r="A329" s="139">
        <v>27</v>
      </c>
      <c r="B329" s="139">
        <f>IFERROR(INDEX(Työkonekanta!$F$3:$F$27,MATCH('S2 Bio'!$A329,Työkonekanta!$A$3:$A$24,0),1),0)</f>
        <v>0</v>
      </c>
      <c r="C329" s="140">
        <v>2029</v>
      </c>
      <c r="D329" s="141" t="str">
        <f>IFERROR(INDEX(Työkonekanta!$D$3:$D$27,MATCH('S2 Bio'!$A329,Työkonekanta!$A$3:$A$24,0),1),"undefined")</f>
        <v>undefined</v>
      </c>
      <c r="E329" s="145">
        <f>IFERROR(INDEX(Työkonekanta!$G$3:$G$27,MATCH($A329,Työkonekanta!$A$3:$A$24,0),1)*INDEX(Työkonekanta!$H$3:$H$27,MATCH($A329,Työkonekanta!$A$3:$A$24,0),1)*(1+_xlfn.SINGLE(s2_kerroin)*($C329-2019))*$B329,0)</f>
        <v>0</v>
      </c>
      <c r="F329" s="145">
        <f t="shared" si="111"/>
        <v>0</v>
      </c>
      <c r="G329" s="145">
        <f t="shared" si="118"/>
        <v>0</v>
      </c>
      <c r="H329" s="145">
        <f t="shared" si="119"/>
        <v>0</v>
      </c>
      <c r="I329" s="145">
        <f t="shared" si="112"/>
        <v>0</v>
      </c>
      <c r="J329" s="145">
        <f t="shared" si="113"/>
        <v>0</v>
      </c>
      <c r="K329" s="142" t="str">
        <f t="shared" si="120"/>
        <v>undefined</v>
      </c>
      <c r="L329" s="146">
        <f>IFERROR(INDEX(Työkonekanta!$I$3:$I$27,MATCH('S2 Bio'!$A329,Työkonekanta!$A$3:$A$24,0),1)*(I329+J329)*f_adblue,0)</f>
        <v>0</v>
      </c>
      <c r="M329" s="146">
        <f t="shared" si="104"/>
        <v>0</v>
      </c>
      <c r="N329" s="143" t="str">
        <f>IF(tuulisähkö_vuosi&lt;='S2 Bio'!C329,"tuulisähkö",ostosähkö_nyt)</f>
        <v>jäännössähkö</v>
      </c>
      <c r="O329" s="147">
        <f>INDEX(Muuttujat!$J$5:$J$21,MATCH($C329,Muuttujat!$H$5:$H$21,0),1)</f>
        <v>62.625946521929137</v>
      </c>
      <c r="P329" s="148">
        <f t="shared" si="121"/>
        <v>0.38800000000000001</v>
      </c>
      <c r="Q329" s="148">
        <f t="shared" si="114"/>
        <v>0.61199999999999999</v>
      </c>
      <c r="R329" s="148">
        <f t="shared" si="114"/>
        <v>0.61199999999999999</v>
      </c>
      <c r="S329" s="149">
        <f t="shared" si="115"/>
        <v>0</v>
      </c>
      <c r="T329" s="150">
        <f t="shared" si="116"/>
        <v>0</v>
      </c>
      <c r="U329" s="150">
        <f t="shared" si="117"/>
        <v>0</v>
      </c>
      <c r="V329" s="150">
        <f>IFERROR(INDEX(Työkonekanta!$J$3:$J$27,MATCH($A329,Työkonekanta!$A$3:$A$24,0),1)*$B329*ef_li_ion_akku/1000/1000/INDEX(Työkonekanta!$K$3:$K$27,MATCH($A329,Työkonekanta!$A$3:$A$24,0)),0)</f>
        <v>0</v>
      </c>
      <c r="W329" s="149">
        <f t="shared" si="105"/>
        <v>0</v>
      </c>
      <c r="X329" s="150">
        <f t="shared" si="106"/>
        <v>0</v>
      </c>
      <c r="Y329" s="151">
        <f t="shared" si="107"/>
        <v>0</v>
      </c>
      <c r="Z329" s="152">
        <f t="shared" si="122"/>
        <v>0</v>
      </c>
      <c r="AA329" s="153">
        <f t="shared" si="123"/>
        <v>0</v>
      </c>
      <c r="AB329" s="153">
        <f t="shared" si="124"/>
        <v>0</v>
      </c>
      <c r="AC329" s="154">
        <f t="shared" si="108"/>
        <v>0</v>
      </c>
      <c r="AD329" s="180">
        <f t="shared" si="125"/>
        <v>0</v>
      </c>
      <c r="AE329" s="160"/>
    </row>
    <row r="330" spans="1:31">
      <c r="A330" s="139">
        <v>28</v>
      </c>
      <c r="B330" s="139">
        <f>IFERROR(INDEX(Työkonekanta!$F$3:$F$27,MATCH('S2 Bio'!$A330,Työkonekanta!$A$3:$A$24,0),1),0)</f>
        <v>0</v>
      </c>
      <c r="C330" s="140">
        <v>2029</v>
      </c>
      <c r="D330" s="141" t="str">
        <f>IFERROR(INDEX(Työkonekanta!$D$3:$D$27,MATCH('S2 Bio'!$A330,Työkonekanta!$A$3:$A$24,0),1),"undefined")</f>
        <v>undefined</v>
      </c>
      <c r="E330" s="145">
        <f>IFERROR(INDEX(Työkonekanta!$G$3:$G$27,MATCH($A330,Työkonekanta!$A$3:$A$24,0),1)*INDEX(Työkonekanta!$H$3:$H$27,MATCH($A330,Työkonekanta!$A$3:$A$24,0),1)*(1+_xlfn.SINGLE(s2_kerroin)*($C330-2019))*$B330,0)</f>
        <v>0</v>
      </c>
      <c r="F330" s="145">
        <f t="shared" si="111"/>
        <v>0</v>
      </c>
      <c r="G330" s="145">
        <f t="shared" si="118"/>
        <v>0</v>
      </c>
      <c r="H330" s="145">
        <f t="shared" si="119"/>
        <v>0</v>
      </c>
      <c r="I330" s="145">
        <f t="shared" si="112"/>
        <v>0</v>
      </c>
      <c r="J330" s="145">
        <f t="shared" si="113"/>
        <v>0</v>
      </c>
      <c r="K330" s="142" t="str">
        <f t="shared" si="120"/>
        <v>undefined</v>
      </c>
      <c r="L330" s="146">
        <f>IFERROR(INDEX(Työkonekanta!$I$3:$I$27,MATCH('S2 Bio'!$A330,Työkonekanta!$A$3:$A$24,0),1)*(I330+J330)*f_adblue,0)</f>
        <v>0</v>
      </c>
      <c r="M330" s="146">
        <f t="shared" si="104"/>
        <v>0</v>
      </c>
      <c r="N330" s="143" t="str">
        <f>IF(tuulisähkö_vuosi&lt;='S2 Bio'!C330,"tuulisähkö",ostosähkö_nyt)</f>
        <v>jäännössähkö</v>
      </c>
      <c r="O330" s="147">
        <f>INDEX(Muuttujat!$J$5:$J$21,MATCH($C330,Muuttujat!$H$5:$H$21,0),1)</f>
        <v>62.625946521929137</v>
      </c>
      <c r="P330" s="148">
        <f t="shared" si="121"/>
        <v>0.38800000000000001</v>
      </c>
      <c r="Q330" s="148">
        <f t="shared" si="114"/>
        <v>0.61199999999999999</v>
      </c>
      <c r="R330" s="148">
        <f t="shared" si="114"/>
        <v>0.61199999999999999</v>
      </c>
      <c r="S330" s="149">
        <f t="shared" si="115"/>
        <v>0</v>
      </c>
      <c r="T330" s="150">
        <f t="shared" si="116"/>
        <v>0</v>
      </c>
      <c r="U330" s="150">
        <f t="shared" si="117"/>
        <v>0</v>
      </c>
      <c r="V330" s="150">
        <f>IFERROR(INDEX(Työkonekanta!$J$3:$J$27,MATCH($A330,Työkonekanta!$A$3:$A$24,0),1)*$B330*ef_li_ion_akku/1000/1000/INDEX(Työkonekanta!$K$3:$K$27,MATCH($A330,Työkonekanta!$A$3:$A$24,0)),0)</f>
        <v>0</v>
      </c>
      <c r="W330" s="149">
        <f t="shared" si="105"/>
        <v>0</v>
      </c>
      <c r="X330" s="150">
        <f t="shared" si="106"/>
        <v>0</v>
      </c>
      <c r="Y330" s="151">
        <f t="shared" si="107"/>
        <v>0</v>
      </c>
      <c r="Z330" s="152">
        <f t="shared" si="122"/>
        <v>0</v>
      </c>
      <c r="AA330" s="153">
        <f t="shared" si="123"/>
        <v>0</v>
      </c>
      <c r="AB330" s="153">
        <f t="shared" si="124"/>
        <v>0</v>
      </c>
      <c r="AC330" s="154">
        <f t="shared" si="108"/>
        <v>0</v>
      </c>
      <c r="AD330" s="180">
        <f t="shared" si="125"/>
        <v>0</v>
      </c>
      <c r="AE330" s="160"/>
    </row>
    <row r="331" spans="1:31">
      <c r="A331" s="139">
        <v>29</v>
      </c>
      <c r="B331" s="139">
        <f>IFERROR(INDEX(Työkonekanta!$F$3:$F$27,MATCH('S2 Bio'!$A331,Työkonekanta!$A$3:$A$24,0),1),0)</f>
        <v>0</v>
      </c>
      <c r="C331" s="140">
        <v>2029</v>
      </c>
      <c r="D331" s="141" t="str">
        <f>IFERROR(INDEX(Työkonekanta!$D$3:$D$27,MATCH('S2 Bio'!$A331,Työkonekanta!$A$3:$A$24,0),1),"undefined")</f>
        <v>undefined</v>
      </c>
      <c r="E331" s="145">
        <f>IFERROR(INDEX(Työkonekanta!$G$3:$G$27,MATCH($A331,Työkonekanta!$A$3:$A$24,0),1)*INDEX(Työkonekanta!$H$3:$H$27,MATCH($A331,Työkonekanta!$A$3:$A$24,0),1)*(1+_xlfn.SINGLE(s2_kerroin)*($C331-2019))*$B331,0)</f>
        <v>0</v>
      </c>
      <c r="F331" s="145">
        <f t="shared" si="111"/>
        <v>0</v>
      </c>
      <c r="G331" s="145">
        <f t="shared" si="118"/>
        <v>0</v>
      </c>
      <c r="H331" s="145">
        <f t="shared" si="119"/>
        <v>0</v>
      </c>
      <c r="I331" s="145">
        <f t="shared" si="112"/>
        <v>0</v>
      </c>
      <c r="J331" s="145">
        <f t="shared" si="113"/>
        <v>0</v>
      </c>
      <c r="K331" s="142" t="str">
        <f t="shared" si="120"/>
        <v>undefined</v>
      </c>
      <c r="L331" s="146">
        <f>IFERROR(INDEX(Työkonekanta!$I$3:$I$27,MATCH('S2 Bio'!$A331,Työkonekanta!$A$3:$A$24,0),1)*(I331+J331)*f_adblue,0)</f>
        <v>0</v>
      </c>
      <c r="M331" s="146">
        <f t="shared" si="104"/>
        <v>0</v>
      </c>
      <c r="N331" s="143" t="str">
        <f>IF(tuulisähkö_vuosi&lt;='S2 Bio'!C331,"tuulisähkö",ostosähkö_nyt)</f>
        <v>jäännössähkö</v>
      </c>
      <c r="O331" s="147">
        <f>INDEX(Muuttujat!$J$5:$J$21,MATCH($C331,Muuttujat!$H$5:$H$21,0),1)</f>
        <v>62.625946521929137</v>
      </c>
      <c r="P331" s="148">
        <f t="shared" si="121"/>
        <v>0.38800000000000001</v>
      </c>
      <c r="Q331" s="148">
        <f t="shared" si="114"/>
        <v>0.61199999999999999</v>
      </c>
      <c r="R331" s="148">
        <f t="shared" si="114"/>
        <v>0.61199999999999999</v>
      </c>
      <c r="S331" s="149">
        <f t="shared" si="115"/>
        <v>0</v>
      </c>
      <c r="T331" s="150">
        <f t="shared" si="116"/>
        <v>0</v>
      </c>
      <c r="U331" s="150">
        <f t="shared" si="117"/>
        <v>0</v>
      </c>
      <c r="V331" s="150">
        <f>IFERROR(INDEX(Työkonekanta!$J$3:$J$27,MATCH($A331,Työkonekanta!$A$3:$A$24,0),1)*$B331*ef_li_ion_akku/1000/1000/INDEX(Työkonekanta!$K$3:$K$27,MATCH($A331,Työkonekanta!$A$3:$A$24,0)),0)</f>
        <v>0</v>
      </c>
      <c r="W331" s="149">
        <f t="shared" si="105"/>
        <v>0</v>
      </c>
      <c r="X331" s="150">
        <f t="shared" si="106"/>
        <v>0</v>
      </c>
      <c r="Y331" s="151">
        <f t="shared" si="107"/>
        <v>0</v>
      </c>
      <c r="Z331" s="152">
        <f t="shared" si="122"/>
        <v>0</v>
      </c>
      <c r="AA331" s="153">
        <f t="shared" si="123"/>
        <v>0</v>
      </c>
      <c r="AB331" s="153">
        <f t="shared" si="124"/>
        <v>0</v>
      </c>
      <c r="AC331" s="154">
        <f t="shared" si="108"/>
        <v>0</v>
      </c>
      <c r="AD331" s="180">
        <f t="shared" si="125"/>
        <v>0</v>
      </c>
      <c r="AE331" s="160"/>
    </row>
    <row r="332" spans="1:31">
      <c r="A332" s="139">
        <v>30</v>
      </c>
      <c r="B332" s="139">
        <f>IFERROR(INDEX(Työkonekanta!$F$3:$F$27,MATCH('S2 Bio'!$A332,Työkonekanta!$A$3:$A$24,0),1),0)</f>
        <v>0</v>
      </c>
      <c r="C332" s="140">
        <v>2029</v>
      </c>
      <c r="D332" s="141" t="str">
        <f>IFERROR(INDEX(Työkonekanta!$D$3:$D$27,MATCH('S2 Bio'!$A332,Työkonekanta!$A$3:$A$24,0),1),"undefined")</f>
        <v>undefined</v>
      </c>
      <c r="E332" s="145">
        <f>IFERROR(INDEX(Työkonekanta!$G$3:$G$27,MATCH($A332,Työkonekanta!$A$3:$A$24,0),1)*INDEX(Työkonekanta!$H$3:$H$27,MATCH($A332,Työkonekanta!$A$3:$A$24,0),1)*(1+_xlfn.SINGLE(s2_kerroin)*($C332-2019))*$B332,0)</f>
        <v>0</v>
      </c>
      <c r="F332" s="145">
        <f t="shared" si="111"/>
        <v>0</v>
      </c>
      <c r="G332" s="145">
        <f t="shared" si="118"/>
        <v>0</v>
      </c>
      <c r="H332" s="145">
        <f t="shared" si="119"/>
        <v>0</v>
      </c>
      <c r="I332" s="145">
        <f t="shared" si="112"/>
        <v>0</v>
      </c>
      <c r="J332" s="145">
        <f t="shared" si="113"/>
        <v>0</v>
      </c>
      <c r="K332" s="142" t="str">
        <f t="shared" si="120"/>
        <v>undefined</v>
      </c>
      <c r="L332" s="146">
        <f>IFERROR(INDEX(Työkonekanta!$I$3:$I$27,MATCH('S2 Bio'!$A332,Työkonekanta!$A$3:$A$24,0),1)*(I332+J332)*f_adblue,0)</f>
        <v>0</v>
      </c>
      <c r="M332" s="146">
        <f t="shared" si="104"/>
        <v>0</v>
      </c>
      <c r="N332" s="143" t="str">
        <f>IF(tuulisähkö_vuosi&lt;='S2 Bio'!C332,"tuulisähkö",ostosähkö_nyt)</f>
        <v>jäännössähkö</v>
      </c>
      <c r="O332" s="147">
        <f>INDEX(Muuttujat!$J$5:$J$21,MATCH($C332,Muuttujat!$H$5:$H$21,0),1)</f>
        <v>62.625946521929137</v>
      </c>
      <c r="P332" s="148">
        <f t="shared" si="121"/>
        <v>0.38800000000000001</v>
      </c>
      <c r="Q332" s="148">
        <f t="shared" si="114"/>
        <v>0.61199999999999999</v>
      </c>
      <c r="R332" s="148">
        <f t="shared" si="114"/>
        <v>0.61199999999999999</v>
      </c>
      <c r="S332" s="149">
        <f t="shared" si="115"/>
        <v>0</v>
      </c>
      <c r="T332" s="150">
        <f t="shared" si="116"/>
        <v>0</v>
      </c>
      <c r="U332" s="150">
        <f t="shared" si="117"/>
        <v>0</v>
      </c>
      <c r="V332" s="150">
        <f>IFERROR(INDEX(Työkonekanta!$J$3:$J$27,MATCH($A332,Työkonekanta!$A$3:$A$24,0),1)*$B332*ef_li_ion_akku/1000/1000/INDEX(Työkonekanta!$K$3:$K$27,MATCH($A332,Työkonekanta!$A$3:$A$24,0)),0)</f>
        <v>0</v>
      </c>
      <c r="W332" s="149">
        <f t="shared" si="105"/>
        <v>0</v>
      </c>
      <c r="X332" s="150">
        <f t="shared" si="106"/>
        <v>0</v>
      </c>
      <c r="Y332" s="151">
        <f t="shared" si="107"/>
        <v>0</v>
      </c>
      <c r="Z332" s="152">
        <f t="shared" si="122"/>
        <v>0</v>
      </c>
      <c r="AA332" s="153">
        <f t="shared" si="123"/>
        <v>0</v>
      </c>
      <c r="AB332" s="153">
        <f t="shared" si="124"/>
        <v>0</v>
      </c>
      <c r="AC332" s="154">
        <f t="shared" si="108"/>
        <v>0</v>
      </c>
      <c r="AD332" s="180">
        <f t="shared" si="125"/>
        <v>0</v>
      </c>
      <c r="AE332" s="160"/>
    </row>
    <row r="333" spans="1:31">
      <c r="A333" s="139">
        <v>1</v>
      </c>
      <c r="B333" s="139">
        <f>IFERROR(INDEX(Työkonekanta!$F$3:$F$27,MATCH('S2 Bio'!$A333,Työkonekanta!$A$3:$A$24,0),1),0)</f>
        <v>1</v>
      </c>
      <c r="C333" s="140">
        <v>2030</v>
      </c>
      <c r="D333" s="141" t="str">
        <f>IFERROR(INDEX(Työkonekanta!$D$3:$D$27,MATCH('S2 Bio'!$A333,Työkonekanta!$A$3:$A$24,0),1),"undefined")</f>
        <v>pom</v>
      </c>
      <c r="E333" s="145">
        <f>IFERROR(INDEX(Työkonekanta!$G$3:$G$27,MATCH($A333,Työkonekanta!$A$3:$A$24,0),1)*INDEX(Työkonekanta!$H$3:$H$27,MATCH($A333,Työkonekanta!$A$3:$A$24,0),1)*(1+_xlfn.SINGLE(s2_kerroin)*($C333-2019))*$B333,0)</f>
        <v>11100.000000000002</v>
      </c>
      <c r="F333" s="145">
        <f t="shared" si="111"/>
        <v>398490.00000000006</v>
      </c>
      <c r="G333" s="145">
        <f t="shared" si="118"/>
        <v>128845.10000000003</v>
      </c>
      <c r="H333" s="145">
        <f t="shared" si="119"/>
        <v>269644.90000000002</v>
      </c>
      <c r="I333" s="145">
        <f t="shared" si="112"/>
        <v>3589.0000000000009</v>
      </c>
      <c r="J333" s="145">
        <f t="shared" si="113"/>
        <v>7861.3673469387768</v>
      </c>
      <c r="K333" s="142" t="str">
        <f t="shared" si="120"/>
        <v>l</v>
      </c>
      <c r="L333" s="146">
        <f>IFERROR(INDEX(Työkonekanta!$I$3:$I$27,MATCH('S2 Bio'!$A333,Työkonekanta!$A$3:$A$24,0),1)*(I333+J333)*f_adblue,0)</f>
        <v>572.51836734693893</v>
      </c>
      <c r="M333" s="146">
        <f t="shared" si="104"/>
        <v>0</v>
      </c>
      <c r="N333" s="143" t="str">
        <f>IF(tuulisähkö_vuosi&lt;='S2 Bio'!C333,"tuulisähkö",ostosähkö_nyt)</f>
        <v>jäännössähkö</v>
      </c>
      <c r="O333" s="147">
        <f>INDEX(Muuttujat!$J$5:$J$21,MATCH($C333,Muuttujat!$H$5:$H$21,0),1)</f>
        <v>61.999687056709845</v>
      </c>
      <c r="P333" s="148">
        <f t="shared" si="121"/>
        <v>0.32333333333333336</v>
      </c>
      <c r="Q333" s="148">
        <f t="shared" si="114"/>
        <v>0.67666666666666664</v>
      </c>
      <c r="R333" s="148">
        <f t="shared" si="114"/>
        <v>0.67666666666666664</v>
      </c>
      <c r="S333" s="149">
        <f t="shared" si="115"/>
        <v>2.4351723900000009</v>
      </c>
      <c r="T333" s="150">
        <f t="shared" si="116"/>
        <v>16.825841760000003</v>
      </c>
      <c r="U333" s="150">
        <f t="shared" si="117"/>
        <v>0</v>
      </c>
      <c r="V333" s="150">
        <f>IFERROR(INDEX(Työkonekanta!$J$3:$J$27,MATCH($A333,Työkonekanta!$A$3:$A$24,0),1)*$B333*ef_li_ion_akku/1000/1000/INDEX(Työkonekanta!$K$3:$K$27,MATCH($A333,Työkonekanta!$A$3:$A$24,0)),0)</f>
        <v>0</v>
      </c>
      <c r="W333" s="149">
        <f t="shared" si="105"/>
        <v>9.5098319033454022</v>
      </c>
      <c r="X333" s="150">
        <f t="shared" si="106"/>
        <v>0.35269768260000006</v>
      </c>
      <c r="Y333" s="151">
        <f t="shared" si="107"/>
        <v>0.14885477551020412</v>
      </c>
      <c r="Z333" s="152">
        <f t="shared" si="122"/>
        <v>19.261014150000005</v>
      </c>
      <c r="AA333" s="153">
        <f t="shared" si="123"/>
        <v>9.6586866788556058</v>
      </c>
      <c r="AB333" s="153">
        <f t="shared" si="124"/>
        <v>10.011384361455606</v>
      </c>
      <c r="AC333" s="154">
        <f t="shared" si="108"/>
        <v>28.919700828855611</v>
      </c>
      <c r="AD333" s="180">
        <f t="shared" si="125"/>
        <v>29.272398511455613</v>
      </c>
      <c r="AE333" s="160"/>
    </row>
    <row r="334" spans="1:31">
      <c r="A334" s="139">
        <v>2</v>
      </c>
      <c r="B334" s="139">
        <f>IFERROR(INDEX(Työkonekanta!$F$3:$F$27,MATCH('S2 Bio'!$A334,Työkonekanta!$A$3:$A$24,0),1),0)</f>
        <v>1</v>
      </c>
      <c r="C334" s="140">
        <v>2030</v>
      </c>
      <c r="D334" s="141" t="str">
        <f>IFERROR(INDEX(Työkonekanta!$D$3:$D$27,MATCH('S2 Bio'!$A334,Työkonekanta!$A$3:$A$24,0),1),"undefined")</f>
        <v>pom</v>
      </c>
      <c r="E334" s="145">
        <f>IFERROR(INDEX(Työkonekanta!$G$3:$G$27,MATCH($A334,Työkonekanta!$A$3:$A$24,0),1)*INDEX(Työkonekanta!$H$3:$H$27,MATCH($A334,Työkonekanta!$A$3:$A$24,0),1)*(1+_xlfn.SINGLE(s2_kerroin)*($C334-2019))*$B334,0)</f>
        <v>11100.000000000002</v>
      </c>
      <c r="F334" s="145">
        <f t="shared" si="111"/>
        <v>398490.00000000006</v>
      </c>
      <c r="G334" s="145">
        <f t="shared" si="118"/>
        <v>128845.10000000003</v>
      </c>
      <c r="H334" s="145">
        <f t="shared" si="119"/>
        <v>269644.90000000002</v>
      </c>
      <c r="I334" s="145">
        <f t="shared" si="112"/>
        <v>3589.0000000000009</v>
      </c>
      <c r="J334" s="145">
        <f t="shared" si="113"/>
        <v>7861.3673469387768</v>
      </c>
      <c r="K334" s="142" t="str">
        <f t="shared" si="120"/>
        <v>l</v>
      </c>
      <c r="L334" s="146">
        <f>IFERROR(INDEX(Työkonekanta!$I$3:$I$27,MATCH('S2 Bio'!$A334,Työkonekanta!$A$3:$A$24,0),1)*(I334+J334)*f_adblue,0)</f>
        <v>572.51836734693893</v>
      </c>
      <c r="M334" s="146">
        <f t="shared" si="104"/>
        <v>0</v>
      </c>
      <c r="N334" s="143" t="str">
        <f>IF(tuulisähkö_vuosi&lt;='S2 Bio'!C334,"tuulisähkö",ostosähkö_nyt)</f>
        <v>jäännössähkö</v>
      </c>
      <c r="O334" s="147">
        <f>INDEX(Muuttujat!$J$5:$J$21,MATCH($C334,Muuttujat!$H$5:$H$21,0),1)</f>
        <v>61.999687056709845</v>
      </c>
      <c r="P334" s="148">
        <f t="shared" si="121"/>
        <v>0.32333333333333336</v>
      </c>
      <c r="Q334" s="148">
        <f t="shared" si="114"/>
        <v>0.67666666666666664</v>
      </c>
      <c r="R334" s="148">
        <f t="shared" si="114"/>
        <v>0.67666666666666664</v>
      </c>
      <c r="S334" s="149">
        <f t="shared" si="115"/>
        <v>2.4351723900000009</v>
      </c>
      <c r="T334" s="150">
        <f t="shared" si="116"/>
        <v>16.825841760000003</v>
      </c>
      <c r="U334" s="150">
        <f t="shared" si="117"/>
        <v>0</v>
      </c>
      <c r="V334" s="150">
        <f>IFERROR(INDEX(Työkonekanta!$J$3:$J$27,MATCH($A334,Työkonekanta!$A$3:$A$24,0),1)*$B334*ef_li_ion_akku/1000/1000/INDEX(Työkonekanta!$K$3:$K$27,MATCH($A334,Työkonekanta!$A$3:$A$24,0)),0)</f>
        <v>0</v>
      </c>
      <c r="W334" s="149">
        <f t="shared" si="105"/>
        <v>9.5098319033454022</v>
      </c>
      <c r="X334" s="150">
        <f t="shared" si="106"/>
        <v>0.35269768260000006</v>
      </c>
      <c r="Y334" s="151">
        <f t="shared" si="107"/>
        <v>0.14885477551020412</v>
      </c>
      <c r="Z334" s="152">
        <f t="shared" si="122"/>
        <v>19.261014150000005</v>
      </c>
      <c r="AA334" s="153">
        <f t="shared" si="123"/>
        <v>9.6586866788556058</v>
      </c>
      <c r="AB334" s="153">
        <f t="shared" si="124"/>
        <v>10.011384361455606</v>
      </c>
      <c r="AC334" s="154">
        <f t="shared" si="108"/>
        <v>28.919700828855611</v>
      </c>
      <c r="AD334" s="180">
        <f t="shared" si="125"/>
        <v>29.272398511455613</v>
      </c>
      <c r="AE334" s="160"/>
    </row>
    <row r="335" spans="1:31">
      <c r="A335" s="139">
        <v>3</v>
      </c>
      <c r="B335" s="139">
        <f>IFERROR(INDEX(Työkonekanta!$F$3:$F$27,MATCH('S2 Bio'!$A335,Työkonekanta!$A$3:$A$24,0),1),0)</f>
        <v>1</v>
      </c>
      <c r="C335" s="140">
        <v>2030</v>
      </c>
      <c r="D335" s="141" t="str">
        <f>IFERROR(INDEX(Työkonekanta!$D$3:$D$27,MATCH('S2 Bio'!$A335,Työkonekanta!$A$3:$A$24,0),1),"undefined")</f>
        <v>pom</v>
      </c>
      <c r="E335" s="145">
        <f>IFERROR(INDEX(Työkonekanta!$G$3:$G$27,MATCH($A335,Työkonekanta!$A$3:$A$24,0),1)*INDEX(Työkonekanta!$H$3:$H$27,MATCH($A335,Työkonekanta!$A$3:$A$24,0),1)*(1+_xlfn.SINGLE(s2_kerroin)*($C335-2019))*$B335,0)</f>
        <v>11100.000000000002</v>
      </c>
      <c r="F335" s="145">
        <f t="shared" si="111"/>
        <v>398490.00000000006</v>
      </c>
      <c r="G335" s="145">
        <f t="shared" si="118"/>
        <v>128845.10000000003</v>
      </c>
      <c r="H335" s="145">
        <f t="shared" si="119"/>
        <v>269644.90000000002</v>
      </c>
      <c r="I335" s="145">
        <f t="shared" si="112"/>
        <v>3589.0000000000009</v>
      </c>
      <c r="J335" s="145">
        <f t="shared" si="113"/>
        <v>7861.3673469387768</v>
      </c>
      <c r="K335" s="142" t="str">
        <f t="shared" si="120"/>
        <v>l</v>
      </c>
      <c r="L335" s="146">
        <f>IFERROR(INDEX(Työkonekanta!$I$3:$I$27,MATCH('S2 Bio'!$A335,Työkonekanta!$A$3:$A$24,0),1)*(I335+J335)*f_adblue,0)</f>
        <v>572.51836734693893</v>
      </c>
      <c r="M335" s="146">
        <f t="shared" si="104"/>
        <v>0</v>
      </c>
      <c r="N335" s="143" t="str">
        <f>IF(tuulisähkö_vuosi&lt;='S2 Bio'!C335,"tuulisähkö",ostosähkö_nyt)</f>
        <v>jäännössähkö</v>
      </c>
      <c r="O335" s="147">
        <f>INDEX(Muuttujat!$J$5:$J$21,MATCH($C335,Muuttujat!$H$5:$H$21,0),1)</f>
        <v>61.999687056709845</v>
      </c>
      <c r="P335" s="148">
        <f t="shared" si="121"/>
        <v>0.32333333333333336</v>
      </c>
      <c r="Q335" s="148">
        <f t="shared" si="114"/>
        <v>0.67666666666666664</v>
      </c>
      <c r="R335" s="148">
        <f t="shared" si="114"/>
        <v>0.67666666666666664</v>
      </c>
      <c r="S335" s="149">
        <f t="shared" si="115"/>
        <v>2.4351723900000009</v>
      </c>
      <c r="T335" s="150">
        <f t="shared" si="116"/>
        <v>16.825841760000003</v>
      </c>
      <c r="U335" s="150">
        <f t="shared" si="117"/>
        <v>0</v>
      </c>
      <c r="V335" s="150">
        <f>IFERROR(INDEX(Työkonekanta!$J$3:$J$27,MATCH($A335,Työkonekanta!$A$3:$A$24,0),1)*$B335*ef_li_ion_akku/1000/1000/INDEX(Työkonekanta!$K$3:$K$27,MATCH($A335,Työkonekanta!$A$3:$A$24,0)),0)</f>
        <v>0</v>
      </c>
      <c r="W335" s="149">
        <f t="shared" si="105"/>
        <v>9.5098319033454022</v>
      </c>
      <c r="X335" s="150">
        <f t="shared" si="106"/>
        <v>0.35269768260000006</v>
      </c>
      <c r="Y335" s="151">
        <f t="shared" si="107"/>
        <v>0.14885477551020412</v>
      </c>
      <c r="Z335" s="152">
        <f t="shared" si="122"/>
        <v>19.261014150000005</v>
      </c>
      <c r="AA335" s="153">
        <f t="shared" si="123"/>
        <v>9.6586866788556058</v>
      </c>
      <c r="AB335" s="153">
        <f t="shared" si="124"/>
        <v>10.011384361455606</v>
      </c>
      <c r="AC335" s="154">
        <f t="shared" si="108"/>
        <v>28.919700828855611</v>
      </c>
      <c r="AD335" s="180">
        <f t="shared" si="125"/>
        <v>29.272398511455613</v>
      </c>
      <c r="AE335" s="160"/>
    </row>
    <row r="336" spans="1:31">
      <c r="A336" s="139">
        <v>4</v>
      </c>
      <c r="B336" s="139">
        <f>IFERROR(INDEX(Työkonekanta!$F$3:$F$27,MATCH('S2 Bio'!$A336,Työkonekanta!$A$3:$A$24,0),1),0)</f>
        <v>1</v>
      </c>
      <c r="C336" s="140">
        <v>2030</v>
      </c>
      <c r="D336" s="141" t="str">
        <f>IFERROR(INDEX(Työkonekanta!$D$3:$D$27,MATCH('S2 Bio'!$A336,Työkonekanta!$A$3:$A$24,0),1),"undefined")</f>
        <v>pom</v>
      </c>
      <c r="E336" s="145">
        <f>IFERROR(INDEX(Työkonekanta!$G$3:$G$27,MATCH($A336,Työkonekanta!$A$3:$A$24,0),1)*INDEX(Työkonekanta!$H$3:$H$27,MATCH($A336,Työkonekanta!$A$3:$A$24,0),1)*(1+_xlfn.SINGLE(s2_kerroin)*($C336-2019))*$B336,0)</f>
        <v>11100.000000000002</v>
      </c>
      <c r="F336" s="145">
        <f t="shared" si="111"/>
        <v>398490.00000000006</v>
      </c>
      <c r="G336" s="145">
        <f t="shared" si="118"/>
        <v>128845.10000000003</v>
      </c>
      <c r="H336" s="145">
        <f t="shared" si="119"/>
        <v>269644.90000000002</v>
      </c>
      <c r="I336" s="145">
        <f t="shared" si="112"/>
        <v>3589.0000000000009</v>
      </c>
      <c r="J336" s="145">
        <f t="shared" si="113"/>
        <v>7861.3673469387768</v>
      </c>
      <c r="K336" s="142" t="str">
        <f t="shared" si="120"/>
        <v>l</v>
      </c>
      <c r="L336" s="146">
        <f>IFERROR(INDEX(Työkonekanta!$I$3:$I$27,MATCH('S2 Bio'!$A336,Työkonekanta!$A$3:$A$24,0),1)*(I336+J336)*f_adblue,0)</f>
        <v>572.51836734693893</v>
      </c>
      <c r="M336" s="146">
        <f t="shared" si="104"/>
        <v>0</v>
      </c>
      <c r="N336" s="143" t="str">
        <f>IF(tuulisähkö_vuosi&lt;='S2 Bio'!C336,"tuulisähkö",ostosähkö_nyt)</f>
        <v>jäännössähkö</v>
      </c>
      <c r="O336" s="147">
        <f>INDEX(Muuttujat!$J$5:$J$21,MATCH($C336,Muuttujat!$H$5:$H$21,0),1)</f>
        <v>61.999687056709845</v>
      </c>
      <c r="P336" s="148">
        <f t="shared" si="121"/>
        <v>0.32333333333333336</v>
      </c>
      <c r="Q336" s="148">
        <f t="shared" si="114"/>
        <v>0.67666666666666664</v>
      </c>
      <c r="R336" s="148">
        <f t="shared" si="114"/>
        <v>0.67666666666666664</v>
      </c>
      <c r="S336" s="149">
        <f t="shared" si="115"/>
        <v>2.4351723900000009</v>
      </c>
      <c r="T336" s="150">
        <f t="shared" si="116"/>
        <v>16.825841760000003</v>
      </c>
      <c r="U336" s="150">
        <f t="shared" si="117"/>
        <v>0</v>
      </c>
      <c r="V336" s="150">
        <f>IFERROR(INDEX(Työkonekanta!$J$3:$J$27,MATCH($A336,Työkonekanta!$A$3:$A$24,0),1)*$B336*ef_li_ion_akku/1000/1000/INDEX(Työkonekanta!$K$3:$K$27,MATCH($A336,Työkonekanta!$A$3:$A$24,0)),0)</f>
        <v>0</v>
      </c>
      <c r="W336" s="149">
        <f t="shared" si="105"/>
        <v>9.5098319033454022</v>
      </c>
      <c r="X336" s="150">
        <f t="shared" si="106"/>
        <v>0.35269768260000006</v>
      </c>
      <c r="Y336" s="151">
        <f t="shared" si="107"/>
        <v>0.14885477551020412</v>
      </c>
      <c r="Z336" s="152">
        <f t="shared" si="122"/>
        <v>19.261014150000005</v>
      </c>
      <c r="AA336" s="153">
        <f t="shared" si="123"/>
        <v>9.6586866788556058</v>
      </c>
      <c r="AB336" s="153">
        <f t="shared" si="124"/>
        <v>10.011384361455606</v>
      </c>
      <c r="AC336" s="154">
        <f t="shared" si="108"/>
        <v>28.919700828855611</v>
      </c>
      <c r="AD336" s="180">
        <f t="shared" si="125"/>
        <v>29.272398511455613</v>
      </c>
      <c r="AE336" s="160"/>
    </row>
    <row r="337" spans="1:31">
      <c r="A337" s="139">
        <v>5</v>
      </c>
      <c r="B337" s="139">
        <f>IFERROR(INDEX(Työkonekanta!$F$3:$F$27,MATCH('S2 Bio'!$A337,Työkonekanta!$A$3:$A$24,0),1),0)</f>
        <v>0</v>
      </c>
      <c r="C337" s="140">
        <v>2030</v>
      </c>
      <c r="D337" s="141" t="str">
        <f>IFERROR(INDEX(Työkonekanta!$D$3:$D$27,MATCH('S2 Bio'!$A337,Työkonekanta!$A$3:$A$24,0),1),"undefined")</f>
        <v>sähkö</v>
      </c>
      <c r="E337" s="145">
        <f>IFERROR(INDEX(Työkonekanta!$G$3:$G$27,MATCH($A337,Työkonekanta!$A$3:$A$24,0),1)*INDEX(Työkonekanta!$H$3:$H$27,MATCH($A337,Työkonekanta!$A$3:$A$24,0),1)*(1+_xlfn.SINGLE(s2_kerroin)*($C337-2019))*$B337,0)</f>
        <v>0</v>
      </c>
      <c r="F337" s="145">
        <f t="shared" si="111"/>
        <v>0</v>
      </c>
      <c r="G337" s="145">
        <f t="shared" si="118"/>
        <v>0</v>
      </c>
      <c r="H337" s="145">
        <f t="shared" si="119"/>
        <v>0</v>
      </c>
      <c r="I337" s="145">
        <f t="shared" si="112"/>
        <v>0</v>
      </c>
      <c r="J337" s="145">
        <f t="shared" si="113"/>
        <v>0</v>
      </c>
      <c r="K337" s="142" t="str">
        <f t="shared" si="120"/>
        <v>kWh</v>
      </c>
      <c r="L337" s="146">
        <f>IFERROR(INDEX(Työkonekanta!$I$3:$I$27,MATCH('S2 Bio'!$A337,Työkonekanta!$A$3:$A$24,0),1)*(I337+J337)*f_adblue,0)</f>
        <v>0</v>
      </c>
      <c r="M337" s="146">
        <f t="shared" si="104"/>
        <v>0</v>
      </c>
      <c r="N337" s="143" t="str">
        <f>IF(tuulisähkö_vuosi&lt;='S2 Bio'!C337,"tuulisähkö",ostosähkö_nyt)</f>
        <v>jäännössähkö</v>
      </c>
      <c r="O337" s="147">
        <f>INDEX(Muuttujat!$J$5:$J$21,MATCH($C337,Muuttujat!$H$5:$H$21,0),1)</f>
        <v>61.999687056709845</v>
      </c>
      <c r="P337" s="148">
        <f t="shared" si="121"/>
        <v>0.32333333333333336</v>
      </c>
      <c r="Q337" s="148">
        <f t="shared" si="114"/>
        <v>0.67666666666666664</v>
      </c>
      <c r="R337" s="148">
        <f t="shared" si="114"/>
        <v>0.67666666666666664</v>
      </c>
      <c r="S337" s="149">
        <f t="shared" si="115"/>
        <v>0</v>
      </c>
      <c r="T337" s="150">
        <f t="shared" si="116"/>
        <v>0</v>
      </c>
      <c r="U337" s="150">
        <f t="shared" si="117"/>
        <v>0</v>
      </c>
      <c r="V337" s="150">
        <f>IFERROR(INDEX(Työkonekanta!$J$3:$J$27,MATCH($A337,Työkonekanta!$A$3:$A$24,0),1)*$B337*ef_li_ion_akku/1000/1000/INDEX(Työkonekanta!$K$3:$K$27,MATCH($A337,Työkonekanta!$A$3:$A$24,0)),0)</f>
        <v>0</v>
      </c>
      <c r="W337" s="149">
        <f t="shared" si="105"/>
        <v>0</v>
      </c>
      <c r="X337" s="150">
        <f t="shared" si="106"/>
        <v>0</v>
      </c>
      <c r="Y337" s="151">
        <f t="shared" si="107"/>
        <v>0</v>
      </c>
      <c r="Z337" s="152">
        <f t="shared" si="122"/>
        <v>0</v>
      </c>
      <c r="AA337" s="153">
        <f t="shared" si="123"/>
        <v>0</v>
      </c>
      <c r="AB337" s="153">
        <f t="shared" si="124"/>
        <v>0</v>
      </c>
      <c r="AC337" s="154">
        <f t="shared" si="108"/>
        <v>0</v>
      </c>
      <c r="AD337" s="180">
        <f t="shared" si="125"/>
        <v>0</v>
      </c>
      <c r="AE337" s="160"/>
    </row>
    <row r="338" spans="1:31">
      <c r="A338" s="139">
        <v>6</v>
      </c>
      <c r="B338" s="139">
        <f>IFERROR(INDEX(Työkonekanta!$F$3:$F$27,MATCH('S2 Bio'!$A338,Työkonekanta!$A$3:$A$24,0),1),0)</f>
        <v>0</v>
      </c>
      <c r="C338" s="140">
        <v>2030</v>
      </c>
      <c r="D338" s="141" t="str">
        <f>IFERROR(INDEX(Työkonekanta!$D$3:$D$27,MATCH('S2 Bio'!$A338,Työkonekanta!$A$3:$A$24,0),1),"undefined")</f>
        <v>sähkö</v>
      </c>
      <c r="E338" s="145">
        <f>IFERROR(INDEX(Työkonekanta!$G$3:$G$27,MATCH($A338,Työkonekanta!$A$3:$A$24,0),1)*INDEX(Työkonekanta!$H$3:$H$27,MATCH($A338,Työkonekanta!$A$3:$A$24,0),1)*(1+_xlfn.SINGLE(s2_kerroin)*($C338-2019))*$B338,0)</f>
        <v>0</v>
      </c>
      <c r="F338" s="145">
        <f t="shared" si="111"/>
        <v>0</v>
      </c>
      <c r="G338" s="145">
        <f t="shared" si="118"/>
        <v>0</v>
      </c>
      <c r="H338" s="145">
        <f t="shared" si="119"/>
        <v>0</v>
      </c>
      <c r="I338" s="145">
        <f t="shared" si="112"/>
        <v>0</v>
      </c>
      <c r="J338" s="145">
        <f t="shared" si="113"/>
        <v>0</v>
      </c>
      <c r="K338" s="142" t="str">
        <f t="shared" si="120"/>
        <v>kWh</v>
      </c>
      <c r="L338" s="146">
        <f>IFERROR(INDEX(Työkonekanta!$I$3:$I$27,MATCH('S2 Bio'!$A338,Työkonekanta!$A$3:$A$24,0),1)*(I338+J338)*f_adblue,0)</f>
        <v>0</v>
      </c>
      <c r="M338" s="146">
        <f t="shared" si="104"/>
        <v>0</v>
      </c>
      <c r="N338" s="143" t="str">
        <f>IF(tuulisähkö_vuosi&lt;='S2 Bio'!C338,"tuulisähkö",ostosähkö_nyt)</f>
        <v>jäännössähkö</v>
      </c>
      <c r="O338" s="147">
        <f>INDEX(Muuttujat!$J$5:$J$21,MATCH($C338,Muuttujat!$H$5:$H$21,0),1)</f>
        <v>61.999687056709845</v>
      </c>
      <c r="P338" s="148">
        <f t="shared" si="121"/>
        <v>0.32333333333333336</v>
      </c>
      <c r="Q338" s="148">
        <f t="shared" si="114"/>
        <v>0.67666666666666664</v>
      </c>
      <c r="R338" s="148">
        <f t="shared" si="114"/>
        <v>0.67666666666666664</v>
      </c>
      <c r="S338" s="149">
        <f t="shared" si="115"/>
        <v>0</v>
      </c>
      <c r="T338" s="150">
        <f t="shared" si="116"/>
        <v>0</v>
      </c>
      <c r="U338" s="150">
        <f t="shared" si="117"/>
        <v>0</v>
      </c>
      <c r="V338" s="150">
        <f>IFERROR(INDEX(Työkonekanta!$J$3:$J$27,MATCH($A338,Työkonekanta!$A$3:$A$24,0),1)*$B338*ef_li_ion_akku/1000/1000/INDEX(Työkonekanta!$K$3:$K$27,MATCH($A338,Työkonekanta!$A$3:$A$24,0)),0)</f>
        <v>0</v>
      </c>
      <c r="W338" s="149">
        <f t="shared" si="105"/>
        <v>0</v>
      </c>
      <c r="X338" s="150">
        <f t="shared" si="106"/>
        <v>0</v>
      </c>
      <c r="Y338" s="151">
        <f t="shared" si="107"/>
        <v>0</v>
      </c>
      <c r="Z338" s="152">
        <f t="shared" si="122"/>
        <v>0</v>
      </c>
      <c r="AA338" s="153">
        <f t="shared" si="123"/>
        <v>0</v>
      </c>
      <c r="AB338" s="153">
        <f t="shared" si="124"/>
        <v>0</v>
      </c>
      <c r="AC338" s="154">
        <f t="shared" si="108"/>
        <v>0</v>
      </c>
      <c r="AD338" s="180">
        <f t="shared" si="125"/>
        <v>0</v>
      </c>
      <c r="AE338" s="160"/>
    </row>
    <row r="339" spans="1:31">
      <c r="A339" s="139">
        <v>7</v>
      </c>
      <c r="B339" s="139">
        <f>IFERROR(INDEX(Työkonekanta!$F$3:$F$27,MATCH('S2 Bio'!$A339,Työkonekanta!$A$3:$A$24,0),1),0)</f>
        <v>1</v>
      </c>
      <c r="C339" s="140">
        <v>2030</v>
      </c>
      <c r="D339" s="141" t="str">
        <f>IFERROR(INDEX(Työkonekanta!$D$3:$D$27,MATCH('S2 Bio'!$A339,Työkonekanta!$A$3:$A$24,0),1),"undefined")</f>
        <v>pom</v>
      </c>
      <c r="E339" s="145">
        <f>IFERROR(INDEX(Työkonekanta!$G$3:$G$27,MATCH($A339,Työkonekanta!$A$3:$A$24,0),1)*INDEX(Työkonekanta!$H$3:$H$27,MATCH($A339,Työkonekanta!$A$3:$A$24,0),1)*(1+_xlfn.SINGLE(s2_kerroin)*($C339-2019))*$B339,0)</f>
        <v>11100.000000000002</v>
      </c>
      <c r="F339" s="145">
        <f t="shared" si="111"/>
        <v>398490.00000000006</v>
      </c>
      <c r="G339" s="145">
        <f t="shared" si="118"/>
        <v>128845.10000000003</v>
      </c>
      <c r="H339" s="145">
        <f t="shared" si="119"/>
        <v>269644.90000000002</v>
      </c>
      <c r="I339" s="145">
        <f t="shared" si="112"/>
        <v>3589.0000000000009</v>
      </c>
      <c r="J339" s="145">
        <f t="shared" si="113"/>
        <v>7861.3673469387768</v>
      </c>
      <c r="K339" s="142" t="str">
        <f t="shared" si="120"/>
        <v>l</v>
      </c>
      <c r="L339" s="146">
        <f>IFERROR(INDEX(Työkonekanta!$I$3:$I$27,MATCH('S2 Bio'!$A339,Työkonekanta!$A$3:$A$24,0),1)*(I339+J339)*f_adblue,0)</f>
        <v>0</v>
      </c>
      <c r="M339" s="146">
        <f t="shared" ref="M339:M402" si="126">IF($D339="sähkö",conv_kwh_mj*$E339,0)</f>
        <v>0</v>
      </c>
      <c r="N339" s="143" t="str">
        <f>IF(tuulisähkö_vuosi&lt;='S2 Bio'!C339,"tuulisähkö",ostosähkö_nyt)</f>
        <v>jäännössähkö</v>
      </c>
      <c r="O339" s="147">
        <f>INDEX(Muuttujat!$J$5:$J$21,MATCH($C339,Muuttujat!$H$5:$H$21,0),1)</f>
        <v>61.999687056709845</v>
      </c>
      <c r="P339" s="148">
        <f t="shared" si="121"/>
        <v>0.32333333333333336</v>
      </c>
      <c r="Q339" s="148">
        <f t="shared" si="114"/>
        <v>0.67666666666666664</v>
      </c>
      <c r="R339" s="148">
        <f t="shared" si="114"/>
        <v>0.67666666666666664</v>
      </c>
      <c r="S339" s="149">
        <f t="shared" si="115"/>
        <v>2.4351723900000009</v>
      </c>
      <c r="T339" s="150">
        <f t="shared" si="116"/>
        <v>16.825841760000003</v>
      </c>
      <c r="U339" s="150">
        <f t="shared" si="117"/>
        <v>0</v>
      </c>
      <c r="V339" s="150">
        <f>IFERROR(INDEX(Työkonekanta!$J$3:$J$27,MATCH($A339,Työkonekanta!$A$3:$A$24,0),1)*$B339*ef_li_ion_akku/1000/1000/INDEX(Työkonekanta!$K$3:$K$27,MATCH($A339,Työkonekanta!$A$3:$A$24,0)),0)</f>
        <v>0</v>
      </c>
      <c r="W339" s="149">
        <f t="shared" ref="W339:W402" si="127">($I339*IF($D339="pom",ef_v_co2_pom,0))/1000/1000</f>
        <v>9.5098319033454022</v>
      </c>
      <c r="X339" s="150">
        <f t="shared" ref="X339:X402" si="128">($E339*(IF($D339="pom",ef_v_ch4_pom,0)*gwp100_ch4+IF($D339="pom",ef_v_n2o_pom,0)*gwp100_n2o))/1000/1000</f>
        <v>0.35269768260000006</v>
      </c>
      <c r="Y339" s="151">
        <f t="shared" ref="Y339:Y402" si="129">$L339*ef_v_co2_adblue/1000/1000</f>
        <v>0</v>
      </c>
      <c r="Z339" s="152">
        <f t="shared" si="122"/>
        <v>19.261014150000005</v>
      </c>
      <c r="AA339" s="153">
        <f t="shared" si="123"/>
        <v>9.5098319033454022</v>
      </c>
      <c r="AB339" s="153">
        <f t="shared" si="124"/>
        <v>9.8625295859454027</v>
      </c>
      <c r="AC339" s="154">
        <f t="shared" ref="AC339:AC402" si="130">$Z339+$AA339</f>
        <v>28.770846053345409</v>
      </c>
      <c r="AD339" s="180">
        <f t="shared" si="125"/>
        <v>29.123543735945407</v>
      </c>
      <c r="AE339" s="160"/>
    </row>
    <row r="340" spans="1:31">
      <c r="A340" s="139">
        <v>8</v>
      </c>
      <c r="B340" s="139">
        <f>IFERROR(INDEX(Työkonekanta!$F$3:$F$27,MATCH('S2 Bio'!$A340,Työkonekanta!$A$3:$A$24,0),1),0)</f>
        <v>1</v>
      </c>
      <c r="C340" s="140">
        <v>2030</v>
      </c>
      <c r="D340" s="141" t="str">
        <f>IFERROR(INDEX(Työkonekanta!$D$3:$D$27,MATCH('S2 Bio'!$A340,Työkonekanta!$A$3:$A$24,0),1),"undefined")</f>
        <v>pom</v>
      </c>
      <c r="E340" s="145">
        <f>IFERROR(INDEX(Työkonekanta!$G$3:$G$27,MATCH($A340,Työkonekanta!$A$3:$A$24,0),1)*INDEX(Työkonekanta!$H$3:$H$27,MATCH($A340,Työkonekanta!$A$3:$A$24,0),1)*(1+_xlfn.SINGLE(s2_kerroin)*($C340-2019))*$B340,0)</f>
        <v>11100.000000000002</v>
      </c>
      <c r="F340" s="145">
        <f t="shared" si="111"/>
        <v>398490.00000000006</v>
      </c>
      <c r="G340" s="145">
        <f t="shared" si="118"/>
        <v>128845.10000000003</v>
      </c>
      <c r="H340" s="145">
        <f t="shared" si="119"/>
        <v>269644.90000000002</v>
      </c>
      <c r="I340" s="145">
        <f t="shared" si="112"/>
        <v>3589.0000000000009</v>
      </c>
      <c r="J340" s="145">
        <f t="shared" si="113"/>
        <v>7861.3673469387768</v>
      </c>
      <c r="K340" s="142" t="str">
        <f t="shared" si="120"/>
        <v>l</v>
      </c>
      <c r="L340" s="146">
        <f>IFERROR(INDEX(Työkonekanta!$I$3:$I$27,MATCH('S2 Bio'!$A340,Työkonekanta!$A$3:$A$24,0),1)*(I340+J340)*f_adblue,0)</f>
        <v>572.51836734693893</v>
      </c>
      <c r="M340" s="146">
        <f t="shared" si="126"/>
        <v>0</v>
      </c>
      <c r="N340" s="143" t="str">
        <f>IF(tuulisähkö_vuosi&lt;='S2 Bio'!C340,"tuulisähkö",ostosähkö_nyt)</f>
        <v>jäännössähkö</v>
      </c>
      <c r="O340" s="147">
        <f>INDEX(Muuttujat!$J$5:$J$21,MATCH($C340,Muuttujat!$H$5:$H$21,0),1)</f>
        <v>61.999687056709845</v>
      </c>
      <c r="P340" s="148">
        <f t="shared" si="121"/>
        <v>0.32333333333333336</v>
      </c>
      <c r="Q340" s="148">
        <f t="shared" si="114"/>
        <v>0.67666666666666664</v>
      </c>
      <c r="R340" s="148">
        <f t="shared" si="114"/>
        <v>0.67666666666666664</v>
      </c>
      <c r="S340" s="149">
        <f t="shared" si="115"/>
        <v>2.4351723900000009</v>
      </c>
      <c r="T340" s="150">
        <f t="shared" si="116"/>
        <v>16.825841760000003</v>
      </c>
      <c r="U340" s="150">
        <f t="shared" si="117"/>
        <v>0</v>
      </c>
      <c r="V340" s="150">
        <f>IFERROR(INDEX(Työkonekanta!$J$3:$J$27,MATCH($A340,Työkonekanta!$A$3:$A$24,0),1)*$B340*ef_li_ion_akku/1000/1000/INDEX(Työkonekanta!$K$3:$K$27,MATCH($A340,Työkonekanta!$A$3:$A$24,0)),0)</f>
        <v>0</v>
      </c>
      <c r="W340" s="149">
        <f t="shared" si="127"/>
        <v>9.5098319033454022</v>
      </c>
      <c r="X340" s="150">
        <f t="shared" si="128"/>
        <v>0.35269768260000006</v>
      </c>
      <c r="Y340" s="151">
        <f t="shared" si="129"/>
        <v>0.14885477551020412</v>
      </c>
      <c r="Z340" s="152">
        <f t="shared" si="122"/>
        <v>19.261014150000005</v>
      </c>
      <c r="AA340" s="153">
        <f t="shared" si="123"/>
        <v>9.6586866788556058</v>
      </c>
      <c r="AB340" s="153">
        <f t="shared" si="124"/>
        <v>10.011384361455606</v>
      </c>
      <c r="AC340" s="154">
        <f t="shared" si="130"/>
        <v>28.919700828855611</v>
      </c>
      <c r="AD340" s="180">
        <f t="shared" si="125"/>
        <v>29.272398511455613</v>
      </c>
      <c r="AE340" s="160"/>
    </row>
    <row r="341" spans="1:31">
      <c r="A341" s="139">
        <v>9</v>
      </c>
      <c r="B341" s="139">
        <f>IFERROR(INDEX(Työkonekanta!$F$3:$F$27,MATCH('S2 Bio'!$A341,Työkonekanta!$A$3:$A$24,0),1),0)</f>
        <v>0</v>
      </c>
      <c r="C341" s="140">
        <v>2030</v>
      </c>
      <c r="D341" s="141" t="str">
        <f>IFERROR(INDEX(Työkonekanta!$D$3:$D$27,MATCH('S2 Bio'!$A341,Työkonekanta!$A$3:$A$24,0),1),"undefined")</f>
        <v>sähkö</v>
      </c>
      <c r="E341" s="145">
        <f>IFERROR(INDEX(Työkonekanta!$G$3:$G$27,MATCH($A341,Työkonekanta!$A$3:$A$24,0),1)*INDEX(Työkonekanta!$H$3:$H$27,MATCH($A341,Työkonekanta!$A$3:$A$24,0),1)*(1+_xlfn.SINGLE(s2_kerroin)*($C341-2019))*$B341,0)</f>
        <v>0</v>
      </c>
      <c r="F341" s="145">
        <f t="shared" si="111"/>
        <v>0</v>
      </c>
      <c r="G341" s="145">
        <f t="shared" si="118"/>
        <v>0</v>
      </c>
      <c r="H341" s="145">
        <f t="shared" si="119"/>
        <v>0</v>
      </c>
      <c r="I341" s="145">
        <f t="shared" si="112"/>
        <v>0</v>
      </c>
      <c r="J341" s="145">
        <f t="shared" si="113"/>
        <v>0</v>
      </c>
      <c r="K341" s="142" t="str">
        <f t="shared" si="120"/>
        <v>kWh</v>
      </c>
      <c r="L341" s="146">
        <f>IFERROR(INDEX(Työkonekanta!$I$3:$I$27,MATCH('S2 Bio'!$A341,Työkonekanta!$A$3:$A$24,0),1)*(I341+J341)*f_adblue,0)</f>
        <v>0</v>
      </c>
      <c r="M341" s="146">
        <f t="shared" si="126"/>
        <v>0</v>
      </c>
      <c r="N341" s="143" t="str">
        <f>IF(tuulisähkö_vuosi&lt;='S2 Bio'!C341,"tuulisähkö",ostosähkö_nyt)</f>
        <v>jäännössähkö</v>
      </c>
      <c r="O341" s="147">
        <f>INDEX(Muuttujat!$J$5:$J$21,MATCH($C341,Muuttujat!$H$5:$H$21,0),1)</f>
        <v>61.999687056709845</v>
      </c>
      <c r="P341" s="148">
        <f t="shared" si="121"/>
        <v>0.32333333333333336</v>
      </c>
      <c r="Q341" s="148">
        <f t="shared" si="114"/>
        <v>0.67666666666666664</v>
      </c>
      <c r="R341" s="148">
        <f t="shared" si="114"/>
        <v>0.67666666666666664</v>
      </c>
      <c r="S341" s="149">
        <f t="shared" si="115"/>
        <v>0</v>
      </c>
      <c r="T341" s="150">
        <f t="shared" si="116"/>
        <v>0</v>
      </c>
      <c r="U341" s="150">
        <f t="shared" si="117"/>
        <v>0</v>
      </c>
      <c r="V341" s="150">
        <f>IFERROR(INDEX(Työkonekanta!$J$3:$J$27,MATCH($A341,Työkonekanta!$A$3:$A$24,0),1)*$B341*ef_li_ion_akku/1000/1000/INDEX(Työkonekanta!$K$3:$K$27,MATCH($A341,Työkonekanta!$A$3:$A$24,0)),0)</f>
        <v>0</v>
      </c>
      <c r="W341" s="149">
        <f t="shared" si="127"/>
        <v>0</v>
      </c>
      <c r="X341" s="150">
        <f t="shared" si="128"/>
        <v>0</v>
      </c>
      <c r="Y341" s="151">
        <f t="shared" si="129"/>
        <v>0</v>
      </c>
      <c r="Z341" s="152">
        <f t="shared" si="122"/>
        <v>0</v>
      </c>
      <c r="AA341" s="153">
        <f t="shared" si="123"/>
        <v>0</v>
      </c>
      <c r="AB341" s="153">
        <f t="shared" si="124"/>
        <v>0</v>
      </c>
      <c r="AC341" s="154">
        <f t="shared" si="130"/>
        <v>0</v>
      </c>
      <c r="AD341" s="180">
        <f t="shared" si="125"/>
        <v>0</v>
      </c>
      <c r="AE341" s="160"/>
    </row>
    <row r="342" spans="1:31">
      <c r="A342" s="139">
        <v>10</v>
      </c>
      <c r="B342" s="139">
        <f>IFERROR(INDEX(Työkonekanta!$F$3:$F$27,MATCH('S2 Bio'!$A342,Työkonekanta!$A$3:$A$24,0),1),0)</f>
        <v>0</v>
      </c>
      <c r="C342" s="140">
        <v>2030</v>
      </c>
      <c r="D342" s="141" t="str">
        <f>IFERROR(INDEX(Työkonekanta!$D$3:$D$27,MATCH('S2 Bio'!$A342,Työkonekanta!$A$3:$A$24,0),1),"undefined")</f>
        <v>sähkö</v>
      </c>
      <c r="E342" s="145">
        <f>IFERROR(INDEX(Työkonekanta!$G$3:$G$27,MATCH($A342,Työkonekanta!$A$3:$A$24,0),1)*INDEX(Työkonekanta!$H$3:$H$27,MATCH($A342,Työkonekanta!$A$3:$A$24,0),1)*(1+_xlfn.SINGLE(s2_kerroin)*($C342-2019))*$B342,0)</f>
        <v>0</v>
      </c>
      <c r="F342" s="145">
        <f t="shared" si="111"/>
        <v>0</v>
      </c>
      <c r="G342" s="145">
        <f t="shared" si="118"/>
        <v>0</v>
      </c>
      <c r="H342" s="145">
        <f t="shared" si="119"/>
        <v>0</v>
      </c>
      <c r="I342" s="145">
        <f t="shared" si="112"/>
        <v>0</v>
      </c>
      <c r="J342" s="145">
        <f t="shared" si="113"/>
        <v>0</v>
      </c>
      <c r="K342" s="142" t="str">
        <f t="shared" si="120"/>
        <v>kWh</v>
      </c>
      <c r="L342" s="146">
        <f>IFERROR(INDEX(Työkonekanta!$I$3:$I$27,MATCH('S2 Bio'!$A342,Työkonekanta!$A$3:$A$24,0),1)*(I342+J342)*f_adblue,0)</f>
        <v>0</v>
      </c>
      <c r="M342" s="146">
        <f t="shared" si="126"/>
        <v>0</v>
      </c>
      <c r="N342" s="143" t="str">
        <f>IF(tuulisähkö_vuosi&lt;='S2 Bio'!C342,"tuulisähkö",ostosähkö_nyt)</f>
        <v>jäännössähkö</v>
      </c>
      <c r="O342" s="147">
        <f>INDEX(Muuttujat!$J$5:$J$21,MATCH($C342,Muuttujat!$H$5:$H$21,0),1)</f>
        <v>61.999687056709845</v>
      </c>
      <c r="P342" s="148">
        <f t="shared" si="121"/>
        <v>0.32333333333333336</v>
      </c>
      <c r="Q342" s="148">
        <f t="shared" si="114"/>
        <v>0.67666666666666664</v>
      </c>
      <c r="R342" s="148">
        <f t="shared" si="114"/>
        <v>0.67666666666666664</v>
      </c>
      <c r="S342" s="149">
        <f t="shared" si="115"/>
        <v>0</v>
      </c>
      <c r="T342" s="150">
        <f t="shared" si="116"/>
        <v>0</v>
      </c>
      <c r="U342" s="150">
        <f t="shared" si="117"/>
        <v>0</v>
      </c>
      <c r="V342" s="150">
        <f>IFERROR(INDEX(Työkonekanta!$J$3:$J$27,MATCH($A342,Työkonekanta!$A$3:$A$24,0),1)*$B342*ef_li_ion_akku/1000/1000/INDEX(Työkonekanta!$K$3:$K$27,MATCH($A342,Työkonekanta!$A$3:$A$24,0)),0)</f>
        <v>0</v>
      </c>
      <c r="W342" s="149">
        <f t="shared" si="127"/>
        <v>0</v>
      </c>
      <c r="X342" s="150">
        <f t="shared" si="128"/>
        <v>0</v>
      </c>
      <c r="Y342" s="151">
        <f t="shared" si="129"/>
        <v>0</v>
      </c>
      <c r="Z342" s="152">
        <f t="shared" si="122"/>
        <v>0</v>
      </c>
      <c r="AA342" s="153">
        <f t="shared" si="123"/>
        <v>0</v>
      </c>
      <c r="AB342" s="153">
        <f t="shared" si="124"/>
        <v>0</v>
      </c>
      <c r="AC342" s="154">
        <f t="shared" si="130"/>
        <v>0</v>
      </c>
      <c r="AD342" s="180">
        <f t="shared" si="125"/>
        <v>0</v>
      </c>
      <c r="AE342" s="160"/>
    </row>
    <row r="343" spans="1:31">
      <c r="A343" s="139">
        <v>11</v>
      </c>
      <c r="B343" s="139">
        <f>IFERROR(INDEX(Työkonekanta!$F$3:$F$27,MATCH('S2 Bio'!$A343,Työkonekanta!$A$3:$A$24,0),1),0)</f>
        <v>1</v>
      </c>
      <c r="C343" s="140">
        <v>2030</v>
      </c>
      <c r="D343" s="141" t="str">
        <f>IFERROR(INDEX(Työkonekanta!$D$3:$D$27,MATCH('S2 Bio'!$A343,Työkonekanta!$A$3:$A$24,0),1),"undefined")</f>
        <v>pom</v>
      </c>
      <c r="E343" s="145">
        <f>IFERROR(INDEX(Työkonekanta!$G$3:$G$27,MATCH($A343,Työkonekanta!$A$3:$A$24,0),1)*INDEX(Työkonekanta!$H$3:$H$27,MATCH($A343,Työkonekanta!$A$3:$A$24,0),1)*(1+_xlfn.SINGLE(s2_kerroin)*($C343-2019))*$B343,0)</f>
        <v>11100.000000000002</v>
      </c>
      <c r="F343" s="145">
        <f t="shared" si="111"/>
        <v>398490.00000000006</v>
      </c>
      <c r="G343" s="145">
        <f t="shared" si="118"/>
        <v>128845.10000000003</v>
      </c>
      <c r="H343" s="145">
        <f t="shared" si="119"/>
        <v>269644.90000000002</v>
      </c>
      <c r="I343" s="145">
        <f t="shared" si="112"/>
        <v>3589.0000000000009</v>
      </c>
      <c r="J343" s="145">
        <f t="shared" si="113"/>
        <v>7861.3673469387768</v>
      </c>
      <c r="K343" s="142" t="str">
        <f t="shared" si="120"/>
        <v>l</v>
      </c>
      <c r="L343" s="146">
        <f>IFERROR(INDEX(Työkonekanta!$I$3:$I$27,MATCH('S2 Bio'!$A343,Työkonekanta!$A$3:$A$24,0),1)*(I343+J343)*f_adblue,0)</f>
        <v>572.51836734693893</v>
      </c>
      <c r="M343" s="146">
        <f t="shared" si="126"/>
        <v>0</v>
      </c>
      <c r="N343" s="143" t="str">
        <f>IF(tuulisähkö_vuosi&lt;='S2 Bio'!C343,"tuulisähkö",ostosähkö_nyt)</f>
        <v>jäännössähkö</v>
      </c>
      <c r="O343" s="147">
        <f>INDEX(Muuttujat!$J$5:$J$21,MATCH($C343,Muuttujat!$H$5:$H$21,0),1)</f>
        <v>61.999687056709845</v>
      </c>
      <c r="P343" s="148">
        <f t="shared" si="121"/>
        <v>0.32333333333333336</v>
      </c>
      <c r="Q343" s="148">
        <f t="shared" ref="Q343:R362" si="131">IF(biosiirtymä_luonne="äkillinen",INDEX($AG$4:$AG$20,MATCH($C343,$AF$4:$AF$20,0),1),INDEX($AH$4:$AH$20,MATCH($C343,$AF$4:$AF$20,0),1))</f>
        <v>0.67666666666666664</v>
      </c>
      <c r="R343" s="148">
        <f t="shared" si="131"/>
        <v>0.67666666666666664</v>
      </c>
      <c r="S343" s="149">
        <f t="shared" si="115"/>
        <v>2.4351723900000009</v>
      </c>
      <c r="T343" s="150">
        <f t="shared" si="116"/>
        <v>16.825841760000003</v>
      </c>
      <c r="U343" s="150">
        <f t="shared" si="117"/>
        <v>0</v>
      </c>
      <c r="V343" s="150">
        <f>IFERROR(INDEX(Työkonekanta!$J$3:$J$27,MATCH($A343,Työkonekanta!$A$3:$A$24,0),1)*$B343*ef_li_ion_akku/1000/1000/INDEX(Työkonekanta!$K$3:$K$27,MATCH($A343,Työkonekanta!$A$3:$A$24,0)),0)</f>
        <v>0</v>
      </c>
      <c r="W343" s="149">
        <f t="shared" si="127"/>
        <v>9.5098319033454022</v>
      </c>
      <c r="X343" s="150">
        <f t="shared" si="128"/>
        <v>0.35269768260000006</v>
      </c>
      <c r="Y343" s="151">
        <f t="shared" si="129"/>
        <v>0.14885477551020412</v>
      </c>
      <c r="Z343" s="152">
        <f t="shared" si="122"/>
        <v>19.261014150000005</v>
      </c>
      <c r="AA343" s="153">
        <f t="shared" si="123"/>
        <v>9.6586866788556058</v>
      </c>
      <c r="AB343" s="153">
        <f t="shared" si="124"/>
        <v>10.011384361455606</v>
      </c>
      <c r="AC343" s="154">
        <f t="shared" si="130"/>
        <v>28.919700828855611</v>
      </c>
      <c r="AD343" s="180">
        <f t="shared" si="125"/>
        <v>29.272398511455613</v>
      </c>
      <c r="AE343" s="160"/>
    </row>
    <row r="344" spans="1:31">
      <c r="A344" s="139">
        <v>12</v>
      </c>
      <c r="B344" s="139">
        <f>IFERROR(INDEX(Työkonekanta!$F$3:$F$27,MATCH('S2 Bio'!$A344,Työkonekanta!$A$3:$A$24,0),1),0)</f>
        <v>1</v>
      </c>
      <c r="C344" s="140">
        <v>2030</v>
      </c>
      <c r="D344" s="141" t="str">
        <f>IFERROR(INDEX(Työkonekanta!$D$3:$D$27,MATCH('S2 Bio'!$A344,Työkonekanta!$A$3:$A$24,0),1),"undefined")</f>
        <v>pom</v>
      </c>
      <c r="E344" s="145">
        <f>IFERROR(INDEX(Työkonekanta!$G$3:$G$27,MATCH($A344,Työkonekanta!$A$3:$A$24,0),1)*INDEX(Työkonekanta!$H$3:$H$27,MATCH($A344,Työkonekanta!$A$3:$A$24,0),1)*(1+_xlfn.SINGLE(s2_kerroin)*($C344-2019))*$B344,0)</f>
        <v>11100.000000000002</v>
      </c>
      <c r="F344" s="145">
        <f t="shared" si="111"/>
        <v>398490.00000000006</v>
      </c>
      <c r="G344" s="145">
        <f t="shared" si="118"/>
        <v>128845.10000000003</v>
      </c>
      <c r="H344" s="145">
        <f t="shared" si="119"/>
        <v>269644.90000000002</v>
      </c>
      <c r="I344" s="145">
        <f t="shared" si="112"/>
        <v>3589.0000000000009</v>
      </c>
      <c r="J344" s="145">
        <f t="shared" si="113"/>
        <v>7861.3673469387768</v>
      </c>
      <c r="K344" s="142" t="str">
        <f t="shared" si="120"/>
        <v>l</v>
      </c>
      <c r="L344" s="146">
        <f>IFERROR(INDEX(Työkonekanta!$I$3:$I$27,MATCH('S2 Bio'!$A344,Työkonekanta!$A$3:$A$24,0),1)*(I344+J344)*f_adblue,0)</f>
        <v>572.51836734693893</v>
      </c>
      <c r="M344" s="146">
        <f t="shared" si="126"/>
        <v>0</v>
      </c>
      <c r="N344" s="143" t="str">
        <f>IF(tuulisähkö_vuosi&lt;='S2 Bio'!C344,"tuulisähkö",ostosähkö_nyt)</f>
        <v>jäännössähkö</v>
      </c>
      <c r="O344" s="147">
        <f>INDEX(Muuttujat!$J$5:$J$21,MATCH($C344,Muuttujat!$H$5:$H$21,0),1)</f>
        <v>61.999687056709845</v>
      </c>
      <c r="P344" s="148">
        <f t="shared" si="121"/>
        <v>0.32333333333333336</v>
      </c>
      <c r="Q344" s="148">
        <f t="shared" si="131"/>
        <v>0.67666666666666664</v>
      </c>
      <c r="R344" s="148">
        <f t="shared" si="131"/>
        <v>0.67666666666666664</v>
      </c>
      <c r="S344" s="149">
        <f t="shared" si="115"/>
        <v>2.4351723900000009</v>
      </c>
      <c r="T344" s="150">
        <f t="shared" si="116"/>
        <v>16.825841760000003</v>
      </c>
      <c r="U344" s="150">
        <f t="shared" si="117"/>
        <v>0</v>
      </c>
      <c r="V344" s="150">
        <f>IFERROR(INDEX(Työkonekanta!$J$3:$J$27,MATCH($A344,Työkonekanta!$A$3:$A$24,0),1)*$B344*ef_li_ion_akku/1000/1000/INDEX(Työkonekanta!$K$3:$K$27,MATCH($A344,Työkonekanta!$A$3:$A$24,0)),0)</f>
        <v>0</v>
      </c>
      <c r="W344" s="149">
        <f t="shared" si="127"/>
        <v>9.5098319033454022</v>
      </c>
      <c r="X344" s="150">
        <f t="shared" si="128"/>
        <v>0.35269768260000006</v>
      </c>
      <c r="Y344" s="151">
        <f t="shared" si="129"/>
        <v>0.14885477551020412</v>
      </c>
      <c r="Z344" s="152">
        <f t="shared" si="122"/>
        <v>19.261014150000005</v>
      </c>
      <c r="AA344" s="153">
        <f t="shared" si="123"/>
        <v>9.6586866788556058</v>
      </c>
      <c r="AB344" s="153">
        <f t="shared" si="124"/>
        <v>10.011384361455606</v>
      </c>
      <c r="AC344" s="154">
        <f t="shared" si="130"/>
        <v>28.919700828855611</v>
      </c>
      <c r="AD344" s="180">
        <f t="shared" si="125"/>
        <v>29.272398511455613</v>
      </c>
      <c r="AE344" s="160"/>
    </row>
    <row r="345" spans="1:31">
      <c r="A345" s="139">
        <v>13</v>
      </c>
      <c r="B345" s="139">
        <f>IFERROR(INDEX(Työkonekanta!$F$3:$F$27,MATCH('S2 Bio'!$A345,Työkonekanta!$A$3:$A$24,0),1),0)</f>
        <v>0</v>
      </c>
      <c r="C345" s="140">
        <v>2030</v>
      </c>
      <c r="D345" s="141" t="str">
        <f>IFERROR(INDEX(Työkonekanta!$D$3:$D$27,MATCH('S2 Bio'!$A345,Työkonekanta!$A$3:$A$24,0),1),"undefined")</f>
        <v>pom</v>
      </c>
      <c r="E345" s="145">
        <f>IFERROR(INDEX(Työkonekanta!$G$3:$G$27,MATCH($A345,Työkonekanta!$A$3:$A$24,0),1)*INDEX(Työkonekanta!$H$3:$H$27,MATCH($A345,Työkonekanta!$A$3:$A$24,0),1)*(1+_xlfn.SINGLE(s2_kerroin)*($C345-2019))*$B345,0)</f>
        <v>0</v>
      </c>
      <c r="F345" s="145">
        <f t="shared" si="111"/>
        <v>0</v>
      </c>
      <c r="G345" s="145">
        <f t="shared" si="118"/>
        <v>0</v>
      </c>
      <c r="H345" s="145">
        <f t="shared" si="119"/>
        <v>0</v>
      </c>
      <c r="I345" s="145">
        <f t="shared" si="112"/>
        <v>0</v>
      </c>
      <c r="J345" s="145">
        <f t="shared" si="113"/>
        <v>0</v>
      </c>
      <c r="K345" s="142" t="str">
        <f t="shared" si="120"/>
        <v>l</v>
      </c>
      <c r="L345" s="146">
        <f>IFERROR(INDEX(Työkonekanta!$I$3:$I$27,MATCH('S2 Bio'!$A345,Työkonekanta!$A$3:$A$24,0),1)*(I345+J345)*f_adblue,0)</f>
        <v>0</v>
      </c>
      <c r="M345" s="146">
        <f t="shared" si="126"/>
        <v>0</v>
      </c>
      <c r="N345" s="143" t="str">
        <f>IF(tuulisähkö_vuosi&lt;='S2 Bio'!C345,"tuulisähkö",ostosähkö_nyt)</f>
        <v>jäännössähkö</v>
      </c>
      <c r="O345" s="147">
        <f>INDEX(Muuttujat!$J$5:$J$21,MATCH($C345,Muuttujat!$H$5:$H$21,0),1)</f>
        <v>61.999687056709845</v>
      </c>
      <c r="P345" s="148">
        <f t="shared" si="121"/>
        <v>0.32333333333333336</v>
      </c>
      <c r="Q345" s="148">
        <f t="shared" si="131"/>
        <v>0.67666666666666664</v>
      </c>
      <c r="R345" s="148">
        <f t="shared" si="131"/>
        <v>0.67666666666666664</v>
      </c>
      <c r="S345" s="149">
        <f t="shared" si="115"/>
        <v>0</v>
      </c>
      <c r="T345" s="150">
        <f t="shared" si="116"/>
        <v>0</v>
      </c>
      <c r="U345" s="150">
        <f t="shared" si="117"/>
        <v>0</v>
      </c>
      <c r="V345" s="150">
        <f>IFERROR(INDEX(Työkonekanta!$J$3:$J$27,MATCH($A345,Työkonekanta!$A$3:$A$24,0),1)*$B345*ef_li_ion_akku/1000/1000/INDEX(Työkonekanta!$K$3:$K$27,MATCH($A345,Työkonekanta!$A$3:$A$24,0)),0)</f>
        <v>0</v>
      </c>
      <c r="W345" s="149">
        <f t="shared" si="127"/>
        <v>0</v>
      </c>
      <c r="X345" s="150">
        <f t="shared" si="128"/>
        <v>0</v>
      </c>
      <c r="Y345" s="151">
        <f t="shared" si="129"/>
        <v>0</v>
      </c>
      <c r="Z345" s="152">
        <f t="shared" si="122"/>
        <v>0</v>
      </c>
      <c r="AA345" s="153">
        <f t="shared" si="123"/>
        <v>0</v>
      </c>
      <c r="AB345" s="153">
        <f t="shared" si="124"/>
        <v>0</v>
      </c>
      <c r="AC345" s="154">
        <f t="shared" si="130"/>
        <v>0</v>
      </c>
      <c r="AD345" s="180">
        <f t="shared" si="125"/>
        <v>0</v>
      </c>
      <c r="AE345" s="160"/>
    </row>
    <row r="346" spans="1:31">
      <c r="A346" s="139">
        <v>14</v>
      </c>
      <c r="B346" s="139">
        <f>IFERROR(INDEX(Työkonekanta!$F$3:$F$27,MATCH('S2 Bio'!$A346,Työkonekanta!$A$3:$A$24,0),1),0)</f>
        <v>0</v>
      </c>
      <c r="C346" s="140">
        <v>2030</v>
      </c>
      <c r="D346" s="141" t="str">
        <f>IFERROR(INDEX(Työkonekanta!$D$3:$D$27,MATCH('S2 Bio'!$A346,Työkonekanta!$A$3:$A$24,0),1),"undefined")</f>
        <v>pom</v>
      </c>
      <c r="E346" s="145">
        <f>IFERROR(INDEX(Työkonekanta!$G$3:$G$27,MATCH($A346,Työkonekanta!$A$3:$A$24,0),1)*INDEX(Työkonekanta!$H$3:$H$27,MATCH($A346,Työkonekanta!$A$3:$A$24,0),1)*(1+_xlfn.SINGLE(s2_kerroin)*($C346-2019))*$B346,0)</f>
        <v>0</v>
      </c>
      <c r="F346" s="145">
        <f t="shared" si="111"/>
        <v>0</v>
      </c>
      <c r="G346" s="145">
        <f t="shared" si="118"/>
        <v>0</v>
      </c>
      <c r="H346" s="145">
        <f t="shared" si="119"/>
        <v>0</v>
      </c>
      <c r="I346" s="145">
        <f t="shared" si="112"/>
        <v>0</v>
      </c>
      <c r="J346" s="145">
        <f t="shared" si="113"/>
        <v>0</v>
      </c>
      <c r="K346" s="142" t="str">
        <f t="shared" si="120"/>
        <v>l</v>
      </c>
      <c r="L346" s="146">
        <f>IFERROR(INDEX(Työkonekanta!$I$3:$I$27,MATCH('S2 Bio'!$A346,Työkonekanta!$A$3:$A$24,0),1)*(I346+J346)*f_adblue,0)</f>
        <v>0</v>
      </c>
      <c r="M346" s="146">
        <f t="shared" si="126"/>
        <v>0</v>
      </c>
      <c r="N346" s="143" t="str">
        <f>IF(tuulisähkö_vuosi&lt;='S2 Bio'!C346,"tuulisähkö",ostosähkö_nyt)</f>
        <v>jäännössähkö</v>
      </c>
      <c r="O346" s="147">
        <f>INDEX(Muuttujat!$J$5:$J$21,MATCH($C346,Muuttujat!$H$5:$H$21,0),1)</f>
        <v>61.999687056709845</v>
      </c>
      <c r="P346" s="148">
        <f t="shared" si="121"/>
        <v>0.32333333333333336</v>
      </c>
      <c r="Q346" s="148">
        <f t="shared" si="131"/>
        <v>0.67666666666666664</v>
      </c>
      <c r="R346" s="148">
        <f t="shared" si="131"/>
        <v>0.67666666666666664</v>
      </c>
      <c r="S346" s="149">
        <f t="shared" si="115"/>
        <v>0</v>
      </c>
      <c r="T346" s="150">
        <f t="shared" si="116"/>
        <v>0</v>
      </c>
      <c r="U346" s="150">
        <f t="shared" si="117"/>
        <v>0</v>
      </c>
      <c r="V346" s="150">
        <f>IFERROR(INDEX(Työkonekanta!$J$3:$J$27,MATCH($A346,Työkonekanta!$A$3:$A$24,0),1)*$B346*ef_li_ion_akku/1000/1000/INDEX(Työkonekanta!$K$3:$K$27,MATCH($A346,Työkonekanta!$A$3:$A$24,0)),0)</f>
        <v>0</v>
      </c>
      <c r="W346" s="149">
        <f t="shared" si="127"/>
        <v>0</v>
      </c>
      <c r="X346" s="150">
        <f t="shared" si="128"/>
        <v>0</v>
      </c>
      <c r="Y346" s="151">
        <f t="shared" si="129"/>
        <v>0</v>
      </c>
      <c r="Z346" s="152">
        <f t="shared" si="122"/>
        <v>0</v>
      </c>
      <c r="AA346" s="153">
        <f t="shared" si="123"/>
        <v>0</v>
      </c>
      <c r="AB346" s="153">
        <f t="shared" si="124"/>
        <v>0</v>
      </c>
      <c r="AC346" s="154">
        <f t="shared" si="130"/>
        <v>0</v>
      </c>
      <c r="AD346" s="180">
        <f t="shared" si="125"/>
        <v>0</v>
      </c>
      <c r="AE346" s="160"/>
    </row>
    <row r="347" spans="1:31">
      <c r="A347" s="139">
        <v>15</v>
      </c>
      <c r="B347" s="139">
        <f>IFERROR(INDEX(Työkonekanta!$F$3:$F$27,MATCH('S2 Bio'!$A347,Työkonekanta!$A$3:$A$24,0),1),0)</f>
        <v>0</v>
      </c>
      <c r="C347" s="140">
        <v>2030</v>
      </c>
      <c r="D347" s="141" t="str">
        <f>IFERROR(INDEX(Työkonekanta!$D$3:$D$27,MATCH('S2 Bio'!$A347,Työkonekanta!$A$3:$A$24,0),1),"undefined")</f>
        <v>sähkö</v>
      </c>
      <c r="E347" s="145">
        <f>IFERROR(INDEX(Työkonekanta!$G$3:$G$27,MATCH($A347,Työkonekanta!$A$3:$A$24,0),1)*INDEX(Työkonekanta!$H$3:$H$27,MATCH($A347,Työkonekanta!$A$3:$A$24,0),1)*(1+_xlfn.SINGLE(s2_kerroin)*($C347-2019))*$B347,0)</f>
        <v>0</v>
      </c>
      <c r="F347" s="145">
        <f t="shared" si="111"/>
        <v>0</v>
      </c>
      <c r="G347" s="145">
        <f t="shared" si="118"/>
        <v>0</v>
      </c>
      <c r="H347" s="145">
        <f t="shared" si="119"/>
        <v>0</v>
      </c>
      <c r="I347" s="145">
        <f t="shared" si="112"/>
        <v>0</v>
      </c>
      <c r="J347" s="145">
        <f t="shared" si="113"/>
        <v>0</v>
      </c>
      <c r="K347" s="142" t="str">
        <f t="shared" si="120"/>
        <v>kWh</v>
      </c>
      <c r="L347" s="146">
        <f>IFERROR(INDEX(Työkonekanta!$I$3:$I$27,MATCH('S2 Bio'!$A347,Työkonekanta!$A$3:$A$24,0),1)*(I347+J347)*f_adblue,0)</f>
        <v>0</v>
      </c>
      <c r="M347" s="146">
        <f t="shared" si="126"/>
        <v>0</v>
      </c>
      <c r="N347" s="143" t="str">
        <f>IF(tuulisähkö_vuosi&lt;='S2 Bio'!C347,"tuulisähkö",ostosähkö_nyt)</f>
        <v>jäännössähkö</v>
      </c>
      <c r="O347" s="147">
        <f>INDEX(Muuttujat!$J$5:$J$21,MATCH($C347,Muuttujat!$H$5:$H$21,0),1)</f>
        <v>61.999687056709845</v>
      </c>
      <c r="P347" s="148">
        <f t="shared" si="121"/>
        <v>0.32333333333333336</v>
      </c>
      <c r="Q347" s="148">
        <f t="shared" si="131"/>
        <v>0.67666666666666664</v>
      </c>
      <c r="R347" s="148">
        <f t="shared" si="131"/>
        <v>0.67666666666666664</v>
      </c>
      <c r="S347" s="149">
        <f t="shared" si="115"/>
        <v>0</v>
      </c>
      <c r="T347" s="150">
        <f t="shared" si="116"/>
        <v>0</v>
      </c>
      <c r="U347" s="150">
        <f t="shared" si="117"/>
        <v>0</v>
      </c>
      <c r="V347" s="150">
        <f>IFERROR(INDEX(Työkonekanta!$J$3:$J$27,MATCH($A347,Työkonekanta!$A$3:$A$24,0),1)*$B347*ef_li_ion_akku/1000/1000/INDEX(Työkonekanta!$K$3:$K$27,MATCH($A347,Työkonekanta!$A$3:$A$24,0)),0)</f>
        <v>0</v>
      </c>
      <c r="W347" s="149">
        <f t="shared" si="127"/>
        <v>0</v>
      </c>
      <c r="X347" s="150">
        <f t="shared" si="128"/>
        <v>0</v>
      </c>
      <c r="Y347" s="151">
        <f t="shared" si="129"/>
        <v>0</v>
      </c>
      <c r="Z347" s="152">
        <f t="shared" si="122"/>
        <v>0</v>
      </c>
      <c r="AA347" s="153">
        <f t="shared" si="123"/>
        <v>0</v>
      </c>
      <c r="AB347" s="153">
        <f t="shared" si="124"/>
        <v>0</v>
      </c>
      <c r="AC347" s="154">
        <f t="shared" si="130"/>
        <v>0</v>
      </c>
      <c r="AD347" s="180">
        <f t="shared" si="125"/>
        <v>0</v>
      </c>
      <c r="AE347" s="160"/>
    </row>
    <row r="348" spans="1:31">
      <c r="A348" s="139">
        <v>16</v>
      </c>
      <c r="B348" s="139">
        <f>IFERROR(INDEX(Työkonekanta!$F$3:$F$27,MATCH('S2 Bio'!$A348,Työkonekanta!$A$3:$A$24,0),1),0)</f>
        <v>0</v>
      </c>
      <c r="C348" s="140">
        <v>2030</v>
      </c>
      <c r="D348" s="141" t="str">
        <f>IFERROR(INDEX(Työkonekanta!$D$3:$D$27,MATCH('S2 Bio'!$A348,Työkonekanta!$A$3:$A$24,0),1),"undefined")</f>
        <v>sähkö</v>
      </c>
      <c r="E348" s="145">
        <f>IFERROR(INDEX(Työkonekanta!$G$3:$G$27,MATCH($A348,Työkonekanta!$A$3:$A$24,0),1)*INDEX(Työkonekanta!$H$3:$H$27,MATCH($A348,Työkonekanta!$A$3:$A$24,0),1)*(1+_xlfn.SINGLE(s2_kerroin)*($C348-2019))*$B348,0)</f>
        <v>0</v>
      </c>
      <c r="F348" s="145">
        <f t="shared" si="111"/>
        <v>0</v>
      </c>
      <c r="G348" s="145">
        <f t="shared" si="118"/>
        <v>0</v>
      </c>
      <c r="H348" s="145">
        <f t="shared" si="119"/>
        <v>0</v>
      </c>
      <c r="I348" s="145">
        <f t="shared" si="112"/>
        <v>0</v>
      </c>
      <c r="J348" s="145">
        <f t="shared" si="113"/>
        <v>0</v>
      </c>
      <c r="K348" s="142" t="str">
        <f t="shared" si="120"/>
        <v>kWh</v>
      </c>
      <c r="L348" s="146">
        <f>IFERROR(INDEX(Työkonekanta!$I$3:$I$27,MATCH('S2 Bio'!$A348,Työkonekanta!$A$3:$A$24,0),1)*(I348+J348)*f_adblue,0)</f>
        <v>0</v>
      </c>
      <c r="M348" s="146">
        <f t="shared" si="126"/>
        <v>0</v>
      </c>
      <c r="N348" s="143" t="str">
        <f>IF(tuulisähkö_vuosi&lt;='S2 Bio'!C348,"tuulisähkö",ostosähkö_nyt)</f>
        <v>jäännössähkö</v>
      </c>
      <c r="O348" s="147">
        <f>INDEX(Muuttujat!$J$5:$J$21,MATCH($C348,Muuttujat!$H$5:$H$21,0),1)</f>
        <v>61.999687056709845</v>
      </c>
      <c r="P348" s="148">
        <f t="shared" si="121"/>
        <v>0.32333333333333336</v>
      </c>
      <c r="Q348" s="148">
        <f t="shared" si="131"/>
        <v>0.67666666666666664</v>
      </c>
      <c r="R348" s="148">
        <f t="shared" si="131"/>
        <v>0.67666666666666664</v>
      </c>
      <c r="S348" s="149">
        <f t="shared" si="115"/>
        <v>0</v>
      </c>
      <c r="T348" s="150">
        <f t="shared" si="116"/>
        <v>0</v>
      </c>
      <c r="U348" s="150">
        <f t="shared" si="117"/>
        <v>0</v>
      </c>
      <c r="V348" s="150">
        <f>IFERROR(INDEX(Työkonekanta!$J$3:$J$27,MATCH($A348,Työkonekanta!$A$3:$A$24,0),1)*$B348*ef_li_ion_akku/1000/1000/INDEX(Työkonekanta!$K$3:$K$27,MATCH($A348,Työkonekanta!$A$3:$A$24,0)),0)</f>
        <v>0</v>
      </c>
      <c r="W348" s="149">
        <f t="shared" si="127"/>
        <v>0</v>
      </c>
      <c r="X348" s="150">
        <f t="shared" si="128"/>
        <v>0</v>
      </c>
      <c r="Y348" s="151">
        <f t="shared" si="129"/>
        <v>0</v>
      </c>
      <c r="Z348" s="152">
        <f t="shared" si="122"/>
        <v>0</v>
      </c>
      <c r="AA348" s="153">
        <f t="shared" si="123"/>
        <v>0</v>
      </c>
      <c r="AB348" s="153">
        <f t="shared" si="124"/>
        <v>0</v>
      </c>
      <c r="AC348" s="154">
        <f t="shared" si="130"/>
        <v>0</v>
      </c>
      <c r="AD348" s="180">
        <f t="shared" si="125"/>
        <v>0</v>
      </c>
      <c r="AE348" s="160"/>
    </row>
    <row r="349" spans="1:31">
      <c r="A349" s="139">
        <v>17</v>
      </c>
      <c r="B349" s="139">
        <f>IFERROR(INDEX(Työkonekanta!$F$3:$F$27,MATCH('S2 Bio'!$A349,Työkonekanta!$A$3:$A$24,0),1),0)</f>
        <v>1</v>
      </c>
      <c r="C349" s="140">
        <v>2030</v>
      </c>
      <c r="D349" s="141" t="str">
        <f>IFERROR(INDEX(Työkonekanta!$D$3:$D$27,MATCH('S2 Bio'!$A349,Työkonekanta!$A$3:$A$24,0),1),"undefined")</f>
        <v>pom</v>
      </c>
      <c r="E349" s="145">
        <f>IFERROR(INDEX(Työkonekanta!$G$3:$G$27,MATCH($A349,Työkonekanta!$A$3:$A$24,0),1)*INDEX(Työkonekanta!$H$3:$H$27,MATCH($A349,Työkonekanta!$A$3:$A$24,0),1)*(1+_xlfn.SINGLE(s2_kerroin)*($C349-2019))*$B349,0)</f>
        <v>11100.000000000002</v>
      </c>
      <c r="F349" s="145">
        <f t="shared" si="111"/>
        <v>398490.00000000006</v>
      </c>
      <c r="G349" s="145">
        <f t="shared" si="118"/>
        <v>128845.10000000003</v>
      </c>
      <c r="H349" s="145">
        <f t="shared" si="119"/>
        <v>269644.90000000002</v>
      </c>
      <c r="I349" s="145">
        <f t="shared" si="112"/>
        <v>3589.0000000000009</v>
      </c>
      <c r="J349" s="145">
        <f t="shared" si="113"/>
        <v>7861.3673469387768</v>
      </c>
      <c r="K349" s="142" t="str">
        <f t="shared" si="120"/>
        <v>l</v>
      </c>
      <c r="L349" s="146">
        <f>IFERROR(INDEX(Työkonekanta!$I$3:$I$27,MATCH('S2 Bio'!$A349,Työkonekanta!$A$3:$A$24,0),1)*(I349+J349)*f_adblue,0)</f>
        <v>572.51836734693893</v>
      </c>
      <c r="M349" s="146">
        <f t="shared" si="126"/>
        <v>0</v>
      </c>
      <c r="N349" s="143" t="str">
        <f>IF(tuulisähkö_vuosi&lt;='S2 Bio'!C349,"tuulisähkö",ostosähkö_nyt)</f>
        <v>jäännössähkö</v>
      </c>
      <c r="O349" s="147">
        <f>INDEX(Muuttujat!$J$5:$J$21,MATCH($C349,Muuttujat!$H$5:$H$21,0),1)</f>
        <v>61.999687056709845</v>
      </c>
      <c r="P349" s="148">
        <f t="shared" si="121"/>
        <v>0.32333333333333336</v>
      </c>
      <c r="Q349" s="148">
        <f t="shared" si="131"/>
        <v>0.67666666666666664</v>
      </c>
      <c r="R349" s="148">
        <f t="shared" si="131"/>
        <v>0.67666666666666664</v>
      </c>
      <c r="S349" s="149">
        <f t="shared" si="115"/>
        <v>2.4351723900000009</v>
      </c>
      <c r="T349" s="150">
        <f t="shared" si="116"/>
        <v>16.825841760000003</v>
      </c>
      <c r="U349" s="150">
        <f t="shared" si="117"/>
        <v>0</v>
      </c>
      <c r="V349" s="150">
        <f>IFERROR(INDEX(Työkonekanta!$J$3:$J$27,MATCH($A349,Työkonekanta!$A$3:$A$24,0),1)*$B349*ef_li_ion_akku/1000/1000/INDEX(Työkonekanta!$K$3:$K$27,MATCH($A349,Työkonekanta!$A$3:$A$24,0)),0)</f>
        <v>0</v>
      </c>
      <c r="W349" s="149">
        <f t="shared" si="127"/>
        <v>9.5098319033454022</v>
      </c>
      <c r="X349" s="150">
        <f t="shared" si="128"/>
        <v>0.35269768260000006</v>
      </c>
      <c r="Y349" s="151">
        <f t="shared" si="129"/>
        <v>0.14885477551020412</v>
      </c>
      <c r="Z349" s="152">
        <f t="shared" si="122"/>
        <v>19.261014150000005</v>
      </c>
      <c r="AA349" s="153">
        <f t="shared" si="123"/>
        <v>9.6586866788556058</v>
      </c>
      <c r="AB349" s="153">
        <f t="shared" si="124"/>
        <v>10.011384361455606</v>
      </c>
      <c r="AC349" s="154">
        <f t="shared" si="130"/>
        <v>28.919700828855611</v>
      </c>
      <c r="AD349" s="180">
        <f t="shared" si="125"/>
        <v>29.272398511455613</v>
      </c>
      <c r="AE349" s="160"/>
    </row>
    <row r="350" spans="1:31">
      <c r="A350" s="139">
        <v>18</v>
      </c>
      <c r="B350" s="139">
        <f>IFERROR(INDEX(Työkonekanta!$F$3:$F$27,MATCH('S2 Bio'!$A350,Työkonekanta!$A$3:$A$24,0),1),0)</f>
        <v>1</v>
      </c>
      <c r="C350" s="140">
        <v>2030</v>
      </c>
      <c r="D350" s="141" t="str">
        <f>IFERROR(INDEX(Työkonekanta!$D$3:$D$27,MATCH('S2 Bio'!$A350,Työkonekanta!$A$3:$A$24,0),1),"undefined")</f>
        <v>pom</v>
      </c>
      <c r="E350" s="145">
        <f>IFERROR(INDEX(Työkonekanta!$G$3:$G$27,MATCH($A350,Työkonekanta!$A$3:$A$24,0),1)*INDEX(Työkonekanta!$H$3:$H$27,MATCH($A350,Työkonekanta!$A$3:$A$24,0),1)*(1+_xlfn.SINGLE(s2_kerroin)*($C350-2019))*$B350,0)</f>
        <v>11100.000000000002</v>
      </c>
      <c r="F350" s="145">
        <f t="shared" si="111"/>
        <v>398490.00000000006</v>
      </c>
      <c r="G350" s="145">
        <f t="shared" si="118"/>
        <v>128845.10000000003</v>
      </c>
      <c r="H350" s="145">
        <f t="shared" si="119"/>
        <v>269644.90000000002</v>
      </c>
      <c r="I350" s="145">
        <f t="shared" si="112"/>
        <v>3589.0000000000009</v>
      </c>
      <c r="J350" s="145">
        <f t="shared" si="113"/>
        <v>7861.3673469387768</v>
      </c>
      <c r="K350" s="142" t="str">
        <f t="shared" si="120"/>
        <v>l</v>
      </c>
      <c r="L350" s="146">
        <f>IFERROR(INDEX(Työkonekanta!$I$3:$I$27,MATCH('S2 Bio'!$A350,Työkonekanta!$A$3:$A$24,0),1)*(I350+J350)*f_adblue,0)</f>
        <v>458.01469387755117</v>
      </c>
      <c r="M350" s="146">
        <f t="shared" si="126"/>
        <v>0</v>
      </c>
      <c r="N350" s="143" t="str">
        <f>IF(tuulisähkö_vuosi&lt;='S2 Bio'!C350,"tuulisähkö",ostosähkö_nyt)</f>
        <v>jäännössähkö</v>
      </c>
      <c r="O350" s="147">
        <f>INDEX(Muuttujat!$J$5:$J$21,MATCH($C350,Muuttujat!$H$5:$H$21,0),1)</f>
        <v>61.999687056709845</v>
      </c>
      <c r="P350" s="148">
        <f t="shared" si="121"/>
        <v>0.32333333333333336</v>
      </c>
      <c r="Q350" s="148">
        <f t="shared" si="131"/>
        <v>0.67666666666666664</v>
      </c>
      <c r="R350" s="148">
        <f t="shared" si="131"/>
        <v>0.67666666666666664</v>
      </c>
      <c r="S350" s="149">
        <f t="shared" si="115"/>
        <v>2.4351723900000009</v>
      </c>
      <c r="T350" s="150">
        <f t="shared" si="116"/>
        <v>16.825841760000003</v>
      </c>
      <c r="U350" s="150">
        <f t="shared" si="117"/>
        <v>0</v>
      </c>
      <c r="V350" s="150">
        <f>IFERROR(INDEX(Työkonekanta!$J$3:$J$27,MATCH($A350,Työkonekanta!$A$3:$A$24,0),1)*$B350*ef_li_ion_akku/1000/1000/INDEX(Työkonekanta!$K$3:$K$27,MATCH($A350,Työkonekanta!$A$3:$A$24,0)),0)</f>
        <v>0</v>
      </c>
      <c r="W350" s="149">
        <f t="shared" si="127"/>
        <v>9.5098319033454022</v>
      </c>
      <c r="X350" s="150">
        <f t="shared" si="128"/>
        <v>0.35269768260000006</v>
      </c>
      <c r="Y350" s="151">
        <f t="shared" si="129"/>
        <v>0.1190838204081633</v>
      </c>
      <c r="Z350" s="152">
        <f t="shared" si="122"/>
        <v>19.261014150000005</v>
      </c>
      <c r="AA350" s="153">
        <f t="shared" si="123"/>
        <v>9.6289157237535647</v>
      </c>
      <c r="AB350" s="153">
        <f t="shared" si="124"/>
        <v>9.9816134063535653</v>
      </c>
      <c r="AC350" s="154">
        <f t="shared" si="130"/>
        <v>28.889929873753569</v>
      </c>
      <c r="AD350" s="180">
        <f t="shared" si="125"/>
        <v>29.242627556353568</v>
      </c>
      <c r="AE350" s="160"/>
    </row>
    <row r="351" spans="1:31">
      <c r="A351" s="139">
        <v>19</v>
      </c>
      <c r="B351" s="139">
        <f>IFERROR(INDEX(Työkonekanta!$F$3:$F$27,MATCH('S2 Bio'!$A351,Työkonekanta!$A$3:$A$24,0),1),0)</f>
        <v>0</v>
      </c>
      <c r="C351" s="140">
        <v>2030</v>
      </c>
      <c r="D351" s="141" t="str">
        <f>IFERROR(INDEX(Työkonekanta!$D$3:$D$27,MATCH('S2 Bio'!$A351,Työkonekanta!$A$3:$A$24,0),1),"undefined")</f>
        <v>pom</v>
      </c>
      <c r="E351" s="145">
        <f>IFERROR(INDEX(Työkonekanta!$G$3:$G$27,MATCH($A351,Työkonekanta!$A$3:$A$24,0),1)*INDEX(Työkonekanta!$H$3:$H$27,MATCH($A351,Työkonekanta!$A$3:$A$24,0),1)*(1+_xlfn.SINGLE(s2_kerroin)*($C351-2019))*$B351,0)</f>
        <v>0</v>
      </c>
      <c r="F351" s="145">
        <f t="shared" si="111"/>
        <v>0</v>
      </c>
      <c r="G351" s="145">
        <f t="shared" si="118"/>
        <v>0</v>
      </c>
      <c r="H351" s="145">
        <f t="shared" si="119"/>
        <v>0</v>
      </c>
      <c r="I351" s="145">
        <f t="shared" si="112"/>
        <v>0</v>
      </c>
      <c r="J351" s="145">
        <f t="shared" si="113"/>
        <v>0</v>
      </c>
      <c r="K351" s="142" t="str">
        <f t="shared" si="120"/>
        <v>l</v>
      </c>
      <c r="L351" s="146">
        <f>IFERROR(INDEX(Työkonekanta!$I$3:$I$27,MATCH('S2 Bio'!$A351,Työkonekanta!$A$3:$A$24,0),1)*(I351+J351)*f_adblue,0)</f>
        <v>0</v>
      </c>
      <c r="M351" s="146">
        <f t="shared" si="126"/>
        <v>0</v>
      </c>
      <c r="N351" s="143" t="str">
        <f>IF(tuulisähkö_vuosi&lt;='S2 Bio'!C351,"tuulisähkö",ostosähkö_nyt)</f>
        <v>jäännössähkö</v>
      </c>
      <c r="O351" s="147">
        <f>INDEX(Muuttujat!$J$5:$J$21,MATCH($C351,Muuttujat!$H$5:$H$21,0),1)</f>
        <v>61.999687056709845</v>
      </c>
      <c r="P351" s="148">
        <f t="shared" si="121"/>
        <v>0.32333333333333336</v>
      </c>
      <c r="Q351" s="148">
        <f t="shared" si="131"/>
        <v>0.67666666666666664</v>
      </c>
      <c r="R351" s="148">
        <f t="shared" si="131"/>
        <v>0.67666666666666664</v>
      </c>
      <c r="S351" s="149">
        <f t="shared" si="115"/>
        <v>0</v>
      </c>
      <c r="T351" s="150">
        <f t="shared" si="116"/>
        <v>0</v>
      </c>
      <c r="U351" s="150">
        <f t="shared" si="117"/>
        <v>0</v>
      </c>
      <c r="V351" s="150">
        <f>IFERROR(INDEX(Työkonekanta!$J$3:$J$27,MATCH($A351,Työkonekanta!$A$3:$A$24,0),1)*$B351*ef_li_ion_akku/1000/1000/INDEX(Työkonekanta!$K$3:$K$27,MATCH($A351,Työkonekanta!$A$3:$A$24,0)),0)</f>
        <v>0</v>
      </c>
      <c r="W351" s="149">
        <f t="shared" si="127"/>
        <v>0</v>
      </c>
      <c r="X351" s="150">
        <f t="shared" si="128"/>
        <v>0</v>
      </c>
      <c r="Y351" s="151">
        <f t="shared" si="129"/>
        <v>0</v>
      </c>
      <c r="Z351" s="152">
        <f t="shared" si="122"/>
        <v>0</v>
      </c>
      <c r="AA351" s="153">
        <f t="shared" si="123"/>
        <v>0</v>
      </c>
      <c r="AB351" s="153">
        <f t="shared" si="124"/>
        <v>0</v>
      </c>
      <c r="AC351" s="154">
        <f t="shared" si="130"/>
        <v>0</v>
      </c>
      <c r="AD351" s="180">
        <f t="shared" si="125"/>
        <v>0</v>
      </c>
      <c r="AE351" s="160"/>
    </row>
    <row r="352" spans="1:31">
      <c r="A352" s="139">
        <v>20</v>
      </c>
      <c r="B352" s="139">
        <f>IFERROR(INDEX(Työkonekanta!$F$3:$F$27,MATCH('S2 Bio'!$A352,Työkonekanta!$A$3:$A$24,0),1),0)</f>
        <v>0</v>
      </c>
      <c r="C352" s="140">
        <v>2030</v>
      </c>
      <c r="D352" s="141" t="str">
        <f>IFERROR(INDEX(Työkonekanta!$D$3:$D$27,MATCH('S2 Bio'!$A352,Työkonekanta!$A$3:$A$24,0),1),"undefined")</f>
        <v>pom</v>
      </c>
      <c r="E352" s="145">
        <f>IFERROR(INDEX(Työkonekanta!$G$3:$G$27,MATCH($A352,Työkonekanta!$A$3:$A$24,0),1)*INDEX(Työkonekanta!$H$3:$H$27,MATCH($A352,Työkonekanta!$A$3:$A$24,0),1)*(1+_xlfn.SINGLE(s2_kerroin)*($C352-2019))*$B352,0)</f>
        <v>0</v>
      </c>
      <c r="F352" s="145">
        <f t="shared" si="111"/>
        <v>0</v>
      </c>
      <c r="G352" s="145">
        <f t="shared" si="118"/>
        <v>0</v>
      </c>
      <c r="H352" s="145">
        <f t="shared" si="119"/>
        <v>0</v>
      </c>
      <c r="I352" s="145">
        <f t="shared" si="112"/>
        <v>0</v>
      </c>
      <c r="J352" s="145">
        <f t="shared" si="113"/>
        <v>0</v>
      </c>
      <c r="K352" s="142" t="str">
        <f t="shared" si="120"/>
        <v>l</v>
      </c>
      <c r="L352" s="146">
        <f>IFERROR(INDEX(Työkonekanta!$I$3:$I$27,MATCH('S2 Bio'!$A352,Työkonekanta!$A$3:$A$24,0),1)*(I352+J352)*f_adblue,0)</f>
        <v>0</v>
      </c>
      <c r="M352" s="146">
        <f t="shared" si="126"/>
        <v>0</v>
      </c>
      <c r="N352" s="143" t="str">
        <f>IF(tuulisähkö_vuosi&lt;='S2 Bio'!C352,"tuulisähkö",ostosähkö_nyt)</f>
        <v>jäännössähkö</v>
      </c>
      <c r="O352" s="147">
        <f>INDEX(Muuttujat!$J$5:$J$21,MATCH($C352,Muuttujat!$H$5:$H$21,0),1)</f>
        <v>61.999687056709845</v>
      </c>
      <c r="P352" s="148">
        <f t="shared" si="121"/>
        <v>0.32333333333333336</v>
      </c>
      <c r="Q352" s="148">
        <f t="shared" si="131"/>
        <v>0.67666666666666664</v>
      </c>
      <c r="R352" s="148">
        <f t="shared" si="131"/>
        <v>0.67666666666666664</v>
      </c>
      <c r="S352" s="149">
        <f t="shared" si="115"/>
        <v>0</v>
      </c>
      <c r="T352" s="150">
        <f t="shared" si="116"/>
        <v>0</v>
      </c>
      <c r="U352" s="150">
        <f t="shared" si="117"/>
        <v>0</v>
      </c>
      <c r="V352" s="150">
        <f>IFERROR(INDEX(Työkonekanta!$J$3:$J$27,MATCH($A352,Työkonekanta!$A$3:$A$24,0),1)*$B352*ef_li_ion_akku/1000/1000/INDEX(Työkonekanta!$K$3:$K$27,MATCH($A352,Työkonekanta!$A$3:$A$24,0)),0)</f>
        <v>0</v>
      </c>
      <c r="W352" s="149">
        <f t="shared" si="127"/>
        <v>0</v>
      </c>
      <c r="X352" s="150">
        <f t="shared" si="128"/>
        <v>0</v>
      </c>
      <c r="Y352" s="151">
        <f t="shared" si="129"/>
        <v>0</v>
      </c>
      <c r="Z352" s="152">
        <f t="shared" si="122"/>
        <v>0</v>
      </c>
      <c r="AA352" s="153">
        <f t="shared" si="123"/>
        <v>0</v>
      </c>
      <c r="AB352" s="153">
        <f t="shared" si="124"/>
        <v>0</v>
      </c>
      <c r="AC352" s="154">
        <f t="shared" si="130"/>
        <v>0</v>
      </c>
      <c r="AD352" s="180">
        <f t="shared" si="125"/>
        <v>0</v>
      </c>
      <c r="AE352" s="160"/>
    </row>
    <row r="353" spans="1:31">
      <c r="A353" s="139">
        <v>21</v>
      </c>
      <c r="B353" s="139">
        <f>IFERROR(INDEX(Työkonekanta!$F$3:$F$27,MATCH('S2 Bio'!$A353,Työkonekanta!$A$3:$A$24,0),1),0)</f>
        <v>35</v>
      </c>
      <c r="C353" s="140">
        <v>2030</v>
      </c>
      <c r="D353" s="141" t="str">
        <f>IFERROR(INDEX(Työkonekanta!$D$3:$D$27,MATCH('S2 Bio'!$A353,Työkonekanta!$A$3:$A$24,0),1),"undefined")</f>
        <v>sähkö</v>
      </c>
      <c r="E353" s="145">
        <f>IFERROR(INDEX(Työkonekanta!$G$3:$G$27,MATCH($A353,Työkonekanta!$A$3:$A$24,0),1)*INDEX(Työkonekanta!$H$3:$H$27,MATCH($A353,Työkonekanta!$A$3:$A$24,0),1)*(1+_xlfn.SINGLE(s2_kerroin)*($C353-2019))*$B353,0)</f>
        <v>451990.97222222225</v>
      </c>
      <c r="F353" s="145">
        <f t="shared" si="111"/>
        <v>0</v>
      </c>
      <c r="G353" s="145">
        <f t="shared" si="118"/>
        <v>0</v>
      </c>
      <c r="H353" s="145">
        <f t="shared" si="119"/>
        <v>0</v>
      </c>
      <c r="I353" s="145">
        <f t="shared" si="112"/>
        <v>0</v>
      </c>
      <c r="J353" s="145">
        <f t="shared" si="113"/>
        <v>0</v>
      </c>
      <c r="K353" s="142" t="str">
        <f t="shared" si="120"/>
        <v>kWh</v>
      </c>
      <c r="L353" s="146">
        <f>IFERROR(INDEX(Työkonekanta!$I$3:$I$27,MATCH('S2 Bio'!$A353,Työkonekanta!$A$3:$A$24,0),1)*(I353+J353)*f_adblue,0)</f>
        <v>0</v>
      </c>
      <c r="M353" s="146">
        <f t="shared" si="126"/>
        <v>1627167.5000000002</v>
      </c>
      <c r="N353" s="143" t="str">
        <f>IF(tuulisähkö_vuosi&lt;='S2 Bio'!C353,"tuulisähkö",ostosähkö_nyt)</f>
        <v>jäännössähkö</v>
      </c>
      <c r="O353" s="147">
        <f>INDEX(Muuttujat!$J$5:$J$21,MATCH($C353,Muuttujat!$H$5:$H$21,0),1)</f>
        <v>61.999687056709845</v>
      </c>
      <c r="P353" s="148">
        <f t="shared" si="121"/>
        <v>0.32333333333333336</v>
      </c>
      <c r="Q353" s="148">
        <f t="shared" si="131"/>
        <v>0.67666666666666664</v>
      </c>
      <c r="R353" s="148">
        <f t="shared" si="131"/>
        <v>0.67666666666666664</v>
      </c>
      <c r="S353" s="149">
        <f t="shared" si="115"/>
        <v>0</v>
      </c>
      <c r="T353" s="150">
        <f t="shared" si="116"/>
        <v>0</v>
      </c>
      <c r="U353" s="150">
        <f t="shared" si="117"/>
        <v>100.88387578884894</v>
      </c>
      <c r="V353" s="150">
        <f>IFERROR(INDEX(Työkonekanta!$J$3:$J$27,MATCH($A353,Työkonekanta!$A$3:$A$24,0),1)*$B353*ef_li_ion_akku/1000/1000/INDEX(Työkonekanta!$K$3:$K$27,MATCH($A353,Työkonekanta!$A$3:$A$24,0)),0)</f>
        <v>43.121723076923082</v>
      </c>
      <c r="W353" s="149">
        <f t="shared" si="127"/>
        <v>0</v>
      </c>
      <c r="X353" s="150">
        <f t="shared" si="128"/>
        <v>0</v>
      </c>
      <c r="Y353" s="151">
        <f t="shared" si="129"/>
        <v>0</v>
      </c>
      <c r="Z353" s="152">
        <f t="shared" si="122"/>
        <v>144.00559886577201</v>
      </c>
      <c r="AA353" s="153">
        <f t="shared" si="123"/>
        <v>0</v>
      </c>
      <c r="AB353" s="153">
        <f t="shared" si="124"/>
        <v>0</v>
      </c>
      <c r="AC353" s="154">
        <f t="shared" si="130"/>
        <v>144.00559886577201</v>
      </c>
      <c r="AD353" s="180">
        <f t="shared" si="125"/>
        <v>144.00559886577201</v>
      </c>
      <c r="AE353" s="160"/>
    </row>
    <row r="354" spans="1:31">
      <c r="A354" s="139">
        <v>22</v>
      </c>
      <c r="B354" s="139">
        <f>IFERROR(INDEX(Työkonekanta!$F$3:$F$27,MATCH('S2 Bio'!$A354,Työkonekanta!$A$3:$A$24,0),1),0)</f>
        <v>0</v>
      </c>
      <c r="C354" s="140">
        <v>2030</v>
      </c>
      <c r="D354" s="141" t="str">
        <f>IFERROR(INDEX(Työkonekanta!$D$3:$D$27,MATCH('S2 Bio'!$A354,Työkonekanta!$A$3:$A$24,0),1),"undefined")</f>
        <v>sähkö</v>
      </c>
      <c r="E354" s="145">
        <f>IFERROR(INDEX(Työkonekanta!$G$3:$G$27,MATCH($A354,Työkonekanta!$A$3:$A$24,0),1)*INDEX(Työkonekanta!$H$3:$H$27,MATCH($A354,Työkonekanta!$A$3:$A$24,0),1)*(1+_xlfn.SINGLE(s2_kerroin)*($C354-2019))*$B354,0)</f>
        <v>0</v>
      </c>
      <c r="F354" s="145">
        <f t="shared" si="111"/>
        <v>0</v>
      </c>
      <c r="G354" s="145">
        <f t="shared" si="118"/>
        <v>0</v>
      </c>
      <c r="H354" s="145">
        <f t="shared" si="119"/>
        <v>0</v>
      </c>
      <c r="I354" s="145">
        <f t="shared" si="112"/>
        <v>0</v>
      </c>
      <c r="J354" s="145">
        <f t="shared" si="113"/>
        <v>0</v>
      </c>
      <c r="K354" s="142" t="str">
        <f t="shared" si="120"/>
        <v>kWh</v>
      </c>
      <c r="L354" s="146">
        <f>IFERROR(INDEX(Työkonekanta!$I$3:$I$27,MATCH('S2 Bio'!$A354,Työkonekanta!$A$3:$A$24,0),1)*(I354+J354)*f_adblue,0)</f>
        <v>0</v>
      </c>
      <c r="M354" s="146">
        <f t="shared" si="126"/>
        <v>0</v>
      </c>
      <c r="N354" s="143" t="str">
        <f>IF(tuulisähkö_vuosi&lt;='S2 Bio'!C354,"tuulisähkö",ostosähkö_nyt)</f>
        <v>jäännössähkö</v>
      </c>
      <c r="O354" s="147">
        <f>INDEX(Muuttujat!$J$5:$J$21,MATCH($C354,Muuttujat!$H$5:$H$21,0),1)</f>
        <v>61.999687056709845</v>
      </c>
      <c r="P354" s="148">
        <f t="shared" si="121"/>
        <v>0.32333333333333336</v>
      </c>
      <c r="Q354" s="148">
        <f t="shared" si="131"/>
        <v>0.67666666666666664</v>
      </c>
      <c r="R354" s="148">
        <f t="shared" si="131"/>
        <v>0.67666666666666664</v>
      </c>
      <c r="S354" s="149">
        <f t="shared" si="115"/>
        <v>0</v>
      </c>
      <c r="T354" s="150">
        <f t="shared" si="116"/>
        <v>0</v>
      </c>
      <c r="U354" s="150">
        <f t="shared" si="117"/>
        <v>0</v>
      </c>
      <c r="V354" s="150">
        <f>IFERROR(INDEX(Työkonekanta!$J$3:$J$27,MATCH($A354,Työkonekanta!$A$3:$A$24,0),1)*$B354*ef_li_ion_akku/1000/1000/INDEX(Työkonekanta!$K$3:$K$27,MATCH($A354,Työkonekanta!$A$3:$A$24,0)),0)</f>
        <v>0</v>
      </c>
      <c r="W354" s="149">
        <f t="shared" si="127"/>
        <v>0</v>
      </c>
      <c r="X354" s="150">
        <f t="shared" si="128"/>
        <v>0</v>
      </c>
      <c r="Y354" s="151">
        <f t="shared" si="129"/>
        <v>0</v>
      </c>
      <c r="Z354" s="152">
        <f t="shared" si="122"/>
        <v>0</v>
      </c>
      <c r="AA354" s="153">
        <f t="shared" si="123"/>
        <v>0</v>
      </c>
      <c r="AB354" s="153">
        <f t="shared" si="124"/>
        <v>0</v>
      </c>
      <c r="AC354" s="154">
        <f t="shared" si="130"/>
        <v>0</v>
      </c>
      <c r="AD354" s="180">
        <f t="shared" si="125"/>
        <v>0</v>
      </c>
      <c r="AE354" s="160"/>
    </row>
    <row r="355" spans="1:31">
      <c r="A355" s="139">
        <v>23</v>
      </c>
      <c r="B355" s="139">
        <f>IFERROR(INDEX(Työkonekanta!$F$3:$F$27,MATCH('S2 Bio'!$A355,Työkonekanta!$A$3:$A$24,0),1),0)</f>
        <v>0</v>
      </c>
      <c r="C355" s="140">
        <v>2030</v>
      </c>
      <c r="D355" s="141" t="str">
        <f>IFERROR(INDEX(Työkonekanta!$D$3:$D$27,MATCH('S2 Bio'!$A355,Työkonekanta!$A$3:$A$24,0),1),"undefined")</f>
        <v>undefined</v>
      </c>
      <c r="E355" s="145">
        <f>IFERROR(INDEX(Työkonekanta!$G$3:$G$27,MATCH($A355,Työkonekanta!$A$3:$A$24,0),1)*INDEX(Työkonekanta!$H$3:$H$27,MATCH($A355,Työkonekanta!$A$3:$A$24,0),1)*(1+_xlfn.SINGLE(s2_kerroin)*($C355-2019))*$B355,0)</f>
        <v>0</v>
      </c>
      <c r="F355" s="145">
        <f t="shared" si="111"/>
        <v>0</v>
      </c>
      <c r="G355" s="145">
        <f t="shared" si="118"/>
        <v>0</v>
      </c>
      <c r="H355" s="145">
        <f t="shared" si="119"/>
        <v>0</v>
      </c>
      <c r="I355" s="145">
        <f t="shared" si="112"/>
        <v>0</v>
      </c>
      <c r="J355" s="145">
        <f t="shared" si="113"/>
        <v>0</v>
      </c>
      <c r="K355" s="142" t="str">
        <f t="shared" si="120"/>
        <v>undefined</v>
      </c>
      <c r="L355" s="146">
        <f>IFERROR(INDEX(Työkonekanta!$I$3:$I$27,MATCH('S2 Bio'!$A355,Työkonekanta!$A$3:$A$24,0),1)*(I355+J355)*f_adblue,0)</f>
        <v>0</v>
      </c>
      <c r="M355" s="146">
        <f t="shared" si="126"/>
        <v>0</v>
      </c>
      <c r="N355" s="143" t="str">
        <f>IF(tuulisähkö_vuosi&lt;='S2 Bio'!C355,"tuulisähkö",ostosähkö_nyt)</f>
        <v>jäännössähkö</v>
      </c>
      <c r="O355" s="147">
        <f>INDEX(Muuttujat!$J$5:$J$21,MATCH($C355,Muuttujat!$H$5:$H$21,0),1)</f>
        <v>61.999687056709845</v>
      </c>
      <c r="P355" s="148">
        <f t="shared" si="121"/>
        <v>0.32333333333333336</v>
      </c>
      <c r="Q355" s="148">
        <f t="shared" si="131"/>
        <v>0.67666666666666664</v>
      </c>
      <c r="R355" s="148">
        <f t="shared" si="131"/>
        <v>0.67666666666666664</v>
      </c>
      <c r="S355" s="149">
        <f t="shared" si="115"/>
        <v>0</v>
      </c>
      <c r="T355" s="150">
        <f t="shared" si="116"/>
        <v>0</v>
      </c>
      <c r="U355" s="150">
        <f t="shared" si="117"/>
        <v>0</v>
      </c>
      <c r="V355" s="150">
        <f>IFERROR(INDEX(Työkonekanta!$J$3:$J$27,MATCH($A355,Työkonekanta!$A$3:$A$24,0),1)*$B355*ef_li_ion_akku/1000/1000/INDEX(Työkonekanta!$K$3:$K$27,MATCH($A355,Työkonekanta!$A$3:$A$24,0)),0)</f>
        <v>0</v>
      </c>
      <c r="W355" s="149">
        <f t="shared" si="127"/>
        <v>0</v>
      </c>
      <c r="X355" s="150">
        <f t="shared" si="128"/>
        <v>0</v>
      </c>
      <c r="Y355" s="151">
        <f t="shared" si="129"/>
        <v>0</v>
      </c>
      <c r="Z355" s="152">
        <f t="shared" si="122"/>
        <v>0</v>
      </c>
      <c r="AA355" s="153">
        <f t="shared" si="123"/>
        <v>0</v>
      </c>
      <c r="AB355" s="153">
        <f t="shared" si="124"/>
        <v>0</v>
      </c>
      <c r="AC355" s="154">
        <f t="shared" si="130"/>
        <v>0</v>
      </c>
      <c r="AD355" s="180">
        <f t="shared" si="125"/>
        <v>0</v>
      </c>
      <c r="AE355" s="160"/>
    </row>
    <row r="356" spans="1:31">
      <c r="A356" s="139">
        <v>24</v>
      </c>
      <c r="B356" s="139">
        <f>IFERROR(INDEX(Työkonekanta!$F$3:$F$27,MATCH('S2 Bio'!$A356,Työkonekanta!$A$3:$A$24,0),1),0)</f>
        <v>0</v>
      </c>
      <c r="C356" s="140">
        <v>2030</v>
      </c>
      <c r="D356" s="141" t="str">
        <f>IFERROR(INDEX(Työkonekanta!$D$3:$D$27,MATCH('S2 Bio'!$A356,Työkonekanta!$A$3:$A$24,0),1),"undefined")</f>
        <v>undefined</v>
      </c>
      <c r="E356" s="145">
        <f>IFERROR(INDEX(Työkonekanta!$G$3:$G$27,MATCH($A356,Työkonekanta!$A$3:$A$24,0),1)*INDEX(Työkonekanta!$H$3:$H$27,MATCH($A356,Työkonekanta!$A$3:$A$24,0),1)*(1+_xlfn.SINGLE(s2_kerroin)*($C356-2019))*$B356,0)</f>
        <v>0</v>
      </c>
      <c r="F356" s="145">
        <f t="shared" si="111"/>
        <v>0</v>
      </c>
      <c r="G356" s="145">
        <f t="shared" si="118"/>
        <v>0</v>
      </c>
      <c r="H356" s="145">
        <f t="shared" si="119"/>
        <v>0</v>
      </c>
      <c r="I356" s="145">
        <f t="shared" si="112"/>
        <v>0</v>
      </c>
      <c r="J356" s="145">
        <f t="shared" si="113"/>
        <v>0</v>
      </c>
      <c r="K356" s="142" t="str">
        <f t="shared" si="120"/>
        <v>undefined</v>
      </c>
      <c r="L356" s="146">
        <f>IFERROR(INDEX(Työkonekanta!$I$3:$I$27,MATCH('S2 Bio'!$A356,Työkonekanta!$A$3:$A$24,0),1)*(I356+J356)*f_adblue,0)</f>
        <v>0</v>
      </c>
      <c r="M356" s="146">
        <f t="shared" si="126"/>
        <v>0</v>
      </c>
      <c r="N356" s="143" t="str">
        <f>IF(tuulisähkö_vuosi&lt;='S2 Bio'!C356,"tuulisähkö",ostosähkö_nyt)</f>
        <v>jäännössähkö</v>
      </c>
      <c r="O356" s="147">
        <f>INDEX(Muuttujat!$J$5:$J$21,MATCH($C356,Muuttujat!$H$5:$H$21,0),1)</f>
        <v>61.999687056709845</v>
      </c>
      <c r="P356" s="148">
        <f t="shared" si="121"/>
        <v>0.32333333333333336</v>
      </c>
      <c r="Q356" s="148">
        <f t="shared" si="131"/>
        <v>0.67666666666666664</v>
      </c>
      <c r="R356" s="148">
        <f t="shared" si="131"/>
        <v>0.67666666666666664</v>
      </c>
      <c r="S356" s="149">
        <f t="shared" si="115"/>
        <v>0</v>
      </c>
      <c r="T356" s="150">
        <f t="shared" si="116"/>
        <v>0</v>
      </c>
      <c r="U356" s="150">
        <f t="shared" si="117"/>
        <v>0</v>
      </c>
      <c r="V356" s="150">
        <f>IFERROR(INDEX(Työkonekanta!$J$3:$J$27,MATCH($A356,Työkonekanta!$A$3:$A$24,0),1)*$B356*ef_li_ion_akku/1000/1000/INDEX(Työkonekanta!$K$3:$K$27,MATCH($A356,Työkonekanta!$A$3:$A$24,0)),0)</f>
        <v>0</v>
      </c>
      <c r="W356" s="149">
        <f t="shared" si="127"/>
        <v>0</v>
      </c>
      <c r="X356" s="150">
        <f t="shared" si="128"/>
        <v>0</v>
      </c>
      <c r="Y356" s="151">
        <f t="shared" si="129"/>
        <v>0</v>
      </c>
      <c r="Z356" s="152">
        <f t="shared" si="122"/>
        <v>0</v>
      </c>
      <c r="AA356" s="153">
        <f t="shared" si="123"/>
        <v>0</v>
      </c>
      <c r="AB356" s="153">
        <f t="shared" si="124"/>
        <v>0</v>
      </c>
      <c r="AC356" s="154">
        <f t="shared" si="130"/>
        <v>0</v>
      </c>
      <c r="AD356" s="180">
        <f t="shared" si="125"/>
        <v>0</v>
      </c>
      <c r="AE356" s="160"/>
    </row>
    <row r="357" spans="1:31">
      <c r="A357" s="139">
        <v>25</v>
      </c>
      <c r="B357" s="139">
        <f>IFERROR(INDEX(Työkonekanta!$F$3:$F$27,MATCH('S2 Bio'!$A357,Työkonekanta!$A$3:$A$24,0),1),0)</f>
        <v>0</v>
      </c>
      <c r="C357" s="140">
        <v>2030</v>
      </c>
      <c r="D357" s="141" t="str">
        <f>IFERROR(INDEX(Työkonekanta!$D$3:$D$27,MATCH('S2 Bio'!$A357,Työkonekanta!$A$3:$A$24,0),1),"undefined")</f>
        <v>undefined</v>
      </c>
      <c r="E357" s="145">
        <f>IFERROR(INDEX(Työkonekanta!$G$3:$G$27,MATCH($A357,Työkonekanta!$A$3:$A$24,0),1)*INDEX(Työkonekanta!$H$3:$H$27,MATCH($A357,Työkonekanta!$A$3:$A$24,0),1)*(1+_xlfn.SINGLE(s2_kerroin)*($C357-2019))*$B357,0)</f>
        <v>0</v>
      </c>
      <c r="F357" s="145">
        <f t="shared" si="111"/>
        <v>0</v>
      </c>
      <c r="G357" s="145">
        <f t="shared" si="118"/>
        <v>0</v>
      </c>
      <c r="H357" s="145">
        <f t="shared" si="119"/>
        <v>0</v>
      </c>
      <c r="I357" s="145">
        <f t="shared" si="112"/>
        <v>0</v>
      </c>
      <c r="J357" s="145">
        <f t="shared" si="113"/>
        <v>0</v>
      </c>
      <c r="K357" s="142" t="str">
        <f t="shared" si="120"/>
        <v>undefined</v>
      </c>
      <c r="L357" s="146">
        <f>IFERROR(INDEX(Työkonekanta!$I$3:$I$27,MATCH('S2 Bio'!$A357,Työkonekanta!$A$3:$A$24,0),1)*(I357+J357)*f_adblue,0)</f>
        <v>0</v>
      </c>
      <c r="M357" s="146">
        <f t="shared" si="126"/>
        <v>0</v>
      </c>
      <c r="N357" s="143" t="str">
        <f>IF(tuulisähkö_vuosi&lt;='S2 Bio'!C357,"tuulisähkö",ostosähkö_nyt)</f>
        <v>jäännössähkö</v>
      </c>
      <c r="O357" s="147">
        <f>INDEX(Muuttujat!$J$5:$J$21,MATCH($C357,Muuttujat!$H$5:$H$21,0),1)</f>
        <v>61.999687056709845</v>
      </c>
      <c r="P357" s="148">
        <f t="shared" si="121"/>
        <v>0.32333333333333336</v>
      </c>
      <c r="Q357" s="148">
        <f t="shared" si="131"/>
        <v>0.67666666666666664</v>
      </c>
      <c r="R357" s="148">
        <f t="shared" si="131"/>
        <v>0.67666666666666664</v>
      </c>
      <c r="S357" s="149">
        <f t="shared" si="115"/>
        <v>0</v>
      </c>
      <c r="T357" s="150">
        <f t="shared" si="116"/>
        <v>0</v>
      </c>
      <c r="U357" s="150">
        <f t="shared" si="117"/>
        <v>0</v>
      </c>
      <c r="V357" s="150">
        <f>IFERROR(INDEX(Työkonekanta!$J$3:$J$27,MATCH($A357,Työkonekanta!$A$3:$A$24,0),1)*$B357*ef_li_ion_akku/1000/1000/INDEX(Työkonekanta!$K$3:$K$27,MATCH($A357,Työkonekanta!$A$3:$A$24,0)),0)</f>
        <v>0</v>
      </c>
      <c r="W357" s="149">
        <f t="shared" si="127"/>
        <v>0</v>
      </c>
      <c r="X357" s="150">
        <f t="shared" si="128"/>
        <v>0</v>
      </c>
      <c r="Y357" s="151">
        <f t="shared" si="129"/>
        <v>0</v>
      </c>
      <c r="Z357" s="152">
        <f t="shared" si="122"/>
        <v>0</v>
      </c>
      <c r="AA357" s="153">
        <f t="shared" si="123"/>
        <v>0</v>
      </c>
      <c r="AB357" s="153">
        <f t="shared" si="124"/>
        <v>0</v>
      </c>
      <c r="AC357" s="154">
        <f t="shared" si="130"/>
        <v>0</v>
      </c>
      <c r="AD357" s="180">
        <f t="shared" si="125"/>
        <v>0</v>
      </c>
      <c r="AE357" s="160"/>
    </row>
    <row r="358" spans="1:31">
      <c r="A358" s="139">
        <v>26</v>
      </c>
      <c r="B358" s="139">
        <f>IFERROR(INDEX(Työkonekanta!$F$3:$F$27,MATCH('S2 Bio'!$A358,Työkonekanta!$A$3:$A$24,0),1),0)</f>
        <v>0</v>
      </c>
      <c r="C358" s="140">
        <v>2030</v>
      </c>
      <c r="D358" s="141" t="str">
        <f>IFERROR(INDEX(Työkonekanta!$D$3:$D$27,MATCH('S2 Bio'!$A358,Työkonekanta!$A$3:$A$24,0),1),"undefined")</f>
        <v>undefined</v>
      </c>
      <c r="E358" s="145">
        <f>IFERROR(INDEX(Työkonekanta!$G$3:$G$27,MATCH($A358,Työkonekanta!$A$3:$A$24,0),1)*INDEX(Työkonekanta!$H$3:$H$27,MATCH($A358,Työkonekanta!$A$3:$A$24,0),1)*(1+_xlfn.SINGLE(s2_kerroin)*($C358-2019))*$B358,0)</f>
        <v>0</v>
      </c>
      <c r="F358" s="145">
        <f t="shared" si="111"/>
        <v>0</v>
      </c>
      <c r="G358" s="145">
        <f t="shared" si="118"/>
        <v>0</v>
      </c>
      <c r="H358" s="145">
        <f t="shared" si="119"/>
        <v>0</v>
      </c>
      <c r="I358" s="145">
        <f t="shared" si="112"/>
        <v>0</v>
      </c>
      <c r="J358" s="145">
        <f t="shared" si="113"/>
        <v>0</v>
      </c>
      <c r="K358" s="142" t="str">
        <f t="shared" si="120"/>
        <v>undefined</v>
      </c>
      <c r="L358" s="146">
        <f>IFERROR(INDEX(Työkonekanta!$I$3:$I$27,MATCH('S2 Bio'!$A358,Työkonekanta!$A$3:$A$24,0),1)*(I358+J358)*f_adblue,0)</f>
        <v>0</v>
      </c>
      <c r="M358" s="146">
        <f t="shared" si="126"/>
        <v>0</v>
      </c>
      <c r="N358" s="143" t="str">
        <f>IF(tuulisähkö_vuosi&lt;='S2 Bio'!C358,"tuulisähkö",ostosähkö_nyt)</f>
        <v>jäännössähkö</v>
      </c>
      <c r="O358" s="147">
        <f>INDEX(Muuttujat!$J$5:$J$21,MATCH($C358,Muuttujat!$H$5:$H$21,0),1)</f>
        <v>61.999687056709845</v>
      </c>
      <c r="P358" s="148">
        <f t="shared" si="121"/>
        <v>0.32333333333333336</v>
      </c>
      <c r="Q358" s="148">
        <f t="shared" si="131"/>
        <v>0.67666666666666664</v>
      </c>
      <c r="R358" s="148">
        <f t="shared" si="131"/>
        <v>0.67666666666666664</v>
      </c>
      <c r="S358" s="149">
        <f t="shared" si="115"/>
        <v>0</v>
      </c>
      <c r="T358" s="150">
        <f t="shared" si="116"/>
        <v>0</v>
      </c>
      <c r="U358" s="150">
        <f t="shared" si="117"/>
        <v>0</v>
      </c>
      <c r="V358" s="150">
        <f>IFERROR(INDEX(Työkonekanta!$J$3:$J$27,MATCH($A358,Työkonekanta!$A$3:$A$24,0),1)*$B358*ef_li_ion_akku/1000/1000/INDEX(Työkonekanta!$K$3:$K$27,MATCH($A358,Työkonekanta!$A$3:$A$24,0)),0)</f>
        <v>0</v>
      </c>
      <c r="W358" s="149">
        <f t="shared" si="127"/>
        <v>0</v>
      </c>
      <c r="X358" s="150">
        <f t="shared" si="128"/>
        <v>0</v>
      </c>
      <c r="Y358" s="151">
        <f t="shared" si="129"/>
        <v>0</v>
      </c>
      <c r="Z358" s="152">
        <f t="shared" si="122"/>
        <v>0</v>
      </c>
      <c r="AA358" s="153">
        <f t="shared" si="123"/>
        <v>0</v>
      </c>
      <c r="AB358" s="153">
        <f t="shared" si="124"/>
        <v>0</v>
      </c>
      <c r="AC358" s="154">
        <f t="shared" si="130"/>
        <v>0</v>
      </c>
      <c r="AD358" s="180">
        <f t="shared" si="125"/>
        <v>0</v>
      </c>
      <c r="AE358" s="160"/>
    </row>
    <row r="359" spans="1:31">
      <c r="A359" s="139">
        <v>27</v>
      </c>
      <c r="B359" s="139">
        <f>IFERROR(INDEX(Työkonekanta!$F$3:$F$27,MATCH('S2 Bio'!$A359,Työkonekanta!$A$3:$A$24,0),1),0)</f>
        <v>0</v>
      </c>
      <c r="C359" s="140">
        <v>2030</v>
      </c>
      <c r="D359" s="141" t="str">
        <f>IFERROR(INDEX(Työkonekanta!$D$3:$D$27,MATCH('S2 Bio'!$A359,Työkonekanta!$A$3:$A$24,0),1),"undefined")</f>
        <v>undefined</v>
      </c>
      <c r="E359" s="145">
        <f>IFERROR(INDEX(Työkonekanta!$G$3:$G$27,MATCH($A359,Työkonekanta!$A$3:$A$24,0),1)*INDEX(Työkonekanta!$H$3:$H$27,MATCH($A359,Työkonekanta!$A$3:$A$24,0),1)*(1+_xlfn.SINGLE(s2_kerroin)*($C359-2019))*$B359,0)</f>
        <v>0</v>
      </c>
      <c r="F359" s="145">
        <f t="shared" si="111"/>
        <v>0</v>
      </c>
      <c r="G359" s="145">
        <f t="shared" si="118"/>
        <v>0</v>
      </c>
      <c r="H359" s="145">
        <f t="shared" si="119"/>
        <v>0</v>
      </c>
      <c r="I359" s="145">
        <f t="shared" si="112"/>
        <v>0</v>
      </c>
      <c r="J359" s="145">
        <f t="shared" si="113"/>
        <v>0</v>
      </c>
      <c r="K359" s="142" t="str">
        <f t="shared" si="120"/>
        <v>undefined</v>
      </c>
      <c r="L359" s="146">
        <f>IFERROR(INDEX(Työkonekanta!$I$3:$I$27,MATCH('S2 Bio'!$A359,Työkonekanta!$A$3:$A$24,0),1)*(I359+J359)*f_adblue,0)</f>
        <v>0</v>
      </c>
      <c r="M359" s="146">
        <f t="shared" si="126"/>
        <v>0</v>
      </c>
      <c r="N359" s="143" t="str">
        <f>IF(tuulisähkö_vuosi&lt;='S2 Bio'!C359,"tuulisähkö",ostosähkö_nyt)</f>
        <v>jäännössähkö</v>
      </c>
      <c r="O359" s="147">
        <f>INDEX(Muuttujat!$J$5:$J$21,MATCH($C359,Muuttujat!$H$5:$H$21,0),1)</f>
        <v>61.999687056709845</v>
      </c>
      <c r="P359" s="148">
        <f t="shared" si="121"/>
        <v>0.32333333333333336</v>
      </c>
      <c r="Q359" s="148">
        <f t="shared" si="131"/>
        <v>0.67666666666666664</v>
      </c>
      <c r="R359" s="148">
        <f t="shared" si="131"/>
        <v>0.67666666666666664</v>
      </c>
      <c r="S359" s="149">
        <f t="shared" si="115"/>
        <v>0</v>
      </c>
      <c r="T359" s="150">
        <f t="shared" si="116"/>
        <v>0</v>
      </c>
      <c r="U359" s="150">
        <f t="shared" si="117"/>
        <v>0</v>
      </c>
      <c r="V359" s="150">
        <f>IFERROR(INDEX(Työkonekanta!$J$3:$J$27,MATCH($A359,Työkonekanta!$A$3:$A$24,0),1)*$B359*ef_li_ion_akku/1000/1000/INDEX(Työkonekanta!$K$3:$K$27,MATCH($A359,Työkonekanta!$A$3:$A$24,0)),0)</f>
        <v>0</v>
      </c>
      <c r="W359" s="149">
        <f t="shared" si="127"/>
        <v>0</v>
      </c>
      <c r="X359" s="150">
        <f t="shared" si="128"/>
        <v>0</v>
      </c>
      <c r="Y359" s="151">
        <f t="shared" si="129"/>
        <v>0</v>
      </c>
      <c r="Z359" s="152">
        <f t="shared" si="122"/>
        <v>0</v>
      </c>
      <c r="AA359" s="153">
        <f t="shared" si="123"/>
        <v>0</v>
      </c>
      <c r="AB359" s="153">
        <f t="shared" si="124"/>
        <v>0</v>
      </c>
      <c r="AC359" s="154">
        <f t="shared" si="130"/>
        <v>0</v>
      </c>
      <c r="AD359" s="180">
        <f t="shared" si="125"/>
        <v>0</v>
      </c>
      <c r="AE359" s="160"/>
    </row>
    <row r="360" spans="1:31">
      <c r="A360" s="139">
        <v>28</v>
      </c>
      <c r="B360" s="139">
        <f>IFERROR(INDEX(Työkonekanta!$F$3:$F$27,MATCH('S2 Bio'!$A360,Työkonekanta!$A$3:$A$24,0),1),0)</f>
        <v>0</v>
      </c>
      <c r="C360" s="140">
        <v>2030</v>
      </c>
      <c r="D360" s="141" t="str">
        <f>IFERROR(INDEX(Työkonekanta!$D$3:$D$27,MATCH('S2 Bio'!$A360,Työkonekanta!$A$3:$A$24,0),1),"undefined")</f>
        <v>undefined</v>
      </c>
      <c r="E360" s="145">
        <f>IFERROR(INDEX(Työkonekanta!$G$3:$G$27,MATCH($A360,Työkonekanta!$A$3:$A$24,0),1)*INDEX(Työkonekanta!$H$3:$H$27,MATCH($A360,Työkonekanta!$A$3:$A$24,0),1)*(1+_xlfn.SINGLE(s2_kerroin)*($C360-2019))*$B360,0)</f>
        <v>0</v>
      </c>
      <c r="F360" s="145">
        <f t="shared" si="111"/>
        <v>0</v>
      </c>
      <c r="G360" s="145">
        <f t="shared" si="118"/>
        <v>0</v>
      </c>
      <c r="H360" s="145">
        <f t="shared" si="119"/>
        <v>0</v>
      </c>
      <c r="I360" s="145">
        <f t="shared" si="112"/>
        <v>0</v>
      </c>
      <c r="J360" s="145">
        <f t="shared" si="113"/>
        <v>0</v>
      </c>
      <c r="K360" s="142" t="str">
        <f t="shared" si="120"/>
        <v>undefined</v>
      </c>
      <c r="L360" s="146">
        <f>IFERROR(INDEX(Työkonekanta!$I$3:$I$27,MATCH('S2 Bio'!$A360,Työkonekanta!$A$3:$A$24,0),1)*(I360+J360)*f_adblue,0)</f>
        <v>0</v>
      </c>
      <c r="M360" s="146">
        <f t="shared" si="126"/>
        <v>0</v>
      </c>
      <c r="N360" s="143" t="str">
        <f>IF(tuulisähkö_vuosi&lt;='S2 Bio'!C360,"tuulisähkö",ostosähkö_nyt)</f>
        <v>jäännössähkö</v>
      </c>
      <c r="O360" s="147">
        <f>INDEX(Muuttujat!$J$5:$J$21,MATCH($C360,Muuttujat!$H$5:$H$21,0),1)</f>
        <v>61.999687056709845</v>
      </c>
      <c r="P360" s="148">
        <f t="shared" si="121"/>
        <v>0.32333333333333336</v>
      </c>
      <c r="Q360" s="148">
        <f t="shared" si="131"/>
        <v>0.67666666666666664</v>
      </c>
      <c r="R360" s="148">
        <f t="shared" si="131"/>
        <v>0.67666666666666664</v>
      </c>
      <c r="S360" s="149">
        <f t="shared" si="115"/>
        <v>0</v>
      </c>
      <c r="T360" s="150">
        <f t="shared" si="116"/>
        <v>0</v>
      </c>
      <c r="U360" s="150">
        <f t="shared" si="117"/>
        <v>0</v>
      </c>
      <c r="V360" s="150">
        <f>IFERROR(INDEX(Työkonekanta!$J$3:$J$27,MATCH($A360,Työkonekanta!$A$3:$A$24,0),1)*$B360*ef_li_ion_akku/1000/1000/INDEX(Työkonekanta!$K$3:$K$27,MATCH($A360,Työkonekanta!$A$3:$A$24,0)),0)</f>
        <v>0</v>
      </c>
      <c r="W360" s="149">
        <f t="shared" si="127"/>
        <v>0</v>
      </c>
      <c r="X360" s="150">
        <f t="shared" si="128"/>
        <v>0</v>
      </c>
      <c r="Y360" s="151">
        <f t="shared" si="129"/>
        <v>0</v>
      </c>
      <c r="Z360" s="152">
        <f t="shared" si="122"/>
        <v>0</v>
      </c>
      <c r="AA360" s="153">
        <f t="shared" si="123"/>
        <v>0</v>
      </c>
      <c r="AB360" s="153">
        <f t="shared" si="124"/>
        <v>0</v>
      </c>
      <c r="AC360" s="154">
        <f t="shared" si="130"/>
        <v>0</v>
      </c>
      <c r="AD360" s="180">
        <f t="shared" si="125"/>
        <v>0</v>
      </c>
      <c r="AE360" s="160"/>
    </row>
    <row r="361" spans="1:31">
      <c r="A361" s="139">
        <v>29</v>
      </c>
      <c r="B361" s="139">
        <f>IFERROR(INDEX(Työkonekanta!$F$3:$F$27,MATCH('S2 Bio'!$A361,Työkonekanta!$A$3:$A$24,0),1),0)</f>
        <v>0</v>
      </c>
      <c r="C361" s="140">
        <v>2030</v>
      </c>
      <c r="D361" s="141" t="str">
        <f>IFERROR(INDEX(Työkonekanta!$D$3:$D$27,MATCH('S2 Bio'!$A361,Työkonekanta!$A$3:$A$24,0),1),"undefined")</f>
        <v>undefined</v>
      </c>
      <c r="E361" s="145">
        <f>IFERROR(INDEX(Työkonekanta!$G$3:$G$27,MATCH($A361,Työkonekanta!$A$3:$A$24,0),1)*INDEX(Työkonekanta!$H$3:$H$27,MATCH($A361,Työkonekanta!$A$3:$A$24,0),1)*(1+_xlfn.SINGLE(s2_kerroin)*($C361-2019))*$B361,0)</f>
        <v>0</v>
      </c>
      <c r="F361" s="145">
        <f t="shared" si="111"/>
        <v>0</v>
      </c>
      <c r="G361" s="145">
        <f t="shared" si="118"/>
        <v>0</v>
      </c>
      <c r="H361" s="145">
        <f t="shared" si="119"/>
        <v>0</v>
      </c>
      <c r="I361" s="145">
        <f t="shared" si="112"/>
        <v>0</v>
      </c>
      <c r="J361" s="145">
        <f t="shared" si="113"/>
        <v>0</v>
      </c>
      <c r="K361" s="142" t="str">
        <f t="shared" si="120"/>
        <v>undefined</v>
      </c>
      <c r="L361" s="146">
        <f>IFERROR(INDEX(Työkonekanta!$I$3:$I$27,MATCH('S2 Bio'!$A361,Työkonekanta!$A$3:$A$24,0),1)*(I361+J361)*f_adblue,0)</f>
        <v>0</v>
      </c>
      <c r="M361" s="146">
        <f t="shared" si="126"/>
        <v>0</v>
      </c>
      <c r="N361" s="143" t="str">
        <f>IF(tuulisähkö_vuosi&lt;='S2 Bio'!C361,"tuulisähkö",ostosähkö_nyt)</f>
        <v>jäännössähkö</v>
      </c>
      <c r="O361" s="147">
        <f>INDEX(Muuttujat!$J$5:$J$21,MATCH($C361,Muuttujat!$H$5:$H$21,0),1)</f>
        <v>61.999687056709845</v>
      </c>
      <c r="P361" s="148">
        <f t="shared" si="121"/>
        <v>0.32333333333333336</v>
      </c>
      <c r="Q361" s="148">
        <f t="shared" si="131"/>
        <v>0.67666666666666664</v>
      </c>
      <c r="R361" s="148">
        <f t="shared" si="131"/>
        <v>0.67666666666666664</v>
      </c>
      <c r="S361" s="149">
        <f t="shared" si="115"/>
        <v>0</v>
      </c>
      <c r="T361" s="150">
        <f t="shared" si="116"/>
        <v>0</v>
      </c>
      <c r="U361" s="150">
        <f t="shared" si="117"/>
        <v>0</v>
      </c>
      <c r="V361" s="150">
        <f>IFERROR(INDEX(Työkonekanta!$J$3:$J$27,MATCH($A361,Työkonekanta!$A$3:$A$24,0),1)*$B361*ef_li_ion_akku/1000/1000/INDEX(Työkonekanta!$K$3:$K$27,MATCH($A361,Työkonekanta!$A$3:$A$24,0)),0)</f>
        <v>0</v>
      </c>
      <c r="W361" s="149">
        <f t="shared" si="127"/>
        <v>0</v>
      </c>
      <c r="X361" s="150">
        <f t="shared" si="128"/>
        <v>0</v>
      </c>
      <c r="Y361" s="151">
        <f t="shared" si="129"/>
        <v>0</v>
      </c>
      <c r="Z361" s="152">
        <f t="shared" si="122"/>
        <v>0</v>
      </c>
      <c r="AA361" s="153">
        <f t="shared" si="123"/>
        <v>0</v>
      </c>
      <c r="AB361" s="153">
        <f t="shared" si="124"/>
        <v>0</v>
      </c>
      <c r="AC361" s="154">
        <f t="shared" si="130"/>
        <v>0</v>
      </c>
      <c r="AD361" s="180">
        <f t="shared" si="125"/>
        <v>0</v>
      </c>
      <c r="AE361" s="160"/>
    </row>
    <row r="362" spans="1:31">
      <c r="A362" s="139">
        <v>30</v>
      </c>
      <c r="B362" s="139">
        <f>IFERROR(INDEX(Työkonekanta!$F$3:$F$27,MATCH('S2 Bio'!$A362,Työkonekanta!$A$3:$A$24,0),1),0)</f>
        <v>0</v>
      </c>
      <c r="C362" s="140">
        <v>2030</v>
      </c>
      <c r="D362" s="141" t="str">
        <f>IFERROR(INDEX(Työkonekanta!$D$3:$D$27,MATCH('S2 Bio'!$A362,Työkonekanta!$A$3:$A$24,0),1),"undefined")</f>
        <v>undefined</v>
      </c>
      <c r="E362" s="145">
        <f>IFERROR(INDEX(Työkonekanta!$G$3:$G$27,MATCH($A362,Työkonekanta!$A$3:$A$24,0),1)*INDEX(Työkonekanta!$H$3:$H$27,MATCH($A362,Työkonekanta!$A$3:$A$24,0),1)*(1+_xlfn.SINGLE(s2_kerroin)*($C362-2019))*$B362,0)</f>
        <v>0</v>
      </c>
      <c r="F362" s="145">
        <f t="shared" si="111"/>
        <v>0</v>
      </c>
      <c r="G362" s="145">
        <f t="shared" si="118"/>
        <v>0</v>
      </c>
      <c r="H362" s="145">
        <f t="shared" si="119"/>
        <v>0</v>
      </c>
      <c r="I362" s="145">
        <f t="shared" si="112"/>
        <v>0</v>
      </c>
      <c r="J362" s="145">
        <f t="shared" si="113"/>
        <v>0</v>
      </c>
      <c r="K362" s="142" t="str">
        <f t="shared" si="120"/>
        <v>undefined</v>
      </c>
      <c r="L362" s="146">
        <f>IFERROR(INDEX(Työkonekanta!$I$3:$I$27,MATCH('S2 Bio'!$A362,Työkonekanta!$A$3:$A$24,0),1)*(I362+J362)*f_adblue,0)</f>
        <v>0</v>
      </c>
      <c r="M362" s="146">
        <f t="shared" si="126"/>
        <v>0</v>
      </c>
      <c r="N362" s="143" t="str">
        <f>IF(tuulisähkö_vuosi&lt;='S2 Bio'!C362,"tuulisähkö",ostosähkö_nyt)</f>
        <v>jäännössähkö</v>
      </c>
      <c r="O362" s="147">
        <f>INDEX(Muuttujat!$J$5:$J$21,MATCH($C362,Muuttujat!$H$5:$H$21,0),1)</f>
        <v>61.999687056709845</v>
      </c>
      <c r="P362" s="148">
        <f t="shared" si="121"/>
        <v>0.32333333333333336</v>
      </c>
      <c r="Q362" s="148">
        <f t="shared" si="131"/>
        <v>0.67666666666666664</v>
      </c>
      <c r="R362" s="148">
        <f t="shared" si="131"/>
        <v>0.67666666666666664</v>
      </c>
      <c r="S362" s="149">
        <f t="shared" si="115"/>
        <v>0</v>
      </c>
      <c r="T362" s="150">
        <f t="shared" si="116"/>
        <v>0</v>
      </c>
      <c r="U362" s="150">
        <f t="shared" si="117"/>
        <v>0</v>
      </c>
      <c r="V362" s="150">
        <f>IFERROR(INDEX(Työkonekanta!$J$3:$J$27,MATCH($A362,Työkonekanta!$A$3:$A$24,0),1)*$B362*ef_li_ion_akku/1000/1000/INDEX(Työkonekanta!$K$3:$K$27,MATCH($A362,Työkonekanta!$A$3:$A$24,0)),0)</f>
        <v>0</v>
      </c>
      <c r="W362" s="149">
        <f t="shared" si="127"/>
        <v>0</v>
      </c>
      <c r="X362" s="150">
        <f t="shared" si="128"/>
        <v>0</v>
      </c>
      <c r="Y362" s="151">
        <f t="shared" si="129"/>
        <v>0</v>
      </c>
      <c r="Z362" s="152">
        <f t="shared" si="122"/>
        <v>0</v>
      </c>
      <c r="AA362" s="153">
        <f t="shared" si="123"/>
        <v>0</v>
      </c>
      <c r="AB362" s="153">
        <f t="shared" si="124"/>
        <v>0</v>
      </c>
      <c r="AC362" s="154">
        <f t="shared" si="130"/>
        <v>0</v>
      </c>
      <c r="AD362" s="180">
        <f t="shared" si="125"/>
        <v>0</v>
      </c>
      <c r="AE362" s="160"/>
    </row>
    <row r="363" spans="1:31">
      <c r="A363" s="139">
        <v>1</v>
      </c>
      <c r="B363" s="139">
        <f>IFERROR(INDEX(Työkonekanta!$F$3:$F$27,MATCH('S2 Bio'!$A363,Työkonekanta!$A$3:$A$24,0),1),0)</f>
        <v>1</v>
      </c>
      <c r="C363" s="140">
        <v>2031</v>
      </c>
      <c r="D363" s="141" t="str">
        <f>IFERROR(INDEX(Työkonekanta!$D$3:$D$27,MATCH('S2 Bio'!$A363,Työkonekanta!$A$3:$A$24,0),1),"undefined")</f>
        <v>pom</v>
      </c>
      <c r="E363" s="145">
        <f>IFERROR(INDEX(Työkonekanta!$G$3:$G$27,MATCH($A363,Työkonekanta!$A$3:$A$24,0),1)*INDEX(Työkonekanta!$H$3:$H$27,MATCH($A363,Työkonekanta!$A$3:$A$24,0),1)*(1+_xlfn.SINGLE(s2_kerroin)*($C363-2019))*$B363,0)</f>
        <v>11200.000000000002</v>
      </c>
      <c r="F363" s="145">
        <f t="shared" si="111"/>
        <v>402080.00000000006</v>
      </c>
      <c r="G363" s="145">
        <f t="shared" si="118"/>
        <v>104004.69333333337</v>
      </c>
      <c r="H363" s="145">
        <f t="shared" si="119"/>
        <v>298075.3066666667</v>
      </c>
      <c r="I363" s="145">
        <f t="shared" si="112"/>
        <v>2897.066666666668</v>
      </c>
      <c r="J363" s="145">
        <f t="shared" si="113"/>
        <v>8690.24217687075</v>
      </c>
      <c r="K363" s="142" t="str">
        <f t="shared" si="120"/>
        <v>l</v>
      </c>
      <c r="L363" s="146">
        <f>IFERROR(INDEX(Työkonekanta!$I$3:$I$27,MATCH('S2 Bio'!$A363,Työkonekanta!$A$3:$A$24,0),1)*(I363+J363)*f_adblue,0)</f>
        <v>579.36544217687094</v>
      </c>
      <c r="M363" s="146">
        <f t="shared" si="126"/>
        <v>0</v>
      </c>
      <c r="N363" s="143" t="str">
        <f>IF(tuulisähkö_vuosi&lt;='S2 Bio'!C363,"tuulisähkö",ostosähkö_nyt)</f>
        <v>jäännössähkö</v>
      </c>
      <c r="O363" s="147">
        <f>INDEX(Muuttujat!$J$5:$J$21,MATCH($C363,Muuttujat!$H$5:$H$21,0),1)</f>
        <v>61.379690186142746</v>
      </c>
      <c r="P363" s="148">
        <f t="shared" si="121"/>
        <v>0.25866666666666671</v>
      </c>
      <c r="Q363" s="148">
        <f t="shared" ref="Q363:R382" si="132">IF(biosiirtymä_luonne="äkillinen",INDEX($AG$4:$AG$20,MATCH($C363,$AF$4:$AF$20,0),1),INDEX($AH$4:$AH$20,MATCH($C363,$AF$4:$AF$20,0),1))</f>
        <v>0.74133333333333329</v>
      </c>
      <c r="R363" s="148">
        <f t="shared" si="132"/>
        <v>0.74133333333333329</v>
      </c>
      <c r="S363" s="149">
        <f t="shared" si="115"/>
        <v>1.9656887040000006</v>
      </c>
      <c r="T363" s="150">
        <f t="shared" si="116"/>
        <v>18.599899136000001</v>
      </c>
      <c r="U363" s="150">
        <f t="shared" si="117"/>
        <v>0</v>
      </c>
      <c r="V363" s="150">
        <f>IFERROR(INDEX(Työkonekanta!$J$3:$J$27,MATCH($A363,Työkonekanta!$A$3:$A$24,0),1)*$B363*ef_li_ion_akku/1000/1000/INDEX(Työkonekanta!$K$3:$K$27,MATCH($A363,Työkonekanta!$A$3:$A$24,0)),0)</f>
        <v>0</v>
      </c>
      <c r="W363" s="149">
        <f t="shared" si="127"/>
        <v>7.6764048517094432</v>
      </c>
      <c r="X363" s="150">
        <f t="shared" si="128"/>
        <v>0.35587513920000002</v>
      </c>
      <c r="Y363" s="151">
        <f t="shared" si="129"/>
        <v>0.15063501496598644</v>
      </c>
      <c r="Z363" s="152">
        <f t="shared" si="122"/>
        <v>20.565587840000003</v>
      </c>
      <c r="AA363" s="153">
        <f t="shared" si="123"/>
        <v>7.8270398666754293</v>
      </c>
      <c r="AB363" s="153">
        <f t="shared" si="124"/>
        <v>8.1829150058754294</v>
      </c>
      <c r="AC363" s="154">
        <f t="shared" si="130"/>
        <v>28.392627706675434</v>
      </c>
      <c r="AD363" s="180">
        <f t="shared" si="125"/>
        <v>28.748502845875432</v>
      </c>
      <c r="AE363" s="160"/>
    </row>
    <row r="364" spans="1:31">
      <c r="A364" s="139">
        <v>2</v>
      </c>
      <c r="B364" s="139">
        <f>IFERROR(INDEX(Työkonekanta!$F$3:$F$27,MATCH('S2 Bio'!$A364,Työkonekanta!$A$3:$A$24,0),1),0)</f>
        <v>1</v>
      </c>
      <c r="C364" s="140">
        <v>2031</v>
      </c>
      <c r="D364" s="141" t="str">
        <f>IFERROR(INDEX(Työkonekanta!$D$3:$D$27,MATCH('S2 Bio'!$A364,Työkonekanta!$A$3:$A$24,0),1),"undefined")</f>
        <v>pom</v>
      </c>
      <c r="E364" s="145">
        <f>IFERROR(INDEX(Työkonekanta!$G$3:$G$27,MATCH($A364,Työkonekanta!$A$3:$A$24,0),1)*INDEX(Työkonekanta!$H$3:$H$27,MATCH($A364,Työkonekanta!$A$3:$A$24,0),1)*(1+_xlfn.SINGLE(s2_kerroin)*($C364-2019))*$B364,0)</f>
        <v>11200.000000000002</v>
      </c>
      <c r="F364" s="145">
        <f t="shared" si="111"/>
        <v>402080.00000000006</v>
      </c>
      <c r="G364" s="145">
        <f t="shared" si="118"/>
        <v>104004.69333333337</v>
      </c>
      <c r="H364" s="145">
        <f t="shared" si="119"/>
        <v>298075.3066666667</v>
      </c>
      <c r="I364" s="145">
        <f t="shared" si="112"/>
        <v>2897.066666666668</v>
      </c>
      <c r="J364" s="145">
        <f t="shared" si="113"/>
        <v>8690.24217687075</v>
      </c>
      <c r="K364" s="142" t="str">
        <f t="shared" si="120"/>
        <v>l</v>
      </c>
      <c r="L364" s="146">
        <f>IFERROR(INDEX(Työkonekanta!$I$3:$I$27,MATCH('S2 Bio'!$A364,Työkonekanta!$A$3:$A$24,0),1)*(I364+J364)*f_adblue,0)</f>
        <v>579.36544217687094</v>
      </c>
      <c r="M364" s="146">
        <f t="shared" si="126"/>
        <v>0</v>
      </c>
      <c r="N364" s="143" t="str">
        <f>IF(tuulisähkö_vuosi&lt;='S2 Bio'!C364,"tuulisähkö",ostosähkö_nyt)</f>
        <v>jäännössähkö</v>
      </c>
      <c r="O364" s="147">
        <f>INDEX(Muuttujat!$J$5:$J$21,MATCH($C364,Muuttujat!$H$5:$H$21,0),1)</f>
        <v>61.379690186142746</v>
      </c>
      <c r="P364" s="148">
        <f t="shared" si="121"/>
        <v>0.25866666666666671</v>
      </c>
      <c r="Q364" s="148">
        <f t="shared" si="132"/>
        <v>0.74133333333333329</v>
      </c>
      <c r="R364" s="148">
        <f t="shared" si="132"/>
        <v>0.74133333333333329</v>
      </c>
      <c r="S364" s="149">
        <f t="shared" si="115"/>
        <v>1.9656887040000006</v>
      </c>
      <c r="T364" s="150">
        <f t="shared" si="116"/>
        <v>18.599899136000001</v>
      </c>
      <c r="U364" s="150">
        <f t="shared" si="117"/>
        <v>0</v>
      </c>
      <c r="V364" s="150">
        <f>IFERROR(INDEX(Työkonekanta!$J$3:$J$27,MATCH($A364,Työkonekanta!$A$3:$A$24,0),1)*$B364*ef_li_ion_akku/1000/1000/INDEX(Työkonekanta!$K$3:$K$27,MATCH($A364,Työkonekanta!$A$3:$A$24,0)),0)</f>
        <v>0</v>
      </c>
      <c r="W364" s="149">
        <f t="shared" si="127"/>
        <v>7.6764048517094432</v>
      </c>
      <c r="X364" s="150">
        <f t="shared" si="128"/>
        <v>0.35587513920000002</v>
      </c>
      <c r="Y364" s="151">
        <f t="shared" si="129"/>
        <v>0.15063501496598644</v>
      </c>
      <c r="Z364" s="152">
        <f t="shared" si="122"/>
        <v>20.565587840000003</v>
      </c>
      <c r="AA364" s="153">
        <f t="shared" si="123"/>
        <v>7.8270398666754293</v>
      </c>
      <c r="AB364" s="153">
        <f t="shared" si="124"/>
        <v>8.1829150058754294</v>
      </c>
      <c r="AC364" s="154">
        <f t="shared" si="130"/>
        <v>28.392627706675434</v>
      </c>
      <c r="AD364" s="180">
        <f t="shared" si="125"/>
        <v>28.748502845875432</v>
      </c>
      <c r="AE364" s="160"/>
    </row>
    <row r="365" spans="1:31">
      <c r="A365" s="139">
        <v>3</v>
      </c>
      <c r="B365" s="139">
        <f>IFERROR(INDEX(Työkonekanta!$F$3:$F$27,MATCH('S2 Bio'!$A365,Työkonekanta!$A$3:$A$24,0),1),0)</f>
        <v>1</v>
      </c>
      <c r="C365" s="140">
        <v>2031</v>
      </c>
      <c r="D365" s="141" t="str">
        <f>IFERROR(INDEX(Työkonekanta!$D$3:$D$27,MATCH('S2 Bio'!$A365,Työkonekanta!$A$3:$A$24,0),1),"undefined")</f>
        <v>pom</v>
      </c>
      <c r="E365" s="145">
        <f>IFERROR(INDEX(Työkonekanta!$G$3:$G$27,MATCH($A365,Työkonekanta!$A$3:$A$24,0),1)*INDEX(Työkonekanta!$H$3:$H$27,MATCH($A365,Työkonekanta!$A$3:$A$24,0),1)*(1+_xlfn.SINGLE(s2_kerroin)*($C365-2019))*$B365,0)</f>
        <v>11200.000000000002</v>
      </c>
      <c r="F365" s="145">
        <f t="shared" si="111"/>
        <v>402080.00000000006</v>
      </c>
      <c r="G365" s="145">
        <f t="shared" si="118"/>
        <v>104004.69333333337</v>
      </c>
      <c r="H365" s="145">
        <f t="shared" si="119"/>
        <v>298075.3066666667</v>
      </c>
      <c r="I365" s="145">
        <f t="shared" si="112"/>
        <v>2897.066666666668</v>
      </c>
      <c r="J365" s="145">
        <f t="shared" si="113"/>
        <v>8690.24217687075</v>
      </c>
      <c r="K365" s="142" t="str">
        <f t="shared" si="120"/>
        <v>l</v>
      </c>
      <c r="L365" s="146">
        <f>IFERROR(INDEX(Työkonekanta!$I$3:$I$27,MATCH('S2 Bio'!$A365,Työkonekanta!$A$3:$A$24,0),1)*(I365+J365)*f_adblue,0)</f>
        <v>579.36544217687094</v>
      </c>
      <c r="M365" s="146">
        <f t="shared" si="126"/>
        <v>0</v>
      </c>
      <c r="N365" s="143" t="str">
        <f>IF(tuulisähkö_vuosi&lt;='S2 Bio'!C365,"tuulisähkö",ostosähkö_nyt)</f>
        <v>jäännössähkö</v>
      </c>
      <c r="O365" s="147">
        <f>INDEX(Muuttujat!$J$5:$J$21,MATCH($C365,Muuttujat!$H$5:$H$21,0),1)</f>
        <v>61.379690186142746</v>
      </c>
      <c r="P365" s="148">
        <f t="shared" si="121"/>
        <v>0.25866666666666671</v>
      </c>
      <c r="Q365" s="148">
        <f t="shared" si="132"/>
        <v>0.74133333333333329</v>
      </c>
      <c r="R365" s="148">
        <f t="shared" si="132"/>
        <v>0.74133333333333329</v>
      </c>
      <c r="S365" s="149">
        <f t="shared" si="115"/>
        <v>1.9656887040000006</v>
      </c>
      <c r="T365" s="150">
        <f t="shared" si="116"/>
        <v>18.599899136000001</v>
      </c>
      <c r="U365" s="150">
        <f t="shared" si="117"/>
        <v>0</v>
      </c>
      <c r="V365" s="150">
        <f>IFERROR(INDEX(Työkonekanta!$J$3:$J$27,MATCH($A365,Työkonekanta!$A$3:$A$24,0),1)*$B365*ef_li_ion_akku/1000/1000/INDEX(Työkonekanta!$K$3:$K$27,MATCH($A365,Työkonekanta!$A$3:$A$24,0)),0)</f>
        <v>0</v>
      </c>
      <c r="W365" s="149">
        <f t="shared" si="127"/>
        <v>7.6764048517094432</v>
      </c>
      <c r="X365" s="150">
        <f t="shared" si="128"/>
        <v>0.35587513920000002</v>
      </c>
      <c r="Y365" s="151">
        <f t="shared" si="129"/>
        <v>0.15063501496598644</v>
      </c>
      <c r="Z365" s="152">
        <f t="shared" si="122"/>
        <v>20.565587840000003</v>
      </c>
      <c r="AA365" s="153">
        <f t="shared" si="123"/>
        <v>7.8270398666754293</v>
      </c>
      <c r="AB365" s="153">
        <f t="shared" si="124"/>
        <v>8.1829150058754294</v>
      </c>
      <c r="AC365" s="154">
        <f t="shared" si="130"/>
        <v>28.392627706675434</v>
      </c>
      <c r="AD365" s="180">
        <f t="shared" si="125"/>
        <v>28.748502845875432</v>
      </c>
      <c r="AE365" s="160"/>
    </row>
    <row r="366" spans="1:31">
      <c r="A366" s="139">
        <v>4</v>
      </c>
      <c r="B366" s="139">
        <f>IFERROR(INDEX(Työkonekanta!$F$3:$F$27,MATCH('S2 Bio'!$A366,Työkonekanta!$A$3:$A$24,0),1),0)</f>
        <v>1</v>
      </c>
      <c r="C366" s="140">
        <v>2031</v>
      </c>
      <c r="D366" s="141" t="str">
        <f>IFERROR(INDEX(Työkonekanta!$D$3:$D$27,MATCH('S2 Bio'!$A366,Työkonekanta!$A$3:$A$24,0),1),"undefined")</f>
        <v>pom</v>
      </c>
      <c r="E366" s="145">
        <f>IFERROR(INDEX(Työkonekanta!$G$3:$G$27,MATCH($A366,Työkonekanta!$A$3:$A$24,0),1)*INDEX(Työkonekanta!$H$3:$H$27,MATCH($A366,Työkonekanta!$A$3:$A$24,0),1)*(1+_xlfn.SINGLE(s2_kerroin)*($C366-2019))*$B366,0)</f>
        <v>11200.000000000002</v>
      </c>
      <c r="F366" s="145">
        <f t="shared" si="111"/>
        <v>402080.00000000006</v>
      </c>
      <c r="G366" s="145">
        <f t="shared" si="118"/>
        <v>104004.69333333337</v>
      </c>
      <c r="H366" s="145">
        <f t="shared" si="119"/>
        <v>298075.3066666667</v>
      </c>
      <c r="I366" s="145">
        <f t="shared" si="112"/>
        <v>2897.066666666668</v>
      </c>
      <c r="J366" s="145">
        <f t="shared" si="113"/>
        <v>8690.24217687075</v>
      </c>
      <c r="K366" s="142" t="str">
        <f t="shared" si="120"/>
        <v>l</v>
      </c>
      <c r="L366" s="146">
        <f>IFERROR(INDEX(Työkonekanta!$I$3:$I$27,MATCH('S2 Bio'!$A366,Työkonekanta!$A$3:$A$24,0),1)*(I366+J366)*f_adblue,0)</f>
        <v>579.36544217687094</v>
      </c>
      <c r="M366" s="146">
        <f t="shared" si="126"/>
        <v>0</v>
      </c>
      <c r="N366" s="143" t="str">
        <f>IF(tuulisähkö_vuosi&lt;='S2 Bio'!C366,"tuulisähkö",ostosähkö_nyt)</f>
        <v>jäännössähkö</v>
      </c>
      <c r="O366" s="147">
        <f>INDEX(Muuttujat!$J$5:$J$21,MATCH($C366,Muuttujat!$H$5:$H$21,0),1)</f>
        <v>61.379690186142746</v>
      </c>
      <c r="P366" s="148">
        <f t="shared" si="121"/>
        <v>0.25866666666666671</v>
      </c>
      <c r="Q366" s="148">
        <f t="shared" si="132"/>
        <v>0.74133333333333329</v>
      </c>
      <c r="R366" s="148">
        <f t="shared" si="132"/>
        <v>0.74133333333333329</v>
      </c>
      <c r="S366" s="149">
        <f t="shared" si="115"/>
        <v>1.9656887040000006</v>
      </c>
      <c r="T366" s="150">
        <f t="shared" si="116"/>
        <v>18.599899136000001</v>
      </c>
      <c r="U366" s="150">
        <f t="shared" si="117"/>
        <v>0</v>
      </c>
      <c r="V366" s="150">
        <f>IFERROR(INDEX(Työkonekanta!$J$3:$J$27,MATCH($A366,Työkonekanta!$A$3:$A$24,0),1)*$B366*ef_li_ion_akku/1000/1000/INDEX(Työkonekanta!$K$3:$K$27,MATCH($A366,Työkonekanta!$A$3:$A$24,0)),0)</f>
        <v>0</v>
      </c>
      <c r="W366" s="149">
        <f t="shared" si="127"/>
        <v>7.6764048517094432</v>
      </c>
      <c r="X366" s="150">
        <f t="shared" si="128"/>
        <v>0.35587513920000002</v>
      </c>
      <c r="Y366" s="151">
        <f t="shared" si="129"/>
        <v>0.15063501496598644</v>
      </c>
      <c r="Z366" s="152">
        <f t="shared" si="122"/>
        <v>20.565587840000003</v>
      </c>
      <c r="AA366" s="153">
        <f t="shared" si="123"/>
        <v>7.8270398666754293</v>
      </c>
      <c r="AB366" s="153">
        <f t="shared" si="124"/>
        <v>8.1829150058754294</v>
      </c>
      <c r="AC366" s="154">
        <f t="shared" si="130"/>
        <v>28.392627706675434</v>
      </c>
      <c r="AD366" s="180">
        <f t="shared" si="125"/>
        <v>28.748502845875432</v>
      </c>
      <c r="AE366" s="160"/>
    </row>
    <row r="367" spans="1:31">
      <c r="A367" s="139">
        <v>5</v>
      </c>
      <c r="B367" s="139">
        <f>IFERROR(INDEX(Työkonekanta!$F$3:$F$27,MATCH('S2 Bio'!$A367,Työkonekanta!$A$3:$A$24,0),1),0)</f>
        <v>0</v>
      </c>
      <c r="C367" s="140">
        <v>2031</v>
      </c>
      <c r="D367" s="141" t="str">
        <f>IFERROR(INDEX(Työkonekanta!$D$3:$D$27,MATCH('S2 Bio'!$A367,Työkonekanta!$A$3:$A$24,0),1),"undefined")</f>
        <v>sähkö</v>
      </c>
      <c r="E367" s="145">
        <f>IFERROR(INDEX(Työkonekanta!$G$3:$G$27,MATCH($A367,Työkonekanta!$A$3:$A$24,0),1)*INDEX(Työkonekanta!$H$3:$H$27,MATCH($A367,Työkonekanta!$A$3:$A$24,0),1)*(1+_xlfn.SINGLE(s2_kerroin)*($C367-2019))*$B367,0)</f>
        <v>0</v>
      </c>
      <c r="F367" s="145">
        <f t="shared" si="111"/>
        <v>0</v>
      </c>
      <c r="G367" s="145">
        <f t="shared" si="118"/>
        <v>0</v>
      </c>
      <c r="H367" s="145">
        <f t="shared" si="119"/>
        <v>0</v>
      </c>
      <c r="I367" s="145">
        <f t="shared" si="112"/>
        <v>0</v>
      </c>
      <c r="J367" s="145">
        <f t="shared" si="113"/>
        <v>0</v>
      </c>
      <c r="K367" s="142" t="str">
        <f t="shared" si="120"/>
        <v>kWh</v>
      </c>
      <c r="L367" s="146">
        <f>IFERROR(INDEX(Työkonekanta!$I$3:$I$27,MATCH('S2 Bio'!$A367,Työkonekanta!$A$3:$A$24,0),1)*(I367+J367)*f_adblue,0)</f>
        <v>0</v>
      </c>
      <c r="M367" s="146">
        <f t="shared" si="126"/>
        <v>0</v>
      </c>
      <c r="N367" s="143" t="str">
        <f>IF(tuulisähkö_vuosi&lt;='S2 Bio'!C367,"tuulisähkö",ostosähkö_nyt)</f>
        <v>jäännössähkö</v>
      </c>
      <c r="O367" s="147">
        <f>INDEX(Muuttujat!$J$5:$J$21,MATCH($C367,Muuttujat!$H$5:$H$21,0),1)</f>
        <v>61.379690186142746</v>
      </c>
      <c r="P367" s="148">
        <f t="shared" si="121"/>
        <v>0.25866666666666671</v>
      </c>
      <c r="Q367" s="148">
        <f t="shared" si="132"/>
        <v>0.74133333333333329</v>
      </c>
      <c r="R367" s="148">
        <f t="shared" si="132"/>
        <v>0.74133333333333329</v>
      </c>
      <c r="S367" s="149">
        <f t="shared" si="115"/>
        <v>0</v>
      </c>
      <c r="T367" s="150">
        <f t="shared" si="116"/>
        <v>0</v>
      </c>
      <c r="U367" s="150">
        <f t="shared" si="117"/>
        <v>0</v>
      </c>
      <c r="V367" s="150">
        <f>IFERROR(INDEX(Työkonekanta!$J$3:$J$27,MATCH($A367,Työkonekanta!$A$3:$A$24,0),1)*$B367*ef_li_ion_akku/1000/1000/INDEX(Työkonekanta!$K$3:$K$27,MATCH($A367,Työkonekanta!$A$3:$A$24,0)),0)</f>
        <v>0</v>
      </c>
      <c r="W367" s="149">
        <f t="shared" si="127"/>
        <v>0</v>
      </c>
      <c r="X367" s="150">
        <f t="shared" si="128"/>
        <v>0</v>
      </c>
      <c r="Y367" s="151">
        <f t="shared" si="129"/>
        <v>0</v>
      </c>
      <c r="Z367" s="152">
        <f t="shared" si="122"/>
        <v>0</v>
      </c>
      <c r="AA367" s="153">
        <f t="shared" si="123"/>
        <v>0</v>
      </c>
      <c r="AB367" s="153">
        <f t="shared" si="124"/>
        <v>0</v>
      </c>
      <c r="AC367" s="154">
        <f t="shared" si="130"/>
        <v>0</v>
      </c>
      <c r="AD367" s="180">
        <f t="shared" si="125"/>
        <v>0</v>
      </c>
      <c r="AE367" s="160"/>
    </row>
    <row r="368" spans="1:31">
      <c r="A368" s="139">
        <v>6</v>
      </c>
      <c r="B368" s="139">
        <f>IFERROR(INDEX(Työkonekanta!$F$3:$F$27,MATCH('S2 Bio'!$A368,Työkonekanta!$A$3:$A$24,0),1),0)</f>
        <v>0</v>
      </c>
      <c r="C368" s="140">
        <v>2031</v>
      </c>
      <c r="D368" s="141" t="str">
        <f>IFERROR(INDEX(Työkonekanta!$D$3:$D$27,MATCH('S2 Bio'!$A368,Työkonekanta!$A$3:$A$24,0),1),"undefined")</f>
        <v>sähkö</v>
      </c>
      <c r="E368" s="145">
        <f>IFERROR(INDEX(Työkonekanta!$G$3:$G$27,MATCH($A368,Työkonekanta!$A$3:$A$24,0),1)*INDEX(Työkonekanta!$H$3:$H$27,MATCH($A368,Työkonekanta!$A$3:$A$24,0),1)*(1+_xlfn.SINGLE(s2_kerroin)*($C368-2019))*$B368,0)</f>
        <v>0</v>
      </c>
      <c r="F368" s="145">
        <f t="shared" si="111"/>
        <v>0</v>
      </c>
      <c r="G368" s="145">
        <f t="shared" si="118"/>
        <v>0</v>
      </c>
      <c r="H368" s="145">
        <f t="shared" si="119"/>
        <v>0</v>
      </c>
      <c r="I368" s="145">
        <f t="shared" si="112"/>
        <v>0</v>
      </c>
      <c r="J368" s="145">
        <f t="shared" si="113"/>
        <v>0</v>
      </c>
      <c r="K368" s="142" t="str">
        <f t="shared" si="120"/>
        <v>kWh</v>
      </c>
      <c r="L368" s="146">
        <f>IFERROR(INDEX(Työkonekanta!$I$3:$I$27,MATCH('S2 Bio'!$A368,Työkonekanta!$A$3:$A$24,0),1)*(I368+J368)*f_adblue,0)</f>
        <v>0</v>
      </c>
      <c r="M368" s="146">
        <f t="shared" si="126"/>
        <v>0</v>
      </c>
      <c r="N368" s="143" t="str">
        <f>IF(tuulisähkö_vuosi&lt;='S2 Bio'!C368,"tuulisähkö",ostosähkö_nyt)</f>
        <v>jäännössähkö</v>
      </c>
      <c r="O368" s="147">
        <f>INDEX(Muuttujat!$J$5:$J$21,MATCH($C368,Muuttujat!$H$5:$H$21,0),1)</f>
        <v>61.379690186142746</v>
      </c>
      <c r="P368" s="148">
        <f t="shared" si="121"/>
        <v>0.25866666666666671</v>
      </c>
      <c r="Q368" s="148">
        <f t="shared" si="132"/>
        <v>0.74133333333333329</v>
      </c>
      <c r="R368" s="148">
        <f t="shared" si="132"/>
        <v>0.74133333333333329</v>
      </c>
      <c r="S368" s="149">
        <f t="shared" si="115"/>
        <v>0</v>
      </c>
      <c r="T368" s="150">
        <f t="shared" si="116"/>
        <v>0</v>
      </c>
      <c r="U368" s="150">
        <f t="shared" si="117"/>
        <v>0</v>
      </c>
      <c r="V368" s="150">
        <f>IFERROR(INDEX(Työkonekanta!$J$3:$J$27,MATCH($A368,Työkonekanta!$A$3:$A$24,0),1)*$B368*ef_li_ion_akku/1000/1000/INDEX(Työkonekanta!$K$3:$K$27,MATCH($A368,Työkonekanta!$A$3:$A$24,0)),0)</f>
        <v>0</v>
      </c>
      <c r="W368" s="149">
        <f t="shared" si="127"/>
        <v>0</v>
      </c>
      <c r="X368" s="150">
        <f t="shared" si="128"/>
        <v>0</v>
      </c>
      <c r="Y368" s="151">
        <f t="shared" si="129"/>
        <v>0</v>
      </c>
      <c r="Z368" s="152">
        <f t="shared" si="122"/>
        <v>0</v>
      </c>
      <c r="AA368" s="153">
        <f t="shared" si="123"/>
        <v>0</v>
      </c>
      <c r="AB368" s="153">
        <f t="shared" si="124"/>
        <v>0</v>
      </c>
      <c r="AC368" s="154">
        <f t="shared" si="130"/>
        <v>0</v>
      </c>
      <c r="AD368" s="180">
        <f t="shared" si="125"/>
        <v>0</v>
      </c>
      <c r="AE368" s="160"/>
    </row>
    <row r="369" spans="1:31">
      <c r="A369" s="139">
        <v>7</v>
      </c>
      <c r="B369" s="139">
        <f>IFERROR(INDEX(Työkonekanta!$F$3:$F$27,MATCH('S2 Bio'!$A369,Työkonekanta!$A$3:$A$24,0),1),0)</f>
        <v>1</v>
      </c>
      <c r="C369" s="140">
        <v>2031</v>
      </c>
      <c r="D369" s="141" t="str">
        <f>IFERROR(INDEX(Työkonekanta!$D$3:$D$27,MATCH('S2 Bio'!$A369,Työkonekanta!$A$3:$A$24,0),1),"undefined")</f>
        <v>pom</v>
      </c>
      <c r="E369" s="145">
        <f>IFERROR(INDEX(Työkonekanta!$G$3:$G$27,MATCH($A369,Työkonekanta!$A$3:$A$24,0),1)*INDEX(Työkonekanta!$H$3:$H$27,MATCH($A369,Työkonekanta!$A$3:$A$24,0),1)*(1+_xlfn.SINGLE(s2_kerroin)*($C369-2019))*$B369,0)</f>
        <v>11200.000000000002</v>
      </c>
      <c r="F369" s="145">
        <f t="shared" si="111"/>
        <v>402080.00000000006</v>
      </c>
      <c r="G369" s="145">
        <f t="shared" si="118"/>
        <v>104004.69333333337</v>
      </c>
      <c r="H369" s="145">
        <f t="shared" si="119"/>
        <v>298075.3066666667</v>
      </c>
      <c r="I369" s="145">
        <f t="shared" si="112"/>
        <v>2897.066666666668</v>
      </c>
      <c r="J369" s="145">
        <f t="shared" si="113"/>
        <v>8690.24217687075</v>
      </c>
      <c r="K369" s="142" t="str">
        <f t="shared" si="120"/>
        <v>l</v>
      </c>
      <c r="L369" s="146">
        <f>IFERROR(INDEX(Työkonekanta!$I$3:$I$27,MATCH('S2 Bio'!$A369,Työkonekanta!$A$3:$A$24,0),1)*(I369+J369)*f_adblue,0)</f>
        <v>0</v>
      </c>
      <c r="M369" s="146">
        <f t="shared" si="126"/>
        <v>0</v>
      </c>
      <c r="N369" s="143" t="str">
        <f>IF(tuulisähkö_vuosi&lt;='S2 Bio'!C369,"tuulisähkö",ostosähkö_nyt)</f>
        <v>jäännössähkö</v>
      </c>
      <c r="O369" s="147">
        <f>INDEX(Muuttujat!$J$5:$J$21,MATCH($C369,Muuttujat!$H$5:$H$21,0),1)</f>
        <v>61.379690186142746</v>
      </c>
      <c r="P369" s="148">
        <f t="shared" si="121"/>
        <v>0.25866666666666671</v>
      </c>
      <c r="Q369" s="148">
        <f t="shared" si="132"/>
        <v>0.74133333333333329</v>
      </c>
      <c r="R369" s="148">
        <f t="shared" si="132"/>
        <v>0.74133333333333329</v>
      </c>
      <c r="S369" s="149">
        <f t="shared" si="115"/>
        <v>1.9656887040000006</v>
      </c>
      <c r="T369" s="150">
        <f t="shared" si="116"/>
        <v>18.599899136000001</v>
      </c>
      <c r="U369" s="150">
        <f t="shared" si="117"/>
        <v>0</v>
      </c>
      <c r="V369" s="150">
        <f>IFERROR(INDEX(Työkonekanta!$J$3:$J$27,MATCH($A369,Työkonekanta!$A$3:$A$24,0),1)*$B369*ef_li_ion_akku/1000/1000/INDEX(Työkonekanta!$K$3:$K$27,MATCH($A369,Työkonekanta!$A$3:$A$24,0)),0)</f>
        <v>0</v>
      </c>
      <c r="W369" s="149">
        <f t="shared" si="127"/>
        <v>7.6764048517094432</v>
      </c>
      <c r="X369" s="150">
        <f t="shared" si="128"/>
        <v>0.35587513920000002</v>
      </c>
      <c r="Y369" s="151">
        <f t="shared" si="129"/>
        <v>0</v>
      </c>
      <c r="Z369" s="152">
        <f t="shared" si="122"/>
        <v>20.565587840000003</v>
      </c>
      <c r="AA369" s="153">
        <f t="shared" si="123"/>
        <v>7.6764048517094432</v>
      </c>
      <c r="AB369" s="153">
        <f t="shared" si="124"/>
        <v>8.0322799909094424</v>
      </c>
      <c r="AC369" s="154">
        <f t="shared" si="130"/>
        <v>28.241992691709445</v>
      </c>
      <c r="AD369" s="180">
        <f t="shared" si="125"/>
        <v>28.597867830909443</v>
      </c>
      <c r="AE369" s="160"/>
    </row>
    <row r="370" spans="1:31">
      <c r="A370" s="139">
        <v>8</v>
      </c>
      <c r="B370" s="139">
        <f>IFERROR(INDEX(Työkonekanta!$F$3:$F$27,MATCH('S2 Bio'!$A370,Työkonekanta!$A$3:$A$24,0),1),0)</f>
        <v>1</v>
      </c>
      <c r="C370" s="140">
        <v>2031</v>
      </c>
      <c r="D370" s="141" t="str">
        <f>IFERROR(INDEX(Työkonekanta!$D$3:$D$27,MATCH('S2 Bio'!$A370,Työkonekanta!$A$3:$A$24,0),1),"undefined")</f>
        <v>pom</v>
      </c>
      <c r="E370" s="145">
        <f>IFERROR(INDEX(Työkonekanta!$G$3:$G$27,MATCH($A370,Työkonekanta!$A$3:$A$24,0),1)*INDEX(Työkonekanta!$H$3:$H$27,MATCH($A370,Työkonekanta!$A$3:$A$24,0),1)*(1+_xlfn.SINGLE(s2_kerroin)*($C370-2019))*$B370,0)</f>
        <v>11200.000000000002</v>
      </c>
      <c r="F370" s="145">
        <f t="shared" si="111"/>
        <v>402080.00000000006</v>
      </c>
      <c r="G370" s="145">
        <f t="shared" si="118"/>
        <v>104004.69333333337</v>
      </c>
      <c r="H370" s="145">
        <f t="shared" si="119"/>
        <v>298075.3066666667</v>
      </c>
      <c r="I370" s="145">
        <f t="shared" si="112"/>
        <v>2897.066666666668</v>
      </c>
      <c r="J370" s="145">
        <f t="shared" si="113"/>
        <v>8690.24217687075</v>
      </c>
      <c r="K370" s="142" t="str">
        <f t="shared" si="120"/>
        <v>l</v>
      </c>
      <c r="L370" s="146">
        <f>IFERROR(INDEX(Työkonekanta!$I$3:$I$27,MATCH('S2 Bio'!$A370,Työkonekanta!$A$3:$A$24,0),1)*(I370+J370)*f_adblue,0)</f>
        <v>579.36544217687094</v>
      </c>
      <c r="M370" s="146">
        <f t="shared" si="126"/>
        <v>0</v>
      </c>
      <c r="N370" s="143" t="str">
        <f>IF(tuulisähkö_vuosi&lt;='S2 Bio'!C370,"tuulisähkö",ostosähkö_nyt)</f>
        <v>jäännössähkö</v>
      </c>
      <c r="O370" s="147">
        <f>INDEX(Muuttujat!$J$5:$J$21,MATCH($C370,Muuttujat!$H$5:$H$21,0),1)</f>
        <v>61.379690186142746</v>
      </c>
      <c r="P370" s="148">
        <f t="shared" si="121"/>
        <v>0.25866666666666671</v>
      </c>
      <c r="Q370" s="148">
        <f t="shared" si="132"/>
        <v>0.74133333333333329</v>
      </c>
      <c r="R370" s="148">
        <f t="shared" si="132"/>
        <v>0.74133333333333329</v>
      </c>
      <c r="S370" s="149">
        <f t="shared" si="115"/>
        <v>1.9656887040000006</v>
      </c>
      <c r="T370" s="150">
        <f t="shared" si="116"/>
        <v>18.599899136000001</v>
      </c>
      <c r="U370" s="150">
        <f t="shared" si="117"/>
        <v>0</v>
      </c>
      <c r="V370" s="150">
        <f>IFERROR(INDEX(Työkonekanta!$J$3:$J$27,MATCH($A370,Työkonekanta!$A$3:$A$24,0),1)*$B370*ef_li_ion_akku/1000/1000/INDEX(Työkonekanta!$K$3:$K$27,MATCH($A370,Työkonekanta!$A$3:$A$24,0)),0)</f>
        <v>0</v>
      </c>
      <c r="W370" s="149">
        <f t="shared" si="127"/>
        <v>7.6764048517094432</v>
      </c>
      <c r="X370" s="150">
        <f t="shared" si="128"/>
        <v>0.35587513920000002</v>
      </c>
      <c r="Y370" s="151">
        <f t="shared" si="129"/>
        <v>0.15063501496598644</v>
      </c>
      <c r="Z370" s="152">
        <f t="shared" si="122"/>
        <v>20.565587840000003</v>
      </c>
      <c r="AA370" s="153">
        <f t="shared" si="123"/>
        <v>7.8270398666754293</v>
      </c>
      <c r="AB370" s="153">
        <f t="shared" si="124"/>
        <v>8.1829150058754294</v>
      </c>
      <c r="AC370" s="154">
        <f t="shared" si="130"/>
        <v>28.392627706675434</v>
      </c>
      <c r="AD370" s="180">
        <f t="shared" si="125"/>
        <v>28.748502845875432</v>
      </c>
      <c r="AE370" s="160"/>
    </row>
    <row r="371" spans="1:31">
      <c r="A371" s="139">
        <v>9</v>
      </c>
      <c r="B371" s="139">
        <f>IFERROR(INDEX(Työkonekanta!$F$3:$F$27,MATCH('S2 Bio'!$A371,Työkonekanta!$A$3:$A$24,0),1),0)</f>
        <v>0</v>
      </c>
      <c r="C371" s="140">
        <v>2031</v>
      </c>
      <c r="D371" s="141" t="str">
        <f>IFERROR(INDEX(Työkonekanta!$D$3:$D$27,MATCH('S2 Bio'!$A371,Työkonekanta!$A$3:$A$24,0),1),"undefined")</f>
        <v>sähkö</v>
      </c>
      <c r="E371" s="145">
        <f>IFERROR(INDEX(Työkonekanta!$G$3:$G$27,MATCH($A371,Työkonekanta!$A$3:$A$24,0),1)*INDEX(Työkonekanta!$H$3:$H$27,MATCH($A371,Työkonekanta!$A$3:$A$24,0),1)*(1+_xlfn.SINGLE(s2_kerroin)*($C371-2019))*$B371,0)</f>
        <v>0</v>
      </c>
      <c r="F371" s="145">
        <f t="shared" si="111"/>
        <v>0</v>
      </c>
      <c r="G371" s="145">
        <f t="shared" si="118"/>
        <v>0</v>
      </c>
      <c r="H371" s="145">
        <f t="shared" si="119"/>
        <v>0</v>
      </c>
      <c r="I371" s="145">
        <f t="shared" si="112"/>
        <v>0</v>
      </c>
      <c r="J371" s="145">
        <f t="shared" si="113"/>
        <v>0</v>
      </c>
      <c r="K371" s="142" t="str">
        <f t="shared" si="120"/>
        <v>kWh</v>
      </c>
      <c r="L371" s="146">
        <f>IFERROR(INDEX(Työkonekanta!$I$3:$I$27,MATCH('S2 Bio'!$A371,Työkonekanta!$A$3:$A$24,0),1)*(I371+J371)*f_adblue,0)</f>
        <v>0</v>
      </c>
      <c r="M371" s="146">
        <f t="shared" si="126"/>
        <v>0</v>
      </c>
      <c r="N371" s="143" t="str">
        <f>IF(tuulisähkö_vuosi&lt;='S2 Bio'!C371,"tuulisähkö",ostosähkö_nyt)</f>
        <v>jäännössähkö</v>
      </c>
      <c r="O371" s="147">
        <f>INDEX(Muuttujat!$J$5:$J$21,MATCH($C371,Muuttujat!$H$5:$H$21,0),1)</f>
        <v>61.379690186142746</v>
      </c>
      <c r="P371" s="148">
        <f t="shared" si="121"/>
        <v>0.25866666666666671</v>
      </c>
      <c r="Q371" s="148">
        <f t="shared" si="132"/>
        <v>0.74133333333333329</v>
      </c>
      <c r="R371" s="148">
        <f t="shared" si="132"/>
        <v>0.74133333333333329</v>
      </c>
      <c r="S371" s="149">
        <f t="shared" si="115"/>
        <v>0</v>
      </c>
      <c r="T371" s="150">
        <f t="shared" si="116"/>
        <v>0</v>
      </c>
      <c r="U371" s="150">
        <f t="shared" si="117"/>
        <v>0</v>
      </c>
      <c r="V371" s="150">
        <f>IFERROR(INDEX(Työkonekanta!$J$3:$J$27,MATCH($A371,Työkonekanta!$A$3:$A$24,0),1)*$B371*ef_li_ion_akku/1000/1000/INDEX(Työkonekanta!$K$3:$K$27,MATCH($A371,Työkonekanta!$A$3:$A$24,0)),0)</f>
        <v>0</v>
      </c>
      <c r="W371" s="149">
        <f t="shared" si="127"/>
        <v>0</v>
      </c>
      <c r="X371" s="150">
        <f t="shared" si="128"/>
        <v>0</v>
      </c>
      <c r="Y371" s="151">
        <f t="shared" si="129"/>
        <v>0</v>
      </c>
      <c r="Z371" s="152">
        <f t="shared" si="122"/>
        <v>0</v>
      </c>
      <c r="AA371" s="153">
        <f t="shared" si="123"/>
        <v>0</v>
      </c>
      <c r="AB371" s="153">
        <f t="shared" si="124"/>
        <v>0</v>
      </c>
      <c r="AC371" s="154">
        <f t="shared" si="130"/>
        <v>0</v>
      </c>
      <c r="AD371" s="180">
        <f t="shared" si="125"/>
        <v>0</v>
      </c>
      <c r="AE371" s="160"/>
    </row>
    <row r="372" spans="1:31">
      <c r="A372" s="139">
        <v>10</v>
      </c>
      <c r="B372" s="139">
        <f>IFERROR(INDEX(Työkonekanta!$F$3:$F$27,MATCH('S2 Bio'!$A372,Työkonekanta!$A$3:$A$24,0),1),0)</f>
        <v>0</v>
      </c>
      <c r="C372" s="140">
        <v>2031</v>
      </c>
      <c r="D372" s="141" t="str">
        <f>IFERROR(INDEX(Työkonekanta!$D$3:$D$27,MATCH('S2 Bio'!$A372,Työkonekanta!$A$3:$A$24,0),1),"undefined")</f>
        <v>sähkö</v>
      </c>
      <c r="E372" s="145">
        <f>IFERROR(INDEX(Työkonekanta!$G$3:$G$27,MATCH($A372,Työkonekanta!$A$3:$A$24,0),1)*INDEX(Työkonekanta!$H$3:$H$27,MATCH($A372,Työkonekanta!$A$3:$A$24,0),1)*(1+_xlfn.SINGLE(s2_kerroin)*($C372-2019))*$B372,0)</f>
        <v>0</v>
      </c>
      <c r="F372" s="145">
        <f t="shared" si="111"/>
        <v>0</v>
      </c>
      <c r="G372" s="145">
        <f t="shared" si="118"/>
        <v>0</v>
      </c>
      <c r="H372" s="145">
        <f t="shared" si="119"/>
        <v>0</v>
      </c>
      <c r="I372" s="145">
        <f t="shared" si="112"/>
        <v>0</v>
      </c>
      <c r="J372" s="145">
        <f t="shared" si="113"/>
        <v>0</v>
      </c>
      <c r="K372" s="142" t="str">
        <f t="shared" si="120"/>
        <v>kWh</v>
      </c>
      <c r="L372" s="146">
        <f>IFERROR(INDEX(Työkonekanta!$I$3:$I$27,MATCH('S2 Bio'!$A372,Työkonekanta!$A$3:$A$24,0),1)*(I372+J372)*f_adblue,0)</f>
        <v>0</v>
      </c>
      <c r="M372" s="146">
        <f t="shared" si="126"/>
        <v>0</v>
      </c>
      <c r="N372" s="143" t="str">
        <f>IF(tuulisähkö_vuosi&lt;='S2 Bio'!C372,"tuulisähkö",ostosähkö_nyt)</f>
        <v>jäännössähkö</v>
      </c>
      <c r="O372" s="147">
        <f>INDEX(Muuttujat!$J$5:$J$21,MATCH($C372,Muuttujat!$H$5:$H$21,0),1)</f>
        <v>61.379690186142746</v>
      </c>
      <c r="P372" s="148">
        <f t="shared" si="121"/>
        <v>0.25866666666666671</v>
      </c>
      <c r="Q372" s="148">
        <f t="shared" si="132"/>
        <v>0.74133333333333329</v>
      </c>
      <c r="R372" s="148">
        <f t="shared" si="132"/>
        <v>0.74133333333333329</v>
      </c>
      <c r="S372" s="149">
        <f t="shared" si="115"/>
        <v>0</v>
      </c>
      <c r="T372" s="150">
        <f t="shared" si="116"/>
        <v>0</v>
      </c>
      <c r="U372" s="150">
        <f t="shared" si="117"/>
        <v>0</v>
      </c>
      <c r="V372" s="150">
        <f>IFERROR(INDEX(Työkonekanta!$J$3:$J$27,MATCH($A372,Työkonekanta!$A$3:$A$24,0),1)*$B372*ef_li_ion_akku/1000/1000/INDEX(Työkonekanta!$K$3:$K$27,MATCH($A372,Työkonekanta!$A$3:$A$24,0)),0)</f>
        <v>0</v>
      </c>
      <c r="W372" s="149">
        <f t="shared" si="127"/>
        <v>0</v>
      </c>
      <c r="X372" s="150">
        <f t="shared" si="128"/>
        <v>0</v>
      </c>
      <c r="Y372" s="151">
        <f t="shared" si="129"/>
        <v>0</v>
      </c>
      <c r="Z372" s="152">
        <f t="shared" si="122"/>
        <v>0</v>
      </c>
      <c r="AA372" s="153">
        <f t="shared" si="123"/>
        <v>0</v>
      </c>
      <c r="AB372" s="153">
        <f t="shared" si="124"/>
        <v>0</v>
      </c>
      <c r="AC372" s="154">
        <f t="shared" si="130"/>
        <v>0</v>
      </c>
      <c r="AD372" s="180">
        <f t="shared" si="125"/>
        <v>0</v>
      </c>
      <c r="AE372" s="160"/>
    </row>
    <row r="373" spans="1:31">
      <c r="A373" s="139">
        <v>11</v>
      </c>
      <c r="B373" s="139">
        <f>IFERROR(INDEX(Työkonekanta!$F$3:$F$27,MATCH('S2 Bio'!$A373,Työkonekanta!$A$3:$A$24,0),1),0)</f>
        <v>1</v>
      </c>
      <c r="C373" s="140">
        <v>2031</v>
      </c>
      <c r="D373" s="141" t="str">
        <f>IFERROR(INDEX(Työkonekanta!$D$3:$D$27,MATCH('S2 Bio'!$A373,Työkonekanta!$A$3:$A$24,0),1),"undefined")</f>
        <v>pom</v>
      </c>
      <c r="E373" s="145">
        <f>IFERROR(INDEX(Työkonekanta!$G$3:$G$27,MATCH($A373,Työkonekanta!$A$3:$A$24,0),1)*INDEX(Työkonekanta!$H$3:$H$27,MATCH($A373,Työkonekanta!$A$3:$A$24,0),1)*(1+_xlfn.SINGLE(s2_kerroin)*($C373-2019))*$B373,0)</f>
        <v>11200.000000000002</v>
      </c>
      <c r="F373" s="145">
        <f t="shared" si="111"/>
        <v>402080.00000000006</v>
      </c>
      <c r="G373" s="145">
        <f t="shared" si="118"/>
        <v>104004.69333333337</v>
      </c>
      <c r="H373" s="145">
        <f t="shared" si="119"/>
        <v>298075.3066666667</v>
      </c>
      <c r="I373" s="145">
        <f t="shared" si="112"/>
        <v>2897.066666666668</v>
      </c>
      <c r="J373" s="145">
        <f t="shared" si="113"/>
        <v>8690.24217687075</v>
      </c>
      <c r="K373" s="142" t="str">
        <f t="shared" si="120"/>
        <v>l</v>
      </c>
      <c r="L373" s="146">
        <f>IFERROR(INDEX(Työkonekanta!$I$3:$I$27,MATCH('S2 Bio'!$A373,Työkonekanta!$A$3:$A$24,0),1)*(I373+J373)*f_adblue,0)</f>
        <v>579.36544217687094</v>
      </c>
      <c r="M373" s="146">
        <f t="shared" si="126"/>
        <v>0</v>
      </c>
      <c r="N373" s="143" t="str">
        <f>IF(tuulisähkö_vuosi&lt;='S2 Bio'!C373,"tuulisähkö",ostosähkö_nyt)</f>
        <v>jäännössähkö</v>
      </c>
      <c r="O373" s="147">
        <f>INDEX(Muuttujat!$J$5:$J$21,MATCH($C373,Muuttujat!$H$5:$H$21,0),1)</f>
        <v>61.379690186142746</v>
      </c>
      <c r="P373" s="148">
        <f t="shared" si="121"/>
        <v>0.25866666666666671</v>
      </c>
      <c r="Q373" s="148">
        <f t="shared" si="132"/>
        <v>0.74133333333333329</v>
      </c>
      <c r="R373" s="148">
        <f t="shared" si="132"/>
        <v>0.74133333333333329</v>
      </c>
      <c r="S373" s="149">
        <f t="shared" si="115"/>
        <v>1.9656887040000006</v>
      </c>
      <c r="T373" s="150">
        <f t="shared" si="116"/>
        <v>18.599899136000001</v>
      </c>
      <c r="U373" s="150">
        <f t="shared" si="117"/>
        <v>0</v>
      </c>
      <c r="V373" s="150">
        <f>IFERROR(INDEX(Työkonekanta!$J$3:$J$27,MATCH($A373,Työkonekanta!$A$3:$A$24,0),1)*$B373*ef_li_ion_akku/1000/1000/INDEX(Työkonekanta!$K$3:$K$27,MATCH($A373,Työkonekanta!$A$3:$A$24,0)),0)</f>
        <v>0</v>
      </c>
      <c r="W373" s="149">
        <f t="shared" si="127"/>
        <v>7.6764048517094432</v>
      </c>
      <c r="X373" s="150">
        <f t="shared" si="128"/>
        <v>0.35587513920000002</v>
      </c>
      <c r="Y373" s="151">
        <f t="shared" si="129"/>
        <v>0.15063501496598644</v>
      </c>
      <c r="Z373" s="152">
        <f t="shared" si="122"/>
        <v>20.565587840000003</v>
      </c>
      <c r="AA373" s="153">
        <f t="shared" si="123"/>
        <v>7.8270398666754293</v>
      </c>
      <c r="AB373" s="153">
        <f t="shared" si="124"/>
        <v>8.1829150058754294</v>
      </c>
      <c r="AC373" s="154">
        <f t="shared" si="130"/>
        <v>28.392627706675434</v>
      </c>
      <c r="AD373" s="180">
        <f t="shared" si="125"/>
        <v>28.748502845875432</v>
      </c>
      <c r="AE373" s="160"/>
    </row>
    <row r="374" spans="1:31">
      <c r="A374" s="139">
        <v>12</v>
      </c>
      <c r="B374" s="139">
        <f>IFERROR(INDEX(Työkonekanta!$F$3:$F$27,MATCH('S2 Bio'!$A374,Työkonekanta!$A$3:$A$24,0),1),0)</f>
        <v>1</v>
      </c>
      <c r="C374" s="140">
        <v>2031</v>
      </c>
      <c r="D374" s="141" t="str">
        <f>IFERROR(INDEX(Työkonekanta!$D$3:$D$27,MATCH('S2 Bio'!$A374,Työkonekanta!$A$3:$A$24,0),1),"undefined")</f>
        <v>pom</v>
      </c>
      <c r="E374" s="145">
        <f>IFERROR(INDEX(Työkonekanta!$G$3:$G$27,MATCH($A374,Työkonekanta!$A$3:$A$24,0),1)*INDEX(Työkonekanta!$H$3:$H$27,MATCH($A374,Työkonekanta!$A$3:$A$24,0),1)*(1+_xlfn.SINGLE(s2_kerroin)*($C374-2019))*$B374,0)</f>
        <v>11200.000000000002</v>
      </c>
      <c r="F374" s="145">
        <f t="shared" si="111"/>
        <v>402080.00000000006</v>
      </c>
      <c r="G374" s="145">
        <f t="shared" si="118"/>
        <v>104004.69333333337</v>
      </c>
      <c r="H374" s="145">
        <f t="shared" si="119"/>
        <v>298075.3066666667</v>
      </c>
      <c r="I374" s="145">
        <f t="shared" si="112"/>
        <v>2897.066666666668</v>
      </c>
      <c r="J374" s="145">
        <f t="shared" si="113"/>
        <v>8690.24217687075</v>
      </c>
      <c r="K374" s="142" t="str">
        <f t="shared" si="120"/>
        <v>l</v>
      </c>
      <c r="L374" s="146">
        <f>IFERROR(INDEX(Työkonekanta!$I$3:$I$27,MATCH('S2 Bio'!$A374,Työkonekanta!$A$3:$A$24,0),1)*(I374+J374)*f_adblue,0)</f>
        <v>579.36544217687094</v>
      </c>
      <c r="M374" s="146">
        <f t="shared" si="126"/>
        <v>0</v>
      </c>
      <c r="N374" s="143" t="str">
        <f>IF(tuulisähkö_vuosi&lt;='S2 Bio'!C374,"tuulisähkö",ostosähkö_nyt)</f>
        <v>jäännössähkö</v>
      </c>
      <c r="O374" s="147">
        <f>INDEX(Muuttujat!$J$5:$J$21,MATCH($C374,Muuttujat!$H$5:$H$21,0),1)</f>
        <v>61.379690186142746</v>
      </c>
      <c r="P374" s="148">
        <f t="shared" si="121"/>
        <v>0.25866666666666671</v>
      </c>
      <c r="Q374" s="148">
        <f t="shared" si="132"/>
        <v>0.74133333333333329</v>
      </c>
      <c r="R374" s="148">
        <f t="shared" si="132"/>
        <v>0.74133333333333329</v>
      </c>
      <c r="S374" s="149">
        <f t="shared" si="115"/>
        <v>1.9656887040000006</v>
      </c>
      <c r="T374" s="150">
        <f t="shared" si="116"/>
        <v>18.599899136000001</v>
      </c>
      <c r="U374" s="150">
        <f t="shared" si="117"/>
        <v>0</v>
      </c>
      <c r="V374" s="150">
        <f>IFERROR(INDEX(Työkonekanta!$J$3:$J$27,MATCH($A374,Työkonekanta!$A$3:$A$24,0),1)*$B374*ef_li_ion_akku/1000/1000/INDEX(Työkonekanta!$K$3:$K$27,MATCH($A374,Työkonekanta!$A$3:$A$24,0)),0)</f>
        <v>0</v>
      </c>
      <c r="W374" s="149">
        <f t="shared" si="127"/>
        <v>7.6764048517094432</v>
      </c>
      <c r="X374" s="150">
        <f t="shared" si="128"/>
        <v>0.35587513920000002</v>
      </c>
      <c r="Y374" s="151">
        <f t="shared" si="129"/>
        <v>0.15063501496598644</v>
      </c>
      <c r="Z374" s="152">
        <f t="shared" si="122"/>
        <v>20.565587840000003</v>
      </c>
      <c r="AA374" s="153">
        <f t="shared" si="123"/>
        <v>7.8270398666754293</v>
      </c>
      <c r="AB374" s="153">
        <f t="shared" si="124"/>
        <v>8.1829150058754294</v>
      </c>
      <c r="AC374" s="154">
        <f t="shared" si="130"/>
        <v>28.392627706675434</v>
      </c>
      <c r="AD374" s="180">
        <f t="shared" si="125"/>
        <v>28.748502845875432</v>
      </c>
      <c r="AE374" s="160"/>
    </row>
    <row r="375" spans="1:31">
      <c r="A375" s="139">
        <v>13</v>
      </c>
      <c r="B375" s="139">
        <f>IFERROR(INDEX(Työkonekanta!$F$3:$F$27,MATCH('S2 Bio'!$A375,Työkonekanta!$A$3:$A$24,0),1),0)</f>
        <v>0</v>
      </c>
      <c r="C375" s="140">
        <v>2031</v>
      </c>
      <c r="D375" s="141" t="str">
        <f>IFERROR(INDEX(Työkonekanta!$D$3:$D$27,MATCH('S2 Bio'!$A375,Työkonekanta!$A$3:$A$24,0),1),"undefined")</f>
        <v>pom</v>
      </c>
      <c r="E375" s="145">
        <f>IFERROR(INDEX(Työkonekanta!$G$3:$G$27,MATCH($A375,Työkonekanta!$A$3:$A$24,0),1)*INDEX(Työkonekanta!$H$3:$H$27,MATCH($A375,Työkonekanta!$A$3:$A$24,0),1)*(1+_xlfn.SINGLE(s2_kerroin)*($C375-2019))*$B375,0)</f>
        <v>0</v>
      </c>
      <c r="F375" s="145">
        <f t="shared" si="111"/>
        <v>0</v>
      </c>
      <c r="G375" s="145">
        <f t="shared" si="118"/>
        <v>0</v>
      </c>
      <c r="H375" s="145">
        <f t="shared" si="119"/>
        <v>0</v>
      </c>
      <c r="I375" s="145">
        <f t="shared" si="112"/>
        <v>0</v>
      </c>
      <c r="J375" s="145">
        <f t="shared" si="113"/>
        <v>0</v>
      </c>
      <c r="K375" s="142" t="str">
        <f t="shared" si="120"/>
        <v>l</v>
      </c>
      <c r="L375" s="146">
        <f>IFERROR(INDEX(Työkonekanta!$I$3:$I$27,MATCH('S2 Bio'!$A375,Työkonekanta!$A$3:$A$24,0),1)*(I375+J375)*f_adblue,0)</f>
        <v>0</v>
      </c>
      <c r="M375" s="146">
        <f t="shared" si="126"/>
        <v>0</v>
      </c>
      <c r="N375" s="143" t="str">
        <f>IF(tuulisähkö_vuosi&lt;='S2 Bio'!C375,"tuulisähkö",ostosähkö_nyt)</f>
        <v>jäännössähkö</v>
      </c>
      <c r="O375" s="147">
        <f>INDEX(Muuttujat!$J$5:$J$21,MATCH($C375,Muuttujat!$H$5:$H$21,0),1)</f>
        <v>61.379690186142746</v>
      </c>
      <c r="P375" s="148">
        <f t="shared" si="121"/>
        <v>0.25866666666666671</v>
      </c>
      <c r="Q375" s="148">
        <f t="shared" si="132"/>
        <v>0.74133333333333329</v>
      </c>
      <c r="R375" s="148">
        <f t="shared" si="132"/>
        <v>0.74133333333333329</v>
      </c>
      <c r="S375" s="149">
        <f t="shared" si="115"/>
        <v>0</v>
      </c>
      <c r="T375" s="150">
        <f t="shared" si="116"/>
        <v>0</v>
      </c>
      <c r="U375" s="150">
        <f t="shared" si="117"/>
        <v>0</v>
      </c>
      <c r="V375" s="150">
        <f>IFERROR(INDEX(Työkonekanta!$J$3:$J$27,MATCH($A375,Työkonekanta!$A$3:$A$24,0),1)*$B375*ef_li_ion_akku/1000/1000/INDEX(Työkonekanta!$K$3:$K$27,MATCH($A375,Työkonekanta!$A$3:$A$24,0)),0)</f>
        <v>0</v>
      </c>
      <c r="W375" s="149">
        <f t="shared" si="127"/>
        <v>0</v>
      </c>
      <c r="X375" s="150">
        <f t="shared" si="128"/>
        <v>0</v>
      </c>
      <c r="Y375" s="151">
        <f t="shared" si="129"/>
        <v>0</v>
      </c>
      <c r="Z375" s="152">
        <f t="shared" si="122"/>
        <v>0</v>
      </c>
      <c r="AA375" s="153">
        <f t="shared" si="123"/>
        <v>0</v>
      </c>
      <c r="AB375" s="153">
        <f t="shared" si="124"/>
        <v>0</v>
      </c>
      <c r="AC375" s="154">
        <f t="shared" si="130"/>
        <v>0</v>
      </c>
      <c r="AD375" s="180">
        <f t="shared" si="125"/>
        <v>0</v>
      </c>
      <c r="AE375" s="160"/>
    </row>
    <row r="376" spans="1:31">
      <c r="A376" s="139">
        <v>14</v>
      </c>
      <c r="B376" s="139">
        <f>IFERROR(INDEX(Työkonekanta!$F$3:$F$27,MATCH('S2 Bio'!$A376,Työkonekanta!$A$3:$A$24,0),1),0)</f>
        <v>0</v>
      </c>
      <c r="C376" s="140">
        <v>2031</v>
      </c>
      <c r="D376" s="141" t="str">
        <f>IFERROR(INDEX(Työkonekanta!$D$3:$D$27,MATCH('S2 Bio'!$A376,Työkonekanta!$A$3:$A$24,0),1),"undefined")</f>
        <v>pom</v>
      </c>
      <c r="E376" s="145">
        <f>IFERROR(INDEX(Työkonekanta!$G$3:$G$27,MATCH($A376,Työkonekanta!$A$3:$A$24,0),1)*INDEX(Työkonekanta!$H$3:$H$27,MATCH($A376,Työkonekanta!$A$3:$A$24,0),1)*(1+_xlfn.SINGLE(s2_kerroin)*($C376-2019))*$B376,0)</f>
        <v>0</v>
      </c>
      <c r="F376" s="145">
        <f t="shared" si="111"/>
        <v>0</v>
      </c>
      <c r="G376" s="145">
        <f t="shared" si="118"/>
        <v>0</v>
      </c>
      <c r="H376" s="145">
        <f t="shared" si="119"/>
        <v>0</v>
      </c>
      <c r="I376" s="145">
        <f t="shared" si="112"/>
        <v>0</v>
      </c>
      <c r="J376" s="145">
        <f t="shared" si="113"/>
        <v>0</v>
      </c>
      <c r="K376" s="142" t="str">
        <f t="shared" si="120"/>
        <v>l</v>
      </c>
      <c r="L376" s="146">
        <f>IFERROR(INDEX(Työkonekanta!$I$3:$I$27,MATCH('S2 Bio'!$A376,Työkonekanta!$A$3:$A$24,0),1)*(I376+J376)*f_adblue,0)</f>
        <v>0</v>
      </c>
      <c r="M376" s="146">
        <f t="shared" si="126"/>
        <v>0</v>
      </c>
      <c r="N376" s="143" t="str">
        <f>IF(tuulisähkö_vuosi&lt;='S2 Bio'!C376,"tuulisähkö",ostosähkö_nyt)</f>
        <v>jäännössähkö</v>
      </c>
      <c r="O376" s="147">
        <f>INDEX(Muuttujat!$J$5:$J$21,MATCH($C376,Muuttujat!$H$5:$H$21,0),1)</f>
        <v>61.379690186142746</v>
      </c>
      <c r="P376" s="148">
        <f t="shared" si="121"/>
        <v>0.25866666666666671</v>
      </c>
      <c r="Q376" s="148">
        <f t="shared" si="132"/>
        <v>0.74133333333333329</v>
      </c>
      <c r="R376" s="148">
        <f t="shared" si="132"/>
        <v>0.74133333333333329</v>
      </c>
      <c r="S376" s="149">
        <f t="shared" si="115"/>
        <v>0</v>
      </c>
      <c r="T376" s="150">
        <f t="shared" si="116"/>
        <v>0</v>
      </c>
      <c r="U376" s="150">
        <f t="shared" si="117"/>
        <v>0</v>
      </c>
      <c r="V376" s="150">
        <f>IFERROR(INDEX(Työkonekanta!$J$3:$J$27,MATCH($A376,Työkonekanta!$A$3:$A$24,0),1)*$B376*ef_li_ion_akku/1000/1000/INDEX(Työkonekanta!$K$3:$K$27,MATCH($A376,Työkonekanta!$A$3:$A$24,0)),0)</f>
        <v>0</v>
      </c>
      <c r="W376" s="149">
        <f t="shared" si="127"/>
        <v>0</v>
      </c>
      <c r="X376" s="150">
        <f t="shared" si="128"/>
        <v>0</v>
      </c>
      <c r="Y376" s="151">
        <f t="shared" si="129"/>
        <v>0</v>
      </c>
      <c r="Z376" s="152">
        <f t="shared" si="122"/>
        <v>0</v>
      </c>
      <c r="AA376" s="153">
        <f t="shared" si="123"/>
        <v>0</v>
      </c>
      <c r="AB376" s="153">
        <f t="shared" si="124"/>
        <v>0</v>
      </c>
      <c r="AC376" s="154">
        <f t="shared" si="130"/>
        <v>0</v>
      </c>
      <c r="AD376" s="180">
        <f t="shared" si="125"/>
        <v>0</v>
      </c>
      <c r="AE376" s="160"/>
    </row>
    <row r="377" spans="1:31">
      <c r="A377" s="139">
        <v>15</v>
      </c>
      <c r="B377" s="139">
        <f>IFERROR(INDEX(Työkonekanta!$F$3:$F$27,MATCH('S2 Bio'!$A377,Työkonekanta!$A$3:$A$24,0),1),0)</f>
        <v>0</v>
      </c>
      <c r="C377" s="140">
        <v>2031</v>
      </c>
      <c r="D377" s="141" t="str">
        <f>IFERROR(INDEX(Työkonekanta!$D$3:$D$27,MATCH('S2 Bio'!$A377,Työkonekanta!$A$3:$A$24,0),1),"undefined")</f>
        <v>sähkö</v>
      </c>
      <c r="E377" s="145">
        <f>IFERROR(INDEX(Työkonekanta!$G$3:$G$27,MATCH($A377,Työkonekanta!$A$3:$A$24,0),1)*INDEX(Työkonekanta!$H$3:$H$27,MATCH($A377,Työkonekanta!$A$3:$A$24,0),1)*(1+_xlfn.SINGLE(s2_kerroin)*($C377-2019))*$B377,0)</f>
        <v>0</v>
      </c>
      <c r="F377" s="145">
        <f t="shared" si="111"/>
        <v>0</v>
      </c>
      <c r="G377" s="145">
        <f t="shared" si="118"/>
        <v>0</v>
      </c>
      <c r="H377" s="145">
        <f t="shared" si="119"/>
        <v>0</v>
      </c>
      <c r="I377" s="145">
        <f t="shared" si="112"/>
        <v>0</v>
      </c>
      <c r="J377" s="145">
        <f t="shared" si="113"/>
        <v>0</v>
      </c>
      <c r="K377" s="142" t="str">
        <f t="shared" si="120"/>
        <v>kWh</v>
      </c>
      <c r="L377" s="146">
        <f>IFERROR(INDEX(Työkonekanta!$I$3:$I$27,MATCH('S2 Bio'!$A377,Työkonekanta!$A$3:$A$24,0),1)*(I377+J377)*f_adblue,0)</f>
        <v>0</v>
      </c>
      <c r="M377" s="146">
        <f t="shared" si="126"/>
        <v>0</v>
      </c>
      <c r="N377" s="143" t="str">
        <f>IF(tuulisähkö_vuosi&lt;='S2 Bio'!C377,"tuulisähkö",ostosähkö_nyt)</f>
        <v>jäännössähkö</v>
      </c>
      <c r="O377" s="147">
        <f>INDEX(Muuttujat!$J$5:$J$21,MATCH($C377,Muuttujat!$H$5:$H$21,0),1)</f>
        <v>61.379690186142746</v>
      </c>
      <c r="P377" s="148">
        <f t="shared" si="121"/>
        <v>0.25866666666666671</v>
      </c>
      <c r="Q377" s="148">
        <f t="shared" si="132"/>
        <v>0.74133333333333329</v>
      </c>
      <c r="R377" s="148">
        <f t="shared" si="132"/>
        <v>0.74133333333333329</v>
      </c>
      <c r="S377" s="149">
        <f t="shared" si="115"/>
        <v>0</v>
      </c>
      <c r="T377" s="150">
        <f t="shared" si="116"/>
        <v>0</v>
      </c>
      <c r="U377" s="150">
        <f t="shared" si="117"/>
        <v>0</v>
      </c>
      <c r="V377" s="150">
        <f>IFERROR(INDEX(Työkonekanta!$J$3:$J$27,MATCH($A377,Työkonekanta!$A$3:$A$24,0),1)*$B377*ef_li_ion_akku/1000/1000/INDEX(Työkonekanta!$K$3:$K$27,MATCH($A377,Työkonekanta!$A$3:$A$24,0)),0)</f>
        <v>0</v>
      </c>
      <c r="W377" s="149">
        <f t="shared" si="127"/>
        <v>0</v>
      </c>
      <c r="X377" s="150">
        <f t="shared" si="128"/>
        <v>0</v>
      </c>
      <c r="Y377" s="151">
        <f t="shared" si="129"/>
        <v>0</v>
      </c>
      <c r="Z377" s="152">
        <f t="shared" si="122"/>
        <v>0</v>
      </c>
      <c r="AA377" s="153">
        <f t="shared" si="123"/>
        <v>0</v>
      </c>
      <c r="AB377" s="153">
        <f t="shared" si="124"/>
        <v>0</v>
      </c>
      <c r="AC377" s="154">
        <f t="shared" si="130"/>
        <v>0</v>
      </c>
      <c r="AD377" s="180">
        <f t="shared" si="125"/>
        <v>0</v>
      </c>
      <c r="AE377" s="160"/>
    </row>
    <row r="378" spans="1:31">
      <c r="A378" s="139">
        <v>16</v>
      </c>
      <c r="B378" s="139">
        <f>IFERROR(INDEX(Työkonekanta!$F$3:$F$27,MATCH('S2 Bio'!$A378,Työkonekanta!$A$3:$A$24,0),1),0)</f>
        <v>0</v>
      </c>
      <c r="C378" s="140">
        <v>2031</v>
      </c>
      <c r="D378" s="141" t="str">
        <f>IFERROR(INDEX(Työkonekanta!$D$3:$D$27,MATCH('S2 Bio'!$A378,Työkonekanta!$A$3:$A$24,0),1),"undefined")</f>
        <v>sähkö</v>
      </c>
      <c r="E378" s="145">
        <f>IFERROR(INDEX(Työkonekanta!$G$3:$G$27,MATCH($A378,Työkonekanta!$A$3:$A$24,0),1)*INDEX(Työkonekanta!$H$3:$H$27,MATCH($A378,Työkonekanta!$A$3:$A$24,0),1)*(1+_xlfn.SINGLE(s2_kerroin)*($C378-2019))*$B378,0)</f>
        <v>0</v>
      </c>
      <c r="F378" s="145">
        <f t="shared" si="111"/>
        <v>0</v>
      </c>
      <c r="G378" s="145">
        <f t="shared" si="118"/>
        <v>0</v>
      </c>
      <c r="H378" s="145">
        <f t="shared" si="119"/>
        <v>0</v>
      </c>
      <c r="I378" s="145">
        <f t="shared" si="112"/>
        <v>0</v>
      </c>
      <c r="J378" s="145">
        <f t="shared" si="113"/>
        <v>0</v>
      </c>
      <c r="K378" s="142" t="str">
        <f t="shared" si="120"/>
        <v>kWh</v>
      </c>
      <c r="L378" s="146">
        <f>IFERROR(INDEX(Työkonekanta!$I$3:$I$27,MATCH('S2 Bio'!$A378,Työkonekanta!$A$3:$A$24,0),1)*(I378+J378)*f_adblue,0)</f>
        <v>0</v>
      </c>
      <c r="M378" s="146">
        <f t="shared" si="126"/>
        <v>0</v>
      </c>
      <c r="N378" s="143" t="str">
        <f>IF(tuulisähkö_vuosi&lt;='S2 Bio'!C378,"tuulisähkö",ostosähkö_nyt)</f>
        <v>jäännössähkö</v>
      </c>
      <c r="O378" s="147">
        <f>INDEX(Muuttujat!$J$5:$J$21,MATCH($C378,Muuttujat!$H$5:$H$21,0),1)</f>
        <v>61.379690186142746</v>
      </c>
      <c r="P378" s="148">
        <f t="shared" si="121"/>
        <v>0.25866666666666671</v>
      </c>
      <c r="Q378" s="148">
        <f t="shared" si="132"/>
        <v>0.74133333333333329</v>
      </c>
      <c r="R378" s="148">
        <f t="shared" si="132"/>
        <v>0.74133333333333329</v>
      </c>
      <c r="S378" s="149">
        <f t="shared" si="115"/>
        <v>0</v>
      </c>
      <c r="T378" s="150">
        <f t="shared" si="116"/>
        <v>0</v>
      </c>
      <c r="U378" s="150">
        <f t="shared" si="117"/>
        <v>0</v>
      </c>
      <c r="V378" s="150">
        <f>IFERROR(INDEX(Työkonekanta!$J$3:$J$27,MATCH($A378,Työkonekanta!$A$3:$A$24,0),1)*$B378*ef_li_ion_akku/1000/1000/INDEX(Työkonekanta!$K$3:$K$27,MATCH($A378,Työkonekanta!$A$3:$A$24,0)),0)</f>
        <v>0</v>
      </c>
      <c r="W378" s="149">
        <f t="shared" si="127"/>
        <v>0</v>
      </c>
      <c r="X378" s="150">
        <f t="shared" si="128"/>
        <v>0</v>
      </c>
      <c r="Y378" s="151">
        <f t="shared" si="129"/>
        <v>0</v>
      </c>
      <c r="Z378" s="152">
        <f t="shared" si="122"/>
        <v>0</v>
      </c>
      <c r="AA378" s="153">
        <f t="shared" si="123"/>
        <v>0</v>
      </c>
      <c r="AB378" s="153">
        <f t="shared" si="124"/>
        <v>0</v>
      </c>
      <c r="AC378" s="154">
        <f t="shared" si="130"/>
        <v>0</v>
      </c>
      <c r="AD378" s="180">
        <f t="shared" si="125"/>
        <v>0</v>
      </c>
      <c r="AE378" s="160"/>
    </row>
    <row r="379" spans="1:31">
      <c r="A379" s="139">
        <v>17</v>
      </c>
      <c r="B379" s="139">
        <f>IFERROR(INDEX(Työkonekanta!$F$3:$F$27,MATCH('S2 Bio'!$A379,Työkonekanta!$A$3:$A$24,0),1),0)</f>
        <v>1</v>
      </c>
      <c r="C379" s="140">
        <v>2031</v>
      </c>
      <c r="D379" s="141" t="str">
        <f>IFERROR(INDEX(Työkonekanta!$D$3:$D$27,MATCH('S2 Bio'!$A379,Työkonekanta!$A$3:$A$24,0),1),"undefined")</f>
        <v>pom</v>
      </c>
      <c r="E379" s="145">
        <f>IFERROR(INDEX(Työkonekanta!$G$3:$G$27,MATCH($A379,Työkonekanta!$A$3:$A$24,0),1)*INDEX(Työkonekanta!$H$3:$H$27,MATCH($A379,Työkonekanta!$A$3:$A$24,0),1)*(1+_xlfn.SINGLE(s2_kerroin)*($C379-2019))*$B379,0)</f>
        <v>11200.000000000002</v>
      </c>
      <c r="F379" s="145">
        <f t="shared" si="111"/>
        <v>402080.00000000006</v>
      </c>
      <c r="G379" s="145">
        <f t="shared" si="118"/>
        <v>104004.69333333337</v>
      </c>
      <c r="H379" s="145">
        <f t="shared" si="119"/>
        <v>298075.3066666667</v>
      </c>
      <c r="I379" s="145">
        <f t="shared" si="112"/>
        <v>2897.066666666668</v>
      </c>
      <c r="J379" s="145">
        <f t="shared" si="113"/>
        <v>8690.24217687075</v>
      </c>
      <c r="K379" s="142" t="str">
        <f t="shared" si="120"/>
        <v>l</v>
      </c>
      <c r="L379" s="146">
        <f>IFERROR(INDEX(Työkonekanta!$I$3:$I$27,MATCH('S2 Bio'!$A379,Työkonekanta!$A$3:$A$24,0),1)*(I379+J379)*f_adblue,0)</f>
        <v>579.36544217687094</v>
      </c>
      <c r="M379" s="146">
        <f t="shared" si="126"/>
        <v>0</v>
      </c>
      <c r="N379" s="143" t="str">
        <f>IF(tuulisähkö_vuosi&lt;='S2 Bio'!C379,"tuulisähkö",ostosähkö_nyt)</f>
        <v>jäännössähkö</v>
      </c>
      <c r="O379" s="147">
        <f>INDEX(Muuttujat!$J$5:$J$21,MATCH($C379,Muuttujat!$H$5:$H$21,0),1)</f>
        <v>61.379690186142746</v>
      </c>
      <c r="P379" s="148">
        <f t="shared" si="121"/>
        <v>0.25866666666666671</v>
      </c>
      <c r="Q379" s="148">
        <f t="shared" si="132"/>
        <v>0.74133333333333329</v>
      </c>
      <c r="R379" s="148">
        <f t="shared" si="132"/>
        <v>0.74133333333333329</v>
      </c>
      <c r="S379" s="149">
        <f t="shared" si="115"/>
        <v>1.9656887040000006</v>
      </c>
      <c r="T379" s="150">
        <f t="shared" si="116"/>
        <v>18.599899136000001</v>
      </c>
      <c r="U379" s="150">
        <f t="shared" si="117"/>
        <v>0</v>
      </c>
      <c r="V379" s="150">
        <f>IFERROR(INDEX(Työkonekanta!$J$3:$J$27,MATCH($A379,Työkonekanta!$A$3:$A$24,0),1)*$B379*ef_li_ion_akku/1000/1000/INDEX(Työkonekanta!$K$3:$K$27,MATCH($A379,Työkonekanta!$A$3:$A$24,0)),0)</f>
        <v>0</v>
      </c>
      <c r="W379" s="149">
        <f t="shared" si="127"/>
        <v>7.6764048517094432</v>
      </c>
      <c r="X379" s="150">
        <f t="shared" si="128"/>
        <v>0.35587513920000002</v>
      </c>
      <c r="Y379" s="151">
        <f t="shared" si="129"/>
        <v>0.15063501496598644</v>
      </c>
      <c r="Z379" s="152">
        <f t="shared" si="122"/>
        <v>20.565587840000003</v>
      </c>
      <c r="AA379" s="153">
        <f t="shared" si="123"/>
        <v>7.8270398666754293</v>
      </c>
      <c r="AB379" s="153">
        <f t="shared" si="124"/>
        <v>8.1829150058754294</v>
      </c>
      <c r="AC379" s="154">
        <f t="shared" si="130"/>
        <v>28.392627706675434</v>
      </c>
      <c r="AD379" s="180">
        <f t="shared" si="125"/>
        <v>28.748502845875432</v>
      </c>
      <c r="AE379" s="160"/>
    </row>
    <row r="380" spans="1:31">
      <c r="A380" s="139">
        <v>18</v>
      </c>
      <c r="B380" s="139">
        <f>IFERROR(INDEX(Työkonekanta!$F$3:$F$27,MATCH('S2 Bio'!$A380,Työkonekanta!$A$3:$A$24,0),1),0)</f>
        <v>1</v>
      </c>
      <c r="C380" s="140">
        <v>2031</v>
      </c>
      <c r="D380" s="141" t="str">
        <f>IFERROR(INDEX(Työkonekanta!$D$3:$D$27,MATCH('S2 Bio'!$A380,Työkonekanta!$A$3:$A$24,0),1),"undefined")</f>
        <v>pom</v>
      </c>
      <c r="E380" s="145">
        <f>IFERROR(INDEX(Työkonekanta!$G$3:$G$27,MATCH($A380,Työkonekanta!$A$3:$A$24,0),1)*INDEX(Työkonekanta!$H$3:$H$27,MATCH($A380,Työkonekanta!$A$3:$A$24,0),1)*(1+_xlfn.SINGLE(s2_kerroin)*($C380-2019))*$B380,0)</f>
        <v>11200.000000000002</v>
      </c>
      <c r="F380" s="145">
        <f t="shared" si="111"/>
        <v>402080.00000000006</v>
      </c>
      <c r="G380" s="145">
        <f t="shared" si="118"/>
        <v>104004.69333333337</v>
      </c>
      <c r="H380" s="145">
        <f t="shared" si="119"/>
        <v>298075.3066666667</v>
      </c>
      <c r="I380" s="145">
        <f t="shared" si="112"/>
        <v>2897.066666666668</v>
      </c>
      <c r="J380" s="145">
        <f t="shared" si="113"/>
        <v>8690.24217687075</v>
      </c>
      <c r="K380" s="142" t="str">
        <f t="shared" si="120"/>
        <v>l</v>
      </c>
      <c r="L380" s="146">
        <f>IFERROR(INDEX(Työkonekanta!$I$3:$I$27,MATCH('S2 Bio'!$A380,Työkonekanta!$A$3:$A$24,0),1)*(I380+J380)*f_adblue,0)</f>
        <v>463.4923537414968</v>
      </c>
      <c r="M380" s="146">
        <f t="shared" si="126"/>
        <v>0</v>
      </c>
      <c r="N380" s="143" t="str">
        <f>IF(tuulisähkö_vuosi&lt;='S2 Bio'!C380,"tuulisähkö",ostosähkö_nyt)</f>
        <v>jäännössähkö</v>
      </c>
      <c r="O380" s="147">
        <f>INDEX(Muuttujat!$J$5:$J$21,MATCH($C380,Muuttujat!$H$5:$H$21,0),1)</f>
        <v>61.379690186142746</v>
      </c>
      <c r="P380" s="148">
        <f t="shared" si="121"/>
        <v>0.25866666666666671</v>
      </c>
      <c r="Q380" s="148">
        <f t="shared" si="132"/>
        <v>0.74133333333333329</v>
      </c>
      <c r="R380" s="148">
        <f t="shared" si="132"/>
        <v>0.74133333333333329</v>
      </c>
      <c r="S380" s="149">
        <f t="shared" si="115"/>
        <v>1.9656887040000006</v>
      </c>
      <c r="T380" s="150">
        <f t="shared" si="116"/>
        <v>18.599899136000001</v>
      </c>
      <c r="U380" s="150">
        <f t="shared" si="117"/>
        <v>0</v>
      </c>
      <c r="V380" s="150">
        <f>IFERROR(INDEX(Työkonekanta!$J$3:$J$27,MATCH($A380,Työkonekanta!$A$3:$A$24,0),1)*$B380*ef_li_ion_akku/1000/1000/INDEX(Työkonekanta!$K$3:$K$27,MATCH($A380,Työkonekanta!$A$3:$A$24,0)),0)</f>
        <v>0</v>
      </c>
      <c r="W380" s="149">
        <f t="shared" si="127"/>
        <v>7.6764048517094432</v>
      </c>
      <c r="X380" s="150">
        <f t="shared" si="128"/>
        <v>0.35587513920000002</v>
      </c>
      <c r="Y380" s="151">
        <f t="shared" si="129"/>
        <v>0.12050801197278918</v>
      </c>
      <c r="Z380" s="152">
        <f t="shared" si="122"/>
        <v>20.565587840000003</v>
      </c>
      <c r="AA380" s="153">
        <f t="shared" si="123"/>
        <v>7.7969128636822322</v>
      </c>
      <c r="AB380" s="153">
        <f t="shared" si="124"/>
        <v>8.1527880028822324</v>
      </c>
      <c r="AC380" s="154">
        <f t="shared" si="130"/>
        <v>28.362500703682237</v>
      </c>
      <c r="AD380" s="180">
        <f t="shared" si="125"/>
        <v>28.718375842882235</v>
      </c>
      <c r="AE380" s="160"/>
    </row>
    <row r="381" spans="1:31">
      <c r="A381" s="139">
        <v>19</v>
      </c>
      <c r="B381" s="139">
        <f>IFERROR(INDEX(Työkonekanta!$F$3:$F$27,MATCH('S2 Bio'!$A381,Työkonekanta!$A$3:$A$24,0),1),0)</f>
        <v>0</v>
      </c>
      <c r="C381" s="140">
        <v>2031</v>
      </c>
      <c r="D381" s="141" t="str">
        <f>IFERROR(INDEX(Työkonekanta!$D$3:$D$27,MATCH('S2 Bio'!$A381,Työkonekanta!$A$3:$A$24,0),1),"undefined")</f>
        <v>pom</v>
      </c>
      <c r="E381" s="145">
        <f>IFERROR(INDEX(Työkonekanta!$G$3:$G$27,MATCH($A381,Työkonekanta!$A$3:$A$24,0),1)*INDEX(Työkonekanta!$H$3:$H$27,MATCH($A381,Työkonekanta!$A$3:$A$24,0),1)*(1+_xlfn.SINGLE(s2_kerroin)*($C381-2019))*$B381,0)</f>
        <v>0</v>
      </c>
      <c r="F381" s="145">
        <f t="shared" si="111"/>
        <v>0</v>
      </c>
      <c r="G381" s="145">
        <f t="shared" si="118"/>
        <v>0</v>
      </c>
      <c r="H381" s="145">
        <f t="shared" si="119"/>
        <v>0</v>
      </c>
      <c r="I381" s="145">
        <f t="shared" si="112"/>
        <v>0</v>
      </c>
      <c r="J381" s="145">
        <f t="shared" si="113"/>
        <v>0</v>
      </c>
      <c r="K381" s="142" t="str">
        <f t="shared" si="120"/>
        <v>l</v>
      </c>
      <c r="L381" s="146">
        <f>IFERROR(INDEX(Työkonekanta!$I$3:$I$27,MATCH('S2 Bio'!$A381,Työkonekanta!$A$3:$A$24,0),1)*(I381+J381)*f_adblue,0)</f>
        <v>0</v>
      </c>
      <c r="M381" s="146">
        <f t="shared" si="126"/>
        <v>0</v>
      </c>
      <c r="N381" s="143" t="str">
        <f>IF(tuulisähkö_vuosi&lt;='S2 Bio'!C381,"tuulisähkö",ostosähkö_nyt)</f>
        <v>jäännössähkö</v>
      </c>
      <c r="O381" s="147">
        <f>INDEX(Muuttujat!$J$5:$J$21,MATCH($C381,Muuttujat!$H$5:$H$21,0),1)</f>
        <v>61.379690186142746</v>
      </c>
      <c r="P381" s="148">
        <f t="shared" si="121"/>
        <v>0.25866666666666671</v>
      </c>
      <c r="Q381" s="148">
        <f t="shared" si="132"/>
        <v>0.74133333333333329</v>
      </c>
      <c r="R381" s="148">
        <f t="shared" si="132"/>
        <v>0.74133333333333329</v>
      </c>
      <c r="S381" s="149">
        <f t="shared" si="115"/>
        <v>0</v>
      </c>
      <c r="T381" s="150">
        <f t="shared" si="116"/>
        <v>0</v>
      </c>
      <c r="U381" s="150">
        <f t="shared" si="117"/>
        <v>0</v>
      </c>
      <c r="V381" s="150">
        <f>IFERROR(INDEX(Työkonekanta!$J$3:$J$27,MATCH($A381,Työkonekanta!$A$3:$A$24,0),1)*$B381*ef_li_ion_akku/1000/1000/INDEX(Työkonekanta!$K$3:$K$27,MATCH($A381,Työkonekanta!$A$3:$A$24,0)),0)</f>
        <v>0</v>
      </c>
      <c r="W381" s="149">
        <f t="shared" si="127"/>
        <v>0</v>
      </c>
      <c r="X381" s="150">
        <f t="shared" si="128"/>
        <v>0</v>
      </c>
      <c r="Y381" s="151">
        <f t="shared" si="129"/>
        <v>0</v>
      </c>
      <c r="Z381" s="152">
        <f t="shared" si="122"/>
        <v>0</v>
      </c>
      <c r="AA381" s="153">
        <f t="shared" si="123"/>
        <v>0</v>
      </c>
      <c r="AB381" s="153">
        <f t="shared" si="124"/>
        <v>0</v>
      </c>
      <c r="AC381" s="154">
        <f t="shared" si="130"/>
        <v>0</v>
      </c>
      <c r="AD381" s="180">
        <f t="shared" si="125"/>
        <v>0</v>
      </c>
      <c r="AE381" s="160"/>
    </row>
    <row r="382" spans="1:31">
      <c r="A382" s="139">
        <v>20</v>
      </c>
      <c r="B382" s="139">
        <f>IFERROR(INDEX(Työkonekanta!$F$3:$F$27,MATCH('S2 Bio'!$A382,Työkonekanta!$A$3:$A$24,0),1),0)</f>
        <v>0</v>
      </c>
      <c r="C382" s="140">
        <v>2031</v>
      </c>
      <c r="D382" s="141" t="str">
        <f>IFERROR(INDEX(Työkonekanta!$D$3:$D$27,MATCH('S2 Bio'!$A382,Työkonekanta!$A$3:$A$24,0),1),"undefined")</f>
        <v>pom</v>
      </c>
      <c r="E382" s="145">
        <f>IFERROR(INDEX(Työkonekanta!$G$3:$G$27,MATCH($A382,Työkonekanta!$A$3:$A$24,0),1)*INDEX(Työkonekanta!$H$3:$H$27,MATCH($A382,Työkonekanta!$A$3:$A$24,0),1)*(1+_xlfn.SINGLE(s2_kerroin)*($C382-2019))*$B382,0)</f>
        <v>0</v>
      </c>
      <c r="F382" s="145">
        <f t="shared" si="111"/>
        <v>0</v>
      </c>
      <c r="G382" s="145">
        <f t="shared" si="118"/>
        <v>0</v>
      </c>
      <c r="H382" s="145">
        <f t="shared" si="119"/>
        <v>0</v>
      </c>
      <c r="I382" s="145">
        <f t="shared" si="112"/>
        <v>0</v>
      </c>
      <c r="J382" s="145">
        <f t="shared" si="113"/>
        <v>0</v>
      </c>
      <c r="K382" s="142" t="str">
        <f t="shared" si="120"/>
        <v>l</v>
      </c>
      <c r="L382" s="146">
        <f>IFERROR(INDEX(Työkonekanta!$I$3:$I$27,MATCH('S2 Bio'!$A382,Työkonekanta!$A$3:$A$24,0),1)*(I382+J382)*f_adblue,0)</f>
        <v>0</v>
      </c>
      <c r="M382" s="146">
        <f t="shared" si="126"/>
        <v>0</v>
      </c>
      <c r="N382" s="143" t="str">
        <f>IF(tuulisähkö_vuosi&lt;='S2 Bio'!C382,"tuulisähkö",ostosähkö_nyt)</f>
        <v>jäännössähkö</v>
      </c>
      <c r="O382" s="147">
        <f>INDEX(Muuttujat!$J$5:$J$21,MATCH($C382,Muuttujat!$H$5:$H$21,0),1)</f>
        <v>61.379690186142746</v>
      </c>
      <c r="P382" s="148">
        <f t="shared" si="121"/>
        <v>0.25866666666666671</v>
      </c>
      <c r="Q382" s="148">
        <f t="shared" si="132"/>
        <v>0.74133333333333329</v>
      </c>
      <c r="R382" s="148">
        <f t="shared" si="132"/>
        <v>0.74133333333333329</v>
      </c>
      <c r="S382" s="149">
        <f t="shared" si="115"/>
        <v>0</v>
      </c>
      <c r="T382" s="150">
        <f t="shared" si="116"/>
        <v>0</v>
      </c>
      <c r="U382" s="150">
        <f t="shared" si="117"/>
        <v>0</v>
      </c>
      <c r="V382" s="150">
        <f>IFERROR(INDEX(Työkonekanta!$J$3:$J$27,MATCH($A382,Työkonekanta!$A$3:$A$24,0),1)*$B382*ef_li_ion_akku/1000/1000/INDEX(Työkonekanta!$K$3:$K$27,MATCH($A382,Työkonekanta!$A$3:$A$24,0)),0)</f>
        <v>0</v>
      </c>
      <c r="W382" s="149">
        <f t="shared" si="127"/>
        <v>0</v>
      </c>
      <c r="X382" s="150">
        <f t="shared" si="128"/>
        <v>0</v>
      </c>
      <c r="Y382" s="151">
        <f t="shared" si="129"/>
        <v>0</v>
      </c>
      <c r="Z382" s="152">
        <f t="shared" si="122"/>
        <v>0</v>
      </c>
      <c r="AA382" s="153">
        <f t="shared" si="123"/>
        <v>0</v>
      </c>
      <c r="AB382" s="153">
        <f t="shared" si="124"/>
        <v>0</v>
      </c>
      <c r="AC382" s="154">
        <f t="shared" si="130"/>
        <v>0</v>
      </c>
      <c r="AD382" s="180">
        <f t="shared" si="125"/>
        <v>0</v>
      </c>
      <c r="AE382" s="160"/>
    </row>
    <row r="383" spans="1:31">
      <c r="A383" s="139">
        <v>21</v>
      </c>
      <c r="B383" s="139">
        <f>IFERROR(INDEX(Työkonekanta!$F$3:$F$27,MATCH('S2 Bio'!$A383,Työkonekanta!$A$3:$A$24,0),1),0)</f>
        <v>35</v>
      </c>
      <c r="C383" s="140">
        <v>2031</v>
      </c>
      <c r="D383" s="141" t="str">
        <f>IFERROR(INDEX(Työkonekanta!$D$3:$D$27,MATCH('S2 Bio'!$A383,Työkonekanta!$A$3:$A$24,0),1),"undefined")</f>
        <v>sähkö</v>
      </c>
      <c r="E383" s="145">
        <f>IFERROR(INDEX(Työkonekanta!$G$3:$G$27,MATCH($A383,Työkonekanta!$A$3:$A$24,0),1)*INDEX(Työkonekanta!$H$3:$H$27,MATCH($A383,Työkonekanta!$A$3:$A$24,0),1)*(1+_xlfn.SINGLE(s2_kerroin)*($C383-2019))*$B383,0)</f>
        <v>456062.96296296304</v>
      </c>
      <c r="F383" s="145">
        <f t="shared" si="111"/>
        <v>0</v>
      </c>
      <c r="G383" s="145">
        <f t="shared" si="118"/>
        <v>0</v>
      </c>
      <c r="H383" s="145">
        <f t="shared" si="119"/>
        <v>0</v>
      </c>
      <c r="I383" s="145">
        <f t="shared" si="112"/>
        <v>0</v>
      </c>
      <c r="J383" s="145">
        <f t="shared" si="113"/>
        <v>0</v>
      </c>
      <c r="K383" s="142" t="str">
        <f t="shared" si="120"/>
        <v>kWh</v>
      </c>
      <c r="L383" s="146">
        <f>IFERROR(INDEX(Työkonekanta!$I$3:$I$27,MATCH('S2 Bio'!$A383,Työkonekanta!$A$3:$A$24,0),1)*(I383+J383)*f_adblue,0)</f>
        <v>0</v>
      </c>
      <c r="M383" s="146">
        <f t="shared" si="126"/>
        <v>1641826.666666667</v>
      </c>
      <c r="N383" s="143" t="str">
        <f>IF(tuulisähkö_vuosi&lt;='S2 Bio'!C383,"tuulisähkö",ostosähkö_nyt)</f>
        <v>jäännössähkö</v>
      </c>
      <c r="O383" s="147">
        <f>INDEX(Muuttujat!$J$5:$J$21,MATCH($C383,Muuttujat!$H$5:$H$21,0),1)</f>
        <v>61.379690186142746</v>
      </c>
      <c r="P383" s="148">
        <f t="shared" si="121"/>
        <v>0.25866666666666671</v>
      </c>
      <c r="Q383" s="148">
        <f t="shared" ref="Q383:R402" si="133">IF(biosiirtymä_luonne="äkillinen",INDEX($AG$4:$AG$20,MATCH($C383,$AF$4:$AF$20,0),1),INDEX($AH$4:$AH$20,MATCH($C383,$AF$4:$AF$20,0),1))</f>
        <v>0.74133333333333329</v>
      </c>
      <c r="R383" s="148">
        <f t="shared" si="133"/>
        <v>0.74133333333333329</v>
      </c>
      <c r="S383" s="149">
        <f t="shared" si="115"/>
        <v>0</v>
      </c>
      <c r="T383" s="150">
        <f t="shared" si="116"/>
        <v>0</v>
      </c>
      <c r="U383" s="150">
        <f t="shared" si="117"/>
        <v>100.77481213934747</v>
      </c>
      <c r="V383" s="150">
        <f>IFERROR(INDEX(Työkonekanta!$J$3:$J$27,MATCH($A383,Työkonekanta!$A$3:$A$24,0),1)*$B383*ef_li_ion_akku/1000/1000/INDEX(Työkonekanta!$K$3:$K$27,MATCH($A383,Työkonekanta!$A$3:$A$24,0)),0)</f>
        <v>43.121723076923082</v>
      </c>
      <c r="W383" s="149">
        <f t="shared" si="127"/>
        <v>0</v>
      </c>
      <c r="X383" s="150">
        <f t="shared" si="128"/>
        <v>0</v>
      </c>
      <c r="Y383" s="151">
        <f t="shared" si="129"/>
        <v>0</v>
      </c>
      <c r="Z383" s="152">
        <f t="shared" si="122"/>
        <v>143.89653521627056</v>
      </c>
      <c r="AA383" s="153">
        <f t="shared" si="123"/>
        <v>0</v>
      </c>
      <c r="AB383" s="153">
        <f t="shared" si="124"/>
        <v>0</v>
      </c>
      <c r="AC383" s="154">
        <f t="shared" si="130"/>
        <v>143.89653521627056</v>
      </c>
      <c r="AD383" s="180">
        <f t="shared" si="125"/>
        <v>143.89653521627056</v>
      </c>
      <c r="AE383" s="160"/>
    </row>
    <row r="384" spans="1:31">
      <c r="A384" s="139">
        <v>22</v>
      </c>
      <c r="B384" s="139">
        <f>IFERROR(INDEX(Työkonekanta!$F$3:$F$27,MATCH('S2 Bio'!$A384,Työkonekanta!$A$3:$A$24,0),1),0)</f>
        <v>0</v>
      </c>
      <c r="C384" s="140">
        <v>2031</v>
      </c>
      <c r="D384" s="141" t="str">
        <f>IFERROR(INDEX(Työkonekanta!$D$3:$D$27,MATCH('S2 Bio'!$A384,Työkonekanta!$A$3:$A$24,0),1),"undefined")</f>
        <v>sähkö</v>
      </c>
      <c r="E384" s="145">
        <f>IFERROR(INDEX(Työkonekanta!$G$3:$G$27,MATCH($A384,Työkonekanta!$A$3:$A$24,0),1)*INDEX(Työkonekanta!$H$3:$H$27,MATCH($A384,Työkonekanta!$A$3:$A$24,0),1)*(1+_xlfn.SINGLE(s2_kerroin)*($C384-2019))*$B384,0)</f>
        <v>0</v>
      </c>
      <c r="F384" s="145">
        <f t="shared" si="111"/>
        <v>0</v>
      </c>
      <c r="G384" s="145">
        <f t="shared" si="118"/>
        <v>0</v>
      </c>
      <c r="H384" s="145">
        <f t="shared" si="119"/>
        <v>0</v>
      </c>
      <c r="I384" s="145">
        <f t="shared" si="112"/>
        <v>0</v>
      </c>
      <c r="J384" s="145">
        <f t="shared" si="113"/>
        <v>0</v>
      </c>
      <c r="K384" s="142" t="str">
        <f t="shared" si="120"/>
        <v>kWh</v>
      </c>
      <c r="L384" s="146">
        <f>IFERROR(INDEX(Työkonekanta!$I$3:$I$27,MATCH('S2 Bio'!$A384,Työkonekanta!$A$3:$A$24,0),1)*(I384+J384)*f_adblue,0)</f>
        <v>0</v>
      </c>
      <c r="M384" s="146">
        <f t="shared" si="126"/>
        <v>0</v>
      </c>
      <c r="N384" s="143" t="str">
        <f>IF(tuulisähkö_vuosi&lt;='S2 Bio'!C384,"tuulisähkö",ostosähkö_nyt)</f>
        <v>jäännössähkö</v>
      </c>
      <c r="O384" s="147">
        <f>INDEX(Muuttujat!$J$5:$J$21,MATCH($C384,Muuttujat!$H$5:$H$21,0),1)</f>
        <v>61.379690186142746</v>
      </c>
      <c r="P384" s="148">
        <f t="shared" si="121"/>
        <v>0.25866666666666671</v>
      </c>
      <c r="Q384" s="148">
        <f t="shared" si="133"/>
        <v>0.74133333333333329</v>
      </c>
      <c r="R384" s="148">
        <f t="shared" si="133"/>
        <v>0.74133333333333329</v>
      </c>
      <c r="S384" s="149">
        <f t="shared" si="115"/>
        <v>0</v>
      </c>
      <c r="T384" s="150">
        <f t="shared" si="116"/>
        <v>0</v>
      </c>
      <c r="U384" s="150">
        <f t="shared" si="117"/>
        <v>0</v>
      </c>
      <c r="V384" s="150">
        <f>IFERROR(INDEX(Työkonekanta!$J$3:$J$27,MATCH($A384,Työkonekanta!$A$3:$A$24,0),1)*$B384*ef_li_ion_akku/1000/1000/INDEX(Työkonekanta!$K$3:$K$27,MATCH($A384,Työkonekanta!$A$3:$A$24,0)),0)</f>
        <v>0</v>
      </c>
      <c r="W384" s="149">
        <f t="shared" si="127"/>
        <v>0</v>
      </c>
      <c r="X384" s="150">
        <f t="shared" si="128"/>
        <v>0</v>
      </c>
      <c r="Y384" s="151">
        <f t="shared" si="129"/>
        <v>0</v>
      </c>
      <c r="Z384" s="152">
        <f t="shared" si="122"/>
        <v>0</v>
      </c>
      <c r="AA384" s="153">
        <f t="shared" si="123"/>
        <v>0</v>
      </c>
      <c r="AB384" s="153">
        <f t="shared" si="124"/>
        <v>0</v>
      </c>
      <c r="AC384" s="154">
        <f t="shared" si="130"/>
        <v>0</v>
      </c>
      <c r="AD384" s="180">
        <f t="shared" si="125"/>
        <v>0</v>
      </c>
      <c r="AE384" s="160"/>
    </row>
    <row r="385" spans="1:31">
      <c r="A385" s="139">
        <v>23</v>
      </c>
      <c r="B385" s="139">
        <f>IFERROR(INDEX(Työkonekanta!$F$3:$F$27,MATCH('S2 Bio'!$A385,Työkonekanta!$A$3:$A$24,0),1),0)</f>
        <v>0</v>
      </c>
      <c r="C385" s="140">
        <v>2031</v>
      </c>
      <c r="D385" s="141" t="str">
        <f>IFERROR(INDEX(Työkonekanta!$D$3:$D$27,MATCH('S2 Bio'!$A385,Työkonekanta!$A$3:$A$24,0),1),"undefined")</f>
        <v>undefined</v>
      </c>
      <c r="E385" s="145">
        <f>IFERROR(INDEX(Työkonekanta!$G$3:$G$27,MATCH($A385,Työkonekanta!$A$3:$A$24,0),1)*INDEX(Työkonekanta!$H$3:$H$27,MATCH($A385,Työkonekanta!$A$3:$A$24,0),1)*(1+_xlfn.SINGLE(s2_kerroin)*($C385-2019))*$B385,0)</f>
        <v>0</v>
      </c>
      <c r="F385" s="145">
        <f t="shared" si="111"/>
        <v>0</v>
      </c>
      <c r="G385" s="145">
        <f t="shared" si="118"/>
        <v>0</v>
      </c>
      <c r="H385" s="145">
        <f t="shared" si="119"/>
        <v>0</v>
      </c>
      <c r="I385" s="145">
        <f t="shared" si="112"/>
        <v>0</v>
      </c>
      <c r="J385" s="145">
        <f t="shared" si="113"/>
        <v>0</v>
      </c>
      <c r="K385" s="142" t="str">
        <f t="shared" si="120"/>
        <v>undefined</v>
      </c>
      <c r="L385" s="146">
        <f>IFERROR(INDEX(Työkonekanta!$I$3:$I$27,MATCH('S2 Bio'!$A385,Työkonekanta!$A$3:$A$24,0),1)*(I385+J385)*f_adblue,0)</f>
        <v>0</v>
      </c>
      <c r="M385" s="146">
        <f t="shared" si="126"/>
        <v>0</v>
      </c>
      <c r="N385" s="143" t="str">
        <f>IF(tuulisähkö_vuosi&lt;='S2 Bio'!C385,"tuulisähkö",ostosähkö_nyt)</f>
        <v>jäännössähkö</v>
      </c>
      <c r="O385" s="147">
        <f>INDEX(Muuttujat!$J$5:$J$21,MATCH($C385,Muuttujat!$H$5:$H$21,0),1)</f>
        <v>61.379690186142746</v>
      </c>
      <c r="P385" s="148">
        <f t="shared" si="121"/>
        <v>0.25866666666666671</v>
      </c>
      <c r="Q385" s="148">
        <f t="shared" si="133"/>
        <v>0.74133333333333329</v>
      </c>
      <c r="R385" s="148">
        <f t="shared" si="133"/>
        <v>0.74133333333333329</v>
      </c>
      <c r="S385" s="149">
        <f t="shared" si="115"/>
        <v>0</v>
      </c>
      <c r="T385" s="150">
        <f t="shared" si="116"/>
        <v>0</v>
      </c>
      <c r="U385" s="150">
        <f t="shared" si="117"/>
        <v>0</v>
      </c>
      <c r="V385" s="150">
        <f>IFERROR(INDEX(Työkonekanta!$J$3:$J$27,MATCH($A385,Työkonekanta!$A$3:$A$24,0),1)*$B385*ef_li_ion_akku/1000/1000/INDEX(Työkonekanta!$K$3:$K$27,MATCH($A385,Työkonekanta!$A$3:$A$24,0)),0)</f>
        <v>0</v>
      </c>
      <c r="W385" s="149">
        <f t="shared" si="127"/>
        <v>0</v>
      </c>
      <c r="X385" s="150">
        <f t="shared" si="128"/>
        <v>0</v>
      </c>
      <c r="Y385" s="151">
        <f t="shared" si="129"/>
        <v>0</v>
      </c>
      <c r="Z385" s="152">
        <f t="shared" si="122"/>
        <v>0</v>
      </c>
      <c r="AA385" s="153">
        <f t="shared" si="123"/>
        <v>0</v>
      </c>
      <c r="AB385" s="153">
        <f t="shared" si="124"/>
        <v>0</v>
      </c>
      <c r="AC385" s="154">
        <f t="shared" si="130"/>
        <v>0</v>
      </c>
      <c r="AD385" s="180">
        <f t="shared" si="125"/>
        <v>0</v>
      </c>
      <c r="AE385" s="160"/>
    </row>
    <row r="386" spans="1:31">
      <c r="A386" s="139">
        <v>24</v>
      </c>
      <c r="B386" s="139">
        <f>IFERROR(INDEX(Työkonekanta!$F$3:$F$27,MATCH('S2 Bio'!$A386,Työkonekanta!$A$3:$A$24,0),1),0)</f>
        <v>0</v>
      </c>
      <c r="C386" s="140">
        <v>2031</v>
      </c>
      <c r="D386" s="141" t="str">
        <f>IFERROR(INDEX(Työkonekanta!$D$3:$D$27,MATCH('S2 Bio'!$A386,Työkonekanta!$A$3:$A$24,0),1),"undefined")</f>
        <v>undefined</v>
      </c>
      <c r="E386" s="145">
        <f>IFERROR(INDEX(Työkonekanta!$G$3:$G$27,MATCH($A386,Työkonekanta!$A$3:$A$24,0),1)*INDEX(Työkonekanta!$H$3:$H$27,MATCH($A386,Työkonekanta!$A$3:$A$24,0),1)*(1+_xlfn.SINGLE(s2_kerroin)*($C386-2019))*$B386,0)</f>
        <v>0</v>
      </c>
      <c r="F386" s="145">
        <f t="shared" si="111"/>
        <v>0</v>
      </c>
      <c r="G386" s="145">
        <f t="shared" si="118"/>
        <v>0</v>
      </c>
      <c r="H386" s="145">
        <f t="shared" si="119"/>
        <v>0</v>
      </c>
      <c r="I386" s="145">
        <f t="shared" si="112"/>
        <v>0</v>
      </c>
      <c r="J386" s="145">
        <f t="shared" si="113"/>
        <v>0</v>
      </c>
      <c r="K386" s="142" t="str">
        <f t="shared" si="120"/>
        <v>undefined</v>
      </c>
      <c r="L386" s="146">
        <f>IFERROR(INDEX(Työkonekanta!$I$3:$I$27,MATCH('S2 Bio'!$A386,Työkonekanta!$A$3:$A$24,0),1)*(I386+J386)*f_adblue,0)</f>
        <v>0</v>
      </c>
      <c r="M386" s="146">
        <f t="shared" si="126"/>
        <v>0</v>
      </c>
      <c r="N386" s="143" t="str">
        <f>IF(tuulisähkö_vuosi&lt;='S2 Bio'!C386,"tuulisähkö",ostosähkö_nyt)</f>
        <v>jäännössähkö</v>
      </c>
      <c r="O386" s="147">
        <f>INDEX(Muuttujat!$J$5:$J$21,MATCH($C386,Muuttujat!$H$5:$H$21,0),1)</f>
        <v>61.379690186142746</v>
      </c>
      <c r="P386" s="148">
        <f t="shared" si="121"/>
        <v>0.25866666666666671</v>
      </c>
      <c r="Q386" s="148">
        <f t="shared" si="133"/>
        <v>0.74133333333333329</v>
      </c>
      <c r="R386" s="148">
        <f t="shared" si="133"/>
        <v>0.74133333333333329</v>
      </c>
      <c r="S386" s="149">
        <f t="shared" si="115"/>
        <v>0</v>
      </c>
      <c r="T386" s="150">
        <f t="shared" si="116"/>
        <v>0</v>
      </c>
      <c r="U386" s="150">
        <f t="shared" si="117"/>
        <v>0</v>
      </c>
      <c r="V386" s="150">
        <f>IFERROR(INDEX(Työkonekanta!$J$3:$J$27,MATCH($A386,Työkonekanta!$A$3:$A$24,0),1)*$B386*ef_li_ion_akku/1000/1000/INDEX(Työkonekanta!$K$3:$K$27,MATCH($A386,Työkonekanta!$A$3:$A$24,0)),0)</f>
        <v>0</v>
      </c>
      <c r="W386" s="149">
        <f t="shared" si="127"/>
        <v>0</v>
      </c>
      <c r="X386" s="150">
        <f t="shared" si="128"/>
        <v>0</v>
      </c>
      <c r="Y386" s="151">
        <f t="shared" si="129"/>
        <v>0</v>
      </c>
      <c r="Z386" s="152">
        <f t="shared" si="122"/>
        <v>0</v>
      </c>
      <c r="AA386" s="153">
        <f t="shared" si="123"/>
        <v>0</v>
      </c>
      <c r="AB386" s="153">
        <f t="shared" si="124"/>
        <v>0</v>
      </c>
      <c r="AC386" s="154">
        <f t="shared" si="130"/>
        <v>0</v>
      </c>
      <c r="AD386" s="180">
        <f t="shared" si="125"/>
        <v>0</v>
      </c>
      <c r="AE386" s="160"/>
    </row>
    <row r="387" spans="1:31">
      <c r="A387" s="139">
        <v>25</v>
      </c>
      <c r="B387" s="139">
        <f>IFERROR(INDEX(Työkonekanta!$F$3:$F$27,MATCH('S2 Bio'!$A387,Työkonekanta!$A$3:$A$24,0),1),0)</f>
        <v>0</v>
      </c>
      <c r="C387" s="140">
        <v>2031</v>
      </c>
      <c r="D387" s="141" t="str">
        <f>IFERROR(INDEX(Työkonekanta!$D$3:$D$27,MATCH('S2 Bio'!$A387,Työkonekanta!$A$3:$A$24,0),1),"undefined")</f>
        <v>undefined</v>
      </c>
      <c r="E387" s="145">
        <f>IFERROR(INDEX(Työkonekanta!$G$3:$G$27,MATCH($A387,Työkonekanta!$A$3:$A$24,0),1)*INDEX(Työkonekanta!$H$3:$H$27,MATCH($A387,Työkonekanta!$A$3:$A$24,0),1)*(1+_xlfn.SINGLE(s2_kerroin)*($C387-2019))*$B387,0)</f>
        <v>0</v>
      </c>
      <c r="F387" s="145">
        <f t="shared" ref="F387:F450" si="134">IF(D387="pom",$E387*hv_pom,0)</f>
        <v>0</v>
      </c>
      <c r="G387" s="145">
        <f t="shared" si="118"/>
        <v>0</v>
      </c>
      <c r="H387" s="145">
        <f t="shared" si="119"/>
        <v>0</v>
      </c>
      <c r="I387" s="145">
        <f t="shared" ref="I387:I450" si="135">$G387/hv_pom</f>
        <v>0</v>
      </c>
      <c r="J387" s="145">
        <f t="shared" ref="J387:J450" si="136">$H387/hv_biodies</f>
        <v>0</v>
      </c>
      <c r="K387" s="142" t="str">
        <f t="shared" si="120"/>
        <v>undefined</v>
      </c>
      <c r="L387" s="146">
        <f>IFERROR(INDEX(Työkonekanta!$I$3:$I$27,MATCH('S2 Bio'!$A387,Työkonekanta!$A$3:$A$24,0),1)*(I387+J387)*f_adblue,0)</f>
        <v>0</v>
      </c>
      <c r="M387" s="146">
        <f t="shared" si="126"/>
        <v>0</v>
      </c>
      <c r="N387" s="143" t="str">
        <f>IF(tuulisähkö_vuosi&lt;='S2 Bio'!C387,"tuulisähkö",ostosähkö_nyt)</f>
        <v>jäännössähkö</v>
      </c>
      <c r="O387" s="147">
        <f>INDEX(Muuttujat!$J$5:$J$21,MATCH($C387,Muuttujat!$H$5:$H$21,0),1)</f>
        <v>61.379690186142746</v>
      </c>
      <c r="P387" s="148">
        <f t="shared" si="121"/>
        <v>0.25866666666666671</v>
      </c>
      <c r="Q387" s="148">
        <f t="shared" si="133"/>
        <v>0.74133333333333329</v>
      </c>
      <c r="R387" s="148">
        <f t="shared" si="133"/>
        <v>0.74133333333333329</v>
      </c>
      <c r="S387" s="149">
        <f t="shared" ref="S387:S450" si="137">wtt_ef_e_co2_dies*$G387/1000/1000</f>
        <v>0</v>
      </c>
      <c r="T387" s="150">
        <f t="shared" ref="T387:T450" si="138">wtt_ef_e_co2_biodies*$H387/1000/1000</f>
        <v>0</v>
      </c>
      <c r="U387" s="150">
        <f t="shared" ref="U387:U450" si="139">IF(N387="jäännössähkö",$O387,IF(N387="tuulisähkö",wtt_ef_e_co2_el_wind,0))*$M387/1000/1000</f>
        <v>0</v>
      </c>
      <c r="V387" s="150">
        <f>IFERROR(INDEX(Työkonekanta!$J$3:$J$27,MATCH($A387,Työkonekanta!$A$3:$A$24,0),1)*$B387*ef_li_ion_akku/1000/1000/INDEX(Työkonekanta!$K$3:$K$27,MATCH($A387,Työkonekanta!$A$3:$A$24,0)),0)</f>
        <v>0</v>
      </c>
      <c r="W387" s="149">
        <f t="shared" si="127"/>
        <v>0</v>
      </c>
      <c r="X387" s="150">
        <f t="shared" si="128"/>
        <v>0</v>
      </c>
      <c r="Y387" s="151">
        <f t="shared" si="129"/>
        <v>0</v>
      </c>
      <c r="Z387" s="152">
        <f t="shared" si="122"/>
        <v>0</v>
      </c>
      <c r="AA387" s="153">
        <f t="shared" si="123"/>
        <v>0</v>
      </c>
      <c r="AB387" s="153">
        <f t="shared" si="124"/>
        <v>0</v>
      </c>
      <c r="AC387" s="154">
        <f t="shared" si="130"/>
        <v>0</v>
      </c>
      <c r="AD387" s="180">
        <f t="shared" si="125"/>
        <v>0</v>
      </c>
      <c r="AE387" s="160"/>
    </row>
    <row r="388" spans="1:31">
      <c r="A388" s="139">
        <v>26</v>
      </c>
      <c r="B388" s="139">
        <f>IFERROR(INDEX(Työkonekanta!$F$3:$F$27,MATCH('S2 Bio'!$A388,Työkonekanta!$A$3:$A$24,0),1),0)</f>
        <v>0</v>
      </c>
      <c r="C388" s="140">
        <v>2031</v>
      </c>
      <c r="D388" s="141" t="str">
        <f>IFERROR(INDEX(Työkonekanta!$D$3:$D$27,MATCH('S2 Bio'!$A388,Työkonekanta!$A$3:$A$24,0),1),"undefined")</f>
        <v>undefined</v>
      </c>
      <c r="E388" s="145">
        <f>IFERROR(INDEX(Työkonekanta!$G$3:$G$27,MATCH($A388,Työkonekanta!$A$3:$A$24,0),1)*INDEX(Työkonekanta!$H$3:$H$27,MATCH($A388,Työkonekanta!$A$3:$A$24,0),1)*(1+_xlfn.SINGLE(s2_kerroin)*($C388-2019))*$B388,0)</f>
        <v>0</v>
      </c>
      <c r="F388" s="145">
        <f t="shared" si="134"/>
        <v>0</v>
      </c>
      <c r="G388" s="145">
        <f t="shared" ref="G388:G451" si="140">$F388*$P388</f>
        <v>0</v>
      </c>
      <c r="H388" s="145">
        <f t="shared" ref="H388:H451" si="141">$F388*$Q388</f>
        <v>0</v>
      </c>
      <c r="I388" s="145">
        <f t="shared" si="135"/>
        <v>0</v>
      </c>
      <c r="J388" s="145">
        <f t="shared" si="136"/>
        <v>0</v>
      </c>
      <c r="K388" s="142" t="str">
        <f t="shared" ref="K388:K451" si="142">IF($D388="sähkö","kWh",IF($D388="pom","l","undefined"))</f>
        <v>undefined</v>
      </c>
      <c r="L388" s="146">
        <f>IFERROR(INDEX(Työkonekanta!$I$3:$I$27,MATCH('S2 Bio'!$A388,Työkonekanta!$A$3:$A$24,0),1)*(I388+J388)*f_adblue,0)</f>
        <v>0</v>
      </c>
      <c r="M388" s="146">
        <f t="shared" si="126"/>
        <v>0</v>
      </c>
      <c r="N388" s="143" t="str">
        <f>IF(tuulisähkö_vuosi&lt;='S2 Bio'!C388,"tuulisähkö",ostosähkö_nyt)</f>
        <v>jäännössähkö</v>
      </c>
      <c r="O388" s="147">
        <f>INDEX(Muuttujat!$J$5:$J$21,MATCH($C388,Muuttujat!$H$5:$H$21,0),1)</f>
        <v>61.379690186142746</v>
      </c>
      <c r="P388" s="148">
        <f t="shared" ref="P388:P451" si="143">1-Q388</f>
        <v>0.25866666666666671</v>
      </c>
      <c r="Q388" s="148">
        <f t="shared" si="133"/>
        <v>0.74133333333333329</v>
      </c>
      <c r="R388" s="148">
        <f t="shared" si="133"/>
        <v>0.74133333333333329</v>
      </c>
      <c r="S388" s="149">
        <f t="shared" si="137"/>
        <v>0</v>
      </c>
      <c r="T388" s="150">
        <f t="shared" si="138"/>
        <v>0</v>
      </c>
      <c r="U388" s="150">
        <f t="shared" si="139"/>
        <v>0</v>
      </c>
      <c r="V388" s="150">
        <f>IFERROR(INDEX(Työkonekanta!$J$3:$J$27,MATCH($A388,Työkonekanta!$A$3:$A$24,0),1)*$B388*ef_li_ion_akku/1000/1000/INDEX(Työkonekanta!$K$3:$K$27,MATCH($A388,Työkonekanta!$A$3:$A$24,0)),0)</f>
        <v>0</v>
      </c>
      <c r="W388" s="149">
        <f t="shared" si="127"/>
        <v>0</v>
      </c>
      <c r="X388" s="150">
        <f t="shared" si="128"/>
        <v>0</v>
      </c>
      <c r="Y388" s="151">
        <f t="shared" si="129"/>
        <v>0</v>
      </c>
      <c r="Z388" s="152">
        <f t="shared" ref="Z388:Z451" si="144">SUM($S388:$V388)</f>
        <v>0</v>
      </c>
      <c r="AA388" s="153">
        <f t="shared" ref="AA388:AA451" si="145">$W388+$Y388</f>
        <v>0</v>
      </c>
      <c r="AB388" s="153">
        <f t="shared" ref="AB388:AB451" si="146">SUM($W388:$Y388)</f>
        <v>0</v>
      </c>
      <c r="AC388" s="154">
        <f t="shared" si="130"/>
        <v>0</v>
      </c>
      <c r="AD388" s="180">
        <f t="shared" ref="AD388:AD451" si="147">$Z388+$AB388</f>
        <v>0</v>
      </c>
      <c r="AE388" s="160"/>
    </row>
    <row r="389" spans="1:31">
      <c r="A389" s="139">
        <v>27</v>
      </c>
      <c r="B389" s="139">
        <f>IFERROR(INDEX(Työkonekanta!$F$3:$F$27,MATCH('S2 Bio'!$A389,Työkonekanta!$A$3:$A$24,0),1),0)</f>
        <v>0</v>
      </c>
      <c r="C389" s="140">
        <v>2031</v>
      </c>
      <c r="D389" s="141" t="str">
        <f>IFERROR(INDEX(Työkonekanta!$D$3:$D$27,MATCH('S2 Bio'!$A389,Työkonekanta!$A$3:$A$24,0),1),"undefined")</f>
        <v>undefined</v>
      </c>
      <c r="E389" s="145">
        <f>IFERROR(INDEX(Työkonekanta!$G$3:$G$27,MATCH($A389,Työkonekanta!$A$3:$A$24,0),1)*INDEX(Työkonekanta!$H$3:$H$27,MATCH($A389,Työkonekanta!$A$3:$A$24,0),1)*(1+_xlfn.SINGLE(s2_kerroin)*($C389-2019))*$B389,0)</f>
        <v>0</v>
      </c>
      <c r="F389" s="145">
        <f t="shared" si="134"/>
        <v>0</v>
      </c>
      <c r="G389" s="145">
        <f t="shared" si="140"/>
        <v>0</v>
      </c>
      <c r="H389" s="145">
        <f t="shared" si="141"/>
        <v>0</v>
      </c>
      <c r="I389" s="145">
        <f t="shared" si="135"/>
        <v>0</v>
      </c>
      <c r="J389" s="145">
        <f t="shared" si="136"/>
        <v>0</v>
      </c>
      <c r="K389" s="142" t="str">
        <f t="shared" si="142"/>
        <v>undefined</v>
      </c>
      <c r="L389" s="146">
        <f>IFERROR(INDEX(Työkonekanta!$I$3:$I$27,MATCH('S2 Bio'!$A389,Työkonekanta!$A$3:$A$24,0),1)*(I389+J389)*f_adblue,0)</f>
        <v>0</v>
      </c>
      <c r="M389" s="146">
        <f t="shared" si="126"/>
        <v>0</v>
      </c>
      <c r="N389" s="143" t="str">
        <f>IF(tuulisähkö_vuosi&lt;='S2 Bio'!C389,"tuulisähkö",ostosähkö_nyt)</f>
        <v>jäännössähkö</v>
      </c>
      <c r="O389" s="147">
        <f>INDEX(Muuttujat!$J$5:$J$21,MATCH($C389,Muuttujat!$H$5:$H$21,0),1)</f>
        <v>61.379690186142746</v>
      </c>
      <c r="P389" s="148">
        <f t="shared" si="143"/>
        <v>0.25866666666666671</v>
      </c>
      <c r="Q389" s="148">
        <f t="shared" si="133"/>
        <v>0.74133333333333329</v>
      </c>
      <c r="R389" s="148">
        <f t="shared" si="133"/>
        <v>0.74133333333333329</v>
      </c>
      <c r="S389" s="149">
        <f t="shared" si="137"/>
        <v>0</v>
      </c>
      <c r="T389" s="150">
        <f t="shared" si="138"/>
        <v>0</v>
      </c>
      <c r="U389" s="150">
        <f t="shared" si="139"/>
        <v>0</v>
      </c>
      <c r="V389" s="150">
        <f>IFERROR(INDEX(Työkonekanta!$J$3:$J$27,MATCH($A389,Työkonekanta!$A$3:$A$24,0),1)*$B389*ef_li_ion_akku/1000/1000/INDEX(Työkonekanta!$K$3:$K$27,MATCH($A389,Työkonekanta!$A$3:$A$24,0)),0)</f>
        <v>0</v>
      </c>
      <c r="W389" s="149">
        <f t="shared" si="127"/>
        <v>0</v>
      </c>
      <c r="X389" s="150">
        <f t="shared" si="128"/>
        <v>0</v>
      </c>
      <c r="Y389" s="151">
        <f t="shared" si="129"/>
        <v>0</v>
      </c>
      <c r="Z389" s="152">
        <f t="shared" si="144"/>
        <v>0</v>
      </c>
      <c r="AA389" s="153">
        <f t="shared" si="145"/>
        <v>0</v>
      </c>
      <c r="AB389" s="153">
        <f t="shared" si="146"/>
        <v>0</v>
      </c>
      <c r="AC389" s="154">
        <f t="shared" si="130"/>
        <v>0</v>
      </c>
      <c r="AD389" s="180">
        <f t="shared" si="147"/>
        <v>0</v>
      </c>
      <c r="AE389" s="160"/>
    </row>
    <row r="390" spans="1:31">
      <c r="A390" s="139">
        <v>28</v>
      </c>
      <c r="B390" s="139">
        <f>IFERROR(INDEX(Työkonekanta!$F$3:$F$27,MATCH('S2 Bio'!$A390,Työkonekanta!$A$3:$A$24,0),1),0)</f>
        <v>0</v>
      </c>
      <c r="C390" s="140">
        <v>2031</v>
      </c>
      <c r="D390" s="141" t="str">
        <f>IFERROR(INDEX(Työkonekanta!$D$3:$D$27,MATCH('S2 Bio'!$A390,Työkonekanta!$A$3:$A$24,0),1),"undefined")</f>
        <v>undefined</v>
      </c>
      <c r="E390" s="145">
        <f>IFERROR(INDEX(Työkonekanta!$G$3:$G$27,MATCH($A390,Työkonekanta!$A$3:$A$24,0),1)*INDEX(Työkonekanta!$H$3:$H$27,MATCH($A390,Työkonekanta!$A$3:$A$24,0),1)*(1+_xlfn.SINGLE(s2_kerroin)*($C390-2019))*$B390,0)</f>
        <v>0</v>
      </c>
      <c r="F390" s="145">
        <f t="shared" si="134"/>
        <v>0</v>
      </c>
      <c r="G390" s="145">
        <f t="shared" si="140"/>
        <v>0</v>
      </c>
      <c r="H390" s="145">
        <f t="shared" si="141"/>
        <v>0</v>
      </c>
      <c r="I390" s="145">
        <f t="shared" si="135"/>
        <v>0</v>
      </c>
      <c r="J390" s="145">
        <f t="shared" si="136"/>
        <v>0</v>
      </c>
      <c r="K390" s="142" t="str">
        <f t="shared" si="142"/>
        <v>undefined</v>
      </c>
      <c r="L390" s="146">
        <f>IFERROR(INDEX(Työkonekanta!$I$3:$I$27,MATCH('S2 Bio'!$A390,Työkonekanta!$A$3:$A$24,0),1)*(I390+J390)*f_adblue,0)</f>
        <v>0</v>
      </c>
      <c r="M390" s="146">
        <f t="shared" si="126"/>
        <v>0</v>
      </c>
      <c r="N390" s="143" t="str">
        <f>IF(tuulisähkö_vuosi&lt;='S2 Bio'!C390,"tuulisähkö",ostosähkö_nyt)</f>
        <v>jäännössähkö</v>
      </c>
      <c r="O390" s="147">
        <f>INDEX(Muuttujat!$J$5:$J$21,MATCH($C390,Muuttujat!$H$5:$H$21,0),1)</f>
        <v>61.379690186142746</v>
      </c>
      <c r="P390" s="148">
        <f t="shared" si="143"/>
        <v>0.25866666666666671</v>
      </c>
      <c r="Q390" s="148">
        <f t="shared" si="133"/>
        <v>0.74133333333333329</v>
      </c>
      <c r="R390" s="148">
        <f t="shared" si="133"/>
        <v>0.74133333333333329</v>
      </c>
      <c r="S390" s="149">
        <f t="shared" si="137"/>
        <v>0</v>
      </c>
      <c r="T390" s="150">
        <f t="shared" si="138"/>
        <v>0</v>
      </c>
      <c r="U390" s="150">
        <f t="shared" si="139"/>
        <v>0</v>
      </c>
      <c r="V390" s="150">
        <f>IFERROR(INDEX(Työkonekanta!$J$3:$J$27,MATCH($A390,Työkonekanta!$A$3:$A$24,0),1)*$B390*ef_li_ion_akku/1000/1000/INDEX(Työkonekanta!$K$3:$K$27,MATCH($A390,Työkonekanta!$A$3:$A$24,0)),0)</f>
        <v>0</v>
      </c>
      <c r="W390" s="149">
        <f t="shared" si="127"/>
        <v>0</v>
      </c>
      <c r="X390" s="150">
        <f t="shared" si="128"/>
        <v>0</v>
      </c>
      <c r="Y390" s="151">
        <f t="shared" si="129"/>
        <v>0</v>
      </c>
      <c r="Z390" s="152">
        <f t="shared" si="144"/>
        <v>0</v>
      </c>
      <c r="AA390" s="153">
        <f t="shared" si="145"/>
        <v>0</v>
      </c>
      <c r="AB390" s="153">
        <f t="shared" si="146"/>
        <v>0</v>
      </c>
      <c r="AC390" s="154">
        <f t="shared" si="130"/>
        <v>0</v>
      </c>
      <c r="AD390" s="180">
        <f t="shared" si="147"/>
        <v>0</v>
      </c>
      <c r="AE390" s="160"/>
    </row>
    <row r="391" spans="1:31">
      <c r="A391" s="139">
        <v>29</v>
      </c>
      <c r="B391" s="139">
        <f>IFERROR(INDEX(Työkonekanta!$F$3:$F$27,MATCH('S2 Bio'!$A391,Työkonekanta!$A$3:$A$24,0),1),0)</f>
        <v>0</v>
      </c>
      <c r="C391" s="140">
        <v>2031</v>
      </c>
      <c r="D391" s="141" t="str">
        <f>IFERROR(INDEX(Työkonekanta!$D$3:$D$27,MATCH('S2 Bio'!$A391,Työkonekanta!$A$3:$A$24,0),1),"undefined")</f>
        <v>undefined</v>
      </c>
      <c r="E391" s="145">
        <f>IFERROR(INDEX(Työkonekanta!$G$3:$G$27,MATCH($A391,Työkonekanta!$A$3:$A$24,0),1)*INDEX(Työkonekanta!$H$3:$H$27,MATCH($A391,Työkonekanta!$A$3:$A$24,0),1)*(1+_xlfn.SINGLE(s2_kerroin)*($C391-2019))*$B391,0)</f>
        <v>0</v>
      </c>
      <c r="F391" s="145">
        <f t="shared" si="134"/>
        <v>0</v>
      </c>
      <c r="G391" s="145">
        <f t="shared" si="140"/>
        <v>0</v>
      </c>
      <c r="H391" s="145">
        <f t="shared" si="141"/>
        <v>0</v>
      </c>
      <c r="I391" s="145">
        <f t="shared" si="135"/>
        <v>0</v>
      </c>
      <c r="J391" s="145">
        <f t="shared" si="136"/>
        <v>0</v>
      </c>
      <c r="K391" s="142" t="str">
        <f t="shared" si="142"/>
        <v>undefined</v>
      </c>
      <c r="L391" s="146">
        <f>IFERROR(INDEX(Työkonekanta!$I$3:$I$27,MATCH('S2 Bio'!$A391,Työkonekanta!$A$3:$A$24,0),1)*(I391+J391)*f_adblue,0)</f>
        <v>0</v>
      </c>
      <c r="M391" s="146">
        <f t="shared" si="126"/>
        <v>0</v>
      </c>
      <c r="N391" s="143" t="str">
        <f>IF(tuulisähkö_vuosi&lt;='S2 Bio'!C391,"tuulisähkö",ostosähkö_nyt)</f>
        <v>jäännössähkö</v>
      </c>
      <c r="O391" s="147">
        <f>INDEX(Muuttujat!$J$5:$J$21,MATCH($C391,Muuttujat!$H$5:$H$21,0),1)</f>
        <v>61.379690186142746</v>
      </c>
      <c r="P391" s="148">
        <f t="shared" si="143"/>
        <v>0.25866666666666671</v>
      </c>
      <c r="Q391" s="148">
        <f t="shared" si="133"/>
        <v>0.74133333333333329</v>
      </c>
      <c r="R391" s="148">
        <f t="shared" si="133"/>
        <v>0.74133333333333329</v>
      </c>
      <c r="S391" s="149">
        <f t="shared" si="137"/>
        <v>0</v>
      </c>
      <c r="T391" s="150">
        <f t="shared" si="138"/>
        <v>0</v>
      </c>
      <c r="U391" s="150">
        <f t="shared" si="139"/>
        <v>0</v>
      </c>
      <c r="V391" s="150">
        <f>IFERROR(INDEX(Työkonekanta!$J$3:$J$27,MATCH($A391,Työkonekanta!$A$3:$A$24,0),1)*$B391*ef_li_ion_akku/1000/1000/INDEX(Työkonekanta!$K$3:$K$27,MATCH($A391,Työkonekanta!$A$3:$A$24,0)),0)</f>
        <v>0</v>
      </c>
      <c r="W391" s="149">
        <f t="shared" si="127"/>
        <v>0</v>
      </c>
      <c r="X391" s="150">
        <f t="shared" si="128"/>
        <v>0</v>
      </c>
      <c r="Y391" s="151">
        <f t="shared" si="129"/>
        <v>0</v>
      </c>
      <c r="Z391" s="152">
        <f t="shared" si="144"/>
        <v>0</v>
      </c>
      <c r="AA391" s="153">
        <f t="shared" si="145"/>
        <v>0</v>
      </c>
      <c r="AB391" s="153">
        <f t="shared" si="146"/>
        <v>0</v>
      </c>
      <c r="AC391" s="154">
        <f t="shared" si="130"/>
        <v>0</v>
      </c>
      <c r="AD391" s="180">
        <f t="shared" si="147"/>
        <v>0</v>
      </c>
      <c r="AE391" s="160"/>
    </row>
    <row r="392" spans="1:31">
      <c r="A392" s="139">
        <v>30</v>
      </c>
      <c r="B392" s="139">
        <f>IFERROR(INDEX(Työkonekanta!$F$3:$F$27,MATCH('S2 Bio'!$A392,Työkonekanta!$A$3:$A$24,0),1),0)</f>
        <v>0</v>
      </c>
      <c r="C392" s="140">
        <v>2031</v>
      </c>
      <c r="D392" s="141" t="str">
        <f>IFERROR(INDEX(Työkonekanta!$D$3:$D$27,MATCH('S2 Bio'!$A392,Työkonekanta!$A$3:$A$24,0),1),"undefined")</f>
        <v>undefined</v>
      </c>
      <c r="E392" s="145">
        <f>IFERROR(INDEX(Työkonekanta!$G$3:$G$27,MATCH($A392,Työkonekanta!$A$3:$A$24,0),1)*INDEX(Työkonekanta!$H$3:$H$27,MATCH($A392,Työkonekanta!$A$3:$A$24,0),1)*(1+_xlfn.SINGLE(s2_kerroin)*($C392-2019))*$B392,0)</f>
        <v>0</v>
      </c>
      <c r="F392" s="145">
        <f t="shared" si="134"/>
        <v>0</v>
      </c>
      <c r="G392" s="145">
        <f t="shared" si="140"/>
        <v>0</v>
      </c>
      <c r="H392" s="145">
        <f t="shared" si="141"/>
        <v>0</v>
      </c>
      <c r="I392" s="145">
        <f t="shared" si="135"/>
        <v>0</v>
      </c>
      <c r="J392" s="145">
        <f t="shared" si="136"/>
        <v>0</v>
      </c>
      <c r="K392" s="142" t="str">
        <f t="shared" si="142"/>
        <v>undefined</v>
      </c>
      <c r="L392" s="146">
        <f>IFERROR(INDEX(Työkonekanta!$I$3:$I$27,MATCH('S2 Bio'!$A392,Työkonekanta!$A$3:$A$24,0),1)*(I392+J392)*f_adblue,0)</f>
        <v>0</v>
      </c>
      <c r="M392" s="146">
        <f t="shared" si="126"/>
        <v>0</v>
      </c>
      <c r="N392" s="143" t="str">
        <f>IF(tuulisähkö_vuosi&lt;='S2 Bio'!C392,"tuulisähkö",ostosähkö_nyt)</f>
        <v>jäännössähkö</v>
      </c>
      <c r="O392" s="147">
        <f>INDEX(Muuttujat!$J$5:$J$21,MATCH($C392,Muuttujat!$H$5:$H$21,0),1)</f>
        <v>61.379690186142746</v>
      </c>
      <c r="P392" s="148">
        <f t="shared" si="143"/>
        <v>0.25866666666666671</v>
      </c>
      <c r="Q392" s="148">
        <f t="shared" si="133"/>
        <v>0.74133333333333329</v>
      </c>
      <c r="R392" s="148">
        <f t="shared" si="133"/>
        <v>0.74133333333333329</v>
      </c>
      <c r="S392" s="149">
        <f t="shared" si="137"/>
        <v>0</v>
      </c>
      <c r="T392" s="150">
        <f t="shared" si="138"/>
        <v>0</v>
      </c>
      <c r="U392" s="150">
        <f t="shared" si="139"/>
        <v>0</v>
      </c>
      <c r="V392" s="150">
        <f>IFERROR(INDEX(Työkonekanta!$J$3:$J$27,MATCH($A392,Työkonekanta!$A$3:$A$24,0),1)*$B392*ef_li_ion_akku/1000/1000/INDEX(Työkonekanta!$K$3:$K$27,MATCH($A392,Työkonekanta!$A$3:$A$24,0)),0)</f>
        <v>0</v>
      </c>
      <c r="W392" s="149">
        <f t="shared" si="127"/>
        <v>0</v>
      </c>
      <c r="X392" s="150">
        <f t="shared" si="128"/>
        <v>0</v>
      </c>
      <c r="Y392" s="151">
        <f t="shared" si="129"/>
        <v>0</v>
      </c>
      <c r="Z392" s="152">
        <f t="shared" si="144"/>
        <v>0</v>
      </c>
      <c r="AA392" s="153">
        <f t="shared" si="145"/>
        <v>0</v>
      </c>
      <c r="AB392" s="153">
        <f t="shared" si="146"/>
        <v>0</v>
      </c>
      <c r="AC392" s="154">
        <f t="shared" si="130"/>
        <v>0</v>
      </c>
      <c r="AD392" s="180">
        <f t="shared" si="147"/>
        <v>0</v>
      </c>
      <c r="AE392" s="160"/>
    </row>
    <row r="393" spans="1:31">
      <c r="A393" s="139">
        <v>1</v>
      </c>
      <c r="B393" s="139">
        <f>IFERROR(INDEX(Työkonekanta!$F$3:$F$27,MATCH('S2 Bio'!$A393,Työkonekanta!$A$3:$A$24,0),1),0)</f>
        <v>1</v>
      </c>
      <c r="C393" s="140">
        <v>2032</v>
      </c>
      <c r="D393" s="141" t="str">
        <f>IFERROR(INDEX(Työkonekanta!$D$3:$D$27,MATCH('S2 Bio'!$A393,Työkonekanta!$A$3:$A$24,0),1),"undefined")</f>
        <v>pom</v>
      </c>
      <c r="E393" s="145">
        <f>IFERROR(INDEX(Työkonekanta!$G$3:$G$27,MATCH($A393,Työkonekanta!$A$3:$A$24,0),1)*INDEX(Työkonekanta!$H$3:$H$27,MATCH($A393,Työkonekanta!$A$3:$A$24,0),1)*(1+_xlfn.SINGLE(s2_kerroin)*($C393-2019))*$B393,0)</f>
        <v>11299.999999999998</v>
      </c>
      <c r="F393" s="145">
        <f t="shared" si="134"/>
        <v>405669.99999999994</v>
      </c>
      <c r="G393" s="145">
        <f t="shared" si="140"/>
        <v>78699.979999999967</v>
      </c>
      <c r="H393" s="145">
        <f t="shared" si="141"/>
        <v>326970.01999999996</v>
      </c>
      <c r="I393" s="145">
        <f t="shared" si="135"/>
        <v>2192.1999999999994</v>
      </c>
      <c r="J393" s="145">
        <f t="shared" si="136"/>
        <v>9532.6536443148689</v>
      </c>
      <c r="K393" s="142" t="str">
        <f t="shared" si="142"/>
        <v>l</v>
      </c>
      <c r="L393" s="146">
        <f>IFERROR(INDEX(Työkonekanta!$I$3:$I$27,MATCH('S2 Bio'!$A393,Työkonekanta!$A$3:$A$24,0),1)*(I393+J393)*f_adblue,0)</f>
        <v>586.24268221574346</v>
      </c>
      <c r="M393" s="146">
        <f t="shared" si="126"/>
        <v>0</v>
      </c>
      <c r="N393" s="143" t="str">
        <f>IF(tuulisähkö_vuosi&lt;='S2 Bio'!C393,"tuulisähkö",ostosähkö_nyt)</f>
        <v>jäännössähkö</v>
      </c>
      <c r="O393" s="147">
        <f>INDEX(Muuttujat!$J$5:$J$21,MATCH($C393,Muuttujat!$H$5:$H$21,0),1)</f>
        <v>60.765893284281319</v>
      </c>
      <c r="P393" s="148">
        <f t="shared" si="143"/>
        <v>0.19399999999999995</v>
      </c>
      <c r="Q393" s="148">
        <f t="shared" si="133"/>
        <v>0.80600000000000005</v>
      </c>
      <c r="R393" s="148">
        <f t="shared" si="133"/>
        <v>0.80600000000000005</v>
      </c>
      <c r="S393" s="149">
        <f t="shared" si="137"/>
        <v>1.4874296219999992</v>
      </c>
      <c r="T393" s="150">
        <f t="shared" si="138"/>
        <v>20.402929247999996</v>
      </c>
      <c r="U393" s="150">
        <f t="shared" si="139"/>
        <v>0</v>
      </c>
      <c r="V393" s="150">
        <f>IFERROR(INDEX(Työkonekanta!$J$3:$J$27,MATCH($A393,Työkonekanta!$A$3:$A$24,0),1)*$B393*ef_li_ion_akku/1000/1000/INDEX(Työkonekanta!$K$3:$K$27,MATCH($A393,Työkonekanta!$A$3:$A$24,0)),0)</f>
        <v>0</v>
      </c>
      <c r="W393" s="149">
        <f t="shared" si="127"/>
        <v>5.8087081355569188</v>
      </c>
      <c r="X393" s="150">
        <f t="shared" si="128"/>
        <v>0.35905259579999993</v>
      </c>
      <c r="Y393" s="151">
        <f t="shared" si="129"/>
        <v>0.1524230973760933</v>
      </c>
      <c r="Z393" s="152">
        <f t="shared" si="144"/>
        <v>21.890358869999996</v>
      </c>
      <c r="AA393" s="153">
        <f t="shared" si="145"/>
        <v>5.9611312329330124</v>
      </c>
      <c r="AB393" s="153">
        <f t="shared" si="146"/>
        <v>6.3201838287330121</v>
      </c>
      <c r="AC393" s="154">
        <f t="shared" si="130"/>
        <v>27.85149010293301</v>
      </c>
      <c r="AD393" s="180">
        <f t="shared" si="147"/>
        <v>28.210542698733008</v>
      </c>
      <c r="AE393" s="160"/>
    </row>
    <row r="394" spans="1:31">
      <c r="A394" s="139">
        <v>2</v>
      </c>
      <c r="B394" s="139">
        <f>IFERROR(INDEX(Työkonekanta!$F$3:$F$27,MATCH('S2 Bio'!$A394,Työkonekanta!$A$3:$A$24,0),1),0)</f>
        <v>1</v>
      </c>
      <c r="C394" s="140">
        <v>2032</v>
      </c>
      <c r="D394" s="141" t="str">
        <f>IFERROR(INDEX(Työkonekanta!$D$3:$D$27,MATCH('S2 Bio'!$A394,Työkonekanta!$A$3:$A$24,0),1),"undefined")</f>
        <v>pom</v>
      </c>
      <c r="E394" s="145">
        <f>IFERROR(INDEX(Työkonekanta!$G$3:$G$27,MATCH($A394,Työkonekanta!$A$3:$A$24,0),1)*INDEX(Työkonekanta!$H$3:$H$27,MATCH($A394,Työkonekanta!$A$3:$A$24,0),1)*(1+_xlfn.SINGLE(s2_kerroin)*($C394-2019))*$B394,0)</f>
        <v>11299.999999999998</v>
      </c>
      <c r="F394" s="145">
        <f t="shared" si="134"/>
        <v>405669.99999999994</v>
      </c>
      <c r="G394" s="145">
        <f t="shared" si="140"/>
        <v>78699.979999999967</v>
      </c>
      <c r="H394" s="145">
        <f t="shared" si="141"/>
        <v>326970.01999999996</v>
      </c>
      <c r="I394" s="145">
        <f t="shared" si="135"/>
        <v>2192.1999999999994</v>
      </c>
      <c r="J394" s="145">
        <f t="shared" si="136"/>
        <v>9532.6536443148689</v>
      </c>
      <c r="K394" s="142" t="str">
        <f t="shared" si="142"/>
        <v>l</v>
      </c>
      <c r="L394" s="146">
        <f>IFERROR(INDEX(Työkonekanta!$I$3:$I$27,MATCH('S2 Bio'!$A394,Työkonekanta!$A$3:$A$24,0),1)*(I394+J394)*f_adblue,0)</f>
        <v>586.24268221574346</v>
      </c>
      <c r="M394" s="146">
        <f t="shared" si="126"/>
        <v>0</v>
      </c>
      <c r="N394" s="143" t="str">
        <f>IF(tuulisähkö_vuosi&lt;='S2 Bio'!C394,"tuulisähkö",ostosähkö_nyt)</f>
        <v>jäännössähkö</v>
      </c>
      <c r="O394" s="147">
        <f>INDEX(Muuttujat!$J$5:$J$21,MATCH($C394,Muuttujat!$H$5:$H$21,0),1)</f>
        <v>60.765893284281319</v>
      </c>
      <c r="P394" s="148">
        <f t="shared" si="143"/>
        <v>0.19399999999999995</v>
      </c>
      <c r="Q394" s="148">
        <f t="shared" si="133"/>
        <v>0.80600000000000005</v>
      </c>
      <c r="R394" s="148">
        <f t="shared" si="133"/>
        <v>0.80600000000000005</v>
      </c>
      <c r="S394" s="149">
        <f t="shared" si="137"/>
        <v>1.4874296219999992</v>
      </c>
      <c r="T394" s="150">
        <f t="shared" si="138"/>
        <v>20.402929247999996</v>
      </c>
      <c r="U394" s="150">
        <f t="shared" si="139"/>
        <v>0</v>
      </c>
      <c r="V394" s="150">
        <f>IFERROR(INDEX(Työkonekanta!$J$3:$J$27,MATCH($A394,Työkonekanta!$A$3:$A$24,0),1)*$B394*ef_li_ion_akku/1000/1000/INDEX(Työkonekanta!$K$3:$K$27,MATCH($A394,Työkonekanta!$A$3:$A$24,0)),0)</f>
        <v>0</v>
      </c>
      <c r="W394" s="149">
        <f t="shared" si="127"/>
        <v>5.8087081355569188</v>
      </c>
      <c r="X394" s="150">
        <f t="shared" si="128"/>
        <v>0.35905259579999993</v>
      </c>
      <c r="Y394" s="151">
        <f t="shared" si="129"/>
        <v>0.1524230973760933</v>
      </c>
      <c r="Z394" s="152">
        <f t="shared" si="144"/>
        <v>21.890358869999996</v>
      </c>
      <c r="AA394" s="153">
        <f t="shared" si="145"/>
        <v>5.9611312329330124</v>
      </c>
      <c r="AB394" s="153">
        <f t="shared" si="146"/>
        <v>6.3201838287330121</v>
      </c>
      <c r="AC394" s="154">
        <f t="shared" si="130"/>
        <v>27.85149010293301</v>
      </c>
      <c r="AD394" s="180">
        <f t="shared" si="147"/>
        <v>28.210542698733008</v>
      </c>
      <c r="AE394" s="160"/>
    </row>
    <row r="395" spans="1:31">
      <c r="A395" s="139">
        <v>3</v>
      </c>
      <c r="B395" s="139">
        <f>IFERROR(INDEX(Työkonekanta!$F$3:$F$27,MATCH('S2 Bio'!$A395,Työkonekanta!$A$3:$A$24,0),1),0)</f>
        <v>1</v>
      </c>
      <c r="C395" s="140">
        <v>2032</v>
      </c>
      <c r="D395" s="141" t="str">
        <f>IFERROR(INDEX(Työkonekanta!$D$3:$D$27,MATCH('S2 Bio'!$A395,Työkonekanta!$A$3:$A$24,0),1),"undefined")</f>
        <v>pom</v>
      </c>
      <c r="E395" s="145">
        <f>IFERROR(INDEX(Työkonekanta!$G$3:$G$27,MATCH($A395,Työkonekanta!$A$3:$A$24,0),1)*INDEX(Työkonekanta!$H$3:$H$27,MATCH($A395,Työkonekanta!$A$3:$A$24,0),1)*(1+_xlfn.SINGLE(s2_kerroin)*($C395-2019))*$B395,0)</f>
        <v>11299.999999999998</v>
      </c>
      <c r="F395" s="145">
        <f t="shared" si="134"/>
        <v>405669.99999999994</v>
      </c>
      <c r="G395" s="145">
        <f t="shared" si="140"/>
        <v>78699.979999999967</v>
      </c>
      <c r="H395" s="145">
        <f t="shared" si="141"/>
        <v>326970.01999999996</v>
      </c>
      <c r="I395" s="145">
        <f t="shared" si="135"/>
        <v>2192.1999999999994</v>
      </c>
      <c r="J395" s="145">
        <f t="shared" si="136"/>
        <v>9532.6536443148689</v>
      </c>
      <c r="K395" s="142" t="str">
        <f t="shared" si="142"/>
        <v>l</v>
      </c>
      <c r="L395" s="146">
        <f>IFERROR(INDEX(Työkonekanta!$I$3:$I$27,MATCH('S2 Bio'!$A395,Työkonekanta!$A$3:$A$24,0),1)*(I395+J395)*f_adblue,0)</f>
        <v>586.24268221574346</v>
      </c>
      <c r="M395" s="146">
        <f t="shared" si="126"/>
        <v>0</v>
      </c>
      <c r="N395" s="143" t="str">
        <f>IF(tuulisähkö_vuosi&lt;='S2 Bio'!C395,"tuulisähkö",ostosähkö_nyt)</f>
        <v>jäännössähkö</v>
      </c>
      <c r="O395" s="147">
        <f>INDEX(Muuttujat!$J$5:$J$21,MATCH($C395,Muuttujat!$H$5:$H$21,0),1)</f>
        <v>60.765893284281319</v>
      </c>
      <c r="P395" s="148">
        <f t="shared" si="143"/>
        <v>0.19399999999999995</v>
      </c>
      <c r="Q395" s="148">
        <f t="shared" si="133"/>
        <v>0.80600000000000005</v>
      </c>
      <c r="R395" s="148">
        <f t="shared" si="133"/>
        <v>0.80600000000000005</v>
      </c>
      <c r="S395" s="149">
        <f t="shared" si="137"/>
        <v>1.4874296219999992</v>
      </c>
      <c r="T395" s="150">
        <f t="shared" si="138"/>
        <v>20.402929247999996</v>
      </c>
      <c r="U395" s="150">
        <f t="shared" si="139"/>
        <v>0</v>
      </c>
      <c r="V395" s="150">
        <f>IFERROR(INDEX(Työkonekanta!$J$3:$J$27,MATCH($A395,Työkonekanta!$A$3:$A$24,0),1)*$B395*ef_li_ion_akku/1000/1000/INDEX(Työkonekanta!$K$3:$K$27,MATCH($A395,Työkonekanta!$A$3:$A$24,0)),0)</f>
        <v>0</v>
      </c>
      <c r="W395" s="149">
        <f t="shared" si="127"/>
        <v>5.8087081355569188</v>
      </c>
      <c r="X395" s="150">
        <f t="shared" si="128"/>
        <v>0.35905259579999993</v>
      </c>
      <c r="Y395" s="151">
        <f t="shared" si="129"/>
        <v>0.1524230973760933</v>
      </c>
      <c r="Z395" s="152">
        <f t="shared" si="144"/>
        <v>21.890358869999996</v>
      </c>
      <c r="AA395" s="153">
        <f t="shared" si="145"/>
        <v>5.9611312329330124</v>
      </c>
      <c r="AB395" s="153">
        <f t="shared" si="146"/>
        <v>6.3201838287330121</v>
      </c>
      <c r="AC395" s="154">
        <f t="shared" si="130"/>
        <v>27.85149010293301</v>
      </c>
      <c r="AD395" s="180">
        <f t="shared" si="147"/>
        <v>28.210542698733008</v>
      </c>
      <c r="AE395" s="160"/>
    </row>
    <row r="396" spans="1:31">
      <c r="A396" s="139">
        <v>4</v>
      </c>
      <c r="B396" s="139">
        <f>IFERROR(INDEX(Työkonekanta!$F$3:$F$27,MATCH('S2 Bio'!$A396,Työkonekanta!$A$3:$A$24,0),1),0)</f>
        <v>1</v>
      </c>
      <c r="C396" s="140">
        <v>2032</v>
      </c>
      <c r="D396" s="141" t="str">
        <f>IFERROR(INDEX(Työkonekanta!$D$3:$D$27,MATCH('S2 Bio'!$A396,Työkonekanta!$A$3:$A$24,0),1),"undefined")</f>
        <v>pom</v>
      </c>
      <c r="E396" s="145">
        <f>IFERROR(INDEX(Työkonekanta!$G$3:$G$27,MATCH($A396,Työkonekanta!$A$3:$A$24,0),1)*INDEX(Työkonekanta!$H$3:$H$27,MATCH($A396,Työkonekanta!$A$3:$A$24,0),1)*(1+_xlfn.SINGLE(s2_kerroin)*($C396-2019))*$B396,0)</f>
        <v>11299.999999999998</v>
      </c>
      <c r="F396" s="145">
        <f t="shared" si="134"/>
        <v>405669.99999999994</v>
      </c>
      <c r="G396" s="145">
        <f t="shared" si="140"/>
        <v>78699.979999999967</v>
      </c>
      <c r="H396" s="145">
        <f t="shared" si="141"/>
        <v>326970.01999999996</v>
      </c>
      <c r="I396" s="145">
        <f t="shared" si="135"/>
        <v>2192.1999999999994</v>
      </c>
      <c r="J396" s="145">
        <f t="shared" si="136"/>
        <v>9532.6536443148689</v>
      </c>
      <c r="K396" s="142" t="str">
        <f t="shared" si="142"/>
        <v>l</v>
      </c>
      <c r="L396" s="146">
        <f>IFERROR(INDEX(Työkonekanta!$I$3:$I$27,MATCH('S2 Bio'!$A396,Työkonekanta!$A$3:$A$24,0),1)*(I396+J396)*f_adblue,0)</f>
        <v>586.24268221574346</v>
      </c>
      <c r="M396" s="146">
        <f t="shared" si="126"/>
        <v>0</v>
      </c>
      <c r="N396" s="143" t="str">
        <f>IF(tuulisähkö_vuosi&lt;='S2 Bio'!C396,"tuulisähkö",ostosähkö_nyt)</f>
        <v>jäännössähkö</v>
      </c>
      <c r="O396" s="147">
        <f>INDEX(Muuttujat!$J$5:$J$21,MATCH($C396,Muuttujat!$H$5:$H$21,0),1)</f>
        <v>60.765893284281319</v>
      </c>
      <c r="P396" s="148">
        <f t="shared" si="143"/>
        <v>0.19399999999999995</v>
      </c>
      <c r="Q396" s="148">
        <f t="shared" si="133"/>
        <v>0.80600000000000005</v>
      </c>
      <c r="R396" s="148">
        <f t="shared" si="133"/>
        <v>0.80600000000000005</v>
      </c>
      <c r="S396" s="149">
        <f t="shared" si="137"/>
        <v>1.4874296219999992</v>
      </c>
      <c r="T396" s="150">
        <f t="shared" si="138"/>
        <v>20.402929247999996</v>
      </c>
      <c r="U396" s="150">
        <f t="shared" si="139"/>
        <v>0</v>
      </c>
      <c r="V396" s="150">
        <f>IFERROR(INDEX(Työkonekanta!$J$3:$J$27,MATCH($A396,Työkonekanta!$A$3:$A$24,0),1)*$B396*ef_li_ion_akku/1000/1000/INDEX(Työkonekanta!$K$3:$K$27,MATCH($A396,Työkonekanta!$A$3:$A$24,0)),0)</f>
        <v>0</v>
      </c>
      <c r="W396" s="149">
        <f t="shared" si="127"/>
        <v>5.8087081355569188</v>
      </c>
      <c r="X396" s="150">
        <f t="shared" si="128"/>
        <v>0.35905259579999993</v>
      </c>
      <c r="Y396" s="151">
        <f t="shared" si="129"/>
        <v>0.1524230973760933</v>
      </c>
      <c r="Z396" s="152">
        <f t="shared" si="144"/>
        <v>21.890358869999996</v>
      </c>
      <c r="AA396" s="153">
        <f t="shared" si="145"/>
        <v>5.9611312329330124</v>
      </c>
      <c r="AB396" s="153">
        <f t="shared" si="146"/>
        <v>6.3201838287330121</v>
      </c>
      <c r="AC396" s="154">
        <f t="shared" si="130"/>
        <v>27.85149010293301</v>
      </c>
      <c r="AD396" s="180">
        <f t="shared" si="147"/>
        <v>28.210542698733008</v>
      </c>
      <c r="AE396" s="160"/>
    </row>
    <row r="397" spans="1:31">
      <c r="A397" s="139">
        <v>5</v>
      </c>
      <c r="B397" s="139">
        <f>IFERROR(INDEX(Työkonekanta!$F$3:$F$27,MATCH('S2 Bio'!$A397,Työkonekanta!$A$3:$A$24,0),1),0)</f>
        <v>0</v>
      </c>
      <c r="C397" s="140">
        <v>2032</v>
      </c>
      <c r="D397" s="141" t="str">
        <f>IFERROR(INDEX(Työkonekanta!$D$3:$D$27,MATCH('S2 Bio'!$A397,Työkonekanta!$A$3:$A$24,0),1),"undefined")</f>
        <v>sähkö</v>
      </c>
      <c r="E397" s="145">
        <f>IFERROR(INDEX(Työkonekanta!$G$3:$G$27,MATCH($A397,Työkonekanta!$A$3:$A$24,0),1)*INDEX(Työkonekanta!$H$3:$H$27,MATCH($A397,Työkonekanta!$A$3:$A$24,0),1)*(1+_xlfn.SINGLE(s2_kerroin)*($C397-2019))*$B397,0)</f>
        <v>0</v>
      </c>
      <c r="F397" s="145">
        <f t="shared" si="134"/>
        <v>0</v>
      </c>
      <c r="G397" s="145">
        <f t="shared" si="140"/>
        <v>0</v>
      </c>
      <c r="H397" s="145">
        <f t="shared" si="141"/>
        <v>0</v>
      </c>
      <c r="I397" s="145">
        <f t="shared" si="135"/>
        <v>0</v>
      </c>
      <c r="J397" s="145">
        <f t="shared" si="136"/>
        <v>0</v>
      </c>
      <c r="K397" s="142" t="str">
        <f t="shared" si="142"/>
        <v>kWh</v>
      </c>
      <c r="L397" s="146">
        <f>IFERROR(INDEX(Työkonekanta!$I$3:$I$27,MATCH('S2 Bio'!$A397,Työkonekanta!$A$3:$A$24,0),1)*(I397+J397)*f_adblue,0)</f>
        <v>0</v>
      </c>
      <c r="M397" s="146">
        <f t="shared" si="126"/>
        <v>0</v>
      </c>
      <c r="N397" s="143" t="str">
        <f>IF(tuulisähkö_vuosi&lt;='S2 Bio'!C397,"tuulisähkö",ostosähkö_nyt)</f>
        <v>jäännössähkö</v>
      </c>
      <c r="O397" s="147">
        <f>INDEX(Muuttujat!$J$5:$J$21,MATCH($C397,Muuttujat!$H$5:$H$21,0),1)</f>
        <v>60.765893284281319</v>
      </c>
      <c r="P397" s="148">
        <f t="shared" si="143"/>
        <v>0.19399999999999995</v>
      </c>
      <c r="Q397" s="148">
        <f t="shared" si="133"/>
        <v>0.80600000000000005</v>
      </c>
      <c r="R397" s="148">
        <f t="shared" si="133"/>
        <v>0.80600000000000005</v>
      </c>
      <c r="S397" s="149">
        <f t="shared" si="137"/>
        <v>0</v>
      </c>
      <c r="T397" s="150">
        <f t="shared" si="138"/>
        <v>0</v>
      </c>
      <c r="U397" s="150">
        <f t="shared" si="139"/>
        <v>0</v>
      </c>
      <c r="V397" s="150">
        <f>IFERROR(INDEX(Työkonekanta!$J$3:$J$27,MATCH($A397,Työkonekanta!$A$3:$A$24,0),1)*$B397*ef_li_ion_akku/1000/1000/INDEX(Työkonekanta!$K$3:$K$27,MATCH($A397,Työkonekanta!$A$3:$A$24,0)),0)</f>
        <v>0</v>
      </c>
      <c r="W397" s="149">
        <f t="shared" si="127"/>
        <v>0</v>
      </c>
      <c r="X397" s="150">
        <f t="shared" si="128"/>
        <v>0</v>
      </c>
      <c r="Y397" s="151">
        <f t="shared" si="129"/>
        <v>0</v>
      </c>
      <c r="Z397" s="152">
        <f t="shared" si="144"/>
        <v>0</v>
      </c>
      <c r="AA397" s="153">
        <f t="shared" si="145"/>
        <v>0</v>
      </c>
      <c r="AB397" s="153">
        <f t="shared" si="146"/>
        <v>0</v>
      </c>
      <c r="AC397" s="154">
        <f t="shared" si="130"/>
        <v>0</v>
      </c>
      <c r="AD397" s="180">
        <f t="shared" si="147"/>
        <v>0</v>
      </c>
      <c r="AE397" s="160"/>
    </row>
    <row r="398" spans="1:31">
      <c r="A398" s="139">
        <v>6</v>
      </c>
      <c r="B398" s="139">
        <f>IFERROR(INDEX(Työkonekanta!$F$3:$F$27,MATCH('S2 Bio'!$A398,Työkonekanta!$A$3:$A$24,0),1),0)</f>
        <v>0</v>
      </c>
      <c r="C398" s="140">
        <v>2032</v>
      </c>
      <c r="D398" s="141" t="str">
        <f>IFERROR(INDEX(Työkonekanta!$D$3:$D$27,MATCH('S2 Bio'!$A398,Työkonekanta!$A$3:$A$24,0),1),"undefined")</f>
        <v>sähkö</v>
      </c>
      <c r="E398" s="145">
        <f>IFERROR(INDEX(Työkonekanta!$G$3:$G$27,MATCH($A398,Työkonekanta!$A$3:$A$24,0),1)*INDEX(Työkonekanta!$H$3:$H$27,MATCH($A398,Työkonekanta!$A$3:$A$24,0),1)*(1+_xlfn.SINGLE(s2_kerroin)*($C398-2019))*$B398,0)</f>
        <v>0</v>
      </c>
      <c r="F398" s="145">
        <f t="shared" si="134"/>
        <v>0</v>
      </c>
      <c r="G398" s="145">
        <f t="shared" si="140"/>
        <v>0</v>
      </c>
      <c r="H398" s="145">
        <f t="shared" si="141"/>
        <v>0</v>
      </c>
      <c r="I398" s="145">
        <f t="shared" si="135"/>
        <v>0</v>
      </c>
      <c r="J398" s="145">
        <f t="shared" si="136"/>
        <v>0</v>
      </c>
      <c r="K398" s="142" t="str">
        <f t="shared" si="142"/>
        <v>kWh</v>
      </c>
      <c r="L398" s="146">
        <f>IFERROR(INDEX(Työkonekanta!$I$3:$I$27,MATCH('S2 Bio'!$A398,Työkonekanta!$A$3:$A$24,0),1)*(I398+J398)*f_adblue,0)</f>
        <v>0</v>
      </c>
      <c r="M398" s="146">
        <f t="shared" si="126"/>
        <v>0</v>
      </c>
      <c r="N398" s="143" t="str">
        <f>IF(tuulisähkö_vuosi&lt;='S2 Bio'!C398,"tuulisähkö",ostosähkö_nyt)</f>
        <v>jäännössähkö</v>
      </c>
      <c r="O398" s="147">
        <f>INDEX(Muuttujat!$J$5:$J$21,MATCH($C398,Muuttujat!$H$5:$H$21,0),1)</f>
        <v>60.765893284281319</v>
      </c>
      <c r="P398" s="148">
        <f t="shared" si="143"/>
        <v>0.19399999999999995</v>
      </c>
      <c r="Q398" s="148">
        <f t="shared" si="133"/>
        <v>0.80600000000000005</v>
      </c>
      <c r="R398" s="148">
        <f t="shared" si="133"/>
        <v>0.80600000000000005</v>
      </c>
      <c r="S398" s="149">
        <f t="shared" si="137"/>
        <v>0</v>
      </c>
      <c r="T398" s="150">
        <f t="shared" si="138"/>
        <v>0</v>
      </c>
      <c r="U398" s="150">
        <f t="shared" si="139"/>
        <v>0</v>
      </c>
      <c r="V398" s="150">
        <f>IFERROR(INDEX(Työkonekanta!$J$3:$J$27,MATCH($A398,Työkonekanta!$A$3:$A$24,0),1)*$B398*ef_li_ion_akku/1000/1000/INDEX(Työkonekanta!$K$3:$K$27,MATCH($A398,Työkonekanta!$A$3:$A$24,0)),0)</f>
        <v>0</v>
      </c>
      <c r="W398" s="149">
        <f t="shared" si="127"/>
        <v>0</v>
      </c>
      <c r="X398" s="150">
        <f t="shared" si="128"/>
        <v>0</v>
      </c>
      <c r="Y398" s="151">
        <f t="shared" si="129"/>
        <v>0</v>
      </c>
      <c r="Z398" s="152">
        <f t="shared" si="144"/>
        <v>0</v>
      </c>
      <c r="AA398" s="153">
        <f t="shared" si="145"/>
        <v>0</v>
      </c>
      <c r="AB398" s="153">
        <f t="shared" si="146"/>
        <v>0</v>
      </c>
      <c r="AC398" s="154">
        <f t="shared" si="130"/>
        <v>0</v>
      </c>
      <c r="AD398" s="180">
        <f t="shared" si="147"/>
        <v>0</v>
      </c>
      <c r="AE398" s="160"/>
    </row>
    <row r="399" spans="1:31">
      <c r="A399" s="139">
        <v>7</v>
      </c>
      <c r="B399" s="139">
        <f>IFERROR(INDEX(Työkonekanta!$F$3:$F$27,MATCH('S2 Bio'!$A399,Työkonekanta!$A$3:$A$24,0),1),0)</f>
        <v>1</v>
      </c>
      <c r="C399" s="140">
        <v>2032</v>
      </c>
      <c r="D399" s="141" t="str">
        <f>IFERROR(INDEX(Työkonekanta!$D$3:$D$27,MATCH('S2 Bio'!$A399,Työkonekanta!$A$3:$A$24,0),1),"undefined")</f>
        <v>pom</v>
      </c>
      <c r="E399" s="145">
        <f>IFERROR(INDEX(Työkonekanta!$G$3:$G$27,MATCH($A399,Työkonekanta!$A$3:$A$24,0),1)*INDEX(Työkonekanta!$H$3:$H$27,MATCH($A399,Työkonekanta!$A$3:$A$24,0),1)*(1+_xlfn.SINGLE(s2_kerroin)*($C399-2019))*$B399,0)</f>
        <v>11299.999999999998</v>
      </c>
      <c r="F399" s="145">
        <f t="shared" si="134"/>
        <v>405669.99999999994</v>
      </c>
      <c r="G399" s="145">
        <f t="shared" si="140"/>
        <v>78699.979999999967</v>
      </c>
      <c r="H399" s="145">
        <f t="shared" si="141"/>
        <v>326970.01999999996</v>
      </c>
      <c r="I399" s="145">
        <f t="shared" si="135"/>
        <v>2192.1999999999994</v>
      </c>
      <c r="J399" s="145">
        <f t="shared" si="136"/>
        <v>9532.6536443148689</v>
      </c>
      <c r="K399" s="142" t="str">
        <f t="shared" si="142"/>
        <v>l</v>
      </c>
      <c r="L399" s="146">
        <f>IFERROR(INDEX(Työkonekanta!$I$3:$I$27,MATCH('S2 Bio'!$A399,Työkonekanta!$A$3:$A$24,0),1)*(I399+J399)*f_adblue,0)</f>
        <v>0</v>
      </c>
      <c r="M399" s="146">
        <f t="shared" si="126"/>
        <v>0</v>
      </c>
      <c r="N399" s="143" t="str">
        <f>IF(tuulisähkö_vuosi&lt;='S2 Bio'!C399,"tuulisähkö",ostosähkö_nyt)</f>
        <v>jäännössähkö</v>
      </c>
      <c r="O399" s="147">
        <f>INDEX(Muuttujat!$J$5:$J$21,MATCH($C399,Muuttujat!$H$5:$H$21,0),1)</f>
        <v>60.765893284281319</v>
      </c>
      <c r="P399" s="148">
        <f t="shared" si="143"/>
        <v>0.19399999999999995</v>
      </c>
      <c r="Q399" s="148">
        <f t="shared" si="133"/>
        <v>0.80600000000000005</v>
      </c>
      <c r="R399" s="148">
        <f t="shared" si="133"/>
        <v>0.80600000000000005</v>
      </c>
      <c r="S399" s="149">
        <f t="shared" si="137"/>
        <v>1.4874296219999992</v>
      </c>
      <c r="T399" s="150">
        <f t="shared" si="138"/>
        <v>20.402929247999996</v>
      </c>
      <c r="U399" s="150">
        <f t="shared" si="139"/>
        <v>0</v>
      </c>
      <c r="V399" s="150">
        <f>IFERROR(INDEX(Työkonekanta!$J$3:$J$27,MATCH($A399,Työkonekanta!$A$3:$A$24,0),1)*$B399*ef_li_ion_akku/1000/1000/INDEX(Työkonekanta!$K$3:$K$27,MATCH($A399,Työkonekanta!$A$3:$A$24,0)),0)</f>
        <v>0</v>
      </c>
      <c r="W399" s="149">
        <f t="shared" si="127"/>
        <v>5.8087081355569188</v>
      </c>
      <c r="X399" s="150">
        <f t="shared" si="128"/>
        <v>0.35905259579999993</v>
      </c>
      <c r="Y399" s="151">
        <f t="shared" si="129"/>
        <v>0</v>
      </c>
      <c r="Z399" s="152">
        <f t="shared" si="144"/>
        <v>21.890358869999996</v>
      </c>
      <c r="AA399" s="153">
        <f t="shared" si="145"/>
        <v>5.8087081355569188</v>
      </c>
      <c r="AB399" s="153">
        <f t="shared" si="146"/>
        <v>6.1677607313569185</v>
      </c>
      <c r="AC399" s="154">
        <f t="shared" si="130"/>
        <v>27.699067005556916</v>
      </c>
      <c r="AD399" s="180">
        <f t="shared" si="147"/>
        <v>28.058119601356914</v>
      </c>
      <c r="AE399" s="160"/>
    </row>
    <row r="400" spans="1:31">
      <c r="A400" s="139">
        <v>8</v>
      </c>
      <c r="B400" s="139">
        <f>IFERROR(INDEX(Työkonekanta!$F$3:$F$27,MATCH('S2 Bio'!$A400,Työkonekanta!$A$3:$A$24,0),1),0)</f>
        <v>1</v>
      </c>
      <c r="C400" s="140">
        <v>2032</v>
      </c>
      <c r="D400" s="141" t="str">
        <f>IFERROR(INDEX(Työkonekanta!$D$3:$D$27,MATCH('S2 Bio'!$A400,Työkonekanta!$A$3:$A$24,0),1),"undefined")</f>
        <v>pom</v>
      </c>
      <c r="E400" s="145">
        <f>IFERROR(INDEX(Työkonekanta!$G$3:$G$27,MATCH($A400,Työkonekanta!$A$3:$A$24,0),1)*INDEX(Työkonekanta!$H$3:$H$27,MATCH($A400,Työkonekanta!$A$3:$A$24,0),1)*(1+_xlfn.SINGLE(s2_kerroin)*($C400-2019))*$B400,0)</f>
        <v>11299.999999999998</v>
      </c>
      <c r="F400" s="145">
        <f t="shared" si="134"/>
        <v>405669.99999999994</v>
      </c>
      <c r="G400" s="145">
        <f t="shared" si="140"/>
        <v>78699.979999999967</v>
      </c>
      <c r="H400" s="145">
        <f t="shared" si="141"/>
        <v>326970.01999999996</v>
      </c>
      <c r="I400" s="145">
        <f t="shared" si="135"/>
        <v>2192.1999999999994</v>
      </c>
      <c r="J400" s="145">
        <f t="shared" si="136"/>
        <v>9532.6536443148689</v>
      </c>
      <c r="K400" s="142" t="str">
        <f t="shared" si="142"/>
        <v>l</v>
      </c>
      <c r="L400" s="146">
        <f>IFERROR(INDEX(Työkonekanta!$I$3:$I$27,MATCH('S2 Bio'!$A400,Työkonekanta!$A$3:$A$24,0),1)*(I400+J400)*f_adblue,0)</f>
        <v>586.24268221574346</v>
      </c>
      <c r="M400" s="146">
        <f t="shared" si="126"/>
        <v>0</v>
      </c>
      <c r="N400" s="143" t="str">
        <f>IF(tuulisähkö_vuosi&lt;='S2 Bio'!C400,"tuulisähkö",ostosähkö_nyt)</f>
        <v>jäännössähkö</v>
      </c>
      <c r="O400" s="147">
        <f>INDEX(Muuttujat!$J$5:$J$21,MATCH($C400,Muuttujat!$H$5:$H$21,0),1)</f>
        <v>60.765893284281319</v>
      </c>
      <c r="P400" s="148">
        <f t="shared" si="143"/>
        <v>0.19399999999999995</v>
      </c>
      <c r="Q400" s="148">
        <f t="shared" si="133"/>
        <v>0.80600000000000005</v>
      </c>
      <c r="R400" s="148">
        <f t="shared" si="133"/>
        <v>0.80600000000000005</v>
      </c>
      <c r="S400" s="149">
        <f t="shared" si="137"/>
        <v>1.4874296219999992</v>
      </c>
      <c r="T400" s="150">
        <f t="shared" si="138"/>
        <v>20.402929247999996</v>
      </c>
      <c r="U400" s="150">
        <f t="shared" si="139"/>
        <v>0</v>
      </c>
      <c r="V400" s="150">
        <f>IFERROR(INDEX(Työkonekanta!$J$3:$J$27,MATCH($A400,Työkonekanta!$A$3:$A$24,0),1)*$B400*ef_li_ion_akku/1000/1000/INDEX(Työkonekanta!$K$3:$K$27,MATCH($A400,Työkonekanta!$A$3:$A$24,0)),0)</f>
        <v>0</v>
      </c>
      <c r="W400" s="149">
        <f t="shared" si="127"/>
        <v>5.8087081355569188</v>
      </c>
      <c r="X400" s="150">
        <f t="shared" si="128"/>
        <v>0.35905259579999993</v>
      </c>
      <c r="Y400" s="151">
        <f t="shared" si="129"/>
        <v>0.1524230973760933</v>
      </c>
      <c r="Z400" s="152">
        <f t="shared" si="144"/>
        <v>21.890358869999996</v>
      </c>
      <c r="AA400" s="153">
        <f t="shared" si="145"/>
        <v>5.9611312329330124</v>
      </c>
      <c r="AB400" s="153">
        <f t="shared" si="146"/>
        <v>6.3201838287330121</v>
      </c>
      <c r="AC400" s="154">
        <f t="shared" si="130"/>
        <v>27.85149010293301</v>
      </c>
      <c r="AD400" s="180">
        <f t="shared" si="147"/>
        <v>28.210542698733008</v>
      </c>
      <c r="AE400" s="160"/>
    </row>
    <row r="401" spans="1:31">
      <c r="A401" s="139">
        <v>9</v>
      </c>
      <c r="B401" s="139">
        <f>IFERROR(INDEX(Työkonekanta!$F$3:$F$27,MATCH('S2 Bio'!$A401,Työkonekanta!$A$3:$A$24,0),1),0)</f>
        <v>0</v>
      </c>
      <c r="C401" s="140">
        <v>2032</v>
      </c>
      <c r="D401" s="141" t="str">
        <f>IFERROR(INDEX(Työkonekanta!$D$3:$D$27,MATCH('S2 Bio'!$A401,Työkonekanta!$A$3:$A$24,0),1),"undefined")</f>
        <v>sähkö</v>
      </c>
      <c r="E401" s="145">
        <f>IFERROR(INDEX(Työkonekanta!$G$3:$G$27,MATCH($A401,Työkonekanta!$A$3:$A$24,0),1)*INDEX(Työkonekanta!$H$3:$H$27,MATCH($A401,Työkonekanta!$A$3:$A$24,0),1)*(1+_xlfn.SINGLE(s2_kerroin)*($C401-2019))*$B401,0)</f>
        <v>0</v>
      </c>
      <c r="F401" s="145">
        <f t="shared" si="134"/>
        <v>0</v>
      </c>
      <c r="G401" s="145">
        <f t="shared" si="140"/>
        <v>0</v>
      </c>
      <c r="H401" s="145">
        <f t="shared" si="141"/>
        <v>0</v>
      </c>
      <c r="I401" s="145">
        <f t="shared" si="135"/>
        <v>0</v>
      </c>
      <c r="J401" s="145">
        <f t="shared" si="136"/>
        <v>0</v>
      </c>
      <c r="K401" s="142" t="str">
        <f t="shared" si="142"/>
        <v>kWh</v>
      </c>
      <c r="L401" s="146">
        <f>IFERROR(INDEX(Työkonekanta!$I$3:$I$27,MATCH('S2 Bio'!$A401,Työkonekanta!$A$3:$A$24,0),1)*(I401+J401)*f_adblue,0)</f>
        <v>0</v>
      </c>
      <c r="M401" s="146">
        <f t="shared" si="126"/>
        <v>0</v>
      </c>
      <c r="N401" s="143" t="str">
        <f>IF(tuulisähkö_vuosi&lt;='S2 Bio'!C401,"tuulisähkö",ostosähkö_nyt)</f>
        <v>jäännössähkö</v>
      </c>
      <c r="O401" s="147">
        <f>INDEX(Muuttujat!$J$5:$J$21,MATCH($C401,Muuttujat!$H$5:$H$21,0),1)</f>
        <v>60.765893284281319</v>
      </c>
      <c r="P401" s="148">
        <f t="shared" si="143"/>
        <v>0.19399999999999995</v>
      </c>
      <c r="Q401" s="148">
        <f t="shared" si="133"/>
        <v>0.80600000000000005</v>
      </c>
      <c r="R401" s="148">
        <f t="shared" si="133"/>
        <v>0.80600000000000005</v>
      </c>
      <c r="S401" s="149">
        <f t="shared" si="137"/>
        <v>0</v>
      </c>
      <c r="T401" s="150">
        <f t="shared" si="138"/>
        <v>0</v>
      </c>
      <c r="U401" s="150">
        <f t="shared" si="139"/>
        <v>0</v>
      </c>
      <c r="V401" s="150">
        <f>IFERROR(INDEX(Työkonekanta!$J$3:$J$27,MATCH($A401,Työkonekanta!$A$3:$A$24,0),1)*$B401*ef_li_ion_akku/1000/1000/INDEX(Työkonekanta!$K$3:$K$27,MATCH($A401,Työkonekanta!$A$3:$A$24,0)),0)</f>
        <v>0</v>
      </c>
      <c r="W401" s="149">
        <f t="shared" si="127"/>
        <v>0</v>
      </c>
      <c r="X401" s="150">
        <f t="shared" si="128"/>
        <v>0</v>
      </c>
      <c r="Y401" s="151">
        <f t="shared" si="129"/>
        <v>0</v>
      </c>
      <c r="Z401" s="152">
        <f t="shared" si="144"/>
        <v>0</v>
      </c>
      <c r="AA401" s="153">
        <f t="shared" si="145"/>
        <v>0</v>
      </c>
      <c r="AB401" s="153">
        <f t="shared" si="146"/>
        <v>0</v>
      </c>
      <c r="AC401" s="154">
        <f t="shared" si="130"/>
        <v>0</v>
      </c>
      <c r="AD401" s="180">
        <f t="shared" si="147"/>
        <v>0</v>
      </c>
      <c r="AE401" s="160"/>
    </row>
    <row r="402" spans="1:31">
      <c r="A402" s="139">
        <v>10</v>
      </c>
      <c r="B402" s="139">
        <f>IFERROR(INDEX(Työkonekanta!$F$3:$F$27,MATCH('S2 Bio'!$A402,Työkonekanta!$A$3:$A$24,0),1),0)</f>
        <v>0</v>
      </c>
      <c r="C402" s="140">
        <v>2032</v>
      </c>
      <c r="D402" s="141" t="str">
        <f>IFERROR(INDEX(Työkonekanta!$D$3:$D$27,MATCH('S2 Bio'!$A402,Työkonekanta!$A$3:$A$24,0),1),"undefined")</f>
        <v>sähkö</v>
      </c>
      <c r="E402" s="145">
        <f>IFERROR(INDEX(Työkonekanta!$G$3:$G$27,MATCH($A402,Työkonekanta!$A$3:$A$24,0),1)*INDEX(Työkonekanta!$H$3:$H$27,MATCH($A402,Työkonekanta!$A$3:$A$24,0),1)*(1+_xlfn.SINGLE(s2_kerroin)*($C402-2019))*$B402,0)</f>
        <v>0</v>
      </c>
      <c r="F402" s="145">
        <f t="shared" si="134"/>
        <v>0</v>
      </c>
      <c r="G402" s="145">
        <f t="shared" si="140"/>
        <v>0</v>
      </c>
      <c r="H402" s="145">
        <f t="shared" si="141"/>
        <v>0</v>
      </c>
      <c r="I402" s="145">
        <f t="shared" si="135"/>
        <v>0</v>
      </c>
      <c r="J402" s="145">
        <f t="shared" si="136"/>
        <v>0</v>
      </c>
      <c r="K402" s="142" t="str">
        <f t="shared" si="142"/>
        <v>kWh</v>
      </c>
      <c r="L402" s="146">
        <f>IFERROR(INDEX(Työkonekanta!$I$3:$I$27,MATCH('S2 Bio'!$A402,Työkonekanta!$A$3:$A$24,0),1)*(I402+J402)*f_adblue,0)</f>
        <v>0</v>
      </c>
      <c r="M402" s="146">
        <f t="shared" si="126"/>
        <v>0</v>
      </c>
      <c r="N402" s="143" t="str">
        <f>IF(tuulisähkö_vuosi&lt;='S2 Bio'!C402,"tuulisähkö",ostosähkö_nyt)</f>
        <v>jäännössähkö</v>
      </c>
      <c r="O402" s="147">
        <f>INDEX(Muuttujat!$J$5:$J$21,MATCH($C402,Muuttujat!$H$5:$H$21,0),1)</f>
        <v>60.765893284281319</v>
      </c>
      <c r="P402" s="148">
        <f t="shared" si="143"/>
        <v>0.19399999999999995</v>
      </c>
      <c r="Q402" s="148">
        <f t="shared" si="133"/>
        <v>0.80600000000000005</v>
      </c>
      <c r="R402" s="148">
        <f t="shared" si="133"/>
        <v>0.80600000000000005</v>
      </c>
      <c r="S402" s="149">
        <f t="shared" si="137"/>
        <v>0</v>
      </c>
      <c r="T402" s="150">
        <f t="shared" si="138"/>
        <v>0</v>
      </c>
      <c r="U402" s="150">
        <f t="shared" si="139"/>
        <v>0</v>
      </c>
      <c r="V402" s="150">
        <f>IFERROR(INDEX(Työkonekanta!$J$3:$J$27,MATCH($A402,Työkonekanta!$A$3:$A$24,0),1)*$B402*ef_li_ion_akku/1000/1000/INDEX(Työkonekanta!$K$3:$K$27,MATCH($A402,Työkonekanta!$A$3:$A$24,0)),0)</f>
        <v>0</v>
      </c>
      <c r="W402" s="149">
        <f t="shared" si="127"/>
        <v>0</v>
      </c>
      <c r="X402" s="150">
        <f t="shared" si="128"/>
        <v>0</v>
      </c>
      <c r="Y402" s="151">
        <f t="shared" si="129"/>
        <v>0</v>
      </c>
      <c r="Z402" s="152">
        <f t="shared" si="144"/>
        <v>0</v>
      </c>
      <c r="AA402" s="153">
        <f t="shared" si="145"/>
        <v>0</v>
      </c>
      <c r="AB402" s="153">
        <f t="shared" si="146"/>
        <v>0</v>
      </c>
      <c r="AC402" s="154">
        <f t="shared" si="130"/>
        <v>0</v>
      </c>
      <c r="AD402" s="180">
        <f t="shared" si="147"/>
        <v>0</v>
      </c>
      <c r="AE402" s="160"/>
    </row>
    <row r="403" spans="1:31">
      <c r="A403" s="139">
        <v>11</v>
      </c>
      <c r="B403" s="139">
        <f>IFERROR(INDEX(Työkonekanta!$F$3:$F$27,MATCH('S2 Bio'!$A403,Työkonekanta!$A$3:$A$24,0),1),0)</f>
        <v>1</v>
      </c>
      <c r="C403" s="140">
        <v>2032</v>
      </c>
      <c r="D403" s="141" t="str">
        <f>IFERROR(INDEX(Työkonekanta!$D$3:$D$27,MATCH('S2 Bio'!$A403,Työkonekanta!$A$3:$A$24,0),1),"undefined")</f>
        <v>pom</v>
      </c>
      <c r="E403" s="145">
        <f>IFERROR(INDEX(Työkonekanta!$G$3:$G$27,MATCH($A403,Työkonekanta!$A$3:$A$24,0),1)*INDEX(Työkonekanta!$H$3:$H$27,MATCH($A403,Työkonekanta!$A$3:$A$24,0),1)*(1+_xlfn.SINGLE(s2_kerroin)*($C403-2019))*$B403,0)</f>
        <v>11299.999999999998</v>
      </c>
      <c r="F403" s="145">
        <f t="shared" si="134"/>
        <v>405669.99999999994</v>
      </c>
      <c r="G403" s="145">
        <f t="shared" si="140"/>
        <v>78699.979999999967</v>
      </c>
      <c r="H403" s="145">
        <f t="shared" si="141"/>
        <v>326970.01999999996</v>
      </c>
      <c r="I403" s="145">
        <f t="shared" si="135"/>
        <v>2192.1999999999994</v>
      </c>
      <c r="J403" s="145">
        <f t="shared" si="136"/>
        <v>9532.6536443148689</v>
      </c>
      <c r="K403" s="142" t="str">
        <f t="shared" si="142"/>
        <v>l</v>
      </c>
      <c r="L403" s="146">
        <f>IFERROR(INDEX(Työkonekanta!$I$3:$I$27,MATCH('S2 Bio'!$A403,Työkonekanta!$A$3:$A$24,0),1)*(I403+J403)*f_adblue,0)</f>
        <v>586.24268221574346</v>
      </c>
      <c r="M403" s="146">
        <f t="shared" ref="M403:M466" si="148">IF($D403="sähkö",conv_kwh_mj*$E403,0)</f>
        <v>0</v>
      </c>
      <c r="N403" s="143" t="str">
        <f>IF(tuulisähkö_vuosi&lt;='S2 Bio'!C403,"tuulisähkö",ostosähkö_nyt)</f>
        <v>jäännössähkö</v>
      </c>
      <c r="O403" s="147">
        <f>INDEX(Muuttujat!$J$5:$J$21,MATCH($C403,Muuttujat!$H$5:$H$21,0),1)</f>
        <v>60.765893284281319</v>
      </c>
      <c r="P403" s="148">
        <f t="shared" si="143"/>
        <v>0.19399999999999995</v>
      </c>
      <c r="Q403" s="148">
        <f t="shared" ref="Q403:R422" si="149">IF(biosiirtymä_luonne="äkillinen",INDEX($AG$4:$AG$20,MATCH($C403,$AF$4:$AF$20,0),1),INDEX($AH$4:$AH$20,MATCH($C403,$AF$4:$AF$20,0),1))</f>
        <v>0.80600000000000005</v>
      </c>
      <c r="R403" s="148">
        <f t="shared" si="149"/>
        <v>0.80600000000000005</v>
      </c>
      <c r="S403" s="149">
        <f t="shared" si="137"/>
        <v>1.4874296219999992</v>
      </c>
      <c r="T403" s="150">
        <f t="shared" si="138"/>
        <v>20.402929247999996</v>
      </c>
      <c r="U403" s="150">
        <f t="shared" si="139"/>
        <v>0</v>
      </c>
      <c r="V403" s="150">
        <f>IFERROR(INDEX(Työkonekanta!$J$3:$J$27,MATCH($A403,Työkonekanta!$A$3:$A$24,0),1)*$B403*ef_li_ion_akku/1000/1000/INDEX(Työkonekanta!$K$3:$K$27,MATCH($A403,Työkonekanta!$A$3:$A$24,0)),0)</f>
        <v>0</v>
      </c>
      <c r="W403" s="149">
        <f t="shared" ref="W403:W466" si="150">($I403*IF($D403="pom",ef_v_co2_pom,0))/1000/1000</f>
        <v>5.8087081355569188</v>
      </c>
      <c r="X403" s="150">
        <f t="shared" ref="X403:X466" si="151">($E403*(IF($D403="pom",ef_v_ch4_pom,0)*gwp100_ch4+IF($D403="pom",ef_v_n2o_pom,0)*gwp100_n2o))/1000/1000</f>
        <v>0.35905259579999993</v>
      </c>
      <c r="Y403" s="151">
        <f t="shared" ref="Y403:Y466" si="152">$L403*ef_v_co2_adblue/1000/1000</f>
        <v>0.1524230973760933</v>
      </c>
      <c r="Z403" s="152">
        <f t="shared" si="144"/>
        <v>21.890358869999996</v>
      </c>
      <c r="AA403" s="153">
        <f t="shared" si="145"/>
        <v>5.9611312329330124</v>
      </c>
      <c r="AB403" s="153">
        <f t="shared" si="146"/>
        <v>6.3201838287330121</v>
      </c>
      <c r="AC403" s="154">
        <f t="shared" ref="AC403:AC466" si="153">$Z403+$AA403</f>
        <v>27.85149010293301</v>
      </c>
      <c r="AD403" s="180">
        <f t="shared" si="147"/>
        <v>28.210542698733008</v>
      </c>
      <c r="AE403" s="160"/>
    </row>
    <row r="404" spans="1:31">
      <c r="A404" s="139">
        <v>12</v>
      </c>
      <c r="B404" s="139">
        <f>IFERROR(INDEX(Työkonekanta!$F$3:$F$27,MATCH('S2 Bio'!$A404,Työkonekanta!$A$3:$A$24,0),1),0)</f>
        <v>1</v>
      </c>
      <c r="C404" s="140">
        <v>2032</v>
      </c>
      <c r="D404" s="141" t="str">
        <f>IFERROR(INDEX(Työkonekanta!$D$3:$D$27,MATCH('S2 Bio'!$A404,Työkonekanta!$A$3:$A$24,0),1),"undefined")</f>
        <v>pom</v>
      </c>
      <c r="E404" s="145">
        <f>IFERROR(INDEX(Työkonekanta!$G$3:$G$27,MATCH($A404,Työkonekanta!$A$3:$A$24,0),1)*INDEX(Työkonekanta!$H$3:$H$27,MATCH($A404,Työkonekanta!$A$3:$A$24,0),1)*(1+_xlfn.SINGLE(s2_kerroin)*($C404-2019))*$B404,0)</f>
        <v>11299.999999999998</v>
      </c>
      <c r="F404" s="145">
        <f t="shared" si="134"/>
        <v>405669.99999999994</v>
      </c>
      <c r="G404" s="145">
        <f t="shared" si="140"/>
        <v>78699.979999999967</v>
      </c>
      <c r="H404" s="145">
        <f t="shared" si="141"/>
        <v>326970.01999999996</v>
      </c>
      <c r="I404" s="145">
        <f t="shared" si="135"/>
        <v>2192.1999999999994</v>
      </c>
      <c r="J404" s="145">
        <f t="shared" si="136"/>
        <v>9532.6536443148689</v>
      </c>
      <c r="K404" s="142" t="str">
        <f t="shared" si="142"/>
        <v>l</v>
      </c>
      <c r="L404" s="146">
        <f>IFERROR(INDEX(Työkonekanta!$I$3:$I$27,MATCH('S2 Bio'!$A404,Työkonekanta!$A$3:$A$24,0),1)*(I404+J404)*f_adblue,0)</f>
        <v>586.24268221574346</v>
      </c>
      <c r="M404" s="146">
        <f t="shared" si="148"/>
        <v>0</v>
      </c>
      <c r="N404" s="143" t="str">
        <f>IF(tuulisähkö_vuosi&lt;='S2 Bio'!C404,"tuulisähkö",ostosähkö_nyt)</f>
        <v>jäännössähkö</v>
      </c>
      <c r="O404" s="147">
        <f>INDEX(Muuttujat!$J$5:$J$21,MATCH($C404,Muuttujat!$H$5:$H$21,0),1)</f>
        <v>60.765893284281319</v>
      </c>
      <c r="P404" s="148">
        <f t="shared" si="143"/>
        <v>0.19399999999999995</v>
      </c>
      <c r="Q404" s="148">
        <f t="shared" si="149"/>
        <v>0.80600000000000005</v>
      </c>
      <c r="R404" s="148">
        <f t="shared" si="149"/>
        <v>0.80600000000000005</v>
      </c>
      <c r="S404" s="149">
        <f t="shared" si="137"/>
        <v>1.4874296219999992</v>
      </c>
      <c r="T404" s="150">
        <f t="shared" si="138"/>
        <v>20.402929247999996</v>
      </c>
      <c r="U404" s="150">
        <f t="shared" si="139"/>
        <v>0</v>
      </c>
      <c r="V404" s="150">
        <f>IFERROR(INDEX(Työkonekanta!$J$3:$J$27,MATCH($A404,Työkonekanta!$A$3:$A$24,0),1)*$B404*ef_li_ion_akku/1000/1000/INDEX(Työkonekanta!$K$3:$K$27,MATCH($A404,Työkonekanta!$A$3:$A$24,0)),0)</f>
        <v>0</v>
      </c>
      <c r="W404" s="149">
        <f t="shared" si="150"/>
        <v>5.8087081355569188</v>
      </c>
      <c r="X404" s="150">
        <f t="shared" si="151"/>
        <v>0.35905259579999993</v>
      </c>
      <c r="Y404" s="151">
        <f t="shared" si="152"/>
        <v>0.1524230973760933</v>
      </c>
      <c r="Z404" s="152">
        <f t="shared" si="144"/>
        <v>21.890358869999996</v>
      </c>
      <c r="AA404" s="153">
        <f t="shared" si="145"/>
        <v>5.9611312329330124</v>
      </c>
      <c r="AB404" s="153">
        <f t="shared" si="146"/>
        <v>6.3201838287330121</v>
      </c>
      <c r="AC404" s="154">
        <f t="shared" si="153"/>
        <v>27.85149010293301</v>
      </c>
      <c r="AD404" s="180">
        <f t="shared" si="147"/>
        <v>28.210542698733008</v>
      </c>
      <c r="AE404" s="160"/>
    </row>
    <row r="405" spans="1:31">
      <c r="A405" s="139">
        <v>13</v>
      </c>
      <c r="B405" s="139">
        <f>IFERROR(INDEX(Työkonekanta!$F$3:$F$27,MATCH('S2 Bio'!$A405,Työkonekanta!$A$3:$A$24,0),1),0)</f>
        <v>0</v>
      </c>
      <c r="C405" s="140">
        <v>2032</v>
      </c>
      <c r="D405" s="141" t="str">
        <f>IFERROR(INDEX(Työkonekanta!$D$3:$D$27,MATCH('S2 Bio'!$A405,Työkonekanta!$A$3:$A$24,0),1),"undefined")</f>
        <v>pom</v>
      </c>
      <c r="E405" s="145">
        <f>IFERROR(INDEX(Työkonekanta!$G$3:$G$27,MATCH($A405,Työkonekanta!$A$3:$A$24,0),1)*INDEX(Työkonekanta!$H$3:$H$27,MATCH($A405,Työkonekanta!$A$3:$A$24,0),1)*(1+_xlfn.SINGLE(s2_kerroin)*($C405-2019))*$B405,0)</f>
        <v>0</v>
      </c>
      <c r="F405" s="145">
        <f t="shared" si="134"/>
        <v>0</v>
      </c>
      <c r="G405" s="145">
        <f t="shared" si="140"/>
        <v>0</v>
      </c>
      <c r="H405" s="145">
        <f t="shared" si="141"/>
        <v>0</v>
      </c>
      <c r="I405" s="145">
        <f t="shared" si="135"/>
        <v>0</v>
      </c>
      <c r="J405" s="145">
        <f t="shared" si="136"/>
        <v>0</v>
      </c>
      <c r="K405" s="142" t="str">
        <f t="shared" si="142"/>
        <v>l</v>
      </c>
      <c r="L405" s="146">
        <f>IFERROR(INDEX(Työkonekanta!$I$3:$I$27,MATCH('S2 Bio'!$A405,Työkonekanta!$A$3:$A$24,0),1)*(I405+J405)*f_adblue,0)</f>
        <v>0</v>
      </c>
      <c r="M405" s="146">
        <f t="shared" si="148"/>
        <v>0</v>
      </c>
      <c r="N405" s="143" t="str">
        <f>IF(tuulisähkö_vuosi&lt;='S2 Bio'!C405,"tuulisähkö",ostosähkö_nyt)</f>
        <v>jäännössähkö</v>
      </c>
      <c r="O405" s="147">
        <f>INDEX(Muuttujat!$J$5:$J$21,MATCH($C405,Muuttujat!$H$5:$H$21,0),1)</f>
        <v>60.765893284281319</v>
      </c>
      <c r="P405" s="148">
        <f t="shared" si="143"/>
        <v>0.19399999999999995</v>
      </c>
      <c r="Q405" s="148">
        <f t="shared" si="149"/>
        <v>0.80600000000000005</v>
      </c>
      <c r="R405" s="148">
        <f t="shared" si="149"/>
        <v>0.80600000000000005</v>
      </c>
      <c r="S405" s="149">
        <f t="shared" si="137"/>
        <v>0</v>
      </c>
      <c r="T405" s="150">
        <f t="shared" si="138"/>
        <v>0</v>
      </c>
      <c r="U405" s="150">
        <f t="shared" si="139"/>
        <v>0</v>
      </c>
      <c r="V405" s="150">
        <f>IFERROR(INDEX(Työkonekanta!$J$3:$J$27,MATCH($A405,Työkonekanta!$A$3:$A$24,0),1)*$B405*ef_li_ion_akku/1000/1000/INDEX(Työkonekanta!$K$3:$K$27,MATCH($A405,Työkonekanta!$A$3:$A$24,0)),0)</f>
        <v>0</v>
      </c>
      <c r="W405" s="149">
        <f t="shared" si="150"/>
        <v>0</v>
      </c>
      <c r="X405" s="150">
        <f t="shared" si="151"/>
        <v>0</v>
      </c>
      <c r="Y405" s="151">
        <f t="shared" si="152"/>
        <v>0</v>
      </c>
      <c r="Z405" s="152">
        <f t="shared" si="144"/>
        <v>0</v>
      </c>
      <c r="AA405" s="153">
        <f t="shared" si="145"/>
        <v>0</v>
      </c>
      <c r="AB405" s="153">
        <f t="shared" si="146"/>
        <v>0</v>
      </c>
      <c r="AC405" s="154">
        <f t="shared" si="153"/>
        <v>0</v>
      </c>
      <c r="AD405" s="180">
        <f t="shared" si="147"/>
        <v>0</v>
      </c>
      <c r="AE405" s="160"/>
    </row>
    <row r="406" spans="1:31">
      <c r="A406" s="139">
        <v>14</v>
      </c>
      <c r="B406" s="139">
        <f>IFERROR(INDEX(Työkonekanta!$F$3:$F$27,MATCH('S2 Bio'!$A406,Työkonekanta!$A$3:$A$24,0),1),0)</f>
        <v>0</v>
      </c>
      <c r="C406" s="140">
        <v>2032</v>
      </c>
      <c r="D406" s="141" t="str">
        <f>IFERROR(INDEX(Työkonekanta!$D$3:$D$27,MATCH('S2 Bio'!$A406,Työkonekanta!$A$3:$A$24,0),1),"undefined")</f>
        <v>pom</v>
      </c>
      <c r="E406" s="145">
        <f>IFERROR(INDEX(Työkonekanta!$G$3:$G$27,MATCH($A406,Työkonekanta!$A$3:$A$24,0),1)*INDEX(Työkonekanta!$H$3:$H$27,MATCH($A406,Työkonekanta!$A$3:$A$24,0),1)*(1+_xlfn.SINGLE(s2_kerroin)*($C406-2019))*$B406,0)</f>
        <v>0</v>
      </c>
      <c r="F406" s="145">
        <f t="shared" si="134"/>
        <v>0</v>
      </c>
      <c r="G406" s="145">
        <f t="shared" si="140"/>
        <v>0</v>
      </c>
      <c r="H406" s="145">
        <f t="shared" si="141"/>
        <v>0</v>
      </c>
      <c r="I406" s="145">
        <f t="shared" si="135"/>
        <v>0</v>
      </c>
      <c r="J406" s="145">
        <f t="shared" si="136"/>
        <v>0</v>
      </c>
      <c r="K406" s="142" t="str">
        <f t="shared" si="142"/>
        <v>l</v>
      </c>
      <c r="L406" s="146">
        <f>IFERROR(INDEX(Työkonekanta!$I$3:$I$27,MATCH('S2 Bio'!$A406,Työkonekanta!$A$3:$A$24,0),1)*(I406+J406)*f_adblue,0)</f>
        <v>0</v>
      </c>
      <c r="M406" s="146">
        <f t="shared" si="148"/>
        <v>0</v>
      </c>
      <c r="N406" s="143" t="str">
        <f>IF(tuulisähkö_vuosi&lt;='S2 Bio'!C406,"tuulisähkö",ostosähkö_nyt)</f>
        <v>jäännössähkö</v>
      </c>
      <c r="O406" s="147">
        <f>INDEX(Muuttujat!$J$5:$J$21,MATCH($C406,Muuttujat!$H$5:$H$21,0),1)</f>
        <v>60.765893284281319</v>
      </c>
      <c r="P406" s="148">
        <f t="shared" si="143"/>
        <v>0.19399999999999995</v>
      </c>
      <c r="Q406" s="148">
        <f t="shared" si="149"/>
        <v>0.80600000000000005</v>
      </c>
      <c r="R406" s="148">
        <f t="shared" si="149"/>
        <v>0.80600000000000005</v>
      </c>
      <c r="S406" s="149">
        <f t="shared" si="137"/>
        <v>0</v>
      </c>
      <c r="T406" s="150">
        <f t="shared" si="138"/>
        <v>0</v>
      </c>
      <c r="U406" s="150">
        <f t="shared" si="139"/>
        <v>0</v>
      </c>
      <c r="V406" s="150">
        <f>IFERROR(INDEX(Työkonekanta!$J$3:$J$27,MATCH($A406,Työkonekanta!$A$3:$A$24,0),1)*$B406*ef_li_ion_akku/1000/1000/INDEX(Työkonekanta!$K$3:$K$27,MATCH($A406,Työkonekanta!$A$3:$A$24,0)),0)</f>
        <v>0</v>
      </c>
      <c r="W406" s="149">
        <f t="shared" si="150"/>
        <v>0</v>
      </c>
      <c r="X406" s="150">
        <f t="shared" si="151"/>
        <v>0</v>
      </c>
      <c r="Y406" s="151">
        <f t="shared" si="152"/>
        <v>0</v>
      </c>
      <c r="Z406" s="152">
        <f t="shared" si="144"/>
        <v>0</v>
      </c>
      <c r="AA406" s="153">
        <f t="shared" si="145"/>
        <v>0</v>
      </c>
      <c r="AB406" s="153">
        <f t="shared" si="146"/>
        <v>0</v>
      </c>
      <c r="AC406" s="154">
        <f t="shared" si="153"/>
        <v>0</v>
      </c>
      <c r="AD406" s="180">
        <f t="shared" si="147"/>
        <v>0</v>
      </c>
      <c r="AE406" s="160"/>
    </row>
    <row r="407" spans="1:31">
      <c r="A407" s="139">
        <v>15</v>
      </c>
      <c r="B407" s="139">
        <f>IFERROR(INDEX(Työkonekanta!$F$3:$F$27,MATCH('S2 Bio'!$A407,Työkonekanta!$A$3:$A$24,0),1),0)</f>
        <v>0</v>
      </c>
      <c r="C407" s="140">
        <v>2032</v>
      </c>
      <c r="D407" s="141" t="str">
        <f>IFERROR(INDEX(Työkonekanta!$D$3:$D$27,MATCH('S2 Bio'!$A407,Työkonekanta!$A$3:$A$24,0),1),"undefined")</f>
        <v>sähkö</v>
      </c>
      <c r="E407" s="145">
        <f>IFERROR(INDEX(Työkonekanta!$G$3:$G$27,MATCH($A407,Työkonekanta!$A$3:$A$24,0),1)*INDEX(Työkonekanta!$H$3:$H$27,MATCH($A407,Työkonekanta!$A$3:$A$24,0),1)*(1+_xlfn.SINGLE(s2_kerroin)*($C407-2019))*$B407,0)</f>
        <v>0</v>
      </c>
      <c r="F407" s="145">
        <f t="shared" si="134"/>
        <v>0</v>
      </c>
      <c r="G407" s="145">
        <f t="shared" si="140"/>
        <v>0</v>
      </c>
      <c r="H407" s="145">
        <f t="shared" si="141"/>
        <v>0</v>
      </c>
      <c r="I407" s="145">
        <f t="shared" si="135"/>
        <v>0</v>
      </c>
      <c r="J407" s="145">
        <f t="shared" si="136"/>
        <v>0</v>
      </c>
      <c r="K407" s="142" t="str">
        <f t="shared" si="142"/>
        <v>kWh</v>
      </c>
      <c r="L407" s="146">
        <f>IFERROR(INDEX(Työkonekanta!$I$3:$I$27,MATCH('S2 Bio'!$A407,Työkonekanta!$A$3:$A$24,0),1)*(I407+J407)*f_adblue,0)</f>
        <v>0</v>
      </c>
      <c r="M407" s="146">
        <f t="shared" si="148"/>
        <v>0</v>
      </c>
      <c r="N407" s="143" t="str">
        <f>IF(tuulisähkö_vuosi&lt;='S2 Bio'!C407,"tuulisähkö",ostosähkö_nyt)</f>
        <v>jäännössähkö</v>
      </c>
      <c r="O407" s="147">
        <f>INDEX(Muuttujat!$J$5:$J$21,MATCH($C407,Muuttujat!$H$5:$H$21,0),1)</f>
        <v>60.765893284281319</v>
      </c>
      <c r="P407" s="148">
        <f t="shared" si="143"/>
        <v>0.19399999999999995</v>
      </c>
      <c r="Q407" s="148">
        <f t="shared" si="149"/>
        <v>0.80600000000000005</v>
      </c>
      <c r="R407" s="148">
        <f t="shared" si="149"/>
        <v>0.80600000000000005</v>
      </c>
      <c r="S407" s="149">
        <f t="shared" si="137"/>
        <v>0</v>
      </c>
      <c r="T407" s="150">
        <f t="shared" si="138"/>
        <v>0</v>
      </c>
      <c r="U407" s="150">
        <f t="shared" si="139"/>
        <v>0</v>
      </c>
      <c r="V407" s="150">
        <f>IFERROR(INDEX(Työkonekanta!$J$3:$J$27,MATCH($A407,Työkonekanta!$A$3:$A$24,0),1)*$B407*ef_li_ion_akku/1000/1000/INDEX(Työkonekanta!$K$3:$K$27,MATCH($A407,Työkonekanta!$A$3:$A$24,0)),0)</f>
        <v>0</v>
      </c>
      <c r="W407" s="149">
        <f t="shared" si="150"/>
        <v>0</v>
      </c>
      <c r="X407" s="150">
        <f t="shared" si="151"/>
        <v>0</v>
      </c>
      <c r="Y407" s="151">
        <f t="shared" si="152"/>
        <v>0</v>
      </c>
      <c r="Z407" s="152">
        <f t="shared" si="144"/>
        <v>0</v>
      </c>
      <c r="AA407" s="153">
        <f t="shared" si="145"/>
        <v>0</v>
      </c>
      <c r="AB407" s="153">
        <f t="shared" si="146"/>
        <v>0</v>
      </c>
      <c r="AC407" s="154">
        <f t="shared" si="153"/>
        <v>0</v>
      </c>
      <c r="AD407" s="180">
        <f t="shared" si="147"/>
        <v>0</v>
      </c>
      <c r="AE407" s="160"/>
    </row>
    <row r="408" spans="1:31">
      <c r="A408" s="139">
        <v>16</v>
      </c>
      <c r="B408" s="139">
        <f>IFERROR(INDEX(Työkonekanta!$F$3:$F$27,MATCH('S2 Bio'!$A408,Työkonekanta!$A$3:$A$24,0),1),0)</f>
        <v>0</v>
      </c>
      <c r="C408" s="140">
        <v>2032</v>
      </c>
      <c r="D408" s="141" t="str">
        <f>IFERROR(INDEX(Työkonekanta!$D$3:$D$27,MATCH('S2 Bio'!$A408,Työkonekanta!$A$3:$A$24,0),1),"undefined")</f>
        <v>sähkö</v>
      </c>
      <c r="E408" s="145">
        <f>IFERROR(INDEX(Työkonekanta!$G$3:$G$27,MATCH($A408,Työkonekanta!$A$3:$A$24,0),1)*INDEX(Työkonekanta!$H$3:$H$27,MATCH($A408,Työkonekanta!$A$3:$A$24,0),1)*(1+_xlfn.SINGLE(s2_kerroin)*($C408-2019))*$B408,0)</f>
        <v>0</v>
      </c>
      <c r="F408" s="145">
        <f t="shared" si="134"/>
        <v>0</v>
      </c>
      <c r="G408" s="145">
        <f t="shared" si="140"/>
        <v>0</v>
      </c>
      <c r="H408" s="145">
        <f t="shared" si="141"/>
        <v>0</v>
      </c>
      <c r="I408" s="145">
        <f t="shared" si="135"/>
        <v>0</v>
      </c>
      <c r="J408" s="145">
        <f t="shared" si="136"/>
        <v>0</v>
      </c>
      <c r="K408" s="142" t="str">
        <f t="shared" si="142"/>
        <v>kWh</v>
      </c>
      <c r="L408" s="146">
        <f>IFERROR(INDEX(Työkonekanta!$I$3:$I$27,MATCH('S2 Bio'!$A408,Työkonekanta!$A$3:$A$24,0),1)*(I408+J408)*f_adblue,0)</f>
        <v>0</v>
      </c>
      <c r="M408" s="146">
        <f t="shared" si="148"/>
        <v>0</v>
      </c>
      <c r="N408" s="143" t="str">
        <f>IF(tuulisähkö_vuosi&lt;='S2 Bio'!C408,"tuulisähkö",ostosähkö_nyt)</f>
        <v>jäännössähkö</v>
      </c>
      <c r="O408" s="147">
        <f>INDEX(Muuttujat!$J$5:$J$21,MATCH($C408,Muuttujat!$H$5:$H$21,0),1)</f>
        <v>60.765893284281319</v>
      </c>
      <c r="P408" s="148">
        <f t="shared" si="143"/>
        <v>0.19399999999999995</v>
      </c>
      <c r="Q408" s="148">
        <f t="shared" si="149"/>
        <v>0.80600000000000005</v>
      </c>
      <c r="R408" s="148">
        <f t="shared" si="149"/>
        <v>0.80600000000000005</v>
      </c>
      <c r="S408" s="149">
        <f t="shared" si="137"/>
        <v>0</v>
      </c>
      <c r="T408" s="150">
        <f t="shared" si="138"/>
        <v>0</v>
      </c>
      <c r="U408" s="150">
        <f t="shared" si="139"/>
        <v>0</v>
      </c>
      <c r="V408" s="150">
        <f>IFERROR(INDEX(Työkonekanta!$J$3:$J$27,MATCH($A408,Työkonekanta!$A$3:$A$24,0),1)*$B408*ef_li_ion_akku/1000/1000/INDEX(Työkonekanta!$K$3:$K$27,MATCH($A408,Työkonekanta!$A$3:$A$24,0)),0)</f>
        <v>0</v>
      </c>
      <c r="W408" s="149">
        <f t="shared" si="150"/>
        <v>0</v>
      </c>
      <c r="X408" s="150">
        <f t="shared" si="151"/>
        <v>0</v>
      </c>
      <c r="Y408" s="151">
        <f t="shared" si="152"/>
        <v>0</v>
      </c>
      <c r="Z408" s="152">
        <f t="shared" si="144"/>
        <v>0</v>
      </c>
      <c r="AA408" s="153">
        <f t="shared" si="145"/>
        <v>0</v>
      </c>
      <c r="AB408" s="153">
        <f t="shared" si="146"/>
        <v>0</v>
      </c>
      <c r="AC408" s="154">
        <f t="shared" si="153"/>
        <v>0</v>
      </c>
      <c r="AD408" s="180">
        <f t="shared" si="147"/>
        <v>0</v>
      </c>
      <c r="AE408" s="160"/>
    </row>
    <row r="409" spans="1:31">
      <c r="A409" s="139">
        <v>17</v>
      </c>
      <c r="B409" s="139">
        <f>IFERROR(INDEX(Työkonekanta!$F$3:$F$27,MATCH('S2 Bio'!$A409,Työkonekanta!$A$3:$A$24,0),1),0)</f>
        <v>1</v>
      </c>
      <c r="C409" s="140">
        <v>2032</v>
      </c>
      <c r="D409" s="141" t="str">
        <f>IFERROR(INDEX(Työkonekanta!$D$3:$D$27,MATCH('S2 Bio'!$A409,Työkonekanta!$A$3:$A$24,0),1),"undefined")</f>
        <v>pom</v>
      </c>
      <c r="E409" s="145">
        <f>IFERROR(INDEX(Työkonekanta!$G$3:$G$27,MATCH($A409,Työkonekanta!$A$3:$A$24,0),1)*INDEX(Työkonekanta!$H$3:$H$27,MATCH($A409,Työkonekanta!$A$3:$A$24,0),1)*(1+_xlfn.SINGLE(s2_kerroin)*($C409-2019))*$B409,0)</f>
        <v>11299.999999999998</v>
      </c>
      <c r="F409" s="145">
        <f t="shared" si="134"/>
        <v>405669.99999999994</v>
      </c>
      <c r="G409" s="145">
        <f t="shared" si="140"/>
        <v>78699.979999999967</v>
      </c>
      <c r="H409" s="145">
        <f t="shared" si="141"/>
        <v>326970.01999999996</v>
      </c>
      <c r="I409" s="145">
        <f t="shared" si="135"/>
        <v>2192.1999999999994</v>
      </c>
      <c r="J409" s="145">
        <f t="shared" si="136"/>
        <v>9532.6536443148689</v>
      </c>
      <c r="K409" s="142" t="str">
        <f t="shared" si="142"/>
        <v>l</v>
      </c>
      <c r="L409" s="146">
        <f>IFERROR(INDEX(Työkonekanta!$I$3:$I$27,MATCH('S2 Bio'!$A409,Työkonekanta!$A$3:$A$24,0),1)*(I409+J409)*f_adblue,0)</f>
        <v>586.24268221574346</v>
      </c>
      <c r="M409" s="146">
        <f t="shared" si="148"/>
        <v>0</v>
      </c>
      <c r="N409" s="143" t="str">
        <f>IF(tuulisähkö_vuosi&lt;='S2 Bio'!C409,"tuulisähkö",ostosähkö_nyt)</f>
        <v>jäännössähkö</v>
      </c>
      <c r="O409" s="147">
        <f>INDEX(Muuttujat!$J$5:$J$21,MATCH($C409,Muuttujat!$H$5:$H$21,0),1)</f>
        <v>60.765893284281319</v>
      </c>
      <c r="P409" s="148">
        <f t="shared" si="143"/>
        <v>0.19399999999999995</v>
      </c>
      <c r="Q409" s="148">
        <f t="shared" si="149"/>
        <v>0.80600000000000005</v>
      </c>
      <c r="R409" s="148">
        <f t="shared" si="149"/>
        <v>0.80600000000000005</v>
      </c>
      <c r="S409" s="149">
        <f t="shared" si="137"/>
        <v>1.4874296219999992</v>
      </c>
      <c r="T409" s="150">
        <f t="shared" si="138"/>
        <v>20.402929247999996</v>
      </c>
      <c r="U409" s="150">
        <f t="shared" si="139"/>
        <v>0</v>
      </c>
      <c r="V409" s="150">
        <f>IFERROR(INDEX(Työkonekanta!$J$3:$J$27,MATCH($A409,Työkonekanta!$A$3:$A$24,0),1)*$B409*ef_li_ion_akku/1000/1000/INDEX(Työkonekanta!$K$3:$K$27,MATCH($A409,Työkonekanta!$A$3:$A$24,0)),0)</f>
        <v>0</v>
      </c>
      <c r="W409" s="149">
        <f t="shared" si="150"/>
        <v>5.8087081355569188</v>
      </c>
      <c r="X409" s="150">
        <f t="shared" si="151"/>
        <v>0.35905259579999993</v>
      </c>
      <c r="Y409" s="151">
        <f t="shared" si="152"/>
        <v>0.1524230973760933</v>
      </c>
      <c r="Z409" s="152">
        <f t="shared" si="144"/>
        <v>21.890358869999996</v>
      </c>
      <c r="AA409" s="153">
        <f t="shared" si="145"/>
        <v>5.9611312329330124</v>
      </c>
      <c r="AB409" s="153">
        <f t="shared" si="146"/>
        <v>6.3201838287330121</v>
      </c>
      <c r="AC409" s="154">
        <f t="shared" si="153"/>
        <v>27.85149010293301</v>
      </c>
      <c r="AD409" s="180">
        <f t="shared" si="147"/>
        <v>28.210542698733008</v>
      </c>
      <c r="AE409" s="160"/>
    </row>
    <row r="410" spans="1:31">
      <c r="A410" s="139">
        <v>18</v>
      </c>
      <c r="B410" s="139">
        <f>IFERROR(INDEX(Työkonekanta!$F$3:$F$27,MATCH('S2 Bio'!$A410,Työkonekanta!$A$3:$A$24,0),1),0)</f>
        <v>1</v>
      </c>
      <c r="C410" s="140">
        <v>2032</v>
      </c>
      <c r="D410" s="141" t="str">
        <f>IFERROR(INDEX(Työkonekanta!$D$3:$D$27,MATCH('S2 Bio'!$A410,Työkonekanta!$A$3:$A$24,0),1),"undefined")</f>
        <v>pom</v>
      </c>
      <c r="E410" s="145">
        <f>IFERROR(INDEX(Työkonekanta!$G$3:$G$27,MATCH($A410,Työkonekanta!$A$3:$A$24,0),1)*INDEX(Työkonekanta!$H$3:$H$27,MATCH($A410,Työkonekanta!$A$3:$A$24,0),1)*(1+_xlfn.SINGLE(s2_kerroin)*($C410-2019))*$B410,0)</f>
        <v>11299.999999999998</v>
      </c>
      <c r="F410" s="145">
        <f t="shared" si="134"/>
        <v>405669.99999999994</v>
      </c>
      <c r="G410" s="145">
        <f t="shared" si="140"/>
        <v>78699.979999999967</v>
      </c>
      <c r="H410" s="145">
        <f t="shared" si="141"/>
        <v>326970.01999999996</v>
      </c>
      <c r="I410" s="145">
        <f t="shared" si="135"/>
        <v>2192.1999999999994</v>
      </c>
      <c r="J410" s="145">
        <f t="shared" si="136"/>
        <v>9532.6536443148689</v>
      </c>
      <c r="K410" s="142" t="str">
        <f t="shared" si="142"/>
        <v>l</v>
      </c>
      <c r="L410" s="146">
        <f>IFERROR(INDEX(Työkonekanta!$I$3:$I$27,MATCH('S2 Bio'!$A410,Työkonekanta!$A$3:$A$24,0),1)*(I410+J410)*f_adblue,0)</f>
        <v>468.99414577259478</v>
      </c>
      <c r="M410" s="146">
        <f t="shared" si="148"/>
        <v>0</v>
      </c>
      <c r="N410" s="143" t="str">
        <f>IF(tuulisähkö_vuosi&lt;='S2 Bio'!C410,"tuulisähkö",ostosähkö_nyt)</f>
        <v>jäännössähkö</v>
      </c>
      <c r="O410" s="147">
        <f>INDEX(Muuttujat!$J$5:$J$21,MATCH($C410,Muuttujat!$H$5:$H$21,0),1)</f>
        <v>60.765893284281319</v>
      </c>
      <c r="P410" s="148">
        <f t="shared" si="143"/>
        <v>0.19399999999999995</v>
      </c>
      <c r="Q410" s="148">
        <f t="shared" si="149"/>
        <v>0.80600000000000005</v>
      </c>
      <c r="R410" s="148">
        <f t="shared" si="149"/>
        <v>0.80600000000000005</v>
      </c>
      <c r="S410" s="149">
        <f t="shared" si="137"/>
        <v>1.4874296219999992</v>
      </c>
      <c r="T410" s="150">
        <f t="shared" si="138"/>
        <v>20.402929247999996</v>
      </c>
      <c r="U410" s="150">
        <f t="shared" si="139"/>
        <v>0</v>
      </c>
      <c r="V410" s="150">
        <f>IFERROR(INDEX(Työkonekanta!$J$3:$J$27,MATCH($A410,Työkonekanta!$A$3:$A$24,0),1)*$B410*ef_li_ion_akku/1000/1000/INDEX(Työkonekanta!$K$3:$K$27,MATCH($A410,Työkonekanta!$A$3:$A$24,0)),0)</f>
        <v>0</v>
      </c>
      <c r="W410" s="149">
        <f t="shared" si="150"/>
        <v>5.8087081355569188</v>
      </c>
      <c r="X410" s="150">
        <f t="shared" si="151"/>
        <v>0.35905259579999993</v>
      </c>
      <c r="Y410" s="151">
        <f t="shared" si="152"/>
        <v>0.12193847790087464</v>
      </c>
      <c r="Z410" s="152">
        <f t="shared" si="144"/>
        <v>21.890358869999996</v>
      </c>
      <c r="AA410" s="153">
        <f t="shared" si="145"/>
        <v>5.9306466134577933</v>
      </c>
      <c r="AB410" s="153">
        <f t="shared" si="146"/>
        <v>6.289699209257793</v>
      </c>
      <c r="AC410" s="154">
        <f t="shared" si="153"/>
        <v>27.821005483457789</v>
      </c>
      <c r="AD410" s="180">
        <f t="shared" si="147"/>
        <v>28.18005807925779</v>
      </c>
      <c r="AE410" s="160"/>
    </row>
    <row r="411" spans="1:31">
      <c r="A411" s="139">
        <v>19</v>
      </c>
      <c r="B411" s="139">
        <f>IFERROR(INDEX(Työkonekanta!$F$3:$F$27,MATCH('S2 Bio'!$A411,Työkonekanta!$A$3:$A$24,0),1),0)</f>
        <v>0</v>
      </c>
      <c r="C411" s="140">
        <v>2032</v>
      </c>
      <c r="D411" s="141" t="str">
        <f>IFERROR(INDEX(Työkonekanta!$D$3:$D$27,MATCH('S2 Bio'!$A411,Työkonekanta!$A$3:$A$24,0),1),"undefined")</f>
        <v>pom</v>
      </c>
      <c r="E411" s="145">
        <f>IFERROR(INDEX(Työkonekanta!$G$3:$G$27,MATCH($A411,Työkonekanta!$A$3:$A$24,0),1)*INDEX(Työkonekanta!$H$3:$H$27,MATCH($A411,Työkonekanta!$A$3:$A$24,0),1)*(1+_xlfn.SINGLE(s2_kerroin)*($C411-2019))*$B411,0)</f>
        <v>0</v>
      </c>
      <c r="F411" s="145">
        <f t="shared" si="134"/>
        <v>0</v>
      </c>
      <c r="G411" s="145">
        <f t="shared" si="140"/>
        <v>0</v>
      </c>
      <c r="H411" s="145">
        <f t="shared" si="141"/>
        <v>0</v>
      </c>
      <c r="I411" s="145">
        <f t="shared" si="135"/>
        <v>0</v>
      </c>
      <c r="J411" s="145">
        <f t="shared" si="136"/>
        <v>0</v>
      </c>
      <c r="K411" s="142" t="str">
        <f t="shared" si="142"/>
        <v>l</v>
      </c>
      <c r="L411" s="146">
        <f>IFERROR(INDEX(Työkonekanta!$I$3:$I$27,MATCH('S2 Bio'!$A411,Työkonekanta!$A$3:$A$24,0),1)*(I411+J411)*f_adblue,0)</f>
        <v>0</v>
      </c>
      <c r="M411" s="146">
        <f t="shared" si="148"/>
        <v>0</v>
      </c>
      <c r="N411" s="143" t="str">
        <f>IF(tuulisähkö_vuosi&lt;='S2 Bio'!C411,"tuulisähkö",ostosähkö_nyt)</f>
        <v>jäännössähkö</v>
      </c>
      <c r="O411" s="147">
        <f>INDEX(Muuttujat!$J$5:$J$21,MATCH($C411,Muuttujat!$H$5:$H$21,0),1)</f>
        <v>60.765893284281319</v>
      </c>
      <c r="P411" s="148">
        <f t="shared" si="143"/>
        <v>0.19399999999999995</v>
      </c>
      <c r="Q411" s="148">
        <f t="shared" si="149"/>
        <v>0.80600000000000005</v>
      </c>
      <c r="R411" s="148">
        <f t="shared" si="149"/>
        <v>0.80600000000000005</v>
      </c>
      <c r="S411" s="149">
        <f t="shared" si="137"/>
        <v>0</v>
      </c>
      <c r="T411" s="150">
        <f t="shared" si="138"/>
        <v>0</v>
      </c>
      <c r="U411" s="150">
        <f t="shared" si="139"/>
        <v>0</v>
      </c>
      <c r="V411" s="150">
        <f>IFERROR(INDEX(Työkonekanta!$J$3:$J$27,MATCH($A411,Työkonekanta!$A$3:$A$24,0),1)*$B411*ef_li_ion_akku/1000/1000/INDEX(Työkonekanta!$K$3:$K$27,MATCH($A411,Työkonekanta!$A$3:$A$24,0)),0)</f>
        <v>0</v>
      </c>
      <c r="W411" s="149">
        <f t="shared" si="150"/>
        <v>0</v>
      </c>
      <c r="X411" s="150">
        <f t="shared" si="151"/>
        <v>0</v>
      </c>
      <c r="Y411" s="151">
        <f t="shared" si="152"/>
        <v>0</v>
      </c>
      <c r="Z411" s="152">
        <f t="shared" si="144"/>
        <v>0</v>
      </c>
      <c r="AA411" s="153">
        <f t="shared" si="145"/>
        <v>0</v>
      </c>
      <c r="AB411" s="153">
        <f t="shared" si="146"/>
        <v>0</v>
      </c>
      <c r="AC411" s="154">
        <f t="shared" si="153"/>
        <v>0</v>
      </c>
      <c r="AD411" s="180">
        <f t="shared" si="147"/>
        <v>0</v>
      </c>
      <c r="AE411" s="160"/>
    </row>
    <row r="412" spans="1:31">
      <c r="A412" s="139">
        <v>20</v>
      </c>
      <c r="B412" s="139">
        <f>IFERROR(INDEX(Työkonekanta!$F$3:$F$27,MATCH('S2 Bio'!$A412,Työkonekanta!$A$3:$A$24,0),1),0)</f>
        <v>0</v>
      </c>
      <c r="C412" s="140">
        <v>2032</v>
      </c>
      <c r="D412" s="141" t="str">
        <f>IFERROR(INDEX(Työkonekanta!$D$3:$D$27,MATCH('S2 Bio'!$A412,Työkonekanta!$A$3:$A$24,0),1),"undefined")</f>
        <v>pom</v>
      </c>
      <c r="E412" s="145">
        <f>IFERROR(INDEX(Työkonekanta!$G$3:$G$27,MATCH($A412,Työkonekanta!$A$3:$A$24,0),1)*INDEX(Työkonekanta!$H$3:$H$27,MATCH($A412,Työkonekanta!$A$3:$A$24,0),1)*(1+_xlfn.SINGLE(s2_kerroin)*($C412-2019))*$B412,0)</f>
        <v>0</v>
      </c>
      <c r="F412" s="145">
        <f t="shared" si="134"/>
        <v>0</v>
      </c>
      <c r="G412" s="145">
        <f t="shared" si="140"/>
        <v>0</v>
      </c>
      <c r="H412" s="145">
        <f t="shared" si="141"/>
        <v>0</v>
      </c>
      <c r="I412" s="145">
        <f t="shared" si="135"/>
        <v>0</v>
      </c>
      <c r="J412" s="145">
        <f t="shared" si="136"/>
        <v>0</v>
      </c>
      <c r="K412" s="142" t="str">
        <f t="shared" si="142"/>
        <v>l</v>
      </c>
      <c r="L412" s="146">
        <f>IFERROR(INDEX(Työkonekanta!$I$3:$I$27,MATCH('S2 Bio'!$A412,Työkonekanta!$A$3:$A$24,0),1)*(I412+J412)*f_adblue,0)</f>
        <v>0</v>
      </c>
      <c r="M412" s="146">
        <f t="shared" si="148"/>
        <v>0</v>
      </c>
      <c r="N412" s="143" t="str">
        <f>IF(tuulisähkö_vuosi&lt;='S2 Bio'!C412,"tuulisähkö",ostosähkö_nyt)</f>
        <v>jäännössähkö</v>
      </c>
      <c r="O412" s="147">
        <f>INDEX(Muuttujat!$J$5:$J$21,MATCH($C412,Muuttujat!$H$5:$H$21,0),1)</f>
        <v>60.765893284281319</v>
      </c>
      <c r="P412" s="148">
        <f t="shared" si="143"/>
        <v>0.19399999999999995</v>
      </c>
      <c r="Q412" s="148">
        <f t="shared" si="149"/>
        <v>0.80600000000000005</v>
      </c>
      <c r="R412" s="148">
        <f t="shared" si="149"/>
        <v>0.80600000000000005</v>
      </c>
      <c r="S412" s="149">
        <f t="shared" si="137"/>
        <v>0</v>
      </c>
      <c r="T412" s="150">
        <f t="shared" si="138"/>
        <v>0</v>
      </c>
      <c r="U412" s="150">
        <f t="shared" si="139"/>
        <v>0</v>
      </c>
      <c r="V412" s="150">
        <f>IFERROR(INDEX(Työkonekanta!$J$3:$J$27,MATCH($A412,Työkonekanta!$A$3:$A$24,0),1)*$B412*ef_li_ion_akku/1000/1000/INDEX(Työkonekanta!$K$3:$K$27,MATCH($A412,Työkonekanta!$A$3:$A$24,0)),0)</f>
        <v>0</v>
      </c>
      <c r="W412" s="149">
        <f t="shared" si="150"/>
        <v>0</v>
      </c>
      <c r="X412" s="150">
        <f t="shared" si="151"/>
        <v>0</v>
      </c>
      <c r="Y412" s="151">
        <f t="shared" si="152"/>
        <v>0</v>
      </c>
      <c r="Z412" s="152">
        <f t="shared" si="144"/>
        <v>0</v>
      </c>
      <c r="AA412" s="153">
        <f t="shared" si="145"/>
        <v>0</v>
      </c>
      <c r="AB412" s="153">
        <f t="shared" si="146"/>
        <v>0</v>
      </c>
      <c r="AC412" s="154">
        <f t="shared" si="153"/>
        <v>0</v>
      </c>
      <c r="AD412" s="180">
        <f t="shared" si="147"/>
        <v>0</v>
      </c>
      <c r="AE412" s="160"/>
    </row>
    <row r="413" spans="1:31">
      <c r="A413" s="139">
        <v>21</v>
      </c>
      <c r="B413" s="139">
        <f>IFERROR(INDEX(Työkonekanta!$F$3:$F$27,MATCH('S2 Bio'!$A413,Työkonekanta!$A$3:$A$24,0),1),0)</f>
        <v>35</v>
      </c>
      <c r="C413" s="140">
        <v>2032</v>
      </c>
      <c r="D413" s="141" t="str">
        <f>IFERROR(INDEX(Työkonekanta!$D$3:$D$27,MATCH('S2 Bio'!$A413,Työkonekanta!$A$3:$A$24,0),1),"undefined")</f>
        <v>sähkö</v>
      </c>
      <c r="E413" s="145">
        <f>IFERROR(INDEX(Työkonekanta!$G$3:$G$27,MATCH($A413,Työkonekanta!$A$3:$A$24,0),1)*INDEX(Työkonekanta!$H$3:$H$27,MATCH($A413,Työkonekanta!$A$3:$A$24,0),1)*(1+_xlfn.SINGLE(s2_kerroin)*($C413-2019))*$B413,0)</f>
        <v>460134.95370370365</v>
      </c>
      <c r="F413" s="145">
        <f t="shared" si="134"/>
        <v>0</v>
      </c>
      <c r="G413" s="145">
        <f t="shared" si="140"/>
        <v>0</v>
      </c>
      <c r="H413" s="145">
        <f t="shared" si="141"/>
        <v>0</v>
      </c>
      <c r="I413" s="145">
        <f t="shared" si="135"/>
        <v>0</v>
      </c>
      <c r="J413" s="145">
        <f t="shared" si="136"/>
        <v>0</v>
      </c>
      <c r="K413" s="142" t="str">
        <f t="shared" si="142"/>
        <v>kWh</v>
      </c>
      <c r="L413" s="146">
        <f>IFERROR(INDEX(Työkonekanta!$I$3:$I$27,MATCH('S2 Bio'!$A413,Työkonekanta!$A$3:$A$24,0),1)*(I413+J413)*f_adblue,0)</f>
        <v>0</v>
      </c>
      <c r="M413" s="146">
        <f t="shared" si="148"/>
        <v>1656485.8333333333</v>
      </c>
      <c r="N413" s="143" t="str">
        <f>IF(tuulisähkö_vuosi&lt;='S2 Bio'!C413,"tuulisähkö",ostosähkö_nyt)</f>
        <v>jäännössähkö</v>
      </c>
      <c r="O413" s="147">
        <f>INDEX(Muuttujat!$J$5:$J$21,MATCH($C413,Muuttujat!$H$5:$H$21,0),1)</f>
        <v>60.765893284281319</v>
      </c>
      <c r="P413" s="148">
        <f t="shared" si="143"/>
        <v>0.19399999999999995</v>
      </c>
      <c r="Q413" s="148">
        <f t="shared" si="149"/>
        <v>0.80600000000000005</v>
      </c>
      <c r="R413" s="148">
        <f t="shared" si="149"/>
        <v>0.80600000000000005</v>
      </c>
      <c r="S413" s="149">
        <f t="shared" si="137"/>
        <v>0</v>
      </c>
      <c r="T413" s="150">
        <f t="shared" si="138"/>
        <v>0</v>
      </c>
      <c r="U413" s="150">
        <f t="shared" si="139"/>
        <v>100.65784137525714</v>
      </c>
      <c r="V413" s="150">
        <f>IFERROR(INDEX(Työkonekanta!$J$3:$J$27,MATCH($A413,Työkonekanta!$A$3:$A$24,0),1)*$B413*ef_li_ion_akku/1000/1000/INDEX(Työkonekanta!$K$3:$K$27,MATCH($A413,Työkonekanta!$A$3:$A$24,0)),0)</f>
        <v>43.121723076923082</v>
      </c>
      <c r="W413" s="149">
        <f t="shared" si="150"/>
        <v>0</v>
      </c>
      <c r="X413" s="150">
        <f t="shared" si="151"/>
        <v>0</v>
      </c>
      <c r="Y413" s="151">
        <f t="shared" si="152"/>
        <v>0</v>
      </c>
      <c r="Z413" s="152">
        <f t="shared" si="144"/>
        <v>143.77956445218021</v>
      </c>
      <c r="AA413" s="153">
        <f t="shared" si="145"/>
        <v>0</v>
      </c>
      <c r="AB413" s="153">
        <f t="shared" si="146"/>
        <v>0</v>
      </c>
      <c r="AC413" s="154">
        <f t="shared" si="153"/>
        <v>143.77956445218021</v>
      </c>
      <c r="AD413" s="180">
        <f t="shared" si="147"/>
        <v>143.77956445218021</v>
      </c>
      <c r="AE413" s="160"/>
    </row>
    <row r="414" spans="1:31">
      <c r="A414" s="139">
        <v>22</v>
      </c>
      <c r="B414" s="139">
        <f>IFERROR(INDEX(Työkonekanta!$F$3:$F$27,MATCH('S2 Bio'!$A414,Työkonekanta!$A$3:$A$24,0),1),0)</f>
        <v>0</v>
      </c>
      <c r="C414" s="140">
        <v>2032</v>
      </c>
      <c r="D414" s="141" t="str">
        <f>IFERROR(INDEX(Työkonekanta!$D$3:$D$27,MATCH('S2 Bio'!$A414,Työkonekanta!$A$3:$A$24,0),1),"undefined")</f>
        <v>sähkö</v>
      </c>
      <c r="E414" s="145">
        <f>IFERROR(INDEX(Työkonekanta!$G$3:$G$27,MATCH($A414,Työkonekanta!$A$3:$A$24,0),1)*INDEX(Työkonekanta!$H$3:$H$27,MATCH($A414,Työkonekanta!$A$3:$A$24,0),1)*(1+_xlfn.SINGLE(s2_kerroin)*($C414-2019))*$B414,0)</f>
        <v>0</v>
      </c>
      <c r="F414" s="145">
        <f t="shared" si="134"/>
        <v>0</v>
      </c>
      <c r="G414" s="145">
        <f t="shared" si="140"/>
        <v>0</v>
      </c>
      <c r="H414" s="145">
        <f t="shared" si="141"/>
        <v>0</v>
      </c>
      <c r="I414" s="145">
        <f t="shared" si="135"/>
        <v>0</v>
      </c>
      <c r="J414" s="145">
        <f t="shared" si="136"/>
        <v>0</v>
      </c>
      <c r="K414" s="142" t="str">
        <f t="shared" si="142"/>
        <v>kWh</v>
      </c>
      <c r="L414" s="146">
        <f>IFERROR(INDEX(Työkonekanta!$I$3:$I$27,MATCH('S2 Bio'!$A414,Työkonekanta!$A$3:$A$24,0),1)*(I414+J414)*f_adblue,0)</f>
        <v>0</v>
      </c>
      <c r="M414" s="146">
        <f t="shared" si="148"/>
        <v>0</v>
      </c>
      <c r="N414" s="143" t="str">
        <f>IF(tuulisähkö_vuosi&lt;='S2 Bio'!C414,"tuulisähkö",ostosähkö_nyt)</f>
        <v>jäännössähkö</v>
      </c>
      <c r="O414" s="147">
        <f>INDEX(Muuttujat!$J$5:$J$21,MATCH($C414,Muuttujat!$H$5:$H$21,0),1)</f>
        <v>60.765893284281319</v>
      </c>
      <c r="P414" s="148">
        <f t="shared" si="143"/>
        <v>0.19399999999999995</v>
      </c>
      <c r="Q414" s="148">
        <f t="shared" si="149"/>
        <v>0.80600000000000005</v>
      </c>
      <c r="R414" s="148">
        <f t="shared" si="149"/>
        <v>0.80600000000000005</v>
      </c>
      <c r="S414" s="149">
        <f t="shared" si="137"/>
        <v>0</v>
      </c>
      <c r="T414" s="150">
        <f t="shared" si="138"/>
        <v>0</v>
      </c>
      <c r="U414" s="150">
        <f t="shared" si="139"/>
        <v>0</v>
      </c>
      <c r="V414" s="150">
        <f>IFERROR(INDEX(Työkonekanta!$J$3:$J$27,MATCH($A414,Työkonekanta!$A$3:$A$24,0),1)*$B414*ef_li_ion_akku/1000/1000/INDEX(Työkonekanta!$K$3:$K$27,MATCH($A414,Työkonekanta!$A$3:$A$24,0)),0)</f>
        <v>0</v>
      </c>
      <c r="W414" s="149">
        <f t="shared" si="150"/>
        <v>0</v>
      </c>
      <c r="X414" s="150">
        <f t="shared" si="151"/>
        <v>0</v>
      </c>
      <c r="Y414" s="151">
        <f t="shared" si="152"/>
        <v>0</v>
      </c>
      <c r="Z414" s="152">
        <f t="shared" si="144"/>
        <v>0</v>
      </c>
      <c r="AA414" s="153">
        <f t="shared" si="145"/>
        <v>0</v>
      </c>
      <c r="AB414" s="153">
        <f t="shared" si="146"/>
        <v>0</v>
      </c>
      <c r="AC414" s="154">
        <f t="shared" si="153"/>
        <v>0</v>
      </c>
      <c r="AD414" s="180">
        <f t="shared" si="147"/>
        <v>0</v>
      </c>
      <c r="AE414" s="160"/>
    </row>
    <row r="415" spans="1:31">
      <c r="A415" s="139">
        <v>23</v>
      </c>
      <c r="B415" s="139">
        <f>IFERROR(INDEX(Työkonekanta!$F$3:$F$27,MATCH('S2 Bio'!$A415,Työkonekanta!$A$3:$A$24,0),1),0)</f>
        <v>0</v>
      </c>
      <c r="C415" s="140">
        <v>2032</v>
      </c>
      <c r="D415" s="141" t="str">
        <f>IFERROR(INDEX(Työkonekanta!$D$3:$D$27,MATCH('S2 Bio'!$A415,Työkonekanta!$A$3:$A$24,0),1),"undefined")</f>
        <v>undefined</v>
      </c>
      <c r="E415" s="145">
        <f>IFERROR(INDEX(Työkonekanta!$G$3:$G$27,MATCH($A415,Työkonekanta!$A$3:$A$24,0),1)*INDEX(Työkonekanta!$H$3:$H$27,MATCH($A415,Työkonekanta!$A$3:$A$24,0),1)*(1+_xlfn.SINGLE(s2_kerroin)*($C415-2019))*$B415,0)</f>
        <v>0</v>
      </c>
      <c r="F415" s="145">
        <f t="shared" si="134"/>
        <v>0</v>
      </c>
      <c r="G415" s="145">
        <f t="shared" si="140"/>
        <v>0</v>
      </c>
      <c r="H415" s="145">
        <f t="shared" si="141"/>
        <v>0</v>
      </c>
      <c r="I415" s="145">
        <f t="shared" si="135"/>
        <v>0</v>
      </c>
      <c r="J415" s="145">
        <f t="shared" si="136"/>
        <v>0</v>
      </c>
      <c r="K415" s="142" t="str">
        <f t="shared" si="142"/>
        <v>undefined</v>
      </c>
      <c r="L415" s="146">
        <f>IFERROR(INDEX(Työkonekanta!$I$3:$I$27,MATCH('S2 Bio'!$A415,Työkonekanta!$A$3:$A$24,0),1)*(I415+J415)*f_adblue,0)</f>
        <v>0</v>
      </c>
      <c r="M415" s="146">
        <f t="shared" si="148"/>
        <v>0</v>
      </c>
      <c r="N415" s="143" t="str">
        <f>IF(tuulisähkö_vuosi&lt;='S2 Bio'!C415,"tuulisähkö",ostosähkö_nyt)</f>
        <v>jäännössähkö</v>
      </c>
      <c r="O415" s="147">
        <f>INDEX(Muuttujat!$J$5:$J$21,MATCH($C415,Muuttujat!$H$5:$H$21,0),1)</f>
        <v>60.765893284281319</v>
      </c>
      <c r="P415" s="148">
        <f t="shared" si="143"/>
        <v>0.19399999999999995</v>
      </c>
      <c r="Q415" s="148">
        <f t="shared" si="149"/>
        <v>0.80600000000000005</v>
      </c>
      <c r="R415" s="148">
        <f t="shared" si="149"/>
        <v>0.80600000000000005</v>
      </c>
      <c r="S415" s="149">
        <f t="shared" si="137"/>
        <v>0</v>
      </c>
      <c r="T415" s="150">
        <f t="shared" si="138"/>
        <v>0</v>
      </c>
      <c r="U415" s="150">
        <f t="shared" si="139"/>
        <v>0</v>
      </c>
      <c r="V415" s="150">
        <f>IFERROR(INDEX(Työkonekanta!$J$3:$J$27,MATCH($A415,Työkonekanta!$A$3:$A$24,0),1)*$B415*ef_li_ion_akku/1000/1000/INDEX(Työkonekanta!$K$3:$K$27,MATCH($A415,Työkonekanta!$A$3:$A$24,0)),0)</f>
        <v>0</v>
      </c>
      <c r="W415" s="149">
        <f t="shared" si="150"/>
        <v>0</v>
      </c>
      <c r="X415" s="150">
        <f t="shared" si="151"/>
        <v>0</v>
      </c>
      <c r="Y415" s="151">
        <f t="shared" si="152"/>
        <v>0</v>
      </c>
      <c r="Z415" s="152">
        <f t="shared" si="144"/>
        <v>0</v>
      </c>
      <c r="AA415" s="153">
        <f t="shared" si="145"/>
        <v>0</v>
      </c>
      <c r="AB415" s="153">
        <f t="shared" si="146"/>
        <v>0</v>
      </c>
      <c r="AC415" s="154">
        <f t="shared" si="153"/>
        <v>0</v>
      </c>
      <c r="AD415" s="180">
        <f t="shared" si="147"/>
        <v>0</v>
      </c>
      <c r="AE415" s="160"/>
    </row>
    <row r="416" spans="1:31">
      <c r="A416" s="139">
        <v>24</v>
      </c>
      <c r="B416" s="139">
        <f>IFERROR(INDEX(Työkonekanta!$F$3:$F$27,MATCH('S2 Bio'!$A416,Työkonekanta!$A$3:$A$24,0),1),0)</f>
        <v>0</v>
      </c>
      <c r="C416" s="140">
        <v>2032</v>
      </c>
      <c r="D416" s="141" t="str">
        <f>IFERROR(INDEX(Työkonekanta!$D$3:$D$27,MATCH('S2 Bio'!$A416,Työkonekanta!$A$3:$A$24,0),1),"undefined")</f>
        <v>undefined</v>
      </c>
      <c r="E416" s="145">
        <f>IFERROR(INDEX(Työkonekanta!$G$3:$G$27,MATCH($A416,Työkonekanta!$A$3:$A$24,0),1)*INDEX(Työkonekanta!$H$3:$H$27,MATCH($A416,Työkonekanta!$A$3:$A$24,0),1)*(1+_xlfn.SINGLE(s2_kerroin)*($C416-2019))*$B416,0)</f>
        <v>0</v>
      </c>
      <c r="F416" s="145">
        <f t="shared" si="134"/>
        <v>0</v>
      </c>
      <c r="G416" s="145">
        <f t="shared" si="140"/>
        <v>0</v>
      </c>
      <c r="H416" s="145">
        <f t="shared" si="141"/>
        <v>0</v>
      </c>
      <c r="I416" s="145">
        <f t="shared" si="135"/>
        <v>0</v>
      </c>
      <c r="J416" s="145">
        <f t="shared" si="136"/>
        <v>0</v>
      </c>
      <c r="K416" s="142" t="str">
        <f t="shared" si="142"/>
        <v>undefined</v>
      </c>
      <c r="L416" s="146">
        <f>IFERROR(INDEX(Työkonekanta!$I$3:$I$27,MATCH('S2 Bio'!$A416,Työkonekanta!$A$3:$A$24,0),1)*(I416+J416)*f_adblue,0)</f>
        <v>0</v>
      </c>
      <c r="M416" s="146">
        <f t="shared" si="148"/>
        <v>0</v>
      </c>
      <c r="N416" s="143" t="str">
        <f>IF(tuulisähkö_vuosi&lt;='S2 Bio'!C416,"tuulisähkö",ostosähkö_nyt)</f>
        <v>jäännössähkö</v>
      </c>
      <c r="O416" s="147">
        <f>INDEX(Muuttujat!$J$5:$J$21,MATCH($C416,Muuttujat!$H$5:$H$21,0),1)</f>
        <v>60.765893284281319</v>
      </c>
      <c r="P416" s="148">
        <f t="shared" si="143"/>
        <v>0.19399999999999995</v>
      </c>
      <c r="Q416" s="148">
        <f t="shared" si="149"/>
        <v>0.80600000000000005</v>
      </c>
      <c r="R416" s="148">
        <f t="shared" si="149"/>
        <v>0.80600000000000005</v>
      </c>
      <c r="S416" s="149">
        <f t="shared" si="137"/>
        <v>0</v>
      </c>
      <c r="T416" s="150">
        <f t="shared" si="138"/>
        <v>0</v>
      </c>
      <c r="U416" s="150">
        <f t="shared" si="139"/>
        <v>0</v>
      </c>
      <c r="V416" s="150">
        <f>IFERROR(INDEX(Työkonekanta!$J$3:$J$27,MATCH($A416,Työkonekanta!$A$3:$A$24,0),1)*$B416*ef_li_ion_akku/1000/1000/INDEX(Työkonekanta!$K$3:$K$27,MATCH($A416,Työkonekanta!$A$3:$A$24,0)),0)</f>
        <v>0</v>
      </c>
      <c r="W416" s="149">
        <f t="shared" si="150"/>
        <v>0</v>
      </c>
      <c r="X416" s="150">
        <f t="shared" si="151"/>
        <v>0</v>
      </c>
      <c r="Y416" s="151">
        <f t="shared" si="152"/>
        <v>0</v>
      </c>
      <c r="Z416" s="152">
        <f t="shared" si="144"/>
        <v>0</v>
      </c>
      <c r="AA416" s="153">
        <f t="shared" si="145"/>
        <v>0</v>
      </c>
      <c r="AB416" s="153">
        <f t="shared" si="146"/>
        <v>0</v>
      </c>
      <c r="AC416" s="154">
        <f t="shared" si="153"/>
        <v>0</v>
      </c>
      <c r="AD416" s="180">
        <f t="shared" si="147"/>
        <v>0</v>
      </c>
      <c r="AE416" s="160"/>
    </row>
    <row r="417" spans="1:31">
      <c r="A417" s="139">
        <v>25</v>
      </c>
      <c r="B417" s="139">
        <f>IFERROR(INDEX(Työkonekanta!$F$3:$F$27,MATCH('S2 Bio'!$A417,Työkonekanta!$A$3:$A$24,0),1),0)</f>
        <v>0</v>
      </c>
      <c r="C417" s="140">
        <v>2032</v>
      </c>
      <c r="D417" s="141" t="str">
        <f>IFERROR(INDEX(Työkonekanta!$D$3:$D$27,MATCH('S2 Bio'!$A417,Työkonekanta!$A$3:$A$24,0),1),"undefined")</f>
        <v>undefined</v>
      </c>
      <c r="E417" s="145">
        <f>IFERROR(INDEX(Työkonekanta!$G$3:$G$27,MATCH($A417,Työkonekanta!$A$3:$A$24,0),1)*INDEX(Työkonekanta!$H$3:$H$27,MATCH($A417,Työkonekanta!$A$3:$A$24,0),1)*(1+_xlfn.SINGLE(s2_kerroin)*($C417-2019))*$B417,0)</f>
        <v>0</v>
      </c>
      <c r="F417" s="145">
        <f t="shared" si="134"/>
        <v>0</v>
      </c>
      <c r="G417" s="145">
        <f t="shared" si="140"/>
        <v>0</v>
      </c>
      <c r="H417" s="145">
        <f t="shared" si="141"/>
        <v>0</v>
      </c>
      <c r="I417" s="145">
        <f t="shared" si="135"/>
        <v>0</v>
      </c>
      <c r="J417" s="145">
        <f t="shared" si="136"/>
        <v>0</v>
      </c>
      <c r="K417" s="142" t="str">
        <f t="shared" si="142"/>
        <v>undefined</v>
      </c>
      <c r="L417" s="146">
        <f>IFERROR(INDEX(Työkonekanta!$I$3:$I$27,MATCH('S2 Bio'!$A417,Työkonekanta!$A$3:$A$24,0),1)*(I417+J417)*f_adblue,0)</f>
        <v>0</v>
      </c>
      <c r="M417" s="146">
        <f t="shared" si="148"/>
        <v>0</v>
      </c>
      <c r="N417" s="143" t="str">
        <f>IF(tuulisähkö_vuosi&lt;='S2 Bio'!C417,"tuulisähkö",ostosähkö_nyt)</f>
        <v>jäännössähkö</v>
      </c>
      <c r="O417" s="147">
        <f>INDEX(Muuttujat!$J$5:$J$21,MATCH($C417,Muuttujat!$H$5:$H$21,0),1)</f>
        <v>60.765893284281319</v>
      </c>
      <c r="P417" s="148">
        <f t="shared" si="143"/>
        <v>0.19399999999999995</v>
      </c>
      <c r="Q417" s="148">
        <f t="shared" si="149"/>
        <v>0.80600000000000005</v>
      </c>
      <c r="R417" s="148">
        <f t="shared" si="149"/>
        <v>0.80600000000000005</v>
      </c>
      <c r="S417" s="149">
        <f t="shared" si="137"/>
        <v>0</v>
      </c>
      <c r="T417" s="150">
        <f t="shared" si="138"/>
        <v>0</v>
      </c>
      <c r="U417" s="150">
        <f t="shared" si="139"/>
        <v>0</v>
      </c>
      <c r="V417" s="150">
        <f>IFERROR(INDEX(Työkonekanta!$J$3:$J$27,MATCH($A417,Työkonekanta!$A$3:$A$24,0),1)*$B417*ef_li_ion_akku/1000/1000/INDEX(Työkonekanta!$K$3:$K$27,MATCH($A417,Työkonekanta!$A$3:$A$24,0)),0)</f>
        <v>0</v>
      </c>
      <c r="W417" s="149">
        <f t="shared" si="150"/>
        <v>0</v>
      </c>
      <c r="X417" s="150">
        <f t="shared" si="151"/>
        <v>0</v>
      </c>
      <c r="Y417" s="151">
        <f t="shared" si="152"/>
        <v>0</v>
      </c>
      <c r="Z417" s="152">
        <f t="shared" si="144"/>
        <v>0</v>
      </c>
      <c r="AA417" s="153">
        <f t="shared" si="145"/>
        <v>0</v>
      </c>
      <c r="AB417" s="153">
        <f t="shared" si="146"/>
        <v>0</v>
      </c>
      <c r="AC417" s="154">
        <f t="shared" si="153"/>
        <v>0</v>
      </c>
      <c r="AD417" s="180">
        <f t="shared" si="147"/>
        <v>0</v>
      </c>
      <c r="AE417" s="160"/>
    </row>
    <row r="418" spans="1:31">
      <c r="A418" s="139">
        <v>26</v>
      </c>
      <c r="B418" s="139">
        <f>IFERROR(INDEX(Työkonekanta!$F$3:$F$27,MATCH('S2 Bio'!$A418,Työkonekanta!$A$3:$A$24,0),1),0)</f>
        <v>0</v>
      </c>
      <c r="C418" s="140">
        <v>2032</v>
      </c>
      <c r="D418" s="141" t="str">
        <f>IFERROR(INDEX(Työkonekanta!$D$3:$D$27,MATCH('S2 Bio'!$A418,Työkonekanta!$A$3:$A$24,0),1),"undefined")</f>
        <v>undefined</v>
      </c>
      <c r="E418" s="145">
        <f>IFERROR(INDEX(Työkonekanta!$G$3:$G$27,MATCH($A418,Työkonekanta!$A$3:$A$24,0),1)*INDEX(Työkonekanta!$H$3:$H$27,MATCH($A418,Työkonekanta!$A$3:$A$24,0),1)*(1+_xlfn.SINGLE(s2_kerroin)*($C418-2019))*$B418,0)</f>
        <v>0</v>
      </c>
      <c r="F418" s="145">
        <f t="shared" si="134"/>
        <v>0</v>
      </c>
      <c r="G418" s="145">
        <f t="shared" si="140"/>
        <v>0</v>
      </c>
      <c r="H418" s="145">
        <f t="shared" si="141"/>
        <v>0</v>
      </c>
      <c r="I418" s="145">
        <f t="shared" si="135"/>
        <v>0</v>
      </c>
      <c r="J418" s="145">
        <f t="shared" si="136"/>
        <v>0</v>
      </c>
      <c r="K418" s="142" t="str">
        <f t="shared" si="142"/>
        <v>undefined</v>
      </c>
      <c r="L418" s="146">
        <f>IFERROR(INDEX(Työkonekanta!$I$3:$I$27,MATCH('S2 Bio'!$A418,Työkonekanta!$A$3:$A$24,0),1)*(I418+J418)*f_adblue,0)</f>
        <v>0</v>
      </c>
      <c r="M418" s="146">
        <f t="shared" si="148"/>
        <v>0</v>
      </c>
      <c r="N418" s="143" t="str">
        <f>IF(tuulisähkö_vuosi&lt;='S2 Bio'!C418,"tuulisähkö",ostosähkö_nyt)</f>
        <v>jäännössähkö</v>
      </c>
      <c r="O418" s="147">
        <f>INDEX(Muuttujat!$J$5:$J$21,MATCH($C418,Muuttujat!$H$5:$H$21,0),1)</f>
        <v>60.765893284281319</v>
      </c>
      <c r="P418" s="148">
        <f t="shared" si="143"/>
        <v>0.19399999999999995</v>
      </c>
      <c r="Q418" s="148">
        <f t="shared" si="149"/>
        <v>0.80600000000000005</v>
      </c>
      <c r="R418" s="148">
        <f t="shared" si="149"/>
        <v>0.80600000000000005</v>
      </c>
      <c r="S418" s="149">
        <f t="shared" si="137"/>
        <v>0</v>
      </c>
      <c r="T418" s="150">
        <f t="shared" si="138"/>
        <v>0</v>
      </c>
      <c r="U418" s="150">
        <f t="shared" si="139"/>
        <v>0</v>
      </c>
      <c r="V418" s="150">
        <f>IFERROR(INDEX(Työkonekanta!$J$3:$J$27,MATCH($A418,Työkonekanta!$A$3:$A$24,0),1)*$B418*ef_li_ion_akku/1000/1000/INDEX(Työkonekanta!$K$3:$K$27,MATCH($A418,Työkonekanta!$A$3:$A$24,0)),0)</f>
        <v>0</v>
      </c>
      <c r="W418" s="149">
        <f t="shared" si="150"/>
        <v>0</v>
      </c>
      <c r="X418" s="150">
        <f t="shared" si="151"/>
        <v>0</v>
      </c>
      <c r="Y418" s="151">
        <f t="shared" si="152"/>
        <v>0</v>
      </c>
      <c r="Z418" s="152">
        <f t="shared" si="144"/>
        <v>0</v>
      </c>
      <c r="AA418" s="153">
        <f t="shared" si="145"/>
        <v>0</v>
      </c>
      <c r="AB418" s="153">
        <f t="shared" si="146"/>
        <v>0</v>
      </c>
      <c r="AC418" s="154">
        <f t="shared" si="153"/>
        <v>0</v>
      </c>
      <c r="AD418" s="180">
        <f t="shared" si="147"/>
        <v>0</v>
      </c>
      <c r="AE418" s="160"/>
    </row>
    <row r="419" spans="1:31">
      <c r="A419" s="139">
        <v>27</v>
      </c>
      <c r="B419" s="139">
        <f>IFERROR(INDEX(Työkonekanta!$F$3:$F$27,MATCH('S2 Bio'!$A419,Työkonekanta!$A$3:$A$24,0),1),0)</f>
        <v>0</v>
      </c>
      <c r="C419" s="140">
        <v>2032</v>
      </c>
      <c r="D419" s="141" t="str">
        <f>IFERROR(INDEX(Työkonekanta!$D$3:$D$27,MATCH('S2 Bio'!$A419,Työkonekanta!$A$3:$A$24,0),1),"undefined")</f>
        <v>undefined</v>
      </c>
      <c r="E419" s="145">
        <f>IFERROR(INDEX(Työkonekanta!$G$3:$G$27,MATCH($A419,Työkonekanta!$A$3:$A$24,0),1)*INDEX(Työkonekanta!$H$3:$H$27,MATCH($A419,Työkonekanta!$A$3:$A$24,0),1)*(1+_xlfn.SINGLE(s2_kerroin)*($C419-2019))*$B419,0)</f>
        <v>0</v>
      </c>
      <c r="F419" s="145">
        <f t="shared" si="134"/>
        <v>0</v>
      </c>
      <c r="G419" s="145">
        <f t="shared" si="140"/>
        <v>0</v>
      </c>
      <c r="H419" s="145">
        <f t="shared" si="141"/>
        <v>0</v>
      </c>
      <c r="I419" s="145">
        <f t="shared" si="135"/>
        <v>0</v>
      </c>
      <c r="J419" s="145">
        <f t="shared" si="136"/>
        <v>0</v>
      </c>
      <c r="K419" s="142" t="str">
        <f t="shared" si="142"/>
        <v>undefined</v>
      </c>
      <c r="L419" s="146">
        <f>IFERROR(INDEX(Työkonekanta!$I$3:$I$27,MATCH('S2 Bio'!$A419,Työkonekanta!$A$3:$A$24,0),1)*(I419+J419)*f_adblue,0)</f>
        <v>0</v>
      </c>
      <c r="M419" s="146">
        <f t="shared" si="148"/>
        <v>0</v>
      </c>
      <c r="N419" s="143" t="str">
        <f>IF(tuulisähkö_vuosi&lt;='S2 Bio'!C419,"tuulisähkö",ostosähkö_nyt)</f>
        <v>jäännössähkö</v>
      </c>
      <c r="O419" s="147">
        <f>INDEX(Muuttujat!$J$5:$J$21,MATCH($C419,Muuttujat!$H$5:$H$21,0),1)</f>
        <v>60.765893284281319</v>
      </c>
      <c r="P419" s="148">
        <f t="shared" si="143"/>
        <v>0.19399999999999995</v>
      </c>
      <c r="Q419" s="148">
        <f t="shared" si="149"/>
        <v>0.80600000000000005</v>
      </c>
      <c r="R419" s="148">
        <f t="shared" si="149"/>
        <v>0.80600000000000005</v>
      </c>
      <c r="S419" s="149">
        <f t="shared" si="137"/>
        <v>0</v>
      </c>
      <c r="T419" s="150">
        <f t="shared" si="138"/>
        <v>0</v>
      </c>
      <c r="U419" s="150">
        <f t="shared" si="139"/>
        <v>0</v>
      </c>
      <c r="V419" s="150">
        <f>IFERROR(INDEX(Työkonekanta!$J$3:$J$27,MATCH($A419,Työkonekanta!$A$3:$A$24,0),1)*$B419*ef_li_ion_akku/1000/1000/INDEX(Työkonekanta!$K$3:$K$27,MATCH($A419,Työkonekanta!$A$3:$A$24,0)),0)</f>
        <v>0</v>
      </c>
      <c r="W419" s="149">
        <f t="shared" si="150"/>
        <v>0</v>
      </c>
      <c r="X419" s="150">
        <f t="shared" si="151"/>
        <v>0</v>
      </c>
      <c r="Y419" s="151">
        <f t="shared" si="152"/>
        <v>0</v>
      </c>
      <c r="Z419" s="152">
        <f t="shared" si="144"/>
        <v>0</v>
      </c>
      <c r="AA419" s="153">
        <f t="shared" si="145"/>
        <v>0</v>
      </c>
      <c r="AB419" s="153">
        <f t="shared" si="146"/>
        <v>0</v>
      </c>
      <c r="AC419" s="154">
        <f t="shared" si="153"/>
        <v>0</v>
      </c>
      <c r="AD419" s="180">
        <f t="shared" si="147"/>
        <v>0</v>
      </c>
      <c r="AE419" s="160"/>
    </row>
    <row r="420" spans="1:31">
      <c r="A420" s="139">
        <v>28</v>
      </c>
      <c r="B420" s="139">
        <f>IFERROR(INDEX(Työkonekanta!$F$3:$F$27,MATCH('S2 Bio'!$A420,Työkonekanta!$A$3:$A$24,0),1),0)</f>
        <v>0</v>
      </c>
      <c r="C420" s="140">
        <v>2032</v>
      </c>
      <c r="D420" s="141" t="str">
        <f>IFERROR(INDEX(Työkonekanta!$D$3:$D$27,MATCH('S2 Bio'!$A420,Työkonekanta!$A$3:$A$24,0),1),"undefined")</f>
        <v>undefined</v>
      </c>
      <c r="E420" s="145">
        <f>IFERROR(INDEX(Työkonekanta!$G$3:$G$27,MATCH($A420,Työkonekanta!$A$3:$A$24,0),1)*INDEX(Työkonekanta!$H$3:$H$27,MATCH($A420,Työkonekanta!$A$3:$A$24,0),1)*(1+_xlfn.SINGLE(s2_kerroin)*($C420-2019))*$B420,0)</f>
        <v>0</v>
      </c>
      <c r="F420" s="145">
        <f t="shared" si="134"/>
        <v>0</v>
      </c>
      <c r="G420" s="145">
        <f t="shared" si="140"/>
        <v>0</v>
      </c>
      <c r="H420" s="145">
        <f t="shared" si="141"/>
        <v>0</v>
      </c>
      <c r="I420" s="145">
        <f t="shared" si="135"/>
        <v>0</v>
      </c>
      <c r="J420" s="145">
        <f t="shared" si="136"/>
        <v>0</v>
      </c>
      <c r="K420" s="142" t="str">
        <f t="shared" si="142"/>
        <v>undefined</v>
      </c>
      <c r="L420" s="146">
        <f>IFERROR(INDEX(Työkonekanta!$I$3:$I$27,MATCH('S2 Bio'!$A420,Työkonekanta!$A$3:$A$24,0),1)*(I420+J420)*f_adblue,0)</f>
        <v>0</v>
      </c>
      <c r="M420" s="146">
        <f t="shared" si="148"/>
        <v>0</v>
      </c>
      <c r="N420" s="143" t="str">
        <f>IF(tuulisähkö_vuosi&lt;='S2 Bio'!C420,"tuulisähkö",ostosähkö_nyt)</f>
        <v>jäännössähkö</v>
      </c>
      <c r="O420" s="147">
        <f>INDEX(Muuttujat!$J$5:$J$21,MATCH($C420,Muuttujat!$H$5:$H$21,0),1)</f>
        <v>60.765893284281319</v>
      </c>
      <c r="P420" s="148">
        <f t="shared" si="143"/>
        <v>0.19399999999999995</v>
      </c>
      <c r="Q420" s="148">
        <f t="shared" si="149"/>
        <v>0.80600000000000005</v>
      </c>
      <c r="R420" s="148">
        <f t="shared" si="149"/>
        <v>0.80600000000000005</v>
      </c>
      <c r="S420" s="149">
        <f t="shared" si="137"/>
        <v>0</v>
      </c>
      <c r="T420" s="150">
        <f t="shared" si="138"/>
        <v>0</v>
      </c>
      <c r="U420" s="150">
        <f t="shared" si="139"/>
        <v>0</v>
      </c>
      <c r="V420" s="150">
        <f>IFERROR(INDEX(Työkonekanta!$J$3:$J$27,MATCH($A420,Työkonekanta!$A$3:$A$24,0),1)*$B420*ef_li_ion_akku/1000/1000/INDEX(Työkonekanta!$K$3:$K$27,MATCH($A420,Työkonekanta!$A$3:$A$24,0)),0)</f>
        <v>0</v>
      </c>
      <c r="W420" s="149">
        <f t="shared" si="150"/>
        <v>0</v>
      </c>
      <c r="X420" s="150">
        <f t="shared" si="151"/>
        <v>0</v>
      </c>
      <c r="Y420" s="151">
        <f t="shared" si="152"/>
        <v>0</v>
      </c>
      <c r="Z420" s="152">
        <f t="shared" si="144"/>
        <v>0</v>
      </c>
      <c r="AA420" s="153">
        <f t="shared" si="145"/>
        <v>0</v>
      </c>
      <c r="AB420" s="153">
        <f t="shared" si="146"/>
        <v>0</v>
      </c>
      <c r="AC420" s="154">
        <f t="shared" si="153"/>
        <v>0</v>
      </c>
      <c r="AD420" s="180">
        <f t="shared" si="147"/>
        <v>0</v>
      </c>
      <c r="AE420" s="160"/>
    </row>
    <row r="421" spans="1:31">
      <c r="A421" s="139">
        <v>29</v>
      </c>
      <c r="B421" s="139">
        <f>IFERROR(INDEX(Työkonekanta!$F$3:$F$27,MATCH('S2 Bio'!$A421,Työkonekanta!$A$3:$A$24,0),1),0)</f>
        <v>0</v>
      </c>
      <c r="C421" s="140">
        <v>2032</v>
      </c>
      <c r="D421" s="141" t="str">
        <f>IFERROR(INDEX(Työkonekanta!$D$3:$D$27,MATCH('S2 Bio'!$A421,Työkonekanta!$A$3:$A$24,0),1),"undefined")</f>
        <v>undefined</v>
      </c>
      <c r="E421" s="145">
        <f>IFERROR(INDEX(Työkonekanta!$G$3:$G$27,MATCH($A421,Työkonekanta!$A$3:$A$24,0),1)*INDEX(Työkonekanta!$H$3:$H$27,MATCH($A421,Työkonekanta!$A$3:$A$24,0),1)*(1+_xlfn.SINGLE(s2_kerroin)*($C421-2019))*$B421,0)</f>
        <v>0</v>
      </c>
      <c r="F421" s="145">
        <f t="shared" si="134"/>
        <v>0</v>
      </c>
      <c r="G421" s="145">
        <f t="shared" si="140"/>
        <v>0</v>
      </c>
      <c r="H421" s="145">
        <f t="shared" si="141"/>
        <v>0</v>
      </c>
      <c r="I421" s="145">
        <f t="shared" si="135"/>
        <v>0</v>
      </c>
      <c r="J421" s="145">
        <f t="shared" si="136"/>
        <v>0</v>
      </c>
      <c r="K421" s="142" t="str">
        <f t="shared" si="142"/>
        <v>undefined</v>
      </c>
      <c r="L421" s="146">
        <f>IFERROR(INDEX(Työkonekanta!$I$3:$I$27,MATCH('S2 Bio'!$A421,Työkonekanta!$A$3:$A$24,0),1)*(I421+J421)*f_adblue,0)</f>
        <v>0</v>
      </c>
      <c r="M421" s="146">
        <f t="shared" si="148"/>
        <v>0</v>
      </c>
      <c r="N421" s="143" t="str">
        <f>IF(tuulisähkö_vuosi&lt;='S2 Bio'!C421,"tuulisähkö",ostosähkö_nyt)</f>
        <v>jäännössähkö</v>
      </c>
      <c r="O421" s="147">
        <f>INDEX(Muuttujat!$J$5:$J$21,MATCH($C421,Muuttujat!$H$5:$H$21,0),1)</f>
        <v>60.765893284281319</v>
      </c>
      <c r="P421" s="148">
        <f t="shared" si="143"/>
        <v>0.19399999999999995</v>
      </c>
      <c r="Q421" s="148">
        <f t="shared" si="149"/>
        <v>0.80600000000000005</v>
      </c>
      <c r="R421" s="148">
        <f t="shared" si="149"/>
        <v>0.80600000000000005</v>
      </c>
      <c r="S421" s="149">
        <f t="shared" si="137"/>
        <v>0</v>
      </c>
      <c r="T421" s="150">
        <f t="shared" si="138"/>
        <v>0</v>
      </c>
      <c r="U421" s="150">
        <f t="shared" si="139"/>
        <v>0</v>
      </c>
      <c r="V421" s="150">
        <f>IFERROR(INDEX(Työkonekanta!$J$3:$J$27,MATCH($A421,Työkonekanta!$A$3:$A$24,0),1)*$B421*ef_li_ion_akku/1000/1000/INDEX(Työkonekanta!$K$3:$K$27,MATCH($A421,Työkonekanta!$A$3:$A$24,0)),0)</f>
        <v>0</v>
      </c>
      <c r="W421" s="149">
        <f t="shared" si="150"/>
        <v>0</v>
      </c>
      <c r="X421" s="150">
        <f t="shared" si="151"/>
        <v>0</v>
      </c>
      <c r="Y421" s="151">
        <f t="shared" si="152"/>
        <v>0</v>
      </c>
      <c r="Z421" s="152">
        <f t="shared" si="144"/>
        <v>0</v>
      </c>
      <c r="AA421" s="153">
        <f t="shared" si="145"/>
        <v>0</v>
      </c>
      <c r="AB421" s="153">
        <f t="shared" si="146"/>
        <v>0</v>
      </c>
      <c r="AC421" s="154">
        <f t="shared" si="153"/>
        <v>0</v>
      </c>
      <c r="AD421" s="180">
        <f t="shared" si="147"/>
        <v>0</v>
      </c>
      <c r="AE421" s="160"/>
    </row>
    <row r="422" spans="1:31">
      <c r="A422" s="139">
        <v>30</v>
      </c>
      <c r="B422" s="139">
        <f>IFERROR(INDEX(Työkonekanta!$F$3:$F$27,MATCH('S2 Bio'!$A422,Työkonekanta!$A$3:$A$24,0),1),0)</f>
        <v>0</v>
      </c>
      <c r="C422" s="140">
        <v>2032</v>
      </c>
      <c r="D422" s="141" t="str">
        <f>IFERROR(INDEX(Työkonekanta!$D$3:$D$27,MATCH('S2 Bio'!$A422,Työkonekanta!$A$3:$A$24,0),1),"undefined")</f>
        <v>undefined</v>
      </c>
      <c r="E422" s="145">
        <f>IFERROR(INDEX(Työkonekanta!$G$3:$G$27,MATCH($A422,Työkonekanta!$A$3:$A$24,0),1)*INDEX(Työkonekanta!$H$3:$H$27,MATCH($A422,Työkonekanta!$A$3:$A$24,0),1)*(1+_xlfn.SINGLE(s2_kerroin)*($C422-2019))*$B422,0)</f>
        <v>0</v>
      </c>
      <c r="F422" s="145">
        <f t="shared" si="134"/>
        <v>0</v>
      </c>
      <c r="G422" s="145">
        <f t="shared" si="140"/>
        <v>0</v>
      </c>
      <c r="H422" s="145">
        <f t="shared" si="141"/>
        <v>0</v>
      </c>
      <c r="I422" s="145">
        <f t="shared" si="135"/>
        <v>0</v>
      </c>
      <c r="J422" s="145">
        <f t="shared" si="136"/>
        <v>0</v>
      </c>
      <c r="K422" s="142" t="str">
        <f t="shared" si="142"/>
        <v>undefined</v>
      </c>
      <c r="L422" s="146">
        <f>IFERROR(INDEX(Työkonekanta!$I$3:$I$27,MATCH('S2 Bio'!$A422,Työkonekanta!$A$3:$A$24,0),1)*(I422+J422)*f_adblue,0)</f>
        <v>0</v>
      </c>
      <c r="M422" s="146">
        <f t="shared" si="148"/>
        <v>0</v>
      </c>
      <c r="N422" s="143" t="str">
        <f>IF(tuulisähkö_vuosi&lt;='S2 Bio'!C422,"tuulisähkö",ostosähkö_nyt)</f>
        <v>jäännössähkö</v>
      </c>
      <c r="O422" s="147">
        <f>INDEX(Muuttujat!$J$5:$J$21,MATCH($C422,Muuttujat!$H$5:$H$21,0),1)</f>
        <v>60.765893284281319</v>
      </c>
      <c r="P422" s="148">
        <f t="shared" si="143"/>
        <v>0.19399999999999995</v>
      </c>
      <c r="Q422" s="148">
        <f t="shared" si="149"/>
        <v>0.80600000000000005</v>
      </c>
      <c r="R422" s="148">
        <f t="shared" si="149"/>
        <v>0.80600000000000005</v>
      </c>
      <c r="S422" s="149">
        <f t="shared" si="137"/>
        <v>0</v>
      </c>
      <c r="T422" s="150">
        <f t="shared" si="138"/>
        <v>0</v>
      </c>
      <c r="U422" s="150">
        <f t="shared" si="139"/>
        <v>0</v>
      </c>
      <c r="V422" s="150">
        <f>IFERROR(INDEX(Työkonekanta!$J$3:$J$27,MATCH($A422,Työkonekanta!$A$3:$A$24,0),1)*$B422*ef_li_ion_akku/1000/1000/INDEX(Työkonekanta!$K$3:$K$27,MATCH($A422,Työkonekanta!$A$3:$A$24,0)),0)</f>
        <v>0</v>
      </c>
      <c r="W422" s="149">
        <f t="shared" si="150"/>
        <v>0</v>
      </c>
      <c r="X422" s="150">
        <f t="shared" si="151"/>
        <v>0</v>
      </c>
      <c r="Y422" s="151">
        <f t="shared" si="152"/>
        <v>0</v>
      </c>
      <c r="Z422" s="152">
        <f t="shared" si="144"/>
        <v>0</v>
      </c>
      <c r="AA422" s="153">
        <f t="shared" si="145"/>
        <v>0</v>
      </c>
      <c r="AB422" s="153">
        <f t="shared" si="146"/>
        <v>0</v>
      </c>
      <c r="AC422" s="154">
        <f t="shared" si="153"/>
        <v>0</v>
      </c>
      <c r="AD422" s="180">
        <f t="shared" si="147"/>
        <v>0</v>
      </c>
      <c r="AE422" s="160"/>
    </row>
    <row r="423" spans="1:31">
      <c r="A423" s="139">
        <v>1</v>
      </c>
      <c r="B423" s="139">
        <f>IFERROR(INDEX(Työkonekanta!$F$3:$F$27,MATCH('S2 Bio'!$A423,Työkonekanta!$A$3:$A$24,0),1),0)</f>
        <v>1</v>
      </c>
      <c r="C423" s="140">
        <v>2033</v>
      </c>
      <c r="D423" s="141" t="str">
        <f>IFERROR(INDEX(Työkonekanta!$D$3:$D$27,MATCH('S2 Bio'!$A423,Työkonekanta!$A$3:$A$24,0),1),"undefined")</f>
        <v>pom</v>
      </c>
      <c r="E423" s="145">
        <f>IFERROR(INDEX(Työkonekanta!$G$3:$G$27,MATCH($A423,Työkonekanta!$A$3:$A$24,0),1)*INDEX(Työkonekanta!$H$3:$H$27,MATCH($A423,Työkonekanta!$A$3:$A$24,0),1)*(1+_xlfn.SINGLE(s2_kerroin)*($C423-2019))*$B423,0)</f>
        <v>11400.000000000002</v>
      </c>
      <c r="F423" s="145">
        <f t="shared" si="134"/>
        <v>409260.00000000006</v>
      </c>
      <c r="G423" s="145">
        <f t="shared" si="140"/>
        <v>52930.959999999992</v>
      </c>
      <c r="H423" s="145">
        <f t="shared" si="141"/>
        <v>356329.04000000004</v>
      </c>
      <c r="I423" s="145">
        <f t="shared" si="135"/>
        <v>1474.3999999999999</v>
      </c>
      <c r="J423" s="145">
        <f t="shared" si="136"/>
        <v>10388.60174927114</v>
      </c>
      <c r="K423" s="142" t="str">
        <f t="shared" si="142"/>
        <v>l</v>
      </c>
      <c r="L423" s="146">
        <f>IFERROR(INDEX(Työkonekanta!$I$3:$I$27,MATCH('S2 Bio'!$A423,Työkonekanta!$A$3:$A$24,0),1)*(I423+J423)*f_adblue,0)</f>
        <v>593.15008746355704</v>
      </c>
      <c r="M423" s="146">
        <f t="shared" si="148"/>
        <v>0</v>
      </c>
      <c r="N423" s="143" t="str">
        <f>IF(tuulisähkö_vuosi&lt;='S2 Bio'!C423,"tuulisähkö",ostosähkö_nyt)</f>
        <v>jäännössähkö</v>
      </c>
      <c r="O423" s="147">
        <f>INDEX(Muuttujat!$J$5:$J$21,MATCH($C423,Muuttujat!$H$5:$H$21,0),1)</f>
        <v>60.158234351438509</v>
      </c>
      <c r="P423" s="148">
        <f t="shared" si="143"/>
        <v>0.1293333333333333</v>
      </c>
      <c r="Q423" s="148">
        <f t="shared" ref="Q423:R442" si="154">IF(biosiirtymä_luonne="äkillinen",INDEX($AG$4:$AG$20,MATCH($C423,$AF$4:$AF$20,0),1),INDEX($AH$4:$AH$20,MATCH($C423,$AF$4:$AF$20,0),1))</f>
        <v>0.8706666666666667</v>
      </c>
      <c r="R423" s="148">
        <f t="shared" si="154"/>
        <v>0.8706666666666667</v>
      </c>
      <c r="S423" s="149">
        <f t="shared" si="137"/>
        <v>1.0003951439999996</v>
      </c>
      <c r="T423" s="150">
        <f t="shared" si="138"/>
        <v>22.234932096000001</v>
      </c>
      <c r="U423" s="150">
        <f t="shared" si="139"/>
        <v>0</v>
      </c>
      <c r="V423" s="150">
        <f>IFERROR(INDEX(Työkonekanta!$J$3:$J$27,MATCH($A423,Työkonekanta!$A$3:$A$24,0),1)*$B423*ef_li_ion_akku/1000/1000/INDEX(Työkonekanta!$K$3:$K$27,MATCH($A423,Työkonekanta!$A$3:$A$24,0)),0)</f>
        <v>0</v>
      </c>
      <c r="W423" s="149">
        <f t="shared" si="150"/>
        <v>3.9067417548878396</v>
      </c>
      <c r="X423" s="150">
        <f t="shared" si="151"/>
        <v>0.36223005240000006</v>
      </c>
      <c r="Y423" s="151">
        <f t="shared" si="152"/>
        <v>0.15421902274052485</v>
      </c>
      <c r="Z423" s="152">
        <f t="shared" si="144"/>
        <v>23.23532724</v>
      </c>
      <c r="AA423" s="153">
        <f t="shared" si="145"/>
        <v>4.060960777628364</v>
      </c>
      <c r="AB423" s="153">
        <f t="shared" si="146"/>
        <v>4.4231908300283642</v>
      </c>
      <c r="AC423" s="154">
        <f t="shared" si="153"/>
        <v>27.296288017628363</v>
      </c>
      <c r="AD423" s="180">
        <f t="shared" si="147"/>
        <v>27.658518070028364</v>
      </c>
      <c r="AE423" s="160"/>
    </row>
    <row r="424" spans="1:31">
      <c r="A424" s="139">
        <v>2</v>
      </c>
      <c r="B424" s="139">
        <f>IFERROR(INDEX(Työkonekanta!$F$3:$F$27,MATCH('S2 Bio'!$A424,Työkonekanta!$A$3:$A$24,0),1),0)</f>
        <v>1</v>
      </c>
      <c r="C424" s="140">
        <v>2033</v>
      </c>
      <c r="D424" s="141" t="str">
        <f>IFERROR(INDEX(Työkonekanta!$D$3:$D$27,MATCH('S2 Bio'!$A424,Työkonekanta!$A$3:$A$24,0),1),"undefined")</f>
        <v>pom</v>
      </c>
      <c r="E424" s="145">
        <f>IFERROR(INDEX(Työkonekanta!$G$3:$G$27,MATCH($A424,Työkonekanta!$A$3:$A$24,0),1)*INDEX(Työkonekanta!$H$3:$H$27,MATCH($A424,Työkonekanta!$A$3:$A$24,0),1)*(1+_xlfn.SINGLE(s2_kerroin)*($C424-2019))*$B424,0)</f>
        <v>11400.000000000002</v>
      </c>
      <c r="F424" s="145">
        <f t="shared" si="134"/>
        <v>409260.00000000006</v>
      </c>
      <c r="G424" s="145">
        <f t="shared" si="140"/>
        <v>52930.959999999992</v>
      </c>
      <c r="H424" s="145">
        <f t="shared" si="141"/>
        <v>356329.04000000004</v>
      </c>
      <c r="I424" s="145">
        <f t="shared" si="135"/>
        <v>1474.3999999999999</v>
      </c>
      <c r="J424" s="145">
        <f t="shared" si="136"/>
        <v>10388.60174927114</v>
      </c>
      <c r="K424" s="142" t="str">
        <f t="shared" si="142"/>
        <v>l</v>
      </c>
      <c r="L424" s="146">
        <f>IFERROR(INDEX(Työkonekanta!$I$3:$I$27,MATCH('S2 Bio'!$A424,Työkonekanta!$A$3:$A$24,0),1)*(I424+J424)*f_adblue,0)</f>
        <v>593.15008746355704</v>
      </c>
      <c r="M424" s="146">
        <f t="shared" si="148"/>
        <v>0</v>
      </c>
      <c r="N424" s="143" t="str">
        <f>IF(tuulisähkö_vuosi&lt;='S2 Bio'!C424,"tuulisähkö",ostosähkö_nyt)</f>
        <v>jäännössähkö</v>
      </c>
      <c r="O424" s="147">
        <f>INDEX(Muuttujat!$J$5:$J$21,MATCH($C424,Muuttujat!$H$5:$H$21,0),1)</f>
        <v>60.158234351438509</v>
      </c>
      <c r="P424" s="148">
        <f t="shared" si="143"/>
        <v>0.1293333333333333</v>
      </c>
      <c r="Q424" s="148">
        <f t="shared" si="154"/>
        <v>0.8706666666666667</v>
      </c>
      <c r="R424" s="148">
        <f t="shared" si="154"/>
        <v>0.8706666666666667</v>
      </c>
      <c r="S424" s="149">
        <f t="shared" si="137"/>
        <v>1.0003951439999996</v>
      </c>
      <c r="T424" s="150">
        <f t="shared" si="138"/>
        <v>22.234932096000001</v>
      </c>
      <c r="U424" s="150">
        <f t="shared" si="139"/>
        <v>0</v>
      </c>
      <c r="V424" s="150">
        <f>IFERROR(INDEX(Työkonekanta!$J$3:$J$27,MATCH($A424,Työkonekanta!$A$3:$A$24,0),1)*$B424*ef_li_ion_akku/1000/1000/INDEX(Työkonekanta!$K$3:$K$27,MATCH($A424,Työkonekanta!$A$3:$A$24,0)),0)</f>
        <v>0</v>
      </c>
      <c r="W424" s="149">
        <f t="shared" si="150"/>
        <v>3.9067417548878396</v>
      </c>
      <c r="X424" s="150">
        <f t="shared" si="151"/>
        <v>0.36223005240000006</v>
      </c>
      <c r="Y424" s="151">
        <f t="shared" si="152"/>
        <v>0.15421902274052485</v>
      </c>
      <c r="Z424" s="152">
        <f t="shared" si="144"/>
        <v>23.23532724</v>
      </c>
      <c r="AA424" s="153">
        <f t="shared" si="145"/>
        <v>4.060960777628364</v>
      </c>
      <c r="AB424" s="153">
        <f t="shared" si="146"/>
        <v>4.4231908300283642</v>
      </c>
      <c r="AC424" s="154">
        <f t="shared" si="153"/>
        <v>27.296288017628363</v>
      </c>
      <c r="AD424" s="180">
        <f t="shared" si="147"/>
        <v>27.658518070028364</v>
      </c>
      <c r="AE424" s="160"/>
    </row>
    <row r="425" spans="1:31">
      <c r="A425" s="139">
        <v>3</v>
      </c>
      <c r="B425" s="139">
        <f>IFERROR(INDEX(Työkonekanta!$F$3:$F$27,MATCH('S2 Bio'!$A425,Työkonekanta!$A$3:$A$24,0),1),0)</f>
        <v>1</v>
      </c>
      <c r="C425" s="140">
        <v>2033</v>
      </c>
      <c r="D425" s="141" t="str">
        <f>IFERROR(INDEX(Työkonekanta!$D$3:$D$27,MATCH('S2 Bio'!$A425,Työkonekanta!$A$3:$A$24,0),1),"undefined")</f>
        <v>pom</v>
      </c>
      <c r="E425" s="145">
        <f>IFERROR(INDEX(Työkonekanta!$G$3:$G$27,MATCH($A425,Työkonekanta!$A$3:$A$24,0),1)*INDEX(Työkonekanta!$H$3:$H$27,MATCH($A425,Työkonekanta!$A$3:$A$24,0),1)*(1+_xlfn.SINGLE(s2_kerroin)*($C425-2019))*$B425,0)</f>
        <v>11400.000000000002</v>
      </c>
      <c r="F425" s="145">
        <f t="shared" si="134"/>
        <v>409260.00000000006</v>
      </c>
      <c r="G425" s="145">
        <f t="shared" si="140"/>
        <v>52930.959999999992</v>
      </c>
      <c r="H425" s="145">
        <f t="shared" si="141"/>
        <v>356329.04000000004</v>
      </c>
      <c r="I425" s="145">
        <f t="shared" si="135"/>
        <v>1474.3999999999999</v>
      </c>
      <c r="J425" s="145">
        <f t="shared" si="136"/>
        <v>10388.60174927114</v>
      </c>
      <c r="K425" s="142" t="str">
        <f t="shared" si="142"/>
        <v>l</v>
      </c>
      <c r="L425" s="146">
        <f>IFERROR(INDEX(Työkonekanta!$I$3:$I$27,MATCH('S2 Bio'!$A425,Työkonekanta!$A$3:$A$24,0),1)*(I425+J425)*f_adblue,0)</f>
        <v>593.15008746355704</v>
      </c>
      <c r="M425" s="146">
        <f t="shared" si="148"/>
        <v>0</v>
      </c>
      <c r="N425" s="143" t="str">
        <f>IF(tuulisähkö_vuosi&lt;='S2 Bio'!C425,"tuulisähkö",ostosähkö_nyt)</f>
        <v>jäännössähkö</v>
      </c>
      <c r="O425" s="147">
        <f>INDEX(Muuttujat!$J$5:$J$21,MATCH($C425,Muuttujat!$H$5:$H$21,0),1)</f>
        <v>60.158234351438509</v>
      </c>
      <c r="P425" s="148">
        <f t="shared" si="143"/>
        <v>0.1293333333333333</v>
      </c>
      <c r="Q425" s="148">
        <f t="shared" si="154"/>
        <v>0.8706666666666667</v>
      </c>
      <c r="R425" s="148">
        <f t="shared" si="154"/>
        <v>0.8706666666666667</v>
      </c>
      <c r="S425" s="149">
        <f t="shared" si="137"/>
        <v>1.0003951439999996</v>
      </c>
      <c r="T425" s="150">
        <f t="shared" si="138"/>
        <v>22.234932096000001</v>
      </c>
      <c r="U425" s="150">
        <f t="shared" si="139"/>
        <v>0</v>
      </c>
      <c r="V425" s="150">
        <f>IFERROR(INDEX(Työkonekanta!$J$3:$J$27,MATCH($A425,Työkonekanta!$A$3:$A$24,0),1)*$B425*ef_li_ion_akku/1000/1000/INDEX(Työkonekanta!$K$3:$K$27,MATCH($A425,Työkonekanta!$A$3:$A$24,0)),0)</f>
        <v>0</v>
      </c>
      <c r="W425" s="149">
        <f t="shared" si="150"/>
        <v>3.9067417548878396</v>
      </c>
      <c r="X425" s="150">
        <f t="shared" si="151"/>
        <v>0.36223005240000006</v>
      </c>
      <c r="Y425" s="151">
        <f t="shared" si="152"/>
        <v>0.15421902274052485</v>
      </c>
      <c r="Z425" s="152">
        <f t="shared" si="144"/>
        <v>23.23532724</v>
      </c>
      <c r="AA425" s="153">
        <f t="shared" si="145"/>
        <v>4.060960777628364</v>
      </c>
      <c r="AB425" s="153">
        <f t="shared" si="146"/>
        <v>4.4231908300283642</v>
      </c>
      <c r="AC425" s="154">
        <f t="shared" si="153"/>
        <v>27.296288017628363</v>
      </c>
      <c r="AD425" s="180">
        <f t="shared" si="147"/>
        <v>27.658518070028364</v>
      </c>
      <c r="AE425" s="160"/>
    </row>
    <row r="426" spans="1:31">
      <c r="A426" s="139">
        <v>4</v>
      </c>
      <c r="B426" s="139">
        <f>IFERROR(INDEX(Työkonekanta!$F$3:$F$27,MATCH('S2 Bio'!$A426,Työkonekanta!$A$3:$A$24,0),1),0)</f>
        <v>1</v>
      </c>
      <c r="C426" s="140">
        <v>2033</v>
      </c>
      <c r="D426" s="141" t="str">
        <f>IFERROR(INDEX(Työkonekanta!$D$3:$D$27,MATCH('S2 Bio'!$A426,Työkonekanta!$A$3:$A$24,0),1),"undefined")</f>
        <v>pom</v>
      </c>
      <c r="E426" s="145">
        <f>IFERROR(INDEX(Työkonekanta!$G$3:$G$27,MATCH($A426,Työkonekanta!$A$3:$A$24,0),1)*INDEX(Työkonekanta!$H$3:$H$27,MATCH($A426,Työkonekanta!$A$3:$A$24,0),1)*(1+_xlfn.SINGLE(s2_kerroin)*($C426-2019))*$B426,0)</f>
        <v>11400.000000000002</v>
      </c>
      <c r="F426" s="145">
        <f t="shared" si="134"/>
        <v>409260.00000000006</v>
      </c>
      <c r="G426" s="145">
        <f t="shared" si="140"/>
        <v>52930.959999999992</v>
      </c>
      <c r="H426" s="145">
        <f t="shared" si="141"/>
        <v>356329.04000000004</v>
      </c>
      <c r="I426" s="145">
        <f t="shared" si="135"/>
        <v>1474.3999999999999</v>
      </c>
      <c r="J426" s="145">
        <f t="shared" si="136"/>
        <v>10388.60174927114</v>
      </c>
      <c r="K426" s="142" t="str">
        <f t="shared" si="142"/>
        <v>l</v>
      </c>
      <c r="L426" s="146">
        <f>IFERROR(INDEX(Työkonekanta!$I$3:$I$27,MATCH('S2 Bio'!$A426,Työkonekanta!$A$3:$A$24,0),1)*(I426+J426)*f_adblue,0)</f>
        <v>593.15008746355704</v>
      </c>
      <c r="M426" s="146">
        <f t="shared" si="148"/>
        <v>0</v>
      </c>
      <c r="N426" s="143" t="str">
        <f>IF(tuulisähkö_vuosi&lt;='S2 Bio'!C426,"tuulisähkö",ostosähkö_nyt)</f>
        <v>jäännössähkö</v>
      </c>
      <c r="O426" s="147">
        <f>INDEX(Muuttujat!$J$5:$J$21,MATCH($C426,Muuttujat!$H$5:$H$21,0),1)</f>
        <v>60.158234351438509</v>
      </c>
      <c r="P426" s="148">
        <f t="shared" si="143"/>
        <v>0.1293333333333333</v>
      </c>
      <c r="Q426" s="148">
        <f t="shared" si="154"/>
        <v>0.8706666666666667</v>
      </c>
      <c r="R426" s="148">
        <f t="shared" si="154"/>
        <v>0.8706666666666667</v>
      </c>
      <c r="S426" s="149">
        <f t="shared" si="137"/>
        <v>1.0003951439999996</v>
      </c>
      <c r="T426" s="150">
        <f t="shared" si="138"/>
        <v>22.234932096000001</v>
      </c>
      <c r="U426" s="150">
        <f t="shared" si="139"/>
        <v>0</v>
      </c>
      <c r="V426" s="150">
        <f>IFERROR(INDEX(Työkonekanta!$J$3:$J$27,MATCH($A426,Työkonekanta!$A$3:$A$24,0),1)*$B426*ef_li_ion_akku/1000/1000/INDEX(Työkonekanta!$K$3:$K$27,MATCH($A426,Työkonekanta!$A$3:$A$24,0)),0)</f>
        <v>0</v>
      </c>
      <c r="W426" s="149">
        <f t="shared" si="150"/>
        <v>3.9067417548878396</v>
      </c>
      <c r="X426" s="150">
        <f t="shared" si="151"/>
        <v>0.36223005240000006</v>
      </c>
      <c r="Y426" s="151">
        <f t="shared" si="152"/>
        <v>0.15421902274052485</v>
      </c>
      <c r="Z426" s="152">
        <f t="shared" si="144"/>
        <v>23.23532724</v>
      </c>
      <c r="AA426" s="153">
        <f t="shared" si="145"/>
        <v>4.060960777628364</v>
      </c>
      <c r="AB426" s="153">
        <f t="shared" si="146"/>
        <v>4.4231908300283642</v>
      </c>
      <c r="AC426" s="154">
        <f t="shared" si="153"/>
        <v>27.296288017628363</v>
      </c>
      <c r="AD426" s="180">
        <f t="shared" si="147"/>
        <v>27.658518070028364</v>
      </c>
      <c r="AE426" s="160"/>
    </row>
    <row r="427" spans="1:31">
      <c r="A427" s="139">
        <v>5</v>
      </c>
      <c r="B427" s="139">
        <f>IFERROR(INDEX(Työkonekanta!$F$3:$F$27,MATCH('S2 Bio'!$A427,Työkonekanta!$A$3:$A$24,0),1),0)</f>
        <v>0</v>
      </c>
      <c r="C427" s="140">
        <v>2033</v>
      </c>
      <c r="D427" s="141" t="str">
        <f>IFERROR(INDEX(Työkonekanta!$D$3:$D$27,MATCH('S2 Bio'!$A427,Työkonekanta!$A$3:$A$24,0),1),"undefined")</f>
        <v>sähkö</v>
      </c>
      <c r="E427" s="145">
        <f>IFERROR(INDEX(Työkonekanta!$G$3:$G$27,MATCH($A427,Työkonekanta!$A$3:$A$24,0),1)*INDEX(Työkonekanta!$H$3:$H$27,MATCH($A427,Työkonekanta!$A$3:$A$24,0),1)*(1+_xlfn.SINGLE(s2_kerroin)*($C427-2019))*$B427,0)</f>
        <v>0</v>
      </c>
      <c r="F427" s="145">
        <f t="shared" si="134"/>
        <v>0</v>
      </c>
      <c r="G427" s="145">
        <f t="shared" si="140"/>
        <v>0</v>
      </c>
      <c r="H427" s="145">
        <f t="shared" si="141"/>
        <v>0</v>
      </c>
      <c r="I427" s="145">
        <f t="shared" si="135"/>
        <v>0</v>
      </c>
      <c r="J427" s="145">
        <f t="shared" si="136"/>
        <v>0</v>
      </c>
      <c r="K427" s="142" t="str">
        <f t="shared" si="142"/>
        <v>kWh</v>
      </c>
      <c r="L427" s="146">
        <f>IFERROR(INDEX(Työkonekanta!$I$3:$I$27,MATCH('S2 Bio'!$A427,Työkonekanta!$A$3:$A$24,0),1)*(I427+J427)*f_adblue,0)</f>
        <v>0</v>
      </c>
      <c r="M427" s="146">
        <f t="shared" si="148"/>
        <v>0</v>
      </c>
      <c r="N427" s="143" t="str">
        <f>IF(tuulisähkö_vuosi&lt;='S2 Bio'!C427,"tuulisähkö",ostosähkö_nyt)</f>
        <v>jäännössähkö</v>
      </c>
      <c r="O427" s="147">
        <f>INDEX(Muuttujat!$J$5:$J$21,MATCH($C427,Muuttujat!$H$5:$H$21,0),1)</f>
        <v>60.158234351438509</v>
      </c>
      <c r="P427" s="148">
        <f t="shared" si="143"/>
        <v>0.1293333333333333</v>
      </c>
      <c r="Q427" s="148">
        <f t="shared" si="154"/>
        <v>0.8706666666666667</v>
      </c>
      <c r="R427" s="148">
        <f t="shared" si="154"/>
        <v>0.8706666666666667</v>
      </c>
      <c r="S427" s="149">
        <f t="shared" si="137"/>
        <v>0</v>
      </c>
      <c r="T427" s="150">
        <f t="shared" si="138"/>
        <v>0</v>
      </c>
      <c r="U427" s="150">
        <f t="shared" si="139"/>
        <v>0</v>
      </c>
      <c r="V427" s="150">
        <f>IFERROR(INDEX(Työkonekanta!$J$3:$J$27,MATCH($A427,Työkonekanta!$A$3:$A$24,0),1)*$B427*ef_li_ion_akku/1000/1000/INDEX(Työkonekanta!$K$3:$K$27,MATCH($A427,Työkonekanta!$A$3:$A$24,0)),0)</f>
        <v>0</v>
      </c>
      <c r="W427" s="149">
        <f t="shared" si="150"/>
        <v>0</v>
      </c>
      <c r="X427" s="150">
        <f t="shared" si="151"/>
        <v>0</v>
      </c>
      <c r="Y427" s="151">
        <f t="shared" si="152"/>
        <v>0</v>
      </c>
      <c r="Z427" s="152">
        <f t="shared" si="144"/>
        <v>0</v>
      </c>
      <c r="AA427" s="153">
        <f t="shared" si="145"/>
        <v>0</v>
      </c>
      <c r="AB427" s="153">
        <f t="shared" si="146"/>
        <v>0</v>
      </c>
      <c r="AC427" s="154">
        <f t="shared" si="153"/>
        <v>0</v>
      </c>
      <c r="AD427" s="180">
        <f t="shared" si="147"/>
        <v>0</v>
      </c>
      <c r="AE427" s="160"/>
    </row>
    <row r="428" spans="1:31">
      <c r="A428" s="139">
        <v>6</v>
      </c>
      <c r="B428" s="139">
        <f>IFERROR(INDEX(Työkonekanta!$F$3:$F$27,MATCH('S2 Bio'!$A428,Työkonekanta!$A$3:$A$24,0),1),0)</f>
        <v>0</v>
      </c>
      <c r="C428" s="140">
        <v>2033</v>
      </c>
      <c r="D428" s="141" t="str">
        <f>IFERROR(INDEX(Työkonekanta!$D$3:$D$27,MATCH('S2 Bio'!$A428,Työkonekanta!$A$3:$A$24,0),1),"undefined")</f>
        <v>sähkö</v>
      </c>
      <c r="E428" s="145">
        <f>IFERROR(INDEX(Työkonekanta!$G$3:$G$27,MATCH($A428,Työkonekanta!$A$3:$A$24,0),1)*INDEX(Työkonekanta!$H$3:$H$27,MATCH($A428,Työkonekanta!$A$3:$A$24,0),1)*(1+_xlfn.SINGLE(s2_kerroin)*($C428-2019))*$B428,0)</f>
        <v>0</v>
      </c>
      <c r="F428" s="145">
        <f t="shared" si="134"/>
        <v>0</v>
      </c>
      <c r="G428" s="145">
        <f t="shared" si="140"/>
        <v>0</v>
      </c>
      <c r="H428" s="145">
        <f t="shared" si="141"/>
        <v>0</v>
      </c>
      <c r="I428" s="145">
        <f t="shared" si="135"/>
        <v>0</v>
      </c>
      <c r="J428" s="145">
        <f t="shared" si="136"/>
        <v>0</v>
      </c>
      <c r="K428" s="142" t="str">
        <f t="shared" si="142"/>
        <v>kWh</v>
      </c>
      <c r="L428" s="146">
        <f>IFERROR(INDEX(Työkonekanta!$I$3:$I$27,MATCH('S2 Bio'!$A428,Työkonekanta!$A$3:$A$24,0),1)*(I428+J428)*f_adblue,0)</f>
        <v>0</v>
      </c>
      <c r="M428" s="146">
        <f t="shared" si="148"/>
        <v>0</v>
      </c>
      <c r="N428" s="143" t="str">
        <f>IF(tuulisähkö_vuosi&lt;='S2 Bio'!C428,"tuulisähkö",ostosähkö_nyt)</f>
        <v>jäännössähkö</v>
      </c>
      <c r="O428" s="147">
        <f>INDEX(Muuttujat!$J$5:$J$21,MATCH($C428,Muuttujat!$H$5:$H$21,0),1)</f>
        <v>60.158234351438509</v>
      </c>
      <c r="P428" s="148">
        <f t="shared" si="143"/>
        <v>0.1293333333333333</v>
      </c>
      <c r="Q428" s="148">
        <f t="shared" si="154"/>
        <v>0.8706666666666667</v>
      </c>
      <c r="R428" s="148">
        <f t="shared" si="154"/>
        <v>0.8706666666666667</v>
      </c>
      <c r="S428" s="149">
        <f t="shared" si="137"/>
        <v>0</v>
      </c>
      <c r="T428" s="150">
        <f t="shared" si="138"/>
        <v>0</v>
      </c>
      <c r="U428" s="150">
        <f t="shared" si="139"/>
        <v>0</v>
      </c>
      <c r="V428" s="150">
        <f>IFERROR(INDEX(Työkonekanta!$J$3:$J$27,MATCH($A428,Työkonekanta!$A$3:$A$24,0),1)*$B428*ef_li_ion_akku/1000/1000/INDEX(Työkonekanta!$K$3:$K$27,MATCH($A428,Työkonekanta!$A$3:$A$24,0)),0)</f>
        <v>0</v>
      </c>
      <c r="W428" s="149">
        <f t="shared" si="150"/>
        <v>0</v>
      </c>
      <c r="X428" s="150">
        <f t="shared" si="151"/>
        <v>0</v>
      </c>
      <c r="Y428" s="151">
        <f t="shared" si="152"/>
        <v>0</v>
      </c>
      <c r="Z428" s="152">
        <f t="shared" si="144"/>
        <v>0</v>
      </c>
      <c r="AA428" s="153">
        <f t="shared" si="145"/>
        <v>0</v>
      </c>
      <c r="AB428" s="153">
        <f t="shared" si="146"/>
        <v>0</v>
      </c>
      <c r="AC428" s="154">
        <f t="shared" si="153"/>
        <v>0</v>
      </c>
      <c r="AD428" s="180">
        <f t="shared" si="147"/>
        <v>0</v>
      </c>
      <c r="AE428" s="160"/>
    </row>
    <row r="429" spans="1:31">
      <c r="A429" s="139">
        <v>7</v>
      </c>
      <c r="B429" s="139">
        <f>IFERROR(INDEX(Työkonekanta!$F$3:$F$27,MATCH('S2 Bio'!$A429,Työkonekanta!$A$3:$A$24,0),1),0)</f>
        <v>1</v>
      </c>
      <c r="C429" s="140">
        <v>2033</v>
      </c>
      <c r="D429" s="141" t="str">
        <f>IFERROR(INDEX(Työkonekanta!$D$3:$D$27,MATCH('S2 Bio'!$A429,Työkonekanta!$A$3:$A$24,0),1),"undefined")</f>
        <v>pom</v>
      </c>
      <c r="E429" s="145">
        <f>IFERROR(INDEX(Työkonekanta!$G$3:$G$27,MATCH($A429,Työkonekanta!$A$3:$A$24,0),1)*INDEX(Työkonekanta!$H$3:$H$27,MATCH($A429,Työkonekanta!$A$3:$A$24,0),1)*(1+_xlfn.SINGLE(s2_kerroin)*($C429-2019))*$B429,0)</f>
        <v>11400.000000000002</v>
      </c>
      <c r="F429" s="145">
        <f t="shared" si="134"/>
        <v>409260.00000000006</v>
      </c>
      <c r="G429" s="145">
        <f t="shared" si="140"/>
        <v>52930.959999999992</v>
      </c>
      <c r="H429" s="145">
        <f t="shared" si="141"/>
        <v>356329.04000000004</v>
      </c>
      <c r="I429" s="145">
        <f t="shared" si="135"/>
        <v>1474.3999999999999</v>
      </c>
      <c r="J429" s="145">
        <f t="shared" si="136"/>
        <v>10388.60174927114</v>
      </c>
      <c r="K429" s="142" t="str">
        <f t="shared" si="142"/>
        <v>l</v>
      </c>
      <c r="L429" s="146">
        <f>IFERROR(INDEX(Työkonekanta!$I$3:$I$27,MATCH('S2 Bio'!$A429,Työkonekanta!$A$3:$A$24,0),1)*(I429+J429)*f_adblue,0)</f>
        <v>0</v>
      </c>
      <c r="M429" s="146">
        <f t="shared" si="148"/>
        <v>0</v>
      </c>
      <c r="N429" s="143" t="str">
        <f>IF(tuulisähkö_vuosi&lt;='S2 Bio'!C429,"tuulisähkö",ostosähkö_nyt)</f>
        <v>jäännössähkö</v>
      </c>
      <c r="O429" s="147">
        <f>INDEX(Muuttujat!$J$5:$J$21,MATCH($C429,Muuttujat!$H$5:$H$21,0),1)</f>
        <v>60.158234351438509</v>
      </c>
      <c r="P429" s="148">
        <f t="shared" si="143"/>
        <v>0.1293333333333333</v>
      </c>
      <c r="Q429" s="148">
        <f t="shared" si="154"/>
        <v>0.8706666666666667</v>
      </c>
      <c r="R429" s="148">
        <f t="shared" si="154"/>
        <v>0.8706666666666667</v>
      </c>
      <c r="S429" s="149">
        <f t="shared" si="137"/>
        <v>1.0003951439999996</v>
      </c>
      <c r="T429" s="150">
        <f t="shared" si="138"/>
        <v>22.234932096000001</v>
      </c>
      <c r="U429" s="150">
        <f t="shared" si="139"/>
        <v>0</v>
      </c>
      <c r="V429" s="150">
        <f>IFERROR(INDEX(Työkonekanta!$J$3:$J$27,MATCH($A429,Työkonekanta!$A$3:$A$24,0),1)*$B429*ef_li_ion_akku/1000/1000/INDEX(Työkonekanta!$K$3:$K$27,MATCH($A429,Työkonekanta!$A$3:$A$24,0)),0)</f>
        <v>0</v>
      </c>
      <c r="W429" s="149">
        <f t="shared" si="150"/>
        <v>3.9067417548878396</v>
      </c>
      <c r="X429" s="150">
        <f t="shared" si="151"/>
        <v>0.36223005240000006</v>
      </c>
      <c r="Y429" s="151">
        <f t="shared" si="152"/>
        <v>0</v>
      </c>
      <c r="Z429" s="152">
        <f t="shared" si="144"/>
        <v>23.23532724</v>
      </c>
      <c r="AA429" s="153">
        <f t="shared" si="145"/>
        <v>3.9067417548878396</v>
      </c>
      <c r="AB429" s="153">
        <f t="shared" si="146"/>
        <v>4.2689718072878398</v>
      </c>
      <c r="AC429" s="154">
        <f t="shared" si="153"/>
        <v>27.14206899488784</v>
      </c>
      <c r="AD429" s="180">
        <f t="shared" si="147"/>
        <v>27.504299047287841</v>
      </c>
      <c r="AE429" s="160"/>
    </row>
    <row r="430" spans="1:31">
      <c r="A430" s="139">
        <v>8</v>
      </c>
      <c r="B430" s="139">
        <f>IFERROR(INDEX(Työkonekanta!$F$3:$F$27,MATCH('S2 Bio'!$A430,Työkonekanta!$A$3:$A$24,0),1),0)</f>
        <v>1</v>
      </c>
      <c r="C430" s="140">
        <v>2033</v>
      </c>
      <c r="D430" s="141" t="str">
        <f>IFERROR(INDEX(Työkonekanta!$D$3:$D$27,MATCH('S2 Bio'!$A430,Työkonekanta!$A$3:$A$24,0),1),"undefined")</f>
        <v>pom</v>
      </c>
      <c r="E430" s="145">
        <f>IFERROR(INDEX(Työkonekanta!$G$3:$G$27,MATCH($A430,Työkonekanta!$A$3:$A$24,0),1)*INDEX(Työkonekanta!$H$3:$H$27,MATCH($A430,Työkonekanta!$A$3:$A$24,0),1)*(1+_xlfn.SINGLE(s2_kerroin)*($C430-2019))*$B430,0)</f>
        <v>11400.000000000002</v>
      </c>
      <c r="F430" s="145">
        <f t="shared" si="134"/>
        <v>409260.00000000006</v>
      </c>
      <c r="G430" s="145">
        <f t="shared" si="140"/>
        <v>52930.959999999992</v>
      </c>
      <c r="H430" s="145">
        <f t="shared" si="141"/>
        <v>356329.04000000004</v>
      </c>
      <c r="I430" s="145">
        <f t="shared" si="135"/>
        <v>1474.3999999999999</v>
      </c>
      <c r="J430" s="145">
        <f t="shared" si="136"/>
        <v>10388.60174927114</v>
      </c>
      <c r="K430" s="142" t="str">
        <f t="shared" si="142"/>
        <v>l</v>
      </c>
      <c r="L430" s="146">
        <f>IFERROR(INDEX(Työkonekanta!$I$3:$I$27,MATCH('S2 Bio'!$A430,Työkonekanta!$A$3:$A$24,0),1)*(I430+J430)*f_adblue,0)</f>
        <v>593.15008746355704</v>
      </c>
      <c r="M430" s="146">
        <f t="shared" si="148"/>
        <v>0</v>
      </c>
      <c r="N430" s="143" t="str">
        <f>IF(tuulisähkö_vuosi&lt;='S2 Bio'!C430,"tuulisähkö",ostosähkö_nyt)</f>
        <v>jäännössähkö</v>
      </c>
      <c r="O430" s="147">
        <f>INDEX(Muuttujat!$J$5:$J$21,MATCH($C430,Muuttujat!$H$5:$H$21,0),1)</f>
        <v>60.158234351438509</v>
      </c>
      <c r="P430" s="148">
        <f t="shared" si="143"/>
        <v>0.1293333333333333</v>
      </c>
      <c r="Q430" s="148">
        <f t="shared" si="154"/>
        <v>0.8706666666666667</v>
      </c>
      <c r="R430" s="148">
        <f t="shared" si="154"/>
        <v>0.8706666666666667</v>
      </c>
      <c r="S430" s="149">
        <f t="shared" si="137"/>
        <v>1.0003951439999996</v>
      </c>
      <c r="T430" s="150">
        <f t="shared" si="138"/>
        <v>22.234932096000001</v>
      </c>
      <c r="U430" s="150">
        <f t="shared" si="139"/>
        <v>0</v>
      </c>
      <c r="V430" s="150">
        <f>IFERROR(INDEX(Työkonekanta!$J$3:$J$27,MATCH($A430,Työkonekanta!$A$3:$A$24,0),1)*$B430*ef_li_ion_akku/1000/1000/INDEX(Työkonekanta!$K$3:$K$27,MATCH($A430,Työkonekanta!$A$3:$A$24,0)),0)</f>
        <v>0</v>
      </c>
      <c r="W430" s="149">
        <f t="shared" si="150"/>
        <v>3.9067417548878396</v>
      </c>
      <c r="X430" s="150">
        <f t="shared" si="151"/>
        <v>0.36223005240000006</v>
      </c>
      <c r="Y430" s="151">
        <f t="shared" si="152"/>
        <v>0.15421902274052485</v>
      </c>
      <c r="Z430" s="152">
        <f t="shared" si="144"/>
        <v>23.23532724</v>
      </c>
      <c r="AA430" s="153">
        <f t="shared" si="145"/>
        <v>4.060960777628364</v>
      </c>
      <c r="AB430" s="153">
        <f t="shared" si="146"/>
        <v>4.4231908300283642</v>
      </c>
      <c r="AC430" s="154">
        <f t="shared" si="153"/>
        <v>27.296288017628363</v>
      </c>
      <c r="AD430" s="180">
        <f t="shared" si="147"/>
        <v>27.658518070028364</v>
      </c>
      <c r="AE430" s="160"/>
    </row>
    <row r="431" spans="1:31">
      <c r="A431" s="139">
        <v>9</v>
      </c>
      <c r="B431" s="139">
        <f>IFERROR(INDEX(Työkonekanta!$F$3:$F$27,MATCH('S2 Bio'!$A431,Työkonekanta!$A$3:$A$24,0),1),0)</f>
        <v>0</v>
      </c>
      <c r="C431" s="140">
        <v>2033</v>
      </c>
      <c r="D431" s="141" t="str">
        <f>IFERROR(INDEX(Työkonekanta!$D$3:$D$27,MATCH('S2 Bio'!$A431,Työkonekanta!$A$3:$A$24,0),1),"undefined")</f>
        <v>sähkö</v>
      </c>
      <c r="E431" s="145">
        <f>IFERROR(INDEX(Työkonekanta!$G$3:$G$27,MATCH($A431,Työkonekanta!$A$3:$A$24,0),1)*INDEX(Työkonekanta!$H$3:$H$27,MATCH($A431,Työkonekanta!$A$3:$A$24,0),1)*(1+_xlfn.SINGLE(s2_kerroin)*($C431-2019))*$B431,0)</f>
        <v>0</v>
      </c>
      <c r="F431" s="145">
        <f t="shared" si="134"/>
        <v>0</v>
      </c>
      <c r="G431" s="145">
        <f t="shared" si="140"/>
        <v>0</v>
      </c>
      <c r="H431" s="145">
        <f t="shared" si="141"/>
        <v>0</v>
      </c>
      <c r="I431" s="145">
        <f t="shared" si="135"/>
        <v>0</v>
      </c>
      <c r="J431" s="145">
        <f t="shared" si="136"/>
        <v>0</v>
      </c>
      <c r="K431" s="142" t="str">
        <f t="shared" si="142"/>
        <v>kWh</v>
      </c>
      <c r="L431" s="146">
        <f>IFERROR(INDEX(Työkonekanta!$I$3:$I$27,MATCH('S2 Bio'!$A431,Työkonekanta!$A$3:$A$24,0),1)*(I431+J431)*f_adblue,0)</f>
        <v>0</v>
      </c>
      <c r="M431" s="146">
        <f t="shared" si="148"/>
        <v>0</v>
      </c>
      <c r="N431" s="143" t="str">
        <f>IF(tuulisähkö_vuosi&lt;='S2 Bio'!C431,"tuulisähkö",ostosähkö_nyt)</f>
        <v>jäännössähkö</v>
      </c>
      <c r="O431" s="147">
        <f>INDEX(Muuttujat!$J$5:$J$21,MATCH($C431,Muuttujat!$H$5:$H$21,0),1)</f>
        <v>60.158234351438509</v>
      </c>
      <c r="P431" s="148">
        <f t="shared" si="143"/>
        <v>0.1293333333333333</v>
      </c>
      <c r="Q431" s="148">
        <f t="shared" si="154"/>
        <v>0.8706666666666667</v>
      </c>
      <c r="R431" s="148">
        <f t="shared" si="154"/>
        <v>0.8706666666666667</v>
      </c>
      <c r="S431" s="149">
        <f t="shared" si="137"/>
        <v>0</v>
      </c>
      <c r="T431" s="150">
        <f t="shared" si="138"/>
        <v>0</v>
      </c>
      <c r="U431" s="150">
        <f t="shared" si="139"/>
        <v>0</v>
      </c>
      <c r="V431" s="150">
        <f>IFERROR(INDEX(Työkonekanta!$J$3:$J$27,MATCH($A431,Työkonekanta!$A$3:$A$24,0),1)*$B431*ef_li_ion_akku/1000/1000/INDEX(Työkonekanta!$K$3:$K$27,MATCH($A431,Työkonekanta!$A$3:$A$24,0)),0)</f>
        <v>0</v>
      </c>
      <c r="W431" s="149">
        <f t="shared" si="150"/>
        <v>0</v>
      </c>
      <c r="X431" s="150">
        <f t="shared" si="151"/>
        <v>0</v>
      </c>
      <c r="Y431" s="151">
        <f t="shared" si="152"/>
        <v>0</v>
      </c>
      <c r="Z431" s="152">
        <f t="shared" si="144"/>
        <v>0</v>
      </c>
      <c r="AA431" s="153">
        <f t="shared" si="145"/>
        <v>0</v>
      </c>
      <c r="AB431" s="153">
        <f t="shared" si="146"/>
        <v>0</v>
      </c>
      <c r="AC431" s="154">
        <f t="shared" si="153"/>
        <v>0</v>
      </c>
      <c r="AD431" s="180">
        <f t="shared" si="147"/>
        <v>0</v>
      </c>
      <c r="AE431" s="160"/>
    </row>
    <row r="432" spans="1:31">
      <c r="A432" s="139">
        <v>10</v>
      </c>
      <c r="B432" s="139">
        <f>IFERROR(INDEX(Työkonekanta!$F$3:$F$27,MATCH('S2 Bio'!$A432,Työkonekanta!$A$3:$A$24,0),1),0)</f>
        <v>0</v>
      </c>
      <c r="C432" s="140">
        <v>2033</v>
      </c>
      <c r="D432" s="141" t="str">
        <f>IFERROR(INDEX(Työkonekanta!$D$3:$D$27,MATCH('S2 Bio'!$A432,Työkonekanta!$A$3:$A$24,0),1),"undefined")</f>
        <v>sähkö</v>
      </c>
      <c r="E432" s="145">
        <f>IFERROR(INDEX(Työkonekanta!$G$3:$G$27,MATCH($A432,Työkonekanta!$A$3:$A$24,0),1)*INDEX(Työkonekanta!$H$3:$H$27,MATCH($A432,Työkonekanta!$A$3:$A$24,0),1)*(1+_xlfn.SINGLE(s2_kerroin)*($C432-2019))*$B432,0)</f>
        <v>0</v>
      </c>
      <c r="F432" s="145">
        <f t="shared" si="134"/>
        <v>0</v>
      </c>
      <c r="G432" s="145">
        <f t="shared" si="140"/>
        <v>0</v>
      </c>
      <c r="H432" s="145">
        <f t="shared" si="141"/>
        <v>0</v>
      </c>
      <c r="I432" s="145">
        <f t="shared" si="135"/>
        <v>0</v>
      </c>
      <c r="J432" s="145">
        <f t="shared" si="136"/>
        <v>0</v>
      </c>
      <c r="K432" s="142" t="str">
        <f t="shared" si="142"/>
        <v>kWh</v>
      </c>
      <c r="L432" s="146">
        <f>IFERROR(INDEX(Työkonekanta!$I$3:$I$27,MATCH('S2 Bio'!$A432,Työkonekanta!$A$3:$A$24,0),1)*(I432+J432)*f_adblue,0)</f>
        <v>0</v>
      </c>
      <c r="M432" s="146">
        <f t="shared" si="148"/>
        <v>0</v>
      </c>
      <c r="N432" s="143" t="str">
        <f>IF(tuulisähkö_vuosi&lt;='S2 Bio'!C432,"tuulisähkö",ostosähkö_nyt)</f>
        <v>jäännössähkö</v>
      </c>
      <c r="O432" s="147">
        <f>INDEX(Muuttujat!$J$5:$J$21,MATCH($C432,Muuttujat!$H$5:$H$21,0),1)</f>
        <v>60.158234351438509</v>
      </c>
      <c r="P432" s="148">
        <f t="shared" si="143"/>
        <v>0.1293333333333333</v>
      </c>
      <c r="Q432" s="148">
        <f t="shared" si="154"/>
        <v>0.8706666666666667</v>
      </c>
      <c r="R432" s="148">
        <f t="shared" si="154"/>
        <v>0.8706666666666667</v>
      </c>
      <c r="S432" s="149">
        <f t="shared" si="137"/>
        <v>0</v>
      </c>
      <c r="T432" s="150">
        <f t="shared" si="138"/>
        <v>0</v>
      </c>
      <c r="U432" s="150">
        <f t="shared" si="139"/>
        <v>0</v>
      </c>
      <c r="V432" s="150">
        <f>IFERROR(INDEX(Työkonekanta!$J$3:$J$27,MATCH($A432,Työkonekanta!$A$3:$A$24,0),1)*$B432*ef_li_ion_akku/1000/1000/INDEX(Työkonekanta!$K$3:$K$27,MATCH($A432,Työkonekanta!$A$3:$A$24,0)),0)</f>
        <v>0</v>
      </c>
      <c r="W432" s="149">
        <f t="shared" si="150"/>
        <v>0</v>
      </c>
      <c r="X432" s="150">
        <f t="shared" si="151"/>
        <v>0</v>
      </c>
      <c r="Y432" s="151">
        <f t="shared" si="152"/>
        <v>0</v>
      </c>
      <c r="Z432" s="152">
        <f t="shared" si="144"/>
        <v>0</v>
      </c>
      <c r="AA432" s="153">
        <f t="shared" si="145"/>
        <v>0</v>
      </c>
      <c r="AB432" s="153">
        <f t="shared" si="146"/>
        <v>0</v>
      </c>
      <c r="AC432" s="154">
        <f t="shared" si="153"/>
        <v>0</v>
      </c>
      <c r="AD432" s="180">
        <f t="shared" si="147"/>
        <v>0</v>
      </c>
      <c r="AE432" s="160"/>
    </row>
    <row r="433" spans="1:31">
      <c r="A433" s="139">
        <v>11</v>
      </c>
      <c r="B433" s="139">
        <f>IFERROR(INDEX(Työkonekanta!$F$3:$F$27,MATCH('S2 Bio'!$A433,Työkonekanta!$A$3:$A$24,0),1),0)</f>
        <v>1</v>
      </c>
      <c r="C433" s="140">
        <v>2033</v>
      </c>
      <c r="D433" s="141" t="str">
        <f>IFERROR(INDEX(Työkonekanta!$D$3:$D$27,MATCH('S2 Bio'!$A433,Työkonekanta!$A$3:$A$24,0),1),"undefined")</f>
        <v>pom</v>
      </c>
      <c r="E433" s="145">
        <f>IFERROR(INDEX(Työkonekanta!$G$3:$G$27,MATCH($A433,Työkonekanta!$A$3:$A$24,0),1)*INDEX(Työkonekanta!$H$3:$H$27,MATCH($A433,Työkonekanta!$A$3:$A$24,0),1)*(1+_xlfn.SINGLE(s2_kerroin)*($C433-2019))*$B433,0)</f>
        <v>11400.000000000002</v>
      </c>
      <c r="F433" s="145">
        <f t="shared" si="134"/>
        <v>409260.00000000006</v>
      </c>
      <c r="G433" s="145">
        <f t="shared" si="140"/>
        <v>52930.959999999992</v>
      </c>
      <c r="H433" s="145">
        <f t="shared" si="141"/>
        <v>356329.04000000004</v>
      </c>
      <c r="I433" s="145">
        <f t="shared" si="135"/>
        <v>1474.3999999999999</v>
      </c>
      <c r="J433" s="145">
        <f t="shared" si="136"/>
        <v>10388.60174927114</v>
      </c>
      <c r="K433" s="142" t="str">
        <f t="shared" si="142"/>
        <v>l</v>
      </c>
      <c r="L433" s="146">
        <f>IFERROR(INDEX(Työkonekanta!$I$3:$I$27,MATCH('S2 Bio'!$A433,Työkonekanta!$A$3:$A$24,0),1)*(I433+J433)*f_adblue,0)</f>
        <v>593.15008746355704</v>
      </c>
      <c r="M433" s="146">
        <f t="shared" si="148"/>
        <v>0</v>
      </c>
      <c r="N433" s="143" t="str">
        <f>IF(tuulisähkö_vuosi&lt;='S2 Bio'!C433,"tuulisähkö",ostosähkö_nyt)</f>
        <v>jäännössähkö</v>
      </c>
      <c r="O433" s="147">
        <f>INDEX(Muuttujat!$J$5:$J$21,MATCH($C433,Muuttujat!$H$5:$H$21,0),1)</f>
        <v>60.158234351438509</v>
      </c>
      <c r="P433" s="148">
        <f t="shared" si="143"/>
        <v>0.1293333333333333</v>
      </c>
      <c r="Q433" s="148">
        <f t="shared" si="154"/>
        <v>0.8706666666666667</v>
      </c>
      <c r="R433" s="148">
        <f t="shared" si="154"/>
        <v>0.8706666666666667</v>
      </c>
      <c r="S433" s="149">
        <f t="shared" si="137"/>
        <v>1.0003951439999996</v>
      </c>
      <c r="T433" s="150">
        <f t="shared" si="138"/>
        <v>22.234932096000001</v>
      </c>
      <c r="U433" s="150">
        <f t="shared" si="139"/>
        <v>0</v>
      </c>
      <c r="V433" s="150">
        <f>IFERROR(INDEX(Työkonekanta!$J$3:$J$27,MATCH($A433,Työkonekanta!$A$3:$A$24,0),1)*$B433*ef_li_ion_akku/1000/1000/INDEX(Työkonekanta!$K$3:$K$27,MATCH($A433,Työkonekanta!$A$3:$A$24,0)),0)</f>
        <v>0</v>
      </c>
      <c r="W433" s="149">
        <f t="shared" si="150"/>
        <v>3.9067417548878396</v>
      </c>
      <c r="X433" s="150">
        <f t="shared" si="151"/>
        <v>0.36223005240000006</v>
      </c>
      <c r="Y433" s="151">
        <f t="shared" si="152"/>
        <v>0.15421902274052485</v>
      </c>
      <c r="Z433" s="152">
        <f t="shared" si="144"/>
        <v>23.23532724</v>
      </c>
      <c r="AA433" s="153">
        <f t="shared" si="145"/>
        <v>4.060960777628364</v>
      </c>
      <c r="AB433" s="153">
        <f t="shared" si="146"/>
        <v>4.4231908300283642</v>
      </c>
      <c r="AC433" s="154">
        <f t="shared" si="153"/>
        <v>27.296288017628363</v>
      </c>
      <c r="AD433" s="180">
        <f t="shared" si="147"/>
        <v>27.658518070028364</v>
      </c>
      <c r="AE433" s="160"/>
    </row>
    <row r="434" spans="1:31">
      <c r="A434" s="139">
        <v>12</v>
      </c>
      <c r="B434" s="139">
        <f>IFERROR(INDEX(Työkonekanta!$F$3:$F$27,MATCH('S2 Bio'!$A434,Työkonekanta!$A$3:$A$24,0),1),0)</f>
        <v>1</v>
      </c>
      <c r="C434" s="140">
        <v>2033</v>
      </c>
      <c r="D434" s="141" t="str">
        <f>IFERROR(INDEX(Työkonekanta!$D$3:$D$27,MATCH('S2 Bio'!$A434,Työkonekanta!$A$3:$A$24,0),1),"undefined")</f>
        <v>pom</v>
      </c>
      <c r="E434" s="145">
        <f>IFERROR(INDEX(Työkonekanta!$G$3:$G$27,MATCH($A434,Työkonekanta!$A$3:$A$24,0),1)*INDEX(Työkonekanta!$H$3:$H$27,MATCH($A434,Työkonekanta!$A$3:$A$24,0),1)*(1+_xlfn.SINGLE(s2_kerroin)*($C434-2019))*$B434,0)</f>
        <v>11400.000000000002</v>
      </c>
      <c r="F434" s="145">
        <f t="shared" si="134"/>
        <v>409260.00000000006</v>
      </c>
      <c r="G434" s="145">
        <f t="shared" si="140"/>
        <v>52930.959999999992</v>
      </c>
      <c r="H434" s="145">
        <f t="shared" si="141"/>
        <v>356329.04000000004</v>
      </c>
      <c r="I434" s="145">
        <f t="shared" si="135"/>
        <v>1474.3999999999999</v>
      </c>
      <c r="J434" s="145">
        <f t="shared" si="136"/>
        <v>10388.60174927114</v>
      </c>
      <c r="K434" s="142" t="str">
        <f t="shared" si="142"/>
        <v>l</v>
      </c>
      <c r="L434" s="146">
        <f>IFERROR(INDEX(Työkonekanta!$I$3:$I$27,MATCH('S2 Bio'!$A434,Työkonekanta!$A$3:$A$24,0),1)*(I434+J434)*f_adblue,0)</f>
        <v>593.15008746355704</v>
      </c>
      <c r="M434" s="146">
        <f t="shared" si="148"/>
        <v>0</v>
      </c>
      <c r="N434" s="143" t="str">
        <f>IF(tuulisähkö_vuosi&lt;='S2 Bio'!C434,"tuulisähkö",ostosähkö_nyt)</f>
        <v>jäännössähkö</v>
      </c>
      <c r="O434" s="147">
        <f>INDEX(Muuttujat!$J$5:$J$21,MATCH($C434,Muuttujat!$H$5:$H$21,0),1)</f>
        <v>60.158234351438509</v>
      </c>
      <c r="P434" s="148">
        <f t="shared" si="143"/>
        <v>0.1293333333333333</v>
      </c>
      <c r="Q434" s="148">
        <f t="shared" si="154"/>
        <v>0.8706666666666667</v>
      </c>
      <c r="R434" s="148">
        <f t="shared" si="154"/>
        <v>0.8706666666666667</v>
      </c>
      <c r="S434" s="149">
        <f t="shared" si="137"/>
        <v>1.0003951439999996</v>
      </c>
      <c r="T434" s="150">
        <f t="shared" si="138"/>
        <v>22.234932096000001</v>
      </c>
      <c r="U434" s="150">
        <f t="shared" si="139"/>
        <v>0</v>
      </c>
      <c r="V434" s="150">
        <f>IFERROR(INDEX(Työkonekanta!$J$3:$J$27,MATCH($A434,Työkonekanta!$A$3:$A$24,0),1)*$B434*ef_li_ion_akku/1000/1000/INDEX(Työkonekanta!$K$3:$K$27,MATCH($A434,Työkonekanta!$A$3:$A$24,0)),0)</f>
        <v>0</v>
      </c>
      <c r="W434" s="149">
        <f t="shared" si="150"/>
        <v>3.9067417548878396</v>
      </c>
      <c r="X434" s="150">
        <f t="shared" si="151"/>
        <v>0.36223005240000006</v>
      </c>
      <c r="Y434" s="151">
        <f t="shared" si="152"/>
        <v>0.15421902274052485</v>
      </c>
      <c r="Z434" s="152">
        <f t="shared" si="144"/>
        <v>23.23532724</v>
      </c>
      <c r="AA434" s="153">
        <f t="shared" si="145"/>
        <v>4.060960777628364</v>
      </c>
      <c r="AB434" s="153">
        <f t="shared" si="146"/>
        <v>4.4231908300283642</v>
      </c>
      <c r="AC434" s="154">
        <f t="shared" si="153"/>
        <v>27.296288017628363</v>
      </c>
      <c r="AD434" s="180">
        <f t="shared" si="147"/>
        <v>27.658518070028364</v>
      </c>
      <c r="AE434" s="160"/>
    </row>
    <row r="435" spans="1:31">
      <c r="A435" s="139">
        <v>13</v>
      </c>
      <c r="B435" s="139">
        <f>IFERROR(INDEX(Työkonekanta!$F$3:$F$27,MATCH('S2 Bio'!$A435,Työkonekanta!$A$3:$A$24,0),1),0)</f>
        <v>0</v>
      </c>
      <c r="C435" s="140">
        <v>2033</v>
      </c>
      <c r="D435" s="141" t="str">
        <f>IFERROR(INDEX(Työkonekanta!$D$3:$D$27,MATCH('S2 Bio'!$A435,Työkonekanta!$A$3:$A$24,0),1),"undefined")</f>
        <v>pom</v>
      </c>
      <c r="E435" s="145">
        <f>IFERROR(INDEX(Työkonekanta!$G$3:$G$27,MATCH($A435,Työkonekanta!$A$3:$A$24,0),1)*INDEX(Työkonekanta!$H$3:$H$27,MATCH($A435,Työkonekanta!$A$3:$A$24,0),1)*(1+_xlfn.SINGLE(s2_kerroin)*($C435-2019))*$B435,0)</f>
        <v>0</v>
      </c>
      <c r="F435" s="145">
        <f t="shared" si="134"/>
        <v>0</v>
      </c>
      <c r="G435" s="145">
        <f t="shared" si="140"/>
        <v>0</v>
      </c>
      <c r="H435" s="145">
        <f t="shared" si="141"/>
        <v>0</v>
      </c>
      <c r="I435" s="145">
        <f t="shared" si="135"/>
        <v>0</v>
      </c>
      <c r="J435" s="145">
        <f t="shared" si="136"/>
        <v>0</v>
      </c>
      <c r="K435" s="142" t="str">
        <f t="shared" si="142"/>
        <v>l</v>
      </c>
      <c r="L435" s="146">
        <f>IFERROR(INDEX(Työkonekanta!$I$3:$I$27,MATCH('S2 Bio'!$A435,Työkonekanta!$A$3:$A$24,0),1)*(I435+J435)*f_adblue,0)</f>
        <v>0</v>
      </c>
      <c r="M435" s="146">
        <f t="shared" si="148"/>
        <v>0</v>
      </c>
      <c r="N435" s="143" t="str">
        <f>IF(tuulisähkö_vuosi&lt;='S2 Bio'!C435,"tuulisähkö",ostosähkö_nyt)</f>
        <v>jäännössähkö</v>
      </c>
      <c r="O435" s="147">
        <f>INDEX(Muuttujat!$J$5:$J$21,MATCH($C435,Muuttujat!$H$5:$H$21,0),1)</f>
        <v>60.158234351438509</v>
      </c>
      <c r="P435" s="148">
        <f t="shared" si="143"/>
        <v>0.1293333333333333</v>
      </c>
      <c r="Q435" s="148">
        <f t="shared" si="154"/>
        <v>0.8706666666666667</v>
      </c>
      <c r="R435" s="148">
        <f t="shared" si="154"/>
        <v>0.8706666666666667</v>
      </c>
      <c r="S435" s="149">
        <f t="shared" si="137"/>
        <v>0</v>
      </c>
      <c r="T435" s="150">
        <f t="shared" si="138"/>
        <v>0</v>
      </c>
      <c r="U435" s="150">
        <f t="shared" si="139"/>
        <v>0</v>
      </c>
      <c r="V435" s="150">
        <f>IFERROR(INDEX(Työkonekanta!$J$3:$J$27,MATCH($A435,Työkonekanta!$A$3:$A$24,0),1)*$B435*ef_li_ion_akku/1000/1000/INDEX(Työkonekanta!$K$3:$K$27,MATCH($A435,Työkonekanta!$A$3:$A$24,0)),0)</f>
        <v>0</v>
      </c>
      <c r="W435" s="149">
        <f t="shared" si="150"/>
        <v>0</v>
      </c>
      <c r="X435" s="150">
        <f t="shared" si="151"/>
        <v>0</v>
      </c>
      <c r="Y435" s="151">
        <f t="shared" si="152"/>
        <v>0</v>
      </c>
      <c r="Z435" s="152">
        <f t="shared" si="144"/>
        <v>0</v>
      </c>
      <c r="AA435" s="153">
        <f t="shared" si="145"/>
        <v>0</v>
      </c>
      <c r="AB435" s="153">
        <f t="shared" si="146"/>
        <v>0</v>
      </c>
      <c r="AC435" s="154">
        <f t="shared" si="153"/>
        <v>0</v>
      </c>
      <c r="AD435" s="180">
        <f t="shared" si="147"/>
        <v>0</v>
      </c>
      <c r="AE435" s="160"/>
    </row>
    <row r="436" spans="1:31">
      <c r="A436" s="139">
        <v>14</v>
      </c>
      <c r="B436" s="139">
        <f>IFERROR(INDEX(Työkonekanta!$F$3:$F$27,MATCH('S2 Bio'!$A436,Työkonekanta!$A$3:$A$24,0),1),0)</f>
        <v>0</v>
      </c>
      <c r="C436" s="140">
        <v>2033</v>
      </c>
      <c r="D436" s="141" t="str">
        <f>IFERROR(INDEX(Työkonekanta!$D$3:$D$27,MATCH('S2 Bio'!$A436,Työkonekanta!$A$3:$A$24,0),1),"undefined")</f>
        <v>pom</v>
      </c>
      <c r="E436" s="145">
        <f>IFERROR(INDEX(Työkonekanta!$G$3:$G$27,MATCH($A436,Työkonekanta!$A$3:$A$24,0),1)*INDEX(Työkonekanta!$H$3:$H$27,MATCH($A436,Työkonekanta!$A$3:$A$24,0),1)*(1+_xlfn.SINGLE(s2_kerroin)*($C436-2019))*$B436,0)</f>
        <v>0</v>
      </c>
      <c r="F436" s="145">
        <f t="shared" si="134"/>
        <v>0</v>
      </c>
      <c r="G436" s="145">
        <f t="shared" si="140"/>
        <v>0</v>
      </c>
      <c r="H436" s="145">
        <f t="shared" si="141"/>
        <v>0</v>
      </c>
      <c r="I436" s="145">
        <f t="shared" si="135"/>
        <v>0</v>
      </c>
      <c r="J436" s="145">
        <f t="shared" si="136"/>
        <v>0</v>
      </c>
      <c r="K436" s="142" t="str">
        <f t="shared" si="142"/>
        <v>l</v>
      </c>
      <c r="L436" s="146">
        <f>IFERROR(INDEX(Työkonekanta!$I$3:$I$27,MATCH('S2 Bio'!$A436,Työkonekanta!$A$3:$A$24,0),1)*(I436+J436)*f_adblue,0)</f>
        <v>0</v>
      </c>
      <c r="M436" s="146">
        <f t="shared" si="148"/>
        <v>0</v>
      </c>
      <c r="N436" s="143" t="str">
        <f>IF(tuulisähkö_vuosi&lt;='S2 Bio'!C436,"tuulisähkö",ostosähkö_nyt)</f>
        <v>jäännössähkö</v>
      </c>
      <c r="O436" s="147">
        <f>INDEX(Muuttujat!$J$5:$J$21,MATCH($C436,Muuttujat!$H$5:$H$21,0),1)</f>
        <v>60.158234351438509</v>
      </c>
      <c r="P436" s="148">
        <f t="shared" si="143"/>
        <v>0.1293333333333333</v>
      </c>
      <c r="Q436" s="148">
        <f t="shared" si="154"/>
        <v>0.8706666666666667</v>
      </c>
      <c r="R436" s="148">
        <f t="shared" si="154"/>
        <v>0.8706666666666667</v>
      </c>
      <c r="S436" s="149">
        <f t="shared" si="137"/>
        <v>0</v>
      </c>
      <c r="T436" s="150">
        <f t="shared" si="138"/>
        <v>0</v>
      </c>
      <c r="U436" s="150">
        <f t="shared" si="139"/>
        <v>0</v>
      </c>
      <c r="V436" s="150">
        <f>IFERROR(INDEX(Työkonekanta!$J$3:$J$27,MATCH($A436,Työkonekanta!$A$3:$A$24,0),1)*$B436*ef_li_ion_akku/1000/1000/INDEX(Työkonekanta!$K$3:$K$27,MATCH($A436,Työkonekanta!$A$3:$A$24,0)),0)</f>
        <v>0</v>
      </c>
      <c r="W436" s="149">
        <f t="shared" si="150"/>
        <v>0</v>
      </c>
      <c r="X436" s="150">
        <f t="shared" si="151"/>
        <v>0</v>
      </c>
      <c r="Y436" s="151">
        <f t="shared" si="152"/>
        <v>0</v>
      </c>
      <c r="Z436" s="152">
        <f t="shared" si="144"/>
        <v>0</v>
      </c>
      <c r="AA436" s="153">
        <f t="shared" si="145"/>
        <v>0</v>
      </c>
      <c r="AB436" s="153">
        <f t="shared" si="146"/>
        <v>0</v>
      </c>
      <c r="AC436" s="154">
        <f t="shared" si="153"/>
        <v>0</v>
      </c>
      <c r="AD436" s="180">
        <f t="shared" si="147"/>
        <v>0</v>
      </c>
      <c r="AE436" s="160"/>
    </row>
    <row r="437" spans="1:31">
      <c r="A437" s="139">
        <v>15</v>
      </c>
      <c r="B437" s="139">
        <f>IFERROR(INDEX(Työkonekanta!$F$3:$F$27,MATCH('S2 Bio'!$A437,Työkonekanta!$A$3:$A$24,0),1),0)</f>
        <v>0</v>
      </c>
      <c r="C437" s="140">
        <v>2033</v>
      </c>
      <c r="D437" s="141" t="str">
        <f>IFERROR(INDEX(Työkonekanta!$D$3:$D$27,MATCH('S2 Bio'!$A437,Työkonekanta!$A$3:$A$24,0),1),"undefined")</f>
        <v>sähkö</v>
      </c>
      <c r="E437" s="145">
        <f>IFERROR(INDEX(Työkonekanta!$G$3:$G$27,MATCH($A437,Työkonekanta!$A$3:$A$24,0),1)*INDEX(Työkonekanta!$H$3:$H$27,MATCH($A437,Työkonekanta!$A$3:$A$24,0),1)*(1+_xlfn.SINGLE(s2_kerroin)*($C437-2019))*$B437,0)</f>
        <v>0</v>
      </c>
      <c r="F437" s="145">
        <f t="shared" si="134"/>
        <v>0</v>
      </c>
      <c r="G437" s="145">
        <f t="shared" si="140"/>
        <v>0</v>
      </c>
      <c r="H437" s="145">
        <f t="shared" si="141"/>
        <v>0</v>
      </c>
      <c r="I437" s="145">
        <f t="shared" si="135"/>
        <v>0</v>
      </c>
      <c r="J437" s="145">
        <f t="shared" si="136"/>
        <v>0</v>
      </c>
      <c r="K437" s="142" t="str">
        <f t="shared" si="142"/>
        <v>kWh</v>
      </c>
      <c r="L437" s="146">
        <f>IFERROR(INDEX(Työkonekanta!$I$3:$I$27,MATCH('S2 Bio'!$A437,Työkonekanta!$A$3:$A$24,0),1)*(I437+J437)*f_adblue,0)</f>
        <v>0</v>
      </c>
      <c r="M437" s="146">
        <f t="shared" si="148"/>
        <v>0</v>
      </c>
      <c r="N437" s="143" t="str">
        <f>IF(tuulisähkö_vuosi&lt;='S2 Bio'!C437,"tuulisähkö",ostosähkö_nyt)</f>
        <v>jäännössähkö</v>
      </c>
      <c r="O437" s="147">
        <f>INDEX(Muuttujat!$J$5:$J$21,MATCH($C437,Muuttujat!$H$5:$H$21,0),1)</f>
        <v>60.158234351438509</v>
      </c>
      <c r="P437" s="148">
        <f t="shared" si="143"/>
        <v>0.1293333333333333</v>
      </c>
      <c r="Q437" s="148">
        <f t="shared" si="154"/>
        <v>0.8706666666666667</v>
      </c>
      <c r="R437" s="148">
        <f t="shared" si="154"/>
        <v>0.8706666666666667</v>
      </c>
      <c r="S437" s="149">
        <f t="shared" si="137"/>
        <v>0</v>
      </c>
      <c r="T437" s="150">
        <f t="shared" si="138"/>
        <v>0</v>
      </c>
      <c r="U437" s="150">
        <f t="shared" si="139"/>
        <v>0</v>
      </c>
      <c r="V437" s="150">
        <f>IFERROR(INDEX(Työkonekanta!$J$3:$J$27,MATCH($A437,Työkonekanta!$A$3:$A$24,0),1)*$B437*ef_li_ion_akku/1000/1000/INDEX(Työkonekanta!$K$3:$K$27,MATCH($A437,Työkonekanta!$A$3:$A$24,0)),0)</f>
        <v>0</v>
      </c>
      <c r="W437" s="149">
        <f t="shared" si="150"/>
        <v>0</v>
      </c>
      <c r="X437" s="150">
        <f t="shared" si="151"/>
        <v>0</v>
      </c>
      <c r="Y437" s="151">
        <f t="shared" si="152"/>
        <v>0</v>
      </c>
      <c r="Z437" s="152">
        <f t="shared" si="144"/>
        <v>0</v>
      </c>
      <c r="AA437" s="153">
        <f t="shared" si="145"/>
        <v>0</v>
      </c>
      <c r="AB437" s="153">
        <f t="shared" si="146"/>
        <v>0</v>
      </c>
      <c r="AC437" s="154">
        <f t="shared" si="153"/>
        <v>0</v>
      </c>
      <c r="AD437" s="180">
        <f t="shared" si="147"/>
        <v>0</v>
      </c>
      <c r="AE437" s="160"/>
    </row>
    <row r="438" spans="1:31">
      <c r="A438" s="139">
        <v>16</v>
      </c>
      <c r="B438" s="139">
        <f>IFERROR(INDEX(Työkonekanta!$F$3:$F$27,MATCH('S2 Bio'!$A438,Työkonekanta!$A$3:$A$24,0),1),0)</f>
        <v>0</v>
      </c>
      <c r="C438" s="140">
        <v>2033</v>
      </c>
      <c r="D438" s="141" t="str">
        <f>IFERROR(INDEX(Työkonekanta!$D$3:$D$27,MATCH('S2 Bio'!$A438,Työkonekanta!$A$3:$A$24,0),1),"undefined")</f>
        <v>sähkö</v>
      </c>
      <c r="E438" s="145">
        <f>IFERROR(INDEX(Työkonekanta!$G$3:$G$27,MATCH($A438,Työkonekanta!$A$3:$A$24,0),1)*INDEX(Työkonekanta!$H$3:$H$27,MATCH($A438,Työkonekanta!$A$3:$A$24,0),1)*(1+_xlfn.SINGLE(s2_kerroin)*($C438-2019))*$B438,0)</f>
        <v>0</v>
      </c>
      <c r="F438" s="145">
        <f t="shared" si="134"/>
        <v>0</v>
      </c>
      <c r="G438" s="145">
        <f t="shared" si="140"/>
        <v>0</v>
      </c>
      <c r="H438" s="145">
        <f t="shared" si="141"/>
        <v>0</v>
      </c>
      <c r="I438" s="145">
        <f t="shared" si="135"/>
        <v>0</v>
      </c>
      <c r="J438" s="145">
        <f t="shared" si="136"/>
        <v>0</v>
      </c>
      <c r="K438" s="142" t="str">
        <f t="shared" si="142"/>
        <v>kWh</v>
      </c>
      <c r="L438" s="146">
        <f>IFERROR(INDEX(Työkonekanta!$I$3:$I$27,MATCH('S2 Bio'!$A438,Työkonekanta!$A$3:$A$24,0),1)*(I438+J438)*f_adblue,0)</f>
        <v>0</v>
      </c>
      <c r="M438" s="146">
        <f t="shared" si="148"/>
        <v>0</v>
      </c>
      <c r="N438" s="143" t="str">
        <f>IF(tuulisähkö_vuosi&lt;='S2 Bio'!C438,"tuulisähkö",ostosähkö_nyt)</f>
        <v>jäännössähkö</v>
      </c>
      <c r="O438" s="147">
        <f>INDEX(Muuttujat!$J$5:$J$21,MATCH($C438,Muuttujat!$H$5:$H$21,0),1)</f>
        <v>60.158234351438509</v>
      </c>
      <c r="P438" s="148">
        <f t="shared" si="143"/>
        <v>0.1293333333333333</v>
      </c>
      <c r="Q438" s="148">
        <f t="shared" si="154"/>
        <v>0.8706666666666667</v>
      </c>
      <c r="R438" s="148">
        <f t="shared" si="154"/>
        <v>0.8706666666666667</v>
      </c>
      <c r="S438" s="149">
        <f t="shared" si="137"/>
        <v>0</v>
      </c>
      <c r="T438" s="150">
        <f t="shared" si="138"/>
        <v>0</v>
      </c>
      <c r="U438" s="150">
        <f t="shared" si="139"/>
        <v>0</v>
      </c>
      <c r="V438" s="150">
        <f>IFERROR(INDEX(Työkonekanta!$J$3:$J$27,MATCH($A438,Työkonekanta!$A$3:$A$24,0),1)*$B438*ef_li_ion_akku/1000/1000/INDEX(Työkonekanta!$K$3:$K$27,MATCH($A438,Työkonekanta!$A$3:$A$24,0)),0)</f>
        <v>0</v>
      </c>
      <c r="W438" s="149">
        <f t="shared" si="150"/>
        <v>0</v>
      </c>
      <c r="X438" s="150">
        <f t="shared" si="151"/>
        <v>0</v>
      </c>
      <c r="Y438" s="151">
        <f t="shared" si="152"/>
        <v>0</v>
      </c>
      <c r="Z438" s="152">
        <f t="shared" si="144"/>
        <v>0</v>
      </c>
      <c r="AA438" s="153">
        <f t="shared" si="145"/>
        <v>0</v>
      </c>
      <c r="AB438" s="153">
        <f t="shared" si="146"/>
        <v>0</v>
      </c>
      <c r="AC438" s="154">
        <f t="shared" si="153"/>
        <v>0</v>
      </c>
      <c r="AD438" s="180">
        <f t="shared" si="147"/>
        <v>0</v>
      </c>
      <c r="AE438" s="160"/>
    </row>
    <row r="439" spans="1:31">
      <c r="A439" s="139">
        <v>17</v>
      </c>
      <c r="B439" s="139">
        <f>IFERROR(INDEX(Työkonekanta!$F$3:$F$27,MATCH('S2 Bio'!$A439,Työkonekanta!$A$3:$A$24,0),1),0)</f>
        <v>1</v>
      </c>
      <c r="C439" s="140">
        <v>2033</v>
      </c>
      <c r="D439" s="141" t="str">
        <f>IFERROR(INDEX(Työkonekanta!$D$3:$D$27,MATCH('S2 Bio'!$A439,Työkonekanta!$A$3:$A$24,0),1),"undefined")</f>
        <v>pom</v>
      </c>
      <c r="E439" s="145">
        <f>IFERROR(INDEX(Työkonekanta!$G$3:$G$27,MATCH($A439,Työkonekanta!$A$3:$A$24,0),1)*INDEX(Työkonekanta!$H$3:$H$27,MATCH($A439,Työkonekanta!$A$3:$A$24,0),1)*(1+_xlfn.SINGLE(s2_kerroin)*($C439-2019))*$B439,0)</f>
        <v>11400.000000000002</v>
      </c>
      <c r="F439" s="145">
        <f t="shared" si="134"/>
        <v>409260.00000000006</v>
      </c>
      <c r="G439" s="145">
        <f t="shared" si="140"/>
        <v>52930.959999999992</v>
      </c>
      <c r="H439" s="145">
        <f t="shared" si="141"/>
        <v>356329.04000000004</v>
      </c>
      <c r="I439" s="145">
        <f t="shared" si="135"/>
        <v>1474.3999999999999</v>
      </c>
      <c r="J439" s="145">
        <f t="shared" si="136"/>
        <v>10388.60174927114</v>
      </c>
      <c r="K439" s="142" t="str">
        <f t="shared" si="142"/>
        <v>l</v>
      </c>
      <c r="L439" s="146">
        <f>IFERROR(INDEX(Työkonekanta!$I$3:$I$27,MATCH('S2 Bio'!$A439,Työkonekanta!$A$3:$A$24,0),1)*(I439+J439)*f_adblue,0)</f>
        <v>593.15008746355704</v>
      </c>
      <c r="M439" s="146">
        <f t="shared" si="148"/>
        <v>0</v>
      </c>
      <c r="N439" s="143" t="str">
        <f>IF(tuulisähkö_vuosi&lt;='S2 Bio'!C439,"tuulisähkö",ostosähkö_nyt)</f>
        <v>jäännössähkö</v>
      </c>
      <c r="O439" s="147">
        <f>INDEX(Muuttujat!$J$5:$J$21,MATCH($C439,Muuttujat!$H$5:$H$21,0),1)</f>
        <v>60.158234351438509</v>
      </c>
      <c r="P439" s="148">
        <f t="shared" si="143"/>
        <v>0.1293333333333333</v>
      </c>
      <c r="Q439" s="148">
        <f t="shared" si="154"/>
        <v>0.8706666666666667</v>
      </c>
      <c r="R439" s="148">
        <f t="shared" si="154"/>
        <v>0.8706666666666667</v>
      </c>
      <c r="S439" s="149">
        <f t="shared" si="137"/>
        <v>1.0003951439999996</v>
      </c>
      <c r="T439" s="150">
        <f t="shared" si="138"/>
        <v>22.234932096000001</v>
      </c>
      <c r="U439" s="150">
        <f t="shared" si="139"/>
        <v>0</v>
      </c>
      <c r="V439" s="150">
        <f>IFERROR(INDEX(Työkonekanta!$J$3:$J$27,MATCH($A439,Työkonekanta!$A$3:$A$24,0),1)*$B439*ef_li_ion_akku/1000/1000/INDEX(Työkonekanta!$K$3:$K$27,MATCH($A439,Työkonekanta!$A$3:$A$24,0)),0)</f>
        <v>0</v>
      </c>
      <c r="W439" s="149">
        <f t="shared" si="150"/>
        <v>3.9067417548878396</v>
      </c>
      <c r="X439" s="150">
        <f t="shared" si="151"/>
        <v>0.36223005240000006</v>
      </c>
      <c r="Y439" s="151">
        <f t="shared" si="152"/>
        <v>0.15421902274052485</v>
      </c>
      <c r="Z439" s="152">
        <f t="shared" si="144"/>
        <v>23.23532724</v>
      </c>
      <c r="AA439" s="153">
        <f t="shared" si="145"/>
        <v>4.060960777628364</v>
      </c>
      <c r="AB439" s="153">
        <f t="shared" si="146"/>
        <v>4.4231908300283642</v>
      </c>
      <c r="AC439" s="154">
        <f t="shared" si="153"/>
        <v>27.296288017628363</v>
      </c>
      <c r="AD439" s="180">
        <f t="shared" si="147"/>
        <v>27.658518070028364</v>
      </c>
      <c r="AE439" s="160"/>
    </row>
    <row r="440" spans="1:31">
      <c r="A440" s="139">
        <v>18</v>
      </c>
      <c r="B440" s="139">
        <f>IFERROR(INDEX(Työkonekanta!$F$3:$F$27,MATCH('S2 Bio'!$A440,Työkonekanta!$A$3:$A$24,0),1),0)</f>
        <v>1</v>
      </c>
      <c r="C440" s="140">
        <v>2033</v>
      </c>
      <c r="D440" s="141" t="str">
        <f>IFERROR(INDEX(Työkonekanta!$D$3:$D$27,MATCH('S2 Bio'!$A440,Työkonekanta!$A$3:$A$24,0),1),"undefined")</f>
        <v>pom</v>
      </c>
      <c r="E440" s="145">
        <f>IFERROR(INDEX(Työkonekanta!$G$3:$G$27,MATCH($A440,Työkonekanta!$A$3:$A$24,0),1)*INDEX(Työkonekanta!$H$3:$H$27,MATCH($A440,Työkonekanta!$A$3:$A$24,0),1)*(1+_xlfn.SINGLE(s2_kerroin)*($C440-2019))*$B440,0)</f>
        <v>11400.000000000002</v>
      </c>
      <c r="F440" s="145">
        <f t="shared" si="134"/>
        <v>409260.00000000006</v>
      </c>
      <c r="G440" s="145">
        <f t="shared" si="140"/>
        <v>52930.959999999992</v>
      </c>
      <c r="H440" s="145">
        <f t="shared" si="141"/>
        <v>356329.04000000004</v>
      </c>
      <c r="I440" s="145">
        <f t="shared" si="135"/>
        <v>1474.3999999999999</v>
      </c>
      <c r="J440" s="145">
        <f t="shared" si="136"/>
        <v>10388.60174927114</v>
      </c>
      <c r="K440" s="142" t="str">
        <f t="shared" si="142"/>
        <v>l</v>
      </c>
      <c r="L440" s="146">
        <f>IFERROR(INDEX(Työkonekanta!$I$3:$I$27,MATCH('S2 Bio'!$A440,Työkonekanta!$A$3:$A$24,0),1)*(I440+J440)*f_adblue,0)</f>
        <v>474.52006997084567</v>
      </c>
      <c r="M440" s="146">
        <f t="shared" si="148"/>
        <v>0</v>
      </c>
      <c r="N440" s="143" t="str">
        <f>IF(tuulisähkö_vuosi&lt;='S2 Bio'!C440,"tuulisähkö",ostosähkö_nyt)</f>
        <v>jäännössähkö</v>
      </c>
      <c r="O440" s="147">
        <f>INDEX(Muuttujat!$J$5:$J$21,MATCH($C440,Muuttujat!$H$5:$H$21,0),1)</f>
        <v>60.158234351438509</v>
      </c>
      <c r="P440" s="148">
        <f t="shared" si="143"/>
        <v>0.1293333333333333</v>
      </c>
      <c r="Q440" s="148">
        <f t="shared" si="154"/>
        <v>0.8706666666666667</v>
      </c>
      <c r="R440" s="148">
        <f t="shared" si="154"/>
        <v>0.8706666666666667</v>
      </c>
      <c r="S440" s="149">
        <f t="shared" si="137"/>
        <v>1.0003951439999996</v>
      </c>
      <c r="T440" s="150">
        <f t="shared" si="138"/>
        <v>22.234932096000001</v>
      </c>
      <c r="U440" s="150">
        <f t="shared" si="139"/>
        <v>0</v>
      </c>
      <c r="V440" s="150">
        <f>IFERROR(INDEX(Työkonekanta!$J$3:$J$27,MATCH($A440,Työkonekanta!$A$3:$A$24,0),1)*$B440*ef_li_ion_akku/1000/1000/INDEX(Työkonekanta!$K$3:$K$27,MATCH($A440,Työkonekanta!$A$3:$A$24,0)),0)</f>
        <v>0</v>
      </c>
      <c r="W440" s="149">
        <f t="shared" si="150"/>
        <v>3.9067417548878396</v>
      </c>
      <c r="X440" s="150">
        <f t="shared" si="151"/>
        <v>0.36223005240000006</v>
      </c>
      <c r="Y440" s="151">
        <f t="shared" si="152"/>
        <v>0.12337521819241987</v>
      </c>
      <c r="Z440" s="152">
        <f t="shared" si="144"/>
        <v>23.23532724</v>
      </c>
      <c r="AA440" s="153">
        <f t="shared" si="145"/>
        <v>4.0301169730802595</v>
      </c>
      <c r="AB440" s="153">
        <f t="shared" si="146"/>
        <v>4.3923470254802597</v>
      </c>
      <c r="AC440" s="154">
        <f t="shared" si="153"/>
        <v>27.265444213080258</v>
      </c>
      <c r="AD440" s="180">
        <f t="shared" si="147"/>
        <v>27.627674265480259</v>
      </c>
      <c r="AE440" s="160"/>
    </row>
    <row r="441" spans="1:31">
      <c r="A441" s="139">
        <v>19</v>
      </c>
      <c r="B441" s="139">
        <f>IFERROR(INDEX(Työkonekanta!$F$3:$F$27,MATCH('S2 Bio'!$A441,Työkonekanta!$A$3:$A$24,0),1),0)</f>
        <v>0</v>
      </c>
      <c r="C441" s="140">
        <v>2033</v>
      </c>
      <c r="D441" s="141" t="str">
        <f>IFERROR(INDEX(Työkonekanta!$D$3:$D$27,MATCH('S2 Bio'!$A441,Työkonekanta!$A$3:$A$24,0),1),"undefined")</f>
        <v>pom</v>
      </c>
      <c r="E441" s="145">
        <f>IFERROR(INDEX(Työkonekanta!$G$3:$G$27,MATCH($A441,Työkonekanta!$A$3:$A$24,0),1)*INDEX(Työkonekanta!$H$3:$H$27,MATCH($A441,Työkonekanta!$A$3:$A$24,0),1)*(1+_xlfn.SINGLE(s2_kerroin)*($C441-2019))*$B441,0)</f>
        <v>0</v>
      </c>
      <c r="F441" s="145">
        <f t="shared" si="134"/>
        <v>0</v>
      </c>
      <c r="G441" s="145">
        <f t="shared" si="140"/>
        <v>0</v>
      </c>
      <c r="H441" s="145">
        <f t="shared" si="141"/>
        <v>0</v>
      </c>
      <c r="I441" s="145">
        <f t="shared" si="135"/>
        <v>0</v>
      </c>
      <c r="J441" s="145">
        <f t="shared" si="136"/>
        <v>0</v>
      </c>
      <c r="K441" s="142" t="str">
        <f t="shared" si="142"/>
        <v>l</v>
      </c>
      <c r="L441" s="146">
        <f>IFERROR(INDEX(Työkonekanta!$I$3:$I$27,MATCH('S2 Bio'!$A441,Työkonekanta!$A$3:$A$24,0),1)*(I441+J441)*f_adblue,0)</f>
        <v>0</v>
      </c>
      <c r="M441" s="146">
        <f t="shared" si="148"/>
        <v>0</v>
      </c>
      <c r="N441" s="143" t="str">
        <f>IF(tuulisähkö_vuosi&lt;='S2 Bio'!C441,"tuulisähkö",ostosähkö_nyt)</f>
        <v>jäännössähkö</v>
      </c>
      <c r="O441" s="147">
        <f>INDEX(Muuttujat!$J$5:$J$21,MATCH($C441,Muuttujat!$H$5:$H$21,0),1)</f>
        <v>60.158234351438509</v>
      </c>
      <c r="P441" s="148">
        <f t="shared" si="143"/>
        <v>0.1293333333333333</v>
      </c>
      <c r="Q441" s="148">
        <f t="shared" si="154"/>
        <v>0.8706666666666667</v>
      </c>
      <c r="R441" s="148">
        <f t="shared" si="154"/>
        <v>0.8706666666666667</v>
      </c>
      <c r="S441" s="149">
        <f t="shared" si="137"/>
        <v>0</v>
      </c>
      <c r="T441" s="150">
        <f t="shared" si="138"/>
        <v>0</v>
      </c>
      <c r="U441" s="150">
        <f t="shared" si="139"/>
        <v>0</v>
      </c>
      <c r="V441" s="150">
        <f>IFERROR(INDEX(Työkonekanta!$J$3:$J$27,MATCH($A441,Työkonekanta!$A$3:$A$24,0),1)*$B441*ef_li_ion_akku/1000/1000/INDEX(Työkonekanta!$K$3:$K$27,MATCH($A441,Työkonekanta!$A$3:$A$24,0)),0)</f>
        <v>0</v>
      </c>
      <c r="W441" s="149">
        <f t="shared" si="150"/>
        <v>0</v>
      </c>
      <c r="X441" s="150">
        <f t="shared" si="151"/>
        <v>0</v>
      </c>
      <c r="Y441" s="151">
        <f t="shared" si="152"/>
        <v>0</v>
      </c>
      <c r="Z441" s="152">
        <f t="shared" si="144"/>
        <v>0</v>
      </c>
      <c r="AA441" s="153">
        <f t="shared" si="145"/>
        <v>0</v>
      </c>
      <c r="AB441" s="153">
        <f t="shared" si="146"/>
        <v>0</v>
      </c>
      <c r="AC441" s="154">
        <f t="shared" si="153"/>
        <v>0</v>
      </c>
      <c r="AD441" s="180">
        <f t="shared" si="147"/>
        <v>0</v>
      </c>
      <c r="AE441" s="160"/>
    </row>
    <row r="442" spans="1:31">
      <c r="A442" s="139">
        <v>20</v>
      </c>
      <c r="B442" s="139">
        <f>IFERROR(INDEX(Työkonekanta!$F$3:$F$27,MATCH('S2 Bio'!$A442,Työkonekanta!$A$3:$A$24,0),1),0)</f>
        <v>0</v>
      </c>
      <c r="C442" s="140">
        <v>2033</v>
      </c>
      <c r="D442" s="141" t="str">
        <f>IFERROR(INDEX(Työkonekanta!$D$3:$D$27,MATCH('S2 Bio'!$A442,Työkonekanta!$A$3:$A$24,0),1),"undefined")</f>
        <v>pom</v>
      </c>
      <c r="E442" s="145">
        <f>IFERROR(INDEX(Työkonekanta!$G$3:$G$27,MATCH($A442,Työkonekanta!$A$3:$A$24,0),1)*INDEX(Työkonekanta!$H$3:$H$27,MATCH($A442,Työkonekanta!$A$3:$A$24,0),1)*(1+_xlfn.SINGLE(s2_kerroin)*($C442-2019))*$B442,0)</f>
        <v>0</v>
      </c>
      <c r="F442" s="145">
        <f t="shared" si="134"/>
        <v>0</v>
      </c>
      <c r="G442" s="145">
        <f t="shared" si="140"/>
        <v>0</v>
      </c>
      <c r="H442" s="145">
        <f t="shared" si="141"/>
        <v>0</v>
      </c>
      <c r="I442" s="145">
        <f t="shared" si="135"/>
        <v>0</v>
      </c>
      <c r="J442" s="145">
        <f t="shared" si="136"/>
        <v>0</v>
      </c>
      <c r="K442" s="142" t="str">
        <f t="shared" si="142"/>
        <v>l</v>
      </c>
      <c r="L442" s="146">
        <f>IFERROR(INDEX(Työkonekanta!$I$3:$I$27,MATCH('S2 Bio'!$A442,Työkonekanta!$A$3:$A$24,0),1)*(I442+J442)*f_adblue,0)</f>
        <v>0</v>
      </c>
      <c r="M442" s="146">
        <f t="shared" si="148"/>
        <v>0</v>
      </c>
      <c r="N442" s="143" t="str">
        <f>IF(tuulisähkö_vuosi&lt;='S2 Bio'!C442,"tuulisähkö",ostosähkö_nyt)</f>
        <v>jäännössähkö</v>
      </c>
      <c r="O442" s="147">
        <f>INDEX(Muuttujat!$J$5:$J$21,MATCH($C442,Muuttujat!$H$5:$H$21,0),1)</f>
        <v>60.158234351438509</v>
      </c>
      <c r="P442" s="148">
        <f t="shared" si="143"/>
        <v>0.1293333333333333</v>
      </c>
      <c r="Q442" s="148">
        <f t="shared" si="154"/>
        <v>0.8706666666666667</v>
      </c>
      <c r="R442" s="148">
        <f t="shared" si="154"/>
        <v>0.8706666666666667</v>
      </c>
      <c r="S442" s="149">
        <f t="shared" si="137"/>
        <v>0</v>
      </c>
      <c r="T442" s="150">
        <f t="shared" si="138"/>
        <v>0</v>
      </c>
      <c r="U442" s="150">
        <f t="shared" si="139"/>
        <v>0</v>
      </c>
      <c r="V442" s="150">
        <f>IFERROR(INDEX(Työkonekanta!$J$3:$J$27,MATCH($A442,Työkonekanta!$A$3:$A$24,0),1)*$B442*ef_li_ion_akku/1000/1000/INDEX(Työkonekanta!$K$3:$K$27,MATCH($A442,Työkonekanta!$A$3:$A$24,0)),0)</f>
        <v>0</v>
      </c>
      <c r="W442" s="149">
        <f t="shared" si="150"/>
        <v>0</v>
      </c>
      <c r="X442" s="150">
        <f t="shared" si="151"/>
        <v>0</v>
      </c>
      <c r="Y442" s="151">
        <f t="shared" si="152"/>
        <v>0</v>
      </c>
      <c r="Z442" s="152">
        <f t="shared" si="144"/>
        <v>0</v>
      </c>
      <c r="AA442" s="153">
        <f t="shared" si="145"/>
        <v>0</v>
      </c>
      <c r="AB442" s="153">
        <f t="shared" si="146"/>
        <v>0</v>
      </c>
      <c r="AC442" s="154">
        <f t="shared" si="153"/>
        <v>0</v>
      </c>
      <c r="AD442" s="180">
        <f t="shared" si="147"/>
        <v>0</v>
      </c>
      <c r="AE442" s="160"/>
    </row>
    <row r="443" spans="1:31">
      <c r="A443" s="139">
        <v>21</v>
      </c>
      <c r="B443" s="139">
        <f>IFERROR(INDEX(Työkonekanta!$F$3:$F$27,MATCH('S2 Bio'!$A443,Työkonekanta!$A$3:$A$24,0),1),0)</f>
        <v>35</v>
      </c>
      <c r="C443" s="140">
        <v>2033</v>
      </c>
      <c r="D443" s="141" t="str">
        <f>IFERROR(INDEX(Työkonekanta!$D$3:$D$27,MATCH('S2 Bio'!$A443,Työkonekanta!$A$3:$A$24,0),1),"undefined")</f>
        <v>sähkö</v>
      </c>
      <c r="E443" s="145">
        <f>IFERROR(INDEX(Työkonekanta!$G$3:$G$27,MATCH($A443,Työkonekanta!$A$3:$A$24,0),1)*INDEX(Työkonekanta!$H$3:$H$27,MATCH($A443,Työkonekanta!$A$3:$A$24,0),1)*(1+_xlfn.SINGLE(s2_kerroin)*($C443-2019))*$B443,0)</f>
        <v>464206.9444444445</v>
      </c>
      <c r="F443" s="145">
        <f t="shared" si="134"/>
        <v>0</v>
      </c>
      <c r="G443" s="145">
        <f t="shared" si="140"/>
        <v>0</v>
      </c>
      <c r="H443" s="145">
        <f t="shared" si="141"/>
        <v>0</v>
      </c>
      <c r="I443" s="145">
        <f t="shared" si="135"/>
        <v>0</v>
      </c>
      <c r="J443" s="145">
        <f t="shared" si="136"/>
        <v>0</v>
      </c>
      <c r="K443" s="142" t="str">
        <f t="shared" si="142"/>
        <v>kWh</v>
      </c>
      <c r="L443" s="146">
        <f>IFERROR(INDEX(Työkonekanta!$I$3:$I$27,MATCH('S2 Bio'!$A443,Työkonekanta!$A$3:$A$24,0),1)*(I443+J443)*f_adblue,0)</f>
        <v>0</v>
      </c>
      <c r="M443" s="146">
        <f t="shared" si="148"/>
        <v>1671145.0000000002</v>
      </c>
      <c r="N443" s="143" t="str">
        <f>IF(tuulisähkö_vuosi&lt;='S2 Bio'!C443,"tuulisähkö",ostosähkö_nyt)</f>
        <v>jäännössähkö</v>
      </c>
      <c r="O443" s="147">
        <f>INDEX(Muuttujat!$J$5:$J$21,MATCH($C443,Muuttujat!$H$5:$H$21,0),1)</f>
        <v>60.158234351438509</v>
      </c>
      <c r="P443" s="148">
        <f t="shared" si="143"/>
        <v>0.1293333333333333</v>
      </c>
      <c r="Q443" s="148">
        <f t="shared" ref="Q443:R462" si="155">IF(biosiirtymä_luonne="äkillinen",INDEX($AG$4:$AG$20,MATCH($C443,$AF$4:$AF$20,0),1),INDEX($AH$4:$AH$20,MATCH($C443,$AF$4:$AF$20,0),1))</f>
        <v>0.8706666666666667</v>
      </c>
      <c r="R443" s="148">
        <f t="shared" si="155"/>
        <v>0.8706666666666667</v>
      </c>
      <c r="S443" s="149">
        <f t="shared" si="137"/>
        <v>0</v>
      </c>
      <c r="T443" s="150">
        <f t="shared" si="138"/>
        <v>0</v>
      </c>
      <c r="U443" s="150">
        <f t="shared" si="139"/>
        <v>100.53313254523472</v>
      </c>
      <c r="V443" s="150">
        <f>IFERROR(INDEX(Työkonekanta!$J$3:$J$27,MATCH($A443,Työkonekanta!$A$3:$A$24,0),1)*$B443*ef_li_ion_akku/1000/1000/INDEX(Työkonekanta!$K$3:$K$27,MATCH($A443,Työkonekanta!$A$3:$A$24,0)),0)</f>
        <v>43.121723076923082</v>
      </c>
      <c r="W443" s="149">
        <f t="shared" si="150"/>
        <v>0</v>
      </c>
      <c r="X443" s="150">
        <f t="shared" si="151"/>
        <v>0</v>
      </c>
      <c r="Y443" s="151">
        <f t="shared" si="152"/>
        <v>0</v>
      </c>
      <c r="Z443" s="152">
        <f t="shared" si="144"/>
        <v>143.65485562215781</v>
      </c>
      <c r="AA443" s="153">
        <f t="shared" si="145"/>
        <v>0</v>
      </c>
      <c r="AB443" s="153">
        <f t="shared" si="146"/>
        <v>0</v>
      </c>
      <c r="AC443" s="154">
        <f t="shared" si="153"/>
        <v>143.65485562215781</v>
      </c>
      <c r="AD443" s="180">
        <f t="shared" si="147"/>
        <v>143.65485562215781</v>
      </c>
      <c r="AE443" s="160"/>
    </row>
    <row r="444" spans="1:31">
      <c r="A444" s="139">
        <v>22</v>
      </c>
      <c r="B444" s="139">
        <f>IFERROR(INDEX(Työkonekanta!$F$3:$F$27,MATCH('S2 Bio'!$A444,Työkonekanta!$A$3:$A$24,0),1),0)</f>
        <v>0</v>
      </c>
      <c r="C444" s="140">
        <v>2033</v>
      </c>
      <c r="D444" s="141" t="str">
        <f>IFERROR(INDEX(Työkonekanta!$D$3:$D$27,MATCH('S2 Bio'!$A444,Työkonekanta!$A$3:$A$24,0),1),"undefined")</f>
        <v>sähkö</v>
      </c>
      <c r="E444" s="145">
        <f>IFERROR(INDEX(Työkonekanta!$G$3:$G$27,MATCH($A444,Työkonekanta!$A$3:$A$24,0),1)*INDEX(Työkonekanta!$H$3:$H$27,MATCH($A444,Työkonekanta!$A$3:$A$24,0),1)*(1+_xlfn.SINGLE(s2_kerroin)*($C444-2019))*$B444,0)</f>
        <v>0</v>
      </c>
      <c r="F444" s="145">
        <f t="shared" si="134"/>
        <v>0</v>
      </c>
      <c r="G444" s="145">
        <f t="shared" si="140"/>
        <v>0</v>
      </c>
      <c r="H444" s="145">
        <f t="shared" si="141"/>
        <v>0</v>
      </c>
      <c r="I444" s="145">
        <f t="shared" si="135"/>
        <v>0</v>
      </c>
      <c r="J444" s="145">
        <f t="shared" si="136"/>
        <v>0</v>
      </c>
      <c r="K444" s="142" t="str">
        <f t="shared" si="142"/>
        <v>kWh</v>
      </c>
      <c r="L444" s="146">
        <f>IFERROR(INDEX(Työkonekanta!$I$3:$I$27,MATCH('S2 Bio'!$A444,Työkonekanta!$A$3:$A$24,0),1)*(I444+J444)*f_adblue,0)</f>
        <v>0</v>
      </c>
      <c r="M444" s="146">
        <f t="shared" si="148"/>
        <v>0</v>
      </c>
      <c r="N444" s="143" t="str">
        <f>IF(tuulisähkö_vuosi&lt;='S2 Bio'!C444,"tuulisähkö",ostosähkö_nyt)</f>
        <v>jäännössähkö</v>
      </c>
      <c r="O444" s="147">
        <f>INDEX(Muuttujat!$J$5:$J$21,MATCH($C444,Muuttujat!$H$5:$H$21,0),1)</f>
        <v>60.158234351438509</v>
      </c>
      <c r="P444" s="148">
        <f t="shared" si="143"/>
        <v>0.1293333333333333</v>
      </c>
      <c r="Q444" s="148">
        <f t="shared" si="155"/>
        <v>0.8706666666666667</v>
      </c>
      <c r="R444" s="148">
        <f t="shared" si="155"/>
        <v>0.8706666666666667</v>
      </c>
      <c r="S444" s="149">
        <f t="shared" si="137"/>
        <v>0</v>
      </c>
      <c r="T444" s="150">
        <f t="shared" si="138"/>
        <v>0</v>
      </c>
      <c r="U444" s="150">
        <f t="shared" si="139"/>
        <v>0</v>
      </c>
      <c r="V444" s="150">
        <f>IFERROR(INDEX(Työkonekanta!$J$3:$J$27,MATCH($A444,Työkonekanta!$A$3:$A$24,0),1)*$B444*ef_li_ion_akku/1000/1000/INDEX(Työkonekanta!$K$3:$K$27,MATCH($A444,Työkonekanta!$A$3:$A$24,0)),0)</f>
        <v>0</v>
      </c>
      <c r="W444" s="149">
        <f t="shared" si="150"/>
        <v>0</v>
      </c>
      <c r="X444" s="150">
        <f t="shared" si="151"/>
        <v>0</v>
      </c>
      <c r="Y444" s="151">
        <f t="shared" si="152"/>
        <v>0</v>
      </c>
      <c r="Z444" s="152">
        <f t="shared" si="144"/>
        <v>0</v>
      </c>
      <c r="AA444" s="153">
        <f t="shared" si="145"/>
        <v>0</v>
      </c>
      <c r="AB444" s="153">
        <f t="shared" si="146"/>
        <v>0</v>
      </c>
      <c r="AC444" s="154">
        <f t="shared" si="153"/>
        <v>0</v>
      </c>
      <c r="AD444" s="180">
        <f t="shared" si="147"/>
        <v>0</v>
      </c>
      <c r="AE444" s="160"/>
    </row>
    <row r="445" spans="1:31">
      <c r="A445" s="139">
        <v>23</v>
      </c>
      <c r="B445" s="139">
        <f>IFERROR(INDEX(Työkonekanta!$F$3:$F$27,MATCH('S2 Bio'!$A445,Työkonekanta!$A$3:$A$24,0),1),0)</f>
        <v>0</v>
      </c>
      <c r="C445" s="140">
        <v>2033</v>
      </c>
      <c r="D445" s="141" t="str">
        <f>IFERROR(INDEX(Työkonekanta!$D$3:$D$27,MATCH('S2 Bio'!$A445,Työkonekanta!$A$3:$A$24,0),1),"undefined")</f>
        <v>undefined</v>
      </c>
      <c r="E445" s="145">
        <f>IFERROR(INDEX(Työkonekanta!$G$3:$G$27,MATCH($A445,Työkonekanta!$A$3:$A$24,0),1)*INDEX(Työkonekanta!$H$3:$H$27,MATCH($A445,Työkonekanta!$A$3:$A$24,0),1)*(1+_xlfn.SINGLE(s2_kerroin)*($C445-2019))*$B445,0)</f>
        <v>0</v>
      </c>
      <c r="F445" s="145">
        <f t="shared" si="134"/>
        <v>0</v>
      </c>
      <c r="G445" s="145">
        <f t="shared" si="140"/>
        <v>0</v>
      </c>
      <c r="H445" s="145">
        <f t="shared" si="141"/>
        <v>0</v>
      </c>
      <c r="I445" s="145">
        <f t="shared" si="135"/>
        <v>0</v>
      </c>
      <c r="J445" s="145">
        <f t="shared" si="136"/>
        <v>0</v>
      </c>
      <c r="K445" s="142" t="str">
        <f t="shared" si="142"/>
        <v>undefined</v>
      </c>
      <c r="L445" s="146">
        <f>IFERROR(INDEX(Työkonekanta!$I$3:$I$27,MATCH('S2 Bio'!$A445,Työkonekanta!$A$3:$A$24,0),1)*(I445+J445)*f_adblue,0)</f>
        <v>0</v>
      </c>
      <c r="M445" s="146">
        <f t="shared" si="148"/>
        <v>0</v>
      </c>
      <c r="N445" s="143" t="str">
        <f>IF(tuulisähkö_vuosi&lt;='S2 Bio'!C445,"tuulisähkö",ostosähkö_nyt)</f>
        <v>jäännössähkö</v>
      </c>
      <c r="O445" s="147">
        <f>INDEX(Muuttujat!$J$5:$J$21,MATCH($C445,Muuttujat!$H$5:$H$21,0),1)</f>
        <v>60.158234351438509</v>
      </c>
      <c r="P445" s="148">
        <f t="shared" si="143"/>
        <v>0.1293333333333333</v>
      </c>
      <c r="Q445" s="148">
        <f t="shared" si="155"/>
        <v>0.8706666666666667</v>
      </c>
      <c r="R445" s="148">
        <f t="shared" si="155"/>
        <v>0.8706666666666667</v>
      </c>
      <c r="S445" s="149">
        <f t="shared" si="137"/>
        <v>0</v>
      </c>
      <c r="T445" s="150">
        <f t="shared" si="138"/>
        <v>0</v>
      </c>
      <c r="U445" s="150">
        <f t="shared" si="139"/>
        <v>0</v>
      </c>
      <c r="V445" s="150">
        <f>IFERROR(INDEX(Työkonekanta!$J$3:$J$27,MATCH($A445,Työkonekanta!$A$3:$A$24,0),1)*$B445*ef_li_ion_akku/1000/1000/INDEX(Työkonekanta!$K$3:$K$27,MATCH($A445,Työkonekanta!$A$3:$A$24,0)),0)</f>
        <v>0</v>
      </c>
      <c r="W445" s="149">
        <f t="shared" si="150"/>
        <v>0</v>
      </c>
      <c r="X445" s="150">
        <f t="shared" si="151"/>
        <v>0</v>
      </c>
      <c r="Y445" s="151">
        <f t="shared" si="152"/>
        <v>0</v>
      </c>
      <c r="Z445" s="152">
        <f t="shared" si="144"/>
        <v>0</v>
      </c>
      <c r="AA445" s="153">
        <f t="shared" si="145"/>
        <v>0</v>
      </c>
      <c r="AB445" s="153">
        <f t="shared" si="146"/>
        <v>0</v>
      </c>
      <c r="AC445" s="154">
        <f t="shared" si="153"/>
        <v>0</v>
      </c>
      <c r="AD445" s="180">
        <f t="shared" si="147"/>
        <v>0</v>
      </c>
      <c r="AE445" s="160"/>
    </row>
    <row r="446" spans="1:31">
      <c r="A446" s="139">
        <v>24</v>
      </c>
      <c r="B446" s="139">
        <f>IFERROR(INDEX(Työkonekanta!$F$3:$F$27,MATCH('S2 Bio'!$A446,Työkonekanta!$A$3:$A$24,0),1),0)</f>
        <v>0</v>
      </c>
      <c r="C446" s="140">
        <v>2033</v>
      </c>
      <c r="D446" s="141" t="str">
        <f>IFERROR(INDEX(Työkonekanta!$D$3:$D$27,MATCH('S2 Bio'!$A446,Työkonekanta!$A$3:$A$24,0),1),"undefined")</f>
        <v>undefined</v>
      </c>
      <c r="E446" s="145">
        <f>IFERROR(INDEX(Työkonekanta!$G$3:$G$27,MATCH($A446,Työkonekanta!$A$3:$A$24,0),1)*INDEX(Työkonekanta!$H$3:$H$27,MATCH($A446,Työkonekanta!$A$3:$A$24,0),1)*(1+_xlfn.SINGLE(s2_kerroin)*($C446-2019))*$B446,0)</f>
        <v>0</v>
      </c>
      <c r="F446" s="145">
        <f t="shared" si="134"/>
        <v>0</v>
      </c>
      <c r="G446" s="145">
        <f t="shared" si="140"/>
        <v>0</v>
      </c>
      <c r="H446" s="145">
        <f t="shared" si="141"/>
        <v>0</v>
      </c>
      <c r="I446" s="145">
        <f t="shared" si="135"/>
        <v>0</v>
      </c>
      <c r="J446" s="145">
        <f t="shared" si="136"/>
        <v>0</v>
      </c>
      <c r="K446" s="142" t="str">
        <f t="shared" si="142"/>
        <v>undefined</v>
      </c>
      <c r="L446" s="146">
        <f>IFERROR(INDEX(Työkonekanta!$I$3:$I$27,MATCH('S2 Bio'!$A446,Työkonekanta!$A$3:$A$24,0),1)*(I446+J446)*f_adblue,0)</f>
        <v>0</v>
      </c>
      <c r="M446" s="146">
        <f t="shared" si="148"/>
        <v>0</v>
      </c>
      <c r="N446" s="143" t="str">
        <f>IF(tuulisähkö_vuosi&lt;='S2 Bio'!C446,"tuulisähkö",ostosähkö_nyt)</f>
        <v>jäännössähkö</v>
      </c>
      <c r="O446" s="147">
        <f>INDEX(Muuttujat!$J$5:$J$21,MATCH($C446,Muuttujat!$H$5:$H$21,0),1)</f>
        <v>60.158234351438509</v>
      </c>
      <c r="P446" s="148">
        <f t="shared" si="143"/>
        <v>0.1293333333333333</v>
      </c>
      <c r="Q446" s="148">
        <f t="shared" si="155"/>
        <v>0.8706666666666667</v>
      </c>
      <c r="R446" s="148">
        <f t="shared" si="155"/>
        <v>0.8706666666666667</v>
      </c>
      <c r="S446" s="149">
        <f t="shared" si="137"/>
        <v>0</v>
      </c>
      <c r="T446" s="150">
        <f t="shared" si="138"/>
        <v>0</v>
      </c>
      <c r="U446" s="150">
        <f t="shared" si="139"/>
        <v>0</v>
      </c>
      <c r="V446" s="150">
        <f>IFERROR(INDEX(Työkonekanta!$J$3:$J$27,MATCH($A446,Työkonekanta!$A$3:$A$24,0),1)*$B446*ef_li_ion_akku/1000/1000/INDEX(Työkonekanta!$K$3:$K$27,MATCH($A446,Työkonekanta!$A$3:$A$24,0)),0)</f>
        <v>0</v>
      </c>
      <c r="W446" s="149">
        <f t="shared" si="150"/>
        <v>0</v>
      </c>
      <c r="X446" s="150">
        <f t="shared" si="151"/>
        <v>0</v>
      </c>
      <c r="Y446" s="151">
        <f t="shared" si="152"/>
        <v>0</v>
      </c>
      <c r="Z446" s="152">
        <f t="shared" si="144"/>
        <v>0</v>
      </c>
      <c r="AA446" s="153">
        <f t="shared" si="145"/>
        <v>0</v>
      </c>
      <c r="AB446" s="153">
        <f t="shared" si="146"/>
        <v>0</v>
      </c>
      <c r="AC446" s="154">
        <f t="shared" si="153"/>
        <v>0</v>
      </c>
      <c r="AD446" s="180">
        <f t="shared" si="147"/>
        <v>0</v>
      </c>
      <c r="AE446" s="160"/>
    </row>
    <row r="447" spans="1:31">
      <c r="A447" s="139">
        <v>25</v>
      </c>
      <c r="B447" s="139">
        <f>IFERROR(INDEX(Työkonekanta!$F$3:$F$27,MATCH('S2 Bio'!$A447,Työkonekanta!$A$3:$A$24,0),1),0)</f>
        <v>0</v>
      </c>
      <c r="C447" s="140">
        <v>2033</v>
      </c>
      <c r="D447" s="141" t="str">
        <f>IFERROR(INDEX(Työkonekanta!$D$3:$D$27,MATCH('S2 Bio'!$A447,Työkonekanta!$A$3:$A$24,0),1),"undefined")</f>
        <v>undefined</v>
      </c>
      <c r="E447" s="145">
        <f>IFERROR(INDEX(Työkonekanta!$G$3:$G$27,MATCH($A447,Työkonekanta!$A$3:$A$24,0),1)*INDEX(Työkonekanta!$H$3:$H$27,MATCH($A447,Työkonekanta!$A$3:$A$24,0),1)*(1+_xlfn.SINGLE(s2_kerroin)*($C447-2019))*$B447,0)</f>
        <v>0</v>
      </c>
      <c r="F447" s="145">
        <f t="shared" si="134"/>
        <v>0</v>
      </c>
      <c r="G447" s="145">
        <f t="shared" si="140"/>
        <v>0</v>
      </c>
      <c r="H447" s="145">
        <f t="shared" si="141"/>
        <v>0</v>
      </c>
      <c r="I447" s="145">
        <f t="shared" si="135"/>
        <v>0</v>
      </c>
      <c r="J447" s="145">
        <f t="shared" si="136"/>
        <v>0</v>
      </c>
      <c r="K447" s="142" t="str">
        <f t="shared" si="142"/>
        <v>undefined</v>
      </c>
      <c r="L447" s="146">
        <f>IFERROR(INDEX(Työkonekanta!$I$3:$I$27,MATCH('S2 Bio'!$A447,Työkonekanta!$A$3:$A$24,0),1)*(I447+J447)*f_adblue,0)</f>
        <v>0</v>
      </c>
      <c r="M447" s="146">
        <f t="shared" si="148"/>
        <v>0</v>
      </c>
      <c r="N447" s="143" t="str">
        <f>IF(tuulisähkö_vuosi&lt;='S2 Bio'!C447,"tuulisähkö",ostosähkö_nyt)</f>
        <v>jäännössähkö</v>
      </c>
      <c r="O447" s="147">
        <f>INDEX(Muuttujat!$J$5:$J$21,MATCH($C447,Muuttujat!$H$5:$H$21,0),1)</f>
        <v>60.158234351438509</v>
      </c>
      <c r="P447" s="148">
        <f t="shared" si="143"/>
        <v>0.1293333333333333</v>
      </c>
      <c r="Q447" s="148">
        <f t="shared" si="155"/>
        <v>0.8706666666666667</v>
      </c>
      <c r="R447" s="148">
        <f t="shared" si="155"/>
        <v>0.8706666666666667</v>
      </c>
      <c r="S447" s="149">
        <f t="shared" si="137"/>
        <v>0</v>
      </c>
      <c r="T447" s="150">
        <f t="shared" si="138"/>
        <v>0</v>
      </c>
      <c r="U447" s="150">
        <f t="shared" si="139"/>
        <v>0</v>
      </c>
      <c r="V447" s="150">
        <f>IFERROR(INDEX(Työkonekanta!$J$3:$J$27,MATCH($A447,Työkonekanta!$A$3:$A$24,0),1)*$B447*ef_li_ion_akku/1000/1000/INDEX(Työkonekanta!$K$3:$K$27,MATCH($A447,Työkonekanta!$A$3:$A$24,0)),0)</f>
        <v>0</v>
      </c>
      <c r="W447" s="149">
        <f t="shared" si="150"/>
        <v>0</v>
      </c>
      <c r="X447" s="150">
        <f t="shared" si="151"/>
        <v>0</v>
      </c>
      <c r="Y447" s="151">
        <f t="shared" si="152"/>
        <v>0</v>
      </c>
      <c r="Z447" s="152">
        <f t="shared" si="144"/>
        <v>0</v>
      </c>
      <c r="AA447" s="153">
        <f t="shared" si="145"/>
        <v>0</v>
      </c>
      <c r="AB447" s="153">
        <f t="shared" si="146"/>
        <v>0</v>
      </c>
      <c r="AC447" s="154">
        <f t="shared" si="153"/>
        <v>0</v>
      </c>
      <c r="AD447" s="180">
        <f t="shared" si="147"/>
        <v>0</v>
      </c>
      <c r="AE447" s="160"/>
    </row>
    <row r="448" spans="1:31">
      <c r="A448" s="139">
        <v>26</v>
      </c>
      <c r="B448" s="139">
        <f>IFERROR(INDEX(Työkonekanta!$F$3:$F$27,MATCH('S2 Bio'!$A448,Työkonekanta!$A$3:$A$24,0),1),0)</f>
        <v>0</v>
      </c>
      <c r="C448" s="140">
        <v>2033</v>
      </c>
      <c r="D448" s="141" t="str">
        <f>IFERROR(INDEX(Työkonekanta!$D$3:$D$27,MATCH('S2 Bio'!$A448,Työkonekanta!$A$3:$A$24,0),1),"undefined")</f>
        <v>undefined</v>
      </c>
      <c r="E448" s="145">
        <f>IFERROR(INDEX(Työkonekanta!$G$3:$G$27,MATCH($A448,Työkonekanta!$A$3:$A$24,0),1)*INDEX(Työkonekanta!$H$3:$H$27,MATCH($A448,Työkonekanta!$A$3:$A$24,0),1)*(1+_xlfn.SINGLE(s2_kerroin)*($C448-2019))*$B448,0)</f>
        <v>0</v>
      </c>
      <c r="F448" s="145">
        <f t="shared" si="134"/>
        <v>0</v>
      </c>
      <c r="G448" s="145">
        <f t="shared" si="140"/>
        <v>0</v>
      </c>
      <c r="H448" s="145">
        <f t="shared" si="141"/>
        <v>0</v>
      </c>
      <c r="I448" s="145">
        <f t="shared" si="135"/>
        <v>0</v>
      </c>
      <c r="J448" s="145">
        <f t="shared" si="136"/>
        <v>0</v>
      </c>
      <c r="K448" s="142" t="str">
        <f t="shared" si="142"/>
        <v>undefined</v>
      </c>
      <c r="L448" s="146">
        <f>IFERROR(INDEX(Työkonekanta!$I$3:$I$27,MATCH('S2 Bio'!$A448,Työkonekanta!$A$3:$A$24,0),1)*(I448+J448)*f_adblue,0)</f>
        <v>0</v>
      </c>
      <c r="M448" s="146">
        <f t="shared" si="148"/>
        <v>0</v>
      </c>
      <c r="N448" s="143" t="str">
        <f>IF(tuulisähkö_vuosi&lt;='S2 Bio'!C448,"tuulisähkö",ostosähkö_nyt)</f>
        <v>jäännössähkö</v>
      </c>
      <c r="O448" s="147">
        <f>INDEX(Muuttujat!$J$5:$J$21,MATCH($C448,Muuttujat!$H$5:$H$21,0),1)</f>
        <v>60.158234351438509</v>
      </c>
      <c r="P448" s="148">
        <f t="shared" si="143"/>
        <v>0.1293333333333333</v>
      </c>
      <c r="Q448" s="148">
        <f t="shared" si="155"/>
        <v>0.8706666666666667</v>
      </c>
      <c r="R448" s="148">
        <f t="shared" si="155"/>
        <v>0.8706666666666667</v>
      </c>
      <c r="S448" s="149">
        <f t="shared" si="137"/>
        <v>0</v>
      </c>
      <c r="T448" s="150">
        <f t="shared" si="138"/>
        <v>0</v>
      </c>
      <c r="U448" s="150">
        <f t="shared" si="139"/>
        <v>0</v>
      </c>
      <c r="V448" s="150">
        <f>IFERROR(INDEX(Työkonekanta!$J$3:$J$27,MATCH($A448,Työkonekanta!$A$3:$A$24,0),1)*$B448*ef_li_ion_akku/1000/1000/INDEX(Työkonekanta!$K$3:$K$27,MATCH($A448,Työkonekanta!$A$3:$A$24,0)),0)</f>
        <v>0</v>
      </c>
      <c r="W448" s="149">
        <f t="shared" si="150"/>
        <v>0</v>
      </c>
      <c r="X448" s="150">
        <f t="shared" si="151"/>
        <v>0</v>
      </c>
      <c r="Y448" s="151">
        <f t="shared" si="152"/>
        <v>0</v>
      </c>
      <c r="Z448" s="152">
        <f t="shared" si="144"/>
        <v>0</v>
      </c>
      <c r="AA448" s="153">
        <f t="shared" si="145"/>
        <v>0</v>
      </c>
      <c r="AB448" s="153">
        <f t="shared" si="146"/>
        <v>0</v>
      </c>
      <c r="AC448" s="154">
        <f t="shared" si="153"/>
        <v>0</v>
      </c>
      <c r="AD448" s="180">
        <f t="shared" si="147"/>
        <v>0</v>
      </c>
      <c r="AE448" s="160"/>
    </row>
    <row r="449" spans="1:31">
      <c r="A449" s="139">
        <v>27</v>
      </c>
      <c r="B449" s="139">
        <f>IFERROR(INDEX(Työkonekanta!$F$3:$F$27,MATCH('S2 Bio'!$A449,Työkonekanta!$A$3:$A$24,0),1),0)</f>
        <v>0</v>
      </c>
      <c r="C449" s="140">
        <v>2033</v>
      </c>
      <c r="D449" s="141" t="str">
        <f>IFERROR(INDEX(Työkonekanta!$D$3:$D$27,MATCH('S2 Bio'!$A449,Työkonekanta!$A$3:$A$24,0),1),"undefined")</f>
        <v>undefined</v>
      </c>
      <c r="E449" s="145">
        <f>IFERROR(INDEX(Työkonekanta!$G$3:$G$27,MATCH($A449,Työkonekanta!$A$3:$A$24,0),1)*INDEX(Työkonekanta!$H$3:$H$27,MATCH($A449,Työkonekanta!$A$3:$A$24,0),1)*(1+_xlfn.SINGLE(s2_kerroin)*($C449-2019))*$B449,0)</f>
        <v>0</v>
      </c>
      <c r="F449" s="145">
        <f t="shared" si="134"/>
        <v>0</v>
      </c>
      <c r="G449" s="145">
        <f t="shared" si="140"/>
        <v>0</v>
      </c>
      <c r="H449" s="145">
        <f t="shared" si="141"/>
        <v>0</v>
      </c>
      <c r="I449" s="145">
        <f t="shared" si="135"/>
        <v>0</v>
      </c>
      <c r="J449" s="145">
        <f t="shared" si="136"/>
        <v>0</v>
      </c>
      <c r="K449" s="142" t="str">
        <f t="shared" si="142"/>
        <v>undefined</v>
      </c>
      <c r="L449" s="146">
        <f>IFERROR(INDEX(Työkonekanta!$I$3:$I$27,MATCH('S2 Bio'!$A449,Työkonekanta!$A$3:$A$24,0),1)*(I449+J449)*f_adblue,0)</f>
        <v>0</v>
      </c>
      <c r="M449" s="146">
        <f t="shared" si="148"/>
        <v>0</v>
      </c>
      <c r="N449" s="143" t="str">
        <f>IF(tuulisähkö_vuosi&lt;='S2 Bio'!C449,"tuulisähkö",ostosähkö_nyt)</f>
        <v>jäännössähkö</v>
      </c>
      <c r="O449" s="147">
        <f>INDEX(Muuttujat!$J$5:$J$21,MATCH($C449,Muuttujat!$H$5:$H$21,0),1)</f>
        <v>60.158234351438509</v>
      </c>
      <c r="P449" s="148">
        <f t="shared" si="143"/>
        <v>0.1293333333333333</v>
      </c>
      <c r="Q449" s="148">
        <f t="shared" si="155"/>
        <v>0.8706666666666667</v>
      </c>
      <c r="R449" s="148">
        <f t="shared" si="155"/>
        <v>0.8706666666666667</v>
      </c>
      <c r="S449" s="149">
        <f t="shared" si="137"/>
        <v>0</v>
      </c>
      <c r="T449" s="150">
        <f t="shared" si="138"/>
        <v>0</v>
      </c>
      <c r="U449" s="150">
        <f t="shared" si="139"/>
        <v>0</v>
      </c>
      <c r="V449" s="150">
        <f>IFERROR(INDEX(Työkonekanta!$J$3:$J$27,MATCH($A449,Työkonekanta!$A$3:$A$24,0),1)*$B449*ef_li_ion_akku/1000/1000/INDEX(Työkonekanta!$K$3:$K$27,MATCH($A449,Työkonekanta!$A$3:$A$24,0)),0)</f>
        <v>0</v>
      </c>
      <c r="W449" s="149">
        <f t="shared" si="150"/>
        <v>0</v>
      </c>
      <c r="X449" s="150">
        <f t="shared" si="151"/>
        <v>0</v>
      </c>
      <c r="Y449" s="151">
        <f t="shared" si="152"/>
        <v>0</v>
      </c>
      <c r="Z449" s="152">
        <f t="shared" si="144"/>
        <v>0</v>
      </c>
      <c r="AA449" s="153">
        <f t="shared" si="145"/>
        <v>0</v>
      </c>
      <c r="AB449" s="153">
        <f t="shared" si="146"/>
        <v>0</v>
      </c>
      <c r="AC449" s="154">
        <f t="shared" si="153"/>
        <v>0</v>
      </c>
      <c r="AD449" s="180">
        <f t="shared" si="147"/>
        <v>0</v>
      </c>
      <c r="AE449" s="160"/>
    </row>
    <row r="450" spans="1:31">
      <c r="A450" s="139">
        <v>28</v>
      </c>
      <c r="B450" s="139">
        <f>IFERROR(INDEX(Työkonekanta!$F$3:$F$27,MATCH('S2 Bio'!$A450,Työkonekanta!$A$3:$A$24,0),1),0)</f>
        <v>0</v>
      </c>
      <c r="C450" s="140">
        <v>2033</v>
      </c>
      <c r="D450" s="141" t="str">
        <f>IFERROR(INDEX(Työkonekanta!$D$3:$D$27,MATCH('S2 Bio'!$A450,Työkonekanta!$A$3:$A$24,0),1),"undefined")</f>
        <v>undefined</v>
      </c>
      <c r="E450" s="145">
        <f>IFERROR(INDEX(Työkonekanta!$G$3:$G$27,MATCH($A450,Työkonekanta!$A$3:$A$24,0),1)*INDEX(Työkonekanta!$H$3:$H$27,MATCH($A450,Työkonekanta!$A$3:$A$24,0),1)*(1+_xlfn.SINGLE(s2_kerroin)*($C450-2019))*$B450,0)</f>
        <v>0</v>
      </c>
      <c r="F450" s="145">
        <f t="shared" si="134"/>
        <v>0</v>
      </c>
      <c r="G450" s="145">
        <f t="shared" si="140"/>
        <v>0</v>
      </c>
      <c r="H450" s="145">
        <f t="shared" si="141"/>
        <v>0</v>
      </c>
      <c r="I450" s="145">
        <f t="shared" si="135"/>
        <v>0</v>
      </c>
      <c r="J450" s="145">
        <f t="shared" si="136"/>
        <v>0</v>
      </c>
      <c r="K450" s="142" t="str">
        <f t="shared" si="142"/>
        <v>undefined</v>
      </c>
      <c r="L450" s="146">
        <f>IFERROR(INDEX(Työkonekanta!$I$3:$I$27,MATCH('S2 Bio'!$A450,Työkonekanta!$A$3:$A$24,0),1)*(I450+J450)*f_adblue,0)</f>
        <v>0</v>
      </c>
      <c r="M450" s="146">
        <f t="shared" si="148"/>
        <v>0</v>
      </c>
      <c r="N450" s="143" t="str">
        <f>IF(tuulisähkö_vuosi&lt;='S2 Bio'!C450,"tuulisähkö",ostosähkö_nyt)</f>
        <v>jäännössähkö</v>
      </c>
      <c r="O450" s="147">
        <f>INDEX(Muuttujat!$J$5:$J$21,MATCH($C450,Muuttujat!$H$5:$H$21,0),1)</f>
        <v>60.158234351438509</v>
      </c>
      <c r="P450" s="148">
        <f t="shared" si="143"/>
        <v>0.1293333333333333</v>
      </c>
      <c r="Q450" s="148">
        <f t="shared" si="155"/>
        <v>0.8706666666666667</v>
      </c>
      <c r="R450" s="148">
        <f t="shared" si="155"/>
        <v>0.8706666666666667</v>
      </c>
      <c r="S450" s="149">
        <f t="shared" si="137"/>
        <v>0</v>
      </c>
      <c r="T450" s="150">
        <f t="shared" si="138"/>
        <v>0</v>
      </c>
      <c r="U450" s="150">
        <f t="shared" si="139"/>
        <v>0</v>
      </c>
      <c r="V450" s="150">
        <f>IFERROR(INDEX(Työkonekanta!$J$3:$J$27,MATCH($A450,Työkonekanta!$A$3:$A$24,0),1)*$B450*ef_li_ion_akku/1000/1000/INDEX(Työkonekanta!$K$3:$K$27,MATCH($A450,Työkonekanta!$A$3:$A$24,0)),0)</f>
        <v>0</v>
      </c>
      <c r="W450" s="149">
        <f t="shared" si="150"/>
        <v>0</v>
      </c>
      <c r="X450" s="150">
        <f t="shared" si="151"/>
        <v>0</v>
      </c>
      <c r="Y450" s="151">
        <f t="shared" si="152"/>
        <v>0</v>
      </c>
      <c r="Z450" s="152">
        <f t="shared" si="144"/>
        <v>0</v>
      </c>
      <c r="AA450" s="153">
        <f t="shared" si="145"/>
        <v>0</v>
      </c>
      <c r="AB450" s="153">
        <f t="shared" si="146"/>
        <v>0</v>
      </c>
      <c r="AC450" s="154">
        <f t="shared" si="153"/>
        <v>0</v>
      </c>
      <c r="AD450" s="180">
        <f t="shared" si="147"/>
        <v>0</v>
      </c>
      <c r="AE450" s="160"/>
    </row>
    <row r="451" spans="1:31">
      <c r="A451" s="139">
        <v>29</v>
      </c>
      <c r="B451" s="139">
        <f>IFERROR(INDEX(Työkonekanta!$F$3:$F$27,MATCH('S2 Bio'!$A451,Työkonekanta!$A$3:$A$24,0),1),0)</f>
        <v>0</v>
      </c>
      <c r="C451" s="140">
        <v>2033</v>
      </c>
      <c r="D451" s="141" t="str">
        <f>IFERROR(INDEX(Työkonekanta!$D$3:$D$27,MATCH('S2 Bio'!$A451,Työkonekanta!$A$3:$A$24,0),1),"undefined")</f>
        <v>undefined</v>
      </c>
      <c r="E451" s="145">
        <f>IFERROR(INDEX(Työkonekanta!$G$3:$G$27,MATCH($A451,Työkonekanta!$A$3:$A$24,0),1)*INDEX(Työkonekanta!$H$3:$H$27,MATCH($A451,Työkonekanta!$A$3:$A$24,0),1)*(1+_xlfn.SINGLE(s2_kerroin)*($C451-2019))*$B451,0)</f>
        <v>0</v>
      </c>
      <c r="F451" s="145">
        <f t="shared" ref="F451:F514" si="156">IF(D451="pom",$E451*hv_pom,0)</f>
        <v>0</v>
      </c>
      <c r="G451" s="145">
        <f t="shared" si="140"/>
        <v>0</v>
      </c>
      <c r="H451" s="145">
        <f t="shared" si="141"/>
        <v>0</v>
      </c>
      <c r="I451" s="145">
        <f t="shared" ref="I451:I512" si="157">$G451/hv_pom</f>
        <v>0</v>
      </c>
      <c r="J451" s="145">
        <f t="shared" ref="J451:J512" si="158">$H451/hv_biodies</f>
        <v>0</v>
      </c>
      <c r="K451" s="142" t="str">
        <f t="shared" si="142"/>
        <v>undefined</v>
      </c>
      <c r="L451" s="146">
        <f>IFERROR(INDEX(Työkonekanta!$I$3:$I$27,MATCH('S2 Bio'!$A451,Työkonekanta!$A$3:$A$24,0),1)*(I451+J451)*f_adblue,0)</f>
        <v>0</v>
      </c>
      <c r="M451" s="146">
        <f t="shared" si="148"/>
        <v>0</v>
      </c>
      <c r="N451" s="143" t="str">
        <f>IF(tuulisähkö_vuosi&lt;='S2 Bio'!C451,"tuulisähkö",ostosähkö_nyt)</f>
        <v>jäännössähkö</v>
      </c>
      <c r="O451" s="147">
        <f>INDEX(Muuttujat!$J$5:$J$21,MATCH($C451,Muuttujat!$H$5:$H$21,0),1)</f>
        <v>60.158234351438509</v>
      </c>
      <c r="P451" s="148">
        <f t="shared" si="143"/>
        <v>0.1293333333333333</v>
      </c>
      <c r="Q451" s="148">
        <f t="shared" si="155"/>
        <v>0.8706666666666667</v>
      </c>
      <c r="R451" s="148">
        <f t="shared" si="155"/>
        <v>0.8706666666666667</v>
      </c>
      <c r="S451" s="149">
        <f t="shared" ref="S451:S512" si="159">wtt_ef_e_co2_dies*$G451/1000/1000</f>
        <v>0</v>
      </c>
      <c r="T451" s="150">
        <f t="shared" ref="T451:T512" si="160">wtt_ef_e_co2_biodies*$H451/1000/1000</f>
        <v>0</v>
      </c>
      <c r="U451" s="150">
        <f t="shared" ref="U451:U512" si="161">IF(N451="jäännössähkö",$O451,IF(N451="tuulisähkö",wtt_ef_e_co2_el_wind,0))*$M451/1000/1000</f>
        <v>0</v>
      </c>
      <c r="V451" s="150">
        <f>IFERROR(INDEX(Työkonekanta!$J$3:$J$27,MATCH($A451,Työkonekanta!$A$3:$A$24,0),1)*$B451*ef_li_ion_akku/1000/1000/INDEX(Työkonekanta!$K$3:$K$27,MATCH($A451,Työkonekanta!$A$3:$A$24,0)),0)</f>
        <v>0</v>
      </c>
      <c r="W451" s="149">
        <f t="shared" si="150"/>
        <v>0</v>
      </c>
      <c r="X451" s="150">
        <f t="shared" si="151"/>
        <v>0</v>
      </c>
      <c r="Y451" s="151">
        <f t="shared" si="152"/>
        <v>0</v>
      </c>
      <c r="Z451" s="152">
        <f t="shared" si="144"/>
        <v>0</v>
      </c>
      <c r="AA451" s="153">
        <f t="shared" si="145"/>
        <v>0</v>
      </c>
      <c r="AB451" s="153">
        <f t="shared" si="146"/>
        <v>0</v>
      </c>
      <c r="AC451" s="154">
        <f t="shared" si="153"/>
        <v>0</v>
      </c>
      <c r="AD451" s="180">
        <f t="shared" si="147"/>
        <v>0</v>
      </c>
      <c r="AE451" s="160"/>
    </row>
    <row r="452" spans="1:31">
      <c r="A452" s="139">
        <v>30</v>
      </c>
      <c r="B452" s="139">
        <f>IFERROR(INDEX(Työkonekanta!$F$3:$F$27,MATCH('S2 Bio'!$A452,Työkonekanta!$A$3:$A$24,0),1),0)</f>
        <v>0</v>
      </c>
      <c r="C452" s="140">
        <v>2033</v>
      </c>
      <c r="D452" s="141" t="str">
        <f>IFERROR(INDEX(Työkonekanta!$D$3:$D$27,MATCH('S2 Bio'!$A452,Työkonekanta!$A$3:$A$24,0),1),"undefined")</f>
        <v>undefined</v>
      </c>
      <c r="E452" s="145">
        <f>IFERROR(INDEX(Työkonekanta!$G$3:$G$27,MATCH($A452,Työkonekanta!$A$3:$A$24,0),1)*INDEX(Työkonekanta!$H$3:$H$27,MATCH($A452,Työkonekanta!$A$3:$A$24,0),1)*(1+_xlfn.SINGLE(s2_kerroin)*($C452-2019))*$B452,0)</f>
        <v>0</v>
      </c>
      <c r="F452" s="145">
        <f t="shared" si="156"/>
        <v>0</v>
      </c>
      <c r="G452" s="145">
        <f t="shared" ref="G452:G515" si="162">$F452*$P452</f>
        <v>0</v>
      </c>
      <c r="H452" s="145">
        <f t="shared" ref="H452:H515" si="163">$F452*$Q452</f>
        <v>0</v>
      </c>
      <c r="I452" s="145">
        <f t="shared" si="157"/>
        <v>0</v>
      </c>
      <c r="J452" s="145">
        <f t="shared" si="158"/>
        <v>0</v>
      </c>
      <c r="K452" s="142" t="str">
        <f t="shared" ref="K452:K512" si="164">IF($D452="sähkö","kWh",IF($D452="pom","l","undefined"))</f>
        <v>undefined</v>
      </c>
      <c r="L452" s="146">
        <f>IFERROR(INDEX(Työkonekanta!$I$3:$I$27,MATCH('S2 Bio'!$A452,Työkonekanta!$A$3:$A$24,0),1)*(I452+J452)*f_adblue,0)</f>
        <v>0</v>
      </c>
      <c r="M452" s="146">
        <f t="shared" si="148"/>
        <v>0</v>
      </c>
      <c r="N452" s="143" t="str">
        <f>IF(tuulisähkö_vuosi&lt;='S2 Bio'!C452,"tuulisähkö",ostosähkö_nyt)</f>
        <v>jäännössähkö</v>
      </c>
      <c r="O452" s="147">
        <f>INDEX(Muuttujat!$J$5:$J$21,MATCH($C452,Muuttujat!$H$5:$H$21,0),1)</f>
        <v>60.158234351438509</v>
      </c>
      <c r="P452" s="148">
        <f t="shared" ref="P452:P515" si="165">1-Q452</f>
        <v>0.1293333333333333</v>
      </c>
      <c r="Q452" s="148">
        <f t="shared" si="155"/>
        <v>0.8706666666666667</v>
      </c>
      <c r="R452" s="148">
        <f t="shared" si="155"/>
        <v>0.8706666666666667</v>
      </c>
      <c r="S452" s="149">
        <f t="shared" si="159"/>
        <v>0</v>
      </c>
      <c r="T452" s="150">
        <f t="shared" si="160"/>
        <v>0</v>
      </c>
      <c r="U452" s="150">
        <f t="shared" si="161"/>
        <v>0</v>
      </c>
      <c r="V452" s="150">
        <f>IFERROR(INDEX(Työkonekanta!$J$3:$J$27,MATCH($A452,Työkonekanta!$A$3:$A$24,0),1)*$B452*ef_li_ion_akku/1000/1000/INDEX(Työkonekanta!$K$3:$K$27,MATCH($A452,Työkonekanta!$A$3:$A$24,0)),0)</f>
        <v>0</v>
      </c>
      <c r="W452" s="149">
        <f t="shared" si="150"/>
        <v>0</v>
      </c>
      <c r="X452" s="150">
        <f t="shared" si="151"/>
        <v>0</v>
      </c>
      <c r="Y452" s="151">
        <f t="shared" si="152"/>
        <v>0</v>
      </c>
      <c r="Z452" s="152">
        <f t="shared" ref="Z452:Z512" si="166">SUM($S452:$V452)</f>
        <v>0</v>
      </c>
      <c r="AA452" s="153">
        <f t="shared" ref="AA452:AA512" si="167">$W452+$Y452</f>
        <v>0</v>
      </c>
      <c r="AB452" s="153">
        <f t="shared" ref="AB452:AB512" si="168">SUM($W452:$Y452)</f>
        <v>0</v>
      </c>
      <c r="AC452" s="154">
        <f t="shared" si="153"/>
        <v>0</v>
      </c>
      <c r="AD452" s="180">
        <f t="shared" ref="AD452:AD512" si="169">$Z452+$AB452</f>
        <v>0</v>
      </c>
      <c r="AE452" s="160"/>
    </row>
    <row r="453" spans="1:31">
      <c r="A453" s="139">
        <v>1</v>
      </c>
      <c r="B453" s="139">
        <f>IFERROR(INDEX(Työkonekanta!$F$3:$F$27,MATCH('S2 Bio'!$A453,Työkonekanta!$A$3:$A$24,0),1),0)</f>
        <v>1</v>
      </c>
      <c r="C453" s="140">
        <v>2034</v>
      </c>
      <c r="D453" s="141" t="str">
        <f>IFERROR(INDEX(Työkonekanta!$D$3:$D$27,MATCH('S2 Bio'!$A453,Työkonekanta!$A$3:$A$24,0),1),"undefined")</f>
        <v>pom</v>
      </c>
      <c r="E453" s="145">
        <f>IFERROR(INDEX(Työkonekanta!$G$3:$G$27,MATCH($A453,Työkonekanta!$A$3:$A$24,0),1)*INDEX(Työkonekanta!$H$3:$H$27,MATCH($A453,Työkonekanta!$A$3:$A$24,0),1)*(1+_xlfn.SINGLE(s2_kerroin)*($C453-2019))*$B453,0)</f>
        <v>11500</v>
      </c>
      <c r="F453" s="145">
        <f t="shared" si="156"/>
        <v>412850</v>
      </c>
      <c r="G453" s="145">
        <f t="shared" si="162"/>
        <v>26697.633333333328</v>
      </c>
      <c r="H453" s="145">
        <f t="shared" si="163"/>
        <v>386152.3666666667</v>
      </c>
      <c r="I453" s="145">
        <f t="shared" si="157"/>
        <v>743.66666666666652</v>
      </c>
      <c r="J453" s="145">
        <f t="shared" si="158"/>
        <v>11258.086491739556</v>
      </c>
      <c r="K453" s="142" t="str">
        <f t="shared" si="164"/>
        <v>l</v>
      </c>
      <c r="L453" s="146">
        <f>IFERROR(INDEX(Työkonekanta!$I$3:$I$27,MATCH('S2 Bio'!$A453,Työkonekanta!$A$3:$A$24,0),1)*(I453+J453)*f_adblue,0)</f>
        <v>600.08765792031113</v>
      </c>
      <c r="M453" s="146">
        <f t="shared" si="148"/>
        <v>0</v>
      </c>
      <c r="N453" s="143" t="str">
        <f>IF(tuulisähkö_vuosi&lt;='S2 Bio'!C453,"tuulisähkö",ostosähkö_nyt)</f>
        <v>jäännössähkö</v>
      </c>
      <c r="O453" s="147">
        <f>INDEX(Muuttujat!$J$5:$J$21,MATCH($C453,Muuttujat!$H$5:$H$21,0),1)</f>
        <v>59.556652007924122</v>
      </c>
      <c r="P453" s="148">
        <f t="shared" si="165"/>
        <v>6.466666666666665E-2</v>
      </c>
      <c r="Q453" s="148">
        <f t="shared" si="155"/>
        <v>0.93533333333333335</v>
      </c>
      <c r="R453" s="148">
        <f t="shared" si="155"/>
        <v>0.93533333333333335</v>
      </c>
      <c r="S453" s="149">
        <f t="shared" si="159"/>
        <v>0.50458526999999986</v>
      </c>
      <c r="T453" s="150">
        <f t="shared" si="160"/>
        <v>24.09590768</v>
      </c>
      <c r="U453" s="150">
        <f t="shared" si="161"/>
        <v>0</v>
      </c>
      <c r="V453" s="150">
        <f>IFERROR(INDEX(Työkonekanta!$J$3:$J$27,MATCH($A453,Työkonekanta!$A$3:$A$24,0),1)*$B453*ef_li_ion_akku/1000/1000/INDEX(Työkonekanta!$K$3:$K$27,MATCH($A453,Työkonekanta!$A$3:$A$24,0)),0)</f>
        <v>0</v>
      </c>
      <c r="W453" s="149">
        <f t="shared" si="150"/>
        <v>1.9705057097021994</v>
      </c>
      <c r="X453" s="150">
        <f t="shared" si="151"/>
        <v>0.36540750900000002</v>
      </c>
      <c r="Y453" s="151">
        <f t="shared" si="152"/>
        <v>0.15602279105928091</v>
      </c>
      <c r="Z453" s="152">
        <f t="shared" si="166"/>
        <v>24.60049295</v>
      </c>
      <c r="AA453" s="153">
        <f t="shared" si="167"/>
        <v>2.1265285007614803</v>
      </c>
      <c r="AB453" s="153">
        <f t="shared" si="168"/>
        <v>2.4919360097614804</v>
      </c>
      <c r="AC453" s="154">
        <f t="shared" si="153"/>
        <v>26.72702145076148</v>
      </c>
      <c r="AD453" s="180">
        <f t="shared" si="169"/>
        <v>27.092428959761481</v>
      </c>
      <c r="AE453" s="160"/>
    </row>
    <row r="454" spans="1:31">
      <c r="A454" s="139">
        <v>2</v>
      </c>
      <c r="B454" s="139">
        <f>IFERROR(INDEX(Työkonekanta!$F$3:$F$27,MATCH('S2 Bio'!$A454,Työkonekanta!$A$3:$A$24,0),1),0)</f>
        <v>1</v>
      </c>
      <c r="C454" s="140">
        <v>2034</v>
      </c>
      <c r="D454" s="141" t="str">
        <f>IFERROR(INDEX(Työkonekanta!$D$3:$D$27,MATCH('S2 Bio'!$A454,Työkonekanta!$A$3:$A$24,0),1),"undefined")</f>
        <v>pom</v>
      </c>
      <c r="E454" s="145">
        <f>IFERROR(INDEX(Työkonekanta!$G$3:$G$27,MATCH($A454,Työkonekanta!$A$3:$A$24,0),1)*INDEX(Työkonekanta!$H$3:$H$27,MATCH($A454,Työkonekanta!$A$3:$A$24,0),1)*(1+_xlfn.SINGLE(s2_kerroin)*($C454-2019))*$B454,0)</f>
        <v>11500</v>
      </c>
      <c r="F454" s="145">
        <f t="shared" si="156"/>
        <v>412850</v>
      </c>
      <c r="G454" s="145">
        <f t="shared" si="162"/>
        <v>26697.633333333328</v>
      </c>
      <c r="H454" s="145">
        <f t="shared" si="163"/>
        <v>386152.3666666667</v>
      </c>
      <c r="I454" s="145">
        <f t="shared" si="157"/>
        <v>743.66666666666652</v>
      </c>
      <c r="J454" s="145">
        <f t="shared" si="158"/>
        <v>11258.086491739556</v>
      </c>
      <c r="K454" s="142" t="str">
        <f t="shared" si="164"/>
        <v>l</v>
      </c>
      <c r="L454" s="146">
        <f>IFERROR(INDEX(Työkonekanta!$I$3:$I$27,MATCH('S2 Bio'!$A454,Työkonekanta!$A$3:$A$24,0),1)*(I454+J454)*f_adblue,0)</f>
        <v>600.08765792031113</v>
      </c>
      <c r="M454" s="146">
        <f t="shared" si="148"/>
        <v>0</v>
      </c>
      <c r="N454" s="143" t="str">
        <f>IF(tuulisähkö_vuosi&lt;='S2 Bio'!C454,"tuulisähkö",ostosähkö_nyt)</f>
        <v>jäännössähkö</v>
      </c>
      <c r="O454" s="147">
        <f>INDEX(Muuttujat!$J$5:$J$21,MATCH($C454,Muuttujat!$H$5:$H$21,0),1)</f>
        <v>59.556652007924122</v>
      </c>
      <c r="P454" s="148">
        <f t="shared" si="165"/>
        <v>6.466666666666665E-2</v>
      </c>
      <c r="Q454" s="148">
        <f t="shared" si="155"/>
        <v>0.93533333333333335</v>
      </c>
      <c r="R454" s="148">
        <f t="shared" si="155"/>
        <v>0.93533333333333335</v>
      </c>
      <c r="S454" s="149">
        <f t="shared" si="159"/>
        <v>0.50458526999999986</v>
      </c>
      <c r="T454" s="150">
        <f t="shared" si="160"/>
        <v>24.09590768</v>
      </c>
      <c r="U454" s="150">
        <f t="shared" si="161"/>
        <v>0</v>
      </c>
      <c r="V454" s="150">
        <f>IFERROR(INDEX(Työkonekanta!$J$3:$J$27,MATCH($A454,Työkonekanta!$A$3:$A$24,0),1)*$B454*ef_li_ion_akku/1000/1000/INDEX(Työkonekanta!$K$3:$K$27,MATCH($A454,Työkonekanta!$A$3:$A$24,0)),0)</f>
        <v>0</v>
      </c>
      <c r="W454" s="149">
        <f t="shared" si="150"/>
        <v>1.9705057097021994</v>
      </c>
      <c r="X454" s="150">
        <f t="shared" si="151"/>
        <v>0.36540750900000002</v>
      </c>
      <c r="Y454" s="151">
        <f t="shared" si="152"/>
        <v>0.15602279105928091</v>
      </c>
      <c r="Z454" s="152">
        <f t="shared" si="166"/>
        <v>24.60049295</v>
      </c>
      <c r="AA454" s="153">
        <f t="shared" si="167"/>
        <v>2.1265285007614803</v>
      </c>
      <c r="AB454" s="153">
        <f t="shared" si="168"/>
        <v>2.4919360097614804</v>
      </c>
      <c r="AC454" s="154">
        <f t="shared" si="153"/>
        <v>26.72702145076148</v>
      </c>
      <c r="AD454" s="180">
        <f t="shared" si="169"/>
        <v>27.092428959761481</v>
      </c>
      <c r="AE454" s="160"/>
    </row>
    <row r="455" spans="1:31">
      <c r="A455" s="139">
        <v>3</v>
      </c>
      <c r="B455" s="139">
        <f>IFERROR(INDEX(Työkonekanta!$F$3:$F$27,MATCH('S2 Bio'!$A455,Työkonekanta!$A$3:$A$24,0),1),0)</f>
        <v>1</v>
      </c>
      <c r="C455" s="140">
        <v>2034</v>
      </c>
      <c r="D455" s="141" t="str">
        <f>IFERROR(INDEX(Työkonekanta!$D$3:$D$27,MATCH('S2 Bio'!$A455,Työkonekanta!$A$3:$A$24,0),1),"undefined")</f>
        <v>pom</v>
      </c>
      <c r="E455" s="145">
        <f>IFERROR(INDEX(Työkonekanta!$G$3:$G$27,MATCH($A455,Työkonekanta!$A$3:$A$24,0),1)*INDEX(Työkonekanta!$H$3:$H$27,MATCH($A455,Työkonekanta!$A$3:$A$24,0),1)*(1+_xlfn.SINGLE(s2_kerroin)*($C455-2019))*$B455,0)</f>
        <v>11500</v>
      </c>
      <c r="F455" s="145">
        <f t="shared" si="156"/>
        <v>412850</v>
      </c>
      <c r="G455" s="145">
        <f t="shared" si="162"/>
        <v>26697.633333333328</v>
      </c>
      <c r="H455" s="145">
        <f t="shared" si="163"/>
        <v>386152.3666666667</v>
      </c>
      <c r="I455" s="145">
        <f t="shared" si="157"/>
        <v>743.66666666666652</v>
      </c>
      <c r="J455" s="145">
        <f t="shared" si="158"/>
        <v>11258.086491739556</v>
      </c>
      <c r="K455" s="142" t="str">
        <f t="shared" si="164"/>
        <v>l</v>
      </c>
      <c r="L455" s="146">
        <f>IFERROR(INDEX(Työkonekanta!$I$3:$I$27,MATCH('S2 Bio'!$A455,Työkonekanta!$A$3:$A$24,0),1)*(I455+J455)*f_adblue,0)</f>
        <v>600.08765792031113</v>
      </c>
      <c r="M455" s="146">
        <f t="shared" si="148"/>
        <v>0</v>
      </c>
      <c r="N455" s="143" t="str">
        <f>IF(tuulisähkö_vuosi&lt;='S2 Bio'!C455,"tuulisähkö",ostosähkö_nyt)</f>
        <v>jäännössähkö</v>
      </c>
      <c r="O455" s="147">
        <f>INDEX(Muuttujat!$J$5:$J$21,MATCH($C455,Muuttujat!$H$5:$H$21,0),1)</f>
        <v>59.556652007924122</v>
      </c>
      <c r="P455" s="148">
        <f t="shared" si="165"/>
        <v>6.466666666666665E-2</v>
      </c>
      <c r="Q455" s="148">
        <f t="shared" si="155"/>
        <v>0.93533333333333335</v>
      </c>
      <c r="R455" s="148">
        <f t="shared" si="155"/>
        <v>0.93533333333333335</v>
      </c>
      <c r="S455" s="149">
        <f t="shared" si="159"/>
        <v>0.50458526999999986</v>
      </c>
      <c r="T455" s="150">
        <f t="shared" si="160"/>
        <v>24.09590768</v>
      </c>
      <c r="U455" s="150">
        <f t="shared" si="161"/>
        <v>0</v>
      </c>
      <c r="V455" s="150">
        <f>IFERROR(INDEX(Työkonekanta!$J$3:$J$27,MATCH($A455,Työkonekanta!$A$3:$A$24,0),1)*$B455*ef_li_ion_akku/1000/1000/INDEX(Työkonekanta!$K$3:$K$27,MATCH($A455,Työkonekanta!$A$3:$A$24,0)),0)</f>
        <v>0</v>
      </c>
      <c r="W455" s="149">
        <f t="shared" si="150"/>
        <v>1.9705057097021994</v>
      </c>
      <c r="X455" s="150">
        <f t="shared" si="151"/>
        <v>0.36540750900000002</v>
      </c>
      <c r="Y455" s="151">
        <f t="shared" si="152"/>
        <v>0.15602279105928091</v>
      </c>
      <c r="Z455" s="152">
        <f t="shared" si="166"/>
        <v>24.60049295</v>
      </c>
      <c r="AA455" s="153">
        <f t="shared" si="167"/>
        <v>2.1265285007614803</v>
      </c>
      <c r="AB455" s="153">
        <f t="shared" si="168"/>
        <v>2.4919360097614804</v>
      </c>
      <c r="AC455" s="154">
        <f t="shared" si="153"/>
        <v>26.72702145076148</v>
      </c>
      <c r="AD455" s="180">
        <f t="shared" si="169"/>
        <v>27.092428959761481</v>
      </c>
      <c r="AE455" s="160"/>
    </row>
    <row r="456" spans="1:31">
      <c r="A456" s="139">
        <v>4</v>
      </c>
      <c r="B456" s="139">
        <f>IFERROR(INDEX(Työkonekanta!$F$3:$F$27,MATCH('S2 Bio'!$A456,Työkonekanta!$A$3:$A$24,0),1),0)</f>
        <v>1</v>
      </c>
      <c r="C456" s="140">
        <v>2034</v>
      </c>
      <c r="D456" s="141" t="str">
        <f>IFERROR(INDEX(Työkonekanta!$D$3:$D$27,MATCH('S2 Bio'!$A456,Työkonekanta!$A$3:$A$24,0),1),"undefined")</f>
        <v>pom</v>
      </c>
      <c r="E456" s="145">
        <f>IFERROR(INDEX(Työkonekanta!$G$3:$G$27,MATCH($A456,Työkonekanta!$A$3:$A$24,0),1)*INDEX(Työkonekanta!$H$3:$H$27,MATCH($A456,Työkonekanta!$A$3:$A$24,0),1)*(1+_xlfn.SINGLE(s2_kerroin)*($C456-2019))*$B456,0)</f>
        <v>11500</v>
      </c>
      <c r="F456" s="145">
        <f t="shared" si="156"/>
        <v>412850</v>
      </c>
      <c r="G456" s="145">
        <f t="shared" si="162"/>
        <v>26697.633333333328</v>
      </c>
      <c r="H456" s="145">
        <f t="shared" si="163"/>
        <v>386152.3666666667</v>
      </c>
      <c r="I456" s="145">
        <f t="shared" si="157"/>
        <v>743.66666666666652</v>
      </c>
      <c r="J456" s="145">
        <f t="shared" si="158"/>
        <v>11258.086491739556</v>
      </c>
      <c r="K456" s="142" t="str">
        <f t="shared" si="164"/>
        <v>l</v>
      </c>
      <c r="L456" s="146">
        <f>IFERROR(INDEX(Työkonekanta!$I$3:$I$27,MATCH('S2 Bio'!$A456,Työkonekanta!$A$3:$A$24,0),1)*(I456+J456)*f_adblue,0)</f>
        <v>600.08765792031113</v>
      </c>
      <c r="M456" s="146">
        <f t="shared" si="148"/>
        <v>0</v>
      </c>
      <c r="N456" s="143" t="str">
        <f>IF(tuulisähkö_vuosi&lt;='S2 Bio'!C456,"tuulisähkö",ostosähkö_nyt)</f>
        <v>jäännössähkö</v>
      </c>
      <c r="O456" s="147">
        <f>INDEX(Muuttujat!$J$5:$J$21,MATCH($C456,Muuttujat!$H$5:$H$21,0),1)</f>
        <v>59.556652007924122</v>
      </c>
      <c r="P456" s="148">
        <f t="shared" si="165"/>
        <v>6.466666666666665E-2</v>
      </c>
      <c r="Q456" s="148">
        <f t="shared" si="155"/>
        <v>0.93533333333333335</v>
      </c>
      <c r="R456" s="148">
        <f t="shared" si="155"/>
        <v>0.93533333333333335</v>
      </c>
      <c r="S456" s="149">
        <f t="shared" si="159"/>
        <v>0.50458526999999986</v>
      </c>
      <c r="T456" s="150">
        <f t="shared" si="160"/>
        <v>24.09590768</v>
      </c>
      <c r="U456" s="150">
        <f t="shared" si="161"/>
        <v>0</v>
      </c>
      <c r="V456" s="150">
        <f>IFERROR(INDEX(Työkonekanta!$J$3:$J$27,MATCH($A456,Työkonekanta!$A$3:$A$24,0),1)*$B456*ef_li_ion_akku/1000/1000/INDEX(Työkonekanta!$K$3:$K$27,MATCH($A456,Työkonekanta!$A$3:$A$24,0)),0)</f>
        <v>0</v>
      </c>
      <c r="W456" s="149">
        <f t="shared" si="150"/>
        <v>1.9705057097021994</v>
      </c>
      <c r="X456" s="150">
        <f t="shared" si="151"/>
        <v>0.36540750900000002</v>
      </c>
      <c r="Y456" s="151">
        <f t="shared" si="152"/>
        <v>0.15602279105928091</v>
      </c>
      <c r="Z456" s="152">
        <f t="shared" si="166"/>
        <v>24.60049295</v>
      </c>
      <c r="AA456" s="153">
        <f t="shared" si="167"/>
        <v>2.1265285007614803</v>
      </c>
      <c r="AB456" s="153">
        <f t="shared" si="168"/>
        <v>2.4919360097614804</v>
      </c>
      <c r="AC456" s="154">
        <f t="shared" si="153"/>
        <v>26.72702145076148</v>
      </c>
      <c r="AD456" s="180">
        <f t="shared" si="169"/>
        <v>27.092428959761481</v>
      </c>
      <c r="AE456" s="160"/>
    </row>
    <row r="457" spans="1:31">
      <c r="A457" s="139">
        <v>5</v>
      </c>
      <c r="B457" s="139">
        <f>IFERROR(INDEX(Työkonekanta!$F$3:$F$27,MATCH('S2 Bio'!$A457,Työkonekanta!$A$3:$A$24,0),1),0)</f>
        <v>0</v>
      </c>
      <c r="C457" s="140">
        <v>2034</v>
      </c>
      <c r="D457" s="141" t="str">
        <f>IFERROR(INDEX(Työkonekanta!$D$3:$D$27,MATCH('S2 Bio'!$A457,Työkonekanta!$A$3:$A$24,0),1),"undefined")</f>
        <v>sähkö</v>
      </c>
      <c r="E457" s="145">
        <f>IFERROR(INDEX(Työkonekanta!$G$3:$G$27,MATCH($A457,Työkonekanta!$A$3:$A$24,0),1)*INDEX(Työkonekanta!$H$3:$H$27,MATCH($A457,Työkonekanta!$A$3:$A$24,0),1)*(1+_xlfn.SINGLE(s2_kerroin)*($C457-2019))*$B457,0)</f>
        <v>0</v>
      </c>
      <c r="F457" s="145">
        <f t="shared" si="156"/>
        <v>0</v>
      </c>
      <c r="G457" s="145">
        <f t="shared" si="162"/>
        <v>0</v>
      </c>
      <c r="H457" s="145">
        <f t="shared" si="163"/>
        <v>0</v>
      </c>
      <c r="I457" s="145">
        <f t="shared" si="157"/>
        <v>0</v>
      </c>
      <c r="J457" s="145">
        <f t="shared" si="158"/>
        <v>0</v>
      </c>
      <c r="K457" s="142" t="str">
        <f t="shared" si="164"/>
        <v>kWh</v>
      </c>
      <c r="L457" s="146">
        <f>IFERROR(INDEX(Työkonekanta!$I$3:$I$27,MATCH('S2 Bio'!$A457,Työkonekanta!$A$3:$A$24,0),1)*(I457+J457)*f_adblue,0)</f>
        <v>0</v>
      </c>
      <c r="M457" s="146">
        <f t="shared" si="148"/>
        <v>0</v>
      </c>
      <c r="N457" s="143" t="str">
        <f>IF(tuulisähkö_vuosi&lt;='S2 Bio'!C457,"tuulisähkö",ostosähkö_nyt)</f>
        <v>jäännössähkö</v>
      </c>
      <c r="O457" s="147">
        <f>INDEX(Muuttujat!$J$5:$J$21,MATCH($C457,Muuttujat!$H$5:$H$21,0),1)</f>
        <v>59.556652007924122</v>
      </c>
      <c r="P457" s="148">
        <f t="shared" si="165"/>
        <v>6.466666666666665E-2</v>
      </c>
      <c r="Q457" s="148">
        <f t="shared" si="155"/>
        <v>0.93533333333333335</v>
      </c>
      <c r="R457" s="148">
        <f t="shared" si="155"/>
        <v>0.93533333333333335</v>
      </c>
      <c r="S457" s="149">
        <f t="shared" si="159"/>
        <v>0</v>
      </c>
      <c r="T457" s="150">
        <f t="shared" si="160"/>
        <v>0</v>
      </c>
      <c r="U457" s="150">
        <f t="shared" si="161"/>
        <v>0</v>
      </c>
      <c r="V457" s="150">
        <f>IFERROR(INDEX(Työkonekanta!$J$3:$J$27,MATCH($A457,Työkonekanta!$A$3:$A$24,0),1)*$B457*ef_li_ion_akku/1000/1000/INDEX(Työkonekanta!$K$3:$K$27,MATCH($A457,Työkonekanta!$A$3:$A$24,0)),0)</f>
        <v>0</v>
      </c>
      <c r="W457" s="149">
        <f t="shared" si="150"/>
        <v>0</v>
      </c>
      <c r="X457" s="150">
        <f t="shared" si="151"/>
        <v>0</v>
      </c>
      <c r="Y457" s="151">
        <f t="shared" si="152"/>
        <v>0</v>
      </c>
      <c r="Z457" s="152">
        <f t="shared" si="166"/>
        <v>0</v>
      </c>
      <c r="AA457" s="153">
        <f t="shared" si="167"/>
        <v>0</v>
      </c>
      <c r="AB457" s="153">
        <f t="shared" si="168"/>
        <v>0</v>
      </c>
      <c r="AC457" s="154">
        <f t="shared" si="153"/>
        <v>0</v>
      </c>
      <c r="AD457" s="180">
        <f t="shared" si="169"/>
        <v>0</v>
      </c>
      <c r="AE457" s="160"/>
    </row>
    <row r="458" spans="1:31">
      <c r="A458" s="139">
        <v>6</v>
      </c>
      <c r="B458" s="139">
        <f>IFERROR(INDEX(Työkonekanta!$F$3:$F$27,MATCH('S2 Bio'!$A458,Työkonekanta!$A$3:$A$24,0),1),0)</f>
        <v>0</v>
      </c>
      <c r="C458" s="140">
        <v>2034</v>
      </c>
      <c r="D458" s="141" t="str">
        <f>IFERROR(INDEX(Työkonekanta!$D$3:$D$27,MATCH('S2 Bio'!$A458,Työkonekanta!$A$3:$A$24,0),1),"undefined")</f>
        <v>sähkö</v>
      </c>
      <c r="E458" s="145">
        <f>IFERROR(INDEX(Työkonekanta!$G$3:$G$27,MATCH($A458,Työkonekanta!$A$3:$A$24,0),1)*INDEX(Työkonekanta!$H$3:$H$27,MATCH($A458,Työkonekanta!$A$3:$A$24,0),1)*(1+_xlfn.SINGLE(s2_kerroin)*($C458-2019))*$B458,0)</f>
        <v>0</v>
      </c>
      <c r="F458" s="145">
        <f t="shared" si="156"/>
        <v>0</v>
      </c>
      <c r="G458" s="145">
        <f t="shared" si="162"/>
        <v>0</v>
      </c>
      <c r="H458" s="145">
        <f t="shared" si="163"/>
        <v>0</v>
      </c>
      <c r="I458" s="145">
        <f t="shared" si="157"/>
        <v>0</v>
      </c>
      <c r="J458" s="145">
        <f t="shared" si="158"/>
        <v>0</v>
      </c>
      <c r="K458" s="142" t="str">
        <f t="shared" si="164"/>
        <v>kWh</v>
      </c>
      <c r="L458" s="146">
        <f>IFERROR(INDEX(Työkonekanta!$I$3:$I$27,MATCH('S2 Bio'!$A458,Työkonekanta!$A$3:$A$24,0),1)*(I458+J458)*f_adblue,0)</f>
        <v>0</v>
      </c>
      <c r="M458" s="146">
        <f t="shared" si="148"/>
        <v>0</v>
      </c>
      <c r="N458" s="143" t="str">
        <f>IF(tuulisähkö_vuosi&lt;='S2 Bio'!C458,"tuulisähkö",ostosähkö_nyt)</f>
        <v>jäännössähkö</v>
      </c>
      <c r="O458" s="147">
        <f>INDEX(Muuttujat!$J$5:$J$21,MATCH($C458,Muuttujat!$H$5:$H$21,0),1)</f>
        <v>59.556652007924122</v>
      </c>
      <c r="P458" s="148">
        <f t="shared" si="165"/>
        <v>6.466666666666665E-2</v>
      </c>
      <c r="Q458" s="148">
        <f t="shared" si="155"/>
        <v>0.93533333333333335</v>
      </c>
      <c r="R458" s="148">
        <f t="shared" si="155"/>
        <v>0.93533333333333335</v>
      </c>
      <c r="S458" s="149">
        <f t="shared" si="159"/>
        <v>0</v>
      </c>
      <c r="T458" s="150">
        <f t="shared" si="160"/>
        <v>0</v>
      </c>
      <c r="U458" s="150">
        <f t="shared" si="161"/>
        <v>0</v>
      </c>
      <c r="V458" s="150">
        <f>IFERROR(INDEX(Työkonekanta!$J$3:$J$27,MATCH($A458,Työkonekanta!$A$3:$A$24,0),1)*$B458*ef_li_ion_akku/1000/1000/INDEX(Työkonekanta!$K$3:$K$27,MATCH($A458,Työkonekanta!$A$3:$A$24,0)),0)</f>
        <v>0</v>
      </c>
      <c r="W458" s="149">
        <f t="shared" si="150"/>
        <v>0</v>
      </c>
      <c r="X458" s="150">
        <f t="shared" si="151"/>
        <v>0</v>
      </c>
      <c r="Y458" s="151">
        <f t="shared" si="152"/>
        <v>0</v>
      </c>
      <c r="Z458" s="152">
        <f t="shared" si="166"/>
        <v>0</v>
      </c>
      <c r="AA458" s="153">
        <f t="shared" si="167"/>
        <v>0</v>
      </c>
      <c r="AB458" s="153">
        <f t="shared" si="168"/>
        <v>0</v>
      </c>
      <c r="AC458" s="154">
        <f t="shared" si="153"/>
        <v>0</v>
      </c>
      <c r="AD458" s="180">
        <f t="shared" si="169"/>
        <v>0</v>
      </c>
      <c r="AE458" s="160"/>
    </row>
    <row r="459" spans="1:31">
      <c r="A459" s="139">
        <v>7</v>
      </c>
      <c r="B459" s="139">
        <f>IFERROR(INDEX(Työkonekanta!$F$3:$F$27,MATCH('S2 Bio'!$A459,Työkonekanta!$A$3:$A$24,0),1),0)</f>
        <v>1</v>
      </c>
      <c r="C459" s="140">
        <v>2034</v>
      </c>
      <c r="D459" s="141" t="str">
        <f>IFERROR(INDEX(Työkonekanta!$D$3:$D$27,MATCH('S2 Bio'!$A459,Työkonekanta!$A$3:$A$24,0),1),"undefined")</f>
        <v>pom</v>
      </c>
      <c r="E459" s="145">
        <f>IFERROR(INDEX(Työkonekanta!$G$3:$G$27,MATCH($A459,Työkonekanta!$A$3:$A$24,0),1)*INDEX(Työkonekanta!$H$3:$H$27,MATCH($A459,Työkonekanta!$A$3:$A$24,0),1)*(1+_xlfn.SINGLE(s2_kerroin)*($C459-2019))*$B459,0)</f>
        <v>11500</v>
      </c>
      <c r="F459" s="145">
        <f t="shared" si="156"/>
        <v>412850</v>
      </c>
      <c r="G459" s="145">
        <f t="shared" si="162"/>
        <v>26697.633333333328</v>
      </c>
      <c r="H459" s="145">
        <f t="shared" si="163"/>
        <v>386152.3666666667</v>
      </c>
      <c r="I459" s="145">
        <f t="shared" si="157"/>
        <v>743.66666666666652</v>
      </c>
      <c r="J459" s="145">
        <f t="shared" si="158"/>
        <v>11258.086491739556</v>
      </c>
      <c r="K459" s="142" t="str">
        <f t="shared" si="164"/>
        <v>l</v>
      </c>
      <c r="L459" s="146">
        <f>IFERROR(INDEX(Työkonekanta!$I$3:$I$27,MATCH('S2 Bio'!$A459,Työkonekanta!$A$3:$A$24,0),1)*(I459+J459)*f_adblue,0)</f>
        <v>0</v>
      </c>
      <c r="M459" s="146">
        <f t="shared" si="148"/>
        <v>0</v>
      </c>
      <c r="N459" s="143" t="str">
        <f>IF(tuulisähkö_vuosi&lt;='S2 Bio'!C459,"tuulisähkö",ostosähkö_nyt)</f>
        <v>jäännössähkö</v>
      </c>
      <c r="O459" s="147">
        <f>INDEX(Muuttujat!$J$5:$J$21,MATCH($C459,Muuttujat!$H$5:$H$21,0),1)</f>
        <v>59.556652007924122</v>
      </c>
      <c r="P459" s="148">
        <f t="shared" si="165"/>
        <v>6.466666666666665E-2</v>
      </c>
      <c r="Q459" s="148">
        <f t="shared" si="155"/>
        <v>0.93533333333333335</v>
      </c>
      <c r="R459" s="148">
        <f t="shared" si="155"/>
        <v>0.93533333333333335</v>
      </c>
      <c r="S459" s="149">
        <f t="shared" si="159"/>
        <v>0.50458526999999986</v>
      </c>
      <c r="T459" s="150">
        <f t="shared" si="160"/>
        <v>24.09590768</v>
      </c>
      <c r="U459" s="150">
        <f t="shared" si="161"/>
        <v>0</v>
      </c>
      <c r="V459" s="150">
        <f>IFERROR(INDEX(Työkonekanta!$J$3:$J$27,MATCH($A459,Työkonekanta!$A$3:$A$24,0),1)*$B459*ef_li_ion_akku/1000/1000/INDEX(Työkonekanta!$K$3:$K$27,MATCH($A459,Työkonekanta!$A$3:$A$24,0)),0)</f>
        <v>0</v>
      </c>
      <c r="W459" s="149">
        <f t="shared" si="150"/>
        <v>1.9705057097021994</v>
      </c>
      <c r="X459" s="150">
        <f t="shared" si="151"/>
        <v>0.36540750900000002</v>
      </c>
      <c r="Y459" s="151">
        <f t="shared" si="152"/>
        <v>0</v>
      </c>
      <c r="Z459" s="152">
        <f t="shared" si="166"/>
        <v>24.60049295</v>
      </c>
      <c r="AA459" s="153">
        <f t="shared" si="167"/>
        <v>1.9705057097021994</v>
      </c>
      <c r="AB459" s="153">
        <f t="shared" si="168"/>
        <v>2.3359132187021996</v>
      </c>
      <c r="AC459" s="154">
        <f t="shared" si="153"/>
        <v>26.570998659702198</v>
      </c>
      <c r="AD459" s="180">
        <f t="shared" si="169"/>
        <v>26.936406168702199</v>
      </c>
      <c r="AE459" s="160"/>
    </row>
    <row r="460" spans="1:31">
      <c r="A460" s="139">
        <v>8</v>
      </c>
      <c r="B460" s="139">
        <f>IFERROR(INDEX(Työkonekanta!$F$3:$F$27,MATCH('S2 Bio'!$A460,Työkonekanta!$A$3:$A$24,0),1),0)</f>
        <v>1</v>
      </c>
      <c r="C460" s="140">
        <v>2034</v>
      </c>
      <c r="D460" s="141" t="str">
        <f>IFERROR(INDEX(Työkonekanta!$D$3:$D$27,MATCH('S2 Bio'!$A460,Työkonekanta!$A$3:$A$24,0),1),"undefined")</f>
        <v>pom</v>
      </c>
      <c r="E460" s="145">
        <f>IFERROR(INDEX(Työkonekanta!$G$3:$G$27,MATCH($A460,Työkonekanta!$A$3:$A$24,0),1)*INDEX(Työkonekanta!$H$3:$H$27,MATCH($A460,Työkonekanta!$A$3:$A$24,0),1)*(1+_xlfn.SINGLE(s2_kerroin)*($C460-2019))*$B460,0)</f>
        <v>11500</v>
      </c>
      <c r="F460" s="145">
        <f t="shared" si="156"/>
        <v>412850</v>
      </c>
      <c r="G460" s="145">
        <f t="shared" si="162"/>
        <v>26697.633333333328</v>
      </c>
      <c r="H460" s="145">
        <f t="shared" si="163"/>
        <v>386152.3666666667</v>
      </c>
      <c r="I460" s="145">
        <f t="shared" si="157"/>
        <v>743.66666666666652</v>
      </c>
      <c r="J460" s="145">
        <f t="shared" si="158"/>
        <v>11258.086491739556</v>
      </c>
      <c r="K460" s="142" t="str">
        <f t="shared" si="164"/>
        <v>l</v>
      </c>
      <c r="L460" s="146">
        <f>IFERROR(INDEX(Työkonekanta!$I$3:$I$27,MATCH('S2 Bio'!$A460,Työkonekanta!$A$3:$A$24,0),1)*(I460+J460)*f_adblue,0)</f>
        <v>600.08765792031113</v>
      </c>
      <c r="M460" s="146">
        <f t="shared" si="148"/>
        <v>0</v>
      </c>
      <c r="N460" s="143" t="str">
        <f>IF(tuulisähkö_vuosi&lt;='S2 Bio'!C460,"tuulisähkö",ostosähkö_nyt)</f>
        <v>jäännössähkö</v>
      </c>
      <c r="O460" s="147">
        <f>INDEX(Muuttujat!$J$5:$J$21,MATCH($C460,Muuttujat!$H$5:$H$21,0),1)</f>
        <v>59.556652007924122</v>
      </c>
      <c r="P460" s="148">
        <f t="shared" si="165"/>
        <v>6.466666666666665E-2</v>
      </c>
      <c r="Q460" s="148">
        <f t="shared" si="155"/>
        <v>0.93533333333333335</v>
      </c>
      <c r="R460" s="148">
        <f t="shared" si="155"/>
        <v>0.93533333333333335</v>
      </c>
      <c r="S460" s="149">
        <f t="shared" si="159"/>
        <v>0.50458526999999986</v>
      </c>
      <c r="T460" s="150">
        <f t="shared" si="160"/>
        <v>24.09590768</v>
      </c>
      <c r="U460" s="150">
        <f t="shared" si="161"/>
        <v>0</v>
      </c>
      <c r="V460" s="150">
        <f>IFERROR(INDEX(Työkonekanta!$J$3:$J$27,MATCH($A460,Työkonekanta!$A$3:$A$24,0),1)*$B460*ef_li_ion_akku/1000/1000/INDEX(Työkonekanta!$K$3:$K$27,MATCH($A460,Työkonekanta!$A$3:$A$24,0)),0)</f>
        <v>0</v>
      </c>
      <c r="W460" s="149">
        <f t="shared" si="150"/>
        <v>1.9705057097021994</v>
      </c>
      <c r="X460" s="150">
        <f t="shared" si="151"/>
        <v>0.36540750900000002</v>
      </c>
      <c r="Y460" s="151">
        <f t="shared" si="152"/>
        <v>0.15602279105928091</v>
      </c>
      <c r="Z460" s="152">
        <f t="shared" si="166"/>
        <v>24.60049295</v>
      </c>
      <c r="AA460" s="153">
        <f t="shared" si="167"/>
        <v>2.1265285007614803</v>
      </c>
      <c r="AB460" s="153">
        <f t="shared" si="168"/>
        <v>2.4919360097614804</v>
      </c>
      <c r="AC460" s="154">
        <f t="shared" si="153"/>
        <v>26.72702145076148</v>
      </c>
      <c r="AD460" s="180">
        <f t="shared" si="169"/>
        <v>27.092428959761481</v>
      </c>
      <c r="AE460" s="160"/>
    </row>
    <row r="461" spans="1:31">
      <c r="A461" s="139">
        <v>9</v>
      </c>
      <c r="B461" s="139">
        <f>IFERROR(INDEX(Työkonekanta!$F$3:$F$27,MATCH('S2 Bio'!$A461,Työkonekanta!$A$3:$A$24,0),1),0)</f>
        <v>0</v>
      </c>
      <c r="C461" s="140">
        <v>2034</v>
      </c>
      <c r="D461" s="141" t="str">
        <f>IFERROR(INDEX(Työkonekanta!$D$3:$D$27,MATCH('S2 Bio'!$A461,Työkonekanta!$A$3:$A$24,0),1),"undefined")</f>
        <v>sähkö</v>
      </c>
      <c r="E461" s="145">
        <f>IFERROR(INDEX(Työkonekanta!$G$3:$G$27,MATCH($A461,Työkonekanta!$A$3:$A$24,0),1)*INDEX(Työkonekanta!$H$3:$H$27,MATCH($A461,Työkonekanta!$A$3:$A$24,0),1)*(1+_xlfn.SINGLE(s2_kerroin)*($C461-2019))*$B461,0)</f>
        <v>0</v>
      </c>
      <c r="F461" s="145">
        <f t="shared" si="156"/>
        <v>0</v>
      </c>
      <c r="G461" s="145">
        <f t="shared" si="162"/>
        <v>0</v>
      </c>
      <c r="H461" s="145">
        <f t="shared" si="163"/>
        <v>0</v>
      </c>
      <c r="I461" s="145">
        <f t="shared" si="157"/>
        <v>0</v>
      </c>
      <c r="J461" s="145">
        <f t="shared" si="158"/>
        <v>0</v>
      </c>
      <c r="K461" s="142" t="str">
        <f t="shared" si="164"/>
        <v>kWh</v>
      </c>
      <c r="L461" s="146">
        <f>IFERROR(INDEX(Työkonekanta!$I$3:$I$27,MATCH('S2 Bio'!$A461,Työkonekanta!$A$3:$A$24,0),1)*(I461+J461)*f_adblue,0)</f>
        <v>0</v>
      </c>
      <c r="M461" s="146">
        <f t="shared" si="148"/>
        <v>0</v>
      </c>
      <c r="N461" s="143" t="str">
        <f>IF(tuulisähkö_vuosi&lt;='S2 Bio'!C461,"tuulisähkö",ostosähkö_nyt)</f>
        <v>jäännössähkö</v>
      </c>
      <c r="O461" s="147">
        <f>INDEX(Muuttujat!$J$5:$J$21,MATCH($C461,Muuttujat!$H$5:$H$21,0),1)</f>
        <v>59.556652007924122</v>
      </c>
      <c r="P461" s="148">
        <f t="shared" si="165"/>
        <v>6.466666666666665E-2</v>
      </c>
      <c r="Q461" s="148">
        <f t="shared" si="155"/>
        <v>0.93533333333333335</v>
      </c>
      <c r="R461" s="148">
        <f t="shared" si="155"/>
        <v>0.93533333333333335</v>
      </c>
      <c r="S461" s="149">
        <f t="shared" si="159"/>
        <v>0</v>
      </c>
      <c r="T461" s="150">
        <f t="shared" si="160"/>
        <v>0</v>
      </c>
      <c r="U461" s="150">
        <f t="shared" si="161"/>
        <v>0</v>
      </c>
      <c r="V461" s="150">
        <f>IFERROR(INDEX(Työkonekanta!$J$3:$J$27,MATCH($A461,Työkonekanta!$A$3:$A$24,0),1)*$B461*ef_li_ion_akku/1000/1000/INDEX(Työkonekanta!$K$3:$K$27,MATCH($A461,Työkonekanta!$A$3:$A$24,0)),0)</f>
        <v>0</v>
      </c>
      <c r="W461" s="149">
        <f t="shared" si="150"/>
        <v>0</v>
      </c>
      <c r="X461" s="150">
        <f t="shared" si="151"/>
        <v>0</v>
      </c>
      <c r="Y461" s="151">
        <f t="shared" si="152"/>
        <v>0</v>
      </c>
      <c r="Z461" s="152">
        <f t="shared" si="166"/>
        <v>0</v>
      </c>
      <c r="AA461" s="153">
        <f t="shared" si="167"/>
        <v>0</v>
      </c>
      <c r="AB461" s="153">
        <f t="shared" si="168"/>
        <v>0</v>
      </c>
      <c r="AC461" s="154">
        <f t="shared" si="153"/>
        <v>0</v>
      </c>
      <c r="AD461" s="180">
        <f t="shared" si="169"/>
        <v>0</v>
      </c>
      <c r="AE461" s="160"/>
    </row>
    <row r="462" spans="1:31">
      <c r="A462" s="139">
        <v>10</v>
      </c>
      <c r="B462" s="139">
        <f>IFERROR(INDEX(Työkonekanta!$F$3:$F$27,MATCH('S2 Bio'!$A462,Työkonekanta!$A$3:$A$24,0),1),0)</f>
        <v>0</v>
      </c>
      <c r="C462" s="140">
        <v>2034</v>
      </c>
      <c r="D462" s="141" t="str">
        <f>IFERROR(INDEX(Työkonekanta!$D$3:$D$27,MATCH('S2 Bio'!$A462,Työkonekanta!$A$3:$A$24,0),1),"undefined")</f>
        <v>sähkö</v>
      </c>
      <c r="E462" s="145">
        <f>IFERROR(INDEX(Työkonekanta!$G$3:$G$27,MATCH($A462,Työkonekanta!$A$3:$A$24,0),1)*INDEX(Työkonekanta!$H$3:$H$27,MATCH($A462,Työkonekanta!$A$3:$A$24,0),1)*(1+_xlfn.SINGLE(s2_kerroin)*($C462-2019))*$B462,0)</f>
        <v>0</v>
      </c>
      <c r="F462" s="145">
        <f t="shared" si="156"/>
        <v>0</v>
      </c>
      <c r="G462" s="145">
        <f t="shared" si="162"/>
        <v>0</v>
      </c>
      <c r="H462" s="145">
        <f t="shared" si="163"/>
        <v>0</v>
      </c>
      <c r="I462" s="145">
        <f t="shared" si="157"/>
        <v>0</v>
      </c>
      <c r="J462" s="145">
        <f t="shared" si="158"/>
        <v>0</v>
      </c>
      <c r="K462" s="142" t="str">
        <f t="shared" si="164"/>
        <v>kWh</v>
      </c>
      <c r="L462" s="146">
        <f>IFERROR(INDEX(Työkonekanta!$I$3:$I$27,MATCH('S2 Bio'!$A462,Työkonekanta!$A$3:$A$24,0),1)*(I462+J462)*f_adblue,0)</f>
        <v>0</v>
      </c>
      <c r="M462" s="146">
        <f t="shared" si="148"/>
        <v>0</v>
      </c>
      <c r="N462" s="143" t="str">
        <f>IF(tuulisähkö_vuosi&lt;='S2 Bio'!C462,"tuulisähkö",ostosähkö_nyt)</f>
        <v>jäännössähkö</v>
      </c>
      <c r="O462" s="147">
        <f>INDEX(Muuttujat!$J$5:$J$21,MATCH($C462,Muuttujat!$H$5:$H$21,0),1)</f>
        <v>59.556652007924122</v>
      </c>
      <c r="P462" s="148">
        <f t="shared" si="165"/>
        <v>6.466666666666665E-2</v>
      </c>
      <c r="Q462" s="148">
        <f t="shared" si="155"/>
        <v>0.93533333333333335</v>
      </c>
      <c r="R462" s="148">
        <f t="shared" si="155"/>
        <v>0.93533333333333335</v>
      </c>
      <c r="S462" s="149">
        <f t="shared" si="159"/>
        <v>0</v>
      </c>
      <c r="T462" s="150">
        <f t="shared" si="160"/>
        <v>0</v>
      </c>
      <c r="U462" s="150">
        <f t="shared" si="161"/>
        <v>0</v>
      </c>
      <c r="V462" s="150">
        <f>IFERROR(INDEX(Työkonekanta!$J$3:$J$27,MATCH($A462,Työkonekanta!$A$3:$A$24,0),1)*$B462*ef_li_ion_akku/1000/1000/INDEX(Työkonekanta!$K$3:$K$27,MATCH($A462,Työkonekanta!$A$3:$A$24,0)),0)</f>
        <v>0</v>
      </c>
      <c r="W462" s="149">
        <f t="shared" si="150"/>
        <v>0</v>
      </c>
      <c r="X462" s="150">
        <f t="shared" si="151"/>
        <v>0</v>
      </c>
      <c r="Y462" s="151">
        <f t="shared" si="152"/>
        <v>0</v>
      </c>
      <c r="Z462" s="152">
        <f t="shared" si="166"/>
        <v>0</v>
      </c>
      <c r="AA462" s="153">
        <f t="shared" si="167"/>
        <v>0</v>
      </c>
      <c r="AB462" s="153">
        <f t="shared" si="168"/>
        <v>0</v>
      </c>
      <c r="AC462" s="154">
        <f t="shared" si="153"/>
        <v>0</v>
      </c>
      <c r="AD462" s="180">
        <f t="shared" si="169"/>
        <v>0</v>
      </c>
      <c r="AE462" s="160"/>
    </row>
    <row r="463" spans="1:31">
      <c r="A463" s="139">
        <v>11</v>
      </c>
      <c r="B463" s="139">
        <f>IFERROR(INDEX(Työkonekanta!$F$3:$F$27,MATCH('S2 Bio'!$A463,Työkonekanta!$A$3:$A$24,0),1),0)</f>
        <v>1</v>
      </c>
      <c r="C463" s="140">
        <v>2034</v>
      </c>
      <c r="D463" s="141" t="str">
        <f>IFERROR(INDEX(Työkonekanta!$D$3:$D$27,MATCH('S2 Bio'!$A463,Työkonekanta!$A$3:$A$24,0),1),"undefined")</f>
        <v>pom</v>
      </c>
      <c r="E463" s="145">
        <f>IFERROR(INDEX(Työkonekanta!$G$3:$G$27,MATCH($A463,Työkonekanta!$A$3:$A$24,0),1)*INDEX(Työkonekanta!$H$3:$H$27,MATCH($A463,Työkonekanta!$A$3:$A$24,0),1)*(1+_xlfn.SINGLE(s2_kerroin)*($C463-2019))*$B463,0)</f>
        <v>11500</v>
      </c>
      <c r="F463" s="145">
        <f t="shared" si="156"/>
        <v>412850</v>
      </c>
      <c r="G463" s="145">
        <f t="shared" si="162"/>
        <v>26697.633333333328</v>
      </c>
      <c r="H463" s="145">
        <f t="shared" si="163"/>
        <v>386152.3666666667</v>
      </c>
      <c r="I463" s="145">
        <f t="shared" si="157"/>
        <v>743.66666666666652</v>
      </c>
      <c r="J463" s="145">
        <f t="shared" si="158"/>
        <v>11258.086491739556</v>
      </c>
      <c r="K463" s="142" t="str">
        <f t="shared" si="164"/>
        <v>l</v>
      </c>
      <c r="L463" s="146">
        <f>IFERROR(INDEX(Työkonekanta!$I$3:$I$27,MATCH('S2 Bio'!$A463,Työkonekanta!$A$3:$A$24,0),1)*(I463+J463)*f_adblue,0)</f>
        <v>600.08765792031113</v>
      </c>
      <c r="M463" s="146">
        <f t="shared" si="148"/>
        <v>0</v>
      </c>
      <c r="N463" s="143" t="str">
        <f>IF(tuulisähkö_vuosi&lt;='S2 Bio'!C463,"tuulisähkö",ostosähkö_nyt)</f>
        <v>jäännössähkö</v>
      </c>
      <c r="O463" s="147">
        <f>INDEX(Muuttujat!$J$5:$J$21,MATCH($C463,Muuttujat!$H$5:$H$21,0),1)</f>
        <v>59.556652007924122</v>
      </c>
      <c r="P463" s="148">
        <f t="shared" si="165"/>
        <v>6.466666666666665E-2</v>
      </c>
      <c r="Q463" s="148">
        <f t="shared" ref="Q463:R482" si="170">IF(biosiirtymä_luonne="äkillinen",INDEX($AG$4:$AG$20,MATCH($C463,$AF$4:$AF$20,0),1),INDEX($AH$4:$AH$20,MATCH($C463,$AF$4:$AF$20,0),1))</f>
        <v>0.93533333333333335</v>
      </c>
      <c r="R463" s="148">
        <f t="shared" si="170"/>
        <v>0.93533333333333335</v>
      </c>
      <c r="S463" s="149">
        <f t="shared" si="159"/>
        <v>0.50458526999999986</v>
      </c>
      <c r="T463" s="150">
        <f t="shared" si="160"/>
        <v>24.09590768</v>
      </c>
      <c r="U463" s="150">
        <f t="shared" si="161"/>
        <v>0</v>
      </c>
      <c r="V463" s="150">
        <f>IFERROR(INDEX(Työkonekanta!$J$3:$J$27,MATCH($A463,Työkonekanta!$A$3:$A$24,0),1)*$B463*ef_li_ion_akku/1000/1000/INDEX(Työkonekanta!$K$3:$K$27,MATCH($A463,Työkonekanta!$A$3:$A$24,0)),0)</f>
        <v>0</v>
      </c>
      <c r="W463" s="149">
        <f t="shared" si="150"/>
        <v>1.9705057097021994</v>
      </c>
      <c r="X463" s="150">
        <f t="shared" si="151"/>
        <v>0.36540750900000002</v>
      </c>
      <c r="Y463" s="151">
        <f t="shared" si="152"/>
        <v>0.15602279105928091</v>
      </c>
      <c r="Z463" s="152">
        <f t="shared" si="166"/>
        <v>24.60049295</v>
      </c>
      <c r="AA463" s="153">
        <f t="shared" si="167"/>
        <v>2.1265285007614803</v>
      </c>
      <c r="AB463" s="153">
        <f t="shared" si="168"/>
        <v>2.4919360097614804</v>
      </c>
      <c r="AC463" s="154">
        <f t="shared" si="153"/>
        <v>26.72702145076148</v>
      </c>
      <c r="AD463" s="180">
        <f t="shared" si="169"/>
        <v>27.092428959761481</v>
      </c>
      <c r="AE463" s="160"/>
    </row>
    <row r="464" spans="1:31">
      <c r="A464" s="139">
        <v>12</v>
      </c>
      <c r="B464" s="139">
        <f>IFERROR(INDEX(Työkonekanta!$F$3:$F$27,MATCH('S2 Bio'!$A464,Työkonekanta!$A$3:$A$24,0),1),0)</f>
        <v>1</v>
      </c>
      <c r="C464" s="140">
        <v>2034</v>
      </c>
      <c r="D464" s="141" t="str">
        <f>IFERROR(INDEX(Työkonekanta!$D$3:$D$27,MATCH('S2 Bio'!$A464,Työkonekanta!$A$3:$A$24,0),1),"undefined")</f>
        <v>pom</v>
      </c>
      <c r="E464" s="145">
        <f>IFERROR(INDEX(Työkonekanta!$G$3:$G$27,MATCH($A464,Työkonekanta!$A$3:$A$24,0),1)*INDEX(Työkonekanta!$H$3:$H$27,MATCH($A464,Työkonekanta!$A$3:$A$24,0),1)*(1+_xlfn.SINGLE(s2_kerroin)*($C464-2019))*$B464,0)</f>
        <v>11500</v>
      </c>
      <c r="F464" s="145">
        <f t="shared" si="156"/>
        <v>412850</v>
      </c>
      <c r="G464" s="145">
        <f t="shared" si="162"/>
        <v>26697.633333333328</v>
      </c>
      <c r="H464" s="145">
        <f t="shared" si="163"/>
        <v>386152.3666666667</v>
      </c>
      <c r="I464" s="145">
        <f t="shared" si="157"/>
        <v>743.66666666666652</v>
      </c>
      <c r="J464" s="145">
        <f t="shared" si="158"/>
        <v>11258.086491739556</v>
      </c>
      <c r="K464" s="142" t="str">
        <f t="shared" si="164"/>
        <v>l</v>
      </c>
      <c r="L464" s="146">
        <f>IFERROR(INDEX(Työkonekanta!$I$3:$I$27,MATCH('S2 Bio'!$A464,Työkonekanta!$A$3:$A$24,0),1)*(I464+J464)*f_adblue,0)</f>
        <v>600.08765792031113</v>
      </c>
      <c r="M464" s="146">
        <f t="shared" si="148"/>
        <v>0</v>
      </c>
      <c r="N464" s="143" t="str">
        <f>IF(tuulisähkö_vuosi&lt;='S2 Bio'!C464,"tuulisähkö",ostosähkö_nyt)</f>
        <v>jäännössähkö</v>
      </c>
      <c r="O464" s="147">
        <f>INDEX(Muuttujat!$J$5:$J$21,MATCH($C464,Muuttujat!$H$5:$H$21,0),1)</f>
        <v>59.556652007924122</v>
      </c>
      <c r="P464" s="148">
        <f t="shared" si="165"/>
        <v>6.466666666666665E-2</v>
      </c>
      <c r="Q464" s="148">
        <f t="shared" si="170"/>
        <v>0.93533333333333335</v>
      </c>
      <c r="R464" s="148">
        <f t="shared" si="170"/>
        <v>0.93533333333333335</v>
      </c>
      <c r="S464" s="149">
        <f t="shared" si="159"/>
        <v>0.50458526999999986</v>
      </c>
      <c r="T464" s="150">
        <f t="shared" si="160"/>
        <v>24.09590768</v>
      </c>
      <c r="U464" s="150">
        <f t="shared" si="161"/>
        <v>0</v>
      </c>
      <c r="V464" s="150">
        <f>IFERROR(INDEX(Työkonekanta!$J$3:$J$27,MATCH($A464,Työkonekanta!$A$3:$A$24,0),1)*$B464*ef_li_ion_akku/1000/1000/INDEX(Työkonekanta!$K$3:$K$27,MATCH($A464,Työkonekanta!$A$3:$A$24,0)),0)</f>
        <v>0</v>
      </c>
      <c r="W464" s="149">
        <f t="shared" si="150"/>
        <v>1.9705057097021994</v>
      </c>
      <c r="X464" s="150">
        <f t="shared" si="151"/>
        <v>0.36540750900000002</v>
      </c>
      <c r="Y464" s="151">
        <f t="shared" si="152"/>
        <v>0.15602279105928091</v>
      </c>
      <c r="Z464" s="152">
        <f t="shared" si="166"/>
        <v>24.60049295</v>
      </c>
      <c r="AA464" s="153">
        <f t="shared" si="167"/>
        <v>2.1265285007614803</v>
      </c>
      <c r="AB464" s="153">
        <f t="shared" si="168"/>
        <v>2.4919360097614804</v>
      </c>
      <c r="AC464" s="154">
        <f t="shared" si="153"/>
        <v>26.72702145076148</v>
      </c>
      <c r="AD464" s="180">
        <f t="shared" si="169"/>
        <v>27.092428959761481</v>
      </c>
      <c r="AE464" s="160"/>
    </row>
    <row r="465" spans="1:31">
      <c r="A465" s="139">
        <v>13</v>
      </c>
      <c r="B465" s="139">
        <f>IFERROR(INDEX(Työkonekanta!$F$3:$F$27,MATCH('S2 Bio'!$A465,Työkonekanta!$A$3:$A$24,0),1),0)</f>
        <v>0</v>
      </c>
      <c r="C465" s="140">
        <v>2034</v>
      </c>
      <c r="D465" s="141" t="str">
        <f>IFERROR(INDEX(Työkonekanta!$D$3:$D$27,MATCH('S2 Bio'!$A465,Työkonekanta!$A$3:$A$24,0),1),"undefined")</f>
        <v>pom</v>
      </c>
      <c r="E465" s="145">
        <f>IFERROR(INDEX(Työkonekanta!$G$3:$G$27,MATCH($A465,Työkonekanta!$A$3:$A$24,0),1)*INDEX(Työkonekanta!$H$3:$H$27,MATCH($A465,Työkonekanta!$A$3:$A$24,0),1)*(1+_xlfn.SINGLE(s2_kerroin)*($C465-2019))*$B465,0)</f>
        <v>0</v>
      </c>
      <c r="F465" s="145">
        <f t="shared" si="156"/>
        <v>0</v>
      </c>
      <c r="G465" s="145">
        <f t="shared" si="162"/>
        <v>0</v>
      </c>
      <c r="H465" s="145">
        <f t="shared" si="163"/>
        <v>0</v>
      </c>
      <c r="I465" s="145">
        <f t="shared" si="157"/>
        <v>0</v>
      </c>
      <c r="J465" s="145">
        <f t="shared" si="158"/>
        <v>0</v>
      </c>
      <c r="K465" s="142" t="str">
        <f t="shared" si="164"/>
        <v>l</v>
      </c>
      <c r="L465" s="146">
        <f>IFERROR(INDEX(Työkonekanta!$I$3:$I$27,MATCH('S2 Bio'!$A465,Työkonekanta!$A$3:$A$24,0),1)*(I465+J465)*f_adblue,0)</f>
        <v>0</v>
      </c>
      <c r="M465" s="146">
        <f t="shared" si="148"/>
        <v>0</v>
      </c>
      <c r="N465" s="143" t="str">
        <f>IF(tuulisähkö_vuosi&lt;='S2 Bio'!C465,"tuulisähkö",ostosähkö_nyt)</f>
        <v>jäännössähkö</v>
      </c>
      <c r="O465" s="147">
        <f>INDEX(Muuttujat!$J$5:$J$21,MATCH($C465,Muuttujat!$H$5:$H$21,0),1)</f>
        <v>59.556652007924122</v>
      </c>
      <c r="P465" s="148">
        <f t="shared" si="165"/>
        <v>6.466666666666665E-2</v>
      </c>
      <c r="Q465" s="148">
        <f t="shared" si="170"/>
        <v>0.93533333333333335</v>
      </c>
      <c r="R465" s="148">
        <f t="shared" si="170"/>
        <v>0.93533333333333335</v>
      </c>
      <c r="S465" s="149">
        <f t="shared" si="159"/>
        <v>0</v>
      </c>
      <c r="T465" s="150">
        <f t="shared" si="160"/>
        <v>0</v>
      </c>
      <c r="U465" s="150">
        <f t="shared" si="161"/>
        <v>0</v>
      </c>
      <c r="V465" s="150">
        <f>IFERROR(INDEX(Työkonekanta!$J$3:$J$27,MATCH($A465,Työkonekanta!$A$3:$A$24,0),1)*$B465*ef_li_ion_akku/1000/1000/INDEX(Työkonekanta!$K$3:$K$27,MATCH($A465,Työkonekanta!$A$3:$A$24,0)),0)</f>
        <v>0</v>
      </c>
      <c r="W465" s="149">
        <f t="shared" si="150"/>
        <v>0</v>
      </c>
      <c r="X465" s="150">
        <f t="shared" si="151"/>
        <v>0</v>
      </c>
      <c r="Y465" s="151">
        <f t="shared" si="152"/>
        <v>0</v>
      </c>
      <c r="Z465" s="152">
        <f t="shared" si="166"/>
        <v>0</v>
      </c>
      <c r="AA465" s="153">
        <f t="shared" si="167"/>
        <v>0</v>
      </c>
      <c r="AB465" s="153">
        <f t="shared" si="168"/>
        <v>0</v>
      </c>
      <c r="AC465" s="154">
        <f t="shared" si="153"/>
        <v>0</v>
      </c>
      <c r="AD465" s="180">
        <f t="shared" si="169"/>
        <v>0</v>
      </c>
      <c r="AE465" s="160"/>
    </row>
    <row r="466" spans="1:31">
      <c r="A466" s="139">
        <v>14</v>
      </c>
      <c r="B466" s="139">
        <f>IFERROR(INDEX(Työkonekanta!$F$3:$F$27,MATCH('S2 Bio'!$A466,Työkonekanta!$A$3:$A$24,0),1),0)</f>
        <v>0</v>
      </c>
      <c r="C466" s="140">
        <v>2034</v>
      </c>
      <c r="D466" s="141" t="str">
        <f>IFERROR(INDEX(Työkonekanta!$D$3:$D$27,MATCH('S2 Bio'!$A466,Työkonekanta!$A$3:$A$24,0),1),"undefined")</f>
        <v>pom</v>
      </c>
      <c r="E466" s="145">
        <f>IFERROR(INDEX(Työkonekanta!$G$3:$G$27,MATCH($A466,Työkonekanta!$A$3:$A$24,0),1)*INDEX(Työkonekanta!$H$3:$H$27,MATCH($A466,Työkonekanta!$A$3:$A$24,0),1)*(1+_xlfn.SINGLE(s2_kerroin)*($C466-2019))*$B466,0)</f>
        <v>0</v>
      </c>
      <c r="F466" s="145">
        <f t="shared" si="156"/>
        <v>0</v>
      </c>
      <c r="G466" s="145">
        <f t="shared" si="162"/>
        <v>0</v>
      </c>
      <c r="H466" s="145">
        <f t="shared" si="163"/>
        <v>0</v>
      </c>
      <c r="I466" s="145">
        <f t="shared" si="157"/>
        <v>0</v>
      </c>
      <c r="J466" s="145">
        <f t="shared" si="158"/>
        <v>0</v>
      </c>
      <c r="K466" s="142" t="str">
        <f t="shared" si="164"/>
        <v>l</v>
      </c>
      <c r="L466" s="146">
        <f>IFERROR(INDEX(Työkonekanta!$I$3:$I$27,MATCH('S2 Bio'!$A466,Työkonekanta!$A$3:$A$24,0),1)*(I466+J466)*f_adblue,0)</f>
        <v>0</v>
      </c>
      <c r="M466" s="146">
        <f t="shared" si="148"/>
        <v>0</v>
      </c>
      <c r="N466" s="143" t="str">
        <f>IF(tuulisähkö_vuosi&lt;='S2 Bio'!C466,"tuulisähkö",ostosähkö_nyt)</f>
        <v>jäännössähkö</v>
      </c>
      <c r="O466" s="147">
        <f>INDEX(Muuttujat!$J$5:$J$21,MATCH($C466,Muuttujat!$H$5:$H$21,0),1)</f>
        <v>59.556652007924122</v>
      </c>
      <c r="P466" s="148">
        <f t="shared" si="165"/>
        <v>6.466666666666665E-2</v>
      </c>
      <c r="Q466" s="148">
        <f t="shared" si="170"/>
        <v>0.93533333333333335</v>
      </c>
      <c r="R466" s="148">
        <f t="shared" si="170"/>
        <v>0.93533333333333335</v>
      </c>
      <c r="S466" s="149">
        <f t="shared" si="159"/>
        <v>0</v>
      </c>
      <c r="T466" s="150">
        <f t="shared" si="160"/>
        <v>0</v>
      </c>
      <c r="U466" s="150">
        <f t="shared" si="161"/>
        <v>0</v>
      </c>
      <c r="V466" s="150">
        <f>IFERROR(INDEX(Työkonekanta!$J$3:$J$27,MATCH($A466,Työkonekanta!$A$3:$A$24,0),1)*$B466*ef_li_ion_akku/1000/1000/INDEX(Työkonekanta!$K$3:$K$27,MATCH($A466,Työkonekanta!$A$3:$A$24,0)),0)</f>
        <v>0</v>
      </c>
      <c r="W466" s="149">
        <f t="shared" si="150"/>
        <v>0</v>
      </c>
      <c r="X466" s="150">
        <f t="shared" si="151"/>
        <v>0</v>
      </c>
      <c r="Y466" s="151">
        <f t="shared" si="152"/>
        <v>0</v>
      </c>
      <c r="Z466" s="152">
        <f t="shared" si="166"/>
        <v>0</v>
      </c>
      <c r="AA466" s="153">
        <f t="shared" si="167"/>
        <v>0</v>
      </c>
      <c r="AB466" s="153">
        <f t="shared" si="168"/>
        <v>0</v>
      </c>
      <c r="AC466" s="154">
        <f t="shared" si="153"/>
        <v>0</v>
      </c>
      <c r="AD466" s="180">
        <f t="shared" si="169"/>
        <v>0</v>
      </c>
      <c r="AE466" s="160"/>
    </row>
    <row r="467" spans="1:31">
      <c r="A467" s="139">
        <v>15</v>
      </c>
      <c r="B467" s="139">
        <f>IFERROR(INDEX(Työkonekanta!$F$3:$F$27,MATCH('S2 Bio'!$A467,Työkonekanta!$A$3:$A$24,0),1),0)</f>
        <v>0</v>
      </c>
      <c r="C467" s="140">
        <v>2034</v>
      </c>
      <c r="D467" s="141" t="str">
        <f>IFERROR(INDEX(Työkonekanta!$D$3:$D$27,MATCH('S2 Bio'!$A467,Työkonekanta!$A$3:$A$24,0),1),"undefined")</f>
        <v>sähkö</v>
      </c>
      <c r="E467" s="145">
        <f>IFERROR(INDEX(Työkonekanta!$G$3:$G$27,MATCH($A467,Työkonekanta!$A$3:$A$24,0),1)*INDEX(Työkonekanta!$H$3:$H$27,MATCH($A467,Työkonekanta!$A$3:$A$24,0),1)*(1+_xlfn.SINGLE(s2_kerroin)*($C467-2019))*$B467,0)</f>
        <v>0</v>
      </c>
      <c r="F467" s="145">
        <f t="shared" si="156"/>
        <v>0</v>
      </c>
      <c r="G467" s="145">
        <f t="shared" si="162"/>
        <v>0</v>
      </c>
      <c r="H467" s="145">
        <f t="shared" si="163"/>
        <v>0</v>
      </c>
      <c r="I467" s="145">
        <f t="shared" si="157"/>
        <v>0</v>
      </c>
      <c r="J467" s="145">
        <f t="shared" si="158"/>
        <v>0</v>
      </c>
      <c r="K467" s="142" t="str">
        <f t="shared" si="164"/>
        <v>kWh</v>
      </c>
      <c r="L467" s="146">
        <f>IFERROR(INDEX(Työkonekanta!$I$3:$I$27,MATCH('S2 Bio'!$A467,Työkonekanta!$A$3:$A$24,0),1)*(I467+J467)*f_adblue,0)</f>
        <v>0</v>
      </c>
      <c r="M467" s="146">
        <f t="shared" ref="M467:M512" si="171">IF($D467="sähkö",conv_kwh_mj*$E467,0)</f>
        <v>0</v>
      </c>
      <c r="N467" s="143" t="str">
        <f>IF(tuulisähkö_vuosi&lt;='S2 Bio'!C467,"tuulisähkö",ostosähkö_nyt)</f>
        <v>jäännössähkö</v>
      </c>
      <c r="O467" s="147">
        <f>INDEX(Muuttujat!$J$5:$J$21,MATCH($C467,Muuttujat!$H$5:$H$21,0),1)</f>
        <v>59.556652007924122</v>
      </c>
      <c r="P467" s="148">
        <f t="shared" si="165"/>
        <v>6.466666666666665E-2</v>
      </c>
      <c r="Q467" s="148">
        <f t="shared" si="170"/>
        <v>0.93533333333333335</v>
      </c>
      <c r="R467" s="148">
        <f t="shared" si="170"/>
        <v>0.93533333333333335</v>
      </c>
      <c r="S467" s="149">
        <f t="shared" si="159"/>
        <v>0</v>
      </c>
      <c r="T467" s="150">
        <f t="shared" si="160"/>
        <v>0</v>
      </c>
      <c r="U467" s="150">
        <f t="shared" si="161"/>
        <v>0</v>
      </c>
      <c r="V467" s="150">
        <f>IFERROR(INDEX(Työkonekanta!$J$3:$J$27,MATCH($A467,Työkonekanta!$A$3:$A$24,0),1)*$B467*ef_li_ion_akku/1000/1000/INDEX(Työkonekanta!$K$3:$K$27,MATCH($A467,Työkonekanta!$A$3:$A$24,0)),0)</f>
        <v>0</v>
      </c>
      <c r="W467" s="149">
        <f t="shared" ref="W467:W512" si="172">($I467*IF($D467="pom",ef_v_co2_pom,0))/1000/1000</f>
        <v>0</v>
      </c>
      <c r="X467" s="150">
        <f t="shared" ref="X467:X512" si="173">($E467*(IF($D467="pom",ef_v_ch4_pom,0)*gwp100_ch4+IF($D467="pom",ef_v_n2o_pom,0)*gwp100_n2o))/1000/1000</f>
        <v>0</v>
      </c>
      <c r="Y467" s="151">
        <f t="shared" ref="Y467:Y512" si="174">$L467*ef_v_co2_adblue/1000/1000</f>
        <v>0</v>
      </c>
      <c r="Z467" s="152">
        <f t="shared" si="166"/>
        <v>0</v>
      </c>
      <c r="AA467" s="153">
        <f t="shared" si="167"/>
        <v>0</v>
      </c>
      <c r="AB467" s="153">
        <f t="shared" si="168"/>
        <v>0</v>
      </c>
      <c r="AC467" s="154">
        <f t="shared" ref="AC467:AC512" si="175">$Z467+$AA467</f>
        <v>0</v>
      </c>
      <c r="AD467" s="180">
        <f t="shared" si="169"/>
        <v>0</v>
      </c>
      <c r="AE467" s="160"/>
    </row>
    <row r="468" spans="1:31">
      <c r="A468" s="139">
        <v>16</v>
      </c>
      <c r="B468" s="139">
        <f>IFERROR(INDEX(Työkonekanta!$F$3:$F$27,MATCH('S2 Bio'!$A468,Työkonekanta!$A$3:$A$24,0),1),0)</f>
        <v>0</v>
      </c>
      <c r="C468" s="140">
        <v>2034</v>
      </c>
      <c r="D468" s="141" t="str">
        <f>IFERROR(INDEX(Työkonekanta!$D$3:$D$27,MATCH('S2 Bio'!$A468,Työkonekanta!$A$3:$A$24,0),1),"undefined")</f>
        <v>sähkö</v>
      </c>
      <c r="E468" s="145">
        <f>IFERROR(INDEX(Työkonekanta!$G$3:$G$27,MATCH($A468,Työkonekanta!$A$3:$A$24,0),1)*INDEX(Työkonekanta!$H$3:$H$27,MATCH($A468,Työkonekanta!$A$3:$A$24,0),1)*(1+_xlfn.SINGLE(s2_kerroin)*($C468-2019))*$B468,0)</f>
        <v>0</v>
      </c>
      <c r="F468" s="145">
        <f t="shared" si="156"/>
        <v>0</v>
      </c>
      <c r="G468" s="145">
        <f t="shared" si="162"/>
        <v>0</v>
      </c>
      <c r="H468" s="145">
        <f t="shared" si="163"/>
        <v>0</v>
      </c>
      <c r="I468" s="145">
        <f t="shared" si="157"/>
        <v>0</v>
      </c>
      <c r="J468" s="145">
        <f t="shared" si="158"/>
        <v>0</v>
      </c>
      <c r="K468" s="142" t="str">
        <f t="shared" si="164"/>
        <v>kWh</v>
      </c>
      <c r="L468" s="146">
        <f>IFERROR(INDEX(Työkonekanta!$I$3:$I$27,MATCH('S2 Bio'!$A468,Työkonekanta!$A$3:$A$24,0),1)*(I468+J468)*f_adblue,0)</f>
        <v>0</v>
      </c>
      <c r="M468" s="146">
        <f t="shared" si="171"/>
        <v>0</v>
      </c>
      <c r="N468" s="143" t="str">
        <f>IF(tuulisähkö_vuosi&lt;='S2 Bio'!C468,"tuulisähkö",ostosähkö_nyt)</f>
        <v>jäännössähkö</v>
      </c>
      <c r="O468" s="147">
        <f>INDEX(Muuttujat!$J$5:$J$21,MATCH($C468,Muuttujat!$H$5:$H$21,0),1)</f>
        <v>59.556652007924122</v>
      </c>
      <c r="P468" s="148">
        <f t="shared" si="165"/>
        <v>6.466666666666665E-2</v>
      </c>
      <c r="Q468" s="148">
        <f t="shared" si="170"/>
        <v>0.93533333333333335</v>
      </c>
      <c r="R468" s="148">
        <f t="shared" si="170"/>
        <v>0.93533333333333335</v>
      </c>
      <c r="S468" s="149">
        <f t="shared" si="159"/>
        <v>0</v>
      </c>
      <c r="T468" s="150">
        <f t="shared" si="160"/>
        <v>0</v>
      </c>
      <c r="U468" s="150">
        <f t="shared" si="161"/>
        <v>0</v>
      </c>
      <c r="V468" s="150">
        <f>IFERROR(INDEX(Työkonekanta!$J$3:$J$27,MATCH($A468,Työkonekanta!$A$3:$A$24,0),1)*$B468*ef_li_ion_akku/1000/1000/INDEX(Työkonekanta!$K$3:$K$27,MATCH($A468,Työkonekanta!$A$3:$A$24,0)),0)</f>
        <v>0</v>
      </c>
      <c r="W468" s="149">
        <f t="shared" si="172"/>
        <v>0</v>
      </c>
      <c r="X468" s="150">
        <f t="shared" si="173"/>
        <v>0</v>
      </c>
      <c r="Y468" s="151">
        <f t="shared" si="174"/>
        <v>0</v>
      </c>
      <c r="Z468" s="152">
        <f t="shared" si="166"/>
        <v>0</v>
      </c>
      <c r="AA468" s="153">
        <f t="shared" si="167"/>
        <v>0</v>
      </c>
      <c r="AB468" s="153">
        <f t="shared" si="168"/>
        <v>0</v>
      </c>
      <c r="AC468" s="154">
        <f t="shared" si="175"/>
        <v>0</v>
      </c>
      <c r="AD468" s="180">
        <f t="shared" si="169"/>
        <v>0</v>
      </c>
      <c r="AE468" s="160"/>
    </row>
    <row r="469" spans="1:31">
      <c r="A469" s="139">
        <v>17</v>
      </c>
      <c r="B469" s="139">
        <f>IFERROR(INDEX(Työkonekanta!$F$3:$F$27,MATCH('S2 Bio'!$A469,Työkonekanta!$A$3:$A$24,0),1),0)</f>
        <v>1</v>
      </c>
      <c r="C469" s="140">
        <v>2034</v>
      </c>
      <c r="D469" s="141" t="str">
        <f>IFERROR(INDEX(Työkonekanta!$D$3:$D$27,MATCH('S2 Bio'!$A469,Työkonekanta!$A$3:$A$24,0),1),"undefined")</f>
        <v>pom</v>
      </c>
      <c r="E469" s="145">
        <f>IFERROR(INDEX(Työkonekanta!$G$3:$G$27,MATCH($A469,Työkonekanta!$A$3:$A$24,0),1)*INDEX(Työkonekanta!$H$3:$H$27,MATCH($A469,Työkonekanta!$A$3:$A$24,0),1)*(1+_xlfn.SINGLE(s2_kerroin)*($C469-2019))*$B469,0)</f>
        <v>11500</v>
      </c>
      <c r="F469" s="145">
        <f t="shared" si="156"/>
        <v>412850</v>
      </c>
      <c r="G469" s="145">
        <f t="shared" si="162"/>
        <v>26697.633333333328</v>
      </c>
      <c r="H469" s="145">
        <f t="shared" si="163"/>
        <v>386152.3666666667</v>
      </c>
      <c r="I469" s="145">
        <f t="shared" si="157"/>
        <v>743.66666666666652</v>
      </c>
      <c r="J469" s="145">
        <f t="shared" si="158"/>
        <v>11258.086491739556</v>
      </c>
      <c r="K469" s="142" t="str">
        <f t="shared" si="164"/>
        <v>l</v>
      </c>
      <c r="L469" s="146">
        <f>IFERROR(INDEX(Työkonekanta!$I$3:$I$27,MATCH('S2 Bio'!$A469,Työkonekanta!$A$3:$A$24,0),1)*(I469+J469)*f_adblue,0)</f>
        <v>600.08765792031113</v>
      </c>
      <c r="M469" s="146">
        <f t="shared" si="171"/>
        <v>0</v>
      </c>
      <c r="N469" s="143" t="str">
        <f>IF(tuulisähkö_vuosi&lt;='S2 Bio'!C469,"tuulisähkö",ostosähkö_nyt)</f>
        <v>jäännössähkö</v>
      </c>
      <c r="O469" s="147">
        <f>INDEX(Muuttujat!$J$5:$J$21,MATCH($C469,Muuttujat!$H$5:$H$21,0),1)</f>
        <v>59.556652007924122</v>
      </c>
      <c r="P469" s="148">
        <f t="shared" si="165"/>
        <v>6.466666666666665E-2</v>
      </c>
      <c r="Q469" s="148">
        <f t="shared" si="170"/>
        <v>0.93533333333333335</v>
      </c>
      <c r="R469" s="148">
        <f t="shared" si="170"/>
        <v>0.93533333333333335</v>
      </c>
      <c r="S469" s="149">
        <f t="shared" si="159"/>
        <v>0.50458526999999986</v>
      </c>
      <c r="T469" s="150">
        <f t="shared" si="160"/>
        <v>24.09590768</v>
      </c>
      <c r="U469" s="150">
        <f t="shared" si="161"/>
        <v>0</v>
      </c>
      <c r="V469" s="150">
        <f>IFERROR(INDEX(Työkonekanta!$J$3:$J$27,MATCH($A469,Työkonekanta!$A$3:$A$24,0),1)*$B469*ef_li_ion_akku/1000/1000/INDEX(Työkonekanta!$K$3:$K$27,MATCH($A469,Työkonekanta!$A$3:$A$24,0)),0)</f>
        <v>0</v>
      </c>
      <c r="W469" s="149">
        <f t="shared" si="172"/>
        <v>1.9705057097021994</v>
      </c>
      <c r="X469" s="150">
        <f t="shared" si="173"/>
        <v>0.36540750900000002</v>
      </c>
      <c r="Y469" s="151">
        <f t="shared" si="174"/>
        <v>0.15602279105928091</v>
      </c>
      <c r="Z469" s="152">
        <f t="shared" si="166"/>
        <v>24.60049295</v>
      </c>
      <c r="AA469" s="153">
        <f t="shared" si="167"/>
        <v>2.1265285007614803</v>
      </c>
      <c r="AB469" s="153">
        <f t="shared" si="168"/>
        <v>2.4919360097614804</v>
      </c>
      <c r="AC469" s="154">
        <f t="shared" si="175"/>
        <v>26.72702145076148</v>
      </c>
      <c r="AD469" s="180">
        <f t="shared" si="169"/>
        <v>27.092428959761481</v>
      </c>
      <c r="AE469" s="160"/>
    </row>
    <row r="470" spans="1:31">
      <c r="A470" s="139">
        <v>18</v>
      </c>
      <c r="B470" s="139">
        <f>IFERROR(INDEX(Työkonekanta!$F$3:$F$27,MATCH('S2 Bio'!$A470,Työkonekanta!$A$3:$A$24,0),1),0)</f>
        <v>1</v>
      </c>
      <c r="C470" s="140">
        <v>2034</v>
      </c>
      <c r="D470" s="141" t="str">
        <f>IFERROR(INDEX(Työkonekanta!$D$3:$D$27,MATCH('S2 Bio'!$A470,Työkonekanta!$A$3:$A$24,0),1),"undefined")</f>
        <v>pom</v>
      </c>
      <c r="E470" s="145">
        <f>IFERROR(INDEX(Työkonekanta!$G$3:$G$27,MATCH($A470,Työkonekanta!$A$3:$A$24,0),1)*INDEX(Työkonekanta!$H$3:$H$27,MATCH($A470,Työkonekanta!$A$3:$A$24,0),1)*(1+_xlfn.SINGLE(s2_kerroin)*($C470-2019))*$B470,0)</f>
        <v>11500</v>
      </c>
      <c r="F470" s="145">
        <f t="shared" si="156"/>
        <v>412850</v>
      </c>
      <c r="G470" s="145">
        <f t="shared" si="162"/>
        <v>26697.633333333328</v>
      </c>
      <c r="H470" s="145">
        <f t="shared" si="163"/>
        <v>386152.3666666667</v>
      </c>
      <c r="I470" s="145">
        <f t="shared" si="157"/>
        <v>743.66666666666652</v>
      </c>
      <c r="J470" s="145">
        <f t="shared" si="158"/>
        <v>11258.086491739556</v>
      </c>
      <c r="K470" s="142" t="str">
        <f t="shared" si="164"/>
        <v>l</v>
      </c>
      <c r="L470" s="146">
        <f>IFERROR(INDEX(Työkonekanta!$I$3:$I$27,MATCH('S2 Bio'!$A470,Työkonekanta!$A$3:$A$24,0),1)*(I470+J470)*f_adblue,0)</f>
        <v>480.0701263362489</v>
      </c>
      <c r="M470" s="146">
        <f t="shared" si="171"/>
        <v>0</v>
      </c>
      <c r="N470" s="143" t="str">
        <f>IF(tuulisähkö_vuosi&lt;='S2 Bio'!C470,"tuulisähkö",ostosähkö_nyt)</f>
        <v>jäännössähkö</v>
      </c>
      <c r="O470" s="147">
        <f>INDEX(Muuttujat!$J$5:$J$21,MATCH($C470,Muuttujat!$H$5:$H$21,0),1)</f>
        <v>59.556652007924122</v>
      </c>
      <c r="P470" s="148">
        <f t="shared" si="165"/>
        <v>6.466666666666665E-2</v>
      </c>
      <c r="Q470" s="148">
        <f t="shared" si="170"/>
        <v>0.93533333333333335</v>
      </c>
      <c r="R470" s="148">
        <f t="shared" si="170"/>
        <v>0.93533333333333335</v>
      </c>
      <c r="S470" s="149">
        <f t="shared" si="159"/>
        <v>0.50458526999999986</v>
      </c>
      <c r="T470" s="150">
        <f t="shared" si="160"/>
        <v>24.09590768</v>
      </c>
      <c r="U470" s="150">
        <f t="shared" si="161"/>
        <v>0</v>
      </c>
      <c r="V470" s="150">
        <f>IFERROR(INDEX(Työkonekanta!$J$3:$J$27,MATCH($A470,Työkonekanta!$A$3:$A$24,0),1)*$B470*ef_li_ion_akku/1000/1000/INDEX(Työkonekanta!$K$3:$K$27,MATCH($A470,Työkonekanta!$A$3:$A$24,0)),0)</f>
        <v>0</v>
      </c>
      <c r="W470" s="149">
        <f t="shared" si="172"/>
        <v>1.9705057097021994</v>
      </c>
      <c r="X470" s="150">
        <f t="shared" si="173"/>
        <v>0.36540750900000002</v>
      </c>
      <c r="Y470" s="151">
        <f t="shared" si="174"/>
        <v>0.12481823284742473</v>
      </c>
      <c r="Z470" s="152">
        <f t="shared" si="166"/>
        <v>24.60049295</v>
      </c>
      <c r="AA470" s="153">
        <f t="shared" si="167"/>
        <v>2.0953239425496242</v>
      </c>
      <c r="AB470" s="153">
        <f t="shared" si="168"/>
        <v>2.4607314515496244</v>
      </c>
      <c r="AC470" s="154">
        <f t="shared" si="175"/>
        <v>26.695816892549622</v>
      </c>
      <c r="AD470" s="180">
        <f t="shared" si="169"/>
        <v>27.061224401549623</v>
      </c>
      <c r="AE470" s="160"/>
    </row>
    <row r="471" spans="1:31">
      <c r="A471" s="139">
        <v>19</v>
      </c>
      <c r="B471" s="139">
        <f>IFERROR(INDEX(Työkonekanta!$F$3:$F$27,MATCH('S2 Bio'!$A471,Työkonekanta!$A$3:$A$24,0),1),0)</f>
        <v>0</v>
      </c>
      <c r="C471" s="140">
        <v>2034</v>
      </c>
      <c r="D471" s="141" t="str">
        <f>IFERROR(INDEX(Työkonekanta!$D$3:$D$27,MATCH('S2 Bio'!$A471,Työkonekanta!$A$3:$A$24,0),1),"undefined")</f>
        <v>pom</v>
      </c>
      <c r="E471" s="145">
        <f>IFERROR(INDEX(Työkonekanta!$G$3:$G$27,MATCH($A471,Työkonekanta!$A$3:$A$24,0),1)*INDEX(Työkonekanta!$H$3:$H$27,MATCH($A471,Työkonekanta!$A$3:$A$24,0),1)*(1+_xlfn.SINGLE(s2_kerroin)*($C471-2019))*$B471,0)</f>
        <v>0</v>
      </c>
      <c r="F471" s="145">
        <f t="shared" si="156"/>
        <v>0</v>
      </c>
      <c r="G471" s="145">
        <f t="shared" si="162"/>
        <v>0</v>
      </c>
      <c r="H471" s="145">
        <f t="shared" si="163"/>
        <v>0</v>
      </c>
      <c r="I471" s="145">
        <f t="shared" si="157"/>
        <v>0</v>
      </c>
      <c r="J471" s="145">
        <f t="shared" si="158"/>
        <v>0</v>
      </c>
      <c r="K471" s="142" t="str">
        <f t="shared" si="164"/>
        <v>l</v>
      </c>
      <c r="L471" s="146">
        <f>IFERROR(INDEX(Työkonekanta!$I$3:$I$27,MATCH('S2 Bio'!$A471,Työkonekanta!$A$3:$A$24,0),1)*(I471+J471)*f_adblue,0)</f>
        <v>0</v>
      </c>
      <c r="M471" s="146">
        <f t="shared" si="171"/>
        <v>0</v>
      </c>
      <c r="N471" s="143" t="str">
        <f>IF(tuulisähkö_vuosi&lt;='S2 Bio'!C471,"tuulisähkö",ostosähkö_nyt)</f>
        <v>jäännössähkö</v>
      </c>
      <c r="O471" s="147">
        <f>INDEX(Muuttujat!$J$5:$J$21,MATCH($C471,Muuttujat!$H$5:$H$21,0),1)</f>
        <v>59.556652007924122</v>
      </c>
      <c r="P471" s="148">
        <f t="shared" si="165"/>
        <v>6.466666666666665E-2</v>
      </c>
      <c r="Q471" s="148">
        <f t="shared" si="170"/>
        <v>0.93533333333333335</v>
      </c>
      <c r="R471" s="148">
        <f t="shared" si="170"/>
        <v>0.93533333333333335</v>
      </c>
      <c r="S471" s="149">
        <f t="shared" si="159"/>
        <v>0</v>
      </c>
      <c r="T471" s="150">
        <f t="shared" si="160"/>
        <v>0</v>
      </c>
      <c r="U471" s="150">
        <f t="shared" si="161"/>
        <v>0</v>
      </c>
      <c r="V471" s="150">
        <f>IFERROR(INDEX(Työkonekanta!$J$3:$J$27,MATCH($A471,Työkonekanta!$A$3:$A$24,0),1)*$B471*ef_li_ion_akku/1000/1000/INDEX(Työkonekanta!$K$3:$K$27,MATCH($A471,Työkonekanta!$A$3:$A$24,0)),0)</f>
        <v>0</v>
      </c>
      <c r="W471" s="149">
        <f t="shared" si="172"/>
        <v>0</v>
      </c>
      <c r="X471" s="150">
        <f t="shared" si="173"/>
        <v>0</v>
      </c>
      <c r="Y471" s="151">
        <f t="shared" si="174"/>
        <v>0</v>
      </c>
      <c r="Z471" s="152">
        <f t="shared" si="166"/>
        <v>0</v>
      </c>
      <c r="AA471" s="153">
        <f t="shared" si="167"/>
        <v>0</v>
      </c>
      <c r="AB471" s="153">
        <f t="shared" si="168"/>
        <v>0</v>
      </c>
      <c r="AC471" s="154">
        <f t="shared" si="175"/>
        <v>0</v>
      </c>
      <c r="AD471" s="180">
        <f t="shared" si="169"/>
        <v>0</v>
      </c>
      <c r="AE471" s="160"/>
    </row>
    <row r="472" spans="1:31">
      <c r="A472" s="139">
        <v>20</v>
      </c>
      <c r="B472" s="139">
        <f>IFERROR(INDEX(Työkonekanta!$F$3:$F$27,MATCH('S2 Bio'!$A472,Työkonekanta!$A$3:$A$24,0),1),0)</f>
        <v>0</v>
      </c>
      <c r="C472" s="140">
        <v>2034</v>
      </c>
      <c r="D472" s="141" t="str">
        <f>IFERROR(INDEX(Työkonekanta!$D$3:$D$27,MATCH('S2 Bio'!$A472,Työkonekanta!$A$3:$A$24,0),1),"undefined")</f>
        <v>pom</v>
      </c>
      <c r="E472" s="145">
        <f>IFERROR(INDEX(Työkonekanta!$G$3:$G$27,MATCH($A472,Työkonekanta!$A$3:$A$24,0),1)*INDEX(Työkonekanta!$H$3:$H$27,MATCH($A472,Työkonekanta!$A$3:$A$24,0),1)*(1+_xlfn.SINGLE(s2_kerroin)*($C472-2019))*$B472,0)</f>
        <v>0</v>
      </c>
      <c r="F472" s="145">
        <f t="shared" si="156"/>
        <v>0</v>
      </c>
      <c r="G472" s="145">
        <f t="shared" si="162"/>
        <v>0</v>
      </c>
      <c r="H472" s="145">
        <f t="shared" si="163"/>
        <v>0</v>
      </c>
      <c r="I472" s="145">
        <f t="shared" si="157"/>
        <v>0</v>
      </c>
      <c r="J472" s="145">
        <f t="shared" si="158"/>
        <v>0</v>
      </c>
      <c r="K472" s="142" t="str">
        <f t="shared" si="164"/>
        <v>l</v>
      </c>
      <c r="L472" s="146">
        <f>IFERROR(INDEX(Työkonekanta!$I$3:$I$27,MATCH('S2 Bio'!$A472,Työkonekanta!$A$3:$A$24,0),1)*(I472+J472)*f_adblue,0)</f>
        <v>0</v>
      </c>
      <c r="M472" s="146">
        <f t="shared" si="171"/>
        <v>0</v>
      </c>
      <c r="N472" s="143" t="str">
        <f>IF(tuulisähkö_vuosi&lt;='S2 Bio'!C472,"tuulisähkö",ostosähkö_nyt)</f>
        <v>jäännössähkö</v>
      </c>
      <c r="O472" s="147">
        <f>INDEX(Muuttujat!$J$5:$J$21,MATCH($C472,Muuttujat!$H$5:$H$21,0),1)</f>
        <v>59.556652007924122</v>
      </c>
      <c r="P472" s="148">
        <f t="shared" si="165"/>
        <v>6.466666666666665E-2</v>
      </c>
      <c r="Q472" s="148">
        <f t="shared" si="170"/>
        <v>0.93533333333333335</v>
      </c>
      <c r="R472" s="148">
        <f t="shared" si="170"/>
        <v>0.93533333333333335</v>
      </c>
      <c r="S472" s="149">
        <f t="shared" si="159"/>
        <v>0</v>
      </c>
      <c r="T472" s="150">
        <f t="shared" si="160"/>
        <v>0</v>
      </c>
      <c r="U472" s="150">
        <f t="shared" si="161"/>
        <v>0</v>
      </c>
      <c r="V472" s="150">
        <f>IFERROR(INDEX(Työkonekanta!$J$3:$J$27,MATCH($A472,Työkonekanta!$A$3:$A$24,0),1)*$B472*ef_li_ion_akku/1000/1000/INDEX(Työkonekanta!$K$3:$K$27,MATCH($A472,Työkonekanta!$A$3:$A$24,0)),0)</f>
        <v>0</v>
      </c>
      <c r="W472" s="149">
        <f t="shared" si="172"/>
        <v>0</v>
      </c>
      <c r="X472" s="150">
        <f t="shared" si="173"/>
        <v>0</v>
      </c>
      <c r="Y472" s="151">
        <f t="shared" si="174"/>
        <v>0</v>
      </c>
      <c r="Z472" s="152">
        <f t="shared" si="166"/>
        <v>0</v>
      </c>
      <c r="AA472" s="153">
        <f t="shared" si="167"/>
        <v>0</v>
      </c>
      <c r="AB472" s="153">
        <f t="shared" si="168"/>
        <v>0</v>
      </c>
      <c r="AC472" s="154">
        <f t="shared" si="175"/>
        <v>0</v>
      </c>
      <c r="AD472" s="180">
        <f t="shared" si="169"/>
        <v>0</v>
      </c>
      <c r="AE472" s="160"/>
    </row>
    <row r="473" spans="1:31">
      <c r="A473" s="139">
        <v>21</v>
      </c>
      <c r="B473" s="139">
        <f>IFERROR(INDEX(Työkonekanta!$F$3:$F$27,MATCH('S2 Bio'!$A473,Työkonekanta!$A$3:$A$24,0),1),0)</f>
        <v>35</v>
      </c>
      <c r="C473" s="140">
        <v>2034</v>
      </c>
      <c r="D473" s="141" t="str">
        <f>IFERROR(INDEX(Työkonekanta!$D$3:$D$27,MATCH('S2 Bio'!$A473,Työkonekanta!$A$3:$A$24,0),1),"undefined")</f>
        <v>sähkö</v>
      </c>
      <c r="E473" s="145">
        <f>IFERROR(INDEX(Työkonekanta!$G$3:$G$27,MATCH($A473,Työkonekanta!$A$3:$A$24,0),1)*INDEX(Työkonekanta!$H$3:$H$27,MATCH($A473,Työkonekanta!$A$3:$A$24,0),1)*(1+_xlfn.SINGLE(s2_kerroin)*($C473-2019))*$B473,0)</f>
        <v>468278.93518518517</v>
      </c>
      <c r="F473" s="145">
        <f t="shared" si="156"/>
        <v>0</v>
      </c>
      <c r="G473" s="145">
        <f t="shared" si="162"/>
        <v>0</v>
      </c>
      <c r="H473" s="145">
        <f t="shared" si="163"/>
        <v>0</v>
      </c>
      <c r="I473" s="145">
        <f t="shared" si="157"/>
        <v>0</v>
      </c>
      <c r="J473" s="145">
        <f t="shared" si="158"/>
        <v>0</v>
      </c>
      <c r="K473" s="142" t="str">
        <f t="shared" si="164"/>
        <v>kWh</v>
      </c>
      <c r="L473" s="146">
        <f>IFERROR(INDEX(Työkonekanta!$I$3:$I$27,MATCH('S2 Bio'!$A473,Työkonekanta!$A$3:$A$24,0),1)*(I473+J473)*f_adblue,0)</f>
        <v>0</v>
      </c>
      <c r="M473" s="146">
        <f t="shared" si="171"/>
        <v>1685804.1666666667</v>
      </c>
      <c r="N473" s="143" t="str">
        <f>IF(tuulisähkö_vuosi&lt;='S2 Bio'!C473,"tuulisähkö",ostosähkö_nyt)</f>
        <v>jäännössähkö</v>
      </c>
      <c r="O473" s="147">
        <f>INDEX(Muuttujat!$J$5:$J$21,MATCH($C473,Muuttujat!$H$5:$H$21,0),1)</f>
        <v>59.556652007924122</v>
      </c>
      <c r="P473" s="148">
        <f t="shared" si="165"/>
        <v>6.466666666666665E-2</v>
      </c>
      <c r="Q473" s="148">
        <f t="shared" si="170"/>
        <v>0.93533333333333335</v>
      </c>
      <c r="R473" s="148">
        <f t="shared" si="170"/>
        <v>0.93533333333333335</v>
      </c>
      <c r="S473" s="149">
        <f t="shared" si="159"/>
        <v>0</v>
      </c>
      <c r="T473" s="150">
        <f t="shared" si="160"/>
        <v>0</v>
      </c>
      <c r="U473" s="150">
        <f t="shared" si="161"/>
        <v>100.40085210767519</v>
      </c>
      <c r="V473" s="150">
        <f>IFERROR(INDEX(Työkonekanta!$J$3:$J$27,MATCH($A473,Työkonekanta!$A$3:$A$24,0),1)*$B473*ef_li_ion_akku/1000/1000/INDEX(Työkonekanta!$K$3:$K$27,MATCH($A473,Työkonekanta!$A$3:$A$24,0)),0)</f>
        <v>43.121723076923082</v>
      </c>
      <c r="W473" s="149">
        <f t="shared" si="172"/>
        <v>0</v>
      </c>
      <c r="X473" s="150">
        <f t="shared" si="173"/>
        <v>0</v>
      </c>
      <c r="Y473" s="151">
        <f t="shared" si="174"/>
        <v>0</v>
      </c>
      <c r="Z473" s="152">
        <f t="shared" si="166"/>
        <v>143.52257518459828</v>
      </c>
      <c r="AA473" s="153">
        <f t="shared" si="167"/>
        <v>0</v>
      </c>
      <c r="AB473" s="153">
        <f t="shared" si="168"/>
        <v>0</v>
      </c>
      <c r="AC473" s="154">
        <f t="shared" si="175"/>
        <v>143.52257518459828</v>
      </c>
      <c r="AD473" s="180">
        <f t="shared" si="169"/>
        <v>143.52257518459828</v>
      </c>
      <c r="AE473" s="160"/>
    </row>
    <row r="474" spans="1:31">
      <c r="A474" s="139">
        <v>22</v>
      </c>
      <c r="B474" s="139">
        <f>IFERROR(INDEX(Työkonekanta!$F$3:$F$27,MATCH('S2 Bio'!$A474,Työkonekanta!$A$3:$A$24,0),1),0)</f>
        <v>0</v>
      </c>
      <c r="C474" s="140">
        <v>2034</v>
      </c>
      <c r="D474" s="141" t="str">
        <f>IFERROR(INDEX(Työkonekanta!$D$3:$D$27,MATCH('S2 Bio'!$A474,Työkonekanta!$A$3:$A$24,0),1),"undefined")</f>
        <v>sähkö</v>
      </c>
      <c r="E474" s="145">
        <f>IFERROR(INDEX(Työkonekanta!$G$3:$G$27,MATCH($A474,Työkonekanta!$A$3:$A$24,0),1)*INDEX(Työkonekanta!$H$3:$H$27,MATCH($A474,Työkonekanta!$A$3:$A$24,0),1)*(1+_xlfn.SINGLE(s2_kerroin)*($C474-2019))*$B474,0)</f>
        <v>0</v>
      </c>
      <c r="F474" s="145">
        <f t="shared" si="156"/>
        <v>0</v>
      </c>
      <c r="G474" s="145">
        <f t="shared" si="162"/>
        <v>0</v>
      </c>
      <c r="H474" s="145">
        <f t="shared" si="163"/>
        <v>0</v>
      </c>
      <c r="I474" s="145">
        <f t="shared" si="157"/>
        <v>0</v>
      </c>
      <c r="J474" s="145">
        <f t="shared" si="158"/>
        <v>0</v>
      </c>
      <c r="K474" s="142" t="str">
        <f t="shared" si="164"/>
        <v>kWh</v>
      </c>
      <c r="L474" s="146">
        <f>IFERROR(INDEX(Työkonekanta!$I$3:$I$27,MATCH('S2 Bio'!$A474,Työkonekanta!$A$3:$A$24,0),1)*(I474+J474)*f_adblue,0)</f>
        <v>0</v>
      </c>
      <c r="M474" s="146">
        <f t="shared" si="171"/>
        <v>0</v>
      </c>
      <c r="N474" s="143" t="str">
        <f>IF(tuulisähkö_vuosi&lt;='S2 Bio'!C474,"tuulisähkö",ostosähkö_nyt)</f>
        <v>jäännössähkö</v>
      </c>
      <c r="O474" s="147">
        <f>INDEX(Muuttujat!$J$5:$J$21,MATCH($C474,Muuttujat!$H$5:$H$21,0),1)</f>
        <v>59.556652007924122</v>
      </c>
      <c r="P474" s="148">
        <f t="shared" si="165"/>
        <v>6.466666666666665E-2</v>
      </c>
      <c r="Q474" s="148">
        <f t="shared" si="170"/>
        <v>0.93533333333333335</v>
      </c>
      <c r="R474" s="148">
        <f t="shared" si="170"/>
        <v>0.93533333333333335</v>
      </c>
      <c r="S474" s="149">
        <f t="shared" si="159"/>
        <v>0</v>
      </c>
      <c r="T474" s="150">
        <f t="shared" si="160"/>
        <v>0</v>
      </c>
      <c r="U474" s="150">
        <f t="shared" si="161"/>
        <v>0</v>
      </c>
      <c r="V474" s="150">
        <f>IFERROR(INDEX(Työkonekanta!$J$3:$J$27,MATCH($A474,Työkonekanta!$A$3:$A$24,0),1)*$B474*ef_li_ion_akku/1000/1000/INDEX(Työkonekanta!$K$3:$K$27,MATCH($A474,Työkonekanta!$A$3:$A$24,0)),0)</f>
        <v>0</v>
      </c>
      <c r="W474" s="149">
        <f t="shared" si="172"/>
        <v>0</v>
      </c>
      <c r="X474" s="150">
        <f t="shared" si="173"/>
        <v>0</v>
      </c>
      <c r="Y474" s="151">
        <f t="shared" si="174"/>
        <v>0</v>
      </c>
      <c r="Z474" s="152">
        <f t="shared" si="166"/>
        <v>0</v>
      </c>
      <c r="AA474" s="153">
        <f t="shared" si="167"/>
        <v>0</v>
      </c>
      <c r="AB474" s="153">
        <f t="shared" si="168"/>
        <v>0</v>
      </c>
      <c r="AC474" s="154">
        <f t="shared" si="175"/>
        <v>0</v>
      </c>
      <c r="AD474" s="180">
        <f t="shared" si="169"/>
        <v>0</v>
      </c>
      <c r="AE474" s="160"/>
    </row>
    <row r="475" spans="1:31">
      <c r="A475" s="139">
        <v>23</v>
      </c>
      <c r="B475" s="139">
        <f>IFERROR(INDEX(Työkonekanta!$F$3:$F$27,MATCH('S2 Bio'!$A475,Työkonekanta!$A$3:$A$24,0),1),0)</f>
        <v>0</v>
      </c>
      <c r="C475" s="140">
        <v>2034</v>
      </c>
      <c r="D475" s="141" t="str">
        <f>IFERROR(INDEX(Työkonekanta!$D$3:$D$27,MATCH('S2 Bio'!$A475,Työkonekanta!$A$3:$A$24,0),1),"undefined")</f>
        <v>undefined</v>
      </c>
      <c r="E475" s="145">
        <f>IFERROR(INDEX(Työkonekanta!$G$3:$G$27,MATCH($A475,Työkonekanta!$A$3:$A$24,0),1)*INDEX(Työkonekanta!$H$3:$H$27,MATCH($A475,Työkonekanta!$A$3:$A$24,0),1)*(1+_xlfn.SINGLE(s2_kerroin)*($C475-2019))*$B475,0)</f>
        <v>0</v>
      </c>
      <c r="F475" s="145">
        <f t="shared" si="156"/>
        <v>0</v>
      </c>
      <c r="G475" s="145">
        <f t="shared" si="162"/>
        <v>0</v>
      </c>
      <c r="H475" s="145">
        <f t="shared" si="163"/>
        <v>0</v>
      </c>
      <c r="I475" s="145">
        <f t="shared" si="157"/>
        <v>0</v>
      </c>
      <c r="J475" s="145">
        <f t="shared" si="158"/>
        <v>0</v>
      </c>
      <c r="K475" s="142" t="str">
        <f t="shared" si="164"/>
        <v>undefined</v>
      </c>
      <c r="L475" s="146">
        <f>IFERROR(INDEX(Työkonekanta!$I$3:$I$27,MATCH('S2 Bio'!$A475,Työkonekanta!$A$3:$A$24,0),1)*(I475+J475)*f_adblue,0)</f>
        <v>0</v>
      </c>
      <c r="M475" s="146">
        <f t="shared" si="171"/>
        <v>0</v>
      </c>
      <c r="N475" s="143" t="str">
        <f>IF(tuulisähkö_vuosi&lt;='S2 Bio'!C475,"tuulisähkö",ostosähkö_nyt)</f>
        <v>jäännössähkö</v>
      </c>
      <c r="O475" s="147">
        <f>INDEX(Muuttujat!$J$5:$J$21,MATCH($C475,Muuttujat!$H$5:$H$21,0),1)</f>
        <v>59.556652007924122</v>
      </c>
      <c r="P475" s="148">
        <f t="shared" si="165"/>
        <v>6.466666666666665E-2</v>
      </c>
      <c r="Q475" s="148">
        <f t="shared" si="170"/>
        <v>0.93533333333333335</v>
      </c>
      <c r="R475" s="148">
        <f t="shared" si="170"/>
        <v>0.93533333333333335</v>
      </c>
      <c r="S475" s="149">
        <f t="shared" si="159"/>
        <v>0</v>
      </c>
      <c r="T475" s="150">
        <f t="shared" si="160"/>
        <v>0</v>
      </c>
      <c r="U475" s="150">
        <f t="shared" si="161"/>
        <v>0</v>
      </c>
      <c r="V475" s="150">
        <f>IFERROR(INDEX(Työkonekanta!$J$3:$J$27,MATCH($A475,Työkonekanta!$A$3:$A$24,0),1)*$B475*ef_li_ion_akku/1000/1000/INDEX(Työkonekanta!$K$3:$K$27,MATCH($A475,Työkonekanta!$A$3:$A$24,0)),0)</f>
        <v>0</v>
      </c>
      <c r="W475" s="149">
        <f t="shared" si="172"/>
        <v>0</v>
      </c>
      <c r="X475" s="150">
        <f t="shared" si="173"/>
        <v>0</v>
      </c>
      <c r="Y475" s="151">
        <f t="shared" si="174"/>
        <v>0</v>
      </c>
      <c r="Z475" s="152">
        <f t="shared" si="166"/>
        <v>0</v>
      </c>
      <c r="AA475" s="153">
        <f t="shared" si="167"/>
        <v>0</v>
      </c>
      <c r="AB475" s="153">
        <f t="shared" si="168"/>
        <v>0</v>
      </c>
      <c r="AC475" s="154">
        <f t="shared" si="175"/>
        <v>0</v>
      </c>
      <c r="AD475" s="180">
        <f t="shared" si="169"/>
        <v>0</v>
      </c>
      <c r="AE475" s="160"/>
    </row>
    <row r="476" spans="1:31">
      <c r="A476" s="139">
        <v>24</v>
      </c>
      <c r="B476" s="139">
        <f>IFERROR(INDEX(Työkonekanta!$F$3:$F$27,MATCH('S2 Bio'!$A476,Työkonekanta!$A$3:$A$24,0),1),0)</f>
        <v>0</v>
      </c>
      <c r="C476" s="140">
        <v>2034</v>
      </c>
      <c r="D476" s="141" t="str">
        <f>IFERROR(INDEX(Työkonekanta!$D$3:$D$27,MATCH('S2 Bio'!$A476,Työkonekanta!$A$3:$A$24,0),1),"undefined")</f>
        <v>undefined</v>
      </c>
      <c r="E476" s="145">
        <f>IFERROR(INDEX(Työkonekanta!$G$3:$G$27,MATCH($A476,Työkonekanta!$A$3:$A$24,0),1)*INDEX(Työkonekanta!$H$3:$H$27,MATCH($A476,Työkonekanta!$A$3:$A$24,0),1)*(1+_xlfn.SINGLE(s2_kerroin)*($C476-2019))*$B476,0)</f>
        <v>0</v>
      </c>
      <c r="F476" s="145">
        <f t="shared" si="156"/>
        <v>0</v>
      </c>
      <c r="G476" s="145">
        <f t="shared" si="162"/>
        <v>0</v>
      </c>
      <c r="H476" s="145">
        <f t="shared" si="163"/>
        <v>0</v>
      </c>
      <c r="I476" s="145">
        <f t="shared" si="157"/>
        <v>0</v>
      </c>
      <c r="J476" s="145">
        <f t="shared" si="158"/>
        <v>0</v>
      </c>
      <c r="K476" s="142" t="str">
        <f t="shared" si="164"/>
        <v>undefined</v>
      </c>
      <c r="L476" s="146">
        <f>IFERROR(INDEX(Työkonekanta!$I$3:$I$27,MATCH('S2 Bio'!$A476,Työkonekanta!$A$3:$A$24,0),1)*(I476+J476)*f_adblue,0)</f>
        <v>0</v>
      </c>
      <c r="M476" s="146">
        <f t="shared" si="171"/>
        <v>0</v>
      </c>
      <c r="N476" s="143" t="str">
        <f>IF(tuulisähkö_vuosi&lt;='S2 Bio'!C476,"tuulisähkö",ostosähkö_nyt)</f>
        <v>jäännössähkö</v>
      </c>
      <c r="O476" s="147">
        <f>INDEX(Muuttujat!$J$5:$J$21,MATCH($C476,Muuttujat!$H$5:$H$21,0),1)</f>
        <v>59.556652007924122</v>
      </c>
      <c r="P476" s="148">
        <f t="shared" si="165"/>
        <v>6.466666666666665E-2</v>
      </c>
      <c r="Q476" s="148">
        <f t="shared" si="170"/>
        <v>0.93533333333333335</v>
      </c>
      <c r="R476" s="148">
        <f t="shared" si="170"/>
        <v>0.93533333333333335</v>
      </c>
      <c r="S476" s="149">
        <f t="shared" si="159"/>
        <v>0</v>
      </c>
      <c r="T476" s="150">
        <f t="shared" si="160"/>
        <v>0</v>
      </c>
      <c r="U476" s="150">
        <f t="shared" si="161"/>
        <v>0</v>
      </c>
      <c r="V476" s="150">
        <f>IFERROR(INDEX(Työkonekanta!$J$3:$J$27,MATCH($A476,Työkonekanta!$A$3:$A$24,0),1)*$B476*ef_li_ion_akku/1000/1000/INDEX(Työkonekanta!$K$3:$K$27,MATCH($A476,Työkonekanta!$A$3:$A$24,0)),0)</f>
        <v>0</v>
      </c>
      <c r="W476" s="149">
        <f t="shared" si="172"/>
        <v>0</v>
      </c>
      <c r="X476" s="150">
        <f t="shared" si="173"/>
        <v>0</v>
      </c>
      <c r="Y476" s="151">
        <f t="shared" si="174"/>
        <v>0</v>
      </c>
      <c r="Z476" s="152">
        <f t="shared" si="166"/>
        <v>0</v>
      </c>
      <c r="AA476" s="153">
        <f t="shared" si="167"/>
        <v>0</v>
      </c>
      <c r="AB476" s="153">
        <f t="shared" si="168"/>
        <v>0</v>
      </c>
      <c r="AC476" s="154">
        <f t="shared" si="175"/>
        <v>0</v>
      </c>
      <c r="AD476" s="180">
        <f t="shared" si="169"/>
        <v>0</v>
      </c>
      <c r="AE476" s="160"/>
    </row>
    <row r="477" spans="1:31">
      <c r="A477" s="139">
        <v>25</v>
      </c>
      <c r="B477" s="139">
        <f>IFERROR(INDEX(Työkonekanta!$F$3:$F$27,MATCH('S2 Bio'!$A477,Työkonekanta!$A$3:$A$24,0),1),0)</f>
        <v>0</v>
      </c>
      <c r="C477" s="140">
        <v>2034</v>
      </c>
      <c r="D477" s="141" t="str">
        <f>IFERROR(INDEX(Työkonekanta!$D$3:$D$27,MATCH('S2 Bio'!$A477,Työkonekanta!$A$3:$A$24,0),1),"undefined")</f>
        <v>undefined</v>
      </c>
      <c r="E477" s="145">
        <f>IFERROR(INDEX(Työkonekanta!$G$3:$G$27,MATCH($A477,Työkonekanta!$A$3:$A$24,0),1)*INDEX(Työkonekanta!$H$3:$H$27,MATCH($A477,Työkonekanta!$A$3:$A$24,0),1)*(1+_xlfn.SINGLE(s2_kerroin)*($C477-2019))*$B477,0)</f>
        <v>0</v>
      </c>
      <c r="F477" s="145">
        <f t="shared" si="156"/>
        <v>0</v>
      </c>
      <c r="G477" s="145">
        <f t="shared" si="162"/>
        <v>0</v>
      </c>
      <c r="H477" s="145">
        <f t="shared" si="163"/>
        <v>0</v>
      </c>
      <c r="I477" s="145">
        <f t="shared" si="157"/>
        <v>0</v>
      </c>
      <c r="J477" s="145">
        <f t="shared" si="158"/>
        <v>0</v>
      </c>
      <c r="K477" s="142" t="str">
        <f t="shared" si="164"/>
        <v>undefined</v>
      </c>
      <c r="L477" s="146">
        <f>IFERROR(INDEX(Työkonekanta!$I$3:$I$27,MATCH('S2 Bio'!$A477,Työkonekanta!$A$3:$A$24,0),1)*(I477+J477)*f_adblue,0)</f>
        <v>0</v>
      </c>
      <c r="M477" s="146">
        <f t="shared" si="171"/>
        <v>0</v>
      </c>
      <c r="N477" s="143" t="str">
        <f>IF(tuulisähkö_vuosi&lt;='S2 Bio'!C477,"tuulisähkö",ostosähkö_nyt)</f>
        <v>jäännössähkö</v>
      </c>
      <c r="O477" s="147">
        <f>INDEX(Muuttujat!$J$5:$J$21,MATCH($C477,Muuttujat!$H$5:$H$21,0),1)</f>
        <v>59.556652007924122</v>
      </c>
      <c r="P477" s="148">
        <f t="shared" si="165"/>
        <v>6.466666666666665E-2</v>
      </c>
      <c r="Q477" s="148">
        <f t="shared" si="170"/>
        <v>0.93533333333333335</v>
      </c>
      <c r="R477" s="148">
        <f t="shared" si="170"/>
        <v>0.93533333333333335</v>
      </c>
      <c r="S477" s="149">
        <f t="shared" si="159"/>
        <v>0</v>
      </c>
      <c r="T477" s="150">
        <f t="shared" si="160"/>
        <v>0</v>
      </c>
      <c r="U477" s="150">
        <f t="shared" si="161"/>
        <v>0</v>
      </c>
      <c r="V477" s="150">
        <f>IFERROR(INDEX(Työkonekanta!$J$3:$J$27,MATCH($A477,Työkonekanta!$A$3:$A$24,0),1)*$B477*ef_li_ion_akku/1000/1000/INDEX(Työkonekanta!$K$3:$K$27,MATCH($A477,Työkonekanta!$A$3:$A$24,0)),0)</f>
        <v>0</v>
      </c>
      <c r="W477" s="149">
        <f t="shared" si="172"/>
        <v>0</v>
      </c>
      <c r="X477" s="150">
        <f t="shared" si="173"/>
        <v>0</v>
      </c>
      <c r="Y477" s="151">
        <f t="shared" si="174"/>
        <v>0</v>
      </c>
      <c r="Z477" s="152">
        <f t="shared" si="166"/>
        <v>0</v>
      </c>
      <c r="AA477" s="153">
        <f t="shared" si="167"/>
        <v>0</v>
      </c>
      <c r="AB477" s="153">
        <f t="shared" si="168"/>
        <v>0</v>
      </c>
      <c r="AC477" s="154">
        <f t="shared" si="175"/>
        <v>0</v>
      </c>
      <c r="AD477" s="180">
        <f t="shared" si="169"/>
        <v>0</v>
      </c>
      <c r="AE477" s="160"/>
    </row>
    <row r="478" spans="1:31">
      <c r="A478" s="139">
        <v>26</v>
      </c>
      <c r="B478" s="139">
        <f>IFERROR(INDEX(Työkonekanta!$F$3:$F$27,MATCH('S2 Bio'!$A478,Työkonekanta!$A$3:$A$24,0),1),0)</f>
        <v>0</v>
      </c>
      <c r="C478" s="140">
        <v>2034</v>
      </c>
      <c r="D478" s="141" t="str">
        <f>IFERROR(INDEX(Työkonekanta!$D$3:$D$27,MATCH('S2 Bio'!$A478,Työkonekanta!$A$3:$A$24,0),1),"undefined")</f>
        <v>undefined</v>
      </c>
      <c r="E478" s="145">
        <f>IFERROR(INDEX(Työkonekanta!$G$3:$G$27,MATCH($A478,Työkonekanta!$A$3:$A$24,0),1)*INDEX(Työkonekanta!$H$3:$H$27,MATCH($A478,Työkonekanta!$A$3:$A$24,0),1)*(1+_xlfn.SINGLE(s2_kerroin)*($C478-2019))*$B478,0)</f>
        <v>0</v>
      </c>
      <c r="F478" s="145">
        <f t="shared" si="156"/>
        <v>0</v>
      </c>
      <c r="G478" s="145">
        <f t="shared" si="162"/>
        <v>0</v>
      </c>
      <c r="H478" s="145">
        <f t="shared" si="163"/>
        <v>0</v>
      </c>
      <c r="I478" s="145">
        <f t="shared" si="157"/>
        <v>0</v>
      </c>
      <c r="J478" s="145">
        <f t="shared" si="158"/>
        <v>0</v>
      </c>
      <c r="K478" s="142" t="str">
        <f t="shared" si="164"/>
        <v>undefined</v>
      </c>
      <c r="L478" s="146">
        <f>IFERROR(INDEX(Työkonekanta!$I$3:$I$27,MATCH('S2 Bio'!$A478,Työkonekanta!$A$3:$A$24,0),1)*(I478+J478)*f_adblue,0)</f>
        <v>0</v>
      </c>
      <c r="M478" s="146">
        <f t="shared" si="171"/>
        <v>0</v>
      </c>
      <c r="N478" s="143" t="str">
        <f>IF(tuulisähkö_vuosi&lt;='S2 Bio'!C478,"tuulisähkö",ostosähkö_nyt)</f>
        <v>jäännössähkö</v>
      </c>
      <c r="O478" s="147">
        <f>INDEX(Muuttujat!$J$5:$J$21,MATCH($C478,Muuttujat!$H$5:$H$21,0),1)</f>
        <v>59.556652007924122</v>
      </c>
      <c r="P478" s="148">
        <f t="shared" si="165"/>
        <v>6.466666666666665E-2</v>
      </c>
      <c r="Q478" s="148">
        <f t="shared" si="170"/>
        <v>0.93533333333333335</v>
      </c>
      <c r="R478" s="148">
        <f t="shared" si="170"/>
        <v>0.93533333333333335</v>
      </c>
      <c r="S478" s="149">
        <f t="shared" si="159"/>
        <v>0</v>
      </c>
      <c r="T478" s="150">
        <f t="shared" si="160"/>
        <v>0</v>
      </c>
      <c r="U478" s="150">
        <f t="shared" si="161"/>
        <v>0</v>
      </c>
      <c r="V478" s="150">
        <f>IFERROR(INDEX(Työkonekanta!$J$3:$J$27,MATCH($A478,Työkonekanta!$A$3:$A$24,0),1)*$B478*ef_li_ion_akku/1000/1000/INDEX(Työkonekanta!$K$3:$K$27,MATCH($A478,Työkonekanta!$A$3:$A$24,0)),0)</f>
        <v>0</v>
      </c>
      <c r="W478" s="149">
        <f t="shared" si="172"/>
        <v>0</v>
      </c>
      <c r="X478" s="150">
        <f t="shared" si="173"/>
        <v>0</v>
      </c>
      <c r="Y478" s="151">
        <f t="shared" si="174"/>
        <v>0</v>
      </c>
      <c r="Z478" s="152">
        <f t="shared" si="166"/>
        <v>0</v>
      </c>
      <c r="AA478" s="153">
        <f t="shared" si="167"/>
        <v>0</v>
      </c>
      <c r="AB478" s="153">
        <f t="shared" si="168"/>
        <v>0</v>
      </c>
      <c r="AC478" s="154">
        <f t="shared" si="175"/>
        <v>0</v>
      </c>
      <c r="AD478" s="180">
        <f t="shared" si="169"/>
        <v>0</v>
      </c>
      <c r="AE478" s="160"/>
    </row>
    <row r="479" spans="1:31">
      <c r="A479" s="139">
        <v>27</v>
      </c>
      <c r="B479" s="139">
        <f>IFERROR(INDEX(Työkonekanta!$F$3:$F$27,MATCH('S2 Bio'!$A479,Työkonekanta!$A$3:$A$24,0),1),0)</f>
        <v>0</v>
      </c>
      <c r="C479" s="140">
        <v>2034</v>
      </c>
      <c r="D479" s="141" t="str">
        <f>IFERROR(INDEX(Työkonekanta!$D$3:$D$27,MATCH('S2 Bio'!$A479,Työkonekanta!$A$3:$A$24,0),1),"undefined")</f>
        <v>undefined</v>
      </c>
      <c r="E479" s="145">
        <f>IFERROR(INDEX(Työkonekanta!$G$3:$G$27,MATCH($A479,Työkonekanta!$A$3:$A$24,0),1)*INDEX(Työkonekanta!$H$3:$H$27,MATCH($A479,Työkonekanta!$A$3:$A$24,0),1)*(1+_xlfn.SINGLE(s2_kerroin)*($C479-2019))*$B479,0)</f>
        <v>0</v>
      </c>
      <c r="F479" s="145">
        <f t="shared" si="156"/>
        <v>0</v>
      </c>
      <c r="G479" s="145">
        <f t="shared" si="162"/>
        <v>0</v>
      </c>
      <c r="H479" s="145">
        <f t="shared" si="163"/>
        <v>0</v>
      </c>
      <c r="I479" s="145">
        <f t="shared" si="157"/>
        <v>0</v>
      </c>
      <c r="J479" s="145">
        <f t="shared" si="158"/>
        <v>0</v>
      </c>
      <c r="K479" s="142" t="str">
        <f t="shared" si="164"/>
        <v>undefined</v>
      </c>
      <c r="L479" s="146">
        <f>IFERROR(INDEX(Työkonekanta!$I$3:$I$27,MATCH('S2 Bio'!$A479,Työkonekanta!$A$3:$A$24,0),1)*(I479+J479)*f_adblue,0)</f>
        <v>0</v>
      </c>
      <c r="M479" s="146">
        <f t="shared" si="171"/>
        <v>0</v>
      </c>
      <c r="N479" s="143" t="str">
        <f>IF(tuulisähkö_vuosi&lt;='S2 Bio'!C479,"tuulisähkö",ostosähkö_nyt)</f>
        <v>jäännössähkö</v>
      </c>
      <c r="O479" s="147">
        <f>INDEX(Muuttujat!$J$5:$J$21,MATCH($C479,Muuttujat!$H$5:$H$21,0),1)</f>
        <v>59.556652007924122</v>
      </c>
      <c r="P479" s="148">
        <f t="shared" si="165"/>
        <v>6.466666666666665E-2</v>
      </c>
      <c r="Q479" s="148">
        <f t="shared" si="170"/>
        <v>0.93533333333333335</v>
      </c>
      <c r="R479" s="148">
        <f t="shared" si="170"/>
        <v>0.93533333333333335</v>
      </c>
      <c r="S479" s="149">
        <f t="shared" si="159"/>
        <v>0</v>
      </c>
      <c r="T479" s="150">
        <f t="shared" si="160"/>
        <v>0</v>
      </c>
      <c r="U479" s="150">
        <f t="shared" si="161"/>
        <v>0</v>
      </c>
      <c r="V479" s="150">
        <f>IFERROR(INDEX(Työkonekanta!$J$3:$J$27,MATCH($A479,Työkonekanta!$A$3:$A$24,0),1)*$B479*ef_li_ion_akku/1000/1000/INDEX(Työkonekanta!$K$3:$K$27,MATCH($A479,Työkonekanta!$A$3:$A$24,0)),0)</f>
        <v>0</v>
      </c>
      <c r="W479" s="149">
        <f t="shared" si="172"/>
        <v>0</v>
      </c>
      <c r="X479" s="150">
        <f t="shared" si="173"/>
        <v>0</v>
      </c>
      <c r="Y479" s="151">
        <f t="shared" si="174"/>
        <v>0</v>
      </c>
      <c r="Z479" s="152">
        <f t="shared" si="166"/>
        <v>0</v>
      </c>
      <c r="AA479" s="153">
        <f t="shared" si="167"/>
        <v>0</v>
      </c>
      <c r="AB479" s="153">
        <f t="shared" si="168"/>
        <v>0</v>
      </c>
      <c r="AC479" s="154">
        <f t="shared" si="175"/>
        <v>0</v>
      </c>
      <c r="AD479" s="180">
        <f t="shared" si="169"/>
        <v>0</v>
      </c>
      <c r="AE479" s="160"/>
    </row>
    <row r="480" spans="1:31">
      <c r="A480" s="139">
        <v>28</v>
      </c>
      <c r="B480" s="139">
        <f>IFERROR(INDEX(Työkonekanta!$F$3:$F$27,MATCH('S2 Bio'!$A480,Työkonekanta!$A$3:$A$24,0),1),0)</f>
        <v>0</v>
      </c>
      <c r="C480" s="140">
        <v>2034</v>
      </c>
      <c r="D480" s="141" t="str">
        <f>IFERROR(INDEX(Työkonekanta!$D$3:$D$27,MATCH('S2 Bio'!$A480,Työkonekanta!$A$3:$A$24,0),1),"undefined")</f>
        <v>undefined</v>
      </c>
      <c r="E480" s="145">
        <f>IFERROR(INDEX(Työkonekanta!$G$3:$G$27,MATCH($A480,Työkonekanta!$A$3:$A$24,0),1)*INDEX(Työkonekanta!$H$3:$H$27,MATCH($A480,Työkonekanta!$A$3:$A$24,0),1)*(1+_xlfn.SINGLE(s2_kerroin)*($C480-2019))*$B480,0)</f>
        <v>0</v>
      </c>
      <c r="F480" s="145">
        <f t="shared" si="156"/>
        <v>0</v>
      </c>
      <c r="G480" s="145">
        <f t="shared" si="162"/>
        <v>0</v>
      </c>
      <c r="H480" s="145">
        <f t="shared" si="163"/>
        <v>0</v>
      </c>
      <c r="I480" s="145">
        <f t="shared" si="157"/>
        <v>0</v>
      </c>
      <c r="J480" s="145">
        <f t="shared" si="158"/>
        <v>0</v>
      </c>
      <c r="K480" s="142" t="str">
        <f t="shared" si="164"/>
        <v>undefined</v>
      </c>
      <c r="L480" s="146">
        <f>IFERROR(INDEX(Työkonekanta!$I$3:$I$27,MATCH('S2 Bio'!$A480,Työkonekanta!$A$3:$A$24,0),1)*(I480+J480)*f_adblue,0)</f>
        <v>0</v>
      </c>
      <c r="M480" s="146">
        <f t="shared" si="171"/>
        <v>0</v>
      </c>
      <c r="N480" s="143" t="str">
        <f>IF(tuulisähkö_vuosi&lt;='S2 Bio'!C480,"tuulisähkö",ostosähkö_nyt)</f>
        <v>jäännössähkö</v>
      </c>
      <c r="O480" s="147">
        <f>INDEX(Muuttujat!$J$5:$J$21,MATCH($C480,Muuttujat!$H$5:$H$21,0),1)</f>
        <v>59.556652007924122</v>
      </c>
      <c r="P480" s="148">
        <f t="shared" si="165"/>
        <v>6.466666666666665E-2</v>
      </c>
      <c r="Q480" s="148">
        <f t="shared" si="170"/>
        <v>0.93533333333333335</v>
      </c>
      <c r="R480" s="148">
        <f t="shared" si="170"/>
        <v>0.93533333333333335</v>
      </c>
      <c r="S480" s="149">
        <f t="shared" si="159"/>
        <v>0</v>
      </c>
      <c r="T480" s="150">
        <f t="shared" si="160"/>
        <v>0</v>
      </c>
      <c r="U480" s="150">
        <f t="shared" si="161"/>
        <v>0</v>
      </c>
      <c r="V480" s="150">
        <f>IFERROR(INDEX(Työkonekanta!$J$3:$J$27,MATCH($A480,Työkonekanta!$A$3:$A$24,0),1)*$B480*ef_li_ion_akku/1000/1000/INDEX(Työkonekanta!$K$3:$K$27,MATCH($A480,Työkonekanta!$A$3:$A$24,0)),0)</f>
        <v>0</v>
      </c>
      <c r="W480" s="149">
        <f t="shared" si="172"/>
        <v>0</v>
      </c>
      <c r="X480" s="150">
        <f t="shared" si="173"/>
        <v>0</v>
      </c>
      <c r="Y480" s="151">
        <f t="shared" si="174"/>
        <v>0</v>
      </c>
      <c r="Z480" s="152">
        <f t="shared" si="166"/>
        <v>0</v>
      </c>
      <c r="AA480" s="153">
        <f t="shared" si="167"/>
        <v>0</v>
      </c>
      <c r="AB480" s="153">
        <f t="shared" si="168"/>
        <v>0</v>
      </c>
      <c r="AC480" s="154">
        <f t="shared" si="175"/>
        <v>0</v>
      </c>
      <c r="AD480" s="180">
        <f t="shared" si="169"/>
        <v>0</v>
      </c>
      <c r="AE480" s="160"/>
    </row>
    <row r="481" spans="1:31">
      <c r="A481" s="139">
        <v>29</v>
      </c>
      <c r="B481" s="139">
        <f>IFERROR(INDEX(Työkonekanta!$F$3:$F$27,MATCH('S2 Bio'!$A481,Työkonekanta!$A$3:$A$24,0),1),0)</f>
        <v>0</v>
      </c>
      <c r="C481" s="140">
        <v>2034</v>
      </c>
      <c r="D481" s="141" t="str">
        <f>IFERROR(INDEX(Työkonekanta!$D$3:$D$27,MATCH('S2 Bio'!$A481,Työkonekanta!$A$3:$A$24,0),1),"undefined")</f>
        <v>undefined</v>
      </c>
      <c r="E481" s="145">
        <f>IFERROR(INDEX(Työkonekanta!$G$3:$G$27,MATCH($A481,Työkonekanta!$A$3:$A$24,0),1)*INDEX(Työkonekanta!$H$3:$H$27,MATCH($A481,Työkonekanta!$A$3:$A$24,0),1)*(1+_xlfn.SINGLE(s2_kerroin)*($C481-2019))*$B481,0)</f>
        <v>0</v>
      </c>
      <c r="F481" s="145">
        <f t="shared" si="156"/>
        <v>0</v>
      </c>
      <c r="G481" s="145">
        <f t="shared" si="162"/>
        <v>0</v>
      </c>
      <c r="H481" s="145">
        <f t="shared" si="163"/>
        <v>0</v>
      </c>
      <c r="I481" s="145">
        <f t="shared" si="157"/>
        <v>0</v>
      </c>
      <c r="J481" s="145">
        <f t="shared" si="158"/>
        <v>0</v>
      </c>
      <c r="K481" s="142" t="str">
        <f t="shared" si="164"/>
        <v>undefined</v>
      </c>
      <c r="L481" s="146">
        <f>IFERROR(INDEX(Työkonekanta!$I$3:$I$27,MATCH('S2 Bio'!$A481,Työkonekanta!$A$3:$A$24,0),1)*(I481+J481)*f_adblue,0)</f>
        <v>0</v>
      </c>
      <c r="M481" s="146">
        <f t="shared" si="171"/>
        <v>0</v>
      </c>
      <c r="N481" s="143" t="str">
        <f>IF(tuulisähkö_vuosi&lt;='S2 Bio'!C481,"tuulisähkö",ostosähkö_nyt)</f>
        <v>jäännössähkö</v>
      </c>
      <c r="O481" s="147">
        <f>INDEX(Muuttujat!$J$5:$J$21,MATCH($C481,Muuttujat!$H$5:$H$21,0),1)</f>
        <v>59.556652007924122</v>
      </c>
      <c r="P481" s="148">
        <f t="shared" si="165"/>
        <v>6.466666666666665E-2</v>
      </c>
      <c r="Q481" s="148">
        <f t="shared" si="170"/>
        <v>0.93533333333333335</v>
      </c>
      <c r="R481" s="148">
        <f t="shared" si="170"/>
        <v>0.93533333333333335</v>
      </c>
      <c r="S481" s="149">
        <f t="shared" si="159"/>
        <v>0</v>
      </c>
      <c r="T481" s="150">
        <f t="shared" si="160"/>
        <v>0</v>
      </c>
      <c r="U481" s="150">
        <f t="shared" si="161"/>
        <v>0</v>
      </c>
      <c r="V481" s="150">
        <f>IFERROR(INDEX(Työkonekanta!$J$3:$J$27,MATCH($A481,Työkonekanta!$A$3:$A$24,0),1)*$B481*ef_li_ion_akku/1000/1000/INDEX(Työkonekanta!$K$3:$K$27,MATCH($A481,Työkonekanta!$A$3:$A$24,0)),0)</f>
        <v>0</v>
      </c>
      <c r="W481" s="149">
        <f t="shared" si="172"/>
        <v>0</v>
      </c>
      <c r="X481" s="150">
        <f t="shared" si="173"/>
        <v>0</v>
      </c>
      <c r="Y481" s="151">
        <f t="shared" si="174"/>
        <v>0</v>
      </c>
      <c r="Z481" s="152">
        <f t="shared" si="166"/>
        <v>0</v>
      </c>
      <c r="AA481" s="153">
        <f t="shared" si="167"/>
        <v>0</v>
      </c>
      <c r="AB481" s="153">
        <f t="shared" si="168"/>
        <v>0</v>
      </c>
      <c r="AC481" s="154">
        <f t="shared" si="175"/>
        <v>0</v>
      </c>
      <c r="AD481" s="180">
        <f t="shared" si="169"/>
        <v>0</v>
      </c>
      <c r="AE481" s="160"/>
    </row>
    <row r="482" spans="1:31">
      <c r="A482" s="139">
        <v>30</v>
      </c>
      <c r="B482" s="139">
        <f>IFERROR(INDEX(Työkonekanta!$F$3:$F$27,MATCH('S2 Bio'!$A482,Työkonekanta!$A$3:$A$24,0),1),0)</f>
        <v>0</v>
      </c>
      <c r="C482" s="140">
        <v>2034</v>
      </c>
      <c r="D482" s="141" t="str">
        <f>IFERROR(INDEX(Työkonekanta!$D$3:$D$27,MATCH('S2 Bio'!$A482,Työkonekanta!$A$3:$A$24,0),1),"undefined")</f>
        <v>undefined</v>
      </c>
      <c r="E482" s="145">
        <f>IFERROR(INDEX(Työkonekanta!$G$3:$G$27,MATCH($A482,Työkonekanta!$A$3:$A$24,0),1)*INDEX(Työkonekanta!$H$3:$H$27,MATCH($A482,Työkonekanta!$A$3:$A$24,0),1)*(1+_xlfn.SINGLE(s2_kerroin)*($C482-2019))*$B482,0)</f>
        <v>0</v>
      </c>
      <c r="F482" s="145">
        <f t="shared" si="156"/>
        <v>0</v>
      </c>
      <c r="G482" s="145">
        <f t="shared" si="162"/>
        <v>0</v>
      </c>
      <c r="H482" s="145">
        <f t="shared" si="163"/>
        <v>0</v>
      </c>
      <c r="I482" s="145">
        <f t="shared" si="157"/>
        <v>0</v>
      </c>
      <c r="J482" s="145">
        <f t="shared" si="158"/>
        <v>0</v>
      </c>
      <c r="K482" s="142" t="str">
        <f t="shared" si="164"/>
        <v>undefined</v>
      </c>
      <c r="L482" s="146">
        <f>IFERROR(INDEX(Työkonekanta!$I$3:$I$27,MATCH('S2 Bio'!$A482,Työkonekanta!$A$3:$A$24,0),1)*(I482+J482)*f_adblue,0)</f>
        <v>0</v>
      </c>
      <c r="M482" s="146">
        <f t="shared" si="171"/>
        <v>0</v>
      </c>
      <c r="N482" s="143" t="str">
        <f>IF(tuulisähkö_vuosi&lt;='S2 Bio'!C482,"tuulisähkö",ostosähkö_nyt)</f>
        <v>jäännössähkö</v>
      </c>
      <c r="O482" s="147">
        <f>INDEX(Muuttujat!$J$5:$J$21,MATCH($C482,Muuttujat!$H$5:$H$21,0),1)</f>
        <v>59.556652007924122</v>
      </c>
      <c r="P482" s="148">
        <f t="shared" si="165"/>
        <v>6.466666666666665E-2</v>
      </c>
      <c r="Q482" s="148">
        <f t="shared" si="170"/>
        <v>0.93533333333333335</v>
      </c>
      <c r="R482" s="148">
        <f t="shared" si="170"/>
        <v>0.93533333333333335</v>
      </c>
      <c r="S482" s="149">
        <f t="shared" si="159"/>
        <v>0</v>
      </c>
      <c r="T482" s="150">
        <f t="shared" si="160"/>
        <v>0</v>
      </c>
      <c r="U482" s="150">
        <f t="shared" si="161"/>
        <v>0</v>
      </c>
      <c r="V482" s="150">
        <f>IFERROR(INDEX(Työkonekanta!$J$3:$J$27,MATCH($A482,Työkonekanta!$A$3:$A$24,0),1)*$B482*ef_li_ion_akku/1000/1000/INDEX(Työkonekanta!$K$3:$K$27,MATCH($A482,Työkonekanta!$A$3:$A$24,0)),0)</f>
        <v>0</v>
      </c>
      <c r="W482" s="149">
        <f t="shared" si="172"/>
        <v>0</v>
      </c>
      <c r="X482" s="150">
        <f t="shared" si="173"/>
        <v>0</v>
      </c>
      <c r="Y482" s="151">
        <f t="shared" si="174"/>
        <v>0</v>
      </c>
      <c r="Z482" s="152">
        <f t="shared" si="166"/>
        <v>0</v>
      </c>
      <c r="AA482" s="153">
        <f t="shared" si="167"/>
        <v>0</v>
      </c>
      <c r="AB482" s="153">
        <f t="shared" si="168"/>
        <v>0</v>
      </c>
      <c r="AC482" s="154">
        <f t="shared" si="175"/>
        <v>0</v>
      </c>
      <c r="AD482" s="180">
        <f t="shared" si="169"/>
        <v>0</v>
      </c>
      <c r="AE482" s="160"/>
    </row>
    <row r="483" spans="1:31">
      <c r="A483" s="139">
        <v>1</v>
      </c>
      <c r="B483" s="139">
        <f>IFERROR(INDEX(Työkonekanta!$F$3:$F$27,MATCH('S2 Bio'!$A483,Työkonekanta!$A$3:$A$24,0),1),0)</f>
        <v>1</v>
      </c>
      <c r="C483" s="140">
        <v>2035</v>
      </c>
      <c r="D483" s="141" t="str">
        <f>IFERROR(INDEX(Työkonekanta!$D$3:$D$27,MATCH('S2 Bio'!$A483,Työkonekanta!$A$3:$A$24,0),1),"undefined")</f>
        <v>pom</v>
      </c>
      <c r="E483" s="145">
        <f>IFERROR(INDEX(Työkonekanta!$G$3:$G$27,MATCH($A483,Työkonekanta!$A$3:$A$24,0),1)*INDEX(Työkonekanta!$H$3:$H$27,MATCH($A483,Työkonekanta!$A$3:$A$24,0),1)*(1+_xlfn.SINGLE(s2_kerroin)*($C483-2019))*$B483,0)</f>
        <v>11600</v>
      </c>
      <c r="F483" s="145">
        <f t="shared" si="156"/>
        <v>416440</v>
      </c>
      <c r="G483" s="145">
        <f t="shared" si="162"/>
        <v>0</v>
      </c>
      <c r="H483" s="145">
        <f t="shared" si="163"/>
        <v>416440</v>
      </c>
      <c r="I483" s="145">
        <f t="shared" si="157"/>
        <v>0</v>
      </c>
      <c r="J483" s="145">
        <f t="shared" si="158"/>
        <v>12141.107871720118</v>
      </c>
      <c r="K483" s="142" t="str">
        <f t="shared" si="164"/>
        <v>l</v>
      </c>
      <c r="L483" s="146">
        <f>IFERROR(INDEX(Työkonekanta!$I$3:$I$27,MATCH('S2 Bio'!$A483,Työkonekanta!$A$3:$A$24,0),1)*(I483+J483)*f_adblue,0)</f>
        <v>607.05539358600595</v>
      </c>
      <c r="M483" s="146">
        <f t="shared" si="171"/>
        <v>0</v>
      </c>
      <c r="N483" s="143" t="str">
        <f>IF(tuulisähkö_vuosi&lt;='S2 Bio'!C483,"tuulisähkö",ostosähkö_nyt)</f>
        <v>jäännössähkö</v>
      </c>
      <c r="O483" s="147">
        <f>INDEX(Muuttujat!$J$5:$J$21,MATCH($C483,Muuttujat!$H$5:$H$21,0),1)</f>
        <v>58.961085487844883</v>
      </c>
      <c r="P483" s="148">
        <f t="shared" si="165"/>
        <v>0</v>
      </c>
      <c r="Q483" s="148">
        <f t="shared" ref="Q483:R502" si="176">IF(biosiirtymä_luonne="äkillinen",INDEX($AG$4:$AG$20,MATCH($C483,$AF$4:$AF$20,0),1),INDEX($AH$4:$AH$20,MATCH($C483,$AF$4:$AF$20,0),1))</f>
        <v>1</v>
      </c>
      <c r="R483" s="148">
        <f t="shared" si="176"/>
        <v>1</v>
      </c>
      <c r="S483" s="149">
        <f t="shared" si="159"/>
        <v>0</v>
      </c>
      <c r="T483" s="150">
        <f t="shared" si="160"/>
        <v>25.985855999999998</v>
      </c>
      <c r="U483" s="150">
        <f t="shared" si="161"/>
        <v>0</v>
      </c>
      <c r="V483" s="150">
        <f>IFERROR(INDEX(Työkonekanta!$J$3:$J$27,MATCH($A483,Työkonekanta!$A$3:$A$24,0),1)*$B483*ef_li_ion_akku/1000/1000/INDEX(Työkonekanta!$K$3:$K$27,MATCH($A483,Työkonekanta!$A$3:$A$24,0)),0)</f>
        <v>0</v>
      </c>
      <c r="W483" s="149">
        <f t="shared" si="172"/>
        <v>0</v>
      </c>
      <c r="X483" s="150">
        <f t="shared" si="173"/>
        <v>0.36858496559999998</v>
      </c>
      <c r="Y483" s="151">
        <f t="shared" si="174"/>
        <v>0.15783440233236154</v>
      </c>
      <c r="Z483" s="152">
        <f t="shared" si="166"/>
        <v>25.985855999999998</v>
      </c>
      <c r="AA483" s="153">
        <f t="shared" si="167"/>
        <v>0.15783440233236154</v>
      </c>
      <c r="AB483" s="153">
        <f t="shared" si="168"/>
        <v>0.52641936793236155</v>
      </c>
      <c r="AC483" s="154">
        <f t="shared" si="175"/>
        <v>26.143690402332361</v>
      </c>
      <c r="AD483" s="180">
        <f t="shared" si="169"/>
        <v>26.512275367932361</v>
      </c>
      <c r="AE483" s="160"/>
    </row>
    <row r="484" spans="1:31">
      <c r="A484" s="139">
        <v>2</v>
      </c>
      <c r="B484" s="139">
        <f>IFERROR(INDEX(Työkonekanta!$F$3:$F$27,MATCH('S2 Bio'!$A484,Työkonekanta!$A$3:$A$24,0),1),0)</f>
        <v>1</v>
      </c>
      <c r="C484" s="140">
        <v>2035</v>
      </c>
      <c r="D484" s="141" t="str">
        <f>IFERROR(INDEX(Työkonekanta!$D$3:$D$27,MATCH('S2 Bio'!$A484,Työkonekanta!$A$3:$A$24,0),1),"undefined")</f>
        <v>pom</v>
      </c>
      <c r="E484" s="145">
        <f>IFERROR(INDEX(Työkonekanta!$G$3:$G$27,MATCH($A484,Työkonekanta!$A$3:$A$24,0),1)*INDEX(Työkonekanta!$H$3:$H$27,MATCH($A484,Työkonekanta!$A$3:$A$24,0),1)*(1+_xlfn.SINGLE(s2_kerroin)*($C484-2019))*$B484,0)</f>
        <v>11600</v>
      </c>
      <c r="F484" s="145">
        <f t="shared" si="156"/>
        <v>416440</v>
      </c>
      <c r="G484" s="145">
        <f t="shared" si="162"/>
        <v>0</v>
      </c>
      <c r="H484" s="145">
        <f t="shared" si="163"/>
        <v>416440</v>
      </c>
      <c r="I484" s="145">
        <f t="shared" si="157"/>
        <v>0</v>
      </c>
      <c r="J484" s="145">
        <f t="shared" si="158"/>
        <v>12141.107871720118</v>
      </c>
      <c r="K484" s="142" t="str">
        <f t="shared" si="164"/>
        <v>l</v>
      </c>
      <c r="L484" s="146">
        <f>IFERROR(INDEX(Työkonekanta!$I$3:$I$27,MATCH('S2 Bio'!$A484,Työkonekanta!$A$3:$A$24,0),1)*(I484+J484)*f_adblue,0)</f>
        <v>607.05539358600595</v>
      </c>
      <c r="M484" s="146">
        <f t="shared" si="171"/>
        <v>0</v>
      </c>
      <c r="N484" s="143" t="str">
        <f>IF(tuulisähkö_vuosi&lt;='S2 Bio'!C484,"tuulisähkö",ostosähkö_nyt)</f>
        <v>jäännössähkö</v>
      </c>
      <c r="O484" s="147">
        <f>INDEX(Muuttujat!$J$5:$J$21,MATCH($C484,Muuttujat!$H$5:$H$21,0),1)</f>
        <v>58.961085487844883</v>
      </c>
      <c r="P484" s="148">
        <f t="shared" si="165"/>
        <v>0</v>
      </c>
      <c r="Q484" s="148">
        <f t="shared" si="176"/>
        <v>1</v>
      </c>
      <c r="R484" s="148">
        <f t="shared" si="176"/>
        <v>1</v>
      </c>
      <c r="S484" s="149">
        <f t="shared" si="159"/>
        <v>0</v>
      </c>
      <c r="T484" s="150">
        <f t="shared" si="160"/>
        <v>25.985855999999998</v>
      </c>
      <c r="U484" s="150">
        <f t="shared" si="161"/>
        <v>0</v>
      </c>
      <c r="V484" s="150">
        <f>IFERROR(INDEX(Työkonekanta!$J$3:$J$27,MATCH($A484,Työkonekanta!$A$3:$A$24,0),1)*$B484*ef_li_ion_akku/1000/1000/INDEX(Työkonekanta!$K$3:$K$27,MATCH($A484,Työkonekanta!$A$3:$A$24,0)),0)</f>
        <v>0</v>
      </c>
      <c r="W484" s="149">
        <f t="shared" si="172"/>
        <v>0</v>
      </c>
      <c r="X484" s="150">
        <f t="shared" si="173"/>
        <v>0.36858496559999998</v>
      </c>
      <c r="Y484" s="151">
        <f t="shared" si="174"/>
        <v>0.15783440233236154</v>
      </c>
      <c r="Z484" s="152">
        <f t="shared" si="166"/>
        <v>25.985855999999998</v>
      </c>
      <c r="AA484" s="153">
        <f t="shared" si="167"/>
        <v>0.15783440233236154</v>
      </c>
      <c r="AB484" s="153">
        <f t="shared" si="168"/>
        <v>0.52641936793236155</v>
      </c>
      <c r="AC484" s="154">
        <f t="shared" si="175"/>
        <v>26.143690402332361</v>
      </c>
      <c r="AD484" s="180">
        <f t="shared" si="169"/>
        <v>26.512275367932361</v>
      </c>
      <c r="AE484" s="160"/>
    </row>
    <row r="485" spans="1:31">
      <c r="A485" s="139">
        <v>3</v>
      </c>
      <c r="B485" s="139">
        <f>IFERROR(INDEX(Työkonekanta!$F$3:$F$27,MATCH('S2 Bio'!$A485,Työkonekanta!$A$3:$A$24,0),1),0)</f>
        <v>1</v>
      </c>
      <c r="C485" s="140">
        <v>2035</v>
      </c>
      <c r="D485" s="141" t="str">
        <f>IFERROR(INDEX(Työkonekanta!$D$3:$D$27,MATCH('S2 Bio'!$A485,Työkonekanta!$A$3:$A$24,0),1),"undefined")</f>
        <v>pom</v>
      </c>
      <c r="E485" s="145">
        <f>IFERROR(INDEX(Työkonekanta!$G$3:$G$27,MATCH($A485,Työkonekanta!$A$3:$A$24,0),1)*INDEX(Työkonekanta!$H$3:$H$27,MATCH($A485,Työkonekanta!$A$3:$A$24,0),1)*(1+_xlfn.SINGLE(s2_kerroin)*($C485-2019))*$B485,0)</f>
        <v>11600</v>
      </c>
      <c r="F485" s="145">
        <f t="shared" si="156"/>
        <v>416440</v>
      </c>
      <c r="G485" s="145">
        <f t="shared" si="162"/>
        <v>0</v>
      </c>
      <c r="H485" s="145">
        <f t="shared" si="163"/>
        <v>416440</v>
      </c>
      <c r="I485" s="145">
        <f t="shared" si="157"/>
        <v>0</v>
      </c>
      <c r="J485" s="145">
        <f t="shared" si="158"/>
        <v>12141.107871720118</v>
      </c>
      <c r="K485" s="142" t="str">
        <f t="shared" si="164"/>
        <v>l</v>
      </c>
      <c r="L485" s="146">
        <f>IFERROR(INDEX(Työkonekanta!$I$3:$I$27,MATCH('S2 Bio'!$A485,Työkonekanta!$A$3:$A$24,0),1)*(I485+J485)*f_adblue,0)</f>
        <v>607.05539358600595</v>
      </c>
      <c r="M485" s="146">
        <f t="shared" si="171"/>
        <v>0</v>
      </c>
      <c r="N485" s="143" t="str">
        <f>IF(tuulisähkö_vuosi&lt;='S2 Bio'!C485,"tuulisähkö",ostosähkö_nyt)</f>
        <v>jäännössähkö</v>
      </c>
      <c r="O485" s="147">
        <f>INDEX(Muuttujat!$J$5:$J$21,MATCH($C485,Muuttujat!$H$5:$H$21,0),1)</f>
        <v>58.961085487844883</v>
      </c>
      <c r="P485" s="148">
        <f t="shared" si="165"/>
        <v>0</v>
      </c>
      <c r="Q485" s="148">
        <f t="shared" si="176"/>
        <v>1</v>
      </c>
      <c r="R485" s="148">
        <f t="shared" si="176"/>
        <v>1</v>
      </c>
      <c r="S485" s="149">
        <f t="shared" si="159"/>
        <v>0</v>
      </c>
      <c r="T485" s="150">
        <f t="shared" si="160"/>
        <v>25.985855999999998</v>
      </c>
      <c r="U485" s="150">
        <f t="shared" si="161"/>
        <v>0</v>
      </c>
      <c r="V485" s="150">
        <f>IFERROR(INDEX(Työkonekanta!$J$3:$J$27,MATCH($A485,Työkonekanta!$A$3:$A$24,0),1)*$B485*ef_li_ion_akku/1000/1000/INDEX(Työkonekanta!$K$3:$K$27,MATCH($A485,Työkonekanta!$A$3:$A$24,0)),0)</f>
        <v>0</v>
      </c>
      <c r="W485" s="149">
        <f t="shared" si="172"/>
        <v>0</v>
      </c>
      <c r="X485" s="150">
        <f t="shared" si="173"/>
        <v>0.36858496559999998</v>
      </c>
      <c r="Y485" s="151">
        <f t="shared" si="174"/>
        <v>0.15783440233236154</v>
      </c>
      <c r="Z485" s="152">
        <f t="shared" si="166"/>
        <v>25.985855999999998</v>
      </c>
      <c r="AA485" s="153">
        <f t="shared" si="167"/>
        <v>0.15783440233236154</v>
      </c>
      <c r="AB485" s="153">
        <f t="shared" si="168"/>
        <v>0.52641936793236155</v>
      </c>
      <c r="AC485" s="154">
        <f t="shared" si="175"/>
        <v>26.143690402332361</v>
      </c>
      <c r="AD485" s="180">
        <f t="shared" si="169"/>
        <v>26.512275367932361</v>
      </c>
      <c r="AE485" s="160"/>
    </row>
    <row r="486" spans="1:31">
      <c r="A486" s="139">
        <v>4</v>
      </c>
      <c r="B486" s="139">
        <f>IFERROR(INDEX(Työkonekanta!$F$3:$F$27,MATCH('S2 Bio'!$A486,Työkonekanta!$A$3:$A$24,0),1),0)</f>
        <v>1</v>
      </c>
      <c r="C486" s="140">
        <v>2035</v>
      </c>
      <c r="D486" s="141" t="str">
        <f>IFERROR(INDEX(Työkonekanta!$D$3:$D$27,MATCH('S2 Bio'!$A486,Työkonekanta!$A$3:$A$24,0),1),"undefined")</f>
        <v>pom</v>
      </c>
      <c r="E486" s="145">
        <f>IFERROR(INDEX(Työkonekanta!$G$3:$G$27,MATCH($A486,Työkonekanta!$A$3:$A$24,0),1)*INDEX(Työkonekanta!$H$3:$H$27,MATCH($A486,Työkonekanta!$A$3:$A$24,0),1)*(1+_xlfn.SINGLE(s2_kerroin)*($C486-2019))*$B486,0)</f>
        <v>11600</v>
      </c>
      <c r="F486" s="145">
        <f t="shared" si="156"/>
        <v>416440</v>
      </c>
      <c r="G486" s="145">
        <f t="shared" si="162"/>
        <v>0</v>
      </c>
      <c r="H486" s="145">
        <f t="shared" si="163"/>
        <v>416440</v>
      </c>
      <c r="I486" s="145">
        <f t="shared" si="157"/>
        <v>0</v>
      </c>
      <c r="J486" s="145">
        <f t="shared" si="158"/>
        <v>12141.107871720118</v>
      </c>
      <c r="K486" s="142" t="str">
        <f t="shared" si="164"/>
        <v>l</v>
      </c>
      <c r="L486" s="146">
        <f>IFERROR(INDEX(Työkonekanta!$I$3:$I$27,MATCH('S2 Bio'!$A486,Työkonekanta!$A$3:$A$24,0),1)*(I486+J486)*f_adblue,0)</f>
        <v>607.05539358600595</v>
      </c>
      <c r="M486" s="146">
        <f t="shared" si="171"/>
        <v>0</v>
      </c>
      <c r="N486" s="143" t="str">
        <f>IF(tuulisähkö_vuosi&lt;='S2 Bio'!C486,"tuulisähkö",ostosähkö_nyt)</f>
        <v>jäännössähkö</v>
      </c>
      <c r="O486" s="147">
        <f>INDEX(Muuttujat!$J$5:$J$21,MATCH($C486,Muuttujat!$H$5:$H$21,0),1)</f>
        <v>58.961085487844883</v>
      </c>
      <c r="P486" s="148">
        <f t="shared" si="165"/>
        <v>0</v>
      </c>
      <c r="Q486" s="148">
        <f t="shared" si="176"/>
        <v>1</v>
      </c>
      <c r="R486" s="148">
        <f t="shared" si="176"/>
        <v>1</v>
      </c>
      <c r="S486" s="149">
        <f t="shared" si="159"/>
        <v>0</v>
      </c>
      <c r="T486" s="150">
        <f t="shared" si="160"/>
        <v>25.985855999999998</v>
      </c>
      <c r="U486" s="150">
        <f t="shared" si="161"/>
        <v>0</v>
      </c>
      <c r="V486" s="150">
        <f>IFERROR(INDEX(Työkonekanta!$J$3:$J$27,MATCH($A486,Työkonekanta!$A$3:$A$24,0),1)*$B486*ef_li_ion_akku/1000/1000/INDEX(Työkonekanta!$K$3:$K$27,MATCH($A486,Työkonekanta!$A$3:$A$24,0)),0)</f>
        <v>0</v>
      </c>
      <c r="W486" s="149">
        <f t="shared" si="172"/>
        <v>0</v>
      </c>
      <c r="X486" s="150">
        <f t="shared" si="173"/>
        <v>0.36858496559999998</v>
      </c>
      <c r="Y486" s="151">
        <f t="shared" si="174"/>
        <v>0.15783440233236154</v>
      </c>
      <c r="Z486" s="152">
        <f t="shared" si="166"/>
        <v>25.985855999999998</v>
      </c>
      <c r="AA486" s="153">
        <f t="shared" si="167"/>
        <v>0.15783440233236154</v>
      </c>
      <c r="AB486" s="153">
        <f t="shared" si="168"/>
        <v>0.52641936793236155</v>
      </c>
      <c r="AC486" s="154">
        <f t="shared" si="175"/>
        <v>26.143690402332361</v>
      </c>
      <c r="AD486" s="180">
        <f t="shared" si="169"/>
        <v>26.512275367932361</v>
      </c>
      <c r="AE486" s="160"/>
    </row>
    <row r="487" spans="1:31">
      <c r="A487" s="139">
        <v>5</v>
      </c>
      <c r="B487" s="139">
        <f>IFERROR(INDEX(Työkonekanta!$F$3:$F$27,MATCH('S2 Bio'!$A487,Työkonekanta!$A$3:$A$24,0),1),0)</f>
        <v>0</v>
      </c>
      <c r="C487" s="140">
        <v>2035</v>
      </c>
      <c r="D487" s="141" t="str">
        <f>IFERROR(INDEX(Työkonekanta!$D$3:$D$27,MATCH('S2 Bio'!$A487,Työkonekanta!$A$3:$A$24,0),1),"undefined")</f>
        <v>sähkö</v>
      </c>
      <c r="E487" s="145">
        <f>IFERROR(INDEX(Työkonekanta!$G$3:$G$27,MATCH($A487,Työkonekanta!$A$3:$A$24,0),1)*INDEX(Työkonekanta!$H$3:$H$27,MATCH($A487,Työkonekanta!$A$3:$A$24,0),1)*(1+_xlfn.SINGLE(s2_kerroin)*($C487-2019))*$B487,0)</f>
        <v>0</v>
      </c>
      <c r="F487" s="145">
        <f t="shared" si="156"/>
        <v>0</v>
      </c>
      <c r="G487" s="145">
        <f t="shared" si="162"/>
        <v>0</v>
      </c>
      <c r="H487" s="145">
        <f t="shared" si="163"/>
        <v>0</v>
      </c>
      <c r="I487" s="145">
        <f t="shared" si="157"/>
        <v>0</v>
      </c>
      <c r="J487" s="145">
        <f t="shared" si="158"/>
        <v>0</v>
      </c>
      <c r="K487" s="142" t="str">
        <f t="shared" si="164"/>
        <v>kWh</v>
      </c>
      <c r="L487" s="146">
        <f>IFERROR(INDEX(Työkonekanta!$I$3:$I$27,MATCH('S2 Bio'!$A487,Työkonekanta!$A$3:$A$24,0),1)*(I487+J487)*f_adblue,0)</f>
        <v>0</v>
      </c>
      <c r="M487" s="146">
        <f t="shared" si="171"/>
        <v>0</v>
      </c>
      <c r="N487" s="143" t="str">
        <f>IF(tuulisähkö_vuosi&lt;='S2 Bio'!C487,"tuulisähkö",ostosähkö_nyt)</f>
        <v>jäännössähkö</v>
      </c>
      <c r="O487" s="147">
        <f>INDEX(Muuttujat!$J$5:$J$21,MATCH($C487,Muuttujat!$H$5:$H$21,0),1)</f>
        <v>58.961085487844883</v>
      </c>
      <c r="P487" s="148">
        <f t="shared" si="165"/>
        <v>0</v>
      </c>
      <c r="Q487" s="148">
        <f t="shared" si="176"/>
        <v>1</v>
      </c>
      <c r="R487" s="148">
        <f t="shared" si="176"/>
        <v>1</v>
      </c>
      <c r="S487" s="149">
        <f t="shared" si="159"/>
        <v>0</v>
      </c>
      <c r="T487" s="150">
        <f t="shared" si="160"/>
        <v>0</v>
      </c>
      <c r="U487" s="150">
        <f t="shared" si="161"/>
        <v>0</v>
      </c>
      <c r="V487" s="150">
        <f>IFERROR(INDEX(Työkonekanta!$J$3:$J$27,MATCH($A487,Työkonekanta!$A$3:$A$24,0),1)*$B487*ef_li_ion_akku/1000/1000/INDEX(Työkonekanta!$K$3:$K$27,MATCH($A487,Työkonekanta!$A$3:$A$24,0)),0)</f>
        <v>0</v>
      </c>
      <c r="W487" s="149">
        <f t="shared" si="172"/>
        <v>0</v>
      </c>
      <c r="X487" s="150">
        <f t="shared" si="173"/>
        <v>0</v>
      </c>
      <c r="Y487" s="151">
        <f t="shared" si="174"/>
        <v>0</v>
      </c>
      <c r="Z487" s="152">
        <f t="shared" si="166"/>
        <v>0</v>
      </c>
      <c r="AA487" s="153">
        <f t="shared" si="167"/>
        <v>0</v>
      </c>
      <c r="AB487" s="153">
        <f t="shared" si="168"/>
        <v>0</v>
      </c>
      <c r="AC487" s="154">
        <f t="shared" si="175"/>
        <v>0</v>
      </c>
      <c r="AD487" s="180">
        <f t="shared" si="169"/>
        <v>0</v>
      </c>
      <c r="AE487" s="160"/>
    </row>
    <row r="488" spans="1:31">
      <c r="A488" s="139">
        <v>6</v>
      </c>
      <c r="B488" s="139">
        <f>IFERROR(INDEX(Työkonekanta!$F$3:$F$27,MATCH('S2 Bio'!$A488,Työkonekanta!$A$3:$A$24,0),1),0)</f>
        <v>0</v>
      </c>
      <c r="C488" s="140">
        <v>2035</v>
      </c>
      <c r="D488" s="141" t="str">
        <f>IFERROR(INDEX(Työkonekanta!$D$3:$D$27,MATCH('S2 Bio'!$A488,Työkonekanta!$A$3:$A$24,0),1),"undefined")</f>
        <v>sähkö</v>
      </c>
      <c r="E488" s="145">
        <f>IFERROR(INDEX(Työkonekanta!$G$3:$G$27,MATCH($A488,Työkonekanta!$A$3:$A$24,0),1)*INDEX(Työkonekanta!$H$3:$H$27,MATCH($A488,Työkonekanta!$A$3:$A$24,0),1)*(1+_xlfn.SINGLE(s2_kerroin)*($C488-2019))*$B488,0)</f>
        <v>0</v>
      </c>
      <c r="F488" s="145">
        <f t="shared" si="156"/>
        <v>0</v>
      </c>
      <c r="G488" s="145">
        <f t="shared" si="162"/>
        <v>0</v>
      </c>
      <c r="H488" s="145">
        <f t="shared" si="163"/>
        <v>0</v>
      </c>
      <c r="I488" s="145">
        <f t="shared" si="157"/>
        <v>0</v>
      </c>
      <c r="J488" s="145">
        <f t="shared" si="158"/>
        <v>0</v>
      </c>
      <c r="K488" s="142" t="str">
        <f t="shared" si="164"/>
        <v>kWh</v>
      </c>
      <c r="L488" s="146">
        <f>IFERROR(INDEX(Työkonekanta!$I$3:$I$27,MATCH('S2 Bio'!$A488,Työkonekanta!$A$3:$A$24,0),1)*(I488+J488)*f_adblue,0)</f>
        <v>0</v>
      </c>
      <c r="M488" s="146">
        <f t="shared" si="171"/>
        <v>0</v>
      </c>
      <c r="N488" s="143" t="str">
        <f>IF(tuulisähkö_vuosi&lt;='S2 Bio'!C488,"tuulisähkö",ostosähkö_nyt)</f>
        <v>jäännössähkö</v>
      </c>
      <c r="O488" s="147">
        <f>INDEX(Muuttujat!$J$5:$J$21,MATCH($C488,Muuttujat!$H$5:$H$21,0),1)</f>
        <v>58.961085487844883</v>
      </c>
      <c r="P488" s="148">
        <f t="shared" si="165"/>
        <v>0</v>
      </c>
      <c r="Q488" s="148">
        <f t="shared" si="176"/>
        <v>1</v>
      </c>
      <c r="R488" s="148">
        <f t="shared" si="176"/>
        <v>1</v>
      </c>
      <c r="S488" s="149">
        <f t="shared" si="159"/>
        <v>0</v>
      </c>
      <c r="T488" s="150">
        <f t="shared" si="160"/>
        <v>0</v>
      </c>
      <c r="U488" s="150">
        <f t="shared" si="161"/>
        <v>0</v>
      </c>
      <c r="V488" s="150">
        <f>IFERROR(INDEX(Työkonekanta!$J$3:$J$27,MATCH($A488,Työkonekanta!$A$3:$A$24,0),1)*$B488*ef_li_ion_akku/1000/1000/INDEX(Työkonekanta!$K$3:$K$27,MATCH($A488,Työkonekanta!$A$3:$A$24,0)),0)</f>
        <v>0</v>
      </c>
      <c r="W488" s="149">
        <f t="shared" si="172"/>
        <v>0</v>
      </c>
      <c r="X488" s="150">
        <f t="shared" si="173"/>
        <v>0</v>
      </c>
      <c r="Y488" s="151">
        <f t="shared" si="174"/>
        <v>0</v>
      </c>
      <c r="Z488" s="152">
        <f t="shared" si="166"/>
        <v>0</v>
      </c>
      <c r="AA488" s="153">
        <f t="shared" si="167"/>
        <v>0</v>
      </c>
      <c r="AB488" s="153">
        <f t="shared" si="168"/>
        <v>0</v>
      </c>
      <c r="AC488" s="154">
        <f t="shared" si="175"/>
        <v>0</v>
      </c>
      <c r="AD488" s="180">
        <f t="shared" si="169"/>
        <v>0</v>
      </c>
      <c r="AE488" s="160"/>
    </row>
    <row r="489" spans="1:31">
      <c r="A489" s="139">
        <v>7</v>
      </c>
      <c r="B489" s="139">
        <f>IFERROR(INDEX(Työkonekanta!$F$3:$F$27,MATCH('S2 Bio'!$A489,Työkonekanta!$A$3:$A$24,0),1),0)</f>
        <v>1</v>
      </c>
      <c r="C489" s="140">
        <v>2035</v>
      </c>
      <c r="D489" s="141" t="str">
        <f>IFERROR(INDEX(Työkonekanta!$D$3:$D$27,MATCH('S2 Bio'!$A489,Työkonekanta!$A$3:$A$24,0),1),"undefined")</f>
        <v>pom</v>
      </c>
      <c r="E489" s="145">
        <f>IFERROR(INDEX(Työkonekanta!$G$3:$G$27,MATCH($A489,Työkonekanta!$A$3:$A$24,0),1)*INDEX(Työkonekanta!$H$3:$H$27,MATCH($A489,Työkonekanta!$A$3:$A$24,0),1)*(1+_xlfn.SINGLE(s2_kerroin)*($C489-2019))*$B489,0)</f>
        <v>11600</v>
      </c>
      <c r="F489" s="145">
        <f t="shared" si="156"/>
        <v>416440</v>
      </c>
      <c r="G489" s="145">
        <f t="shared" si="162"/>
        <v>0</v>
      </c>
      <c r="H489" s="145">
        <f t="shared" si="163"/>
        <v>416440</v>
      </c>
      <c r="I489" s="145">
        <f t="shared" si="157"/>
        <v>0</v>
      </c>
      <c r="J489" s="145">
        <f t="shared" si="158"/>
        <v>12141.107871720118</v>
      </c>
      <c r="K489" s="142" t="str">
        <f t="shared" si="164"/>
        <v>l</v>
      </c>
      <c r="L489" s="146">
        <f>IFERROR(INDEX(Työkonekanta!$I$3:$I$27,MATCH('S2 Bio'!$A489,Työkonekanta!$A$3:$A$24,0),1)*(I489+J489)*f_adblue,0)</f>
        <v>0</v>
      </c>
      <c r="M489" s="146">
        <f t="shared" si="171"/>
        <v>0</v>
      </c>
      <c r="N489" s="143" t="str">
        <f>IF(tuulisähkö_vuosi&lt;='S2 Bio'!C489,"tuulisähkö",ostosähkö_nyt)</f>
        <v>jäännössähkö</v>
      </c>
      <c r="O489" s="147">
        <f>INDEX(Muuttujat!$J$5:$J$21,MATCH($C489,Muuttujat!$H$5:$H$21,0),1)</f>
        <v>58.961085487844883</v>
      </c>
      <c r="P489" s="148">
        <f t="shared" si="165"/>
        <v>0</v>
      </c>
      <c r="Q489" s="148">
        <f t="shared" si="176"/>
        <v>1</v>
      </c>
      <c r="R489" s="148">
        <f t="shared" si="176"/>
        <v>1</v>
      </c>
      <c r="S489" s="149">
        <f t="shared" si="159"/>
        <v>0</v>
      </c>
      <c r="T489" s="150">
        <f t="shared" si="160"/>
        <v>25.985855999999998</v>
      </c>
      <c r="U489" s="150">
        <f t="shared" si="161"/>
        <v>0</v>
      </c>
      <c r="V489" s="150">
        <f>IFERROR(INDEX(Työkonekanta!$J$3:$J$27,MATCH($A489,Työkonekanta!$A$3:$A$24,0),1)*$B489*ef_li_ion_akku/1000/1000/INDEX(Työkonekanta!$K$3:$K$27,MATCH($A489,Työkonekanta!$A$3:$A$24,0)),0)</f>
        <v>0</v>
      </c>
      <c r="W489" s="149">
        <f t="shared" si="172"/>
        <v>0</v>
      </c>
      <c r="X489" s="150">
        <f t="shared" si="173"/>
        <v>0.36858496559999998</v>
      </c>
      <c r="Y489" s="151">
        <f t="shared" si="174"/>
        <v>0</v>
      </c>
      <c r="Z489" s="152">
        <f t="shared" si="166"/>
        <v>25.985855999999998</v>
      </c>
      <c r="AA489" s="153">
        <f t="shared" si="167"/>
        <v>0</v>
      </c>
      <c r="AB489" s="153">
        <f t="shared" si="168"/>
        <v>0.36858496559999998</v>
      </c>
      <c r="AC489" s="154">
        <f t="shared" si="175"/>
        <v>25.985855999999998</v>
      </c>
      <c r="AD489" s="180">
        <f t="shared" si="169"/>
        <v>26.354440965599998</v>
      </c>
      <c r="AE489" s="160"/>
    </row>
    <row r="490" spans="1:31">
      <c r="A490" s="139">
        <v>8</v>
      </c>
      <c r="B490" s="139">
        <f>IFERROR(INDEX(Työkonekanta!$F$3:$F$27,MATCH('S2 Bio'!$A490,Työkonekanta!$A$3:$A$24,0),1),0)</f>
        <v>1</v>
      </c>
      <c r="C490" s="140">
        <v>2035</v>
      </c>
      <c r="D490" s="141" t="str">
        <f>IFERROR(INDEX(Työkonekanta!$D$3:$D$27,MATCH('S2 Bio'!$A490,Työkonekanta!$A$3:$A$24,0),1),"undefined")</f>
        <v>pom</v>
      </c>
      <c r="E490" s="145">
        <f>IFERROR(INDEX(Työkonekanta!$G$3:$G$27,MATCH($A490,Työkonekanta!$A$3:$A$24,0),1)*INDEX(Työkonekanta!$H$3:$H$27,MATCH($A490,Työkonekanta!$A$3:$A$24,0),1)*(1+_xlfn.SINGLE(s2_kerroin)*($C490-2019))*$B490,0)</f>
        <v>11600</v>
      </c>
      <c r="F490" s="145">
        <f t="shared" si="156"/>
        <v>416440</v>
      </c>
      <c r="G490" s="145">
        <f t="shared" si="162"/>
        <v>0</v>
      </c>
      <c r="H490" s="145">
        <f t="shared" si="163"/>
        <v>416440</v>
      </c>
      <c r="I490" s="145">
        <f t="shared" si="157"/>
        <v>0</v>
      </c>
      <c r="J490" s="145">
        <f t="shared" si="158"/>
        <v>12141.107871720118</v>
      </c>
      <c r="K490" s="142" t="str">
        <f t="shared" si="164"/>
        <v>l</v>
      </c>
      <c r="L490" s="146">
        <f>IFERROR(INDEX(Työkonekanta!$I$3:$I$27,MATCH('S2 Bio'!$A490,Työkonekanta!$A$3:$A$24,0),1)*(I490+J490)*f_adblue,0)</f>
        <v>607.05539358600595</v>
      </c>
      <c r="M490" s="146">
        <f t="shared" si="171"/>
        <v>0</v>
      </c>
      <c r="N490" s="143" t="str">
        <f>IF(tuulisähkö_vuosi&lt;='S2 Bio'!C490,"tuulisähkö",ostosähkö_nyt)</f>
        <v>jäännössähkö</v>
      </c>
      <c r="O490" s="147">
        <f>INDEX(Muuttujat!$J$5:$J$21,MATCH($C490,Muuttujat!$H$5:$H$21,0),1)</f>
        <v>58.961085487844883</v>
      </c>
      <c r="P490" s="148">
        <f t="shared" si="165"/>
        <v>0</v>
      </c>
      <c r="Q490" s="148">
        <f t="shared" si="176"/>
        <v>1</v>
      </c>
      <c r="R490" s="148">
        <f t="shared" si="176"/>
        <v>1</v>
      </c>
      <c r="S490" s="149">
        <f t="shared" si="159"/>
        <v>0</v>
      </c>
      <c r="T490" s="150">
        <f t="shared" si="160"/>
        <v>25.985855999999998</v>
      </c>
      <c r="U490" s="150">
        <f t="shared" si="161"/>
        <v>0</v>
      </c>
      <c r="V490" s="150">
        <f>IFERROR(INDEX(Työkonekanta!$J$3:$J$27,MATCH($A490,Työkonekanta!$A$3:$A$24,0),1)*$B490*ef_li_ion_akku/1000/1000/INDEX(Työkonekanta!$K$3:$K$27,MATCH($A490,Työkonekanta!$A$3:$A$24,0)),0)</f>
        <v>0</v>
      </c>
      <c r="W490" s="149">
        <f t="shared" si="172"/>
        <v>0</v>
      </c>
      <c r="X490" s="150">
        <f t="shared" si="173"/>
        <v>0.36858496559999998</v>
      </c>
      <c r="Y490" s="151">
        <f t="shared" si="174"/>
        <v>0.15783440233236154</v>
      </c>
      <c r="Z490" s="152">
        <f t="shared" si="166"/>
        <v>25.985855999999998</v>
      </c>
      <c r="AA490" s="153">
        <f t="shared" si="167"/>
        <v>0.15783440233236154</v>
      </c>
      <c r="AB490" s="153">
        <f t="shared" si="168"/>
        <v>0.52641936793236155</v>
      </c>
      <c r="AC490" s="154">
        <f t="shared" si="175"/>
        <v>26.143690402332361</v>
      </c>
      <c r="AD490" s="180">
        <f t="shared" si="169"/>
        <v>26.512275367932361</v>
      </c>
      <c r="AE490" s="160"/>
    </row>
    <row r="491" spans="1:31">
      <c r="A491" s="139">
        <v>9</v>
      </c>
      <c r="B491" s="139">
        <f>IFERROR(INDEX(Työkonekanta!$F$3:$F$27,MATCH('S2 Bio'!$A491,Työkonekanta!$A$3:$A$24,0),1),0)</f>
        <v>0</v>
      </c>
      <c r="C491" s="140">
        <v>2035</v>
      </c>
      <c r="D491" s="141" t="str">
        <f>IFERROR(INDEX(Työkonekanta!$D$3:$D$27,MATCH('S2 Bio'!$A491,Työkonekanta!$A$3:$A$24,0),1),"undefined")</f>
        <v>sähkö</v>
      </c>
      <c r="E491" s="145">
        <f>IFERROR(INDEX(Työkonekanta!$G$3:$G$27,MATCH($A491,Työkonekanta!$A$3:$A$24,0),1)*INDEX(Työkonekanta!$H$3:$H$27,MATCH($A491,Työkonekanta!$A$3:$A$24,0),1)*(1+_xlfn.SINGLE(s2_kerroin)*($C491-2019))*$B491,0)</f>
        <v>0</v>
      </c>
      <c r="F491" s="145">
        <f t="shared" si="156"/>
        <v>0</v>
      </c>
      <c r="G491" s="145">
        <f t="shared" si="162"/>
        <v>0</v>
      </c>
      <c r="H491" s="145">
        <f t="shared" si="163"/>
        <v>0</v>
      </c>
      <c r="I491" s="145">
        <f t="shared" si="157"/>
        <v>0</v>
      </c>
      <c r="J491" s="145">
        <f t="shared" si="158"/>
        <v>0</v>
      </c>
      <c r="K491" s="142" t="str">
        <f t="shared" si="164"/>
        <v>kWh</v>
      </c>
      <c r="L491" s="146">
        <f>IFERROR(INDEX(Työkonekanta!$I$3:$I$27,MATCH('S2 Bio'!$A491,Työkonekanta!$A$3:$A$24,0),1)*(I491+J491)*f_adblue,0)</f>
        <v>0</v>
      </c>
      <c r="M491" s="146">
        <f t="shared" si="171"/>
        <v>0</v>
      </c>
      <c r="N491" s="143" t="str">
        <f>IF(tuulisähkö_vuosi&lt;='S2 Bio'!C491,"tuulisähkö",ostosähkö_nyt)</f>
        <v>jäännössähkö</v>
      </c>
      <c r="O491" s="147">
        <f>INDEX(Muuttujat!$J$5:$J$21,MATCH($C491,Muuttujat!$H$5:$H$21,0),1)</f>
        <v>58.961085487844883</v>
      </c>
      <c r="P491" s="148">
        <f t="shared" si="165"/>
        <v>0</v>
      </c>
      <c r="Q491" s="148">
        <f t="shared" si="176"/>
        <v>1</v>
      </c>
      <c r="R491" s="148">
        <f t="shared" si="176"/>
        <v>1</v>
      </c>
      <c r="S491" s="149">
        <f t="shared" si="159"/>
        <v>0</v>
      </c>
      <c r="T491" s="150">
        <f t="shared" si="160"/>
        <v>0</v>
      </c>
      <c r="U491" s="150">
        <f t="shared" si="161"/>
        <v>0</v>
      </c>
      <c r="V491" s="150">
        <f>IFERROR(INDEX(Työkonekanta!$J$3:$J$27,MATCH($A491,Työkonekanta!$A$3:$A$24,0),1)*$B491*ef_li_ion_akku/1000/1000/INDEX(Työkonekanta!$K$3:$K$27,MATCH($A491,Työkonekanta!$A$3:$A$24,0)),0)</f>
        <v>0</v>
      </c>
      <c r="W491" s="149">
        <f t="shared" si="172"/>
        <v>0</v>
      </c>
      <c r="X491" s="150">
        <f t="shared" si="173"/>
        <v>0</v>
      </c>
      <c r="Y491" s="151">
        <f t="shared" si="174"/>
        <v>0</v>
      </c>
      <c r="Z491" s="152">
        <f t="shared" si="166"/>
        <v>0</v>
      </c>
      <c r="AA491" s="153">
        <f t="shared" si="167"/>
        <v>0</v>
      </c>
      <c r="AB491" s="153">
        <f t="shared" si="168"/>
        <v>0</v>
      </c>
      <c r="AC491" s="154">
        <f t="shared" si="175"/>
        <v>0</v>
      </c>
      <c r="AD491" s="180">
        <f t="shared" si="169"/>
        <v>0</v>
      </c>
      <c r="AE491" s="160"/>
    </row>
    <row r="492" spans="1:31">
      <c r="A492" s="139">
        <v>10</v>
      </c>
      <c r="B492" s="139">
        <f>IFERROR(INDEX(Työkonekanta!$F$3:$F$27,MATCH('S2 Bio'!$A492,Työkonekanta!$A$3:$A$24,0),1),0)</f>
        <v>0</v>
      </c>
      <c r="C492" s="140">
        <v>2035</v>
      </c>
      <c r="D492" s="141" t="str">
        <f>IFERROR(INDEX(Työkonekanta!$D$3:$D$27,MATCH('S2 Bio'!$A492,Työkonekanta!$A$3:$A$24,0),1),"undefined")</f>
        <v>sähkö</v>
      </c>
      <c r="E492" s="145">
        <f>IFERROR(INDEX(Työkonekanta!$G$3:$G$27,MATCH($A492,Työkonekanta!$A$3:$A$24,0),1)*INDEX(Työkonekanta!$H$3:$H$27,MATCH($A492,Työkonekanta!$A$3:$A$24,0),1)*(1+_xlfn.SINGLE(s2_kerroin)*($C492-2019))*$B492,0)</f>
        <v>0</v>
      </c>
      <c r="F492" s="145">
        <f t="shared" si="156"/>
        <v>0</v>
      </c>
      <c r="G492" s="145">
        <f t="shared" si="162"/>
        <v>0</v>
      </c>
      <c r="H492" s="145">
        <f t="shared" si="163"/>
        <v>0</v>
      </c>
      <c r="I492" s="145">
        <f t="shared" si="157"/>
        <v>0</v>
      </c>
      <c r="J492" s="145">
        <f t="shared" si="158"/>
        <v>0</v>
      </c>
      <c r="K492" s="142" t="str">
        <f t="shared" si="164"/>
        <v>kWh</v>
      </c>
      <c r="L492" s="146">
        <f>IFERROR(INDEX(Työkonekanta!$I$3:$I$27,MATCH('S2 Bio'!$A492,Työkonekanta!$A$3:$A$24,0),1)*(I492+J492)*f_adblue,0)</f>
        <v>0</v>
      </c>
      <c r="M492" s="146">
        <f t="shared" si="171"/>
        <v>0</v>
      </c>
      <c r="N492" s="143" t="str">
        <f>IF(tuulisähkö_vuosi&lt;='S2 Bio'!C492,"tuulisähkö",ostosähkö_nyt)</f>
        <v>jäännössähkö</v>
      </c>
      <c r="O492" s="147">
        <f>INDEX(Muuttujat!$J$5:$J$21,MATCH($C492,Muuttujat!$H$5:$H$21,0),1)</f>
        <v>58.961085487844883</v>
      </c>
      <c r="P492" s="148">
        <f t="shared" si="165"/>
        <v>0</v>
      </c>
      <c r="Q492" s="148">
        <f t="shared" si="176"/>
        <v>1</v>
      </c>
      <c r="R492" s="148">
        <f t="shared" si="176"/>
        <v>1</v>
      </c>
      <c r="S492" s="149">
        <f t="shared" si="159"/>
        <v>0</v>
      </c>
      <c r="T492" s="150">
        <f t="shared" si="160"/>
        <v>0</v>
      </c>
      <c r="U492" s="150">
        <f t="shared" si="161"/>
        <v>0</v>
      </c>
      <c r="V492" s="150">
        <f>IFERROR(INDEX(Työkonekanta!$J$3:$J$27,MATCH($A492,Työkonekanta!$A$3:$A$24,0),1)*$B492*ef_li_ion_akku/1000/1000/INDEX(Työkonekanta!$K$3:$K$27,MATCH($A492,Työkonekanta!$A$3:$A$24,0)),0)</f>
        <v>0</v>
      </c>
      <c r="W492" s="149">
        <f t="shared" si="172"/>
        <v>0</v>
      </c>
      <c r="X492" s="150">
        <f t="shared" si="173"/>
        <v>0</v>
      </c>
      <c r="Y492" s="151">
        <f t="shared" si="174"/>
        <v>0</v>
      </c>
      <c r="Z492" s="152">
        <f t="shared" si="166"/>
        <v>0</v>
      </c>
      <c r="AA492" s="153">
        <f t="shared" si="167"/>
        <v>0</v>
      </c>
      <c r="AB492" s="153">
        <f t="shared" si="168"/>
        <v>0</v>
      </c>
      <c r="AC492" s="154">
        <f t="shared" si="175"/>
        <v>0</v>
      </c>
      <c r="AD492" s="180">
        <f t="shared" si="169"/>
        <v>0</v>
      </c>
      <c r="AE492" s="160"/>
    </row>
    <row r="493" spans="1:31">
      <c r="A493" s="139">
        <v>11</v>
      </c>
      <c r="B493" s="139">
        <f>IFERROR(INDEX(Työkonekanta!$F$3:$F$27,MATCH('S2 Bio'!$A493,Työkonekanta!$A$3:$A$24,0),1),0)</f>
        <v>1</v>
      </c>
      <c r="C493" s="140">
        <v>2035</v>
      </c>
      <c r="D493" s="141" t="str">
        <f>IFERROR(INDEX(Työkonekanta!$D$3:$D$27,MATCH('S2 Bio'!$A493,Työkonekanta!$A$3:$A$24,0),1),"undefined")</f>
        <v>pom</v>
      </c>
      <c r="E493" s="145">
        <f>IFERROR(INDEX(Työkonekanta!$G$3:$G$27,MATCH($A493,Työkonekanta!$A$3:$A$24,0),1)*INDEX(Työkonekanta!$H$3:$H$27,MATCH($A493,Työkonekanta!$A$3:$A$24,0),1)*(1+_xlfn.SINGLE(s2_kerroin)*($C493-2019))*$B493,0)</f>
        <v>11600</v>
      </c>
      <c r="F493" s="145">
        <f t="shared" si="156"/>
        <v>416440</v>
      </c>
      <c r="G493" s="145">
        <f t="shared" si="162"/>
        <v>0</v>
      </c>
      <c r="H493" s="145">
        <f t="shared" si="163"/>
        <v>416440</v>
      </c>
      <c r="I493" s="145">
        <f t="shared" si="157"/>
        <v>0</v>
      </c>
      <c r="J493" s="145">
        <f t="shared" si="158"/>
        <v>12141.107871720118</v>
      </c>
      <c r="K493" s="142" t="str">
        <f t="shared" si="164"/>
        <v>l</v>
      </c>
      <c r="L493" s="146">
        <f>IFERROR(INDEX(Työkonekanta!$I$3:$I$27,MATCH('S2 Bio'!$A493,Työkonekanta!$A$3:$A$24,0),1)*(I493+J493)*f_adblue,0)</f>
        <v>607.05539358600595</v>
      </c>
      <c r="M493" s="146">
        <f t="shared" si="171"/>
        <v>0</v>
      </c>
      <c r="N493" s="143" t="str">
        <f>IF(tuulisähkö_vuosi&lt;='S2 Bio'!C493,"tuulisähkö",ostosähkö_nyt)</f>
        <v>jäännössähkö</v>
      </c>
      <c r="O493" s="147">
        <f>INDEX(Muuttujat!$J$5:$J$21,MATCH($C493,Muuttujat!$H$5:$H$21,0),1)</f>
        <v>58.961085487844883</v>
      </c>
      <c r="P493" s="148">
        <f t="shared" si="165"/>
        <v>0</v>
      </c>
      <c r="Q493" s="148">
        <f t="shared" si="176"/>
        <v>1</v>
      </c>
      <c r="R493" s="148">
        <f t="shared" si="176"/>
        <v>1</v>
      </c>
      <c r="S493" s="149">
        <f t="shared" si="159"/>
        <v>0</v>
      </c>
      <c r="T493" s="150">
        <f t="shared" si="160"/>
        <v>25.985855999999998</v>
      </c>
      <c r="U493" s="150">
        <f t="shared" si="161"/>
        <v>0</v>
      </c>
      <c r="V493" s="150">
        <f>IFERROR(INDEX(Työkonekanta!$J$3:$J$27,MATCH($A493,Työkonekanta!$A$3:$A$24,0),1)*$B493*ef_li_ion_akku/1000/1000/INDEX(Työkonekanta!$K$3:$K$27,MATCH($A493,Työkonekanta!$A$3:$A$24,0)),0)</f>
        <v>0</v>
      </c>
      <c r="W493" s="149">
        <f t="shared" si="172"/>
        <v>0</v>
      </c>
      <c r="X493" s="150">
        <f t="shared" si="173"/>
        <v>0.36858496559999998</v>
      </c>
      <c r="Y493" s="151">
        <f t="shared" si="174"/>
        <v>0.15783440233236154</v>
      </c>
      <c r="Z493" s="152">
        <f t="shared" si="166"/>
        <v>25.985855999999998</v>
      </c>
      <c r="AA493" s="153">
        <f t="shared" si="167"/>
        <v>0.15783440233236154</v>
      </c>
      <c r="AB493" s="153">
        <f t="shared" si="168"/>
        <v>0.52641936793236155</v>
      </c>
      <c r="AC493" s="154">
        <f t="shared" si="175"/>
        <v>26.143690402332361</v>
      </c>
      <c r="AD493" s="180">
        <f t="shared" si="169"/>
        <v>26.512275367932361</v>
      </c>
      <c r="AE493" s="160"/>
    </row>
    <row r="494" spans="1:31">
      <c r="A494" s="139">
        <v>12</v>
      </c>
      <c r="B494" s="139">
        <f>IFERROR(INDEX(Työkonekanta!$F$3:$F$27,MATCH('S2 Bio'!$A494,Työkonekanta!$A$3:$A$24,0),1),0)</f>
        <v>1</v>
      </c>
      <c r="C494" s="140">
        <v>2035</v>
      </c>
      <c r="D494" s="141" t="str">
        <f>IFERROR(INDEX(Työkonekanta!$D$3:$D$27,MATCH('S2 Bio'!$A494,Työkonekanta!$A$3:$A$24,0),1),"undefined")</f>
        <v>pom</v>
      </c>
      <c r="E494" s="145">
        <f>IFERROR(INDEX(Työkonekanta!$G$3:$G$27,MATCH($A494,Työkonekanta!$A$3:$A$24,0),1)*INDEX(Työkonekanta!$H$3:$H$27,MATCH($A494,Työkonekanta!$A$3:$A$24,0),1)*(1+_xlfn.SINGLE(s2_kerroin)*($C494-2019))*$B494,0)</f>
        <v>11600</v>
      </c>
      <c r="F494" s="145">
        <f t="shared" si="156"/>
        <v>416440</v>
      </c>
      <c r="G494" s="145">
        <f t="shared" si="162"/>
        <v>0</v>
      </c>
      <c r="H494" s="145">
        <f t="shared" si="163"/>
        <v>416440</v>
      </c>
      <c r="I494" s="145">
        <f t="shared" si="157"/>
        <v>0</v>
      </c>
      <c r="J494" s="145">
        <f t="shared" si="158"/>
        <v>12141.107871720118</v>
      </c>
      <c r="K494" s="142" t="str">
        <f t="shared" si="164"/>
        <v>l</v>
      </c>
      <c r="L494" s="146">
        <f>IFERROR(INDEX(Työkonekanta!$I$3:$I$27,MATCH('S2 Bio'!$A494,Työkonekanta!$A$3:$A$24,0),1)*(I494+J494)*f_adblue,0)</f>
        <v>607.05539358600595</v>
      </c>
      <c r="M494" s="146">
        <f t="shared" si="171"/>
        <v>0</v>
      </c>
      <c r="N494" s="143" t="str">
        <f>IF(tuulisähkö_vuosi&lt;='S2 Bio'!C494,"tuulisähkö",ostosähkö_nyt)</f>
        <v>jäännössähkö</v>
      </c>
      <c r="O494" s="147">
        <f>INDEX(Muuttujat!$J$5:$J$21,MATCH($C494,Muuttujat!$H$5:$H$21,0),1)</f>
        <v>58.961085487844883</v>
      </c>
      <c r="P494" s="148">
        <f t="shared" si="165"/>
        <v>0</v>
      </c>
      <c r="Q494" s="148">
        <f t="shared" si="176"/>
        <v>1</v>
      </c>
      <c r="R494" s="148">
        <f t="shared" si="176"/>
        <v>1</v>
      </c>
      <c r="S494" s="149">
        <f t="shared" si="159"/>
        <v>0</v>
      </c>
      <c r="T494" s="150">
        <f t="shared" si="160"/>
        <v>25.985855999999998</v>
      </c>
      <c r="U494" s="150">
        <f t="shared" si="161"/>
        <v>0</v>
      </c>
      <c r="V494" s="150">
        <f>IFERROR(INDEX(Työkonekanta!$J$3:$J$27,MATCH($A494,Työkonekanta!$A$3:$A$24,0),1)*$B494*ef_li_ion_akku/1000/1000/INDEX(Työkonekanta!$K$3:$K$27,MATCH($A494,Työkonekanta!$A$3:$A$24,0)),0)</f>
        <v>0</v>
      </c>
      <c r="W494" s="149">
        <f t="shared" si="172"/>
        <v>0</v>
      </c>
      <c r="X494" s="150">
        <f t="shared" si="173"/>
        <v>0.36858496559999998</v>
      </c>
      <c r="Y494" s="151">
        <f t="shared" si="174"/>
        <v>0.15783440233236154</v>
      </c>
      <c r="Z494" s="152">
        <f t="shared" si="166"/>
        <v>25.985855999999998</v>
      </c>
      <c r="AA494" s="153">
        <f t="shared" si="167"/>
        <v>0.15783440233236154</v>
      </c>
      <c r="AB494" s="153">
        <f t="shared" si="168"/>
        <v>0.52641936793236155</v>
      </c>
      <c r="AC494" s="154">
        <f t="shared" si="175"/>
        <v>26.143690402332361</v>
      </c>
      <c r="AD494" s="180">
        <f t="shared" si="169"/>
        <v>26.512275367932361</v>
      </c>
      <c r="AE494" s="160"/>
    </row>
    <row r="495" spans="1:31">
      <c r="A495" s="139">
        <v>13</v>
      </c>
      <c r="B495" s="139">
        <f>IFERROR(INDEX(Työkonekanta!$F$3:$F$27,MATCH('S2 Bio'!$A495,Työkonekanta!$A$3:$A$24,0),1),0)</f>
        <v>0</v>
      </c>
      <c r="C495" s="140">
        <v>2035</v>
      </c>
      <c r="D495" s="141" t="str">
        <f>IFERROR(INDEX(Työkonekanta!$D$3:$D$27,MATCH('S2 Bio'!$A495,Työkonekanta!$A$3:$A$24,0),1),"undefined")</f>
        <v>pom</v>
      </c>
      <c r="E495" s="145">
        <f>IFERROR(INDEX(Työkonekanta!$G$3:$G$27,MATCH($A495,Työkonekanta!$A$3:$A$24,0),1)*INDEX(Työkonekanta!$H$3:$H$27,MATCH($A495,Työkonekanta!$A$3:$A$24,0),1)*(1+_xlfn.SINGLE(s2_kerroin)*($C495-2019))*$B495,0)</f>
        <v>0</v>
      </c>
      <c r="F495" s="145">
        <f t="shared" si="156"/>
        <v>0</v>
      </c>
      <c r="G495" s="145">
        <f t="shared" si="162"/>
        <v>0</v>
      </c>
      <c r="H495" s="145">
        <f t="shared" si="163"/>
        <v>0</v>
      </c>
      <c r="I495" s="145">
        <f t="shared" si="157"/>
        <v>0</v>
      </c>
      <c r="J495" s="145">
        <f t="shared" si="158"/>
        <v>0</v>
      </c>
      <c r="K495" s="142" t="str">
        <f t="shared" si="164"/>
        <v>l</v>
      </c>
      <c r="L495" s="146">
        <f>IFERROR(INDEX(Työkonekanta!$I$3:$I$27,MATCH('S2 Bio'!$A495,Työkonekanta!$A$3:$A$24,0),1)*(I495+J495)*f_adblue,0)</f>
        <v>0</v>
      </c>
      <c r="M495" s="146">
        <f t="shared" si="171"/>
        <v>0</v>
      </c>
      <c r="N495" s="143" t="str">
        <f>IF(tuulisähkö_vuosi&lt;='S2 Bio'!C495,"tuulisähkö",ostosähkö_nyt)</f>
        <v>jäännössähkö</v>
      </c>
      <c r="O495" s="147">
        <f>INDEX(Muuttujat!$J$5:$J$21,MATCH($C495,Muuttujat!$H$5:$H$21,0),1)</f>
        <v>58.961085487844883</v>
      </c>
      <c r="P495" s="148">
        <f t="shared" si="165"/>
        <v>0</v>
      </c>
      <c r="Q495" s="148">
        <f t="shared" si="176"/>
        <v>1</v>
      </c>
      <c r="R495" s="148">
        <f t="shared" si="176"/>
        <v>1</v>
      </c>
      <c r="S495" s="149">
        <f t="shared" si="159"/>
        <v>0</v>
      </c>
      <c r="T495" s="150">
        <f t="shared" si="160"/>
        <v>0</v>
      </c>
      <c r="U495" s="150">
        <f t="shared" si="161"/>
        <v>0</v>
      </c>
      <c r="V495" s="150">
        <f>IFERROR(INDEX(Työkonekanta!$J$3:$J$27,MATCH($A495,Työkonekanta!$A$3:$A$24,0),1)*$B495*ef_li_ion_akku/1000/1000/INDEX(Työkonekanta!$K$3:$K$27,MATCH($A495,Työkonekanta!$A$3:$A$24,0)),0)</f>
        <v>0</v>
      </c>
      <c r="W495" s="149">
        <f t="shared" si="172"/>
        <v>0</v>
      </c>
      <c r="X495" s="150">
        <f t="shared" si="173"/>
        <v>0</v>
      </c>
      <c r="Y495" s="151">
        <f t="shared" si="174"/>
        <v>0</v>
      </c>
      <c r="Z495" s="152">
        <f t="shared" si="166"/>
        <v>0</v>
      </c>
      <c r="AA495" s="153">
        <f t="shared" si="167"/>
        <v>0</v>
      </c>
      <c r="AB495" s="153">
        <f t="shared" si="168"/>
        <v>0</v>
      </c>
      <c r="AC495" s="154">
        <f t="shared" si="175"/>
        <v>0</v>
      </c>
      <c r="AD495" s="180">
        <f t="shared" si="169"/>
        <v>0</v>
      </c>
      <c r="AE495" s="160"/>
    </row>
    <row r="496" spans="1:31">
      <c r="A496" s="139">
        <v>14</v>
      </c>
      <c r="B496" s="139">
        <f>IFERROR(INDEX(Työkonekanta!$F$3:$F$27,MATCH('S2 Bio'!$A496,Työkonekanta!$A$3:$A$24,0),1),0)</f>
        <v>0</v>
      </c>
      <c r="C496" s="140">
        <v>2035</v>
      </c>
      <c r="D496" s="141" t="str">
        <f>IFERROR(INDEX(Työkonekanta!$D$3:$D$27,MATCH('S2 Bio'!$A496,Työkonekanta!$A$3:$A$24,0),1),"undefined")</f>
        <v>pom</v>
      </c>
      <c r="E496" s="145">
        <f>IFERROR(INDEX(Työkonekanta!$G$3:$G$27,MATCH($A496,Työkonekanta!$A$3:$A$24,0),1)*INDEX(Työkonekanta!$H$3:$H$27,MATCH($A496,Työkonekanta!$A$3:$A$24,0),1)*(1+_xlfn.SINGLE(s2_kerroin)*($C496-2019))*$B496,0)</f>
        <v>0</v>
      </c>
      <c r="F496" s="145">
        <f t="shared" si="156"/>
        <v>0</v>
      </c>
      <c r="G496" s="145">
        <f t="shared" si="162"/>
        <v>0</v>
      </c>
      <c r="H496" s="145">
        <f t="shared" si="163"/>
        <v>0</v>
      </c>
      <c r="I496" s="145">
        <f t="shared" si="157"/>
        <v>0</v>
      </c>
      <c r="J496" s="145">
        <f t="shared" si="158"/>
        <v>0</v>
      </c>
      <c r="K496" s="142" t="str">
        <f t="shared" si="164"/>
        <v>l</v>
      </c>
      <c r="L496" s="146">
        <f>IFERROR(INDEX(Työkonekanta!$I$3:$I$27,MATCH('S2 Bio'!$A496,Työkonekanta!$A$3:$A$24,0),1)*(I496+J496)*f_adblue,0)</f>
        <v>0</v>
      </c>
      <c r="M496" s="146">
        <f t="shared" si="171"/>
        <v>0</v>
      </c>
      <c r="N496" s="143" t="str">
        <f>IF(tuulisähkö_vuosi&lt;='S2 Bio'!C496,"tuulisähkö",ostosähkö_nyt)</f>
        <v>jäännössähkö</v>
      </c>
      <c r="O496" s="147">
        <f>INDEX(Muuttujat!$J$5:$J$21,MATCH($C496,Muuttujat!$H$5:$H$21,0),1)</f>
        <v>58.961085487844883</v>
      </c>
      <c r="P496" s="148">
        <f t="shared" si="165"/>
        <v>0</v>
      </c>
      <c r="Q496" s="148">
        <f t="shared" si="176"/>
        <v>1</v>
      </c>
      <c r="R496" s="148">
        <f t="shared" si="176"/>
        <v>1</v>
      </c>
      <c r="S496" s="149">
        <f t="shared" si="159"/>
        <v>0</v>
      </c>
      <c r="T496" s="150">
        <f t="shared" si="160"/>
        <v>0</v>
      </c>
      <c r="U496" s="150">
        <f t="shared" si="161"/>
        <v>0</v>
      </c>
      <c r="V496" s="150">
        <f>IFERROR(INDEX(Työkonekanta!$J$3:$J$27,MATCH($A496,Työkonekanta!$A$3:$A$24,0),1)*$B496*ef_li_ion_akku/1000/1000/INDEX(Työkonekanta!$K$3:$K$27,MATCH($A496,Työkonekanta!$A$3:$A$24,0)),0)</f>
        <v>0</v>
      </c>
      <c r="W496" s="149">
        <f t="shared" si="172"/>
        <v>0</v>
      </c>
      <c r="X496" s="150">
        <f t="shared" si="173"/>
        <v>0</v>
      </c>
      <c r="Y496" s="151">
        <f t="shared" si="174"/>
        <v>0</v>
      </c>
      <c r="Z496" s="152">
        <f t="shared" si="166"/>
        <v>0</v>
      </c>
      <c r="AA496" s="153">
        <f t="shared" si="167"/>
        <v>0</v>
      </c>
      <c r="AB496" s="153">
        <f t="shared" si="168"/>
        <v>0</v>
      </c>
      <c r="AC496" s="154">
        <f t="shared" si="175"/>
        <v>0</v>
      </c>
      <c r="AD496" s="180">
        <f t="shared" si="169"/>
        <v>0</v>
      </c>
      <c r="AE496" s="160"/>
    </row>
    <row r="497" spans="1:31">
      <c r="A497" s="139">
        <v>15</v>
      </c>
      <c r="B497" s="139">
        <f>IFERROR(INDEX(Työkonekanta!$F$3:$F$27,MATCH('S2 Bio'!$A497,Työkonekanta!$A$3:$A$24,0),1),0)</f>
        <v>0</v>
      </c>
      <c r="C497" s="140">
        <v>2035</v>
      </c>
      <c r="D497" s="141" t="str">
        <f>IFERROR(INDEX(Työkonekanta!$D$3:$D$27,MATCH('S2 Bio'!$A497,Työkonekanta!$A$3:$A$24,0),1),"undefined")</f>
        <v>sähkö</v>
      </c>
      <c r="E497" s="145">
        <f>IFERROR(INDEX(Työkonekanta!$G$3:$G$27,MATCH($A497,Työkonekanta!$A$3:$A$24,0),1)*INDEX(Työkonekanta!$H$3:$H$27,MATCH($A497,Työkonekanta!$A$3:$A$24,0),1)*(1+_xlfn.SINGLE(s2_kerroin)*($C497-2019))*$B497,0)</f>
        <v>0</v>
      </c>
      <c r="F497" s="145">
        <f t="shared" si="156"/>
        <v>0</v>
      </c>
      <c r="G497" s="145">
        <f t="shared" si="162"/>
        <v>0</v>
      </c>
      <c r="H497" s="145">
        <f t="shared" si="163"/>
        <v>0</v>
      </c>
      <c r="I497" s="145">
        <f t="shared" si="157"/>
        <v>0</v>
      </c>
      <c r="J497" s="145">
        <f t="shared" si="158"/>
        <v>0</v>
      </c>
      <c r="K497" s="142" t="str">
        <f t="shared" si="164"/>
        <v>kWh</v>
      </c>
      <c r="L497" s="146">
        <f>IFERROR(INDEX(Työkonekanta!$I$3:$I$27,MATCH('S2 Bio'!$A497,Työkonekanta!$A$3:$A$24,0),1)*(I497+J497)*f_adblue,0)</f>
        <v>0</v>
      </c>
      <c r="M497" s="146">
        <f t="shared" si="171"/>
        <v>0</v>
      </c>
      <c r="N497" s="143" t="str">
        <f>IF(tuulisähkö_vuosi&lt;='S2 Bio'!C497,"tuulisähkö",ostosähkö_nyt)</f>
        <v>jäännössähkö</v>
      </c>
      <c r="O497" s="147">
        <f>INDEX(Muuttujat!$J$5:$J$21,MATCH($C497,Muuttujat!$H$5:$H$21,0),1)</f>
        <v>58.961085487844883</v>
      </c>
      <c r="P497" s="148">
        <f t="shared" si="165"/>
        <v>0</v>
      </c>
      <c r="Q497" s="148">
        <f t="shared" si="176"/>
        <v>1</v>
      </c>
      <c r="R497" s="148">
        <f t="shared" si="176"/>
        <v>1</v>
      </c>
      <c r="S497" s="149">
        <f t="shared" si="159"/>
        <v>0</v>
      </c>
      <c r="T497" s="150">
        <f t="shared" si="160"/>
        <v>0</v>
      </c>
      <c r="U497" s="150">
        <f t="shared" si="161"/>
        <v>0</v>
      </c>
      <c r="V497" s="150">
        <f>IFERROR(INDEX(Työkonekanta!$J$3:$J$27,MATCH($A497,Työkonekanta!$A$3:$A$24,0),1)*$B497*ef_li_ion_akku/1000/1000/INDEX(Työkonekanta!$K$3:$K$27,MATCH($A497,Työkonekanta!$A$3:$A$24,0)),0)</f>
        <v>0</v>
      </c>
      <c r="W497" s="149">
        <f t="shared" si="172"/>
        <v>0</v>
      </c>
      <c r="X497" s="150">
        <f t="shared" si="173"/>
        <v>0</v>
      </c>
      <c r="Y497" s="151">
        <f t="shared" si="174"/>
        <v>0</v>
      </c>
      <c r="Z497" s="152">
        <f t="shared" si="166"/>
        <v>0</v>
      </c>
      <c r="AA497" s="153">
        <f t="shared" si="167"/>
        <v>0</v>
      </c>
      <c r="AB497" s="153">
        <f t="shared" si="168"/>
        <v>0</v>
      </c>
      <c r="AC497" s="154">
        <f t="shared" si="175"/>
        <v>0</v>
      </c>
      <c r="AD497" s="180">
        <f t="shared" si="169"/>
        <v>0</v>
      </c>
      <c r="AE497" s="160"/>
    </row>
    <row r="498" spans="1:31">
      <c r="A498" s="139">
        <v>16</v>
      </c>
      <c r="B498" s="139">
        <f>IFERROR(INDEX(Työkonekanta!$F$3:$F$27,MATCH('S2 Bio'!$A498,Työkonekanta!$A$3:$A$24,0),1),0)</f>
        <v>0</v>
      </c>
      <c r="C498" s="140">
        <v>2035</v>
      </c>
      <c r="D498" s="141" t="str">
        <f>IFERROR(INDEX(Työkonekanta!$D$3:$D$27,MATCH('S2 Bio'!$A498,Työkonekanta!$A$3:$A$24,0),1),"undefined")</f>
        <v>sähkö</v>
      </c>
      <c r="E498" s="145">
        <f>IFERROR(INDEX(Työkonekanta!$G$3:$G$27,MATCH($A498,Työkonekanta!$A$3:$A$24,0),1)*INDEX(Työkonekanta!$H$3:$H$27,MATCH($A498,Työkonekanta!$A$3:$A$24,0),1)*(1+_xlfn.SINGLE(s2_kerroin)*($C498-2019))*$B498,0)</f>
        <v>0</v>
      </c>
      <c r="F498" s="145">
        <f t="shared" si="156"/>
        <v>0</v>
      </c>
      <c r="G498" s="145">
        <f t="shared" si="162"/>
        <v>0</v>
      </c>
      <c r="H498" s="145">
        <f t="shared" si="163"/>
        <v>0</v>
      </c>
      <c r="I498" s="145">
        <f t="shared" si="157"/>
        <v>0</v>
      </c>
      <c r="J498" s="145">
        <f t="shared" si="158"/>
        <v>0</v>
      </c>
      <c r="K498" s="142" t="str">
        <f t="shared" si="164"/>
        <v>kWh</v>
      </c>
      <c r="L498" s="146">
        <f>IFERROR(INDEX(Työkonekanta!$I$3:$I$27,MATCH('S2 Bio'!$A498,Työkonekanta!$A$3:$A$24,0),1)*(I498+J498)*f_adblue,0)</f>
        <v>0</v>
      </c>
      <c r="M498" s="146">
        <f t="shared" si="171"/>
        <v>0</v>
      </c>
      <c r="N498" s="143" t="str">
        <f>IF(tuulisähkö_vuosi&lt;='S2 Bio'!C498,"tuulisähkö",ostosähkö_nyt)</f>
        <v>jäännössähkö</v>
      </c>
      <c r="O498" s="147">
        <f>INDEX(Muuttujat!$J$5:$J$21,MATCH($C498,Muuttujat!$H$5:$H$21,0),1)</f>
        <v>58.961085487844883</v>
      </c>
      <c r="P498" s="148">
        <f t="shared" si="165"/>
        <v>0</v>
      </c>
      <c r="Q498" s="148">
        <f t="shared" si="176"/>
        <v>1</v>
      </c>
      <c r="R498" s="148">
        <f t="shared" si="176"/>
        <v>1</v>
      </c>
      <c r="S498" s="149">
        <f t="shared" si="159"/>
        <v>0</v>
      </c>
      <c r="T498" s="150">
        <f t="shared" si="160"/>
        <v>0</v>
      </c>
      <c r="U498" s="150">
        <f t="shared" si="161"/>
        <v>0</v>
      </c>
      <c r="V498" s="150">
        <f>IFERROR(INDEX(Työkonekanta!$J$3:$J$27,MATCH($A498,Työkonekanta!$A$3:$A$24,0),1)*$B498*ef_li_ion_akku/1000/1000/INDEX(Työkonekanta!$K$3:$K$27,MATCH($A498,Työkonekanta!$A$3:$A$24,0)),0)</f>
        <v>0</v>
      </c>
      <c r="W498" s="149">
        <f t="shared" si="172"/>
        <v>0</v>
      </c>
      <c r="X498" s="150">
        <f t="shared" si="173"/>
        <v>0</v>
      </c>
      <c r="Y498" s="151">
        <f t="shared" si="174"/>
        <v>0</v>
      </c>
      <c r="Z498" s="152">
        <f t="shared" si="166"/>
        <v>0</v>
      </c>
      <c r="AA498" s="153">
        <f t="shared" si="167"/>
        <v>0</v>
      </c>
      <c r="AB498" s="153">
        <f t="shared" si="168"/>
        <v>0</v>
      </c>
      <c r="AC498" s="154">
        <f t="shared" si="175"/>
        <v>0</v>
      </c>
      <c r="AD498" s="180">
        <f t="shared" si="169"/>
        <v>0</v>
      </c>
      <c r="AE498" s="160"/>
    </row>
    <row r="499" spans="1:31">
      <c r="A499" s="139">
        <v>17</v>
      </c>
      <c r="B499" s="139">
        <f>IFERROR(INDEX(Työkonekanta!$F$3:$F$27,MATCH('S2 Bio'!$A499,Työkonekanta!$A$3:$A$24,0),1),0)</f>
        <v>1</v>
      </c>
      <c r="C499" s="140">
        <v>2035</v>
      </c>
      <c r="D499" s="141" t="str">
        <f>IFERROR(INDEX(Työkonekanta!$D$3:$D$27,MATCH('S2 Bio'!$A499,Työkonekanta!$A$3:$A$24,0),1),"undefined")</f>
        <v>pom</v>
      </c>
      <c r="E499" s="145">
        <f>IFERROR(INDEX(Työkonekanta!$G$3:$G$27,MATCH($A499,Työkonekanta!$A$3:$A$24,0),1)*INDEX(Työkonekanta!$H$3:$H$27,MATCH($A499,Työkonekanta!$A$3:$A$24,0),1)*(1+_xlfn.SINGLE(s2_kerroin)*($C499-2019))*$B499,0)</f>
        <v>11600</v>
      </c>
      <c r="F499" s="145">
        <f t="shared" si="156"/>
        <v>416440</v>
      </c>
      <c r="G499" s="145">
        <f t="shared" si="162"/>
        <v>0</v>
      </c>
      <c r="H499" s="145">
        <f t="shared" si="163"/>
        <v>416440</v>
      </c>
      <c r="I499" s="145">
        <f t="shared" si="157"/>
        <v>0</v>
      </c>
      <c r="J499" s="145">
        <f t="shared" si="158"/>
        <v>12141.107871720118</v>
      </c>
      <c r="K499" s="142" t="str">
        <f t="shared" si="164"/>
        <v>l</v>
      </c>
      <c r="L499" s="146">
        <f>IFERROR(INDEX(Työkonekanta!$I$3:$I$27,MATCH('S2 Bio'!$A499,Työkonekanta!$A$3:$A$24,0),1)*(I499+J499)*f_adblue,0)</f>
        <v>607.05539358600595</v>
      </c>
      <c r="M499" s="146">
        <f t="shared" si="171"/>
        <v>0</v>
      </c>
      <c r="N499" s="143" t="str">
        <f>IF(tuulisähkö_vuosi&lt;='S2 Bio'!C499,"tuulisähkö",ostosähkö_nyt)</f>
        <v>jäännössähkö</v>
      </c>
      <c r="O499" s="147">
        <f>INDEX(Muuttujat!$J$5:$J$21,MATCH($C499,Muuttujat!$H$5:$H$21,0),1)</f>
        <v>58.961085487844883</v>
      </c>
      <c r="P499" s="148">
        <f t="shared" si="165"/>
        <v>0</v>
      </c>
      <c r="Q499" s="148">
        <f t="shared" si="176"/>
        <v>1</v>
      </c>
      <c r="R499" s="148">
        <f t="shared" si="176"/>
        <v>1</v>
      </c>
      <c r="S499" s="149">
        <f t="shared" si="159"/>
        <v>0</v>
      </c>
      <c r="T499" s="150">
        <f t="shared" si="160"/>
        <v>25.985855999999998</v>
      </c>
      <c r="U499" s="150">
        <f t="shared" si="161"/>
        <v>0</v>
      </c>
      <c r="V499" s="150">
        <f>IFERROR(INDEX(Työkonekanta!$J$3:$J$27,MATCH($A499,Työkonekanta!$A$3:$A$24,0),1)*$B499*ef_li_ion_akku/1000/1000/INDEX(Työkonekanta!$K$3:$K$27,MATCH($A499,Työkonekanta!$A$3:$A$24,0)),0)</f>
        <v>0</v>
      </c>
      <c r="W499" s="149">
        <f t="shared" si="172"/>
        <v>0</v>
      </c>
      <c r="X499" s="150">
        <f t="shared" si="173"/>
        <v>0.36858496559999998</v>
      </c>
      <c r="Y499" s="151">
        <f t="shared" si="174"/>
        <v>0.15783440233236154</v>
      </c>
      <c r="Z499" s="152">
        <f t="shared" si="166"/>
        <v>25.985855999999998</v>
      </c>
      <c r="AA499" s="153">
        <f t="shared" si="167"/>
        <v>0.15783440233236154</v>
      </c>
      <c r="AB499" s="153">
        <f t="shared" si="168"/>
        <v>0.52641936793236155</v>
      </c>
      <c r="AC499" s="154">
        <f t="shared" si="175"/>
        <v>26.143690402332361</v>
      </c>
      <c r="AD499" s="180">
        <f t="shared" si="169"/>
        <v>26.512275367932361</v>
      </c>
      <c r="AE499" s="160"/>
    </row>
    <row r="500" spans="1:31">
      <c r="A500" s="139">
        <v>18</v>
      </c>
      <c r="B500" s="139">
        <f>IFERROR(INDEX(Työkonekanta!$F$3:$F$27,MATCH('S2 Bio'!$A500,Työkonekanta!$A$3:$A$24,0),1),0)</f>
        <v>1</v>
      </c>
      <c r="C500" s="140">
        <v>2035</v>
      </c>
      <c r="D500" s="141" t="str">
        <f>IFERROR(INDEX(Työkonekanta!$D$3:$D$27,MATCH('S2 Bio'!$A500,Työkonekanta!$A$3:$A$24,0),1),"undefined")</f>
        <v>pom</v>
      </c>
      <c r="E500" s="145">
        <f>IFERROR(INDEX(Työkonekanta!$G$3:$G$27,MATCH($A500,Työkonekanta!$A$3:$A$24,0),1)*INDEX(Työkonekanta!$H$3:$H$27,MATCH($A500,Työkonekanta!$A$3:$A$24,0),1)*(1+_xlfn.SINGLE(s2_kerroin)*($C500-2019))*$B500,0)</f>
        <v>11600</v>
      </c>
      <c r="F500" s="145">
        <f t="shared" si="156"/>
        <v>416440</v>
      </c>
      <c r="G500" s="145">
        <f t="shared" si="162"/>
        <v>0</v>
      </c>
      <c r="H500" s="145">
        <f t="shared" si="163"/>
        <v>416440</v>
      </c>
      <c r="I500" s="145">
        <f t="shared" si="157"/>
        <v>0</v>
      </c>
      <c r="J500" s="145">
        <f t="shared" si="158"/>
        <v>12141.107871720118</v>
      </c>
      <c r="K500" s="142" t="str">
        <f t="shared" si="164"/>
        <v>l</v>
      </c>
      <c r="L500" s="146">
        <f>IFERROR(INDEX(Työkonekanta!$I$3:$I$27,MATCH('S2 Bio'!$A500,Työkonekanta!$A$3:$A$24,0),1)*(I500+J500)*f_adblue,0)</f>
        <v>485.64431486880477</v>
      </c>
      <c r="M500" s="146">
        <f t="shared" si="171"/>
        <v>0</v>
      </c>
      <c r="N500" s="143" t="str">
        <f>IF(tuulisähkö_vuosi&lt;='S2 Bio'!C500,"tuulisähkö",ostosähkö_nyt)</f>
        <v>jäännössähkö</v>
      </c>
      <c r="O500" s="147">
        <f>INDEX(Muuttujat!$J$5:$J$21,MATCH($C500,Muuttujat!$H$5:$H$21,0),1)</f>
        <v>58.961085487844883</v>
      </c>
      <c r="P500" s="148">
        <f t="shared" si="165"/>
        <v>0</v>
      </c>
      <c r="Q500" s="148">
        <f t="shared" si="176"/>
        <v>1</v>
      </c>
      <c r="R500" s="148">
        <f t="shared" si="176"/>
        <v>1</v>
      </c>
      <c r="S500" s="149">
        <f t="shared" si="159"/>
        <v>0</v>
      </c>
      <c r="T500" s="150">
        <f t="shared" si="160"/>
        <v>25.985855999999998</v>
      </c>
      <c r="U500" s="150">
        <f t="shared" si="161"/>
        <v>0</v>
      </c>
      <c r="V500" s="150">
        <f>IFERROR(INDEX(Työkonekanta!$J$3:$J$27,MATCH($A500,Työkonekanta!$A$3:$A$24,0),1)*$B500*ef_li_ion_akku/1000/1000/INDEX(Työkonekanta!$K$3:$K$27,MATCH($A500,Työkonekanta!$A$3:$A$24,0)),0)</f>
        <v>0</v>
      </c>
      <c r="W500" s="149">
        <f t="shared" si="172"/>
        <v>0</v>
      </c>
      <c r="X500" s="150">
        <f t="shared" si="173"/>
        <v>0.36858496559999998</v>
      </c>
      <c r="Y500" s="151">
        <f t="shared" si="174"/>
        <v>0.12626752186588924</v>
      </c>
      <c r="Z500" s="152">
        <f t="shared" si="166"/>
        <v>25.985855999999998</v>
      </c>
      <c r="AA500" s="153">
        <f t="shared" si="167"/>
        <v>0.12626752186588924</v>
      </c>
      <c r="AB500" s="153">
        <f t="shared" si="168"/>
        <v>0.49485248746588922</v>
      </c>
      <c r="AC500" s="154">
        <f t="shared" si="175"/>
        <v>26.112123521865886</v>
      </c>
      <c r="AD500" s="180">
        <f t="shared" si="169"/>
        <v>26.480708487465886</v>
      </c>
      <c r="AE500" s="160"/>
    </row>
    <row r="501" spans="1:31">
      <c r="A501" s="139">
        <v>19</v>
      </c>
      <c r="B501" s="139">
        <f>IFERROR(INDEX(Työkonekanta!$F$3:$F$27,MATCH('S2 Bio'!$A501,Työkonekanta!$A$3:$A$24,0),1),0)</f>
        <v>0</v>
      </c>
      <c r="C501" s="140">
        <v>2035</v>
      </c>
      <c r="D501" s="141" t="str">
        <f>IFERROR(INDEX(Työkonekanta!$D$3:$D$27,MATCH('S2 Bio'!$A501,Työkonekanta!$A$3:$A$24,0),1),"undefined")</f>
        <v>pom</v>
      </c>
      <c r="E501" s="145">
        <f>IFERROR(INDEX(Työkonekanta!$G$3:$G$27,MATCH($A501,Työkonekanta!$A$3:$A$24,0),1)*INDEX(Työkonekanta!$H$3:$H$27,MATCH($A501,Työkonekanta!$A$3:$A$24,0),1)*(1+_xlfn.SINGLE(s2_kerroin)*($C501-2019))*$B501,0)</f>
        <v>0</v>
      </c>
      <c r="F501" s="145">
        <f t="shared" si="156"/>
        <v>0</v>
      </c>
      <c r="G501" s="145">
        <f t="shared" si="162"/>
        <v>0</v>
      </c>
      <c r="H501" s="145">
        <f t="shared" si="163"/>
        <v>0</v>
      </c>
      <c r="I501" s="145">
        <f t="shared" si="157"/>
        <v>0</v>
      </c>
      <c r="J501" s="145">
        <f t="shared" si="158"/>
        <v>0</v>
      </c>
      <c r="K501" s="142" t="str">
        <f t="shared" si="164"/>
        <v>l</v>
      </c>
      <c r="L501" s="146">
        <f>IFERROR(INDEX(Työkonekanta!$I$3:$I$27,MATCH('S2 Bio'!$A501,Työkonekanta!$A$3:$A$24,0),1)*(I501+J501)*f_adblue,0)</f>
        <v>0</v>
      </c>
      <c r="M501" s="146">
        <f t="shared" si="171"/>
        <v>0</v>
      </c>
      <c r="N501" s="143" t="str">
        <f>IF(tuulisähkö_vuosi&lt;='S2 Bio'!C501,"tuulisähkö",ostosähkö_nyt)</f>
        <v>jäännössähkö</v>
      </c>
      <c r="O501" s="147">
        <f>INDEX(Muuttujat!$J$5:$J$21,MATCH($C501,Muuttujat!$H$5:$H$21,0),1)</f>
        <v>58.961085487844883</v>
      </c>
      <c r="P501" s="148">
        <f t="shared" si="165"/>
        <v>0</v>
      </c>
      <c r="Q501" s="148">
        <f t="shared" si="176"/>
        <v>1</v>
      </c>
      <c r="R501" s="148">
        <f t="shared" si="176"/>
        <v>1</v>
      </c>
      <c r="S501" s="149">
        <f t="shared" si="159"/>
        <v>0</v>
      </c>
      <c r="T501" s="150">
        <f t="shared" si="160"/>
        <v>0</v>
      </c>
      <c r="U501" s="150">
        <f t="shared" si="161"/>
        <v>0</v>
      </c>
      <c r="V501" s="150">
        <f>IFERROR(INDEX(Työkonekanta!$J$3:$J$27,MATCH($A501,Työkonekanta!$A$3:$A$24,0),1)*$B501*ef_li_ion_akku/1000/1000/INDEX(Työkonekanta!$K$3:$K$27,MATCH($A501,Työkonekanta!$A$3:$A$24,0)),0)</f>
        <v>0</v>
      </c>
      <c r="W501" s="149">
        <f t="shared" si="172"/>
        <v>0</v>
      </c>
      <c r="X501" s="150">
        <f t="shared" si="173"/>
        <v>0</v>
      </c>
      <c r="Y501" s="151">
        <f t="shared" si="174"/>
        <v>0</v>
      </c>
      <c r="Z501" s="152">
        <f t="shared" si="166"/>
        <v>0</v>
      </c>
      <c r="AA501" s="153">
        <f t="shared" si="167"/>
        <v>0</v>
      </c>
      <c r="AB501" s="153">
        <f t="shared" si="168"/>
        <v>0</v>
      </c>
      <c r="AC501" s="154">
        <f t="shared" si="175"/>
        <v>0</v>
      </c>
      <c r="AD501" s="180">
        <f t="shared" si="169"/>
        <v>0</v>
      </c>
      <c r="AE501" s="160"/>
    </row>
    <row r="502" spans="1:31">
      <c r="A502" s="139">
        <v>20</v>
      </c>
      <c r="B502" s="139">
        <f>IFERROR(INDEX(Työkonekanta!$F$3:$F$27,MATCH('S2 Bio'!$A502,Työkonekanta!$A$3:$A$24,0),1),0)</f>
        <v>0</v>
      </c>
      <c r="C502" s="140">
        <v>2035</v>
      </c>
      <c r="D502" s="141" t="str">
        <f>IFERROR(INDEX(Työkonekanta!$D$3:$D$27,MATCH('S2 Bio'!$A502,Työkonekanta!$A$3:$A$24,0),1),"undefined")</f>
        <v>pom</v>
      </c>
      <c r="E502" s="145">
        <f>IFERROR(INDEX(Työkonekanta!$G$3:$G$27,MATCH($A502,Työkonekanta!$A$3:$A$24,0),1)*INDEX(Työkonekanta!$H$3:$H$27,MATCH($A502,Työkonekanta!$A$3:$A$24,0),1)*(1+_xlfn.SINGLE(s2_kerroin)*($C502-2019))*$B502,0)</f>
        <v>0</v>
      </c>
      <c r="F502" s="145">
        <f t="shared" si="156"/>
        <v>0</v>
      </c>
      <c r="G502" s="145">
        <f t="shared" si="162"/>
        <v>0</v>
      </c>
      <c r="H502" s="145">
        <f t="shared" si="163"/>
        <v>0</v>
      </c>
      <c r="I502" s="145">
        <f t="shared" si="157"/>
        <v>0</v>
      </c>
      <c r="J502" s="145">
        <f t="shared" si="158"/>
        <v>0</v>
      </c>
      <c r="K502" s="142" t="str">
        <f t="shared" si="164"/>
        <v>l</v>
      </c>
      <c r="L502" s="146">
        <f>IFERROR(INDEX(Työkonekanta!$I$3:$I$27,MATCH('S2 Bio'!$A502,Työkonekanta!$A$3:$A$24,0),1)*(I502+J502)*f_adblue,0)</f>
        <v>0</v>
      </c>
      <c r="M502" s="146">
        <f t="shared" si="171"/>
        <v>0</v>
      </c>
      <c r="N502" s="143" t="str">
        <f>IF(tuulisähkö_vuosi&lt;='S2 Bio'!C502,"tuulisähkö",ostosähkö_nyt)</f>
        <v>jäännössähkö</v>
      </c>
      <c r="O502" s="147">
        <f>INDEX(Muuttujat!$J$5:$J$21,MATCH($C502,Muuttujat!$H$5:$H$21,0),1)</f>
        <v>58.961085487844883</v>
      </c>
      <c r="P502" s="148">
        <f t="shared" si="165"/>
        <v>0</v>
      </c>
      <c r="Q502" s="148">
        <f t="shared" si="176"/>
        <v>1</v>
      </c>
      <c r="R502" s="148">
        <f t="shared" si="176"/>
        <v>1</v>
      </c>
      <c r="S502" s="149">
        <f t="shared" si="159"/>
        <v>0</v>
      </c>
      <c r="T502" s="150">
        <f t="shared" si="160"/>
        <v>0</v>
      </c>
      <c r="U502" s="150">
        <f t="shared" si="161"/>
        <v>0</v>
      </c>
      <c r="V502" s="150">
        <f>IFERROR(INDEX(Työkonekanta!$J$3:$J$27,MATCH($A502,Työkonekanta!$A$3:$A$24,0),1)*$B502*ef_li_ion_akku/1000/1000/INDEX(Työkonekanta!$K$3:$K$27,MATCH($A502,Työkonekanta!$A$3:$A$24,0)),0)</f>
        <v>0</v>
      </c>
      <c r="W502" s="149">
        <f t="shared" si="172"/>
        <v>0</v>
      </c>
      <c r="X502" s="150">
        <f t="shared" si="173"/>
        <v>0</v>
      </c>
      <c r="Y502" s="151">
        <f t="shared" si="174"/>
        <v>0</v>
      </c>
      <c r="Z502" s="152">
        <f t="shared" si="166"/>
        <v>0</v>
      </c>
      <c r="AA502" s="153">
        <f t="shared" si="167"/>
        <v>0</v>
      </c>
      <c r="AB502" s="153">
        <f t="shared" si="168"/>
        <v>0</v>
      </c>
      <c r="AC502" s="154">
        <f t="shared" si="175"/>
        <v>0</v>
      </c>
      <c r="AD502" s="180">
        <f t="shared" si="169"/>
        <v>0</v>
      </c>
      <c r="AE502" s="160"/>
    </row>
    <row r="503" spans="1:31">
      <c r="A503" s="139">
        <v>21</v>
      </c>
      <c r="B503" s="139">
        <f>IFERROR(INDEX(Työkonekanta!$F$3:$F$27,MATCH('S2 Bio'!$A503,Työkonekanta!$A$3:$A$24,0),1),0)</f>
        <v>35</v>
      </c>
      <c r="C503" s="140">
        <v>2035</v>
      </c>
      <c r="D503" s="141" t="str">
        <f>IFERROR(INDEX(Työkonekanta!$D$3:$D$27,MATCH('S2 Bio'!$A503,Työkonekanta!$A$3:$A$24,0),1),"undefined")</f>
        <v>sähkö</v>
      </c>
      <c r="E503" s="145">
        <f>IFERROR(INDEX(Työkonekanta!$G$3:$G$27,MATCH($A503,Työkonekanta!$A$3:$A$24,0),1)*INDEX(Työkonekanta!$H$3:$H$27,MATCH($A503,Työkonekanta!$A$3:$A$24,0),1)*(1+_xlfn.SINGLE(s2_kerroin)*($C503-2019))*$B503,0)</f>
        <v>472350.92592592584</v>
      </c>
      <c r="F503" s="145">
        <f t="shared" si="156"/>
        <v>0</v>
      </c>
      <c r="G503" s="145">
        <f t="shared" si="162"/>
        <v>0</v>
      </c>
      <c r="H503" s="145">
        <f t="shared" si="163"/>
        <v>0</v>
      </c>
      <c r="I503" s="145">
        <f t="shared" si="157"/>
        <v>0</v>
      </c>
      <c r="J503" s="145">
        <f t="shared" si="158"/>
        <v>0</v>
      </c>
      <c r="K503" s="142" t="str">
        <f t="shared" si="164"/>
        <v>kWh</v>
      </c>
      <c r="L503" s="146">
        <f>IFERROR(INDEX(Työkonekanta!$I$3:$I$27,MATCH('S2 Bio'!$A503,Työkonekanta!$A$3:$A$24,0),1)*(I503+J503)*f_adblue,0)</f>
        <v>0</v>
      </c>
      <c r="M503" s="146">
        <f t="shared" si="171"/>
        <v>1700463.333333333</v>
      </c>
      <c r="N503" s="143" t="str">
        <f>IF(tuulisähkö_vuosi&lt;='S2 Bio'!C503,"tuulisähkö",ostosähkö_nyt)</f>
        <v>jäännössähkö</v>
      </c>
      <c r="O503" s="147">
        <f>INDEX(Muuttujat!$J$5:$J$21,MATCH($C503,Muuttujat!$H$5:$H$21,0),1)</f>
        <v>58.961085487844883</v>
      </c>
      <c r="P503" s="148">
        <f t="shared" si="165"/>
        <v>0</v>
      </c>
      <c r="Q503" s="148">
        <f t="shared" ref="Q503:R512" si="177">IF(biosiirtymä_luonne="äkillinen",INDEX($AG$4:$AG$20,MATCH($C503,$AF$4:$AF$20,0),1),INDEX($AH$4:$AH$20,MATCH($C503,$AF$4:$AF$20,0),1))</f>
        <v>1</v>
      </c>
      <c r="R503" s="148">
        <f t="shared" si="177"/>
        <v>1</v>
      </c>
      <c r="S503" s="149">
        <f t="shared" si="159"/>
        <v>0</v>
      </c>
      <c r="T503" s="150">
        <f t="shared" si="160"/>
        <v>0</v>
      </c>
      <c r="U503" s="150">
        <f t="shared" si="161"/>
        <v>100.26116396561231</v>
      </c>
      <c r="V503" s="150">
        <f>IFERROR(INDEX(Työkonekanta!$J$3:$J$27,MATCH($A503,Työkonekanta!$A$3:$A$24,0),1)*$B503*ef_li_ion_akku/1000/1000/INDEX(Työkonekanta!$K$3:$K$27,MATCH($A503,Työkonekanta!$A$3:$A$24,0)),0)</f>
        <v>43.121723076923082</v>
      </c>
      <c r="W503" s="149">
        <f t="shared" si="172"/>
        <v>0</v>
      </c>
      <c r="X503" s="150">
        <f t="shared" si="173"/>
        <v>0</v>
      </c>
      <c r="Y503" s="151">
        <f t="shared" si="174"/>
        <v>0</v>
      </c>
      <c r="Z503" s="152">
        <f t="shared" si="166"/>
        <v>143.3828870425354</v>
      </c>
      <c r="AA503" s="153">
        <f t="shared" si="167"/>
        <v>0</v>
      </c>
      <c r="AB503" s="153">
        <f t="shared" si="168"/>
        <v>0</v>
      </c>
      <c r="AC503" s="154">
        <f t="shared" si="175"/>
        <v>143.3828870425354</v>
      </c>
      <c r="AD503" s="180">
        <f t="shared" si="169"/>
        <v>143.3828870425354</v>
      </c>
      <c r="AE503" s="160"/>
    </row>
    <row r="504" spans="1:31">
      <c r="A504" s="139">
        <v>22</v>
      </c>
      <c r="B504" s="139">
        <f>IFERROR(INDEX(Työkonekanta!$F$3:$F$27,MATCH('S2 Bio'!$A504,Työkonekanta!$A$3:$A$24,0),1),0)</f>
        <v>0</v>
      </c>
      <c r="C504" s="140">
        <v>2035</v>
      </c>
      <c r="D504" s="141" t="str">
        <f>IFERROR(INDEX(Työkonekanta!$D$3:$D$27,MATCH('S2 Bio'!$A504,Työkonekanta!$A$3:$A$24,0),1),"undefined")</f>
        <v>sähkö</v>
      </c>
      <c r="E504" s="145">
        <f>IFERROR(INDEX(Työkonekanta!$G$3:$G$27,MATCH($A504,Työkonekanta!$A$3:$A$24,0),1)*INDEX(Työkonekanta!$H$3:$H$27,MATCH($A504,Työkonekanta!$A$3:$A$24,0),1)*(1+_xlfn.SINGLE(s2_kerroin)*($C504-2019))*$B504,0)</f>
        <v>0</v>
      </c>
      <c r="F504" s="145">
        <f t="shared" si="156"/>
        <v>0</v>
      </c>
      <c r="G504" s="145">
        <f t="shared" si="162"/>
        <v>0</v>
      </c>
      <c r="H504" s="145">
        <f t="shared" si="163"/>
        <v>0</v>
      </c>
      <c r="I504" s="145">
        <f t="shared" si="157"/>
        <v>0</v>
      </c>
      <c r="J504" s="145">
        <f t="shared" si="158"/>
        <v>0</v>
      </c>
      <c r="K504" s="142" t="str">
        <f t="shared" si="164"/>
        <v>kWh</v>
      </c>
      <c r="L504" s="146">
        <f>IFERROR(INDEX(Työkonekanta!$I$3:$I$27,MATCH('S2 Bio'!$A504,Työkonekanta!$A$3:$A$24,0),1)*(I504+J504)*f_adblue,0)</f>
        <v>0</v>
      </c>
      <c r="M504" s="146">
        <f t="shared" si="171"/>
        <v>0</v>
      </c>
      <c r="N504" s="143" t="str">
        <f>IF(tuulisähkö_vuosi&lt;='S2 Bio'!C504,"tuulisähkö",ostosähkö_nyt)</f>
        <v>jäännössähkö</v>
      </c>
      <c r="O504" s="147">
        <f>INDEX(Muuttujat!$J$5:$J$21,MATCH($C504,Muuttujat!$H$5:$H$21,0),1)</f>
        <v>58.961085487844883</v>
      </c>
      <c r="P504" s="148">
        <f t="shared" si="165"/>
        <v>0</v>
      </c>
      <c r="Q504" s="148">
        <f t="shared" si="177"/>
        <v>1</v>
      </c>
      <c r="R504" s="148">
        <f t="shared" si="177"/>
        <v>1</v>
      </c>
      <c r="S504" s="149">
        <f t="shared" si="159"/>
        <v>0</v>
      </c>
      <c r="T504" s="150">
        <f t="shared" si="160"/>
        <v>0</v>
      </c>
      <c r="U504" s="150">
        <f t="shared" si="161"/>
        <v>0</v>
      </c>
      <c r="V504" s="150">
        <f>IFERROR(INDEX(Työkonekanta!$J$3:$J$27,MATCH($A504,Työkonekanta!$A$3:$A$24,0),1)*$B504*ef_li_ion_akku/1000/1000/INDEX(Työkonekanta!$K$3:$K$27,MATCH($A504,Työkonekanta!$A$3:$A$24,0)),0)</f>
        <v>0</v>
      </c>
      <c r="W504" s="149">
        <f t="shared" si="172"/>
        <v>0</v>
      </c>
      <c r="X504" s="150">
        <f t="shared" si="173"/>
        <v>0</v>
      </c>
      <c r="Y504" s="151">
        <f t="shared" si="174"/>
        <v>0</v>
      </c>
      <c r="Z504" s="152">
        <f t="shared" si="166"/>
        <v>0</v>
      </c>
      <c r="AA504" s="153">
        <f t="shared" si="167"/>
        <v>0</v>
      </c>
      <c r="AB504" s="153">
        <f t="shared" si="168"/>
        <v>0</v>
      </c>
      <c r="AC504" s="154">
        <f t="shared" si="175"/>
        <v>0</v>
      </c>
      <c r="AD504" s="180">
        <f t="shared" si="169"/>
        <v>0</v>
      </c>
      <c r="AE504" s="160"/>
    </row>
    <row r="505" spans="1:31">
      <c r="A505" s="139">
        <v>23</v>
      </c>
      <c r="B505" s="139">
        <f>IFERROR(INDEX(Työkonekanta!$F$3:$F$27,MATCH('S2 Bio'!$A505,Työkonekanta!$A$3:$A$24,0),1),0)</f>
        <v>0</v>
      </c>
      <c r="C505" s="140">
        <v>2035</v>
      </c>
      <c r="D505" s="141" t="str">
        <f>IFERROR(INDEX(Työkonekanta!$D$3:$D$27,MATCH('S2 Bio'!$A505,Työkonekanta!$A$3:$A$24,0),1),"undefined")</f>
        <v>undefined</v>
      </c>
      <c r="E505" s="145">
        <f>IFERROR(INDEX(Työkonekanta!$G$3:$G$27,MATCH($A505,Työkonekanta!$A$3:$A$24,0),1)*INDEX(Työkonekanta!$H$3:$H$27,MATCH($A505,Työkonekanta!$A$3:$A$24,0),1)*(1+_xlfn.SINGLE(s2_kerroin)*($C505-2019))*$B505,0)</f>
        <v>0</v>
      </c>
      <c r="F505" s="145">
        <f t="shared" si="156"/>
        <v>0</v>
      </c>
      <c r="G505" s="145">
        <f t="shared" si="162"/>
        <v>0</v>
      </c>
      <c r="H505" s="145">
        <f t="shared" si="163"/>
        <v>0</v>
      </c>
      <c r="I505" s="145">
        <f t="shared" si="157"/>
        <v>0</v>
      </c>
      <c r="J505" s="145">
        <f t="shared" si="158"/>
        <v>0</v>
      </c>
      <c r="K505" s="142" t="str">
        <f t="shared" si="164"/>
        <v>undefined</v>
      </c>
      <c r="L505" s="146">
        <f>IFERROR(INDEX(Työkonekanta!$I$3:$I$27,MATCH('S2 Bio'!$A505,Työkonekanta!$A$3:$A$24,0),1)*(I505+J505)*f_adblue,0)</f>
        <v>0</v>
      </c>
      <c r="M505" s="146">
        <f t="shared" si="171"/>
        <v>0</v>
      </c>
      <c r="N505" s="143" t="str">
        <f>IF(tuulisähkö_vuosi&lt;='S2 Bio'!C505,"tuulisähkö",ostosähkö_nyt)</f>
        <v>jäännössähkö</v>
      </c>
      <c r="O505" s="147">
        <f>INDEX(Muuttujat!$J$5:$J$21,MATCH($C505,Muuttujat!$H$5:$H$21,0),1)</f>
        <v>58.961085487844883</v>
      </c>
      <c r="P505" s="148">
        <f t="shared" si="165"/>
        <v>0</v>
      </c>
      <c r="Q505" s="148">
        <f t="shared" si="177"/>
        <v>1</v>
      </c>
      <c r="R505" s="148">
        <f t="shared" si="177"/>
        <v>1</v>
      </c>
      <c r="S505" s="149">
        <f t="shared" si="159"/>
        <v>0</v>
      </c>
      <c r="T505" s="150">
        <f t="shared" si="160"/>
        <v>0</v>
      </c>
      <c r="U505" s="150">
        <f t="shared" si="161"/>
        <v>0</v>
      </c>
      <c r="V505" s="150">
        <f>IFERROR(INDEX(Työkonekanta!$J$3:$J$27,MATCH($A505,Työkonekanta!$A$3:$A$24,0),1)*$B505*ef_li_ion_akku/1000/1000/INDEX(Työkonekanta!$K$3:$K$27,MATCH($A505,Työkonekanta!$A$3:$A$24,0)),0)</f>
        <v>0</v>
      </c>
      <c r="W505" s="149">
        <f t="shared" si="172"/>
        <v>0</v>
      </c>
      <c r="X505" s="150">
        <f t="shared" si="173"/>
        <v>0</v>
      </c>
      <c r="Y505" s="151">
        <f t="shared" si="174"/>
        <v>0</v>
      </c>
      <c r="Z505" s="152">
        <f t="shared" si="166"/>
        <v>0</v>
      </c>
      <c r="AA505" s="153">
        <f t="shared" si="167"/>
        <v>0</v>
      </c>
      <c r="AB505" s="153">
        <f t="shared" si="168"/>
        <v>0</v>
      </c>
      <c r="AC505" s="154">
        <f t="shared" si="175"/>
        <v>0</v>
      </c>
      <c r="AD505" s="180">
        <f t="shared" si="169"/>
        <v>0</v>
      </c>
      <c r="AE505" s="160"/>
    </row>
    <row r="506" spans="1:31">
      <c r="A506" s="139">
        <v>24</v>
      </c>
      <c r="B506" s="139">
        <f>IFERROR(INDEX(Työkonekanta!$F$3:$F$27,MATCH('S2 Bio'!$A506,Työkonekanta!$A$3:$A$24,0),1),0)</f>
        <v>0</v>
      </c>
      <c r="C506" s="140">
        <v>2035</v>
      </c>
      <c r="D506" s="141" t="str">
        <f>IFERROR(INDEX(Työkonekanta!$D$3:$D$27,MATCH('S2 Bio'!$A506,Työkonekanta!$A$3:$A$24,0),1),"undefined")</f>
        <v>undefined</v>
      </c>
      <c r="E506" s="145">
        <f>IFERROR(INDEX(Työkonekanta!$G$3:$G$27,MATCH($A506,Työkonekanta!$A$3:$A$24,0),1)*INDEX(Työkonekanta!$H$3:$H$27,MATCH($A506,Työkonekanta!$A$3:$A$24,0),1)*(1+_xlfn.SINGLE(s2_kerroin)*($C506-2019))*$B506,0)</f>
        <v>0</v>
      </c>
      <c r="F506" s="145">
        <f t="shared" si="156"/>
        <v>0</v>
      </c>
      <c r="G506" s="145">
        <f t="shared" si="162"/>
        <v>0</v>
      </c>
      <c r="H506" s="145">
        <f t="shared" si="163"/>
        <v>0</v>
      </c>
      <c r="I506" s="145">
        <f t="shared" si="157"/>
        <v>0</v>
      </c>
      <c r="J506" s="145">
        <f t="shared" si="158"/>
        <v>0</v>
      </c>
      <c r="K506" s="142" t="str">
        <f t="shared" si="164"/>
        <v>undefined</v>
      </c>
      <c r="L506" s="146">
        <f>IFERROR(INDEX(Työkonekanta!$I$3:$I$27,MATCH('S2 Bio'!$A506,Työkonekanta!$A$3:$A$24,0),1)*(I506+J506)*f_adblue,0)</f>
        <v>0</v>
      </c>
      <c r="M506" s="146">
        <f t="shared" si="171"/>
        <v>0</v>
      </c>
      <c r="N506" s="143" t="str">
        <f>IF(tuulisähkö_vuosi&lt;='S2 Bio'!C506,"tuulisähkö",ostosähkö_nyt)</f>
        <v>jäännössähkö</v>
      </c>
      <c r="O506" s="147">
        <f>INDEX(Muuttujat!$J$5:$J$21,MATCH($C506,Muuttujat!$H$5:$H$21,0),1)</f>
        <v>58.961085487844883</v>
      </c>
      <c r="P506" s="148">
        <f t="shared" si="165"/>
        <v>0</v>
      </c>
      <c r="Q506" s="148">
        <f t="shared" si="177"/>
        <v>1</v>
      </c>
      <c r="R506" s="148">
        <f t="shared" si="177"/>
        <v>1</v>
      </c>
      <c r="S506" s="149">
        <f t="shared" si="159"/>
        <v>0</v>
      </c>
      <c r="T506" s="150">
        <f t="shared" si="160"/>
        <v>0</v>
      </c>
      <c r="U506" s="150">
        <f t="shared" si="161"/>
        <v>0</v>
      </c>
      <c r="V506" s="150">
        <f>IFERROR(INDEX(Työkonekanta!$J$3:$J$27,MATCH($A506,Työkonekanta!$A$3:$A$24,0),1)*$B506*ef_li_ion_akku/1000/1000/INDEX(Työkonekanta!$K$3:$K$27,MATCH($A506,Työkonekanta!$A$3:$A$24,0)),0)</f>
        <v>0</v>
      </c>
      <c r="W506" s="149">
        <f t="shared" si="172"/>
        <v>0</v>
      </c>
      <c r="X506" s="150">
        <f t="shared" si="173"/>
        <v>0</v>
      </c>
      <c r="Y506" s="151">
        <f t="shared" si="174"/>
        <v>0</v>
      </c>
      <c r="Z506" s="152">
        <f t="shared" si="166"/>
        <v>0</v>
      </c>
      <c r="AA506" s="153">
        <f t="shared" si="167"/>
        <v>0</v>
      </c>
      <c r="AB506" s="153">
        <f t="shared" si="168"/>
        <v>0</v>
      </c>
      <c r="AC506" s="154">
        <f t="shared" si="175"/>
        <v>0</v>
      </c>
      <c r="AD506" s="180">
        <f t="shared" si="169"/>
        <v>0</v>
      </c>
      <c r="AE506" s="160"/>
    </row>
    <row r="507" spans="1:31">
      <c r="A507" s="139">
        <v>25</v>
      </c>
      <c r="B507" s="139">
        <f>IFERROR(INDEX(Työkonekanta!$F$3:$F$27,MATCH('S2 Bio'!$A507,Työkonekanta!$A$3:$A$24,0),1),0)</f>
        <v>0</v>
      </c>
      <c r="C507" s="140">
        <v>2035</v>
      </c>
      <c r="D507" s="141" t="str">
        <f>IFERROR(INDEX(Työkonekanta!$D$3:$D$27,MATCH('S2 Bio'!$A507,Työkonekanta!$A$3:$A$24,0),1),"undefined")</f>
        <v>undefined</v>
      </c>
      <c r="E507" s="145">
        <f>IFERROR(INDEX(Työkonekanta!$G$3:$G$27,MATCH($A507,Työkonekanta!$A$3:$A$24,0),1)*INDEX(Työkonekanta!$H$3:$H$27,MATCH($A507,Työkonekanta!$A$3:$A$24,0),1)*(1+_xlfn.SINGLE(s2_kerroin)*($C507-2019))*$B507,0)</f>
        <v>0</v>
      </c>
      <c r="F507" s="145">
        <f t="shared" si="156"/>
        <v>0</v>
      </c>
      <c r="G507" s="145">
        <f t="shared" si="162"/>
        <v>0</v>
      </c>
      <c r="H507" s="145">
        <f t="shared" si="163"/>
        <v>0</v>
      </c>
      <c r="I507" s="145">
        <f t="shared" si="157"/>
        <v>0</v>
      </c>
      <c r="J507" s="145">
        <f t="shared" si="158"/>
        <v>0</v>
      </c>
      <c r="K507" s="142" t="str">
        <f t="shared" si="164"/>
        <v>undefined</v>
      </c>
      <c r="L507" s="146">
        <f>IFERROR(INDEX(Työkonekanta!$I$3:$I$27,MATCH('S2 Bio'!$A507,Työkonekanta!$A$3:$A$24,0),1)*(I507+J507)*f_adblue,0)</f>
        <v>0</v>
      </c>
      <c r="M507" s="146">
        <f t="shared" si="171"/>
        <v>0</v>
      </c>
      <c r="N507" s="143" t="str">
        <f>IF(tuulisähkö_vuosi&lt;='S2 Bio'!C507,"tuulisähkö",ostosähkö_nyt)</f>
        <v>jäännössähkö</v>
      </c>
      <c r="O507" s="147">
        <f>INDEX(Muuttujat!$J$5:$J$21,MATCH($C507,Muuttujat!$H$5:$H$21,0),1)</f>
        <v>58.961085487844883</v>
      </c>
      <c r="P507" s="148">
        <f t="shared" si="165"/>
        <v>0</v>
      </c>
      <c r="Q507" s="148">
        <f t="shared" si="177"/>
        <v>1</v>
      </c>
      <c r="R507" s="148">
        <f t="shared" si="177"/>
        <v>1</v>
      </c>
      <c r="S507" s="149">
        <f t="shared" si="159"/>
        <v>0</v>
      </c>
      <c r="T507" s="150">
        <f t="shared" si="160"/>
        <v>0</v>
      </c>
      <c r="U507" s="150">
        <f t="shared" si="161"/>
        <v>0</v>
      </c>
      <c r="V507" s="150">
        <f>IFERROR(INDEX(Työkonekanta!$J$3:$J$27,MATCH($A507,Työkonekanta!$A$3:$A$24,0),1)*$B507*ef_li_ion_akku/1000/1000/INDEX(Työkonekanta!$K$3:$K$27,MATCH($A507,Työkonekanta!$A$3:$A$24,0)),0)</f>
        <v>0</v>
      </c>
      <c r="W507" s="149">
        <f t="shared" si="172"/>
        <v>0</v>
      </c>
      <c r="X507" s="150">
        <f t="shared" si="173"/>
        <v>0</v>
      </c>
      <c r="Y507" s="151">
        <f t="shared" si="174"/>
        <v>0</v>
      </c>
      <c r="Z507" s="152">
        <f t="shared" si="166"/>
        <v>0</v>
      </c>
      <c r="AA507" s="153">
        <f t="shared" si="167"/>
        <v>0</v>
      </c>
      <c r="AB507" s="153">
        <f t="shared" si="168"/>
        <v>0</v>
      </c>
      <c r="AC507" s="154">
        <f t="shared" si="175"/>
        <v>0</v>
      </c>
      <c r="AD507" s="180">
        <f t="shared" si="169"/>
        <v>0</v>
      </c>
      <c r="AE507" s="160"/>
    </row>
    <row r="508" spans="1:31">
      <c r="A508" s="139">
        <v>26</v>
      </c>
      <c r="B508" s="139">
        <f>IFERROR(INDEX(Työkonekanta!$F$3:$F$27,MATCH('S2 Bio'!$A508,Työkonekanta!$A$3:$A$24,0),1),0)</f>
        <v>0</v>
      </c>
      <c r="C508" s="140">
        <v>2035</v>
      </c>
      <c r="D508" s="141" t="str">
        <f>IFERROR(INDEX(Työkonekanta!$D$3:$D$27,MATCH('S2 Bio'!$A508,Työkonekanta!$A$3:$A$24,0),1),"undefined")</f>
        <v>undefined</v>
      </c>
      <c r="E508" s="145">
        <f>IFERROR(INDEX(Työkonekanta!$G$3:$G$27,MATCH($A508,Työkonekanta!$A$3:$A$24,0),1)*INDEX(Työkonekanta!$H$3:$H$27,MATCH($A508,Työkonekanta!$A$3:$A$24,0),1)*(1+_xlfn.SINGLE(s2_kerroin)*($C508-2019))*$B508,0)</f>
        <v>0</v>
      </c>
      <c r="F508" s="145">
        <f t="shared" si="156"/>
        <v>0</v>
      </c>
      <c r="G508" s="145">
        <f t="shared" si="162"/>
        <v>0</v>
      </c>
      <c r="H508" s="145">
        <f t="shared" si="163"/>
        <v>0</v>
      </c>
      <c r="I508" s="145">
        <f t="shared" si="157"/>
        <v>0</v>
      </c>
      <c r="J508" s="145">
        <f t="shared" si="158"/>
        <v>0</v>
      </c>
      <c r="K508" s="142" t="str">
        <f t="shared" si="164"/>
        <v>undefined</v>
      </c>
      <c r="L508" s="146">
        <f>IFERROR(INDEX(Työkonekanta!$I$3:$I$27,MATCH('S2 Bio'!$A508,Työkonekanta!$A$3:$A$24,0),1)*(I508+J508)*f_adblue,0)</f>
        <v>0</v>
      </c>
      <c r="M508" s="146">
        <f t="shared" si="171"/>
        <v>0</v>
      </c>
      <c r="N508" s="143" t="str">
        <f>IF(tuulisähkö_vuosi&lt;='S2 Bio'!C508,"tuulisähkö",ostosähkö_nyt)</f>
        <v>jäännössähkö</v>
      </c>
      <c r="O508" s="147">
        <f>INDEX(Muuttujat!$J$5:$J$21,MATCH($C508,Muuttujat!$H$5:$H$21,0),1)</f>
        <v>58.961085487844883</v>
      </c>
      <c r="P508" s="148">
        <f t="shared" si="165"/>
        <v>0</v>
      </c>
      <c r="Q508" s="148">
        <f t="shared" si="177"/>
        <v>1</v>
      </c>
      <c r="R508" s="148">
        <f t="shared" si="177"/>
        <v>1</v>
      </c>
      <c r="S508" s="149">
        <f t="shared" si="159"/>
        <v>0</v>
      </c>
      <c r="T508" s="150">
        <f t="shared" si="160"/>
        <v>0</v>
      </c>
      <c r="U508" s="150">
        <f t="shared" si="161"/>
        <v>0</v>
      </c>
      <c r="V508" s="150">
        <f>IFERROR(INDEX(Työkonekanta!$J$3:$J$27,MATCH($A508,Työkonekanta!$A$3:$A$24,0),1)*$B508*ef_li_ion_akku/1000/1000/INDEX(Työkonekanta!$K$3:$K$27,MATCH($A508,Työkonekanta!$A$3:$A$24,0)),0)</f>
        <v>0</v>
      </c>
      <c r="W508" s="149">
        <f t="shared" si="172"/>
        <v>0</v>
      </c>
      <c r="X508" s="150">
        <f t="shared" si="173"/>
        <v>0</v>
      </c>
      <c r="Y508" s="151">
        <f t="shared" si="174"/>
        <v>0</v>
      </c>
      <c r="Z508" s="152">
        <f t="shared" si="166"/>
        <v>0</v>
      </c>
      <c r="AA508" s="153">
        <f t="shared" si="167"/>
        <v>0</v>
      </c>
      <c r="AB508" s="153">
        <f t="shared" si="168"/>
        <v>0</v>
      </c>
      <c r="AC508" s="154">
        <f t="shared" si="175"/>
        <v>0</v>
      </c>
      <c r="AD508" s="180">
        <f t="shared" si="169"/>
        <v>0</v>
      </c>
      <c r="AE508" s="160"/>
    </row>
    <row r="509" spans="1:31">
      <c r="A509" s="139">
        <v>27</v>
      </c>
      <c r="B509" s="139">
        <f>IFERROR(INDEX(Työkonekanta!$F$3:$F$27,MATCH('S2 Bio'!$A509,Työkonekanta!$A$3:$A$24,0),1),0)</f>
        <v>0</v>
      </c>
      <c r="C509" s="140">
        <v>2035</v>
      </c>
      <c r="D509" s="141" t="str">
        <f>IFERROR(INDEX(Työkonekanta!$D$3:$D$27,MATCH('S2 Bio'!$A509,Työkonekanta!$A$3:$A$24,0),1),"undefined")</f>
        <v>undefined</v>
      </c>
      <c r="E509" s="145">
        <f>IFERROR(INDEX(Työkonekanta!$G$3:$G$27,MATCH($A509,Työkonekanta!$A$3:$A$24,0),1)*INDEX(Työkonekanta!$H$3:$H$27,MATCH($A509,Työkonekanta!$A$3:$A$24,0),1)*(1+_xlfn.SINGLE(s2_kerroin)*($C509-2019))*$B509,0)</f>
        <v>0</v>
      </c>
      <c r="F509" s="145">
        <f t="shared" si="156"/>
        <v>0</v>
      </c>
      <c r="G509" s="145">
        <f t="shared" si="162"/>
        <v>0</v>
      </c>
      <c r="H509" s="145">
        <f t="shared" si="163"/>
        <v>0</v>
      </c>
      <c r="I509" s="145">
        <f t="shared" si="157"/>
        <v>0</v>
      </c>
      <c r="J509" s="145">
        <f t="shared" si="158"/>
        <v>0</v>
      </c>
      <c r="K509" s="142" t="str">
        <f t="shared" si="164"/>
        <v>undefined</v>
      </c>
      <c r="L509" s="146">
        <f>IFERROR(INDEX(Työkonekanta!$I$3:$I$27,MATCH('S2 Bio'!$A509,Työkonekanta!$A$3:$A$24,0),1)*(I509+J509)*f_adblue,0)</f>
        <v>0</v>
      </c>
      <c r="M509" s="146">
        <f t="shared" si="171"/>
        <v>0</v>
      </c>
      <c r="N509" s="143" t="str">
        <f>IF(tuulisähkö_vuosi&lt;='S2 Bio'!C509,"tuulisähkö",ostosähkö_nyt)</f>
        <v>jäännössähkö</v>
      </c>
      <c r="O509" s="147">
        <f>INDEX(Muuttujat!$J$5:$J$21,MATCH($C509,Muuttujat!$H$5:$H$21,0),1)</f>
        <v>58.961085487844883</v>
      </c>
      <c r="P509" s="148">
        <f t="shared" si="165"/>
        <v>0</v>
      </c>
      <c r="Q509" s="148">
        <f t="shared" si="177"/>
        <v>1</v>
      </c>
      <c r="R509" s="148">
        <f t="shared" si="177"/>
        <v>1</v>
      </c>
      <c r="S509" s="149">
        <f t="shared" si="159"/>
        <v>0</v>
      </c>
      <c r="T509" s="150">
        <f t="shared" si="160"/>
        <v>0</v>
      </c>
      <c r="U509" s="150">
        <f t="shared" si="161"/>
        <v>0</v>
      </c>
      <c r="V509" s="150">
        <f>IFERROR(INDEX(Työkonekanta!$J$3:$J$27,MATCH($A509,Työkonekanta!$A$3:$A$24,0),1)*$B509*ef_li_ion_akku/1000/1000/INDEX(Työkonekanta!$K$3:$K$27,MATCH($A509,Työkonekanta!$A$3:$A$24,0)),0)</f>
        <v>0</v>
      </c>
      <c r="W509" s="149">
        <f t="shared" si="172"/>
        <v>0</v>
      </c>
      <c r="X509" s="150">
        <f t="shared" si="173"/>
        <v>0</v>
      </c>
      <c r="Y509" s="151">
        <f t="shared" si="174"/>
        <v>0</v>
      </c>
      <c r="Z509" s="152">
        <f t="shared" si="166"/>
        <v>0</v>
      </c>
      <c r="AA509" s="153">
        <f t="shared" si="167"/>
        <v>0</v>
      </c>
      <c r="AB509" s="153">
        <f t="shared" si="168"/>
        <v>0</v>
      </c>
      <c r="AC509" s="154">
        <f t="shared" si="175"/>
        <v>0</v>
      </c>
      <c r="AD509" s="180">
        <f t="shared" si="169"/>
        <v>0</v>
      </c>
      <c r="AE509" s="160"/>
    </row>
    <row r="510" spans="1:31">
      <c r="A510" s="139">
        <v>28</v>
      </c>
      <c r="B510" s="139">
        <f>IFERROR(INDEX(Työkonekanta!$F$3:$F$27,MATCH('S2 Bio'!$A510,Työkonekanta!$A$3:$A$24,0),1),0)</f>
        <v>0</v>
      </c>
      <c r="C510" s="140">
        <v>2035</v>
      </c>
      <c r="D510" s="141" t="str">
        <f>IFERROR(INDEX(Työkonekanta!$D$3:$D$27,MATCH('S2 Bio'!$A510,Työkonekanta!$A$3:$A$24,0),1),"undefined")</f>
        <v>undefined</v>
      </c>
      <c r="E510" s="145">
        <f>IFERROR(INDEX(Työkonekanta!$G$3:$G$27,MATCH($A510,Työkonekanta!$A$3:$A$24,0),1)*INDEX(Työkonekanta!$H$3:$H$27,MATCH($A510,Työkonekanta!$A$3:$A$24,0),1)*(1+_xlfn.SINGLE(s2_kerroin)*($C510-2019))*$B510,0)</f>
        <v>0</v>
      </c>
      <c r="F510" s="145">
        <f t="shared" si="156"/>
        <v>0</v>
      </c>
      <c r="G510" s="145">
        <f t="shared" si="162"/>
        <v>0</v>
      </c>
      <c r="H510" s="145">
        <f t="shared" si="163"/>
        <v>0</v>
      </c>
      <c r="I510" s="145">
        <f t="shared" si="157"/>
        <v>0</v>
      </c>
      <c r="J510" s="145">
        <f t="shared" si="158"/>
        <v>0</v>
      </c>
      <c r="K510" s="142" t="str">
        <f t="shared" si="164"/>
        <v>undefined</v>
      </c>
      <c r="L510" s="146">
        <f>IFERROR(INDEX(Työkonekanta!$I$3:$I$27,MATCH('S2 Bio'!$A510,Työkonekanta!$A$3:$A$24,0),1)*(I510+J510)*f_adblue,0)</f>
        <v>0</v>
      </c>
      <c r="M510" s="146">
        <f t="shared" si="171"/>
        <v>0</v>
      </c>
      <c r="N510" s="143" t="str">
        <f>IF(tuulisähkö_vuosi&lt;='S2 Bio'!C510,"tuulisähkö",ostosähkö_nyt)</f>
        <v>jäännössähkö</v>
      </c>
      <c r="O510" s="147">
        <f>INDEX(Muuttujat!$J$5:$J$21,MATCH($C510,Muuttujat!$H$5:$H$21,0),1)</f>
        <v>58.961085487844883</v>
      </c>
      <c r="P510" s="148">
        <f t="shared" si="165"/>
        <v>0</v>
      </c>
      <c r="Q510" s="148">
        <f t="shared" si="177"/>
        <v>1</v>
      </c>
      <c r="R510" s="148">
        <f t="shared" si="177"/>
        <v>1</v>
      </c>
      <c r="S510" s="149">
        <f t="shared" si="159"/>
        <v>0</v>
      </c>
      <c r="T510" s="150">
        <f t="shared" si="160"/>
        <v>0</v>
      </c>
      <c r="U510" s="150">
        <f t="shared" si="161"/>
        <v>0</v>
      </c>
      <c r="V510" s="150">
        <f>IFERROR(INDEX(Työkonekanta!$J$3:$J$27,MATCH($A510,Työkonekanta!$A$3:$A$24,0),1)*$B510*ef_li_ion_akku/1000/1000/INDEX(Työkonekanta!$K$3:$K$27,MATCH($A510,Työkonekanta!$A$3:$A$24,0)),0)</f>
        <v>0</v>
      </c>
      <c r="W510" s="149">
        <f t="shared" si="172"/>
        <v>0</v>
      </c>
      <c r="X510" s="150">
        <f t="shared" si="173"/>
        <v>0</v>
      </c>
      <c r="Y510" s="151">
        <f t="shared" si="174"/>
        <v>0</v>
      </c>
      <c r="Z510" s="152">
        <f t="shared" si="166"/>
        <v>0</v>
      </c>
      <c r="AA510" s="153">
        <f t="shared" si="167"/>
        <v>0</v>
      </c>
      <c r="AB510" s="153">
        <f t="shared" si="168"/>
        <v>0</v>
      </c>
      <c r="AC510" s="154">
        <f t="shared" si="175"/>
        <v>0</v>
      </c>
      <c r="AD510" s="180">
        <f t="shared" si="169"/>
        <v>0</v>
      </c>
      <c r="AE510" s="160"/>
    </row>
    <row r="511" spans="1:31">
      <c r="A511" s="139">
        <v>29</v>
      </c>
      <c r="B511" s="139">
        <f>IFERROR(INDEX(Työkonekanta!$F$3:$F$27,MATCH('S2 Bio'!$A511,Työkonekanta!$A$3:$A$24,0),1),0)</f>
        <v>0</v>
      </c>
      <c r="C511" s="140">
        <v>2035</v>
      </c>
      <c r="D511" s="141" t="str">
        <f>IFERROR(INDEX(Työkonekanta!$D$3:$D$27,MATCH('S2 Bio'!$A511,Työkonekanta!$A$3:$A$24,0),1),"undefined")</f>
        <v>undefined</v>
      </c>
      <c r="E511" s="145">
        <f>IFERROR(INDEX(Työkonekanta!$G$3:$G$27,MATCH($A511,Työkonekanta!$A$3:$A$24,0),1)*INDEX(Työkonekanta!$H$3:$H$27,MATCH($A511,Työkonekanta!$A$3:$A$24,0),1)*(1+_xlfn.SINGLE(s2_kerroin)*($C511-2019))*$B511,0)</f>
        <v>0</v>
      </c>
      <c r="F511" s="145">
        <f t="shared" si="156"/>
        <v>0</v>
      </c>
      <c r="G511" s="145">
        <f t="shared" si="162"/>
        <v>0</v>
      </c>
      <c r="H511" s="145">
        <f t="shared" si="163"/>
        <v>0</v>
      </c>
      <c r="I511" s="145">
        <f t="shared" si="157"/>
        <v>0</v>
      </c>
      <c r="J511" s="145">
        <f t="shared" si="158"/>
        <v>0</v>
      </c>
      <c r="K511" s="142" t="str">
        <f t="shared" si="164"/>
        <v>undefined</v>
      </c>
      <c r="L511" s="146">
        <f>IFERROR(INDEX(Työkonekanta!$I$3:$I$27,MATCH('S2 Bio'!$A511,Työkonekanta!$A$3:$A$24,0),1)*(I511+J511)*f_adblue,0)</f>
        <v>0</v>
      </c>
      <c r="M511" s="146">
        <f t="shared" si="171"/>
        <v>0</v>
      </c>
      <c r="N511" s="143" t="str">
        <f>IF(tuulisähkö_vuosi&lt;='S2 Bio'!C511,"tuulisähkö",ostosähkö_nyt)</f>
        <v>jäännössähkö</v>
      </c>
      <c r="O511" s="147">
        <f>INDEX(Muuttujat!$J$5:$J$21,MATCH($C511,Muuttujat!$H$5:$H$21,0),1)</f>
        <v>58.961085487844883</v>
      </c>
      <c r="P511" s="148">
        <f t="shared" si="165"/>
        <v>0</v>
      </c>
      <c r="Q511" s="148">
        <f t="shared" si="177"/>
        <v>1</v>
      </c>
      <c r="R511" s="148">
        <f t="shared" si="177"/>
        <v>1</v>
      </c>
      <c r="S511" s="149">
        <f t="shared" si="159"/>
        <v>0</v>
      </c>
      <c r="T511" s="150">
        <f t="shared" si="160"/>
        <v>0</v>
      </c>
      <c r="U511" s="150">
        <f t="shared" si="161"/>
        <v>0</v>
      </c>
      <c r="V511" s="150">
        <f>IFERROR(INDEX(Työkonekanta!$J$3:$J$27,MATCH($A511,Työkonekanta!$A$3:$A$24,0),1)*$B511*ef_li_ion_akku/1000/1000/INDEX(Työkonekanta!$K$3:$K$27,MATCH($A511,Työkonekanta!$A$3:$A$24,0)),0)</f>
        <v>0</v>
      </c>
      <c r="W511" s="149">
        <f t="shared" si="172"/>
        <v>0</v>
      </c>
      <c r="X511" s="150">
        <f t="shared" si="173"/>
        <v>0</v>
      </c>
      <c r="Y511" s="151">
        <f t="shared" si="174"/>
        <v>0</v>
      </c>
      <c r="Z511" s="152">
        <f t="shared" si="166"/>
        <v>0</v>
      </c>
      <c r="AA511" s="153">
        <f t="shared" si="167"/>
        <v>0</v>
      </c>
      <c r="AB511" s="153">
        <f t="shared" si="168"/>
        <v>0</v>
      </c>
      <c r="AC511" s="154">
        <f t="shared" si="175"/>
        <v>0</v>
      </c>
      <c r="AD511" s="180">
        <f t="shared" si="169"/>
        <v>0</v>
      </c>
      <c r="AE511" s="160"/>
    </row>
    <row r="512" spans="1:31">
      <c r="A512" s="165">
        <v>30</v>
      </c>
      <c r="B512" s="165">
        <f>IFERROR(INDEX(Työkonekanta!$F$3:$F$27,MATCH('S2 Bio'!$A512,Työkonekanta!$A$3:$A$24,0),1),0)</f>
        <v>0</v>
      </c>
      <c r="C512" s="165">
        <v>2035</v>
      </c>
      <c r="D512" s="166" t="str">
        <f>IFERROR(INDEX(Työkonekanta!$D$3:$D$27,MATCH('S2 Bio'!$A512,Työkonekanta!$A$3:$A$24,0),1),"undefined")</f>
        <v>undefined</v>
      </c>
      <c r="E512" s="167">
        <f>IFERROR(INDEX(Työkonekanta!$G$3:$G$27,MATCH($A512,Työkonekanta!$A$3:$A$24,0),1)*INDEX(Työkonekanta!$H$3:$H$27,MATCH($A512,Työkonekanta!$A$3:$A$24,0),1)*(1+_xlfn.SINGLE(s2_kerroin)*($C512-2019))*$B512,0)</f>
        <v>0</v>
      </c>
      <c r="F512" s="145">
        <f t="shared" si="156"/>
        <v>0</v>
      </c>
      <c r="G512" s="145">
        <f t="shared" si="162"/>
        <v>0</v>
      </c>
      <c r="H512" s="145">
        <f t="shared" si="163"/>
        <v>0</v>
      </c>
      <c r="I512" s="145">
        <f t="shared" si="157"/>
        <v>0</v>
      </c>
      <c r="J512" s="145">
        <f t="shared" si="158"/>
        <v>0</v>
      </c>
      <c r="K512" s="168" t="str">
        <f t="shared" si="164"/>
        <v>undefined</v>
      </c>
      <c r="L512" s="167">
        <f>IFERROR(INDEX(Työkonekanta!$I$3:$I$27,MATCH('S2 Bio'!$A512,Työkonekanta!$A$3:$A$24,0),1)*(I512+J512)*f_adblue,0)</f>
        <v>0</v>
      </c>
      <c r="M512" s="167">
        <f t="shared" si="171"/>
        <v>0</v>
      </c>
      <c r="N512" s="169" t="str">
        <f>IF(tuulisähkö_vuosi&lt;='S2 Bio'!C512,"tuulisähkö",ostosähkö_nyt)</f>
        <v>jäännössähkö</v>
      </c>
      <c r="O512" s="170">
        <f>INDEX(Muuttujat!$J$5:$J$21,MATCH($C512,Muuttujat!$H$5:$H$21,0),1)</f>
        <v>58.961085487844883</v>
      </c>
      <c r="P512" s="148">
        <f t="shared" si="165"/>
        <v>0</v>
      </c>
      <c r="Q512" s="148">
        <f t="shared" si="177"/>
        <v>1</v>
      </c>
      <c r="R512" s="171">
        <f t="shared" si="177"/>
        <v>1</v>
      </c>
      <c r="S512" s="149">
        <f t="shared" si="159"/>
        <v>0</v>
      </c>
      <c r="T512" s="150">
        <f t="shared" si="160"/>
        <v>0</v>
      </c>
      <c r="U512" s="173">
        <f t="shared" si="161"/>
        <v>0</v>
      </c>
      <c r="V512" s="173">
        <f>IFERROR(INDEX(Työkonekanta!$J$3:$J$27,MATCH($A512,Työkonekanta!$A$3:$A$24,0),1)*$B512*ef_li_ion_akku/1000/1000/INDEX(Työkonekanta!$K$3:$K$27,MATCH($A512,Työkonekanta!$A$3:$A$24,0)),0)</f>
        <v>0</v>
      </c>
      <c r="W512" s="172">
        <f t="shared" si="172"/>
        <v>0</v>
      </c>
      <c r="X512" s="173">
        <f t="shared" si="173"/>
        <v>0</v>
      </c>
      <c r="Y512" s="174">
        <f t="shared" si="174"/>
        <v>0</v>
      </c>
      <c r="Z512" s="175">
        <f t="shared" si="166"/>
        <v>0</v>
      </c>
      <c r="AA512" s="176">
        <f t="shared" si="167"/>
        <v>0</v>
      </c>
      <c r="AB512" s="176">
        <f t="shared" si="168"/>
        <v>0</v>
      </c>
      <c r="AC512" s="177">
        <f t="shared" si="175"/>
        <v>0</v>
      </c>
      <c r="AD512" s="177">
        <f t="shared" si="169"/>
        <v>0</v>
      </c>
      <c r="AE512" s="160"/>
    </row>
    <row r="513" spans="4:31">
      <c r="D513" s="160"/>
      <c r="F513" s="145">
        <f t="shared" si="156"/>
        <v>0</v>
      </c>
      <c r="G513" s="145" t="e">
        <f t="shared" si="162"/>
        <v>#N/A</v>
      </c>
      <c r="H513" s="145" t="e">
        <f t="shared" si="163"/>
        <v>#N/A</v>
      </c>
      <c r="P513" s="148" t="e">
        <f t="shared" si="165"/>
        <v>#N/A</v>
      </c>
      <c r="Q513" s="148" t="e">
        <f t="shared" ref="Q513:Q544" si="178">IF(biosiirtymä_luonne="äkillinen",INDEX($AG$4:$AG$20,MATCH($C513,$AF$4:$AF$20,0),1),INDEX($AH$4:$AH$20,MATCH($C513,$AF$4:$AF$20,0),1))</f>
        <v>#N/A</v>
      </c>
      <c r="R513" s="162"/>
      <c r="S513" s="163"/>
      <c r="T513" s="163"/>
      <c r="U513" s="163"/>
      <c r="V513" s="163"/>
      <c r="W513" s="163"/>
      <c r="X513" s="163"/>
      <c r="Y513" s="160"/>
      <c r="Z513" s="164"/>
      <c r="AA513" s="164"/>
      <c r="AB513" s="164"/>
      <c r="AC513" s="164"/>
      <c r="AD513" s="164"/>
      <c r="AE513" s="160"/>
    </row>
    <row r="514" spans="4:31">
      <c r="D514" s="160"/>
      <c r="F514" s="145">
        <f t="shared" si="156"/>
        <v>0</v>
      </c>
      <c r="G514" s="145" t="e">
        <f t="shared" si="162"/>
        <v>#N/A</v>
      </c>
      <c r="H514" s="145" t="e">
        <f t="shared" si="163"/>
        <v>#N/A</v>
      </c>
      <c r="P514" s="148" t="e">
        <f t="shared" si="165"/>
        <v>#N/A</v>
      </c>
      <c r="Q514" s="148" t="e">
        <f t="shared" si="178"/>
        <v>#N/A</v>
      </c>
      <c r="R514" s="162"/>
      <c r="S514" s="163"/>
      <c r="T514" s="163"/>
      <c r="U514" s="163"/>
      <c r="V514" s="163"/>
      <c r="W514" s="163"/>
      <c r="X514" s="163"/>
      <c r="Y514" s="160"/>
      <c r="Z514" s="164"/>
      <c r="AA514" s="164"/>
      <c r="AB514" s="164"/>
      <c r="AC514" s="164"/>
      <c r="AD514" s="164"/>
      <c r="AE514" s="160"/>
    </row>
    <row r="515" spans="4:31">
      <c r="D515" s="160"/>
      <c r="F515" s="145">
        <f t="shared" ref="F515:F578" si="179">IF(D515="pom",$E515*hv_pom,0)</f>
        <v>0</v>
      </c>
      <c r="G515" s="145" t="e">
        <f t="shared" si="162"/>
        <v>#N/A</v>
      </c>
      <c r="H515" s="145" t="e">
        <f t="shared" si="163"/>
        <v>#N/A</v>
      </c>
      <c r="P515" s="148" t="e">
        <f t="shared" si="165"/>
        <v>#N/A</v>
      </c>
      <c r="Q515" s="148" t="e">
        <f t="shared" si="178"/>
        <v>#N/A</v>
      </c>
      <c r="R515" s="162"/>
      <c r="S515" s="163"/>
      <c r="T515" s="163"/>
      <c r="U515" s="163"/>
      <c r="V515" s="163"/>
      <c r="W515" s="163"/>
      <c r="X515" s="163"/>
      <c r="Y515" s="160"/>
      <c r="Z515" s="164"/>
      <c r="AA515" s="164"/>
      <c r="AB515" s="164"/>
      <c r="AC515" s="164"/>
      <c r="AD515" s="164"/>
      <c r="AE515" s="160"/>
    </row>
    <row r="516" spans="4:31">
      <c r="D516" s="160"/>
      <c r="F516" s="145">
        <f t="shared" si="179"/>
        <v>0</v>
      </c>
      <c r="G516" s="145" t="e">
        <f t="shared" ref="G516:G579" si="180">$F516*$P516</f>
        <v>#N/A</v>
      </c>
      <c r="H516" s="145" t="e">
        <f t="shared" ref="H516:H579" si="181">$F516*$Q516</f>
        <v>#N/A</v>
      </c>
      <c r="P516" s="148" t="e">
        <f t="shared" ref="P516:P579" si="182">1-Q516</f>
        <v>#N/A</v>
      </c>
      <c r="Q516" s="148" t="e">
        <f t="shared" si="178"/>
        <v>#N/A</v>
      </c>
      <c r="R516" s="162"/>
      <c r="S516" s="163"/>
      <c r="T516" s="163"/>
      <c r="U516" s="163"/>
      <c r="V516" s="163"/>
      <c r="W516" s="163"/>
      <c r="X516" s="163"/>
      <c r="Y516" s="160"/>
      <c r="Z516" s="164"/>
      <c r="AA516" s="164"/>
      <c r="AB516" s="164"/>
      <c r="AC516" s="164"/>
      <c r="AD516" s="164"/>
      <c r="AE516" s="160"/>
    </row>
    <row r="517" spans="4:31">
      <c r="D517" s="160"/>
      <c r="F517" s="145">
        <f t="shared" si="179"/>
        <v>0</v>
      </c>
      <c r="G517" s="145" t="e">
        <f t="shared" si="180"/>
        <v>#N/A</v>
      </c>
      <c r="H517" s="145" t="e">
        <f t="shared" si="181"/>
        <v>#N/A</v>
      </c>
      <c r="P517" s="148" t="e">
        <f t="shared" si="182"/>
        <v>#N/A</v>
      </c>
      <c r="Q517" s="148" t="e">
        <f t="shared" si="178"/>
        <v>#N/A</v>
      </c>
      <c r="R517" s="162"/>
      <c r="S517" s="163"/>
      <c r="T517" s="163"/>
      <c r="U517" s="163"/>
      <c r="V517" s="163"/>
      <c r="W517" s="163"/>
      <c r="X517" s="163"/>
      <c r="Y517" s="160"/>
      <c r="Z517" s="164"/>
      <c r="AA517" s="164"/>
      <c r="AB517" s="164"/>
      <c r="AC517" s="164"/>
      <c r="AD517" s="164"/>
      <c r="AE517" s="160"/>
    </row>
    <row r="518" spans="4:31">
      <c r="D518" s="160"/>
      <c r="F518" s="145">
        <f t="shared" si="179"/>
        <v>0</v>
      </c>
      <c r="G518" s="145" t="e">
        <f t="shared" si="180"/>
        <v>#N/A</v>
      </c>
      <c r="H518" s="145" t="e">
        <f t="shared" si="181"/>
        <v>#N/A</v>
      </c>
      <c r="P518" s="148" t="e">
        <f t="shared" si="182"/>
        <v>#N/A</v>
      </c>
      <c r="Q518" s="148" t="e">
        <f t="shared" si="178"/>
        <v>#N/A</v>
      </c>
      <c r="R518" s="162"/>
      <c r="S518" s="163"/>
      <c r="T518" s="163"/>
      <c r="U518" s="163"/>
      <c r="V518" s="163"/>
      <c r="W518" s="163"/>
      <c r="X518" s="163"/>
      <c r="Y518" s="160"/>
      <c r="Z518" s="164"/>
      <c r="AA518" s="164"/>
      <c r="AB518" s="164"/>
      <c r="AC518" s="164"/>
      <c r="AD518" s="164"/>
      <c r="AE518" s="160"/>
    </row>
    <row r="519" spans="4:31">
      <c r="D519" s="160"/>
      <c r="F519" s="145">
        <f t="shared" si="179"/>
        <v>0</v>
      </c>
      <c r="G519" s="145" t="e">
        <f t="shared" si="180"/>
        <v>#N/A</v>
      </c>
      <c r="H519" s="145" t="e">
        <f t="shared" si="181"/>
        <v>#N/A</v>
      </c>
      <c r="P519" s="148" t="e">
        <f t="shared" si="182"/>
        <v>#N/A</v>
      </c>
      <c r="Q519" s="148" t="e">
        <f t="shared" si="178"/>
        <v>#N/A</v>
      </c>
      <c r="R519" s="162"/>
      <c r="S519" s="163"/>
      <c r="T519" s="163"/>
      <c r="U519" s="163"/>
      <c r="V519" s="163"/>
      <c r="W519" s="163"/>
      <c r="X519" s="163"/>
      <c r="Y519" s="160"/>
      <c r="Z519" s="164"/>
      <c r="AA519" s="164"/>
      <c r="AB519" s="164"/>
      <c r="AC519" s="164"/>
      <c r="AD519" s="164"/>
      <c r="AE519" s="160"/>
    </row>
    <row r="520" spans="4:31">
      <c r="D520" s="160"/>
      <c r="F520" s="145">
        <f t="shared" si="179"/>
        <v>0</v>
      </c>
      <c r="G520" s="145" t="e">
        <f t="shared" si="180"/>
        <v>#N/A</v>
      </c>
      <c r="H520" s="145" t="e">
        <f t="shared" si="181"/>
        <v>#N/A</v>
      </c>
      <c r="P520" s="148" t="e">
        <f t="shared" si="182"/>
        <v>#N/A</v>
      </c>
      <c r="Q520" s="148" t="e">
        <f t="shared" si="178"/>
        <v>#N/A</v>
      </c>
      <c r="R520" s="162"/>
      <c r="S520" s="163"/>
      <c r="T520" s="163"/>
      <c r="U520" s="163"/>
      <c r="V520" s="163"/>
      <c r="W520" s="163"/>
      <c r="X520" s="163"/>
      <c r="Y520" s="160"/>
      <c r="Z520" s="164"/>
      <c r="AA520" s="164"/>
      <c r="AB520" s="164"/>
      <c r="AC520" s="164"/>
      <c r="AD520" s="164"/>
      <c r="AE520" s="160"/>
    </row>
    <row r="521" spans="4:31">
      <c r="D521" s="160"/>
      <c r="F521" s="145">
        <f t="shared" si="179"/>
        <v>0</v>
      </c>
      <c r="G521" s="145" t="e">
        <f t="shared" si="180"/>
        <v>#N/A</v>
      </c>
      <c r="H521" s="145" t="e">
        <f t="shared" si="181"/>
        <v>#N/A</v>
      </c>
      <c r="P521" s="148" t="e">
        <f t="shared" si="182"/>
        <v>#N/A</v>
      </c>
      <c r="Q521" s="148" t="e">
        <f t="shared" si="178"/>
        <v>#N/A</v>
      </c>
      <c r="R521" s="162"/>
      <c r="S521" s="163"/>
      <c r="T521" s="163"/>
      <c r="U521" s="163"/>
      <c r="V521" s="163"/>
      <c r="W521" s="163"/>
      <c r="X521" s="163"/>
      <c r="Y521" s="160"/>
      <c r="Z521" s="164"/>
      <c r="AA521" s="164"/>
      <c r="AB521" s="164"/>
      <c r="AC521" s="164"/>
      <c r="AD521" s="164"/>
      <c r="AE521" s="160"/>
    </row>
    <row r="522" spans="4:31">
      <c r="D522" s="160"/>
      <c r="F522" s="145">
        <f t="shared" si="179"/>
        <v>0</v>
      </c>
      <c r="G522" s="145" t="e">
        <f t="shared" si="180"/>
        <v>#N/A</v>
      </c>
      <c r="H522" s="145" t="e">
        <f t="shared" si="181"/>
        <v>#N/A</v>
      </c>
      <c r="P522" s="148" t="e">
        <f t="shared" si="182"/>
        <v>#N/A</v>
      </c>
      <c r="Q522" s="148" t="e">
        <f t="shared" si="178"/>
        <v>#N/A</v>
      </c>
      <c r="R522" s="162"/>
      <c r="S522" s="163"/>
      <c r="T522" s="163"/>
      <c r="U522" s="163"/>
      <c r="V522" s="163"/>
      <c r="W522" s="163"/>
      <c r="X522" s="163"/>
      <c r="Y522" s="160"/>
      <c r="Z522" s="164"/>
      <c r="AA522" s="164"/>
      <c r="AB522" s="164"/>
      <c r="AC522" s="164"/>
      <c r="AD522" s="164"/>
      <c r="AE522" s="160"/>
    </row>
    <row r="523" spans="4:31">
      <c r="D523" s="160"/>
      <c r="F523" s="145">
        <f t="shared" si="179"/>
        <v>0</v>
      </c>
      <c r="G523" s="145" t="e">
        <f t="shared" si="180"/>
        <v>#N/A</v>
      </c>
      <c r="H523" s="145" t="e">
        <f t="shared" si="181"/>
        <v>#N/A</v>
      </c>
      <c r="P523" s="148" t="e">
        <f t="shared" si="182"/>
        <v>#N/A</v>
      </c>
      <c r="Q523" s="148" t="e">
        <f t="shared" si="178"/>
        <v>#N/A</v>
      </c>
      <c r="R523" s="162"/>
      <c r="S523" s="163"/>
      <c r="T523" s="163"/>
      <c r="U523" s="163"/>
      <c r="V523" s="163"/>
      <c r="W523" s="163"/>
      <c r="X523" s="163"/>
      <c r="Y523" s="160"/>
      <c r="Z523" s="164"/>
      <c r="AA523" s="164"/>
      <c r="AB523" s="164"/>
      <c r="AC523" s="164"/>
      <c r="AD523" s="164"/>
      <c r="AE523" s="160"/>
    </row>
    <row r="524" spans="4:31">
      <c r="D524" s="160"/>
      <c r="F524" s="145">
        <f t="shared" si="179"/>
        <v>0</v>
      </c>
      <c r="G524" s="145" t="e">
        <f t="shared" si="180"/>
        <v>#N/A</v>
      </c>
      <c r="H524" s="145" t="e">
        <f t="shared" si="181"/>
        <v>#N/A</v>
      </c>
      <c r="P524" s="148" t="e">
        <f t="shared" si="182"/>
        <v>#N/A</v>
      </c>
      <c r="Q524" s="148" t="e">
        <f t="shared" si="178"/>
        <v>#N/A</v>
      </c>
      <c r="R524" s="162"/>
      <c r="S524" s="163"/>
      <c r="T524" s="163"/>
      <c r="U524" s="163"/>
      <c r="V524" s="163"/>
      <c r="W524" s="163"/>
      <c r="X524" s="163"/>
      <c r="Y524" s="160"/>
      <c r="Z524" s="164"/>
      <c r="AA524" s="164"/>
      <c r="AB524" s="164"/>
      <c r="AC524" s="164"/>
      <c r="AD524" s="164"/>
      <c r="AE524" s="160"/>
    </row>
    <row r="525" spans="4:31">
      <c r="D525" s="160"/>
      <c r="F525" s="145">
        <f t="shared" si="179"/>
        <v>0</v>
      </c>
      <c r="G525" s="145" t="e">
        <f t="shared" si="180"/>
        <v>#N/A</v>
      </c>
      <c r="H525" s="145" t="e">
        <f t="shared" si="181"/>
        <v>#N/A</v>
      </c>
      <c r="P525" s="148" t="e">
        <f t="shared" si="182"/>
        <v>#N/A</v>
      </c>
      <c r="Q525" s="148" t="e">
        <f t="shared" si="178"/>
        <v>#N/A</v>
      </c>
      <c r="R525" s="162"/>
      <c r="S525" s="163"/>
      <c r="T525" s="163"/>
      <c r="U525" s="163"/>
      <c r="V525" s="163"/>
      <c r="W525" s="163"/>
      <c r="X525" s="163"/>
      <c r="Y525" s="160"/>
      <c r="Z525" s="164"/>
      <c r="AA525" s="164"/>
      <c r="AB525" s="164"/>
      <c r="AC525" s="164"/>
      <c r="AD525" s="164"/>
      <c r="AE525" s="160"/>
    </row>
    <row r="526" spans="4:31">
      <c r="D526" s="160"/>
      <c r="F526" s="145">
        <f t="shared" si="179"/>
        <v>0</v>
      </c>
      <c r="G526" s="145" t="e">
        <f t="shared" si="180"/>
        <v>#N/A</v>
      </c>
      <c r="H526" s="145" t="e">
        <f t="shared" si="181"/>
        <v>#N/A</v>
      </c>
      <c r="P526" s="148" t="e">
        <f t="shared" si="182"/>
        <v>#N/A</v>
      </c>
      <c r="Q526" s="148" t="e">
        <f t="shared" si="178"/>
        <v>#N/A</v>
      </c>
      <c r="R526" s="162"/>
      <c r="S526" s="163"/>
      <c r="T526" s="163"/>
      <c r="U526" s="163"/>
      <c r="V526" s="163"/>
      <c r="W526" s="163"/>
      <c r="X526" s="163"/>
      <c r="Y526" s="160"/>
      <c r="Z526" s="164"/>
      <c r="AA526" s="164"/>
      <c r="AB526" s="164"/>
      <c r="AC526" s="164"/>
      <c r="AD526" s="164"/>
      <c r="AE526" s="160"/>
    </row>
    <row r="527" spans="4:31">
      <c r="D527" s="160"/>
      <c r="F527" s="145">
        <f t="shared" si="179"/>
        <v>0</v>
      </c>
      <c r="G527" s="145" t="e">
        <f t="shared" si="180"/>
        <v>#N/A</v>
      </c>
      <c r="H527" s="145" t="e">
        <f t="shared" si="181"/>
        <v>#N/A</v>
      </c>
      <c r="P527" s="148" t="e">
        <f t="shared" si="182"/>
        <v>#N/A</v>
      </c>
      <c r="Q527" s="148" t="e">
        <f t="shared" si="178"/>
        <v>#N/A</v>
      </c>
      <c r="R527" s="162"/>
      <c r="S527" s="163"/>
      <c r="T527" s="163"/>
      <c r="U527" s="163"/>
      <c r="V527" s="163"/>
      <c r="W527" s="163"/>
      <c r="X527" s="163"/>
      <c r="Y527" s="160"/>
      <c r="Z527" s="164"/>
      <c r="AA527" s="164"/>
      <c r="AB527" s="164"/>
      <c r="AC527" s="164"/>
      <c r="AD527" s="164"/>
      <c r="AE527" s="160"/>
    </row>
    <row r="528" spans="4:31">
      <c r="D528" s="160"/>
      <c r="F528" s="145">
        <f t="shared" si="179"/>
        <v>0</v>
      </c>
      <c r="G528" s="145" t="e">
        <f t="shared" si="180"/>
        <v>#N/A</v>
      </c>
      <c r="H528" s="145" t="e">
        <f t="shared" si="181"/>
        <v>#N/A</v>
      </c>
      <c r="P528" s="148" t="e">
        <f t="shared" si="182"/>
        <v>#N/A</v>
      </c>
      <c r="Q528" s="148" t="e">
        <f t="shared" si="178"/>
        <v>#N/A</v>
      </c>
      <c r="R528" s="162"/>
      <c r="S528" s="163"/>
      <c r="T528" s="163"/>
      <c r="U528" s="163"/>
      <c r="V528" s="163"/>
      <c r="W528" s="163"/>
      <c r="X528" s="163"/>
      <c r="Y528" s="160"/>
      <c r="Z528" s="164"/>
      <c r="AA528" s="164"/>
      <c r="AB528" s="164"/>
      <c r="AC528" s="164"/>
      <c r="AD528" s="164"/>
      <c r="AE528" s="160"/>
    </row>
    <row r="529" spans="4:31">
      <c r="D529" s="160"/>
      <c r="F529" s="145">
        <f t="shared" si="179"/>
        <v>0</v>
      </c>
      <c r="G529" s="145" t="e">
        <f t="shared" si="180"/>
        <v>#N/A</v>
      </c>
      <c r="H529" s="145" t="e">
        <f t="shared" si="181"/>
        <v>#N/A</v>
      </c>
      <c r="P529" s="148" t="e">
        <f t="shared" si="182"/>
        <v>#N/A</v>
      </c>
      <c r="Q529" s="148" t="e">
        <f t="shared" si="178"/>
        <v>#N/A</v>
      </c>
      <c r="R529" s="162"/>
      <c r="S529" s="163"/>
      <c r="T529" s="163"/>
      <c r="U529" s="163"/>
      <c r="V529" s="163"/>
      <c r="W529" s="163"/>
      <c r="X529" s="163"/>
      <c r="Y529" s="160"/>
      <c r="Z529" s="164"/>
      <c r="AA529" s="164"/>
      <c r="AB529" s="164"/>
      <c r="AC529" s="164"/>
      <c r="AD529" s="164"/>
      <c r="AE529" s="160"/>
    </row>
    <row r="530" spans="4:31">
      <c r="D530" s="160"/>
      <c r="F530" s="145">
        <f t="shared" si="179"/>
        <v>0</v>
      </c>
      <c r="G530" s="145" t="e">
        <f t="shared" si="180"/>
        <v>#N/A</v>
      </c>
      <c r="H530" s="145" t="e">
        <f t="shared" si="181"/>
        <v>#N/A</v>
      </c>
      <c r="P530" s="148" t="e">
        <f t="shared" si="182"/>
        <v>#N/A</v>
      </c>
      <c r="Q530" s="148" t="e">
        <f t="shared" si="178"/>
        <v>#N/A</v>
      </c>
      <c r="R530" s="162"/>
      <c r="S530" s="163"/>
      <c r="T530" s="163"/>
      <c r="U530" s="163"/>
      <c r="V530" s="163"/>
      <c r="W530" s="163"/>
      <c r="X530" s="163"/>
      <c r="Y530" s="160"/>
      <c r="Z530" s="164"/>
      <c r="AA530" s="164"/>
      <c r="AB530" s="164"/>
      <c r="AC530" s="164"/>
      <c r="AD530" s="164"/>
      <c r="AE530" s="160"/>
    </row>
    <row r="531" spans="4:31">
      <c r="D531" s="160"/>
      <c r="F531" s="145">
        <f t="shared" si="179"/>
        <v>0</v>
      </c>
      <c r="G531" s="145" t="e">
        <f t="shared" si="180"/>
        <v>#N/A</v>
      </c>
      <c r="H531" s="145" t="e">
        <f t="shared" si="181"/>
        <v>#N/A</v>
      </c>
      <c r="P531" s="148" t="e">
        <f t="shared" si="182"/>
        <v>#N/A</v>
      </c>
      <c r="Q531" s="148" t="e">
        <f t="shared" si="178"/>
        <v>#N/A</v>
      </c>
      <c r="R531" s="162"/>
      <c r="S531" s="163"/>
      <c r="T531" s="163"/>
      <c r="U531" s="163"/>
      <c r="V531" s="163"/>
      <c r="W531" s="163"/>
      <c r="X531" s="163"/>
      <c r="Y531" s="160"/>
      <c r="Z531" s="164"/>
      <c r="AA531" s="164"/>
      <c r="AB531" s="164"/>
      <c r="AC531" s="164"/>
      <c r="AD531" s="164"/>
      <c r="AE531" s="160"/>
    </row>
    <row r="532" spans="4:31">
      <c r="D532" s="160"/>
      <c r="F532" s="145">
        <f t="shared" si="179"/>
        <v>0</v>
      </c>
      <c r="G532" s="145" t="e">
        <f t="shared" si="180"/>
        <v>#N/A</v>
      </c>
      <c r="H532" s="145" t="e">
        <f t="shared" si="181"/>
        <v>#N/A</v>
      </c>
      <c r="P532" s="148" t="e">
        <f t="shared" si="182"/>
        <v>#N/A</v>
      </c>
      <c r="Q532" s="148" t="e">
        <f t="shared" si="178"/>
        <v>#N/A</v>
      </c>
      <c r="R532" s="162"/>
      <c r="S532" s="163"/>
      <c r="T532" s="163"/>
      <c r="U532" s="163"/>
      <c r="V532" s="163"/>
      <c r="W532" s="163"/>
      <c r="X532" s="163"/>
      <c r="Y532" s="160"/>
      <c r="Z532" s="164"/>
      <c r="AA532" s="164"/>
      <c r="AB532" s="164"/>
      <c r="AC532" s="164"/>
      <c r="AD532" s="164"/>
      <c r="AE532" s="160"/>
    </row>
    <row r="533" spans="4:31">
      <c r="D533" s="160"/>
      <c r="F533" s="145">
        <f t="shared" si="179"/>
        <v>0</v>
      </c>
      <c r="G533" s="145" t="e">
        <f t="shared" si="180"/>
        <v>#N/A</v>
      </c>
      <c r="H533" s="145" t="e">
        <f t="shared" si="181"/>
        <v>#N/A</v>
      </c>
      <c r="P533" s="148" t="e">
        <f t="shared" si="182"/>
        <v>#N/A</v>
      </c>
      <c r="Q533" s="148" t="e">
        <f t="shared" si="178"/>
        <v>#N/A</v>
      </c>
      <c r="R533" s="162"/>
      <c r="S533" s="163"/>
      <c r="T533" s="163"/>
      <c r="U533" s="163"/>
      <c r="V533" s="163"/>
      <c r="W533" s="163"/>
      <c r="X533" s="163"/>
      <c r="Y533" s="160"/>
      <c r="Z533" s="164"/>
      <c r="AA533" s="164"/>
      <c r="AB533" s="164"/>
      <c r="AC533" s="164"/>
      <c r="AD533" s="164"/>
      <c r="AE533" s="160"/>
    </row>
    <row r="534" spans="4:31">
      <c r="D534" s="160"/>
      <c r="F534" s="145">
        <f t="shared" si="179"/>
        <v>0</v>
      </c>
      <c r="G534" s="145" t="e">
        <f t="shared" si="180"/>
        <v>#N/A</v>
      </c>
      <c r="H534" s="145" t="e">
        <f t="shared" si="181"/>
        <v>#N/A</v>
      </c>
      <c r="P534" s="148" t="e">
        <f t="shared" si="182"/>
        <v>#N/A</v>
      </c>
      <c r="Q534" s="148" t="e">
        <f t="shared" si="178"/>
        <v>#N/A</v>
      </c>
      <c r="R534" s="162"/>
      <c r="S534" s="163"/>
      <c r="T534" s="163"/>
      <c r="U534" s="163"/>
      <c r="V534" s="163"/>
      <c r="W534" s="163"/>
      <c r="X534" s="163"/>
      <c r="Y534" s="160"/>
      <c r="Z534" s="164"/>
      <c r="AA534" s="164"/>
      <c r="AB534" s="164"/>
      <c r="AC534" s="164"/>
      <c r="AD534" s="164"/>
      <c r="AE534" s="160"/>
    </row>
    <row r="535" spans="4:31">
      <c r="D535" s="160"/>
      <c r="F535" s="145">
        <f t="shared" si="179"/>
        <v>0</v>
      </c>
      <c r="G535" s="145" t="e">
        <f t="shared" si="180"/>
        <v>#N/A</v>
      </c>
      <c r="H535" s="145" t="e">
        <f t="shared" si="181"/>
        <v>#N/A</v>
      </c>
      <c r="P535" s="148" t="e">
        <f t="shared" si="182"/>
        <v>#N/A</v>
      </c>
      <c r="Q535" s="148" t="e">
        <f t="shared" si="178"/>
        <v>#N/A</v>
      </c>
      <c r="R535" s="162"/>
      <c r="S535" s="163"/>
      <c r="T535" s="163"/>
      <c r="U535" s="163"/>
      <c r="V535" s="163"/>
      <c r="W535" s="163"/>
      <c r="X535" s="163"/>
      <c r="Y535" s="160"/>
      <c r="Z535" s="164"/>
      <c r="AA535" s="164"/>
      <c r="AB535" s="164"/>
      <c r="AC535" s="164"/>
      <c r="AD535" s="164"/>
      <c r="AE535" s="160"/>
    </row>
    <row r="536" spans="4:31">
      <c r="D536" s="160"/>
      <c r="F536" s="145">
        <f t="shared" si="179"/>
        <v>0</v>
      </c>
      <c r="G536" s="145" t="e">
        <f t="shared" si="180"/>
        <v>#N/A</v>
      </c>
      <c r="H536" s="145" t="e">
        <f t="shared" si="181"/>
        <v>#N/A</v>
      </c>
      <c r="P536" s="148" t="e">
        <f t="shared" si="182"/>
        <v>#N/A</v>
      </c>
      <c r="Q536" s="148" t="e">
        <f t="shared" si="178"/>
        <v>#N/A</v>
      </c>
      <c r="R536" s="162"/>
      <c r="S536" s="163"/>
      <c r="T536" s="163"/>
      <c r="U536" s="163"/>
      <c r="V536" s="163"/>
      <c r="W536" s="163"/>
      <c r="X536" s="163"/>
      <c r="Y536" s="160"/>
      <c r="Z536" s="164"/>
      <c r="AA536" s="164"/>
      <c r="AB536" s="164"/>
      <c r="AC536" s="164"/>
      <c r="AD536" s="164"/>
      <c r="AE536" s="160"/>
    </row>
    <row r="537" spans="4:31">
      <c r="D537" s="160"/>
      <c r="F537" s="145">
        <f t="shared" si="179"/>
        <v>0</v>
      </c>
      <c r="G537" s="145" t="e">
        <f t="shared" si="180"/>
        <v>#N/A</v>
      </c>
      <c r="H537" s="145" t="e">
        <f t="shared" si="181"/>
        <v>#N/A</v>
      </c>
      <c r="P537" s="148" t="e">
        <f t="shared" si="182"/>
        <v>#N/A</v>
      </c>
      <c r="Q537" s="148" t="e">
        <f t="shared" si="178"/>
        <v>#N/A</v>
      </c>
      <c r="R537" s="162"/>
      <c r="S537" s="163"/>
      <c r="T537" s="163"/>
      <c r="U537" s="163"/>
      <c r="V537" s="163"/>
      <c r="W537" s="163"/>
      <c r="X537" s="163"/>
      <c r="Y537" s="160"/>
      <c r="Z537" s="164"/>
      <c r="AA537" s="164"/>
      <c r="AB537" s="164"/>
      <c r="AC537" s="164"/>
      <c r="AD537" s="164"/>
      <c r="AE537" s="160"/>
    </row>
    <row r="538" spans="4:31">
      <c r="D538" s="160"/>
      <c r="F538" s="145">
        <f t="shared" si="179"/>
        <v>0</v>
      </c>
      <c r="G538" s="145" t="e">
        <f t="shared" si="180"/>
        <v>#N/A</v>
      </c>
      <c r="H538" s="145" t="e">
        <f t="shared" si="181"/>
        <v>#N/A</v>
      </c>
      <c r="P538" s="148" t="e">
        <f t="shared" si="182"/>
        <v>#N/A</v>
      </c>
      <c r="Q538" s="148" t="e">
        <f t="shared" si="178"/>
        <v>#N/A</v>
      </c>
      <c r="R538" s="162"/>
      <c r="S538" s="163"/>
      <c r="T538" s="163"/>
      <c r="U538" s="163"/>
      <c r="V538" s="163"/>
      <c r="W538" s="163"/>
      <c r="X538" s="163"/>
      <c r="Y538" s="160"/>
      <c r="Z538" s="164"/>
      <c r="AA538" s="164"/>
      <c r="AB538" s="164"/>
      <c r="AC538" s="164"/>
      <c r="AD538" s="164"/>
      <c r="AE538" s="160"/>
    </row>
    <row r="539" spans="4:31">
      <c r="D539" s="160"/>
      <c r="F539" s="145">
        <f t="shared" si="179"/>
        <v>0</v>
      </c>
      <c r="G539" s="145" t="e">
        <f t="shared" si="180"/>
        <v>#N/A</v>
      </c>
      <c r="H539" s="145" t="e">
        <f t="shared" si="181"/>
        <v>#N/A</v>
      </c>
      <c r="P539" s="148" t="e">
        <f t="shared" si="182"/>
        <v>#N/A</v>
      </c>
      <c r="Q539" s="148" t="e">
        <f t="shared" si="178"/>
        <v>#N/A</v>
      </c>
      <c r="R539" s="162"/>
      <c r="S539" s="163"/>
      <c r="T539" s="163"/>
      <c r="U539" s="163"/>
      <c r="V539" s="163"/>
      <c r="W539" s="163"/>
      <c r="X539" s="163"/>
      <c r="Y539" s="160"/>
      <c r="Z539" s="164"/>
      <c r="AA539" s="164"/>
      <c r="AB539" s="164"/>
      <c r="AC539" s="164"/>
      <c r="AD539" s="164"/>
      <c r="AE539" s="160"/>
    </row>
    <row r="540" spans="4:31">
      <c r="D540" s="160"/>
      <c r="F540" s="145">
        <f t="shared" si="179"/>
        <v>0</v>
      </c>
      <c r="G540" s="145" t="e">
        <f t="shared" si="180"/>
        <v>#N/A</v>
      </c>
      <c r="H540" s="145" t="e">
        <f t="shared" si="181"/>
        <v>#N/A</v>
      </c>
      <c r="P540" s="148" t="e">
        <f t="shared" si="182"/>
        <v>#N/A</v>
      </c>
      <c r="Q540" s="148" t="e">
        <f t="shared" si="178"/>
        <v>#N/A</v>
      </c>
      <c r="R540" s="162"/>
      <c r="S540" s="163"/>
      <c r="T540" s="163"/>
      <c r="U540" s="163"/>
      <c r="V540" s="163"/>
      <c r="W540" s="163"/>
      <c r="X540" s="163"/>
      <c r="Y540" s="160"/>
      <c r="Z540" s="164"/>
      <c r="AA540" s="164"/>
      <c r="AB540" s="164"/>
      <c r="AC540" s="164"/>
      <c r="AD540" s="164"/>
      <c r="AE540" s="160"/>
    </row>
    <row r="541" spans="4:31">
      <c r="D541" s="160"/>
      <c r="F541" s="145">
        <f t="shared" si="179"/>
        <v>0</v>
      </c>
      <c r="G541" s="145" t="e">
        <f t="shared" si="180"/>
        <v>#N/A</v>
      </c>
      <c r="H541" s="145" t="e">
        <f t="shared" si="181"/>
        <v>#N/A</v>
      </c>
      <c r="P541" s="148" t="e">
        <f t="shared" si="182"/>
        <v>#N/A</v>
      </c>
      <c r="Q541" s="148" t="e">
        <f t="shared" si="178"/>
        <v>#N/A</v>
      </c>
      <c r="R541" s="162"/>
      <c r="S541" s="163"/>
      <c r="T541" s="163"/>
      <c r="U541" s="163"/>
      <c r="V541" s="163"/>
      <c r="W541" s="163"/>
      <c r="X541" s="163"/>
      <c r="Y541" s="160"/>
      <c r="Z541" s="164"/>
      <c r="AA541" s="164"/>
      <c r="AB541" s="164"/>
      <c r="AC541" s="164"/>
      <c r="AD541" s="164"/>
      <c r="AE541" s="160"/>
    </row>
    <row r="542" spans="4:31">
      <c r="D542" s="160"/>
      <c r="F542" s="145">
        <f t="shared" si="179"/>
        <v>0</v>
      </c>
      <c r="G542" s="145" t="e">
        <f t="shared" si="180"/>
        <v>#N/A</v>
      </c>
      <c r="H542" s="145" t="e">
        <f t="shared" si="181"/>
        <v>#N/A</v>
      </c>
      <c r="P542" s="148" t="e">
        <f t="shared" si="182"/>
        <v>#N/A</v>
      </c>
      <c r="Q542" s="148" t="e">
        <f t="shared" si="178"/>
        <v>#N/A</v>
      </c>
      <c r="R542" s="162"/>
      <c r="S542" s="163"/>
      <c r="T542" s="163"/>
      <c r="U542" s="163"/>
      <c r="V542" s="163"/>
      <c r="W542" s="163"/>
      <c r="X542" s="163"/>
      <c r="Y542" s="160"/>
      <c r="Z542" s="164"/>
      <c r="AA542" s="164"/>
      <c r="AB542" s="164"/>
      <c r="AC542" s="164"/>
      <c r="AD542" s="164"/>
      <c r="AE542" s="160"/>
    </row>
    <row r="543" spans="4:31">
      <c r="D543" s="160"/>
      <c r="F543" s="145">
        <f t="shared" si="179"/>
        <v>0</v>
      </c>
      <c r="G543" s="145" t="e">
        <f t="shared" si="180"/>
        <v>#N/A</v>
      </c>
      <c r="H543" s="145" t="e">
        <f t="shared" si="181"/>
        <v>#N/A</v>
      </c>
      <c r="P543" s="148" t="e">
        <f t="shared" si="182"/>
        <v>#N/A</v>
      </c>
      <c r="Q543" s="148" t="e">
        <f t="shared" si="178"/>
        <v>#N/A</v>
      </c>
      <c r="R543" s="162"/>
      <c r="S543" s="163"/>
      <c r="T543" s="163"/>
      <c r="U543" s="163"/>
      <c r="V543" s="163"/>
      <c r="W543" s="163"/>
      <c r="X543" s="163"/>
      <c r="Y543" s="160"/>
      <c r="Z543" s="164"/>
      <c r="AA543" s="164"/>
      <c r="AB543" s="164"/>
      <c r="AC543" s="164"/>
      <c r="AD543" s="164"/>
      <c r="AE543" s="160"/>
    </row>
    <row r="544" spans="4:31">
      <c r="D544" s="160"/>
      <c r="F544" s="145">
        <f t="shared" si="179"/>
        <v>0</v>
      </c>
      <c r="G544" s="145" t="e">
        <f t="shared" si="180"/>
        <v>#N/A</v>
      </c>
      <c r="H544" s="145" t="e">
        <f t="shared" si="181"/>
        <v>#N/A</v>
      </c>
      <c r="P544" s="148" t="e">
        <f t="shared" si="182"/>
        <v>#N/A</v>
      </c>
      <c r="Q544" s="148" t="e">
        <f t="shared" si="178"/>
        <v>#N/A</v>
      </c>
      <c r="R544" s="162"/>
      <c r="S544" s="163"/>
      <c r="T544" s="163"/>
      <c r="U544" s="163"/>
      <c r="V544" s="163"/>
      <c r="W544" s="163"/>
      <c r="X544" s="163"/>
      <c r="Y544" s="160"/>
      <c r="Z544" s="164"/>
      <c r="AA544" s="164"/>
      <c r="AB544" s="164"/>
      <c r="AC544" s="164"/>
      <c r="AD544" s="164"/>
      <c r="AE544" s="160"/>
    </row>
    <row r="545" spans="4:31">
      <c r="D545" s="160"/>
      <c r="F545" s="145">
        <f t="shared" si="179"/>
        <v>0</v>
      </c>
      <c r="G545" s="145" t="e">
        <f t="shared" si="180"/>
        <v>#N/A</v>
      </c>
      <c r="H545" s="145" t="e">
        <f t="shared" si="181"/>
        <v>#N/A</v>
      </c>
      <c r="P545" s="148" t="e">
        <f t="shared" si="182"/>
        <v>#N/A</v>
      </c>
      <c r="Q545" s="148" t="e">
        <f t="shared" ref="Q545:Q576" si="183">IF(biosiirtymä_luonne="äkillinen",INDEX($AG$4:$AG$20,MATCH($C545,$AF$4:$AF$20,0),1),INDEX($AH$4:$AH$20,MATCH($C545,$AF$4:$AF$20,0),1))</f>
        <v>#N/A</v>
      </c>
      <c r="R545" s="162"/>
      <c r="S545" s="163"/>
      <c r="T545" s="163"/>
      <c r="U545" s="163"/>
      <c r="V545" s="163"/>
      <c r="W545" s="163"/>
      <c r="X545" s="163"/>
      <c r="Y545" s="160"/>
      <c r="Z545" s="164"/>
      <c r="AA545" s="164"/>
      <c r="AB545" s="164"/>
      <c r="AC545" s="164"/>
      <c r="AD545" s="164"/>
      <c r="AE545" s="160"/>
    </row>
    <row r="546" spans="4:31">
      <c r="D546" s="160"/>
      <c r="F546" s="145">
        <f t="shared" si="179"/>
        <v>0</v>
      </c>
      <c r="G546" s="145" t="e">
        <f t="shared" si="180"/>
        <v>#N/A</v>
      </c>
      <c r="H546" s="145" t="e">
        <f t="shared" si="181"/>
        <v>#N/A</v>
      </c>
      <c r="P546" s="148" t="e">
        <f t="shared" si="182"/>
        <v>#N/A</v>
      </c>
      <c r="Q546" s="148" t="e">
        <f t="shared" si="183"/>
        <v>#N/A</v>
      </c>
      <c r="R546" s="162"/>
      <c r="S546" s="163"/>
      <c r="T546" s="163"/>
      <c r="U546" s="163"/>
      <c r="V546" s="163"/>
      <c r="W546" s="163"/>
      <c r="X546" s="163"/>
      <c r="Y546" s="160"/>
      <c r="Z546" s="164"/>
      <c r="AA546" s="164"/>
      <c r="AB546" s="164"/>
      <c r="AC546" s="164"/>
      <c r="AD546" s="164"/>
      <c r="AE546" s="160"/>
    </row>
    <row r="547" spans="4:31">
      <c r="D547" s="160"/>
      <c r="F547" s="145">
        <f t="shared" si="179"/>
        <v>0</v>
      </c>
      <c r="G547" s="145" t="e">
        <f t="shared" si="180"/>
        <v>#N/A</v>
      </c>
      <c r="H547" s="145" t="e">
        <f t="shared" si="181"/>
        <v>#N/A</v>
      </c>
      <c r="P547" s="148" t="e">
        <f t="shared" si="182"/>
        <v>#N/A</v>
      </c>
      <c r="Q547" s="148" t="e">
        <f t="shared" si="183"/>
        <v>#N/A</v>
      </c>
      <c r="R547" s="162"/>
      <c r="S547" s="163"/>
      <c r="T547" s="163"/>
      <c r="U547" s="163"/>
      <c r="V547" s="163"/>
      <c r="W547" s="163"/>
      <c r="X547" s="163"/>
      <c r="Y547" s="160"/>
      <c r="Z547" s="164"/>
      <c r="AA547" s="164"/>
      <c r="AB547" s="164"/>
      <c r="AC547" s="164"/>
      <c r="AD547" s="164"/>
      <c r="AE547" s="160"/>
    </row>
    <row r="548" spans="4:31">
      <c r="D548" s="160"/>
      <c r="F548" s="145">
        <f t="shared" si="179"/>
        <v>0</v>
      </c>
      <c r="G548" s="145" t="e">
        <f t="shared" si="180"/>
        <v>#N/A</v>
      </c>
      <c r="H548" s="145" t="e">
        <f t="shared" si="181"/>
        <v>#N/A</v>
      </c>
      <c r="P548" s="148" t="e">
        <f t="shared" si="182"/>
        <v>#N/A</v>
      </c>
      <c r="Q548" s="148" t="e">
        <f t="shared" si="183"/>
        <v>#N/A</v>
      </c>
      <c r="R548" s="162"/>
      <c r="S548" s="163"/>
      <c r="T548" s="163"/>
      <c r="U548" s="163"/>
      <c r="V548" s="163"/>
      <c r="W548" s="163"/>
      <c r="X548" s="163"/>
      <c r="Y548" s="160"/>
      <c r="Z548" s="164"/>
      <c r="AA548" s="164"/>
      <c r="AB548" s="164"/>
      <c r="AC548" s="164"/>
      <c r="AD548" s="164"/>
      <c r="AE548" s="160"/>
    </row>
    <row r="549" spans="4:31">
      <c r="D549" s="160"/>
      <c r="F549" s="145">
        <f t="shared" si="179"/>
        <v>0</v>
      </c>
      <c r="G549" s="145" t="e">
        <f t="shared" si="180"/>
        <v>#N/A</v>
      </c>
      <c r="H549" s="145" t="e">
        <f t="shared" si="181"/>
        <v>#N/A</v>
      </c>
      <c r="P549" s="148" t="e">
        <f t="shared" si="182"/>
        <v>#N/A</v>
      </c>
      <c r="Q549" s="148" t="e">
        <f t="shared" si="183"/>
        <v>#N/A</v>
      </c>
      <c r="R549" s="162"/>
      <c r="S549" s="163"/>
      <c r="T549" s="163"/>
      <c r="U549" s="163"/>
      <c r="V549" s="163"/>
      <c r="W549" s="163"/>
      <c r="X549" s="163"/>
      <c r="Y549" s="160"/>
      <c r="Z549" s="164"/>
      <c r="AA549" s="164"/>
      <c r="AB549" s="164"/>
      <c r="AC549" s="164"/>
      <c r="AD549" s="164"/>
      <c r="AE549" s="160"/>
    </row>
    <row r="550" spans="4:31">
      <c r="D550" s="160"/>
      <c r="F550" s="145">
        <f t="shared" si="179"/>
        <v>0</v>
      </c>
      <c r="G550" s="145" t="e">
        <f t="shared" si="180"/>
        <v>#N/A</v>
      </c>
      <c r="H550" s="145" t="e">
        <f t="shared" si="181"/>
        <v>#N/A</v>
      </c>
      <c r="P550" s="148" t="e">
        <f t="shared" si="182"/>
        <v>#N/A</v>
      </c>
      <c r="Q550" s="148" t="e">
        <f t="shared" si="183"/>
        <v>#N/A</v>
      </c>
      <c r="R550" s="162"/>
      <c r="S550" s="163"/>
      <c r="T550" s="163"/>
      <c r="U550" s="163"/>
      <c r="V550" s="163"/>
      <c r="W550" s="163"/>
      <c r="X550" s="163"/>
      <c r="Y550" s="160"/>
      <c r="Z550" s="164"/>
      <c r="AA550" s="164"/>
      <c r="AB550" s="164"/>
      <c r="AC550" s="164"/>
      <c r="AD550" s="164"/>
      <c r="AE550" s="160"/>
    </row>
    <row r="551" spans="4:31">
      <c r="D551" s="160"/>
      <c r="F551" s="145">
        <f t="shared" si="179"/>
        <v>0</v>
      </c>
      <c r="G551" s="145" t="e">
        <f t="shared" si="180"/>
        <v>#N/A</v>
      </c>
      <c r="H551" s="145" t="e">
        <f t="shared" si="181"/>
        <v>#N/A</v>
      </c>
      <c r="P551" s="148" t="e">
        <f t="shared" si="182"/>
        <v>#N/A</v>
      </c>
      <c r="Q551" s="148" t="e">
        <f t="shared" si="183"/>
        <v>#N/A</v>
      </c>
      <c r="R551" s="162"/>
      <c r="S551" s="163"/>
      <c r="T551" s="163"/>
      <c r="U551" s="163"/>
      <c r="V551" s="163"/>
      <c r="W551" s="163"/>
      <c r="X551" s="163"/>
      <c r="Y551" s="160"/>
      <c r="Z551" s="164"/>
      <c r="AA551" s="164"/>
      <c r="AB551" s="164"/>
      <c r="AC551" s="164"/>
      <c r="AD551" s="164"/>
      <c r="AE551" s="160"/>
    </row>
    <row r="552" spans="4:31">
      <c r="D552" s="160"/>
      <c r="F552" s="145">
        <f t="shared" si="179"/>
        <v>0</v>
      </c>
      <c r="G552" s="145" t="e">
        <f t="shared" si="180"/>
        <v>#N/A</v>
      </c>
      <c r="H552" s="145" t="e">
        <f t="shared" si="181"/>
        <v>#N/A</v>
      </c>
      <c r="P552" s="148" t="e">
        <f t="shared" si="182"/>
        <v>#N/A</v>
      </c>
      <c r="Q552" s="148" t="e">
        <f t="shared" si="183"/>
        <v>#N/A</v>
      </c>
      <c r="R552" s="162"/>
      <c r="S552" s="163"/>
      <c r="T552" s="163"/>
      <c r="U552" s="163"/>
      <c r="V552" s="163"/>
      <c r="W552" s="163"/>
      <c r="X552" s="163"/>
      <c r="Y552" s="160"/>
      <c r="Z552" s="164"/>
      <c r="AA552" s="164"/>
      <c r="AB552" s="164"/>
      <c r="AC552" s="164"/>
      <c r="AD552" s="164"/>
      <c r="AE552" s="160"/>
    </row>
    <row r="553" spans="4:31">
      <c r="D553" s="160"/>
      <c r="F553" s="145">
        <f t="shared" si="179"/>
        <v>0</v>
      </c>
      <c r="G553" s="145" t="e">
        <f t="shared" si="180"/>
        <v>#N/A</v>
      </c>
      <c r="H553" s="145" t="e">
        <f t="shared" si="181"/>
        <v>#N/A</v>
      </c>
      <c r="P553" s="148" t="e">
        <f t="shared" si="182"/>
        <v>#N/A</v>
      </c>
      <c r="Q553" s="148" t="e">
        <f t="shared" si="183"/>
        <v>#N/A</v>
      </c>
      <c r="R553" s="162"/>
      <c r="S553" s="163"/>
      <c r="T553" s="163"/>
      <c r="U553" s="163"/>
      <c r="V553" s="163"/>
      <c r="W553" s="163"/>
      <c r="X553" s="163"/>
      <c r="Y553" s="160"/>
      <c r="Z553" s="164"/>
      <c r="AA553" s="164"/>
      <c r="AB553" s="164"/>
      <c r="AC553" s="164"/>
      <c r="AD553" s="164"/>
      <c r="AE553" s="160"/>
    </row>
    <row r="554" spans="4:31">
      <c r="D554" s="160"/>
      <c r="F554" s="145">
        <f t="shared" si="179"/>
        <v>0</v>
      </c>
      <c r="G554" s="145" t="e">
        <f t="shared" si="180"/>
        <v>#N/A</v>
      </c>
      <c r="H554" s="145" t="e">
        <f t="shared" si="181"/>
        <v>#N/A</v>
      </c>
      <c r="P554" s="148" t="e">
        <f t="shared" si="182"/>
        <v>#N/A</v>
      </c>
      <c r="Q554" s="148" t="e">
        <f t="shared" si="183"/>
        <v>#N/A</v>
      </c>
      <c r="R554" s="162"/>
      <c r="S554" s="163"/>
      <c r="T554" s="163"/>
      <c r="U554" s="163"/>
      <c r="V554" s="163"/>
      <c r="W554" s="163"/>
      <c r="X554" s="163"/>
      <c r="Y554" s="160"/>
      <c r="Z554" s="164"/>
      <c r="AA554" s="164"/>
      <c r="AB554" s="164"/>
      <c r="AC554" s="164"/>
      <c r="AD554" s="164"/>
      <c r="AE554" s="160"/>
    </row>
    <row r="555" spans="4:31">
      <c r="D555" s="160"/>
      <c r="F555" s="145">
        <f t="shared" si="179"/>
        <v>0</v>
      </c>
      <c r="G555" s="145" t="e">
        <f t="shared" si="180"/>
        <v>#N/A</v>
      </c>
      <c r="H555" s="145" t="e">
        <f t="shared" si="181"/>
        <v>#N/A</v>
      </c>
      <c r="P555" s="148" t="e">
        <f t="shared" si="182"/>
        <v>#N/A</v>
      </c>
      <c r="Q555" s="148" t="e">
        <f t="shared" si="183"/>
        <v>#N/A</v>
      </c>
      <c r="R555" s="162"/>
      <c r="S555" s="163"/>
      <c r="T555" s="163"/>
      <c r="U555" s="163"/>
      <c r="V555" s="163"/>
      <c r="W555" s="163"/>
      <c r="X555" s="163"/>
      <c r="Y555" s="160"/>
      <c r="Z555" s="164"/>
      <c r="AA555" s="164"/>
      <c r="AB555" s="164"/>
      <c r="AC555" s="164"/>
      <c r="AD555" s="164"/>
      <c r="AE555" s="160"/>
    </row>
    <row r="556" spans="4:31">
      <c r="D556" s="160"/>
      <c r="F556" s="145">
        <f t="shared" si="179"/>
        <v>0</v>
      </c>
      <c r="G556" s="145" t="e">
        <f t="shared" si="180"/>
        <v>#N/A</v>
      </c>
      <c r="H556" s="145" t="e">
        <f t="shared" si="181"/>
        <v>#N/A</v>
      </c>
      <c r="P556" s="148" t="e">
        <f t="shared" si="182"/>
        <v>#N/A</v>
      </c>
      <c r="Q556" s="148" t="e">
        <f t="shared" si="183"/>
        <v>#N/A</v>
      </c>
      <c r="R556" s="162"/>
      <c r="S556" s="163"/>
      <c r="T556" s="163"/>
      <c r="U556" s="163"/>
      <c r="V556" s="163"/>
      <c r="W556" s="163"/>
      <c r="X556" s="163"/>
      <c r="Y556" s="160"/>
      <c r="Z556" s="164"/>
      <c r="AA556" s="164"/>
      <c r="AB556" s="164"/>
      <c r="AC556" s="164"/>
      <c r="AD556" s="164"/>
      <c r="AE556" s="160"/>
    </row>
    <row r="557" spans="4:31">
      <c r="D557" s="160"/>
      <c r="F557" s="145">
        <f t="shared" si="179"/>
        <v>0</v>
      </c>
      <c r="G557" s="145" t="e">
        <f t="shared" si="180"/>
        <v>#N/A</v>
      </c>
      <c r="H557" s="145" t="e">
        <f t="shared" si="181"/>
        <v>#N/A</v>
      </c>
      <c r="P557" s="148" t="e">
        <f t="shared" si="182"/>
        <v>#N/A</v>
      </c>
      <c r="Q557" s="148" t="e">
        <f t="shared" si="183"/>
        <v>#N/A</v>
      </c>
      <c r="R557" s="162"/>
      <c r="S557" s="163"/>
      <c r="T557" s="163"/>
      <c r="U557" s="163"/>
      <c r="V557" s="163"/>
      <c r="W557" s="163"/>
      <c r="X557" s="163"/>
      <c r="Y557" s="160"/>
      <c r="Z557" s="164"/>
      <c r="AA557" s="164"/>
      <c r="AB557" s="164"/>
      <c r="AC557" s="164"/>
      <c r="AD557" s="164"/>
      <c r="AE557" s="160"/>
    </row>
    <row r="558" spans="4:31">
      <c r="D558" s="160"/>
      <c r="F558" s="145">
        <f t="shared" si="179"/>
        <v>0</v>
      </c>
      <c r="G558" s="145" t="e">
        <f t="shared" si="180"/>
        <v>#N/A</v>
      </c>
      <c r="H558" s="145" t="e">
        <f t="shared" si="181"/>
        <v>#N/A</v>
      </c>
      <c r="P558" s="148" t="e">
        <f t="shared" si="182"/>
        <v>#N/A</v>
      </c>
      <c r="Q558" s="148" t="e">
        <f t="shared" si="183"/>
        <v>#N/A</v>
      </c>
      <c r="R558" s="162"/>
      <c r="S558" s="163"/>
      <c r="T558" s="163"/>
      <c r="U558" s="163"/>
      <c r="V558" s="163"/>
      <c r="W558" s="163"/>
      <c r="X558" s="163"/>
      <c r="Y558" s="160"/>
      <c r="Z558" s="164"/>
      <c r="AA558" s="164"/>
      <c r="AB558" s="164"/>
      <c r="AC558" s="164"/>
      <c r="AD558" s="164"/>
      <c r="AE558" s="160"/>
    </row>
    <row r="559" spans="4:31">
      <c r="D559" s="160"/>
      <c r="F559" s="145">
        <f t="shared" si="179"/>
        <v>0</v>
      </c>
      <c r="G559" s="145" t="e">
        <f t="shared" si="180"/>
        <v>#N/A</v>
      </c>
      <c r="H559" s="145" t="e">
        <f t="shared" si="181"/>
        <v>#N/A</v>
      </c>
      <c r="P559" s="148" t="e">
        <f t="shared" si="182"/>
        <v>#N/A</v>
      </c>
      <c r="Q559" s="148" t="e">
        <f t="shared" si="183"/>
        <v>#N/A</v>
      </c>
      <c r="R559" s="162"/>
      <c r="S559" s="163"/>
      <c r="T559" s="163"/>
      <c r="U559" s="163"/>
      <c r="V559" s="163"/>
      <c r="W559" s="163"/>
      <c r="X559" s="163"/>
      <c r="Y559" s="160"/>
      <c r="Z559" s="164"/>
      <c r="AA559" s="164"/>
      <c r="AB559" s="164"/>
      <c r="AC559" s="164"/>
      <c r="AD559" s="164"/>
      <c r="AE559" s="160"/>
    </row>
    <row r="560" spans="4:31">
      <c r="D560" s="160"/>
      <c r="F560" s="145">
        <f t="shared" si="179"/>
        <v>0</v>
      </c>
      <c r="G560" s="145" t="e">
        <f t="shared" si="180"/>
        <v>#N/A</v>
      </c>
      <c r="H560" s="145" t="e">
        <f t="shared" si="181"/>
        <v>#N/A</v>
      </c>
      <c r="P560" s="148" t="e">
        <f t="shared" si="182"/>
        <v>#N/A</v>
      </c>
      <c r="Q560" s="148" t="e">
        <f t="shared" si="183"/>
        <v>#N/A</v>
      </c>
      <c r="R560" s="162"/>
      <c r="S560" s="163"/>
      <c r="T560" s="163"/>
      <c r="U560" s="163"/>
      <c r="V560" s="163"/>
      <c r="W560" s="163"/>
      <c r="X560" s="163"/>
      <c r="Y560" s="160"/>
      <c r="Z560" s="164"/>
      <c r="AA560" s="164"/>
      <c r="AB560" s="164"/>
      <c r="AC560" s="164"/>
      <c r="AD560" s="164"/>
      <c r="AE560" s="160"/>
    </row>
    <row r="561" spans="4:31">
      <c r="D561" s="160"/>
      <c r="F561" s="145">
        <f t="shared" si="179"/>
        <v>0</v>
      </c>
      <c r="G561" s="145" t="e">
        <f t="shared" si="180"/>
        <v>#N/A</v>
      </c>
      <c r="H561" s="145" t="e">
        <f t="shared" si="181"/>
        <v>#N/A</v>
      </c>
      <c r="P561" s="148" t="e">
        <f t="shared" si="182"/>
        <v>#N/A</v>
      </c>
      <c r="Q561" s="148" t="e">
        <f t="shared" si="183"/>
        <v>#N/A</v>
      </c>
      <c r="R561" s="162"/>
      <c r="S561" s="163"/>
      <c r="T561" s="163"/>
      <c r="U561" s="163"/>
      <c r="V561" s="163"/>
      <c r="W561" s="163"/>
      <c r="X561" s="163"/>
      <c r="Y561" s="160"/>
      <c r="Z561" s="164"/>
      <c r="AA561" s="164"/>
      <c r="AB561" s="164"/>
      <c r="AC561" s="164"/>
      <c r="AD561" s="164"/>
      <c r="AE561" s="160"/>
    </row>
    <row r="562" spans="4:31">
      <c r="D562" s="160"/>
      <c r="F562" s="145">
        <f t="shared" si="179"/>
        <v>0</v>
      </c>
      <c r="G562" s="145" t="e">
        <f t="shared" si="180"/>
        <v>#N/A</v>
      </c>
      <c r="H562" s="145" t="e">
        <f t="shared" si="181"/>
        <v>#N/A</v>
      </c>
      <c r="P562" s="148" t="e">
        <f t="shared" si="182"/>
        <v>#N/A</v>
      </c>
      <c r="Q562" s="148" t="e">
        <f t="shared" si="183"/>
        <v>#N/A</v>
      </c>
      <c r="R562" s="162"/>
      <c r="S562" s="163"/>
      <c r="T562" s="163"/>
      <c r="U562" s="163"/>
      <c r="V562" s="163"/>
      <c r="W562" s="163"/>
      <c r="X562" s="163"/>
      <c r="Y562" s="160"/>
      <c r="Z562" s="164"/>
      <c r="AA562" s="164"/>
      <c r="AB562" s="164"/>
      <c r="AC562" s="164"/>
      <c r="AD562" s="164"/>
      <c r="AE562" s="160"/>
    </row>
    <row r="563" spans="4:31">
      <c r="D563" s="160"/>
      <c r="F563" s="145">
        <f t="shared" si="179"/>
        <v>0</v>
      </c>
      <c r="G563" s="145" t="e">
        <f t="shared" si="180"/>
        <v>#N/A</v>
      </c>
      <c r="H563" s="145" t="e">
        <f t="shared" si="181"/>
        <v>#N/A</v>
      </c>
      <c r="P563" s="148" t="e">
        <f t="shared" si="182"/>
        <v>#N/A</v>
      </c>
      <c r="Q563" s="148" t="e">
        <f t="shared" si="183"/>
        <v>#N/A</v>
      </c>
      <c r="R563" s="162"/>
      <c r="S563" s="163"/>
      <c r="T563" s="163"/>
      <c r="U563" s="163"/>
      <c r="V563" s="163"/>
      <c r="W563" s="163"/>
      <c r="X563" s="163"/>
      <c r="Y563" s="160"/>
      <c r="Z563" s="164"/>
      <c r="AA563" s="164"/>
      <c r="AB563" s="164"/>
      <c r="AC563" s="164"/>
      <c r="AD563" s="164"/>
      <c r="AE563" s="160"/>
    </row>
    <row r="564" spans="4:31">
      <c r="D564" s="160"/>
      <c r="F564" s="145">
        <f t="shared" si="179"/>
        <v>0</v>
      </c>
      <c r="G564" s="145" t="e">
        <f t="shared" si="180"/>
        <v>#N/A</v>
      </c>
      <c r="H564" s="145" t="e">
        <f t="shared" si="181"/>
        <v>#N/A</v>
      </c>
      <c r="P564" s="148" t="e">
        <f t="shared" si="182"/>
        <v>#N/A</v>
      </c>
      <c r="Q564" s="148" t="e">
        <f t="shared" si="183"/>
        <v>#N/A</v>
      </c>
      <c r="R564" s="162"/>
      <c r="S564" s="163"/>
      <c r="T564" s="163"/>
      <c r="U564" s="163"/>
      <c r="V564" s="163"/>
      <c r="W564" s="163"/>
      <c r="X564" s="163"/>
      <c r="Y564" s="160"/>
      <c r="Z564" s="164"/>
      <c r="AA564" s="164"/>
      <c r="AB564" s="164"/>
      <c r="AC564" s="164"/>
      <c r="AD564" s="164"/>
      <c r="AE564" s="160"/>
    </row>
    <row r="565" spans="4:31">
      <c r="D565" s="160"/>
      <c r="F565" s="145">
        <f t="shared" si="179"/>
        <v>0</v>
      </c>
      <c r="G565" s="145" t="e">
        <f t="shared" si="180"/>
        <v>#N/A</v>
      </c>
      <c r="H565" s="145" t="e">
        <f t="shared" si="181"/>
        <v>#N/A</v>
      </c>
      <c r="P565" s="148" t="e">
        <f t="shared" si="182"/>
        <v>#N/A</v>
      </c>
      <c r="Q565" s="148" t="e">
        <f t="shared" si="183"/>
        <v>#N/A</v>
      </c>
      <c r="R565" s="162"/>
      <c r="S565" s="163"/>
      <c r="T565" s="163"/>
      <c r="U565" s="163"/>
      <c r="V565" s="163"/>
      <c r="W565" s="163"/>
      <c r="X565" s="163"/>
      <c r="Y565" s="160"/>
      <c r="Z565" s="164"/>
      <c r="AA565" s="164"/>
      <c r="AB565" s="164"/>
      <c r="AC565" s="164"/>
      <c r="AD565" s="164"/>
      <c r="AE565" s="160"/>
    </row>
    <row r="566" spans="4:31">
      <c r="D566" s="160"/>
      <c r="F566" s="145">
        <f t="shared" si="179"/>
        <v>0</v>
      </c>
      <c r="G566" s="145" t="e">
        <f t="shared" si="180"/>
        <v>#N/A</v>
      </c>
      <c r="H566" s="145" t="e">
        <f t="shared" si="181"/>
        <v>#N/A</v>
      </c>
      <c r="P566" s="148" t="e">
        <f t="shared" si="182"/>
        <v>#N/A</v>
      </c>
      <c r="Q566" s="148" t="e">
        <f t="shared" si="183"/>
        <v>#N/A</v>
      </c>
      <c r="R566" s="162"/>
      <c r="S566" s="163"/>
      <c r="T566" s="163"/>
      <c r="U566" s="163"/>
      <c r="V566" s="163"/>
      <c r="W566" s="163"/>
      <c r="X566" s="163"/>
      <c r="Y566" s="160"/>
      <c r="Z566" s="164"/>
      <c r="AA566" s="164"/>
      <c r="AB566" s="164"/>
      <c r="AC566" s="164"/>
      <c r="AD566" s="164"/>
      <c r="AE566" s="160"/>
    </row>
    <row r="567" spans="4:31">
      <c r="D567" s="160"/>
      <c r="F567" s="145">
        <f t="shared" si="179"/>
        <v>0</v>
      </c>
      <c r="G567" s="145" t="e">
        <f t="shared" si="180"/>
        <v>#N/A</v>
      </c>
      <c r="H567" s="145" t="e">
        <f t="shared" si="181"/>
        <v>#N/A</v>
      </c>
      <c r="P567" s="148" t="e">
        <f t="shared" si="182"/>
        <v>#N/A</v>
      </c>
      <c r="Q567" s="148" t="e">
        <f t="shared" si="183"/>
        <v>#N/A</v>
      </c>
      <c r="R567" s="162"/>
      <c r="S567" s="163"/>
      <c r="T567" s="163"/>
      <c r="U567" s="163"/>
      <c r="V567" s="163"/>
      <c r="W567" s="163"/>
      <c r="X567" s="163"/>
      <c r="Y567" s="160"/>
      <c r="Z567" s="164"/>
      <c r="AA567" s="164"/>
      <c r="AB567" s="164"/>
      <c r="AC567" s="164"/>
      <c r="AD567" s="164"/>
      <c r="AE567" s="160"/>
    </row>
    <row r="568" spans="4:31">
      <c r="D568" s="160"/>
      <c r="F568" s="145">
        <f t="shared" si="179"/>
        <v>0</v>
      </c>
      <c r="G568" s="145" t="e">
        <f t="shared" si="180"/>
        <v>#N/A</v>
      </c>
      <c r="H568" s="145" t="e">
        <f t="shared" si="181"/>
        <v>#N/A</v>
      </c>
      <c r="P568" s="148" t="e">
        <f t="shared" si="182"/>
        <v>#N/A</v>
      </c>
      <c r="Q568" s="148" t="e">
        <f t="shared" si="183"/>
        <v>#N/A</v>
      </c>
      <c r="R568" s="162"/>
      <c r="S568" s="163"/>
      <c r="T568" s="163"/>
      <c r="U568" s="163"/>
      <c r="V568" s="163"/>
      <c r="W568" s="163"/>
      <c r="X568" s="163"/>
      <c r="Y568" s="160"/>
      <c r="Z568" s="164"/>
      <c r="AA568" s="164"/>
      <c r="AB568" s="164"/>
      <c r="AC568" s="164"/>
      <c r="AD568" s="164"/>
      <c r="AE568" s="160"/>
    </row>
    <row r="569" spans="4:31">
      <c r="D569" s="160"/>
      <c r="F569" s="145">
        <f t="shared" si="179"/>
        <v>0</v>
      </c>
      <c r="G569" s="145" t="e">
        <f t="shared" si="180"/>
        <v>#N/A</v>
      </c>
      <c r="H569" s="145" t="e">
        <f t="shared" si="181"/>
        <v>#N/A</v>
      </c>
      <c r="P569" s="148" t="e">
        <f t="shared" si="182"/>
        <v>#N/A</v>
      </c>
      <c r="Q569" s="148" t="e">
        <f t="shared" si="183"/>
        <v>#N/A</v>
      </c>
      <c r="R569" s="162"/>
      <c r="S569" s="163"/>
      <c r="T569" s="163"/>
      <c r="U569" s="163"/>
      <c r="V569" s="163"/>
      <c r="W569" s="163"/>
      <c r="X569" s="163"/>
      <c r="Y569" s="160"/>
      <c r="Z569" s="164"/>
      <c r="AA569" s="164"/>
      <c r="AB569" s="164"/>
      <c r="AC569" s="164"/>
      <c r="AD569" s="164"/>
      <c r="AE569" s="160"/>
    </row>
    <row r="570" spans="4:31">
      <c r="D570" s="160"/>
      <c r="F570" s="145">
        <f t="shared" si="179"/>
        <v>0</v>
      </c>
      <c r="G570" s="145" t="e">
        <f t="shared" si="180"/>
        <v>#N/A</v>
      </c>
      <c r="H570" s="145" t="e">
        <f t="shared" si="181"/>
        <v>#N/A</v>
      </c>
      <c r="P570" s="148" t="e">
        <f t="shared" si="182"/>
        <v>#N/A</v>
      </c>
      <c r="Q570" s="148" t="e">
        <f t="shared" si="183"/>
        <v>#N/A</v>
      </c>
      <c r="R570" s="162"/>
      <c r="S570" s="163"/>
      <c r="T570" s="163"/>
      <c r="U570" s="163"/>
      <c r="V570" s="163"/>
      <c r="W570" s="163"/>
      <c r="X570" s="163"/>
      <c r="Y570" s="160"/>
      <c r="Z570" s="164"/>
      <c r="AA570" s="164"/>
      <c r="AB570" s="164"/>
      <c r="AC570" s="164"/>
      <c r="AD570" s="164"/>
      <c r="AE570" s="160"/>
    </row>
    <row r="571" spans="4:31">
      <c r="D571" s="160"/>
      <c r="F571" s="145">
        <f t="shared" si="179"/>
        <v>0</v>
      </c>
      <c r="G571" s="145" t="e">
        <f t="shared" si="180"/>
        <v>#N/A</v>
      </c>
      <c r="H571" s="145" t="e">
        <f t="shared" si="181"/>
        <v>#N/A</v>
      </c>
      <c r="P571" s="148" t="e">
        <f t="shared" si="182"/>
        <v>#N/A</v>
      </c>
      <c r="Q571" s="148" t="e">
        <f t="shared" si="183"/>
        <v>#N/A</v>
      </c>
      <c r="R571" s="162"/>
      <c r="S571" s="163"/>
      <c r="T571" s="163"/>
      <c r="U571" s="163"/>
      <c r="V571" s="163"/>
      <c r="W571" s="163"/>
      <c r="X571" s="163"/>
      <c r="Y571" s="160"/>
      <c r="Z571" s="164"/>
      <c r="AA571" s="164"/>
      <c r="AB571" s="164"/>
      <c r="AC571" s="164"/>
      <c r="AD571" s="164"/>
      <c r="AE571" s="160"/>
    </row>
    <row r="572" spans="4:31">
      <c r="D572" s="160"/>
      <c r="F572" s="145">
        <f t="shared" si="179"/>
        <v>0</v>
      </c>
      <c r="G572" s="145" t="e">
        <f t="shared" si="180"/>
        <v>#N/A</v>
      </c>
      <c r="H572" s="145" t="e">
        <f t="shared" si="181"/>
        <v>#N/A</v>
      </c>
      <c r="P572" s="148" t="e">
        <f t="shared" si="182"/>
        <v>#N/A</v>
      </c>
      <c r="Q572" s="148" t="e">
        <f t="shared" si="183"/>
        <v>#N/A</v>
      </c>
      <c r="R572" s="162"/>
      <c r="S572" s="163"/>
      <c r="T572" s="163"/>
      <c r="U572" s="163"/>
      <c r="V572" s="163"/>
      <c r="W572" s="163"/>
      <c r="X572" s="163"/>
      <c r="Y572" s="160"/>
      <c r="Z572" s="164"/>
      <c r="AA572" s="164"/>
      <c r="AB572" s="164"/>
      <c r="AC572" s="164"/>
      <c r="AD572" s="164"/>
      <c r="AE572" s="160"/>
    </row>
    <row r="573" spans="4:31">
      <c r="D573" s="160"/>
      <c r="F573" s="145">
        <f t="shared" si="179"/>
        <v>0</v>
      </c>
      <c r="G573" s="145" t="e">
        <f t="shared" si="180"/>
        <v>#N/A</v>
      </c>
      <c r="H573" s="145" t="e">
        <f t="shared" si="181"/>
        <v>#N/A</v>
      </c>
      <c r="P573" s="148" t="e">
        <f t="shared" si="182"/>
        <v>#N/A</v>
      </c>
      <c r="Q573" s="148" t="e">
        <f t="shared" si="183"/>
        <v>#N/A</v>
      </c>
      <c r="R573" s="162"/>
      <c r="S573" s="163"/>
      <c r="T573" s="163"/>
      <c r="U573" s="163"/>
      <c r="V573" s="163"/>
      <c r="W573" s="163"/>
      <c r="X573" s="163"/>
      <c r="Y573" s="160"/>
      <c r="Z573" s="164"/>
      <c r="AA573" s="164"/>
      <c r="AB573" s="164"/>
      <c r="AC573" s="164"/>
      <c r="AD573" s="164"/>
      <c r="AE573" s="160"/>
    </row>
    <row r="574" spans="4:31">
      <c r="D574" s="160"/>
      <c r="F574" s="145">
        <f t="shared" si="179"/>
        <v>0</v>
      </c>
      <c r="G574" s="145" t="e">
        <f t="shared" si="180"/>
        <v>#N/A</v>
      </c>
      <c r="H574" s="145" t="e">
        <f t="shared" si="181"/>
        <v>#N/A</v>
      </c>
      <c r="P574" s="148" t="e">
        <f t="shared" si="182"/>
        <v>#N/A</v>
      </c>
      <c r="Q574" s="148" t="e">
        <f t="shared" si="183"/>
        <v>#N/A</v>
      </c>
      <c r="R574" s="162"/>
      <c r="S574" s="163"/>
      <c r="T574" s="163"/>
      <c r="U574" s="163"/>
      <c r="V574" s="163"/>
      <c r="W574" s="163"/>
      <c r="X574" s="163"/>
      <c r="Y574" s="160"/>
      <c r="Z574" s="164"/>
      <c r="AA574" s="164"/>
      <c r="AB574" s="164"/>
      <c r="AC574" s="164"/>
      <c r="AD574" s="164"/>
      <c r="AE574" s="160"/>
    </row>
    <row r="575" spans="4:31">
      <c r="D575" s="160"/>
      <c r="F575" s="145">
        <f t="shared" si="179"/>
        <v>0</v>
      </c>
      <c r="G575" s="145" t="e">
        <f t="shared" si="180"/>
        <v>#N/A</v>
      </c>
      <c r="H575" s="145" t="e">
        <f t="shared" si="181"/>
        <v>#N/A</v>
      </c>
      <c r="P575" s="148" t="e">
        <f t="shared" si="182"/>
        <v>#N/A</v>
      </c>
      <c r="Q575" s="148" t="e">
        <f t="shared" si="183"/>
        <v>#N/A</v>
      </c>
      <c r="R575" s="162"/>
      <c r="S575" s="163"/>
      <c r="T575" s="163"/>
      <c r="U575" s="163"/>
      <c r="V575" s="163"/>
      <c r="W575" s="163"/>
      <c r="X575" s="163"/>
      <c r="Y575" s="160"/>
      <c r="Z575" s="164"/>
      <c r="AA575" s="164"/>
      <c r="AB575" s="164"/>
      <c r="AC575" s="164"/>
      <c r="AD575" s="164"/>
      <c r="AE575" s="160"/>
    </row>
    <row r="576" spans="4:31">
      <c r="D576" s="160"/>
      <c r="F576" s="145">
        <f t="shared" si="179"/>
        <v>0</v>
      </c>
      <c r="G576" s="145" t="e">
        <f t="shared" si="180"/>
        <v>#N/A</v>
      </c>
      <c r="H576" s="145" t="e">
        <f t="shared" si="181"/>
        <v>#N/A</v>
      </c>
      <c r="P576" s="148" t="e">
        <f t="shared" si="182"/>
        <v>#N/A</v>
      </c>
      <c r="Q576" s="148" t="e">
        <f t="shared" si="183"/>
        <v>#N/A</v>
      </c>
      <c r="R576" s="162"/>
      <c r="S576" s="163"/>
      <c r="T576" s="163"/>
      <c r="U576" s="163"/>
      <c r="V576" s="163"/>
      <c r="W576" s="163"/>
      <c r="X576" s="163"/>
      <c r="Y576" s="160"/>
      <c r="Z576" s="164"/>
      <c r="AA576" s="164"/>
      <c r="AB576" s="164"/>
      <c r="AC576" s="164"/>
      <c r="AD576" s="164"/>
      <c r="AE576" s="160"/>
    </row>
    <row r="577" spans="4:31">
      <c r="D577" s="160"/>
      <c r="F577" s="145">
        <f t="shared" si="179"/>
        <v>0</v>
      </c>
      <c r="G577" s="145" t="e">
        <f t="shared" si="180"/>
        <v>#N/A</v>
      </c>
      <c r="H577" s="145" t="e">
        <f t="shared" si="181"/>
        <v>#N/A</v>
      </c>
      <c r="P577" s="148" t="e">
        <f t="shared" si="182"/>
        <v>#N/A</v>
      </c>
      <c r="Q577" s="148" t="e">
        <f t="shared" ref="Q577:Q608" si="184">IF(biosiirtymä_luonne="äkillinen",INDEX($AG$4:$AG$20,MATCH($C577,$AF$4:$AF$20,0),1),INDEX($AH$4:$AH$20,MATCH($C577,$AF$4:$AF$20,0),1))</f>
        <v>#N/A</v>
      </c>
      <c r="R577" s="162"/>
      <c r="S577" s="163"/>
      <c r="T577" s="163"/>
      <c r="U577" s="163"/>
      <c r="V577" s="163"/>
      <c r="W577" s="163"/>
      <c r="X577" s="163"/>
      <c r="Y577" s="160"/>
      <c r="Z577" s="164"/>
      <c r="AA577" s="164"/>
      <c r="AB577" s="164"/>
      <c r="AC577" s="164"/>
      <c r="AD577" s="164"/>
      <c r="AE577" s="160"/>
    </row>
    <row r="578" spans="4:31">
      <c r="D578" s="160"/>
      <c r="F578" s="145">
        <f t="shared" si="179"/>
        <v>0</v>
      </c>
      <c r="G578" s="145" t="e">
        <f t="shared" si="180"/>
        <v>#N/A</v>
      </c>
      <c r="H578" s="145" t="e">
        <f t="shared" si="181"/>
        <v>#N/A</v>
      </c>
      <c r="P578" s="148" t="e">
        <f t="shared" si="182"/>
        <v>#N/A</v>
      </c>
      <c r="Q578" s="148" t="e">
        <f t="shared" si="184"/>
        <v>#N/A</v>
      </c>
      <c r="R578" s="162"/>
      <c r="S578" s="163"/>
      <c r="T578" s="163"/>
      <c r="U578" s="163"/>
      <c r="V578" s="163"/>
      <c r="W578" s="163"/>
      <c r="X578" s="163"/>
      <c r="Y578" s="160"/>
      <c r="Z578" s="164"/>
      <c r="AA578" s="164"/>
      <c r="AB578" s="164"/>
      <c r="AC578" s="164"/>
      <c r="AD578" s="164"/>
      <c r="AE578" s="160"/>
    </row>
    <row r="579" spans="4:31">
      <c r="D579" s="160"/>
      <c r="F579" s="145">
        <f t="shared" ref="F579:F642" si="185">IF(D579="pom",$E579*hv_pom,0)</f>
        <v>0</v>
      </c>
      <c r="G579" s="145" t="e">
        <f t="shared" si="180"/>
        <v>#N/A</v>
      </c>
      <c r="H579" s="145" t="e">
        <f t="shared" si="181"/>
        <v>#N/A</v>
      </c>
      <c r="P579" s="148" t="e">
        <f t="shared" si="182"/>
        <v>#N/A</v>
      </c>
      <c r="Q579" s="148" t="e">
        <f t="shared" si="184"/>
        <v>#N/A</v>
      </c>
      <c r="R579" s="162"/>
      <c r="S579" s="163"/>
      <c r="T579" s="163"/>
      <c r="U579" s="163"/>
      <c r="V579" s="163"/>
      <c r="W579" s="163"/>
      <c r="X579" s="163"/>
      <c r="Y579" s="160"/>
      <c r="Z579" s="164"/>
      <c r="AA579" s="164"/>
      <c r="AB579" s="164"/>
      <c r="AC579" s="164"/>
      <c r="AD579" s="164"/>
      <c r="AE579" s="160"/>
    </row>
    <row r="580" spans="4:31">
      <c r="D580" s="160"/>
      <c r="F580" s="145">
        <f t="shared" si="185"/>
        <v>0</v>
      </c>
      <c r="G580" s="145" t="e">
        <f t="shared" ref="G580:G643" si="186">$F580*$P580</f>
        <v>#N/A</v>
      </c>
      <c r="H580" s="145" t="e">
        <f t="shared" ref="H580:H643" si="187">$F580*$Q580</f>
        <v>#N/A</v>
      </c>
      <c r="P580" s="148" t="e">
        <f t="shared" ref="P580:P643" si="188">1-Q580</f>
        <v>#N/A</v>
      </c>
      <c r="Q580" s="148" t="e">
        <f t="shared" si="184"/>
        <v>#N/A</v>
      </c>
      <c r="R580" s="162"/>
      <c r="S580" s="163"/>
      <c r="T580" s="163"/>
      <c r="U580" s="163"/>
      <c r="V580" s="163"/>
      <c r="W580" s="163"/>
      <c r="X580" s="163"/>
      <c r="Y580" s="160"/>
      <c r="Z580" s="164"/>
      <c r="AA580" s="164"/>
      <c r="AB580" s="164"/>
      <c r="AC580" s="164"/>
      <c r="AD580" s="164"/>
      <c r="AE580" s="160"/>
    </row>
    <row r="581" spans="4:31">
      <c r="D581" s="160"/>
      <c r="F581" s="145">
        <f t="shared" si="185"/>
        <v>0</v>
      </c>
      <c r="G581" s="145" t="e">
        <f t="shared" si="186"/>
        <v>#N/A</v>
      </c>
      <c r="H581" s="145" t="e">
        <f t="shared" si="187"/>
        <v>#N/A</v>
      </c>
      <c r="P581" s="148" t="e">
        <f t="shared" si="188"/>
        <v>#N/A</v>
      </c>
      <c r="Q581" s="148" t="e">
        <f t="shared" si="184"/>
        <v>#N/A</v>
      </c>
      <c r="R581" s="162"/>
      <c r="S581" s="163"/>
      <c r="T581" s="163"/>
      <c r="U581" s="163"/>
      <c r="V581" s="163"/>
      <c r="W581" s="163"/>
      <c r="X581" s="163"/>
      <c r="Y581" s="160"/>
      <c r="Z581" s="164"/>
      <c r="AA581" s="164"/>
      <c r="AB581" s="164"/>
      <c r="AC581" s="164"/>
      <c r="AD581" s="164"/>
      <c r="AE581" s="160"/>
    </row>
    <row r="582" spans="4:31">
      <c r="D582" s="160"/>
      <c r="F582" s="145">
        <f t="shared" si="185"/>
        <v>0</v>
      </c>
      <c r="G582" s="145" t="e">
        <f t="shared" si="186"/>
        <v>#N/A</v>
      </c>
      <c r="H582" s="145" t="e">
        <f t="shared" si="187"/>
        <v>#N/A</v>
      </c>
      <c r="P582" s="148" t="e">
        <f t="shared" si="188"/>
        <v>#N/A</v>
      </c>
      <c r="Q582" s="148" t="e">
        <f t="shared" si="184"/>
        <v>#N/A</v>
      </c>
      <c r="R582" s="162"/>
      <c r="S582" s="163"/>
      <c r="T582" s="163"/>
      <c r="U582" s="163"/>
      <c r="V582" s="163"/>
      <c r="W582" s="163"/>
      <c r="X582" s="163"/>
      <c r="Y582" s="160"/>
      <c r="Z582" s="164"/>
      <c r="AA582" s="164"/>
      <c r="AB582" s="164"/>
      <c r="AC582" s="164"/>
      <c r="AD582" s="164"/>
      <c r="AE582" s="160"/>
    </row>
    <row r="583" spans="4:31">
      <c r="D583" s="160"/>
      <c r="F583" s="145">
        <f t="shared" si="185"/>
        <v>0</v>
      </c>
      <c r="G583" s="145" t="e">
        <f t="shared" si="186"/>
        <v>#N/A</v>
      </c>
      <c r="H583" s="145" t="e">
        <f t="shared" si="187"/>
        <v>#N/A</v>
      </c>
      <c r="P583" s="148" t="e">
        <f t="shared" si="188"/>
        <v>#N/A</v>
      </c>
      <c r="Q583" s="148" t="e">
        <f t="shared" si="184"/>
        <v>#N/A</v>
      </c>
      <c r="R583" s="162"/>
      <c r="S583" s="163"/>
      <c r="T583" s="163"/>
      <c r="U583" s="163"/>
      <c r="V583" s="163"/>
      <c r="W583" s="163"/>
      <c r="X583" s="163"/>
      <c r="Y583" s="160"/>
      <c r="Z583" s="164"/>
      <c r="AA583" s="164"/>
      <c r="AB583" s="164"/>
      <c r="AC583" s="164"/>
      <c r="AD583" s="164"/>
      <c r="AE583" s="160"/>
    </row>
    <row r="584" spans="4:31">
      <c r="D584" s="160"/>
      <c r="F584" s="145">
        <f t="shared" si="185"/>
        <v>0</v>
      </c>
      <c r="G584" s="145" t="e">
        <f t="shared" si="186"/>
        <v>#N/A</v>
      </c>
      <c r="H584" s="145" t="e">
        <f t="shared" si="187"/>
        <v>#N/A</v>
      </c>
      <c r="P584" s="148" t="e">
        <f t="shared" si="188"/>
        <v>#N/A</v>
      </c>
      <c r="Q584" s="148" t="e">
        <f t="shared" si="184"/>
        <v>#N/A</v>
      </c>
      <c r="R584" s="162"/>
      <c r="S584" s="163"/>
      <c r="T584" s="163"/>
      <c r="U584" s="163"/>
      <c r="V584" s="163"/>
      <c r="W584" s="163"/>
      <c r="X584" s="163"/>
      <c r="Y584" s="160"/>
      <c r="Z584" s="164"/>
      <c r="AA584" s="164"/>
      <c r="AB584" s="164"/>
      <c r="AC584" s="164"/>
      <c r="AD584" s="164"/>
      <c r="AE584" s="160"/>
    </row>
    <row r="585" spans="4:31">
      <c r="D585" s="160"/>
      <c r="F585" s="145">
        <f t="shared" si="185"/>
        <v>0</v>
      </c>
      <c r="G585" s="145" t="e">
        <f t="shared" si="186"/>
        <v>#N/A</v>
      </c>
      <c r="H585" s="145" t="e">
        <f t="shared" si="187"/>
        <v>#N/A</v>
      </c>
      <c r="P585" s="148" t="e">
        <f t="shared" si="188"/>
        <v>#N/A</v>
      </c>
      <c r="Q585" s="148" t="e">
        <f t="shared" si="184"/>
        <v>#N/A</v>
      </c>
      <c r="R585" s="162"/>
      <c r="S585" s="163"/>
      <c r="T585" s="163"/>
      <c r="U585" s="163"/>
      <c r="V585" s="163"/>
      <c r="W585" s="163"/>
      <c r="X585" s="163"/>
      <c r="Y585" s="160"/>
      <c r="Z585" s="164"/>
      <c r="AA585" s="164"/>
      <c r="AB585" s="164"/>
      <c r="AC585" s="164"/>
      <c r="AD585" s="164"/>
      <c r="AE585" s="160"/>
    </row>
    <row r="586" spans="4:31">
      <c r="D586" s="160"/>
      <c r="F586" s="145">
        <f t="shared" si="185"/>
        <v>0</v>
      </c>
      <c r="G586" s="145" t="e">
        <f t="shared" si="186"/>
        <v>#N/A</v>
      </c>
      <c r="H586" s="145" t="e">
        <f t="shared" si="187"/>
        <v>#N/A</v>
      </c>
      <c r="P586" s="148" t="e">
        <f t="shared" si="188"/>
        <v>#N/A</v>
      </c>
      <c r="Q586" s="148" t="e">
        <f t="shared" si="184"/>
        <v>#N/A</v>
      </c>
      <c r="R586" s="162"/>
      <c r="S586" s="163"/>
      <c r="T586" s="163"/>
      <c r="U586" s="163"/>
      <c r="V586" s="163"/>
      <c r="W586" s="163"/>
      <c r="X586" s="163"/>
      <c r="Y586" s="160"/>
      <c r="Z586" s="164"/>
      <c r="AA586" s="164"/>
      <c r="AB586" s="164"/>
      <c r="AC586" s="164"/>
      <c r="AD586" s="164"/>
      <c r="AE586" s="160"/>
    </row>
    <row r="587" spans="4:31">
      <c r="D587" s="160"/>
      <c r="F587" s="145">
        <f t="shared" si="185"/>
        <v>0</v>
      </c>
      <c r="G587" s="145" t="e">
        <f t="shared" si="186"/>
        <v>#N/A</v>
      </c>
      <c r="H587" s="145" t="e">
        <f t="shared" si="187"/>
        <v>#N/A</v>
      </c>
      <c r="P587" s="148" t="e">
        <f t="shared" si="188"/>
        <v>#N/A</v>
      </c>
      <c r="Q587" s="148" t="e">
        <f t="shared" si="184"/>
        <v>#N/A</v>
      </c>
      <c r="R587" s="162"/>
      <c r="S587" s="163"/>
      <c r="T587" s="163"/>
      <c r="U587" s="163"/>
      <c r="V587" s="163"/>
      <c r="W587" s="163"/>
      <c r="X587" s="163"/>
      <c r="Y587" s="160"/>
      <c r="Z587" s="164"/>
      <c r="AA587" s="164"/>
      <c r="AB587" s="164"/>
      <c r="AC587" s="164"/>
      <c r="AD587" s="164"/>
      <c r="AE587" s="160"/>
    </row>
    <row r="588" spans="4:31">
      <c r="D588" s="160"/>
      <c r="F588" s="145">
        <f t="shared" si="185"/>
        <v>0</v>
      </c>
      <c r="G588" s="145" t="e">
        <f t="shared" si="186"/>
        <v>#N/A</v>
      </c>
      <c r="H588" s="145" t="e">
        <f t="shared" si="187"/>
        <v>#N/A</v>
      </c>
      <c r="P588" s="148" t="e">
        <f t="shared" si="188"/>
        <v>#N/A</v>
      </c>
      <c r="Q588" s="148" t="e">
        <f t="shared" si="184"/>
        <v>#N/A</v>
      </c>
      <c r="R588" s="162"/>
      <c r="S588" s="163"/>
      <c r="T588" s="163"/>
      <c r="U588" s="163"/>
      <c r="V588" s="163"/>
      <c r="W588" s="163"/>
      <c r="X588" s="163"/>
      <c r="Y588" s="160"/>
      <c r="Z588" s="164"/>
      <c r="AA588" s="164"/>
      <c r="AB588" s="164"/>
      <c r="AC588" s="164"/>
      <c r="AD588" s="164"/>
      <c r="AE588" s="160"/>
    </row>
    <row r="589" spans="4:31">
      <c r="D589" s="160"/>
      <c r="F589" s="145">
        <f t="shared" si="185"/>
        <v>0</v>
      </c>
      <c r="G589" s="145" t="e">
        <f t="shared" si="186"/>
        <v>#N/A</v>
      </c>
      <c r="H589" s="145" t="e">
        <f t="shared" si="187"/>
        <v>#N/A</v>
      </c>
      <c r="P589" s="148" t="e">
        <f t="shared" si="188"/>
        <v>#N/A</v>
      </c>
      <c r="Q589" s="148" t="e">
        <f t="shared" si="184"/>
        <v>#N/A</v>
      </c>
      <c r="R589" s="162"/>
      <c r="S589" s="163"/>
      <c r="T589" s="163"/>
      <c r="U589" s="163"/>
      <c r="V589" s="163"/>
      <c r="W589" s="163"/>
      <c r="X589" s="163"/>
      <c r="Y589" s="160"/>
      <c r="Z589" s="164"/>
      <c r="AA589" s="164"/>
      <c r="AB589" s="164"/>
      <c r="AC589" s="164"/>
      <c r="AD589" s="164"/>
      <c r="AE589" s="160"/>
    </row>
    <row r="590" spans="4:31">
      <c r="D590" s="160"/>
      <c r="F590" s="145">
        <f t="shared" si="185"/>
        <v>0</v>
      </c>
      <c r="G590" s="145" t="e">
        <f t="shared" si="186"/>
        <v>#N/A</v>
      </c>
      <c r="H590" s="145" t="e">
        <f t="shared" si="187"/>
        <v>#N/A</v>
      </c>
      <c r="P590" s="148" t="e">
        <f t="shared" si="188"/>
        <v>#N/A</v>
      </c>
      <c r="Q590" s="148" t="e">
        <f t="shared" si="184"/>
        <v>#N/A</v>
      </c>
      <c r="R590" s="162"/>
      <c r="S590" s="163"/>
      <c r="T590" s="163"/>
      <c r="U590" s="163"/>
      <c r="V590" s="163"/>
      <c r="W590" s="163"/>
      <c r="X590" s="163"/>
      <c r="Y590" s="160"/>
      <c r="Z590" s="164"/>
      <c r="AA590" s="164"/>
      <c r="AB590" s="164"/>
      <c r="AC590" s="164"/>
      <c r="AD590" s="164"/>
      <c r="AE590" s="160"/>
    </row>
    <row r="591" spans="4:31">
      <c r="D591" s="160"/>
      <c r="F591" s="145">
        <f t="shared" si="185"/>
        <v>0</v>
      </c>
      <c r="G591" s="145" t="e">
        <f t="shared" si="186"/>
        <v>#N/A</v>
      </c>
      <c r="H591" s="145" t="e">
        <f t="shared" si="187"/>
        <v>#N/A</v>
      </c>
      <c r="P591" s="148" t="e">
        <f t="shared" si="188"/>
        <v>#N/A</v>
      </c>
      <c r="Q591" s="148" t="e">
        <f t="shared" si="184"/>
        <v>#N/A</v>
      </c>
      <c r="R591" s="162"/>
      <c r="S591" s="163"/>
      <c r="T591" s="163"/>
      <c r="U591" s="163"/>
      <c r="V591" s="163"/>
      <c r="W591" s="163"/>
      <c r="X591" s="163"/>
      <c r="Y591" s="160"/>
      <c r="Z591" s="164"/>
      <c r="AA591" s="164"/>
      <c r="AB591" s="164"/>
      <c r="AC591" s="164"/>
      <c r="AD591" s="164"/>
      <c r="AE591" s="160"/>
    </row>
    <row r="592" spans="4:31">
      <c r="D592" s="160"/>
      <c r="F592" s="145">
        <f t="shared" si="185"/>
        <v>0</v>
      </c>
      <c r="G592" s="145" t="e">
        <f t="shared" si="186"/>
        <v>#N/A</v>
      </c>
      <c r="H592" s="145" t="e">
        <f t="shared" si="187"/>
        <v>#N/A</v>
      </c>
      <c r="P592" s="148" t="e">
        <f t="shared" si="188"/>
        <v>#N/A</v>
      </c>
      <c r="Q592" s="148" t="e">
        <f t="shared" si="184"/>
        <v>#N/A</v>
      </c>
      <c r="R592" s="162"/>
      <c r="S592" s="163"/>
      <c r="T592" s="163"/>
      <c r="U592" s="163"/>
      <c r="V592" s="163"/>
      <c r="W592" s="163"/>
      <c r="X592" s="163"/>
      <c r="Y592" s="160"/>
      <c r="Z592" s="164"/>
      <c r="AA592" s="164"/>
      <c r="AB592" s="164"/>
      <c r="AC592" s="164"/>
      <c r="AD592" s="164"/>
      <c r="AE592" s="160"/>
    </row>
    <row r="593" spans="4:31">
      <c r="D593" s="160"/>
      <c r="F593" s="145">
        <f t="shared" si="185"/>
        <v>0</v>
      </c>
      <c r="G593" s="145" t="e">
        <f t="shared" si="186"/>
        <v>#N/A</v>
      </c>
      <c r="H593" s="145" t="e">
        <f t="shared" si="187"/>
        <v>#N/A</v>
      </c>
      <c r="P593" s="148" t="e">
        <f t="shared" si="188"/>
        <v>#N/A</v>
      </c>
      <c r="Q593" s="148" t="e">
        <f t="shared" si="184"/>
        <v>#N/A</v>
      </c>
      <c r="R593" s="162"/>
      <c r="S593" s="163"/>
      <c r="T593" s="163"/>
      <c r="U593" s="163"/>
      <c r="V593" s="163"/>
      <c r="W593" s="163"/>
      <c r="X593" s="163"/>
      <c r="Y593" s="160"/>
      <c r="Z593" s="164"/>
      <c r="AA593" s="164"/>
      <c r="AB593" s="164"/>
      <c r="AC593" s="164"/>
      <c r="AD593" s="164"/>
      <c r="AE593" s="160"/>
    </row>
    <row r="594" spans="4:31">
      <c r="D594" s="160"/>
      <c r="F594" s="145">
        <f t="shared" si="185"/>
        <v>0</v>
      </c>
      <c r="G594" s="145" t="e">
        <f t="shared" si="186"/>
        <v>#N/A</v>
      </c>
      <c r="H594" s="145" t="e">
        <f t="shared" si="187"/>
        <v>#N/A</v>
      </c>
      <c r="P594" s="148" t="e">
        <f t="shared" si="188"/>
        <v>#N/A</v>
      </c>
      <c r="Q594" s="148" t="e">
        <f t="shared" si="184"/>
        <v>#N/A</v>
      </c>
      <c r="R594" s="162"/>
      <c r="S594" s="163"/>
      <c r="T594" s="163"/>
      <c r="U594" s="163"/>
      <c r="V594" s="163"/>
      <c r="W594" s="163"/>
      <c r="X594" s="163"/>
      <c r="Y594" s="160"/>
      <c r="Z594" s="164"/>
      <c r="AA594" s="164"/>
      <c r="AB594" s="164"/>
      <c r="AC594" s="164"/>
      <c r="AD594" s="164"/>
      <c r="AE594" s="160"/>
    </row>
    <row r="595" spans="4:31">
      <c r="D595" s="160"/>
      <c r="F595" s="145">
        <f t="shared" si="185"/>
        <v>0</v>
      </c>
      <c r="G595" s="145" t="e">
        <f t="shared" si="186"/>
        <v>#N/A</v>
      </c>
      <c r="H595" s="145" t="e">
        <f t="shared" si="187"/>
        <v>#N/A</v>
      </c>
      <c r="P595" s="148" t="e">
        <f t="shared" si="188"/>
        <v>#N/A</v>
      </c>
      <c r="Q595" s="148" t="e">
        <f t="shared" si="184"/>
        <v>#N/A</v>
      </c>
      <c r="R595" s="162"/>
      <c r="S595" s="163"/>
      <c r="T595" s="163"/>
      <c r="U595" s="163"/>
      <c r="V595" s="163"/>
      <c r="W595" s="163"/>
      <c r="X595" s="163"/>
      <c r="Y595" s="160"/>
      <c r="Z595" s="164"/>
      <c r="AA595" s="164"/>
      <c r="AB595" s="164"/>
      <c r="AC595" s="164"/>
      <c r="AD595" s="164"/>
      <c r="AE595" s="160"/>
    </row>
    <row r="596" spans="4:31">
      <c r="D596" s="160"/>
      <c r="F596" s="145">
        <f t="shared" si="185"/>
        <v>0</v>
      </c>
      <c r="G596" s="145" t="e">
        <f t="shared" si="186"/>
        <v>#N/A</v>
      </c>
      <c r="H596" s="145" t="e">
        <f t="shared" si="187"/>
        <v>#N/A</v>
      </c>
      <c r="P596" s="148" t="e">
        <f t="shared" si="188"/>
        <v>#N/A</v>
      </c>
      <c r="Q596" s="148" t="e">
        <f t="shared" si="184"/>
        <v>#N/A</v>
      </c>
      <c r="R596" s="162"/>
      <c r="S596" s="163"/>
      <c r="T596" s="163"/>
      <c r="U596" s="163"/>
      <c r="V596" s="163"/>
      <c r="W596" s="163"/>
      <c r="X596" s="163"/>
      <c r="Y596" s="160"/>
      <c r="Z596" s="164"/>
      <c r="AA596" s="164"/>
      <c r="AB596" s="164"/>
      <c r="AC596" s="164"/>
      <c r="AD596" s="164"/>
      <c r="AE596" s="160"/>
    </row>
    <row r="597" spans="4:31">
      <c r="D597" s="160"/>
      <c r="F597" s="145">
        <f t="shared" si="185"/>
        <v>0</v>
      </c>
      <c r="G597" s="145" t="e">
        <f t="shared" si="186"/>
        <v>#N/A</v>
      </c>
      <c r="H597" s="145" t="e">
        <f t="shared" si="187"/>
        <v>#N/A</v>
      </c>
      <c r="P597" s="148" t="e">
        <f t="shared" si="188"/>
        <v>#N/A</v>
      </c>
      <c r="Q597" s="148" t="e">
        <f t="shared" si="184"/>
        <v>#N/A</v>
      </c>
      <c r="R597" s="162"/>
      <c r="S597" s="163"/>
      <c r="T597" s="163"/>
      <c r="U597" s="163"/>
      <c r="V597" s="163"/>
      <c r="W597" s="163"/>
      <c r="X597" s="163"/>
      <c r="Y597" s="160"/>
      <c r="Z597" s="164"/>
      <c r="AA597" s="164"/>
      <c r="AB597" s="164"/>
      <c r="AC597" s="164"/>
      <c r="AD597" s="164"/>
      <c r="AE597" s="160"/>
    </row>
    <row r="598" spans="4:31">
      <c r="D598" s="160"/>
      <c r="F598" s="145">
        <f t="shared" si="185"/>
        <v>0</v>
      </c>
      <c r="G598" s="145" t="e">
        <f t="shared" si="186"/>
        <v>#N/A</v>
      </c>
      <c r="H598" s="145" t="e">
        <f t="shared" si="187"/>
        <v>#N/A</v>
      </c>
      <c r="P598" s="148" t="e">
        <f t="shared" si="188"/>
        <v>#N/A</v>
      </c>
      <c r="Q598" s="148" t="e">
        <f t="shared" si="184"/>
        <v>#N/A</v>
      </c>
      <c r="R598" s="162"/>
      <c r="S598" s="163"/>
      <c r="T598" s="163"/>
      <c r="U598" s="163"/>
      <c r="V598" s="163"/>
      <c r="W598" s="163"/>
      <c r="X598" s="163"/>
      <c r="Y598" s="160"/>
      <c r="Z598" s="164"/>
      <c r="AA598" s="164"/>
      <c r="AB598" s="164"/>
      <c r="AC598" s="164"/>
      <c r="AD598" s="164"/>
      <c r="AE598" s="160"/>
    </row>
    <row r="599" spans="4:31">
      <c r="D599" s="160"/>
      <c r="F599" s="145">
        <f t="shared" si="185"/>
        <v>0</v>
      </c>
      <c r="G599" s="145" t="e">
        <f t="shared" si="186"/>
        <v>#N/A</v>
      </c>
      <c r="H599" s="145" t="e">
        <f t="shared" si="187"/>
        <v>#N/A</v>
      </c>
      <c r="P599" s="148" t="e">
        <f t="shared" si="188"/>
        <v>#N/A</v>
      </c>
      <c r="Q599" s="148" t="e">
        <f t="shared" si="184"/>
        <v>#N/A</v>
      </c>
      <c r="R599" s="162"/>
      <c r="S599" s="163"/>
      <c r="T599" s="163"/>
      <c r="U599" s="163"/>
      <c r="V599" s="163"/>
      <c r="W599" s="163"/>
      <c r="X599" s="163"/>
      <c r="Y599" s="160"/>
      <c r="Z599" s="164"/>
      <c r="AA599" s="164"/>
      <c r="AB599" s="164"/>
      <c r="AC599" s="164"/>
      <c r="AD599" s="164"/>
      <c r="AE599" s="160"/>
    </row>
    <row r="600" spans="4:31">
      <c r="D600" s="160"/>
      <c r="F600" s="145">
        <f t="shared" si="185"/>
        <v>0</v>
      </c>
      <c r="G600" s="145" t="e">
        <f t="shared" si="186"/>
        <v>#N/A</v>
      </c>
      <c r="H600" s="145" t="e">
        <f t="shared" si="187"/>
        <v>#N/A</v>
      </c>
      <c r="P600" s="148" t="e">
        <f t="shared" si="188"/>
        <v>#N/A</v>
      </c>
      <c r="Q600" s="148" t="e">
        <f t="shared" si="184"/>
        <v>#N/A</v>
      </c>
      <c r="R600" s="162"/>
      <c r="S600" s="163"/>
      <c r="T600" s="163"/>
      <c r="U600" s="163"/>
      <c r="V600" s="163"/>
      <c r="W600" s="163"/>
      <c r="X600" s="163"/>
      <c r="Y600" s="160"/>
      <c r="Z600" s="164"/>
      <c r="AA600" s="164"/>
      <c r="AB600" s="164"/>
      <c r="AC600" s="164"/>
      <c r="AD600" s="164"/>
      <c r="AE600" s="160"/>
    </row>
    <row r="601" spans="4:31">
      <c r="D601" s="160"/>
      <c r="F601" s="145">
        <f t="shared" si="185"/>
        <v>0</v>
      </c>
      <c r="G601" s="145" t="e">
        <f t="shared" si="186"/>
        <v>#N/A</v>
      </c>
      <c r="H601" s="145" t="e">
        <f t="shared" si="187"/>
        <v>#N/A</v>
      </c>
      <c r="P601" s="148" t="e">
        <f t="shared" si="188"/>
        <v>#N/A</v>
      </c>
      <c r="Q601" s="148" t="e">
        <f t="shared" si="184"/>
        <v>#N/A</v>
      </c>
      <c r="R601" s="162"/>
      <c r="S601" s="163"/>
      <c r="T601" s="163"/>
      <c r="U601" s="163"/>
      <c r="V601" s="163"/>
      <c r="W601" s="163"/>
      <c r="X601" s="163"/>
      <c r="Y601" s="160"/>
      <c r="Z601" s="164"/>
      <c r="AA601" s="164"/>
      <c r="AB601" s="164"/>
      <c r="AC601" s="164"/>
      <c r="AD601" s="164"/>
      <c r="AE601" s="160"/>
    </row>
    <row r="602" spans="4:31">
      <c r="D602" s="160"/>
      <c r="F602" s="145">
        <f t="shared" si="185"/>
        <v>0</v>
      </c>
      <c r="G602" s="145" t="e">
        <f t="shared" si="186"/>
        <v>#N/A</v>
      </c>
      <c r="H602" s="145" t="e">
        <f t="shared" si="187"/>
        <v>#N/A</v>
      </c>
      <c r="P602" s="148" t="e">
        <f t="shared" si="188"/>
        <v>#N/A</v>
      </c>
      <c r="Q602" s="148" t="e">
        <f t="shared" si="184"/>
        <v>#N/A</v>
      </c>
      <c r="R602" s="162"/>
      <c r="S602" s="163"/>
      <c r="T602" s="163"/>
      <c r="U602" s="163"/>
      <c r="V602" s="163"/>
      <c r="W602" s="163"/>
      <c r="X602" s="163"/>
      <c r="Y602" s="160"/>
      <c r="Z602" s="164"/>
      <c r="AA602" s="164"/>
      <c r="AB602" s="164"/>
      <c r="AC602" s="164"/>
      <c r="AD602" s="164"/>
      <c r="AE602" s="160"/>
    </row>
    <row r="603" spans="4:31">
      <c r="D603" s="160"/>
      <c r="F603" s="145">
        <f t="shared" si="185"/>
        <v>0</v>
      </c>
      <c r="G603" s="145" t="e">
        <f t="shared" si="186"/>
        <v>#N/A</v>
      </c>
      <c r="H603" s="145" t="e">
        <f t="shared" si="187"/>
        <v>#N/A</v>
      </c>
      <c r="P603" s="148" t="e">
        <f t="shared" si="188"/>
        <v>#N/A</v>
      </c>
      <c r="Q603" s="148" t="e">
        <f t="shared" si="184"/>
        <v>#N/A</v>
      </c>
      <c r="R603" s="162"/>
      <c r="S603" s="163"/>
      <c r="T603" s="163"/>
      <c r="U603" s="163"/>
      <c r="V603" s="163"/>
      <c r="W603" s="163"/>
      <c r="X603" s="163"/>
      <c r="Y603" s="160"/>
      <c r="Z603" s="164"/>
      <c r="AA603" s="164"/>
      <c r="AB603" s="164"/>
      <c r="AC603" s="164"/>
      <c r="AD603" s="164"/>
      <c r="AE603" s="160"/>
    </row>
    <row r="604" spans="4:31">
      <c r="D604" s="160"/>
      <c r="F604" s="145">
        <f t="shared" si="185"/>
        <v>0</v>
      </c>
      <c r="G604" s="145" t="e">
        <f t="shared" si="186"/>
        <v>#N/A</v>
      </c>
      <c r="H604" s="145" t="e">
        <f t="shared" si="187"/>
        <v>#N/A</v>
      </c>
      <c r="P604" s="148" t="e">
        <f t="shared" si="188"/>
        <v>#N/A</v>
      </c>
      <c r="Q604" s="148" t="e">
        <f t="shared" si="184"/>
        <v>#N/A</v>
      </c>
      <c r="R604" s="162"/>
      <c r="S604" s="163"/>
      <c r="T604" s="163"/>
      <c r="U604" s="163"/>
      <c r="V604" s="163"/>
      <c r="W604" s="163"/>
      <c r="X604" s="163"/>
      <c r="Y604" s="160"/>
      <c r="Z604" s="164"/>
      <c r="AA604" s="164"/>
      <c r="AB604" s="164"/>
      <c r="AC604" s="164"/>
      <c r="AD604" s="164"/>
      <c r="AE604" s="160"/>
    </row>
    <row r="605" spans="4:31">
      <c r="D605" s="160"/>
      <c r="F605" s="145">
        <f t="shared" si="185"/>
        <v>0</v>
      </c>
      <c r="G605" s="145" t="e">
        <f t="shared" si="186"/>
        <v>#N/A</v>
      </c>
      <c r="H605" s="145" t="e">
        <f t="shared" si="187"/>
        <v>#N/A</v>
      </c>
      <c r="P605" s="148" t="e">
        <f t="shared" si="188"/>
        <v>#N/A</v>
      </c>
      <c r="Q605" s="148" t="e">
        <f t="shared" si="184"/>
        <v>#N/A</v>
      </c>
      <c r="R605" s="162"/>
      <c r="S605" s="163"/>
      <c r="T605" s="163"/>
      <c r="U605" s="163"/>
      <c r="V605" s="163"/>
      <c r="W605" s="163"/>
      <c r="X605" s="163"/>
      <c r="Y605" s="160"/>
      <c r="Z605" s="164"/>
      <c r="AA605" s="164"/>
      <c r="AB605" s="164"/>
      <c r="AC605" s="164"/>
      <c r="AD605" s="164"/>
      <c r="AE605" s="160"/>
    </row>
    <row r="606" spans="4:31">
      <c r="D606" s="160"/>
      <c r="F606" s="145">
        <f t="shared" si="185"/>
        <v>0</v>
      </c>
      <c r="G606" s="145" t="e">
        <f t="shared" si="186"/>
        <v>#N/A</v>
      </c>
      <c r="H606" s="145" t="e">
        <f t="shared" si="187"/>
        <v>#N/A</v>
      </c>
      <c r="P606" s="148" t="e">
        <f t="shared" si="188"/>
        <v>#N/A</v>
      </c>
      <c r="Q606" s="148" t="e">
        <f t="shared" si="184"/>
        <v>#N/A</v>
      </c>
      <c r="R606" s="162"/>
      <c r="S606" s="163"/>
      <c r="T606" s="163"/>
      <c r="U606" s="163"/>
      <c r="V606" s="163"/>
      <c r="W606" s="163"/>
      <c r="X606" s="163"/>
      <c r="Y606" s="160"/>
      <c r="Z606" s="164"/>
      <c r="AA606" s="164"/>
      <c r="AB606" s="164"/>
      <c r="AC606" s="164"/>
      <c r="AD606" s="164"/>
      <c r="AE606" s="160"/>
    </row>
    <row r="607" spans="4:31">
      <c r="D607" s="160"/>
      <c r="F607" s="145">
        <f t="shared" si="185"/>
        <v>0</v>
      </c>
      <c r="G607" s="145" t="e">
        <f t="shared" si="186"/>
        <v>#N/A</v>
      </c>
      <c r="H607" s="145" t="e">
        <f t="shared" si="187"/>
        <v>#N/A</v>
      </c>
      <c r="P607" s="148" t="e">
        <f t="shared" si="188"/>
        <v>#N/A</v>
      </c>
      <c r="Q607" s="148" t="e">
        <f t="shared" si="184"/>
        <v>#N/A</v>
      </c>
      <c r="R607" s="162"/>
      <c r="S607" s="163"/>
      <c r="T607" s="163"/>
      <c r="U607" s="163"/>
      <c r="V607" s="163"/>
      <c r="W607" s="163"/>
      <c r="X607" s="163"/>
      <c r="Y607" s="160"/>
      <c r="Z607" s="164"/>
      <c r="AA607" s="164"/>
      <c r="AB607" s="164"/>
      <c r="AC607" s="164"/>
      <c r="AD607" s="164"/>
      <c r="AE607" s="160"/>
    </row>
    <row r="608" spans="4:31">
      <c r="D608" s="160"/>
      <c r="F608" s="145">
        <f t="shared" si="185"/>
        <v>0</v>
      </c>
      <c r="G608" s="145" t="e">
        <f t="shared" si="186"/>
        <v>#N/A</v>
      </c>
      <c r="H608" s="145" t="e">
        <f t="shared" si="187"/>
        <v>#N/A</v>
      </c>
      <c r="P608" s="148" t="e">
        <f t="shared" si="188"/>
        <v>#N/A</v>
      </c>
      <c r="Q608" s="148" t="e">
        <f t="shared" si="184"/>
        <v>#N/A</v>
      </c>
      <c r="R608" s="162"/>
      <c r="S608" s="163"/>
      <c r="T608" s="163"/>
      <c r="U608" s="163"/>
      <c r="V608" s="163"/>
      <c r="W608" s="163"/>
      <c r="X608" s="163"/>
      <c r="Y608" s="160"/>
      <c r="Z608" s="164"/>
      <c r="AA608" s="164"/>
      <c r="AB608" s="164"/>
      <c r="AC608" s="164"/>
      <c r="AD608" s="164"/>
      <c r="AE608" s="160"/>
    </row>
    <row r="609" spans="4:31">
      <c r="D609" s="160"/>
      <c r="F609" s="145">
        <f t="shared" si="185"/>
        <v>0</v>
      </c>
      <c r="G609" s="145" t="e">
        <f t="shared" si="186"/>
        <v>#N/A</v>
      </c>
      <c r="H609" s="145" t="e">
        <f t="shared" si="187"/>
        <v>#N/A</v>
      </c>
      <c r="P609" s="148" t="e">
        <f t="shared" si="188"/>
        <v>#N/A</v>
      </c>
      <c r="Q609" s="148" t="e">
        <f t="shared" ref="Q609:Q640" si="189">IF(biosiirtymä_luonne="äkillinen",INDEX($AG$4:$AG$20,MATCH($C609,$AF$4:$AF$20,0),1),INDEX($AH$4:$AH$20,MATCH($C609,$AF$4:$AF$20,0),1))</f>
        <v>#N/A</v>
      </c>
      <c r="R609" s="162"/>
      <c r="S609" s="163"/>
      <c r="T609" s="163"/>
      <c r="U609" s="163"/>
      <c r="V609" s="163"/>
      <c r="W609" s="163"/>
      <c r="X609" s="163"/>
      <c r="Y609" s="160"/>
      <c r="Z609" s="164"/>
      <c r="AA609" s="164"/>
      <c r="AB609" s="164"/>
      <c r="AC609" s="164"/>
      <c r="AD609" s="164"/>
      <c r="AE609" s="160"/>
    </row>
    <row r="610" spans="4:31">
      <c r="D610" s="160"/>
      <c r="F610" s="145">
        <f t="shared" si="185"/>
        <v>0</v>
      </c>
      <c r="G610" s="145" t="e">
        <f t="shared" si="186"/>
        <v>#N/A</v>
      </c>
      <c r="H610" s="145" t="e">
        <f t="shared" si="187"/>
        <v>#N/A</v>
      </c>
      <c r="P610" s="148" t="e">
        <f t="shared" si="188"/>
        <v>#N/A</v>
      </c>
      <c r="Q610" s="148" t="e">
        <f t="shared" si="189"/>
        <v>#N/A</v>
      </c>
      <c r="R610" s="162"/>
      <c r="S610" s="163"/>
      <c r="T610" s="163"/>
      <c r="U610" s="163"/>
      <c r="V610" s="163"/>
      <c r="W610" s="163"/>
      <c r="X610" s="163"/>
      <c r="Y610" s="160"/>
      <c r="Z610" s="164"/>
      <c r="AA610" s="164"/>
      <c r="AB610" s="164"/>
      <c r="AC610" s="164"/>
      <c r="AD610" s="164"/>
      <c r="AE610" s="160"/>
    </row>
    <row r="611" spans="4:31">
      <c r="D611" s="160"/>
      <c r="F611" s="145">
        <f t="shared" si="185"/>
        <v>0</v>
      </c>
      <c r="G611" s="145" t="e">
        <f t="shared" si="186"/>
        <v>#N/A</v>
      </c>
      <c r="H611" s="145" t="e">
        <f t="shared" si="187"/>
        <v>#N/A</v>
      </c>
      <c r="P611" s="148" t="e">
        <f t="shared" si="188"/>
        <v>#N/A</v>
      </c>
      <c r="Q611" s="148" t="e">
        <f t="shared" si="189"/>
        <v>#N/A</v>
      </c>
      <c r="R611" s="162"/>
      <c r="S611" s="163"/>
      <c r="T611" s="163"/>
      <c r="U611" s="163"/>
      <c r="V611" s="163"/>
      <c r="W611" s="163"/>
      <c r="X611" s="163"/>
      <c r="Y611" s="160"/>
      <c r="Z611" s="164"/>
      <c r="AA611" s="164"/>
      <c r="AB611" s="164"/>
      <c r="AC611" s="164"/>
      <c r="AD611" s="164"/>
      <c r="AE611" s="160"/>
    </row>
    <row r="612" spans="4:31">
      <c r="D612" s="160"/>
      <c r="F612" s="145">
        <f t="shared" si="185"/>
        <v>0</v>
      </c>
      <c r="G612" s="145" t="e">
        <f t="shared" si="186"/>
        <v>#N/A</v>
      </c>
      <c r="H612" s="145" t="e">
        <f t="shared" si="187"/>
        <v>#N/A</v>
      </c>
      <c r="P612" s="148" t="e">
        <f t="shared" si="188"/>
        <v>#N/A</v>
      </c>
      <c r="Q612" s="148" t="e">
        <f t="shared" si="189"/>
        <v>#N/A</v>
      </c>
      <c r="R612" s="162"/>
      <c r="S612" s="163"/>
      <c r="T612" s="163"/>
      <c r="U612" s="163"/>
      <c r="V612" s="163"/>
      <c r="W612" s="163"/>
      <c r="X612" s="163"/>
      <c r="Y612" s="160"/>
      <c r="Z612" s="164"/>
      <c r="AA612" s="164"/>
      <c r="AB612" s="164"/>
      <c r="AC612" s="164"/>
      <c r="AD612" s="164"/>
      <c r="AE612" s="160"/>
    </row>
    <row r="613" spans="4:31">
      <c r="D613" s="160"/>
      <c r="F613" s="145">
        <f t="shared" si="185"/>
        <v>0</v>
      </c>
      <c r="G613" s="145" t="e">
        <f t="shared" si="186"/>
        <v>#N/A</v>
      </c>
      <c r="H613" s="145" t="e">
        <f t="shared" si="187"/>
        <v>#N/A</v>
      </c>
      <c r="P613" s="148" t="e">
        <f t="shared" si="188"/>
        <v>#N/A</v>
      </c>
      <c r="Q613" s="148" t="e">
        <f t="shared" si="189"/>
        <v>#N/A</v>
      </c>
      <c r="R613" s="162"/>
      <c r="S613" s="163"/>
      <c r="T613" s="163"/>
      <c r="U613" s="163"/>
      <c r="V613" s="163"/>
      <c r="W613" s="163"/>
      <c r="X613" s="163"/>
      <c r="Y613" s="160"/>
      <c r="Z613" s="164"/>
      <c r="AA613" s="164"/>
      <c r="AB613" s="164"/>
      <c r="AC613" s="164"/>
      <c r="AD613" s="164"/>
      <c r="AE613" s="160"/>
    </row>
    <row r="614" spans="4:31">
      <c r="D614" s="160"/>
      <c r="F614" s="145">
        <f t="shared" si="185"/>
        <v>0</v>
      </c>
      <c r="G614" s="145" t="e">
        <f t="shared" si="186"/>
        <v>#N/A</v>
      </c>
      <c r="H614" s="145" t="e">
        <f t="shared" si="187"/>
        <v>#N/A</v>
      </c>
      <c r="P614" s="148" t="e">
        <f t="shared" si="188"/>
        <v>#N/A</v>
      </c>
      <c r="Q614" s="148" t="e">
        <f t="shared" si="189"/>
        <v>#N/A</v>
      </c>
      <c r="R614" s="162"/>
      <c r="S614" s="163"/>
      <c r="T614" s="163"/>
      <c r="U614" s="163"/>
      <c r="V614" s="163"/>
      <c r="W614" s="163"/>
      <c r="X614" s="163"/>
      <c r="Y614" s="160"/>
      <c r="Z614" s="164"/>
      <c r="AA614" s="164"/>
      <c r="AB614" s="164"/>
      <c r="AC614" s="164"/>
      <c r="AD614" s="164"/>
      <c r="AE614" s="160"/>
    </row>
    <row r="615" spans="4:31">
      <c r="D615" s="160"/>
      <c r="F615" s="145">
        <f t="shared" si="185"/>
        <v>0</v>
      </c>
      <c r="G615" s="145" t="e">
        <f t="shared" si="186"/>
        <v>#N/A</v>
      </c>
      <c r="H615" s="145" t="e">
        <f t="shared" si="187"/>
        <v>#N/A</v>
      </c>
      <c r="P615" s="148" t="e">
        <f t="shared" si="188"/>
        <v>#N/A</v>
      </c>
      <c r="Q615" s="148" t="e">
        <f t="shared" si="189"/>
        <v>#N/A</v>
      </c>
      <c r="R615" s="162"/>
      <c r="S615" s="163"/>
      <c r="T615" s="163"/>
      <c r="U615" s="163"/>
      <c r="V615" s="163"/>
      <c r="W615" s="163"/>
      <c r="X615" s="163"/>
      <c r="Y615" s="160"/>
      <c r="Z615" s="164"/>
      <c r="AA615" s="164"/>
      <c r="AB615" s="164"/>
      <c r="AC615" s="164"/>
      <c r="AD615" s="164"/>
      <c r="AE615" s="160"/>
    </row>
    <row r="616" spans="4:31">
      <c r="D616" s="160"/>
      <c r="F616" s="145">
        <f t="shared" si="185"/>
        <v>0</v>
      </c>
      <c r="G616" s="145" t="e">
        <f t="shared" si="186"/>
        <v>#N/A</v>
      </c>
      <c r="H616" s="145" t="e">
        <f t="shared" si="187"/>
        <v>#N/A</v>
      </c>
      <c r="P616" s="148" t="e">
        <f t="shared" si="188"/>
        <v>#N/A</v>
      </c>
      <c r="Q616" s="148" t="e">
        <f t="shared" si="189"/>
        <v>#N/A</v>
      </c>
      <c r="R616" s="162"/>
      <c r="S616" s="163"/>
      <c r="T616" s="163"/>
      <c r="U616" s="163"/>
      <c r="V616" s="163"/>
      <c r="W616" s="163"/>
      <c r="X616" s="163"/>
      <c r="Y616" s="160"/>
      <c r="Z616" s="164"/>
      <c r="AA616" s="164"/>
      <c r="AB616" s="164"/>
      <c r="AC616" s="164"/>
      <c r="AD616" s="164"/>
      <c r="AE616" s="160"/>
    </row>
    <row r="617" spans="4:31">
      <c r="D617" s="160"/>
      <c r="F617" s="145">
        <f t="shared" si="185"/>
        <v>0</v>
      </c>
      <c r="G617" s="145" t="e">
        <f t="shared" si="186"/>
        <v>#N/A</v>
      </c>
      <c r="H617" s="145" t="e">
        <f t="shared" si="187"/>
        <v>#N/A</v>
      </c>
      <c r="P617" s="148" t="e">
        <f t="shared" si="188"/>
        <v>#N/A</v>
      </c>
      <c r="Q617" s="148" t="e">
        <f t="shared" si="189"/>
        <v>#N/A</v>
      </c>
      <c r="R617" s="162"/>
      <c r="S617" s="163"/>
      <c r="T617" s="163"/>
      <c r="U617" s="163"/>
      <c r="V617" s="163"/>
      <c r="W617" s="163"/>
      <c r="X617" s="163"/>
      <c r="Y617" s="160"/>
      <c r="Z617" s="164"/>
      <c r="AA617" s="164"/>
      <c r="AB617" s="164"/>
      <c r="AC617" s="164"/>
      <c r="AD617" s="164"/>
      <c r="AE617" s="160"/>
    </row>
    <row r="618" spans="4:31">
      <c r="D618" s="160"/>
      <c r="F618" s="145">
        <f t="shared" si="185"/>
        <v>0</v>
      </c>
      <c r="G618" s="145" t="e">
        <f t="shared" si="186"/>
        <v>#N/A</v>
      </c>
      <c r="H618" s="145" t="e">
        <f t="shared" si="187"/>
        <v>#N/A</v>
      </c>
      <c r="P618" s="148" t="e">
        <f t="shared" si="188"/>
        <v>#N/A</v>
      </c>
      <c r="Q618" s="148" t="e">
        <f t="shared" si="189"/>
        <v>#N/A</v>
      </c>
      <c r="R618" s="162"/>
      <c r="S618" s="163"/>
      <c r="T618" s="163"/>
      <c r="U618" s="163"/>
      <c r="V618" s="163"/>
      <c r="W618" s="163"/>
      <c r="X618" s="163"/>
      <c r="Y618" s="160"/>
      <c r="Z618" s="164"/>
      <c r="AA618" s="164"/>
      <c r="AB618" s="164"/>
      <c r="AC618" s="164"/>
      <c r="AD618" s="164"/>
      <c r="AE618" s="160"/>
    </row>
    <row r="619" spans="4:31">
      <c r="D619" s="160"/>
      <c r="F619" s="145">
        <f t="shared" si="185"/>
        <v>0</v>
      </c>
      <c r="G619" s="145" t="e">
        <f t="shared" si="186"/>
        <v>#N/A</v>
      </c>
      <c r="H619" s="145" t="e">
        <f t="shared" si="187"/>
        <v>#N/A</v>
      </c>
      <c r="P619" s="148" t="e">
        <f t="shared" si="188"/>
        <v>#N/A</v>
      </c>
      <c r="Q619" s="148" t="e">
        <f t="shared" si="189"/>
        <v>#N/A</v>
      </c>
      <c r="R619" s="162"/>
      <c r="S619" s="163"/>
      <c r="T619" s="163"/>
      <c r="U619" s="163"/>
      <c r="V619" s="163"/>
      <c r="W619" s="163"/>
      <c r="X619" s="163"/>
      <c r="Y619" s="160"/>
      <c r="Z619" s="164"/>
      <c r="AA619" s="164"/>
      <c r="AB619" s="164"/>
      <c r="AC619" s="164"/>
      <c r="AD619" s="164"/>
      <c r="AE619" s="160"/>
    </row>
    <row r="620" spans="4:31">
      <c r="D620" s="160"/>
      <c r="F620" s="145">
        <f t="shared" si="185"/>
        <v>0</v>
      </c>
      <c r="G620" s="145" t="e">
        <f t="shared" si="186"/>
        <v>#N/A</v>
      </c>
      <c r="H620" s="145" t="e">
        <f t="shared" si="187"/>
        <v>#N/A</v>
      </c>
      <c r="P620" s="148" t="e">
        <f t="shared" si="188"/>
        <v>#N/A</v>
      </c>
      <c r="Q620" s="148" t="e">
        <f t="shared" si="189"/>
        <v>#N/A</v>
      </c>
      <c r="R620" s="162"/>
      <c r="S620" s="163"/>
      <c r="T620" s="163"/>
      <c r="U620" s="163"/>
      <c r="V620" s="163"/>
      <c r="W620" s="163"/>
      <c r="X620" s="163"/>
      <c r="Y620" s="160"/>
      <c r="Z620" s="164"/>
      <c r="AA620" s="164"/>
      <c r="AB620" s="164"/>
      <c r="AC620" s="164"/>
      <c r="AD620" s="164"/>
      <c r="AE620" s="160"/>
    </row>
    <row r="621" spans="4:31">
      <c r="D621" s="160"/>
      <c r="F621" s="145">
        <f t="shared" si="185"/>
        <v>0</v>
      </c>
      <c r="G621" s="145" t="e">
        <f t="shared" si="186"/>
        <v>#N/A</v>
      </c>
      <c r="H621" s="145" t="e">
        <f t="shared" si="187"/>
        <v>#N/A</v>
      </c>
      <c r="P621" s="148" t="e">
        <f t="shared" si="188"/>
        <v>#N/A</v>
      </c>
      <c r="Q621" s="148" t="e">
        <f t="shared" si="189"/>
        <v>#N/A</v>
      </c>
      <c r="R621" s="162"/>
      <c r="S621" s="163"/>
      <c r="T621" s="163"/>
      <c r="U621" s="163"/>
      <c r="V621" s="163"/>
      <c r="W621" s="163"/>
      <c r="X621" s="163"/>
      <c r="Y621" s="160"/>
      <c r="Z621" s="164"/>
      <c r="AA621" s="164"/>
      <c r="AB621" s="164"/>
      <c r="AC621" s="164"/>
      <c r="AD621" s="164"/>
      <c r="AE621" s="160"/>
    </row>
    <row r="622" spans="4:31">
      <c r="D622" s="160"/>
      <c r="F622" s="145">
        <f t="shared" si="185"/>
        <v>0</v>
      </c>
      <c r="G622" s="145" t="e">
        <f t="shared" si="186"/>
        <v>#N/A</v>
      </c>
      <c r="H622" s="145" t="e">
        <f t="shared" si="187"/>
        <v>#N/A</v>
      </c>
      <c r="P622" s="148" t="e">
        <f t="shared" si="188"/>
        <v>#N/A</v>
      </c>
      <c r="Q622" s="148" t="e">
        <f t="shared" si="189"/>
        <v>#N/A</v>
      </c>
      <c r="R622" s="162"/>
      <c r="S622" s="163"/>
      <c r="T622" s="163"/>
      <c r="U622" s="163"/>
      <c r="V622" s="163"/>
      <c r="W622" s="163"/>
      <c r="X622" s="163"/>
      <c r="Y622" s="160"/>
      <c r="Z622" s="164"/>
      <c r="AA622" s="164"/>
      <c r="AB622" s="164"/>
      <c r="AC622" s="164"/>
      <c r="AD622" s="164"/>
      <c r="AE622" s="160"/>
    </row>
    <row r="623" spans="4:31">
      <c r="D623" s="160"/>
      <c r="F623" s="145">
        <f t="shared" si="185"/>
        <v>0</v>
      </c>
      <c r="G623" s="145" t="e">
        <f t="shared" si="186"/>
        <v>#N/A</v>
      </c>
      <c r="H623" s="145" t="e">
        <f t="shared" si="187"/>
        <v>#N/A</v>
      </c>
      <c r="P623" s="148" t="e">
        <f t="shared" si="188"/>
        <v>#N/A</v>
      </c>
      <c r="Q623" s="148" t="e">
        <f t="shared" si="189"/>
        <v>#N/A</v>
      </c>
      <c r="R623" s="162"/>
      <c r="S623" s="163"/>
      <c r="T623" s="163"/>
      <c r="U623" s="163"/>
      <c r="V623" s="163"/>
      <c r="W623" s="163"/>
      <c r="X623" s="163"/>
      <c r="Y623" s="160"/>
      <c r="Z623" s="164"/>
      <c r="AA623" s="164"/>
      <c r="AB623" s="164"/>
      <c r="AC623" s="164"/>
      <c r="AD623" s="164"/>
      <c r="AE623" s="160"/>
    </row>
    <row r="624" spans="4:31">
      <c r="D624" s="160"/>
      <c r="F624" s="145">
        <f t="shared" si="185"/>
        <v>0</v>
      </c>
      <c r="G624" s="145" t="e">
        <f t="shared" si="186"/>
        <v>#N/A</v>
      </c>
      <c r="H624" s="145" t="e">
        <f t="shared" si="187"/>
        <v>#N/A</v>
      </c>
      <c r="P624" s="148" t="e">
        <f t="shared" si="188"/>
        <v>#N/A</v>
      </c>
      <c r="Q624" s="148" t="e">
        <f t="shared" si="189"/>
        <v>#N/A</v>
      </c>
      <c r="R624" s="162"/>
      <c r="S624" s="163"/>
      <c r="T624" s="163"/>
      <c r="U624" s="163"/>
      <c r="V624" s="163"/>
      <c r="W624" s="163"/>
      <c r="X624" s="163"/>
      <c r="Y624" s="160"/>
      <c r="Z624" s="164"/>
      <c r="AA624" s="164"/>
      <c r="AB624" s="164"/>
      <c r="AC624" s="164"/>
      <c r="AD624" s="164"/>
      <c r="AE624" s="160"/>
    </row>
    <row r="625" spans="4:31">
      <c r="D625" s="160"/>
      <c r="F625" s="145">
        <f t="shared" si="185"/>
        <v>0</v>
      </c>
      <c r="G625" s="145" t="e">
        <f t="shared" si="186"/>
        <v>#N/A</v>
      </c>
      <c r="H625" s="145" t="e">
        <f t="shared" si="187"/>
        <v>#N/A</v>
      </c>
      <c r="P625" s="148" t="e">
        <f t="shared" si="188"/>
        <v>#N/A</v>
      </c>
      <c r="Q625" s="148" t="e">
        <f t="shared" si="189"/>
        <v>#N/A</v>
      </c>
      <c r="R625" s="162"/>
      <c r="S625" s="163"/>
      <c r="T625" s="163"/>
      <c r="U625" s="163"/>
      <c r="V625" s="163"/>
      <c r="W625" s="163"/>
      <c r="X625" s="163"/>
      <c r="Y625" s="160"/>
      <c r="Z625" s="164"/>
      <c r="AA625" s="164"/>
      <c r="AB625" s="164"/>
      <c r="AC625" s="164"/>
      <c r="AD625" s="164"/>
      <c r="AE625" s="160"/>
    </row>
    <row r="626" spans="4:31">
      <c r="D626" s="160"/>
      <c r="F626" s="145">
        <f t="shared" si="185"/>
        <v>0</v>
      </c>
      <c r="G626" s="145" t="e">
        <f t="shared" si="186"/>
        <v>#N/A</v>
      </c>
      <c r="H626" s="145" t="e">
        <f t="shared" si="187"/>
        <v>#N/A</v>
      </c>
      <c r="P626" s="148" t="e">
        <f t="shared" si="188"/>
        <v>#N/A</v>
      </c>
      <c r="Q626" s="148" t="e">
        <f t="shared" si="189"/>
        <v>#N/A</v>
      </c>
      <c r="R626" s="162"/>
      <c r="S626" s="163"/>
      <c r="T626" s="163"/>
      <c r="U626" s="163"/>
      <c r="V626" s="163"/>
      <c r="W626" s="163"/>
      <c r="X626" s="163"/>
      <c r="Y626" s="160"/>
      <c r="Z626" s="164"/>
      <c r="AA626" s="164"/>
      <c r="AB626" s="164"/>
      <c r="AC626" s="164"/>
      <c r="AD626" s="164"/>
      <c r="AE626" s="160"/>
    </row>
    <row r="627" spans="4:31">
      <c r="D627" s="160"/>
      <c r="F627" s="145">
        <f t="shared" si="185"/>
        <v>0</v>
      </c>
      <c r="G627" s="145" t="e">
        <f t="shared" si="186"/>
        <v>#N/A</v>
      </c>
      <c r="H627" s="145" t="e">
        <f t="shared" si="187"/>
        <v>#N/A</v>
      </c>
      <c r="P627" s="148" t="e">
        <f t="shared" si="188"/>
        <v>#N/A</v>
      </c>
      <c r="Q627" s="148" t="e">
        <f t="shared" si="189"/>
        <v>#N/A</v>
      </c>
      <c r="R627" s="162"/>
      <c r="S627" s="163"/>
      <c r="T627" s="163"/>
      <c r="U627" s="163"/>
      <c r="V627" s="163"/>
      <c r="W627" s="163"/>
      <c r="X627" s="163"/>
      <c r="Y627" s="160"/>
      <c r="Z627" s="164"/>
      <c r="AA627" s="164"/>
      <c r="AB627" s="164"/>
      <c r="AC627" s="164"/>
      <c r="AD627" s="164"/>
      <c r="AE627" s="160"/>
    </row>
    <row r="628" spans="4:31">
      <c r="D628" s="160"/>
      <c r="F628" s="145">
        <f t="shared" si="185"/>
        <v>0</v>
      </c>
      <c r="G628" s="145" t="e">
        <f t="shared" si="186"/>
        <v>#N/A</v>
      </c>
      <c r="H628" s="145" t="e">
        <f t="shared" si="187"/>
        <v>#N/A</v>
      </c>
      <c r="P628" s="148" t="e">
        <f t="shared" si="188"/>
        <v>#N/A</v>
      </c>
      <c r="Q628" s="148" t="e">
        <f t="shared" si="189"/>
        <v>#N/A</v>
      </c>
      <c r="R628" s="162"/>
      <c r="S628" s="163"/>
      <c r="T628" s="163"/>
      <c r="U628" s="163"/>
      <c r="V628" s="163"/>
      <c r="W628" s="163"/>
      <c r="X628" s="163"/>
      <c r="Y628" s="160"/>
      <c r="Z628" s="164"/>
      <c r="AA628" s="164"/>
      <c r="AB628" s="164"/>
      <c r="AC628" s="164"/>
      <c r="AD628" s="164"/>
      <c r="AE628" s="160"/>
    </row>
    <row r="629" spans="4:31">
      <c r="D629" s="160"/>
      <c r="F629" s="145">
        <f t="shared" si="185"/>
        <v>0</v>
      </c>
      <c r="G629" s="145" t="e">
        <f t="shared" si="186"/>
        <v>#N/A</v>
      </c>
      <c r="H629" s="145" t="e">
        <f t="shared" si="187"/>
        <v>#N/A</v>
      </c>
      <c r="P629" s="148" t="e">
        <f t="shared" si="188"/>
        <v>#N/A</v>
      </c>
      <c r="Q629" s="148" t="e">
        <f t="shared" si="189"/>
        <v>#N/A</v>
      </c>
      <c r="R629" s="162"/>
      <c r="S629" s="163"/>
      <c r="T629" s="163"/>
      <c r="U629" s="163"/>
      <c r="V629" s="163"/>
      <c r="W629" s="163"/>
      <c r="X629" s="163"/>
      <c r="Y629" s="160"/>
      <c r="Z629" s="164"/>
      <c r="AA629" s="164"/>
      <c r="AB629" s="164"/>
      <c r="AC629" s="164"/>
      <c r="AD629" s="164"/>
      <c r="AE629" s="160"/>
    </row>
    <row r="630" spans="4:31">
      <c r="D630" s="160"/>
      <c r="F630" s="145">
        <f t="shared" si="185"/>
        <v>0</v>
      </c>
      <c r="G630" s="145" t="e">
        <f t="shared" si="186"/>
        <v>#N/A</v>
      </c>
      <c r="H630" s="145" t="e">
        <f t="shared" si="187"/>
        <v>#N/A</v>
      </c>
      <c r="P630" s="148" t="e">
        <f t="shared" si="188"/>
        <v>#N/A</v>
      </c>
      <c r="Q630" s="148" t="e">
        <f t="shared" si="189"/>
        <v>#N/A</v>
      </c>
      <c r="R630" s="162"/>
      <c r="S630" s="163"/>
      <c r="T630" s="163"/>
      <c r="U630" s="163"/>
      <c r="V630" s="163"/>
      <c r="W630" s="163"/>
      <c r="X630" s="163"/>
      <c r="Y630" s="160"/>
      <c r="Z630" s="164"/>
      <c r="AA630" s="164"/>
      <c r="AB630" s="164"/>
      <c r="AC630" s="164"/>
      <c r="AD630" s="164"/>
      <c r="AE630" s="160"/>
    </row>
    <row r="631" spans="4:31">
      <c r="D631" s="160"/>
      <c r="F631" s="145">
        <f t="shared" si="185"/>
        <v>0</v>
      </c>
      <c r="G631" s="145" t="e">
        <f t="shared" si="186"/>
        <v>#N/A</v>
      </c>
      <c r="H631" s="145" t="e">
        <f t="shared" si="187"/>
        <v>#N/A</v>
      </c>
      <c r="P631" s="148" t="e">
        <f t="shared" si="188"/>
        <v>#N/A</v>
      </c>
      <c r="Q631" s="148" t="e">
        <f t="shared" si="189"/>
        <v>#N/A</v>
      </c>
      <c r="R631" s="162"/>
      <c r="S631" s="163"/>
      <c r="T631" s="163"/>
      <c r="U631" s="163"/>
      <c r="V631" s="163"/>
      <c r="W631" s="163"/>
      <c r="X631" s="163"/>
      <c r="Y631" s="160"/>
      <c r="Z631" s="164"/>
      <c r="AA631" s="164"/>
      <c r="AB631" s="164"/>
      <c r="AC631" s="164"/>
      <c r="AD631" s="164"/>
      <c r="AE631" s="160"/>
    </row>
    <row r="632" spans="4:31">
      <c r="D632" s="160"/>
      <c r="F632" s="145">
        <f t="shared" si="185"/>
        <v>0</v>
      </c>
      <c r="G632" s="145" t="e">
        <f t="shared" si="186"/>
        <v>#N/A</v>
      </c>
      <c r="H632" s="145" t="e">
        <f t="shared" si="187"/>
        <v>#N/A</v>
      </c>
      <c r="P632" s="148" t="e">
        <f t="shared" si="188"/>
        <v>#N/A</v>
      </c>
      <c r="Q632" s="148" t="e">
        <f t="shared" si="189"/>
        <v>#N/A</v>
      </c>
      <c r="R632" s="162"/>
      <c r="S632" s="163"/>
      <c r="T632" s="163"/>
      <c r="U632" s="163"/>
      <c r="V632" s="163"/>
      <c r="W632" s="163"/>
      <c r="X632" s="163"/>
      <c r="Y632" s="160"/>
      <c r="Z632" s="164"/>
      <c r="AA632" s="164"/>
      <c r="AB632" s="164"/>
      <c r="AC632" s="164"/>
      <c r="AD632" s="164"/>
      <c r="AE632" s="160"/>
    </row>
    <row r="633" spans="4:31">
      <c r="D633" s="160"/>
      <c r="F633" s="145">
        <f t="shared" si="185"/>
        <v>0</v>
      </c>
      <c r="G633" s="145" t="e">
        <f t="shared" si="186"/>
        <v>#N/A</v>
      </c>
      <c r="H633" s="145" t="e">
        <f t="shared" si="187"/>
        <v>#N/A</v>
      </c>
      <c r="P633" s="148" t="e">
        <f t="shared" si="188"/>
        <v>#N/A</v>
      </c>
      <c r="Q633" s="148" t="e">
        <f t="shared" si="189"/>
        <v>#N/A</v>
      </c>
      <c r="R633" s="162"/>
      <c r="S633" s="163"/>
      <c r="T633" s="163"/>
      <c r="U633" s="163"/>
      <c r="V633" s="163"/>
      <c r="W633" s="163"/>
      <c r="X633" s="163"/>
      <c r="Y633" s="160"/>
      <c r="Z633" s="164"/>
      <c r="AA633" s="164"/>
      <c r="AB633" s="164"/>
      <c r="AC633" s="164"/>
      <c r="AD633" s="164"/>
      <c r="AE633" s="160"/>
    </row>
    <row r="634" spans="4:31">
      <c r="D634" s="160"/>
      <c r="F634" s="145">
        <f t="shared" si="185"/>
        <v>0</v>
      </c>
      <c r="G634" s="145" t="e">
        <f t="shared" si="186"/>
        <v>#N/A</v>
      </c>
      <c r="H634" s="145" t="e">
        <f t="shared" si="187"/>
        <v>#N/A</v>
      </c>
      <c r="P634" s="148" t="e">
        <f t="shared" si="188"/>
        <v>#N/A</v>
      </c>
      <c r="Q634" s="148" t="e">
        <f t="shared" si="189"/>
        <v>#N/A</v>
      </c>
      <c r="R634" s="162"/>
      <c r="S634" s="163"/>
      <c r="T634" s="163"/>
      <c r="U634" s="163"/>
      <c r="V634" s="163"/>
      <c r="W634" s="163"/>
      <c r="X634" s="163"/>
      <c r="Y634" s="160"/>
      <c r="Z634" s="164"/>
      <c r="AA634" s="164"/>
      <c r="AB634" s="164"/>
      <c r="AC634" s="164"/>
      <c r="AD634" s="164"/>
      <c r="AE634" s="160"/>
    </row>
    <row r="635" spans="4:31">
      <c r="D635" s="160"/>
      <c r="F635" s="145">
        <f t="shared" si="185"/>
        <v>0</v>
      </c>
      <c r="G635" s="145" t="e">
        <f t="shared" si="186"/>
        <v>#N/A</v>
      </c>
      <c r="H635" s="145" t="e">
        <f t="shared" si="187"/>
        <v>#N/A</v>
      </c>
      <c r="P635" s="148" t="e">
        <f t="shared" si="188"/>
        <v>#N/A</v>
      </c>
      <c r="Q635" s="148" t="e">
        <f t="shared" si="189"/>
        <v>#N/A</v>
      </c>
      <c r="R635" s="162"/>
      <c r="S635" s="163"/>
      <c r="T635" s="163"/>
      <c r="U635" s="163"/>
      <c r="V635" s="163"/>
      <c r="W635" s="163"/>
      <c r="X635" s="163"/>
      <c r="Y635" s="160"/>
      <c r="Z635" s="164"/>
      <c r="AA635" s="164"/>
      <c r="AB635" s="164"/>
      <c r="AC635" s="164"/>
      <c r="AD635" s="164"/>
      <c r="AE635" s="160"/>
    </row>
    <row r="636" spans="4:31">
      <c r="D636" s="160"/>
      <c r="F636" s="145">
        <f t="shared" si="185"/>
        <v>0</v>
      </c>
      <c r="G636" s="145" t="e">
        <f t="shared" si="186"/>
        <v>#N/A</v>
      </c>
      <c r="H636" s="145" t="e">
        <f t="shared" si="187"/>
        <v>#N/A</v>
      </c>
      <c r="P636" s="148" t="e">
        <f t="shared" si="188"/>
        <v>#N/A</v>
      </c>
      <c r="Q636" s="148" t="e">
        <f t="shared" si="189"/>
        <v>#N/A</v>
      </c>
      <c r="R636" s="162"/>
      <c r="S636" s="163"/>
      <c r="T636" s="163"/>
      <c r="U636" s="163"/>
      <c r="V636" s="163"/>
      <c r="W636" s="163"/>
      <c r="X636" s="163"/>
      <c r="Y636" s="160"/>
      <c r="Z636" s="164"/>
      <c r="AA636" s="164"/>
      <c r="AB636" s="164"/>
      <c r="AC636" s="164"/>
      <c r="AD636" s="164"/>
      <c r="AE636" s="160"/>
    </row>
    <row r="637" spans="4:31">
      <c r="D637" s="160"/>
      <c r="F637" s="145">
        <f t="shared" si="185"/>
        <v>0</v>
      </c>
      <c r="G637" s="145" t="e">
        <f t="shared" si="186"/>
        <v>#N/A</v>
      </c>
      <c r="H637" s="145" t="e">
        <f t="shared" si="187"/>
        <v>#N/A</v>
      </c>
      <c r="P637" s="148" t="e">
        <f t="shared" si="188"/>
        <v>#N/A</v>
      </c>
      <c r="Q637" s="148" t="e">
        <f t="shared" si="189"/>
        <v>#N/A</v>
      </c>
      <c r="R637" s="162"/>
      <c r="S637" s="163"/>
      <c r="T637" s="163"/>
      <c r="U637" s="163"/>
      <c r="V637" s="163"/>
      <c r="W637" s="163"/>
      <c r="X637" s="163"/>
      <c r="Y637" s="160"/>
      <c r="Z637" s="164"/>
      <c r="AA637" s="164"/>
      <c r="AB637" s="164"/>
      <c r="AC637" s="164"/>
      <c r="AD637" s="164"/>
      <c r="AE637" s="160"/>
    </row>
    <row r="638" spans="4:31">
      <c r="D638" s="160"/>
      <c r="F638" s="145">
        <f t="shared" si="185"/>
        <v>0</v>
      </c>
      <c r="G638" s="145" t="e">
        <f t="shared" si="186"/>
        <v>#N/A</v>
      </c>
      <c r="H638" s="145" t="e">
        <f t="shared" si="187"/>
        <v>#N/A</v>
      </c>
      <c r="P638" s="148" t="e">
        <f t="shared" si="188"/>
        <v>#N/A</v>
      </c>
      <c r="Q638" s="148" t="e">
        <f t="shared" si="189"/>
        <v>#N/A</v>
      </c>
      <c r="R638" s="162"/>
      <c r="S638" s="163"/>
      <c r="T638" s="163"/>
      <c r="U638" s="163"/>
      <c r="V638" s="163"/>
      <c r="W638" s="163"/>
      <c r="X638" s="163"/>
      <c r="Y638" s="160"/>
      <c r="Z638" s="164"/>
      <c r="AA638" s="164"/>
      <c r="AB638" s="164"/>
      <c r="AC638" s="164"/>
      <c r="AD638" s="164"/>
      <c r="AE638" s="160"/>
    </row>
    <row r="639" spans="4:31">
      <c r="D639" s="160"/>
      <c r="F639" s="145">
        <f t="shared" si="185"/>
        <v>0</v>
      </c>
      <c r="G639" s="145" t="e">
        <f t="shared" si="186"/>
        <v>#N/A</v>
      </c>
      <c r="H639" s="145" t="e">
        <f t="shared" si="187"/>
        <v>#N/A</v>
      </c>
      <c r="P639" s="148" t="e">
        <f t="shared" si="188"/>
        <v>#N/A</v>
      </c>
      <c r="Q639" s="148" t="e">
        <f t="shared" si="189"/>
        <v>#N/A</v>
      </c>
      <c r="R639" s="162"/>
      <c r="S639" s="163"/>
      <c r="T639" s="163"/>
      <c r="U639" s="163"/>
      <c r="V639" s="163"/>
      <c r="W639" s="163"/>
      <c r="X639" s="163"/>
      <c r="Y639" s="160"/>
      <c r="Z639" s="164"/>
      <c r="AA639" s="164"/>
      <c r="AB639" s="164"/>
      <c r="AC639" s="164"/>
      <c r="AD639" s="164"/>
      <c r="AE639" s="160"/>
    </row>
    <row r="640" spans="4:31">
      <c r="D640" s="160"/>
      <c r="F640" s="145">
        <f t="shared" si="185"/>
        <v>0</v>
      </c>
      <c r="G640" s="145" t="e">
        <f t="shared" si="186"/>
        <v>#N/A</v>
      </c>
      <c r="H640" s="145" t="e">
        <f t="shared" si="187"/>
        <v>#N/A</v>
      </c>
      <c r="P640" s="148" t="e">
        <f t="shared" si="188"/>
        <v>#N/A</v>
      </c>
      <c r="Q640" s="148" t="e">
        <f t="shared" si="189"/>
        <v>#N/A</v>
      </c>
      <c r="R640" s="162"/>
      <c r="S640" s="163"/>
      <c r="T640" s="163"/>
      <c r="U640" s="163"/>
      <c r="V640" s="163"/>
      <c r="W640" s="163"/>
      <c r="X640" s="163"/>
      <c r="Y640" s="160"/>
      <c r="Z640" s="164"/>
      <c r="AA640" s="164"/>
      <c r="AB640" s="164"/>
      <c r="AC640" s="164"/>
      <c r="AD640" s="164"/>
      <c r="AE640" s="160"/>
    </row>
    <row r="641" spans="4:31">
      <c r="D641" s="160"/>
      <c r="F641" s="145">
        <f t="shared" si="185"/>
        <v>0</v>
      </c>
      <c r="G641" s="145" t="e">
        <f t="shared" si="186"/>
        <v>#N/A</v>
      </c>
      <c r="H641" s="145" t="e">
        <f t="shared" si="187"/>
        <v>#N/A</v>
      </c>
      <c r="P641" s="148" t="e">
        <f t="shared" si="188"/>
        <v>#N/A</v>
      </c>
      <c r="Q641" s="148" t="e">
        <f t="shared" ref="Q641:Q672" si="190">IF(biosiirtymä_luonne="äkillinen",INDEX($AG$4:$AG$20,MATCH($C641,$AF$4:$AF$20,0),1),INDEX($AH$4:$AH$20,MATCH($C641,$AF$4:$AF$20,0),1))</f>
        <v>#N/A</v>
      </c>
      <c r="R641" s="162"/>
      <c r="S641" s="163"/>
      <c r="T641" s="163"/>
      <c r="U641" s="163"/>
      <c r="V641" s="163"/>
      <c r="W641" s="163"/>
      <c r="X641" s="163"/>
      <c r="Y641" s="160"/>
      <c r="Z641" s="164"/>
      <c r="AA641" s="164"/>
      <c r="AB641" s="164"/>
      <c r="AC641" s="164"/>
      <c r="AD641" s="164"/>
      <c r="AE641" s="160"/>
    </row>
    <row r="642" spans="4:31">
      <c r="D642" s="160"/>
      <c r="F642" s="145">
        <f t="shared" si="185"/>
        <v>0</v>
      </c>
      <c r="G642" s="145" t="e">
        <f t="shared" si="186"/>
        <v>#N/A</v>
      </c>
      <c r="H642" s="145" t="e">
        <f t="shared" si="187"/>
        <v>#N/A</v>
      </c>
      <c r="P642" s="148" t="e">
        <f t="shared" si="188"/>
        <v>#N/A</v>
      </c>
      <c r="Q642" s="148" t="e">
        <f t="shared" si="190"/>
        <v>#N/A</v>
      </c>
      <c r="R642" s="162"/>
      <c r="S642" s="163"/>
      <c r="T642" s="163"/>
      <c r="U642" s="163"/>
      <c r="V642" s="163"/>
      <c r="W642" s="163"/>
      <c r="X642" s="163"/>
      <c r="Y642" s="160"/>
      <c r="Z642" s="164"/>
      <c r="AA642" s="164"/>
      <c r="AB642" s="164"/>
      <c r="AC642" s="164"/>
      <c r="AD642" s="164"/>
      <c r="AE642" s="160"/>
    </row>
    <row r="643" spans="4:31">
      <c r="D643" s="160"/>
      <c r="F643" s="145">
        <f t="shared" ref="F643:F693" si="191">IF(D643="pom",$E643*hv_pom,0)</f>
        <v>0</v>
      </c>
      <c r="G643" s="145" t="e">
        <f t="shared" si="186"/>
        <v>#N/A</v>
      </c>
      <c r="H643" s="145" t="e">
        <f t="shared" si="187"/>
        <v>#N/A</v>
      </c>
      <c r="P643" s="148" t="e">
        <f t="shared" si="188"/>
        <v>#N/A</v>
      </c>
      <c r="Q643" s="148" t="e">
        <f t="shared" si="190"/>
        <v>#N/A</v>
      </c>
      <c r="R643" s="162"/>
      <c r="S643" s="163"/>
      <c r="T643" s="163"/>
      <c r="U643" s="163"/>
      <c r="V643" s="163"/>
      <c r="W643" s="163"/>
      <c r="X643" s="163"/>
      <c r="Y643" s="160"/>
      <c r="Z643" s="164"/>
      <c r="AA643" s="164"/>
      <c r="AB643" s="164"/>
      <c r="AC643" s="164"/>
      <c r="AD643" s="164"/>
      <c r="AE643" s="160"/>
    </row>
    <row r="644" spans="4:31">
      <c r="D644" s="160"/>
      <c r="F644" s="145">
        <f t="shared" si="191"/>
        <v>0</v>
      </c>
      <c r="G644" s="145" t="e">
        <f t="shared" ref="G644:G693" si="192">$F644*$P644</f>
        <v>#N/A</v>
      </c>
      <c r="H644" s="145" t="e">
        <f t="shared" ref="H644:H693" si="193">$F644*$Q644</f>
        <v>#N/A</v>
      </c>
      <c r="P644" s="148" t="e">
        <f t="shared" ref="P644:P693" si="194">1-Q644</f>
        <v>#N/A</v>
      </c>
      <c r="Q644" s="148" t="e">
        <f t="shared" si="190"/>
        <v>#N/A</v>
      </c>
      <c r="R644" s="162"/>
      <c r="S644" s="163"/>
      <c r="T644" s="163"/>
      <c r="U644" s="163"/>
      <c r="V644" s="163"/>
      <c r="W644" s="163"/>
      <c r="X644" s="163"/>
      <c r="Y644" s="160"/>
      <c r="Z644" s="164"/>
      <c r="AA644" s="164"/>
      <c r="AB644" s="164"/>
      <c r="AC644" s="164"/>
      <c r="AD644" s="164"/>
      <c r="AE644" s="160"/>
    </row>
    <row r="645" spans="4:31">
      <c r="D645" s="160"/>
      <c r="F645" s="145">
        <f t="shared" si="191"/>
        <v>0</v>
      </c>
      <c r="G645" s="145" t="e">
        <f t="shared" si="192"/>
        <v>#N/A</v>
      </c>
      <c r="H645" s="145" t="e">
        <f t="shared" si="193"/>
        <v>#N/A</v>
      </c>
      <c r="P645" s="148" t="e">
        <f t="shared" si="194"/>
        <v>#N/A</v>
      </c>
      <c r="Q645" s="148" t="e">
        <f t="shared" si="190"/>
        <v>#N/A</v>
      </c>
      <c r="R645" s="162"/>
      <c r="S645" s="163"/>
      <c r="T645" s="163"/>
      <c r="U645" s="163"/>
      <c r="V645" s="163"/>
      <c r="W645" s="163"/>
      <c r="X645" s="163"/>
      <c r="Y645" s="160"/>
      <c r="Z645" s="164"/>
      <c r="AA645" s="164"/>
      <c r="AB645" s="164"/>
      <c r="AC645" s="164"/>
      <c r="AD645" s="164"/>
      <c r="AE645" s="160"/>
    </row>
    <row r="646" spans="4:31">
      <c r="D646" s="160"/>
      <c r="F646" s="145">
        <f t="shared" si="191"/>
        <v>0</v>
      </c>
      <c r="G646" s="145" t="e">
        <f t="shared" si="192"/>
        <v>#N/A</v>
      </c>
      <c r="H646" s="145" t="e">
        <f t="shared" si="193"/>
        <v>#N/A</v>
      </c>
      <c r="P646" s="148" t="e">
        <f t="shared" si="194"/>
        <v>#N/A</v>
      </c>
      <c r="Q646" s="148" t="e">
        <f t="shared" si="190"/>
        <v>#N/A</v>
      </c>
      <c r="R646" s="162"/>
      <c r="S646" s="163"/>
      <c r="T646" s="163"/>
      <c r="U646" s="163"/>
      <c r="V646" s="163"/>
      <c r="W646" s="163"/>
      <c r="X646" s="163"/>
      <c r="Y646" s="160"/>
      <c r="Z646" s="164"/>
      <c r="AA646" s="164"/>
      <c r="AB646" s="164"/>
      <c r="AC646" s="164"/>
      <c r="AD646" s="164"/>
      <c r="AE646" s="160"/>
    </row>
    <row r="647" spans="4:31">
      <c r="D647" s="160"/>
      <c r="F647" s="145">
        <f t="shared" si="191"/>
        <v>0</v>
      </c>
      <c r="G647" s="145" t="e">
        <f t="shared" si="192"/>
        <v>#N/A</v>
      </c>
      <c r="H647" s="145" t="e">
        <f t="shared" si="193"/>
        <v>#N/A</v>
      </c>
      <c r="P647" s="148" t="e">
        <f t="shared" si="194"/>
        <v>#N/A</v>
      </c>
      <c r="Q647" s="148" t="e">
        <f t="shared" si="190"/>
        <v>#N/A</v>
      </c>
      <c r="R647" s="162"/>
      <c r="S647" s="163"/>
      <c r="T647" s="163"/>
      <c r="U647" s="163"/>
      <c r="V647" s="163"/>
      <c r="W647" s="163"/>
      <c r="X647" s="163"/>
      <c r="Y647" s="160"/>
      <c r="Z647" s="164"/>
      <c r="AA647" s="164"/>
      <c r="AB647" s="164"/>
      <c r="AC647" s="164"/>
      <c r="AD647" s="164"/>
      <c r="AE647" s="160"/>
    </row>
    <row r="648" spans="4:31">
      <c r="D648" s="160"/>
      <c r="F648" s="145">
        <f t="shared" si="191"/>
        <v>0</v>
      </c>
      <c r="G648" s="145" t="e">
        <f t="shared" si="192"/>
        <v>#N/A</v>
      </c>
      <c r="H648" s="145" t="e">
        <f t="shared" si="193"/>
        <v>#N/A</v>
      </c>
      <c r="P648" s="148" t="e">
        <f t="shared" si="194"/>
        <v>#N/A</v>
      </c>
      <c r="Q648" s="148" t="e">
        <f t="shared" si="190"/>
        <v>#N/A</v>
      </c>
      <c r="R648" s="162"/>
      <c r="S648" s="163"/>
      <c r="T648" s="163"/>
      <c r="U648" s="163"/>
      <c r="V648" s="163"/>
      <c r="W648" s="163"/>
      <c r="X648" s="163"/>
      <c r="Y648" s="160"/>
      <c r="Z648" s="164"/>
      <c r="AA648" s="164"/>
      <c r="AB648" s="164"/>
      <c r="AC648" s="164"/>
      <c r="AD648" s="164"/>
      <c r="AE648" s="160"/>
    </row>
    <row r="649" spans="4:31">
      <c r="D649" s="160"/>
      <c r="F649" s="145">
        <f t="shared" si="191"/>
        <v>0</v>
      </c>
      <c r="G649" s="145" t="e">
        <f t="shared" si="192"/>
        <v>#N/A</v>
      </c>
      <c r="H649" s="145" t="e">
        <f t="shared" si="193"/>
        <v>#N/A</v>
      </c>
      <c r="P649" s="148" t="e">
        <f t="shared" si="194"/>
        <v>#N/A</v>
      </c>
      <c r="Q649" s="148" t="e">
        <f t="shared" si="190"/>
        <v>#N/A</v>
      </c>
      <c r="R649" s="162"/>
      <c r="S649" s="163"/>
      <c r="T649" s="163"/>
      <c r="U649" s="163"/>
      <c r="V649" s="163"/>
      <c r="W649" s="163"/>
      <c r="X649" s="163"/>
      <c r="Y649" s="160"/>
      <c r="Z649" s="164"/>
      <c r="AA649" s="164"/>
      <c r="AB649" s="164"/>
      <c r="AC649" s="164"/>
      <c r="AD649" s="164"/>
      <c r="AE649" s="160"/>
    </row>
    <row r="650" spans="4:31">
      <c r="D650" s="160"/>
      <c r="F650" s="145">
        <f t="shared" si="191"/>
        <v>0</v>
      </c>
      <c r="G650" s="145" t="e">
        <f t="shared" si="192"/>
        <v>#N/A</v>
      </c>
      <c r="H650" s="145" t="e">
        <f t="shared" si="193"/>
        <v>#N/A</v>
      </c>
      <c r="P650" s="148" t="e">
        <f t="shared" si="194"/>
        <v>#N/A</v>
      </c>
      <c r="Q650" s="148" t="e">
        <f t="shared" si="190"/>
        <v>#N/A</v>
      </c>
      <c r="R650" s="162"/>
      <c r="S650" s="163"/>
      <c r="T650" s="163"/>
      <c r="U650" s="163"/>
      <c r="V650" s="163"/>
      <c r="W650" s="163"/>
      <c r="X650" s="163"/>
      <c r="Y650" s="160"/>
      <c r="Z650" s="164"/>
      <c r="AA650" s="164"/>
      <c r="AB650" s="164"/>
      <c r="AC650" s="164"/>
      <c r="AD650" s="164"/>
      <c r="AE650" s="160"/>
    </row>
    <row r="651" spans="4:31">
      <c r="D651" s="160"/>
      <c r="F651" s="145">
        <f t="shared" si="191"/>
        <v>0</v>
      </c>
      <c r="G651" s="145" t="e">
        <f t="shared" si="192"/>
        <v>#N/A</v>
      </c>
      <c r="H651" s="145" t="e">
        <f t="shared" si="193"/>
        <v>#N/A</v>
      </c>
      <c r="P651" s="148" t="e">
        <f t="shared" si="194"/>
        <v>#N/A</v>
      </c>
      <c r="Q651" s="148" t="e">
        <f t="shared" si="190"/>
        <v>#N/A</v>
      </c>
      <c r="R651" s="162"/>
      <c r="S651" s="163"/>
      <c r="T651" s="163"/>
      <c r="U651" s="163"/>
      <c r="V651" s="163"/>
      <c r="W651" s="163"/>
      <c r="X651" s="163"/>
      <c r="Y651" s="160"/>
      <c r="Z651" s="164"/>
      <c r="AA651" s="164"/>
      <c r="AB651" s="164"/>
      <c r="AC651" s="164"/>
      <c r="AD651" s="164"/>
      <c r="AE651" s="160"/>
    </row>
    <row r="652" spans="4:31">
      <c r="D652" s="160"/>
      <c r="F652" s="145">
        <f t="shared" si="191"/>
        <v>0</v>
      </c>
      <c r="G652" s="145" t="e">
        <f t="shared" si="192"/>
        <v>#N/A</v>
      </c>
      <c r="H652" s="145" t="e">
        <f t="shared" si="193"/>
        <v>#N/A</v>
      </c>
      <c r="P652" s="148" t="e">
        <f t="shared" si="194"/>
        <v>#N/A</v>
      </c>
      <c r="Q652" s="148" t="e">
        <f t="shared" si="190"/>
        <v>#N/A</v>
      </c>
      <c r="R652" s="162"/>
      <c r="S652" s="163"/>
      <c r="T652" s="163"/>
      <c r="U652" s="163"/>
      <c r="V652" s="163"/>
      <c r="W652" s="163"/>
      <c r="X652" s="163"/>
      <c r="Y652" s="160"/>
      <c r="Z652" s="164"/>
      <c r="AA652" s="164"/>
      <c r="AB652" s="164"/>
      <c r="AC652" s="164"/>
      <c r="AD652" s="164"/>
      <c r="AE652" s="160"/>
    </row>
    <row r="653" spans="4:31">
      <c r="D653" s="160"/>
      <c r="F653" s="145">
        <f t="shared" si="191"/>
        <v>0</v>
      </c>
      <c r="G653" s="145" t="e">
        <f t="shared" si="192"/>
        <v>#N/A</v>
      </c>
      <c r="H653" s="145" t="e">
        <f t="shared" si="193"/>
        <v>#N/A</v>
      </c>
      <c r="P653" s="148" t="e">
        <f t="shared" si="194"/>
        <v>#N/A</v>
      </c>
      <c r="Q653" s="148" t="e">
        <f t="shared" si="190"/>
        <v>#N/A</v>
      </c>
      <c r="R653" s="162"/>
      <c r="S653" s="163"/>
      <c r="T653" s="163"/>
      <c r="U653" s="163"/>
      <c r="V653" s="163"/>
      <c r="W653" s="163"/>
      <c r="X653" s="163"/>
      <c r="Y653" s="160"/>
      <c r="Z653" s="164"/>
      <c r="AA653" s="164"/>
      <c r="AB653" s="164"/>
      <c r="AC653" s="164"/>
      <c r="AD653" s="164"/>
      <c r="AE653" s="160"/>
    </row>
    <row r="654" spans="4:31">
      <c r="D654" s="160"/>
      <c r="F654" s="145">
        <f t="shared" si="191"/>
        <v>0</v>
      </c>
      <c r="G654" s="145" t="e">
        <f t="shared" si="192"/>
        <v>#N/A</v>
      </c>
      <c r="H654" s="145" t="e">
        <f t="shared" si="193"/>
        <v>#N/A</v>
      </c>
      <c r="P654" s="148" t="e">
        <f t="shared" si="194"/>
        <v>#N/A</v>
      </c>
      <c r="Q654" s="148" t="e">
        <f t="shared" si="190"/>
        <v>#N/A</v>
      </c>
      <c r="R654" s="162"/>
      <c r="S654" s="163"/>
      <c r="T654" s="163"/>
      <c r="U654" s="163"/>
      <c r="V654" s="163"/>
      <c r="W654" s="163"/>
      <c r="X654" s="163"/>
      <c r="Y654" s="160"/>
      <c r="Z654" s="164"/>
      <c r="AA654" s="164"/>
      <c r="AB654" s="164"/>
      <c r="AC654" s="164"/>
      <c r="AD654" s="164"/>
      <c r="AE654" s="160"/>
    </row>
    <row r="655" spans="4:31">
      <c r="D655" s="160"/>
      <c r="F655" s="145">
        <f t="shared" si="191"/>
        <v>0</v>
      </c>
      <c r="G655" s="145" t="e">
        <f t="shared" si="192"/>
        <v>#N/A</v>
      </c>
      <c r="H655" s="145" t="e">
        <f t="shared" si="193"/>
        <v>#N/A</v>
      </c>
      <c r="P655" s="148" t="e">
        <f t="shared" si="194"/>
        <v>#N/A</v>
      </c>
      <c r="Q655" s="148" t="e">
        <f t="shared" si="190"/>
        <v>#N/A</v>
      </c>
      <c r="R655" s="162"/>
      <c r="S655" s="163"/>
      <c r="T655" s="163"/>
      <c r="U655" s="163"/>
      <c r="V655" s="163"/>
      <c r="W655" s="163"/>
      <c r="X655" s="163"/>
      <c r="Y655" s="160"/>
      <c r="Z655" s="164"/>
      <c r="AA655" s="164"/>
      <c r="AB655" s="164"/>
      <c r="AC655" s="164"/>
      <c r="AD655" s="164"/>
      <c r="AE655" s="160"/>
    </row>
    <row r="656" spans="4:31">
      <c r="D656" s="160"/>
      <c r="F656" s="145">
        <f t="shared" si="191"/>
        <v>0</v>
      </c>
      <c r="G656" s="145" t="e">
        <f t="shared" si="192"/>
        <v>#N/A</v>
      </c>
      <c r="H656" s="145" t="e">
        <f t="shared" si="193"/>
        <v>#N/A</v>
      </c>
      <c r="P656" s="148" t="e">
        <f t="shared" si="194"/>
        <v>#N/A</v>
      </c>
      <c r="Q656" s="148" t="e">
        <f t="shared" si="190"/>
        <v>#N/A</v>
      </c>
      <c r="R656" s="162"/>
      <c r="S656" s="163"/>
      <c r="T656" s="163"/>
      <c r="U656" s="163"/>
      <c r="V656" s="163"/>
      <c r="W656" s="163"/>
      <c r="X656" s="163"/>
      <c r="Y656" s="160"/>
      <c r="Z656" s="164"/>
      <c r="AA656" s="164"/>
      <c r="AB656" s="164"/>
      <c r="AC656" s="164"/>
      <c r="AD656" s="164"/>
      <c r="AE656" s="160"/>
    </row>
    <row r="657" spans="4:31">
      <c r="D657" s="160"/>
      <c r="F657" s="145">
        <f t="shared" si="191"/>
        <v>0</v>
      </c>
      <c r="G657" s="145" t="e">
        <f t="shared" si="192"/>
        <v>#N/A</v>
      </c>
      <c r="H657" s="145" t="e">
        <f t="shared" si="193"/>
        <v>#N/A</v>
      </c>
      <c r="P657" s="148" t="e">
        <f t="shared" si="194"/>
        <v>#N/A</v>
      </c>
      <c r="Q657" s="148" t="e">
        <f t="shared" si="190"/>
        <v>#N/A</v>
      </c>
      <c r="R657" s="162"/>
      <c r="S657" s="163"/>
      <c r="T657" s="163"/>
      <c r="U657" s="163"/>
      <c r="V657" s="163"/>
      <c r="W657" s="163"/>
      <c r="X657" s="163"/>
      <c r="Y657" s="160"/>
      <c r="Z657" s="164"/>
      <c r="AA657" s="164"/>
      <c r="AB657" s="164"/>
      <c r="AC657" s="164"/>
      <c r="AD657" s="164"/>
      <c r="AE657" s="160"/>
    </row>
    <row r="658" spans="4:31">
      <c r="D658" s="160"/>
      <c r="F658" s="145">
        <f t="shared" si="191"/>
        <v>0</v>
      </c>
      <c r="G658" s="145" t="e">
        <f t="shared" si="192"/>
        <v>#N/A</v>
      </c>
      <c r="H658" s="145" t="e">
        <f t="shared" si="193"/>
        <v>#N/A</v>
      </c>
      <c r="P658" s="148" t="e">
        <f t="shared" si="194"/>
        <v>#N/A</v>
      </c>
      <c r="Q658" s="148" t="e">
        <f t="shared" si="190"/>
        <v>#N/A</v>
      </c>
      <c r="R658" s="162"/>
      <c r="S658" s="163"/>
      <c r="T658" s="163"/>
      <c r="U658" s="163"/>
      <c r="V658" s="163"/>
      <c r="W658" s="163"/>
      <c r="X658" s="163"/>
      <c r="Y658" s="160"/>
      <c r="Z658" s="164"/>
      <c r="AA658" s="164"/>
      <c r="AB658" s="164"/>
      <c r="AC658" s="164"/>
      <c r="AD658" s="164"/>
      <c r="AE658" s="160"/>
    </row>
    <row r="659" spans="4:31">
      <c r="D659" s="160"/>
      <c r="F659" s="145">
        <f t="shared" si="191"/>
        <v>0</v>
      </c>
      <c r="G659" s="145" t="e">
        <f t="shared" si="192"/>
        <v>#N/A</v>
      </c>
      <c r="H659" s="145" t="e">
        <f t="shared" si="193"/>
        <v>#N/A</v>
      </c>
      <c r="P659" s="148" t="e">
        <f t="shared" si="194"/>
        <v>#N/A</v>
      </c>
      <c r="Q659" s="148" t="e">
        <f t="shared" si="190"/>
        <v>#N/A</v>
      </c>
      <c r="R659" s="162"/>
      <c r="S659" s="163"/>
      <c r="T659" s="163"/>
      <c r="U659" s="163"/>
      <c r="V659" s="163"/>
      <c r="W659" s="163"/>
      <c r="X659" s="163"/>
      <c r="Y659" s="160"/>
      <c r="Z659" s="164"/>
      <c r="AA659" s="164"/>
      <c r="AB659" s="164"/>
      <c r="AC659" s="164"/>
      <c r="AD659" s="164"/>
      <c r="AE659" s="160"/>
    </row>
    <row r="660" spans="4:31">
      <c r="D660" s="160"/>
      <c r="F660" s="145">
        <f t="shared" si="191"/>
        <v>0</v>
      </c>
      <c r="G660" s="145" t="e">
        <f t="shared" si="192"/>
        <v>#N/A</v>
      </c>
      <c r="H660" s="145" t="e">
        <f t="shared" si="193"/>
        <v>#N/A</v>
      </c>
      <c r="P660" s="148" t="e">
        <f t="shared" si="194"/>
        <v>#N/A</v>
      </c>
      <c r="Q660" s="148" t="e">
        <f t="shared" si="190"/>
        <v>#N/A</v>
      </c>
      <c r="R660" s="162"/>
      <c r="S660" s="163"/>
      <c r="T660" s="163"/>
      <c r="U660" s="163"/>
      <c r="V660" s="163"/>
      <c r="W660" s="163"/>
      <c r="X660" s="163"/>
      <c r="Y660" s="160"/>
      <c r="Z660" s="164"/>
      <c r="AA660" s="164"/>
      <c r="AB660" s="164"/>
      <c r="AC660" s="164"/>
      <c r="AD660" s="164"/>
      <c r="AE660" s="160"/>
    </row>
    <row r="661" spans="4:31">
      <c r="D661" s="160"/>
      <c r="F661" s="145">
        <f t="shared" si="191"/>
        <v>0</v>
      </c>
      <c r="G661" s="145" t="e">
        <f t="shared" si="192"/>
        <v>#N/A</v>
      </c>
      <c r="H661" s="145" t="e">
        <f t="shared" si="193"/>
        <v>#N/A</v>
      </c>
      <c r="P661" s="148" t="e">
        <f t="shared" si="194"/>
        <v>#N/A</v>
      </c>
      <c r="Q661" s="148" t="e">
        <f t="shared" si="190"/>
        <v>#N/A</v>
      </c>
      <c r="R661" s="162"/>
      <c r="S661" s="163"/>
      <c r="T661" s="163"/>
      <c r="U661" s="163"/>
      <c r="V661" s="163"/>
      <c r="W661" s="163"/>
      <c r="X661" s="163"/>
      <c r="Y661" s="160"/>
      <c r="Z661" s="164"/>
      <c r="AA661" s="164"/>
      <c r="AB661" s="164"/>
      <c r="AC661" s="164"/>
      <c r="AD661" s="164"/>
      <c r="AE661" s="160"/>
    </row>
    <row r="662" spans="4:31">
      <c r="D662" s="160"/>
      <c r="F662" s="145">
        <f t="shared" si="191"/>
        <v>0</v>
      </c>
      <c r="G662" s="145" t="e">
        <f t="shared" si="192"/>
        <v>#N/A</v>
      </c>
      <c r="H662" s="145" t="e">
        <f t="shared" si="193"/>
        <v>#N/A</v>
      </c>
      <c r="P662" s="148" t="e">
        <f t="shared" si="194"/>
        <v>#N/A</v>
      </c>
      <c r="Q662" s="148" t="e">
        <f t="shared" si="190"/>
        <v>#N/A</v>
      </c>
      <c r="R662" s="162"/>
      <c r="S662" s="163"/>
      <c r="T662" s="163"/>
      <c r="U662" s="163"/>
      <c r="V662" s="163"/>
      <c r="W662" s="163"/>
      <c r="X662" s="163"/>
      <c r="Y662" s="160"/>
      <c r="Z662" s="164"/>
      <c r="AA662" s="164"/>
      <c r="AB662" s="164"/>
      <c r="AC662" s="164"/>
      <c r="AD662" s="164"/>
      <c r="AE662" s="160"/>
    </row>
    <row r="663" spans="4:31">
      <c r="D663" s="160"/>
      <c r="F663" s="145">
        <f t="shared" si="191"/>
        <v>0</v>
      </c>
      <c r="G663" s="145" t="e">
        <f t="shared" si="192"/>
        <v>#N/A</v>
      </c>
      <c r="H663" s="145" t="e">
        <f t="shared" si="193"/>
        <v>#N/A</v>
      </c>
      <c r="P663" s="148" t="e">
        <f t="shared" si="194"/>
        <v>#N/A</v>
      </c>
      <c r="Q663" s="148" t="e">
        <f t="shared" si="190"/>
        <v>#N/A</v>
      </c>
      <c r="R663" s="162"/>
      <c r="S663" s="163"/>
      <c r="T663" s="163"/>
      <c r="U663" s="163"/>
      <c r="V663" s="163"/>
      <c r="W663" s="163"/>
      <c r="X663" s="163"/>
      <c r="Y663" s="160"/>
      <c r="Z663" s="164"/>
      <c r="AA663" s="164"/>
      <c r="AB663" s="164"/>
      <c r="AC663" s="164"/>
      <c r="AD663" s="164"/>
      <c r="AE663" s="160"/>
    </row>
    <row r="664" spans="4:31">
      <c r="D664" s="160"/>
      <c r="F664" s="145">
        <f t="shared" si="191"/>
        <v>0</v>
      </c>
      <c r="G664" s="145" t="e">
        <f t="shared" si="192"/>
        <v>#N/A</v>
      </c>
      <c r="H664" s="145" t="e">
        <f t="shared" si="193"/>
        <v>#N/A</v>
      </c>
      <c r="P664" s="148" t="e">
        <f t="shared" si="194"/>
        <v>#N/A</v>
      </c>
      <c r="Q664" s="148" t="e">
        <f t="shared" si="190"/>
        <v>#N/A</v>
      </c>
      <c r="R664" s="162"/>
      <c r="S664" s="163"/>
      <c r="T664" s="163"/>
      <c r="U664" s="163"/>
      <c r="V664" s="163"/>
      <c r="W664" s="163"/>
      <c r="X664" s="163"/>
      <c r="Y664" s="160"/>
      <c r="Z664" s="164"/>
      <c r="AA664" s="164"/>
      <c r="AB664" s="164"/>
      <c r="AC664" s="164"/>
      <c r="AD664" s="164"/>
      <c r="AE664" s="160"/>
    </row>
    <row r="665" spans="4:31">
      <c r="D665" s="160"/>
      <c r="F665" s="145">
        <f t="shared" si="191"/>
        <v>0</v>
      </c>
      <c r="G665" s="145" t="e">
        <f t="shared" si="192"/>
        <v>#N/A</v>
      </c>
      <c r="H665" s="145" t="e">
        <f t="shared" si="193"/>
        <v>#N/A</v>
      </c>
      <c r="P665" s="148" t="e">
        <f t="shared" si="194"/>
        <v>#N/A</v>
      </c>
      <c r="Q665" s="148" t="e">
        <f t="shared" si="190"/>
        <v>#N/A</v>
      </c>
      <c r="R665" s="162"/>
      <c r="S665" s="163"/>
      <c r="T665" s="163"/>
      <c r="U665" s="163"/>
      <c r="V665" s="163"/>
      <c r="W665" s="163"/>
      <c r="X665" s="163"/>
      <c r="Y665" s="160"/>
      <c r="Z665" s="164"/>
      <c r="AA665" s="164"/>
      <c r="AB665" s="164"/>
      <c r="AC665" s="164"/>
      <c r="AD665" s="164"/>
      <c r="AE665" s="160"/>
    </row>
    <row r="666" spans="4:31">
      <c r="D666" s="160"/>
      <c r="F666" s="145">
        <f t="shared" si="191"/>
        <v>0</v>
      </c>
      <c r="G666" s="145" t="e">
        <f t="shared" si="192"/>
        <v>#N/A</v>
      </c>
      <c r="H666" s="145" t="e">
        <f t="shared" si="193"/>
        <v>#N/A</v>
      </c>
      <c r="P666" s="148" t="e">
        <f t="shared" si="194"/>
        <v>#N/A</v>
      </c>
      <c r="Q666" s="148" t="e">
        <f t="shared" si="190"/>
        <v>#N/A</v>
      </c>
      <c r="R666" s="162"/>
      <c r="S666" s="163"/>
      <c r="T666" s="163"/>
      <c r="U666" s="163"/>
      <c r="V666" s="163"/>
      <c r="W666" s="163"/>
      <c r="X666" s="163"/>
      <c r="Y666" s="160"/>
      <c r="Z666" s="164"/>
      <c r="AA666" s="164"/>
      <c r="AB666" s="164"/>
      <c r="AC666" s="164"/>
      <c r="AD666" s="164"/>
      <c r="AE666" s="160"/>
    </row>
    <row r="667" spans="4:31">
      <c r="D667" s="160"/>
      <c r="F667" s="145">
        <f t="shared" si="191"/>
        <v>0</v>
      </c>
      <c r="G667" s="145" t="e">
        <f t="shared" si="192"/>
        <v>#N/A</v>
      </c>
      <c r="H667" s="145" t="e">
        <f t="shared" si="193"/>
        <v>#N/A</v>
      </c>
      <c r="P667" s="148" t="e">
        <f t="shared" si="194"/>
        <v>#N/A</v>
      </c>
      <c r="Q667" s="148" t="e">
        <f t="shared" si="190"/>
        <v>#N/A</v>
      </c>
      <c r="R667" s="162"/>
      <c r="S667" s="163"/>
      <c r="T667" s="163"/>
      <c r="U667" s="163"/>
      <c r="V667" s="163"/>
      <c r="W667" s="163"/>
      <c r="X667" s="163"/>
      <c r="Y667" s="160"/>
      <c r="Z667" s="164"/>
      <c r="AA667" s="164"/>
      <c r="AB667" s="164"/>
      <c r="AC667" s="164"/>
      <c r="AD667" s="164"/>
      <c r="AE667" s="160"/>
    </row>
    <row r="668" spans="4:31">
      <c r="D668" s="160"/>
      <c r="F668" s="145">
        <f t="shared" si="191"/>
        <v>0</v>
      </c>
      <c r="G668" s="145" t="e">
        <f t="shared" si="192"/>
        <v>#N/A</v>
      </c>
      <c r="H668" s="145" t="e">
        <f t="shared" si="193"/>
        <v>#N/A</v>
      </c>
      <c r="P668" s="148" t="e">
        <f t="shared" si="194"/>
        <v>#N/A</v>
      </c>
      <c r="Q668" s="148" t="e">
        <f t="shared" si="190"/>
        <v>#N/A</v>
      </c>
      <c r="R668" s="162"/>
      <c r="S668" s="163"/>
      <c r="T668" s="163"/>
      <c r="U668" s="163"/>
      <c r="V668" s="163"/>
      <c r="W668" s="163"/>
      <c r="X668" s="163"/>
      <c r="Y668" s="160"/>
      <c r="Z668" s="164"/>
      <c r="AA668" s="164"/>
      <c r="AB668" s="164"/>
      <c r="AC668" s="164"/>
      <c r="AD668" s="164"/>
      <c r="AE668" s="160"/>
    </row>
    <row r="669" spans="4:31">
      <c r="D669" s="160"/>
      <c r="F669" s="145">
        <f t="shared" si="191"/>
        <v>0</v>
      </c>
      <c r="G669" s="145" t="e">
        <f t="shared" si="192"/>
        <v>#N/A</v>
      </c>
      <c r="H669" s="145" t="e">
        <f t="shared" si="193"/>
        <v>#N/A</v>
      </c>
      <c r="P669" s="148" t="e">
        <f t="shared" si="194"/>
        <v>#N/A</v>
      </c>
      <c r="Q669" s="148" t="e">
        <f t="shared" si="190"/>
        <v>#N/A</v>
      </c>
      <c r="R669" s="162"/>
      <c r="S669" s="163"/>
      <c r="T669" s="163"/>
      <c r="U669" s="163"/>
      <c r="V669" s="163"/>
      <c r="W669" s="163"/>
      <c r="X669" s="163"/>
      <c r="Y669" s="160"/>
      <c r="Z669" s="164"/>
      <c r="AA669" s="164"/>
      <c r="AB669" s="164"/>
      <c r="AC669" s="164"/>
      <c r="AD669" s="164"/>
      <c r="AE669" s="160"/>
    </row>
    <row r="670" spans="4:31">
      <c r="D670" s="160"/>
      <c r="F670" s="145">
        <f t="shared" si="191"/>
        <v>0</v>
      </c>
      <c r="G670" s="145" t="e">
        <f t="shared" si="192"/>
        <v>#N/A</v>
      </c>
      <c r="H670" s="145" t="e">
        <f t="shared" si="193"/>
        <v>#N/A</v>
      </c>
      <c r="P670" s="148" t="e">
        <f t="shared" si="194"/>
        <v>#N/A</v>
      </c>
      <c r="Q670" s="148" t="e">
        <f t="shared" si="190"/>
        <v>#N/A</v>
      </c>
      <c r="R670" s="162"/>
      <c r="S670" s="163"/>
      <c r="T670" s="163"/>
      <c r="U670" s="163"/>
      <c r="V670" s="163"/>
      <c r="W670" s="163"/>
      <c r="X670" s="163"/>
      <c r="Y670" s="160"/>
      <c r="Z670" s="164"/>
      <c r="AA670" s="164"/>
      <c r="AB670" s="164"/>
      <c r="AC670" s="164"/>
      <c r="AD670" s="164"/>
      <c r="AE670" s="160"/>
    </row>
    <row r="671" spans="4:31">
      <c r="D671" s="160"/>
      <c r="F671" s="145">
        <f t="shared" si="191"/>
        <v>0</v>
      </c>
      <c r="G671" s="145" t="e">
        <f t="shared" si="192"/>
        <v>#N/A</v>
      </c>
      <c r="H671" s="145" t="e">
        <f t="shared" si="193"/>
        <v>#N/A</v>
      </c>
      <c r="P671" s="148" t="e">
        <f t="shared" si="194"/>
        <v>#N/A</v>
      </c>
      <c r="Q671" s="148" t="e">
        <f t="shared" si="190"/>
        <v>#N/A</v>
      </c>
      <c r="R671" s="162"/>
      <c r="S671" s="163"/>
      <c r="T671" s="163"/>
      <c r="U671" s="163"/>
      <c r="V671" s="163"/>
      <c r="W671" s="163"/>
      <c r="X671" s="163"/>
      <c r="Y671" s="160"/>
      <c r="Z671" s="164"/>
      <c r="AA671" s="164"/>
      <c r="AB671" s="164"/>
      <c r="AC671" s="164"/>
      <c r="AD671" s="164"/>
      <c r="AE671" s="160"/>
    </row>
    <row r="672" spans="4:31">
      <c r="D672" s="160"/>
      <c r="F672" s="145">
        <f t="shared" si="191"/>
        <v>0</v>
      </c>
      <c r="G672" s="145" t="e">
        <f t="shared" si="192"/>
        <v>#N/A</v>
      </c>
      <c r="H672" s="145" t="e">
        <f t="shared" si="193"/>
        <v>#N/A</v>
      </c>
      <c r="P672" s="148" t="e">
        <f t="shared" si="194"/>
        <v>#N/A</v>
      </c>
      <c r="Q672" s="148" t="e">
        <f t="shared" si="190"/>
        <v>#N/A</v>
      </c>
      <c r="R672" s="162"/>
      <c r="S672" s="163"/>
      <c r="T672" s="163"/>
      <c r="U672" s="163"/>
      <c r="V672" s="163"/>
      <c r="W672" s="163"/>
      <c r="X672" s="163"/>
      <c r="Y672" s="160"/>
      <c r="Z672" s="164"/>
      <c r="AA672" s="164"/>
      <c r="AB672" s="164"/>
      <c r="AC672" s="164"/>
      <c r="AD672" s="164"/>
      <c r="AE672" s="160"/>
    </row>
    <row r="673" spans="4:31">
      <c r="D673" s="160"/>
      <c r="F673" s="145">
        <f t="shared" si="191"/>
        <v>0</v>
      </c>
      <c r="G673" s="145" t="e">
        <f t="shared" si="192"/>
        <v>#N/A</v>
      </c>
      <c r="H673" s="145" t="e">
        <f t="shared" si="193"/>
        <v>#N/A</v>
      </c>
      <c r="P673" s="148" t="e">
        <f t="shared" si="194"/>
        <v>#N/A</v>
      </c>
      <c r="Q673" s="148" t="e">
        <f t="shared" ref="Q673:Q693" si="195">IF(biosiirtymä_luonne="äkillinen",INDEX($AG$4:$AG$20,MATCH($C673,$AF$4:$AF$20,0),1),INDEX($AH$4:$AH$20,MATCH($C673,$AF$4:$AF$20,0),1))</f>
        <v>#N/A</v>
      </c>
      <c r="R673" s="162"/>
      <c r="S673" s="163"/>
      <c r="T673" s="163"/>
      <c r="U673" s="163"/>
      <c r="V673" s="163"/>
      <c r="W673" s="163"/>
      <c r="X673" s="163"/>
      <c r="Y673" s="160"/>
      <c r="Z673" s="164"/>
      <c r="AA673" s="164"/>
      <c r="AB673" s="164"/>
      <c r="AC673" s="164"/>
      <c r="AD673" s="164"/>
      <c r="AE673" s="160"/>
    </row>
    <row r="674" spans="4:31">
      <c r="D674" s="160"/>
      <c r="F674" s="145">
        <f t="shared" si="191"/>
        <v>0</v>
      </c>
      <c r="G674" s="145" t="e">
        <f t="shared" si="192"/>
        <v>#N/A</v>
      </c>
      <c r="H674" s="145" t="e">
        <f t="shared" si="193"/>
        <v>#N/A</v>
      </c>
      <c r="P674" s="148" t="e">
        <f t="shared" si="194"/>
        <v>#N/A</v>
      </c>
      <c r="Q674" s="148" t="e">
        <f t="shared" si="195"/>
        <v>#N/A</v>
      </c>
      <c r="R674" s="162"/>
      <c r="S674" s="163"/>
      <c r="T674" s="163"/>
      <c r="U674" s="163"/>
      <c r="V674" s="163"/>
      <c r="W674" s="163"/>
      <c r="X674" s="163"/>
      <c r="Y674" s="160"/>
      <c r="Z674" s="164"/>
      <c r="AA674" s="164"/>
      <c r="AB674" s="164"/>
      <c r="AC674" s="164"/>
      <c r="AD674" s="164"/>
      <c r="AE674" s="160"/>
    </row>
    <row r="675" spans="4:31">
      <c r="D675" s="160"/>
      <c r="F675" s="145">
        <f t="shared" si="191"/>
        <v>0</v>
      </c>
      <c r="G675" s="145" t="e">
        <f t="shared" si="192"/>
        <v>#N/A</v>
      </c>
      <c r="H675" s="145" t="e">
        <f t="shared" si="193"/>
        <v>#N/A</v>
      </c>
      <c r="P675" s="148" t="e">
        <f t="shared" si="194"/>
        <v>#N/A</v>
      </c>
      <c r="Q675" s="148" t="e">
        <f t="shared" si="195"/>
        <v>#N/A</v>
      </c>
      <c r="R675" s="162"/>
      <c r="S675" s="163"/>
      <c r="T675" s="163"/>
      <c r="U675" s="163"/>
      <c r="V675" s="163"/>
      <c r="W675" s="163"/>
      <c r="X675" s="163"/>
      <c r="Y675" s="160"/>
      <c r="Z675" s="164"/>
      <c r="AA675" s="164"/>
      <c r="AB675" s="164"/>
      <c r="AC675" s="164"/>
      <c r="AD675" s="164"/>
      <c r="AE675" s="160"/>
    </row>
    <row r="676" spans="4:31">
      <c r="D676" s="160"/>
      <c r="F676" s="145">
        <f t="shared" si="191"/>
        <v>0</v>
      </c>
      <c r="G676" s="145" t="e">
        <f t="shared" si="192"/>
        <v>#N/A</v>
      </c>
      <c r="H676" s="145" t="e">
        <f t="shared" si="193"/>
        <v>#N/A</v>
      </c>
      <c r="P676" s="148" t="e">
        <f t="shared" si="194"/>
        <v>#N/A</v>
      </c>
      <c r="Q676" s="148" t="e">
        <f t="shared" si="195"/>
        <v>#N/A</v>
      </c>
      <c r="R676" s="162"/>
      <c r="S676" s="163"/>
      <c r="T676" s="163"/>
      <c r="U676" s="163"/>
      <c r="V676" s="163"/>
      <c r="W676" s="163"/>
      <c r="X676" s="163"/>
      <c r="Y676" s="160"/>
      <c r="Z676" s="164"/>
      <c r="AA676" s="164"/>
      <c r="AB676" s="164"/>
      <c r="AC676" s="164"/>
      <c r="AD676" s="164"/>
      <c r="AE676" s="160"/>
    </row>
    <row r="677" spans="4:31">
      <c r="D677" s="160"/>
      <c r="F677" s="145">
        <f t="shared" si="191"/>
        <v>0</v>
      </c>
      <c r="G677" s="145" t="e">
        <f t="shared" si="192"/>
        <v>#N/A</v>
      </c>
      <c r="H677" s="145" t="e">
        <f t="shared" si="193"/>
        <v>#N/A</v>
      </c>
      <c r="P677" s="148" t="e">
        <f t="shared" si="194"/>
        <v>#N/A</v>
      </c>
      <c r="Q677" s="148" t="e">
        <f t="shared" si="195"/>
        <v>#N/A</v>
      </c>
      <c r="R677" s="162"/>
      <c r="S677" s="163"/>
      <c r="T677" s="163"/>
      <c r="U677" s="163"/>
      <c r="V677" s="163"/>
      <c r="W677" s="163"/>
      <c r="X677" s="163"/>
      <c r="Y677" s="160"/>
      <c r="Z677" s="164"/>
      <c r="AA677" s="164"/>
      <c r="AB677" s="164"/>
      <c r="AC677" s="164"/>
      <c r="AD677" s="164"/>
      <c r="AE677" s="160"/>
    </row>
    <row r="678" spans="4:31">
      <c r="D678" s="160"/>
      <c r="F678" s="145">
        <f t="shared" si="191"/>
        <v>0</v>
      </c>
      <c r="G678" s="145" t="e">
        <f t="shared" si="192"/>
        <v>#N/A</v>
      </c>
      <c r="H678" s="145" t="e">
        <f t="shared" si="193"/>
        <v>#N/A</v>
      </c>
      <c r="P678" s="148" t="e">
        <f t="shared" si="194"/>
        <v>#N/A</v>
      </c>
      <c r="Q678" s="148" t="e">
        <f t="shared" si="195"/>
        <v>#N/A</v>
      </c>
      <c r="R678" s="162"/>
      <c r="S678" s="163"/>
      <c r="T678" s="163"/>
      <c r="U678" s="163"/>
      <c r="V678" s="163"/>
      <c r="W678" s="163"/>
      <c r="X678" s="163"/>
      <c r="Y678" s="160"/>
      <c r="Z678" s="164"/>
      <c r="AA678" s="164"/>
      <c r="AB678" s="164"/>
      <c r="AC678" s="164"/>
      <c r="AD678" s="164"/>
      <c r="AE678" s="160"/>
    </row>
    <row r="679" spans="4:31">
      <c r="D679" s="160"/>
      <c r="F679" s="145">
        <f t="shared" si="191"/>
        <v>0</v>
      </c>
      <c r="G679" s="145" t="e">
        <f t="shared" si="192"/>
        <v>#N/A</v>
      </c>
      <c r="H679" s="145" t="e">
        <f t="shared" si="193"/>
        <v>#N/A</v>
      </c>
      <c r="P679" s="148" t="e">
        <f t="shared" si="194"/>
        <v>#N/A</v>
      </c>
      <c r="Q679" s="148" t="e">
        <f t="shared" si="195"/>
        <v>#N/A</v>
      </c>
      <c r="R679" s="162"/>
      <c r="S679" s="163"/>
      <c r="T679" s="163"/>
      <c r="U679" s="163"/>
      <c r="V679" s="163"/>
      <c r="W679" s="163"/>
      <c r="X679" s="163"/>
      <c r="Y679" s="160"/>
      <c r="Z679" s="164"/>
      <c r="AA679" s="164"/>
      <c r="AB679" s="164"/>
      <c r="AC679" s="164"/>
      <c r="AD679" s="164"/>
      <c r="AE679" s="160"/>
    </row>
    <row r="680" spans="4:31">
      <c r="D680" s="160"/>
      <c r="F680" s="145">
        <f t="shared" si="191"/>
        <v>0</v>
      </c>
      <c r="G680" s="145" t="e">
        <f t="shared" si="192"/>
        <v>#N/A</v>
      </c>
      <c r="H680" s="145" t="e">
        <f t="shared" si="193"/>
        <v>#N/A</v>
      </c>
      <c r="P680" s="148" t="e">
        <f t="shared" si="194"/>
        <v>#N/A</v>
      </c>
      <c r="Q680" s="148" t="e">
        <f t="shared" si="195"/>
        <v>#N/A</v>
      </c>
      <c r="R680" s="162"/>
      <c r="S680" s="163"/>
      <c r="T680" s="163"/>
      <c r="U680" s="163"/>
      <c r="V680" s="163"/>
      <c r="W680" s="163"/>
      <c r="X680" s="163"/>
      <c r="Y680" s="160"/>
      <c r="Z680" s="164"/>
      <c r="AA680" s="164"/>
      <c r="AB680" s="164"/>
      <c r="AC680" s="164"/>
      <c r="AD680" s="164"/>
      <c r="AE680" s="160"/>
    </row>
    <row r="681" spans="4:31">
      <c r="D681" s="160"/>
      <c r="F681" s="145">
        <f t="shared" si="191"/>
        <v>0</v>
      </c>
      <c r="G681" s="145" t="e">
        <f t="shared" si="192"/>
        <v>#N/A</v>
      </c>
      <c r="H681" s="145" t="e">
        <f t="shared" si="193"/>
        <v>#N/A</v>
      </c>
      <c r="P681" s="148" t="e">
        <f t="shared" si="194"/>
        <v>#N/A</v>
      </c>
      <c r="Q681" s="148" t="e">
        <f t="shared" si="195"/>
        <v>#N/A</v>
      </c>
      <c r="R681" s="162"/>
      <c r="S681" s="163"/>
      <c r="T681" s="163"/>
      <c r="U681" s="163"/>
      <c r="V681" s="163"/>
      <c r="W681" s="163"/>
      <c r="X681" s="163"/>
      <c r="Y681" s="160"/>
      <c r="Z681" s="164"/>
      <c r="AA681" s="164"/>
      <c r="AB681" s="164"/>
      <c r="AC681" s="164"/>
      <c r="AD681" s="164"/>
      <c r="AE681" s="160"/>
    </row>
    <row r="682" spans="4:31">
      <c r="D682" s="160"/>
      <c r="F682" s="145">
        <f t="shared" si="191"/>
        <v>0</v>
      </c>
      <c r="G682" s="145" t="e">
        <f t="shared" si="192"/>
        <v>#N/A</v>
      </c>
      <c r="H682" s="145" t="e">
        <f t="shared" si="193"/>
        <v>#N/A</v>
      </c>
      <c r="P682" s="148" t="e">
        <f t="shared" si="194"/>
        <v>#N/A</v>
      </c>
      <c r="Q682" s="148" t="e">
        <f t="shared" si="195"/>
        <v>#N/A</v>
      </c>
      <c r="R682" s="162"/>
      <c r="S682" s="163"/>
      <c r="T682" s="163"/>
      <c r="U682" s="163"/>
      <c r="V682" s="163"/>
      <c r="W682" s="163"/>
      <c r="X682" s="163"/>
      <c r="Y682" s="160"/>
      <c r="Z682" s="164"/>
      <c r="AA682" s="164"/>
      <c r="AB682" s="164"/>
      <c r="AC682" s="164"/>
      <c r="AD682" s="164"/>
      <c r="AE682" s="160"/>
    </row>
    <row r="683" spans="4:31">
      <c r="D683" s="160"/>
      <c r="F683" s="145">
        <f t="shared" si="191"/>
        <v>0</v>
      </c>
      <c r="G683" s="145" t="e">
        <f t="shared" si="192"/>
        <v>#N/A</v>
      </c>
      <c r="H683" s="145" t="e">
        <f t="shared" si="193"/>
        <v>#N/A</v>
      </c>
      <c r="P683" s="148" t="e">
        <f t="shared" si="194"/>
        <v>#N/A</v>
      </c>
      <c r="Q683" s="148" t="e">
        <f t="shared" si="195"/>
        <v>#N/A</v>
      </c>
      <c r="R683" s="162"/>
      <c r="S683" s="163"/>
      <c r="T683" s="163"/>
      <c r="U683" s="163"/>
      <c r="V683" s="163"/>
      <c r="W683" s="163"/>
      <c r="X683" s="163"/>
      <c r="Y683" s="160"/>
      <c r="Z683" s="164"/>
      <c r="AA683" s="164"/>
      <c r="AB683" s="164"/>
      <c r="AC683" s="164"/>
      <c r="AD683" s="164"/>
      <c r="AE683" s="160"/>
    </row>
    <row r="684" spans="4:31">
      <c r="D684" s="160"/>
      <c r="F684" s="145">
        <f t="shared" si="191"/>
        <v>0</v>
      </c>
      <c r="G684" s="145" t="e">
        <f t="shared" si="192"/>
        <v>#N/A</v>
      </c>
      <c r="H684" s="145" t="e">
        <f t="shared" si="193"/>
        <v>#N/A</v>
      </c>
      <c r="P684" s="148" t="e">
        <f t="shared" si="194"/>
        <v>#N/A</v>
      </c>
      <c r="Q684" s="148" t="e">
        <f t="shared" si="195"/>
        <v>#N/A</v>
      </c>
      <c r="R684" s="162"/>
      <c r="S684" s="163"/>
      <c r="T684" s="163"/>
      <c r="U684" s="163"/>
      <c r="V684" s="163"/>
      <c r="W684" s="163"/>
      <c r="X684" s="163"/>
      <c r="Y684" s="160"/>
      <c r="Z684" s="164"/>
      <c r="AA684" s="164"/>
      <c r="AB684" s="164"/>
      <c r="AC684" s="164"/>
      <c r="AD684" s="164"/>
      <c r="AE684" s="160"/>
    </row>
    <row r="685" spans="4:31">
      <c r="D685" s="160"/>
      <c r="F685" s="145">
        <f t="shared" si="191"/>
        <v>0</v>
      </c>
      <c r="G685" s="145" t="e">
        <f t="shared" si="192"/>
        <v>#N/A</v>
      </c>
      <c r="H685" s="145" t="e">
        <f t="shared" si="193"/>
        <v>#N/A</v>
      </c>
      <c r="P685" s="148" t="e">
        <f t="shared" si="194"/>
        <v>#N/A</v>
      </c>
      <c r="Q685" s="148" t="e">
        <f t="shared" si="195"/>
        <v>#N/A</v>
      </c>
      <c r="R685" s="162"/>
      <c r="S685" s="163"/>
      <c r="T685" s="163"/>
      <c r="U685" s="163"/>
      <c r="V685" s="163"/>
      <c r="W685" s="163"/>
      <c r="X685" s="163"/>
      <c r="Y685" s="160"/>
      <c r="Z685" s="164"/>
      <c r="AA685" s="164"/>
      <c r="AB685" s="164"/>
      <c r="AC685" s="164"/>
      <c r="AD685" s="164"/>
      <c r="AE685" s="160"/>
    </row>
    <row r="686" spans="4:31">
      <c r="D686" s="160"/>
      <c r="F686" s="145">
        <f t="shared" si="191"/>
        <v>0</v>
      </c>
      <c r="G686" s="145" t="e">
        <f t="shared" si="192"/>
        <v>#N/A</v>
      </c>
      <c r="H686" s="145" t="e">
        <f t="shared" si="193"/>
        <v>#N/A</v>
      </c>
      <c r="P686" s="148" t="e">
        <f t="shared" si="194"/>
        <v>#N/A</v>
      </c>
      <c r="Q686" s="148" t="e">
        <f t="shared" si="195"/>
        <v>#N/A</v>
      </c>
      <c r="R686" s="162"/>
      <c r="S686" s="163"/>
      <c r="T686" s="163"/>
      <c r="U686" s="163"/>
      <c r="W686" s="163"/>
      <c r="X686" s="163"/>
      <c r="Y686" s="160"/>
      <c r="Z686" s="164"/>
      <c r="AA686" s="164"/>
      <c r="AB686" s="164"/>
      <c r="AC686" s="164"/>
      <c r="AD686" s="164"/>
      <c r="AE686" s="160"/>
    </row>
    <row r="687" spans="4:31">
      <c r="D687" s="160"/>
      <c r="F687" s="145">
        <f t="shared" si="191"/>
        <v>0</v>
      </c>
      <c r="G687" s="145" t="e">
        <f t="shared" si="192"/>
        <v>#N/A</v>
      </c>
      <c r="H687" s="145" t="e">
        <f t="shared" si="193"/>
        <v>#N/A</v>
      </c>
      <c r="P687" s="148" t="e">
        <f t="shared" si="194"/>
        <v>#N/A</v>
      </c>
      <c r="Q687" s="148" t="e">
        <f t="shared" si="195"/>
        <v>#N/A</v>
      </c>
      <c r="R687" s="162"/>
      <c r="S687" s="163"/>
      <c r="T687" s="163"/>
      <c r="U687" s="163"/>
      <c r="W687" s="163"/>
      <c r="X687" s="163"/>
      <c r="Y687" s="160"/>
      <c r="Z687" s="164"/>
      <c r="AA687" s="164"/>
      <c r="AB687" s="164"/>
      <c r="AC687" s="164"/>
      <c r="AD687" s="164"/>
      <c r="AE687" s="160"/>
    </row>
    <row r="688" spans="4:31">
      <c r="D688" s="160"/>
      <c r="F688" s="145">
        <f t="shared" si="191"/>
        <v>0</v>
      </c>
      <c r="G688" s="145" t="e">
        <f t="shared" si="192"/>
        <v>#N/A</v>
      </c>
      <c r="H688" s="145" t="e">
        <f t="shared" si="193"/>
        <v>#N/A</v>
      </c>
      <c r="P688" s="148" t="e">
        <f t="shared" si="194"/>
        <v>#N/A</v>
      </c>
      <c r="Q688" s="148" t="e">
        <f t="shared" si="195"/>
        <v>#N/A</v>
      </c>
      <c r="R688" s="162"/>
      <c r="S688" s="163"/>
      <c r="T688" s="163"/>
      <c r="U688" s="163"/>
      <c r="W688" s="163"/>
      <c r="X688" s="163"/>
      <c r="Y688" s="160"/>
      <c r="Z688" s="164"/>
      <c r="AA688" s="164"/>
      <c r="AB688" s="164"/>
      <c r="AC688" s="164"/>
      <c r="AD688" s="164"/>
      <c r="AE688" s="160"/>
    </row>
    <row r="689" spans="4:31">
      <c r="D689" s="160"/>
      <c r="F689" s="145">
        <f t="shared" si="191"/>
        <v>0</v>
      </c>
      <c r="G689" s="145" t="e">
        <f t="shared" si="192"/>
        <v>#N/A</v>
      </c>
      <c r="H689" s="145" t="e">
        <f t="shared" si="193"/>
        <v>#N/A</v>
      </c>
      <c r="P689" s="148" t="e">
        <f t="shared" si="194"/>
        <v>#N/A</v>
      </c>
      <c r="Q689" s="148" t="e">
        <f t="shared" si="195"/>
        <v>#N/A</v>
      </c>
      <c r="R689" s="162"/>
      <c r="S689" s="163"/>
      <c r="T689" s="163"/>
      <c r="U689" s="163"/>
      <c r="W689" s="163"/>
      <c r="X689" s="163"/>
      <c r="Y689" s="160"/>
      <c r="Z689" s="164"/>
      <c r="AA689" s="164"/>
      <c r="AB689" s="164"/>
      <c r="AC689" s="164"/>
      <c r="AD689" s="164"/>
      <c r="AE689" s="160"/>
    </row>
    <row r="690" spans="4:31">
      <c r="D690" s="160"/>
      <c r="F690" s="145">
        <f t="shared" si="191"/>
        <v>0</v>
      </c>
      <c r="G690" s="145" t="e">
        <f t="shared" si="192"/>
        <v>#N/A</v>
      </c>
      <c r="H690" s="145" t="e">
        <f t="shared" si="193"/>
        <v>#N/A</v>
      </c>
      <c r="P690" s="148" t="e">
        <f t="shared" si="194"/>
        <v>#N/A</v>
      </c>
      <c r="Q690" s="148" t="e">
        <f t="shared" si="195"/>
        <v>#N/A</v>
      </c>
      <c r="R690" s="162"/>
      <c r="S690" s="163"/>
      <c r="T690" s="163"/>
      <c r="U690" s="163"/>
      <c r="W690" s="163"/>
      <c r="X690" s="163"/>
      <c r="Y690" s="160"/>
      <c r="Z690" s="164"/>
      <c r="AA690" s="164"/>
      <c r="AB690" s="164"/>
      <c r="AC690" s="164"/>
      <c r="AD690" s="164"/>
      <c r="AE690" s="160"/>
    </row>
    <row r="691" spans="4:31">
      <c r="D691" s="160"/>
      <c r="F691" s="145">
        <f t="shared" si="191"/>
        <v>0</v>
      </c>
      <c r="G691" s="145" t="e">
        <f t="shared" si="192"/>
        <v>#N/A</v>
      </c>
      <c r="H691" s="145" t="e">
        <f t="shared" si="193"/>
        <v>#N/A</v>
      </c>
      <c r="P691" s="148" t="e">
        <f t="shared" si="194"/>
        <v>#N/A</v>
      </c>
      <c r="Q691" s="148" t="e">
        <f t="shared" si="195"/>
        <v>#N/A</v>
      </c>
      <c r="R691" s="162"/>
      <c r="S691" s="163"/>
      <c r="T691" s="163"/>
      <c r="U691" s="163"/>
      <c r="W691" s="163"/>
      <c r="X691" s="163"/>
      <c r="Y691" s="160"/>
      <c r="Z691" s="164"/>
      <c r="AA691" s="164"/>
      <c r="AB691" s="164"/>
      <c r="AC691" s="164"/>
      <c r="AD691" s="164"/>
      <c r="AE691" s="160"/>
    </row>
    <row r="692" spans="4:31">
      <c r="D692" s="160"/>
      <c r="F692" s="145">
        <f t="shared" si="191"/>
        <v>0</v>
      </c>
      <c r="G692" s="145" t="e">
        <f t="shared" si="192"/>
        <v>#N/A</v>
      </c>
      <c r="H692" s="145" t="e">
        <f t="shared" si="193"/>
        <v>#N/A</v>
      </c>
      <c r="P692" s="148" t="e">
        <f t="shared" si="194"/>
        <v>#N/A</v>
      </c>
      <c r="Q692" s="148" t="e">
        <f t="shared" si="195"/>
        <v>#N/A</v>
      </c>
      <c r="R692" s="162"/>
      <c r="S692" s="163"/>
      <c r="T692" s="163"/>
      <c r="U692" s="163"/>
      <c r="W692" s="163"/>
      <c r="X692" s="163"/>
      <c r="Y692" s="160"/>
      <c r="Z692" s="164"/>
      <c r="AA692" s="164"/>
      <c r="AB692" s="164"/>
      <c r="AC692" s="164"/>
      <c r="AD692" s="164"/>
      <c r="AE692" s="160"/>
    </row>
    <row r="693" spans="4:31">
      <c r="D693" s="160"/>
      <c r="F693" s="145">
        <f t="shared" si="191"/>
        <v>0</v>
      </c>
      <c r="G693" s="145" t="e">
        <f t="shared" si="192"/>
        <v>#N/A</v>
      </c>
      <c r="H693" s="145" t="e">
        <f t="shared" si="193"/>
        <v>#N/A</v>
      </c>
      <c r="P693" s="148" t="e">
        <f t="shared" si="194"/>
        <v>#N/A</v>
      </c>
      <c r="Q693" s="148" t="e">
        <f t="shared" si="195"/>
        <v>#N/A</v>
      </c>
      <c r="R693" s="162"/>
      <c r="S693" s="163"/>
      <c r="T693" s="163"/>
      <c r="U693" s="163"/>
      <c r="W693" s="163"/>
      <c r="X693" s="163"/>
      <c r="Y693" s="160"/>
      <c r="Z693" s="164"/>
      <c r="AA693" s="164"/>
      <c r="AB693" s="164"/>
      <c r="AC693" s="164"/>
      <c r="AD693" s="164"/>
      <c r="AE693" s="160"/>
    </row>
  </sheetData>
  <autoFilter ref="A2:AD693"/>
  <mergeCells count="7">
    <mergeCell ref="AF2:AH2"/>
    <mergeCell ref="A1:C1"/>
    <mergeCell ref="D1:M1"/>
    <mergeCell ref="N1:R1"/>
    <mergeCell ref="S1:V1"/>
    <mergeCell ref="W1:Y1"/>
    <mergeCell ref="Z1:AD1"/>
  </mergeCells>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5F9F20229BB242B8136144B56FA320" ma:contentTypeVersion="8" ma:contentTypeDescription="Create a new document." ma:contentTypeScope="" ma:versionID="437de9f8c4ff4fc6c8c62793e9256866">
  <xsd:schema xmlns:xsd="http://www.w3.org/2001/XMLSchema" xmlns:xs="http://www.w3.org/2001/XMLSchema" xmlns:p="http://schemas.microsoft.com/office/2006/metadata/properties" xmlns:ns2="b2ab3d1e-c5ec-4c61-9cfd-60ff8544235b" targetNamespace="http://schemas.microsoft.com/office/2006/metadata/properties" ma:root="true" ma:fieldsID="8742a9fb4681cc28b9fe1fb4d52ab034" ns2:_="">
    <xsd:import namespace="b2ab3d1e-c5ec-4c61-9cfd-60ff8544235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ab3d1e-c5ec-4c61-9cfd-60ff85442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E04D50-B22F-4623-9359-7401EA437251}"/>
</file>

<file path=customXml/itemProps2.xml><?xml version="1.0" encoding="utf-8"?>
<ds:datastoreItem xmlns:ds="http://schemas.openxmlformats.org/officeDocument/2006/customXml" ds:itemID="{3FCB7A22-C161-4A97-A0EA-5D062978D40F}">
  <ds:schemaRefs>
    <ds:schemaRef ds:uri="http://schemas.microsoft.com/sharepoint/v3/contenttype/forms"/>
  </ds:schemaRefs>
</ds:datastoreItem>
</file>

<file path=customXml/itemProps3.xml><?xml version="1.0" encoding="utf-8"?>
<ds:datastoreItem xmlns:ds="http://schemas.openxmlformats.org/officeDocument/2006/customXml" ds:itemID="{78E98ED0-45A4-40A5-978E-6652A608DC7F}">
  <ds:schemaRefs>
    <ds:schemaRef ds:uri="http://purl.org/dc/terms/"/>
    <ds:schemaRef ds:uri="7aa23113-8c7b-4071-a8e3-d5a6354162b8"/>
    <ds:schemaRef ds:uri="http://schemas.microsoft.com/office/2006/documentManagement/types"/>
    <ds:schemaRef ds:uri="http://schemas.microsoft.com/office/infopath/2007/PartnerControls"/>
    <ds:schemaRef ds:uri="http://purl.org/dc/elements/1.1/"/>
    <ds:schemaRef ds:uri="http://schemas.microsoft.com/office/2006/metadata/properties"/>
    <ds:schemaRef ds:uri="d3743f39-f7f4-47ff-9563-9cb5960bbaad"/>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12</vt:i4>
      </vt:variant>
      <vt:variant>
        <vt:lpstr>Nimetyt alueet</vt:lpstr>
      </vt:variant>
      <vt:variant>
        <vt:i4>74</vt:i4>
      </vt:variant>
    </vt:vector>
  </HeadingPairs>
  <TitlesOfParts>
    <vt:vector size="86" baseType="lpstr">
      <vt:lpstr>Info</vt:lpstr>
      <vt:lpstr>Lyhyt yhteenveto</vt:lpstr>
      <vt:lpstr>Muuttujat</vt:lpstr>
      <vt:lpstr>Työkonekanta</vt:lpstr>
      <vt:lpstr>S3 Tiekartta</vt:lpstr>
      <vt:lpstr>S0a Baseline</vt:lpstr>
      <vt:lpstr>S0b Baseline kasvu</vt:lpstr>
      <vt:lpstr>S1 Sähkö</vt:lpstr>
      <vt:lpstr>S2 Bio</vt:lpstr>
      <vt:lpstr>Laaja yhteenveto</vt:lpstr>
      <vt:lpstr>Työkonevertailu € CO2</vt:lpstr>
      <vt:lpstr>Hintatiedot</vt:lpstr>
      <vt:lpstr>bio_osuus</vt:lpstr>
      <vt:lpstr>biosiirtymä_luonne</vt:lpstr>
      <vt:lpstr>biosiirtymä_vuosi</vt:lpstr>
      <vt:lpstr>conv_kwh_mj</vt:lpstr>
      <vt:lpstr>ef_e_co2_el_fimix</vt:lpstr>
      <vt:lpstr>ef_li_ion_akku</vt:lpstr>
      <vt:lpstr>ef_m_ch4_lpg</vt:lpstr>
      <vt:lpstr>ef_m_ch4_pom</vt:lpstr>
      <vt:lpstr>ef_m_co2_adblue</vt:lpstr>
      <vt:lpstr>ef_m_co2_dies</vt:lpstr>
      <vt:lpstr>ef_m_co2_lng</vt:lpstr>
      <vt:lpstr>ef_m_co2_lpg</vt:lpstr>
      <vt:lpstr>ef_m_n2o_lpg</vt:lpstr>
      <vt:lpstr>ef_m_n2o_pom</vt:lpstr>
      <vt:lpstr>ef_v_ch4_pom</vt:lpstr>
      <vt:lpstr>ef_v_co2_adblue</vt:lpstr>
      <vt:lpstr>ef_v_co2_dies</vt:lpstr>
      <vt:lpstr>ef_v_co2_pom</vt:lpstr>
      <vt:lpstr>ef_v_n2o_pom</vt:lpstr>
      <vt:lpstr>f_adblue</vt:lpstr>
      <vt:lpstr>gwp100_ch4</vt:lpstr>
      <vt:lpstr>gwp100_n2o</vt:lpstr>
      <vt:lpstr>'Työkonevertailu € CO2'!hinta_adblue</vt:lpstr>
      <vt:lpstr>hinta_adblue</vt:lpstr>
      <vt:lpstr>hinta_biodiesel</vt:lpstr>
      <vt:lpstr>hinta_biodiesel3</vt:lpstr>
      <vt:lpstr>hinta_biodiesel4</vt:lpstr>
      <vt:lpstr>hinta_bioöljy</vt:lpstr>
      <vt:lpstr>hinta_dies</vt:lpstr>
      <vt:lpstr>hinta_diesel</vt:lpstr>
      <vt:lpstr>hinta_polttoöljy</vt:lpstr>
      <vt:lpstr>hinta_pom_pok</vt:lpstr>
      <vt:lpstr>hinta_pom_pok2</vt:lpstr>
      <vt:lpstr>hinta_sähkö</vt:lpstr>
      <vt:lpstr>hinta_sähkö1</vt:lpstr>
      <vt:lpstr>hinta_sähkö2</vt:lpstr>
      <vt:lpstr>hinta_sähkö3</vt:lpstr>
      <vt:lpstr>hinta_sähkö4</vt:lpstr>
      <vt:lpstr>hinta_sähkö5</vt:lpstr>
      <vt:lpstr>hinta_sähkö6</vt:lpstr>
      <vt:lpstr>hv_biodies</vt:lpstr>
      <vt:lpstr>hv_dies</vt:lpstr>
      <vt:lpstr>hv_pom</vt:lpstr>
      <vt:lpstr>hv_pom2</vt:lpstr>
      <vt:lpstr>mm</vt:lpstr>
      <vt:lpstr>mmm</vt:lpstr>
      <vt:lpstr>ostosähkö</vt:lpstr>
      <vt:lpstr>ostosähkö_nyt</vt:lpstr>
      <vt:lpstr>pros_tavoite</vt:lpstr>
      <vt:lpstr>roo_adblue</vt:lpstr>
      <vt:lpstr>roo_biodies</vt:lpstr>
      <vt:lpstr>roo_dies</vt:lpstr>
      <vt:lpstr>roo_dies2</vt:lpstr>
      <vt:lpstr>s0b_kasvu</vt:lpstr>
      <vt:lpstr>t2022_hybridilukki</vt:lpstr>
      <vt:lpstr>t2022_kurottaja</vt:lpstr>
      <vt:lpstr>t2022_sähkölukki</vt:lpstr>
      <vt:lpstr>t2022_sähkött</vt:lpstr>
      <vt:lpstr>t2027_lukit</vt:lpstr>
      <vt:lpstr>tavoite_helsa_ttw</vt:lpstr>
      <vt:lpstr>tavoite_ttw</vt:lpstr>
      <vt:lpstr>tuulisähkö_vuosi</vt:lpstr>
      <vt:lpstr>wtt_ef_e_co2_biodies</vt:lpstr>
      <vt:lpstr>wtt_ef_e_co2_biolng</vt:lpstr>
      <vt:lpstr>wtt_ef_e_co2_cbg</vt:lpstr>
      <vt:lpstr>wtt_ef_e_co2_cng</vt:lpstr>
      <vt:lpstr>wtt_ef_e_co2_dies</vt:lpstr>
      <vt:lpstr>wtt_ef_e_co2_el_eumix2020</vt:lpstr>
      <vt:lpstr>wtt_ef_e_co2_el_eumix2030</vt:lpstr>
      <vt:lpstr>wtt_ef_e_co2_el_wind</vt:lpstr>
      <vt:lpstr>wtt_ef_e_co2_lng</vt:lpstr>
      <vt:lpstr>wtt_ef_e_co2_lpg</vt:lpstr>
      <vt:lpstr>wtt_ef_e_co2_syndies</vt:lpstr>
      <vt:lpstr>wtt_ef_e_co2_synlng</vt:lpstr>
    </vt:vector>
  </TitlesOfParts>
  <Manager/>
  <Company>VTT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Markkanen Johanna</dc:creator>
  <cp:keywords/>
  <dc:description/>
  <cp:lastModifiedBy>Pellikka Saara</cp:lastModifiedBy>
  <cp:revision/>
  <dcterms:created xsi:type="dcterms:W3CDTF">2020-11-23T08:29:48Z</dcterms:created>
  <dcterms:modified xsi:type="dcterms:W3CDTF">2021-02-26T08:59:37Z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0x010100D85F9F20229BB242B8136144B56FA320</vt:lpwstr>
  </property>
</Properties>
</file>